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W:\John Ryan\CKY\2024 Rate Case\Discovery\Set 1\Final Responses\5.29.2024 Additions\FINAL BATCH\"/>
    </mc:Choice>
  </mc:AlternateContent>
  <xr:revisionPtr revIDLastSave="0" documentId="8_{052B1531-BB89-45C2-95D1-29551916BEE5}" xr6:coauthVersionLast="47" xr6:coauthVersionMax="47" xr10:uidLastSave="{00000000-0000-0000-0000-000000000000}"/>
  <bookViews>
    <workbookView xWindow="-110" yWindow="-110" windowWidth="22780" windowHeight="14660" firstSheet="10" activeTab="10" xr2:uid="{00000000-000D-0000-FFFF-FFFF00000000}"/>
  </bookViews>
  <sheets>
    <sheet name="General Headers Index" sheetId="150" r:id="rId1"/>
    <sheet name="INPUT - B Schedule PLANT" sheetId="190" r:id="rId2"/>
    <sheet name="INPUT - SMRP Plant in Service" sheetId="191" r:id="rId3"/>
    <sheet name="INPUT - BPtoFTP O&amp;M Alloc Pivot" sheetId="217" r:id="rId4"/>
    <sheet name="INPUT - BPtoFTP O&amp;M Allocates" sheetId="216" r:id="rId5"/>
    <sheet name="INPUT - FTY O&amp;M Excld FERC List" sheetId="202" r:id="rId6"/>
    <sheet name="INPUT - FTP O&amp;M Excld Allocates" sheetId="204" r:id="rId7"/>
    <sheet name="INPUT - GDP Inflation Factor" sheetId="215" r:id="rId8"/>
    <sheet name="&lt;&lt;&lt;&lt;&lt;Input Tabs" sheetId="174" r:id="rId9"/>
    <sheet name="Cost of Service &gt;&gt;&gt;&gt;&gt;" sheetId="175" r:id="rId10"/>
    <sheet name="Index A" sheetId="65" r:id="rId11"/>
    <sheet name="A- Financial Summary" sheetId="64" r:id="rId12"/>
    <sheet name="Index B" sheetId="39" r:id="rId13"/>
    <sheet name="B-1 p.1 Summary (Base)" sheetId="1" r:id="rId14"/>
    <sheet name="B-1 p.2 Summary (Forecast)" sheetId="45" r:id="rId15"/>
    <sheet name="B-2 p.1 Grouping (Base)" sheetId="2" r:id="rId16"/>
    <sheet name="B-2 p.2 Grouping (Forecast)" sheetId="46" r:id="rId17"/>
    <sheet name="B-2.1 Base Period GPA" sheetId="3" r:id="rId18"/>
    <sheet name="B-2.1 Forecast Period GPA" sheetId="47" r:id="rId19"/>
    <sheet name="WPB-2.1.A Base Period" sheetId="27" r:id="rId20"/>
    <sheet name="WPB-2.1.A 13 mo avg Forecast " sheetId="44" r:id="rId21"/>
    <sheet name="WPB-2.1.B Summary" sheetId="196" r:id="rId22"/>
    <sheet name="WPB-2.1.C Plant Detail" sheetId="209" r:id="rId23"/>
    <sheet name="WPB-2.1.D SMRP" sheetId="210" r:id="rId24"/>
    <sheet name="WPB-2.1.E Intangibles" sheetId="211" r:id="rId25"/>
    <sheet name="WPB-2.1.F Depreciation by GPA" sheetId="214" r:id="rId26"/>
    <sheet name="B-2.2 Proposed Adj (Base)" sheetId="129" r:id="rId27"/>
    <sheet name="B-2.2 Proposed Adj (Forecast)" sheetId="128" r:id="rId28"/>
    <sheet name="B-2.3 Base Adds, Ret, Transfers" sheetId="7" r:id="rId29"/>
    <sheet name="B-2.3 Forecast Adds, Ret, Trans" sheetId="130" r:id="rId30"/>
    <sheet name="B-2.4 PP&amp;E Acquired (Base)" sheetId="8" r:id="rId31"/>
    <sheet name="B-2.4 PP&amp;E Acquired (Forecast)" sheetId="131" r:id="rId32"/>
    <sheet name="B-2.5 Leased Property (Base)" sheetId="9" r:id="rId33"/>
    <sheet name="B-2.5 Leased Prop (Forecast)" sheetId="132" r:id="rId34"/>
    <sheet name="B-2.6 Property Held (Base)" sheetId="10" r:id="rId35"/>
    <sheet name="B-2.6 Property Held (Forecast)" sheetId="133" r:id="rId36"/>
    <sheet name="B-2.7 PP&amp;E Excluded (Base)" sheetId="11" r:id="rId37"/>
    <sheet name="B-2.7 PP&amp;E Excluded (Forecast)" sheetId="134" r:id="rId38"/>
    <sheet name="B-3 Accum Dep&amp; Amort (Base)" sheetId="12" r:id="rId39"/>
    <sheet name="B-3 Accum Dep&amp;Amort (Forecast)" sheetId="48" r:id="rId40"/>
    <sheet name="WPB-3.1 AD&amp;A (Base)" sheetId="42" r:id="rId41"/>
    <sheet name="WPB-3.1 AD&amp;A (Forecast)" sheetId="43" r:id="rId42"/>
    <sheet name="B-3.1 Adj.  AD&amp;A (Base)" sheetId="13" r:id="rId43"/>
    <sheet name="B-3.1 Adj.  AD&amp;A (Forecast)" sheetId="135" r:id="rId44"/>
    <sheet name="B-4 CWIP (In Service)" sheetId="37" r:id="rId45"/>
    <sheet name="B-5 Working Capital (Base)" sheetId="22" r:id="rId46"/>
    <sheet name="B-5 Working Capital (Forecast)" sheetId="50" r:id="rId47"/>
    <sheet name="B-5.1 Working Cap. (Base)" sheetId="34" r:id="rId48"/>
    <sheet name="B-5.1 Working Cap. (Forecast)" sheetId="54" r:id="rId49"/>
    <sheet name="WPB-5.1 M&amp;S " sheetId="19" r:id="rId50"/>
    <sheet name="B-5.2.A CWC (Base)" sheetId="154" r:id="rId51"/>
    <sheet name="B-5.2.A CWC (Forecast)" sheetId="155" r:id="rId52"/>
    <sheet name="B-5.2.B CWC (Forecast)" sheetId="222" r:id="rId53"/>
    <sheet name="WPB 5.3 Storage" sheetId="49" r:id="rId54"/>
    <sheet name="B-6.A ADIT &amp; EDIT (Base)" sheetId="170" r:id="rId55"/>
    <sheet name="B-6.B ADIT &amp; EDIT (Forecast)" sheetId="171" r:id="rId56"/>
    <sheet name="B-6.1 ADIT &amp; EDIT Normalization" sheetId="206" r:id="rId57"/>
    <sheet name="B-7 Juris Factor" sheetId="142" r:id="rId58"/>
    <sheet name="Index C" sheetId="66" r:id="rId59"/>
    <sheet name="C-1 Operating Income Summary" sheetId="68" r:id="rId60"/>
    <sheet name="C-2 Adj Operating Income Sum" sheetId="69" r:id="rId61"/>
    <sheet name="C-2.1.A Oper Rev&amp;Exp by Accts" sheetId="70" r:id="rId62"/>
    <sheet name="C-2.1.B Oper Rev&amp;Exp by Accts" sheetId="71" r:id="rId63"/>
    <sheet name="C-2.2.A Total Co Accts Activ " sheetId="72" r:id="rId64"/>
    <sheet name="C-2.2.B Total Co Accts Activ " sheetId="73" r:id="rId65"/>
    <sheet name="Index D" sheetId="67" r:id="rId66"/>
    <sheet name="D-1.A (BP IS Adj Summary)" sheetId="213" r:id="rId67"/>
    <sheet name="D-1.B (FTP IS Adj Summary)" sheetId="195" r:id="rId68"/>
    <sheet name="D-2.1" sheetId="218" r:id="rId69"/>
    <sheet name="WPD-2.1.A BP Actual Rev. Adj." sheetId="223" r:id="rId70"/>
    <sheet name="D-2.2" sheetId="219" r:id="rId71"/>
    <sheet name="WPD-2.2.A BP Property Tax Adj." sheetId="224" r:id="rId72"/>
    <sheet name="D-2.3" sheetId="75" r:id="rId73"/>
    <sheet name="D-2.4" sheetId="76" r:id="rId74"/>
    <sheet name="WPD-2.4.A BP O&amp;M by Category" sheetId="157" r:id="rId75"/>
    <sheet name="WPD-2.4.B FTP O&amp;M by Category" sheetId="221" r:id="rId76"/>
    <sheet name="D-2.5" sheetId="77" r:id="rId77"/>
    <sheet name="D-2.6" sheetId="78" r:id="rId78"/>
    <sheet name="WPD-2.6.A Forfeited Disc. Adj." sheetId="199" r:id="rId79"/>
    <sheet name="WPD-2.6.B Tracker Expense Adj" sheetId="166" r:id="rId80"/>
    <sheet name="WPD-2.6.C ASC 712 Adj" sheetId="165" r:id="rId81"/>
    <sheet name="WPD-2.6.D(1) Uncollectible Exp" sheetId="186" r:id="rId82"/>
    <sheet name="WPD-2.6.D(2) Uncollectible Rate" sheetId="187" r:id="rId83"/>
    <sheet name="WPD-2.6.D(3) Uncoll. GC Rev Adj" sheetId="173" r:id="rId84"/>
    <sheet name="WPD-2.6.E Corporate Insurance" sheetId="212" r:id="rId85"/>
    <sheet name="WPD-2.6.F Rate Case Exp Adj" sheetId="163" r:id="rId86"/>
    <sheet name="WPD-2.6.G CKY Direct Exclusions" sheetId="200" r:id="rId87"/>
    <sheet name="WPD-2.6.H NCSC Alloc Exclusions" sheetId="201" r:id="rId88"/>
    <sheet name="WPD-2.6.I Depr Amrt Expense" sheetId="203" r:id="rId89"/>
    <sheet name="WPD-2.6.J Property Tax" sheetId="167" r:id="rId90"/>
    <sheet name="Index E " sheetId="137" r:id="rId91"/>
    <sheet name="E-1.1 Fed &amp; State Inc Tax" sheetId="153" r:id="rId92"/>
    <sheet name="E-1.2 CWC Fed&amp;State Intrst Sync" sheetId="207" r:id="rId93"/>
    <sheet name="Index F" sheetId="85" r:id="rId94"/>
    <sheet name="F-1.A Corp Due &amp; Memberships" sheetId="86" r:id="rId95"/>
    <sheet name="F-1.B Corp Due &amp; Memberships" sheetId="225" r:id="rId96"/>
    <sheet name="F-1.C Corp Due &amp; Memberships" sheetId="226" r:id="rId97"/>
    <sheet name="F-2 Country Club Dues" sheetId="88" r:id="rId98"/>
    <sheet name="F-3.A Charitable Contributions" sheetId="87" r:id="rId99"/>
    <sheet name="F-3.B Charitable Contributions" sheetId="227" r:id="rId100"/>
    <sheet name="F-3.C Charitable Contributions" sheetId="228" r:id="rId101"/>
    <sheet name="F-4.A Cust. Serv.&amp;Sales Expense" sheetId="90" r:id="rId102"/>
    <sheet name="F-4.B Cust. Serv.&amp;Sales Expense" sheetId="229" r:id="rId103"/>
    <sheet name="F-4.C Cust. Serv.&amp;Sales Expense" sheetId="230" r:id="rId104"/>
    <sheet name="F-5.A Advertising" sheetId="139" r:id="rId105"/>
    <sheet name="F-5.B Advertising" sheetId="231" r:id="rId106"/>
    <sheet name="F-5.C Advertising" sheetId="232" r:id="rId107"/>
    <sheet name="F-6.A Professional Services Exp" sheetId="140" r:id="rId108"/>
    <sheet name="F-6.B Professional Services Exp" sheetId="233" r:id="rId109"/>
    <sheet name="F-6.C Professional Services Exp" sheetId="234" r:id="rId110"/>
    <sheet name="F-7.A Civic,Political Activ" sheetId="94" r:id="rId111"/>
    <sheet name="F-7.B Civic,Political Activ" sheetId="235" r:id="rId112"/>
    <sheet name="F-7.C Civic,Political Activ" sheetId="236" r:id="rId113"/>
    <sheet name="F-8.A Emp Recog &amp; Activities" sheetId="141" r:id="rId114"/>
    <sheet name="F-8.B Emp Recog &amp; Activities" sheetId="237" r:id="rId115"/>
    <sheet name="F-8.C Emp Recog &amp; Activities" sheetId="238" r:id="rId116"/>
    <sheet name="F-9 Rate Case Expense" sheetId="239" r:id="rId117"/>
    <sheet name="Index G" sheetId="96" r:id="rId118"/>
    <sheet name="G-1 Payroll Cost" sheetId="101" r:id="rId119"/>
    <sheet name="CONFIDENTIAL-G-2 Executive Comp" sheetId="149" r:id="rId120"/>
    <sheet name="Index H" sheetId="105" r:id="rId121"/>
    <sheet name="H-1 Gross Conversion Factor" sheetId="106" r:id="rId122"/>
    <sheet name="Index I" sheetId="107" r:id="rId123"/>
    <sheet name="I-1 Comp Income Statement" sheetId="108" r:id="rId124"/>
    <sheet name="I-2 Revenue Stats" sheetId="109" r:id="rId125"/>
    <sheet name="I-3 Sales Stats" sheetId="110" r:id="rId126"/>
    <sheet name="Index J" sheetId="111" r:id="rId127"/>
    <sheet name="J-1 Base Period Cost of Capital" sheetId="112" r:id="rId128"/>
    <sheet name="J-1 Cost of Capital Summary" sheetId="138" r:id="rId129"/>
    <sheet name="J-1.1, J-1.2 13 MO AVG WACC" sheetId="179" r:id="rId130"/>
    <sheet name="J-2" sheetId="176" r:id="rId131"/>
    <sheet name="J-3" sheetId="177" r:id="rId132"/>
    <sheet name="J-4" sheetId="178" r:id="rId133"/>
    <sheet name="Index K" sheetId="119" r:id="rId134"/>
    <sheet name="K - Comparative Financial Data" sheetId="120" r:id="rId135"/>
    <sheet name="Index L" sheetId="146" r:id="rId136"/>
    <sheet name="SCH L" sheetId="147" r:id="rId137"/>
    <sheet name="Index M" sheetId="148" r:id="rId138"/>
    <sheet name="SCH M" sheetId="240" r:id="rId139"/>
  </sheets>
  <definedNames>
    <definedName name="_xlnm.Print_Area" localSheetId="11">'A- Financial Summary'!$A$1:$F$39</definedName>
    <definedName name="_xlnm.Print_Area" localSheetId="13">'B-1 p.1 Summary (Base)'!$A$1:$J$38</definedName>
    <definedName name="_xlnm.Print_Area" localSheetId="27">'B-2.2 Proposed Adj (Forecast)'!$A$1:$O$18</definedName>
    <definedName name="_xlnm.Print_Area" localSheetId="28">'B-2.3 Base Adds, Ret, Transfers'!$A$1:$H$105</definedName>
    <definedName name="_xlnm.Print_Area" localSheetId="29">'B-2.3 Forecast Adds, Ret, Trans'!$A$1:$I$105</definedName>
    <definedName name="_xlnm.Print_Area" localSheetId="35">'B-2.6 Property Held (Forecast)'!$A$1:$L$17</definedName>
    <definedName name="_xlnm.Print_Area" localSheetId="44">'B-4 CWIP (In Service)'!$A$1:$N$53</definedName>
    <definedName name="_xlnm.Print_Area" localSheetId="45">'B-5 Working Capital (Base)'!$A$1:$L$24</definedName>
    <definedName name="_xlnm.Print_Area" localSheetId="46">'B-5 Working Capital (Forecast)'!$A$1:$L$24</definedName>
    <definedName name="_xlnm.Print_Area" localSheetId="60">'C-2 Adj Operating Income Sum'!$A$1:$Q$46</definedName>
    <definedName name="_xlnm.Print_Area" localSheetId="61">'C-2.1.A Oper Rev&amp;Exp by Accts'!$A$1:$G$159</definedName>
    <definedName name="_xlnm.Print_Area" localSheetId="62">'C-2.1.B Oper Rev&amp;Exp by Accts'!$A$1:$G$162</definedName>
    <definedName name="_xlnm.Print_Area" localSheetId="119">'CONFIDENTIAL-G-2 Executive Comp'!$A$1:$I$242</definedName>
    <definedName name="_xlnm.Print_Area" localSheetId="67">'D-1.B (FTP IS Adj Summary)'!$A$1:$R$145</definedName>
    <definedName name="_xlnm.Print_Area" localSheetId="68">'D-2.1'!$A$1:$S$43</definedName>
    <definedName name="_xlnm.Print_Area" localSheetId="72">'D-2.3'!$A$1:$T$120</definedName>
    <definedName name="_xlnm.Print_Area" localSheetId="76">'D-2.5'!$A$1:$U$23</definedName>
    <definedName name="_xlnm.Print_Area" localSheetId="94">'F-1.A Corp Due &amp; Memberships'!$A$1:$K$83</definedName>
    <definedName name="_xlnm.Print_Area" localSheetId="95">'F-1.B Corp Due &amp; Memberships'!$A$1:$K$67</definedName>
    <definedName name="_xlnm.Print_Area" localSheetId="96">'F-1.C Corp Due &amp; Memberships'!$A$1:$K$48</definedName>
    <definedName name="_xlnm.Print_Area" localSheetId="97">'F-2 Country Club Dues'!$A$1:$K$23</definedName>
    <definedName name="_xlnm.Print_Area" localSheetId="98">'F-3.A Charitable Contributions'!$A$1:$K$94</definedName>
    <definedName name="_xlnm.Print_Area" localSheetId="99">'F-3.B Charitable Contributions'!$A$1:$K$58</definedName>
    <definedName name="_xlnm.Print_Area" localSheetId="100">'F-3.C Charitable Contributions'!$A$1:$K$63</definedName>
    <definedName name="_xlnm.Print_Area" localSheetId="101">'F-4.A Cust. Serv.&amp;Sales Expense'!$A$1:$K$44</definedName>
    <definedName name="_xlnm.Print_Area" localSheetId="102">'F-4.B Cust. Serv.&amp;Sales Expense'!$A$1:$K$37</definedName>
    <definedName name="_xlnm.Print_Area" localSheetId="103">'F-4.C Cust. Serv.&amp;Sales Expense'!$A$1:$K$43</definedName>
    <definedName name="_xlnm.Print_Area" localSheetId="104">'F-5.A Advertising'!$A$1:$I$53</definedName>
    <definedName name="_xlnm.Print_Area" localSheetId="105">'F-5.B Advertising'!$A$1:$I$38</definedName>
    <definedName name="_xlnm.Print_Area" localSheetId="106">'F-5.C Advertising'!$A$1:$I$50</definedName>
    <definedName name="_xlnm.Print_Area" localSheetId="107">'F-6.A Professional Services Exp'!$A$1:$I$34</definedName>
    <definedName name="_xlnm.Print_Area" localSheetId="108">'F-6.B Professional Services Exp'!$A$1:$I$25</definedName>
    <definedName name="_xlnm.Print_Area" localSheetId="109">'F-6.C Professional Services Exp'!$A$1:$I$33</definedName>
    <definedName name="_xlnm.Print_Area" localSheetId="110">'F-7.A Civic,Political Activ'!$A$1:$I$28</definedName>
    <definedName name="_xlnm.Print_Area" localSheetId="111">'F-7.B Civic,Political Activ'!$A$1:$I$26</definedName>
    <definedName name="_xlnm.Print_Area" localSheetId="112">'F-7.C Civic,Political Activ'!$A$1:$I$27</definedName>
    <definedName name="_xlnm.Print_Area" localSheetId="113">'F-8.A Emp Recog &amp; Activities'!$A$1:$I$50</definedName>
    <definedName name="_xlnm.Print_Area" localSheetId="114">'F-8.B Emp Recog &amp; Activities'!$A$1:$I$48</definedName>
    <definedName name="_xlnm.Print_Area" localSheetId="115">'F-8.C Emp Recog &amp; Activities'!$A$1:$I$49</definedName>
    <definedName name="_xlnm.Print_Area" localSheetId="116">'F-9 Rate Case Expense'!$A$1:$H$37</definedName>
    <definedName name="_xlnm.Print_Area" localSheetId="0">'General Headers Index'!$A$1:$B$78</definedName>
    <definedName name="_xlnm.Print_Area" localSheetId="121">'H-1 Gross Conversion Factor'!$A$1:$I$34</definedName>
    <definedName name="_xlnm.Print_Area" localSheetId="124">'I-2 Revenue Stats'!$A$1:$L$63</definedName>
    <definedName name="_xlnm.Print_Area" localSheetId="125">'I-3 Sales Stats'!$A$1:$L$43</definedName>
    <definedName name="_xlnm.Print_Area" localSheetId="12">'Index B'!$A$1:$C$46</definedName>
    <definedName name="_xlnm.Print_Area" localSheetId="58">'Index C'!$A$1:$C$26</definedName>
    <definedName name="_xlnm.Print_Area" localSheetId="90">'Index E '!$A$1:$C$24</definedName>
    <definedName name="_xlnm.Print_Area" localSheetId="93">'Index F'!$A$1:$C$45</definedName>
    <definedName name="_xlnm.Print_Area" localSheetId="120">'Index H'!$A$1:$C$23</definedName>
    <definedName name="_xlnm.Print_Area" localSheetId="133">'Index K'!$A$1:$C$23</definedName>
    <definedName name="_xlnm.Print_Area" localSheetId="129">'J-1.1, J-1.2 13 MO AVG WACC'!$A$1:$M$25</definedName>
    <definedName name="_xlnm.Print_Area" localSheetId="130">'J-2'!$A$1:$J$36</definedName>
    <definedName name="_xlnm.Print_Area" localSheetId="20">'WPB-2.1.A 13 mo avg Forecast '!$A$1:$Q$101</definedName>
    <definedName name="_xlnm.Print_Area" localSheetId="19">'WPB-2.1.A Base Period'!$A$1:$O$101</definedName>
    <definedName name="_xlnm.Print_Area" localSheetId="21">'WPB-2.1.B Summary'!$A$1:$N$171</definedName>
    <definedName name="_xlnm.Print_Area" localSheetId="23">'WPB-2.1.D SMRP'!$A$1:$O$1654</definedName>
    <definedName name="_xlnm.Print_Area" localSheetId="75">'WPD-2.4.B FTP O&amp;M by Category'!$A$1:$O$53</definedName>
  </definedNames>
  <calcPr calcId="191029"/>
  <pivotCaches>
    <pivotCache cacheId="6" r:id="rId140"/>
    <pivotCache cacheId="7" r:id="rId1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2" i="73" l="1"/>
  <c r="F132" i="73"/>
  <c r="G132" i="73"/>
  <c r="H132" i="73"/>
  <c r="I132" i="73"/>
  <c r="J132" i="73"/>
  <c r="K132" i="73"/>
  <c r="L132" i="73"/>
  <c r="M132" i="73"/>
  <c r="N132" i="73"/>
  <c r="O132" i="73"/>
  <c r="D132" i="73"/>
  <c r="P128" i="73"/>
  <c r="A129" i="73"/>
  <c r="A128" i="73"/>
  <c r="E128" i="72"/>
  <c r="F128" i="72"/>
  <c r="G128" i="72"/>
  <c r="H128" i="72"/>
  <c r="I128" i="72"/>
  <c r="J128" i="72"/>
  <c r="K128" i="72"/>
  <c r="L128" i="72"/>
  <c r="M128" i="72"/>
  <c r="N128" i="72"/>
  <c r="O128" i="72"/>
  <c r="D128" i="72"/>
  <c r="P124" i="72"/>
  <c r="A125" i="72"/>
  <c r="A124" i="72"/>
  <c r="I9" i="240"/>
  <c r="A8" i="240"/>
  <c r="A4" i="240"/>
  <c r="A2" i="240"/>
  <c r="A1" i="240"/>
  <c r="H81" i="202" l="1"/>
  <c r="F81" i="202"/>
  <c r="A48" i="238" l="1"/>
  <c r="A49" i="238" s="1"/>
  <c r="A47" i="237"/>
  <c r="A48" i="237" s="1"/>
  <c r="A49" i="141"/>
  <c r="A50" i="141" s="1"/>
  <c r="A32" i="234"/>
  <c r="A33" i="234" s="1"/>
  <c r="A33" i="140"/>
  <c r="A34" i="140" s="1"/>
  <c r="A50" i="232"/>
  <c r="A38" i="231"/>
  <c r="A52" i="139"/>
  <c r="A53" i="139"/>
  <c r="A42" i="230"/>
  <c r="A43" i="230"/>
  <c r="A43" i="90"/>
  <c r="A44" i="90"/>
  <c r="A48" i="226"/>
  <c r="A66" i="225"/>
  <c r="A67" i="225" s="1"/>
  <c r="A82" i="86"/>
  <c r="A83" i="86" s="1"/>
  <c r="A43" i="237" l="1"/>
  <c r="A44" i="237" s="1"/>
  <c r="A45" i="237" s="1"/>
  <c r="A46" i="237" s="1"/>
  <c r="A27" i="234" l="1"/>
  <c r="A28" i="234" s="1"/>
  <c r="A29" i="234" s="1"/>
  <c r="A30" i="234" s="1"/>
  <c r="A31" i="234" s="1"/>
  <c r="A33" i="231"/>
  <c r="A34" i="231" s="1"/>
  <c r="A35" i="231" s="1"/>
  <c r="A36" i="231" s="1"/>
  <c r="A37" i="231" s="1"/>
  <c r="A38" i="230"/>
  <c r="A39" i="230" s="1"/>
  <c r="A40" i="230" s="1"/>
  <c r="A41" i="230" s="1"/>
  <c r="A39" i="90"/>
  <c r="A40" i="90" s="1"/>
  <c r="A41" i="90" s="1"/>
  <c r="A42" i="90" s="1"/>
  <c r="A44" i="226"/>
  <c r="A45" i="226" s="1"/>
  <c r="A46" i="226" s="1"/>
  <c r="A47" i="226" s="1"/>
  <c r="A78" i="86"/>
  <c r="A79" i="86" s="1"/>
  <c r="A80" i="86" s="1"/>
  <c r="A81" i="86" s="1"/>
  <c r="F51" i="37"/>
  <c r="F48" i="37"/>
  <c r="F42" i="37"/>
  <c r="F22" i="37"/>
  <c r="F53" i="37" s="1"/>
  <c r="D21" i="155" l="1"/>
  <c r="D19" i="155"/>
  <c r="K101" i="195"/>
  <c r="F14" i="200"/>
  <c r="F40" i="200"/>
  <c r="N9" i="202"/>
  <c r="H9" i="202"/>
  <c r="J9" i="202" s="1"/>
  <c r="K9" i="202" s="1"/>
  <c r="I9" i="202"/>
  <c r="F9" i="202"/>
  <c r="C9" i="202"/>
  <c r="A44" i="200"/>
  <c r="A42" i="200"/>
  <c r="A40" i="200"/>
  <c r="A38" i="200"/>
  <c r="A36" i="200"/>
  <c r="A34" i="200"/>
  <c r="A32" i="200"/>
  <c r="A30" i="200"/>
  <c r="A28" i="200"/>
  <c r="A26" i="200"/>
  <c r="A24" i="200"/>
  <c r="A22" i="200"/>
  <c r="A20" i="200"/>
  <c r="A18" i="200"/>
  <c r="A16" i="200"/>
  <c r="A14" i="200"/>
  <c r="G19" i="149"/>
  <c r="G20" i="149"/>
  <c r="G24" i="149"/>
  <c r="G25" i="149"/>
  <c r="G29" i="149"/>
  <c r="G30" i="149"/>
  <c r="G31" i="149"/>
  <c r="G38" i="149"/>
  <c r="G39" i="149"/>
  <c r="G43" i="149"/>
  <c r="G44" i="149"/>
  <c r="G48" i="149"/>
  <c r="G49" i="149"/>
  <c r="G50" i="149"/>
  <c r="G57" i="149"/>
  <c r="G58" i="149"/>
  <c r="G62" i="149"/>
  <c r="G63" i="149"/>
  <c r="G67" i="149"/>
  <c r="G68" i="149"/>
  <c r="G69" i="149"/>
  <c r="G99" i="149"/>
  <c r="G100" i="149"/>
  <c r="G104" i="149"/>
  <c r="G105" i="149"/>
  <c r="G109" i="149"/>
  <c r="G110" i="149"/>
  <c r="G111" i="149"/>
  <c r="G118" i="149"/>
  <c r="G119" i="149"/>
  <c r="G123" i="149"/>
  <c r="G124" i="149"/>
  <c r="G128" i="149"/>
  <c r="G129" i="149"/>
  <c r="G130" i="149"/>
  <c r="G137" i="149"/>
  <c r="G138" i="149"/>
  <c r="G142" i="149"/>
  <c r="G143" i="149"/>
  <c r="A43" i="42"/>
  <c r="L108" i="48" l="1"/>
  <c r="L109" i="48"/>
  <c r="L110" i="48"/>
  <c r="L111" i="48"/>
  <c r="L107" i="48"/>
  <c r="I108" i="48"/>
  <c r="I109" i="48"/>
  <c r="K109" i="48" s="1"/>
  <c r="I110" i="48"/>
  <c r="K110" i="48" s="1"/>
  <c r="G108" i="48"/>
  <c r="G109" i="48"/>
  <c r="G110" i="48"/>
  <c r="G111" i="48"/>
  <c r="I111" i="48" s="1"/>
  <c r="K111" i="48" s="1"/>
  <c r="G107" i="48"/>
  <c r="I107" i="48" s="1"/>
  <c r="K107" i="48" s="1"/>
  <c r="F108" i="48"/>
  <c r="F109" i="48"/>
  <c r="F110" i="48"/>
  <c r="F111" i="48"/>
  <c r="F107" i="48"/>
  <c r="G106" i="12"/>
  <c r="G107" i="12"/>
  <c r="G104" i="12"/>
  <c r="G103" i="12"/>
  <c r="J108" i="12"/>
  <c r="K107" i="12"/>
  <c r="K106" i="12"/>
  <c r="K104" i="12"/>
  <c r="I104" i="12"/>
  <c r="I105" i="12"/>
  <c r="G105" i="12" s="1"/>
  <c r="I106" i="12"/>
  <c r="I107" i="12"/>
  <c r="I103" i="12"/>
  <c r="K103" i="12" s="1"/>
  <c r="F104" i="12"/>
  <c r="F105" i="12"/>
  <c r="F106" i="12"/>
  <c r="F107" i="12"/>
  <c r="F103" i="12"/>
  <c r="F108" i="12" s="1"/>
  <c r="G4089" i="209"/>
  <c r="G3975" i="209"/>
  <c r="G3861" i="209"/>
  <c r="G3747" i="209"/>
  <c r="G3633" i="209"/>
  <c r="G3519" i="209"/>
  <c r="G3405" i="209"/>
  <c r="G3291" i="209"/>
  <c r="G3177" i="209"/>
  <c r="G3063" i="209"/>
  <c r="G2949" i="209"/>
  <c r="G2835" i="209"/>
  <c r="G2721" i="209"/>
  <c r="G2607" i="209"/>
  <c r="G2493" i="209"/>
  <c r="G2379" i="209"/>
  <c r="G2265" i="209"/>
  <c r="G2151" i="209"/>
  <c r="G2037" i="209"/>
  <c r="G1923" i="209"/>
  <c r="G1809" i="209"/>
  <c r="G1695" i="209"/>
  <c r="G1581" i="209"/>
  <c r="G1467" i="209"/>
  <c r="G1353" i="209"/>
  <c r="G1239" i="209"/>
  <c r="G1125" i="209"/>
  <c r="G1011" i="209"/>
  <c r="G897" i="209"/>
  <c r="G783" i="209"/>
  <c r="G669" i="209"/>
  <c r="G555" i="209"/>
  <c r="G441" i="209"/>
  <c r="G327" i="209"/>
  <c r="G213" i="209"/>
  <c r="G99" i="209"/>
  <c r="E678" i="209"/>
  <c r="L112" i="48" l="1"/>
  <c r="F112" i="48"/>
  <c r="I112" i="48"/>
  <c r="K108" i="48"/>
  <c r="K112" i="48" s="1"/>
  <c r="G108" i="12"/>
  <c r="I108" i="12"/>
  <c r="K105" i="12"/>
  <c r="K108" i="12" s="1"/>
  <c r="G112" i="48"/>
  <c r="P95" i="44" l="1"/>
  <c r="P96" i="44"/>
  <c r="P98" i="44"/>
  <c r="P94" i="44"/>
  <c r="O95" i="44"/>
  <c r="O96" i="44"/>
  <c r="O98" i="44"/>
  <c r="O94" i="44"/>
  <c r="N95" i="44"/>
  <c r="N96" i="44"/>
  <c r="N98" i="44"/>
  <c r="N94" i="44"/>
  <c r="M95" i="44"/>
  <c r="M96" i="44"/>
  <c r="M98" i="44"/>
  <c r="M94" i="44"/>
  <c r="L95" i="44"/>
  <c r="L96" i="44"/>
  <c r="L98" i="44"/>
  <c r="L94" i="44"/>
  <c r="K95" i="44"/>
  <c r="K96" i="44"/>
  <c r="K98" i="44"/>
  <c r="K94" i="44"/>
  <c r="J95" i="44"/>
  <c r="J96" i="44"/>
  <c r="J98" i="44"/>
  <c r="J94" i="44"/>
  <c r="I95" i="44"/>
  <c r="I96" i="44"/>
  <c r="I98" i="44"/>
  <c r="I94" i="44"/>
  <c r="H95" i="44"/>
  <c r="H96" i="44"/>
  <c r="H98" i="44"/>
  <c r="H94" i="44"/>
  <c r="G95" i="44"/>
  <c r="G96" i="44"/>
  <c r="G98" i="44"/>
  <c r="G94" i="44"/>
  <c r="F95" i="44"/>
  <c r="F96" i="44"/>
  <c r="F98" i="44"/>
  <c r="F94" i="44"/>
  <c r="E95" i="44"/>
  <c r="E96" i="44"/>
  <c r="E98" i="44"/>
  <c r="E94" i="44"/>
  <c r="D95" i="44"/>
  <c r="D96" i="44"/>
  <c r="D98" i="44"/>
  <c r="D94" i="44"/>
  <c r="F138" i="207" l="1"/>
  <c r="F137" i="207"/>
  <c r="G134" i="207"/>
  <c r="F134" i="207"/>
  <c r="G114" i="207"/>
  <c r="F114" i="207"/>
  <c r="G79" i="207"/>
  <c r="F79" i="207"/>
  <c r="G59" i="207"/>
  <c r="F59" i="207"/>
  <c r="G39" i="207"/>
  <c r="F39" i="207" l="1"/>
  <c r="A3" i="167"/>
  <c r="A3" i="203"/>
  <c r="A3" i="201"/>
  <c r="A3" i="200"/>
  <c r="A3" i="163"/>
  <c r="A3" i="212"/>
  <c r="A3" i="173"/>
  <c r="A3" i="187"/>
  <c r="A3" i="186"/>
  <c r="A3" i="165"/>
  <c r="A3" i="166"/>
  <c r="A3" i="199"/>
  <c r="A3" i="78"/>
  <c r="A3" i="77"/>
  <c r="A3" i="221"/>
  <c r="A3" i="157"/>
  <c r="A3" i="76"/>
  <c r="A3" i="75"/>
  <c r="A3" i="224"/>
  <c r="A3" i="219"/>
  <c r="A3" i="223"/>
  <c r="A3" i="218"/>
  <c r="A3" i="195"/>
  <c r="A3" i="213"/>
  <c r="A3" i="239"/>
  <c r="A3" i="229"/>
  <c r="Q105" i="78"/>
  <c r="Q99" i="78"/>
  <c r="Q93" i="78"/>
  <c r="Q86" i="78"/>
  <c r="Q79" i="78"/>
  <c r="Q73" i="78"/>
  <c r="Q67" i="78"/>
  <c r="Q50" i="78"/>
  <c r="Q45" i="78"/>
  <c r="Q40" i="78"/>
  <c r="Q35" i="78"/>
  <c r="Q30" i="78"/>
  <c r="Q25" i="78"/>
  <c r="Q20" i="78"/>
  <c r="D50" i="167"/>
  <c r="D37" i="167"/>
  <c r="D16" i="167"/>
  <c r="D15" i="167"/>
  <c r="D23" i="167"/>
  <c r="D22" i="167"/>
  <c r="D20" i="224"/>
  <c r="V133" i="76"/>
  <c r="V127" i="76"/>
  <c r="V121" i="76"/>
  <c r="V114" i="76"/>
  <c r="V108" i="76"/>
  <c r="V100" i="76"/>
  <c r="V80" i="76"/>
  <c r="V74" i="76"/>
  <c r="V68" i="76"/>
  <c r="V62" i="76"/>
  <c r="V55" i="76"/>
  <c r="V49" i="76"/>
  <c r="V42" i="76"/>
  <c r="V35" i="76"/>
  <c r="V29" i="76"/>
  <c r="V22" i="76"/>
  <c r="R69" i="75"/>
  <c r="R63" i="75"/>
  <c r="R51" i="75"/>
  <c r="S27" i="219"/>
  <c r="S21" i="219"/>
  <c r="Q41" i="218"/>
  <c r="Q35" i="218"/>
  <c r="Q30" i="218"/>
  <c r="Q25" i="218"/>
  <c r="Q20" i="218"/>
  <c r="A3" i="149"/>
  <c r="A3" i="101"/>
  <c r="A3" i="106"/>
  <c r="A3" i="110"/>
  <c r="A3" i="109"/>
  <c r="A3" i="108"/>
  <c r="A3" i="179"/>
  <c r="A3" i="178"/>
  <c r="A3" i="177"/>
  <c r="A3" i="176"/>
  <c r="A3" i="138"/>
  <c r="A3" i="112"/>
  <c r="A3" i="120"/>
  <c r="A84" i="207"/>
  <c r="A3" i="207"/>
  <c r="A155" i="153"/>
  <c r="A77" i="153"/>
  <c r="A3" i="153"/>
  <c r="D15" i="203"/>
  <c r="D19" i="163"/>
  <c r="D15" i="212"/>
  <c r="D27" i="186"/>
  <c r="D20" i="186"/>
  <c r="D22" i="166"/>
  <c r="D15" i="166"/>
  <c r="D15" i="199"/>
  <c r="A3" i="46"/>
  <c r="A3" i="2"/>
  <c r="A3" i="45"/>
  <c r="A3" i="1"/>
  <c r="A3" i="73"/>
  <c r="A3" i="72"/>
  <c r="A3" i="71"/>
  <c r="A3" i="70"/>
  <c r="A3" i="69"/>
  <c r="A3" i="68"/>
  <c r="A7" i="1" l="1"/>
  <c r="A10" i="64"/>
  <c r="A5" i="64"/>
  <c r="A4" i="64"/>
  <c r="A3" i="64"/>
  <c r="A2" i="64"/>
  <c r="A1" i="64"/>
  <c r="Q14" i="219"/>
  <c r="Q15" i="219"/>
  <c r="P130" i="73"/>
  <c r="P129" i="73"/>
  <c r="G151" i="71"/>
  <c r="G99" i="71"/>
  <c r="G43" i="71"/>
  <c r="G148" i="70"/>
  <c r="G96" i="70"/>
  <c r="G38" i="70"/>
  <c r="E24" i="64" l="1"/>
  <c r="G46" i="217"/>
  <c r="G45" i="217"/>
  <c r="G44" i="217"/>
  <c r="G43" i="217"/>
  <c r="G42" i="217"/>
  <c r="G41" i="217"/>
  <c r="G40" i="217"/>
  <c r="G38" i="217"/>
  <c r="G37" i="217"/>
  <c r="G36" i="217"/>
  <c r="G35" i="217"/>
  <c r="G31" i="217"/>
  <c r="G32" i="217"/>
  <c r="G30" i="217"/>
  <c r="G29" i="217"/>
  <c r="G28" i="217"/>
  <c r="G27" i="217"/>
  <c r="G26" i="217"/>
  <c r="G25" i="217"/>
  <c r="G23" i="217"/>
  <c r="G22" i="217"/>
  <c r="G20" i="217"/>
  <c r="G19" i="217"/>
  <c r="G18" i="217"/>
  <c r="G17" i="217"/>
  <c r="G14" i="217"/>
  <c r="G15" i="217"/>
  <c r="G21" i="217"/>
  <c r="G13" i="217"/>
  <c r="G12" i="217"/>
  <c r="A41" i="238" l="1"/>
  <c r="A42" i="238"/>
  <c r="A43" i="238"/>
  <c r="A44" i="238" s="1"/>
  <c r="A45" i="238" s="1"/>
  <c r="A46" i="238" s="1"/>
  <c r="A47" i="238" s="1"/>
  <c r="A40" i="237"/>
  <c r="A41" i="237"/>
  <c r="A42" i="237"/>
  <c r="A42" i="141"/>
  <c r="A43" i="141"/>
  <c r="A44" i="141"/>
  <c r="A45" i="141" s="1"/>
  <c r="A46" i="141" s="1"/>
  <c r="A47" i="141" s="1"/>
  <c r="A48" i="141" s="1"/>
  <c r="A25" i="236"/>
  <c r="A26" i="236"/>
  <c r="A27" i="236"/>
  <c r="I84" i="120"/>
  <c r="I88" i="120" s="1"/>
  <c r="J84" i="120"/>
  <c r="K84" i="120"/>
  <c r="K88" i="120" s="1"/>
  <c r="L84" i="120"/>
  <c r="M84" i="120"/>
  <c r="M86" i="120" s="1"/>
  <c r="N84" i="120"/>
  <c r="N86" i="120" s="1"/>
  <c r="O84" i="120"/>
  <c r="P84" i="120"/>
  <c r="Q84" i="120"/>
  <c r="Q88" i="120" s="1"/>
  <c r="R84" i="120"/>
  <c r="S84" i="120"/>
  <c r="S88" i="120" s="1"/>
  <c r="J88" i="120"/>
  <c r="R86" i="120"/>
  <c r="S86" i="120"/>
  <c r="I86" i="120"/>
  <c r="L86" i="120"/>
  <c r="O86" i="120"/>
  <c r="P86" i="120"/>
  <c r="L88" i="120"/>
  <c r="M88" i="120"/>
  <c r="O88" i="120"/>
  <c r="P88" i="120"/>
  <c r="A179" i="149"/>
  <c r="A180" i="149"/>
  <c r="A181" i="149"/>
  <c r="A182" i="149"/>
  <c r="A183" i="149"/>
  <c r="A184" i="149"/>
  <c r="A185" i="149"/>
  <c r="A186" i="149"/>
  <c r="A187" i="149"/>
  <c r="A188" i="149"/>
  <c r="A189" i="149"/>
  <c r="A190" i="149"/>
  <c r="A191" i="149"/>
  <c r="A192" i="149"/>
  <c r="A193" i="149"/>
  <c r="A194" i="149"/>
  <c r="A195" i="149"/>
  <c r="A196" i="149"/>
  <c r="A197" i="149"/>
  <c r="A198" i="149"/>
  <c r="A199" i="149"/>
  <c r="A200" i="149"/>
  <c r="A201" i="149"/>
  <c r="A202" i="149"/>
  <c r="A203" i="149"/>
  <c r="A204" i="149"/>
  <c r="A205" i="149"/>
  <c r="A206" i="149"/>
  <c r="A207" i="149"/>
  <c r="A208" i="149"/>
  <c r="A209" i="149"/>
  <c r="A210" i="149"/>
  <c r="A211" i="149"/>
  <c r="A212" i="149"/>
  <c r="A213" i="149"/>
  <c r="A214" i="149"/>
  <c r="A215" i="149"/>
  <c r="A216" i="149"/>
  <c r="A217" i="149"/>
  <c r="A218" i="149"/>
  <c r="A219" i="149"/>
  <c r="A220" i="149"/>
  <c r="A221" i="149"/>
  <c r="A222" i="149"/>
  <c r="A223" i="149"/>
  <c r="A224" i="149"/>
  <c r="A225" i="149"/>
  <c r="A226" i="149"/>
  <c r="A227" i="149"/>
  <c r="A228" i="149"/>
  <c r="A229" i="149"/>
  <c r="A230" i="149"/>
  <c r="A231" i="149"/>
  <c r="A232" i="149"/>
  <c r="A233" i="149"/>
  <c r="A178" i="149"/>
  <c r="A98" i="149"/>
  <c r="A99" i="149"/>
  <c r="A100" i="149"/>
  <c r="A101" i="149"/>
  <c r="A102" i="149"/>
  <c r="A103" i="149"/>
  <c r="A104" i="149"/>
  <c r="A105" i="149"/>
  <c r="A106" i="149"/>
  <c r="A107" i="149"/>
  <c r="A108" i="149"/>
  <c r="A109" i="149"/>
  <c r="A110" i="149"/>
  <c r="A111" i="149"/>
  <c r="A112" i="149"/>
  <c r="A113" i="149"/>
  <c r="A114" i="149"/>
  <c r="A115" i="149"/>
  <c r="A116" i="149"/>
  <c r="A117" i="149"/>
  <c r="A118" i="149"/>
  <c r="A119" i="149"/>
  <c r="A120" i="149"/>
  <c r="A121" i="149"/>
  <c r="A122" i="149"/>
  <c r="A123" i="149"/>
  <c r="A124" i="149"/>
  <c r="A125" i="149"/>
  <c r="A126" i="149"/>
  <c r="A127" i="149"/>
  <c r="A128" i="149"/>
  <c r="A129" i="149"/>
  <c r="A130" i="149"/>
  <c r="A131" i="149"/>
  <c r="A132" i="149"/>
  <c r="A133" i="149"/>
  <c r="A134" i="149"/>
  <c r="A135" i="149"/>
  <c r="A136" i="149"/>
  <c r="A137" i="149"/>
  <c r="A138" i="149"/>
  <c r="A139" i="149"/>
  <c r="A140" i="149"/>
  <c r="A141" i="149"/>
  <c r="A142" i="149"/>
  <c r="A143" i="149"/>
  <c r="A144" i="149"/>
  <c r="A145" i="149"/>
  <c r="A146" i="149"/>
  <c r="A147" i="149"/>
  <c r="A148" i="149"/>
  <c r="A149" i="149"/>
  <c r="A150" i="149"/>
  <c r="A151" i="149"/>
  <c r="A152" i="149"/>
  <c r="A97" i="149"/>
  <c r="A18" i="149"/>
  <c r="A19" i="149"/>
  <c r="A20" i="149"/>
  <c r="A21" i="149"/>
  <c r="A22" i="149"/>
  <c r="A23" i="149"/>
  <c r="A24" i="149"/>
  <c r="A25" i="149"/>
  <c r="A26" i="149"/>
  <c r="A27" i="149"/>
  <c r="A28" i="149"/>
  <c r="A29" i="149"/>
  <c r="A30" i="149"/>
  <c r="A31" i="149"/>
  <c r="A32" i="149"/>
  <c r="A33" i="149"/>
  <c r="A34" i="149"/>
  <c r="A35" i="149"/>
  <c r="A36" i="149"/>
  <c r="A37" i="149"/>
  <c r="A38" i="149"/>
  <c r="A39" i="149"/>
  <c r="A40" i="149"/>
  <c r="A41" i="149"/>
  <c r="A42" i="149"/>
  <c r="A43" i="149"/>
  <c r="A44" i="149"/>
  <c r="A45" i="149"/>
  <c r="A46" i="149"/>
  <c r="A47" i="149"/>
  <c r="A48" i="149"/>
  <c r="A49" i="149"/>
  <c r="A50" i="149"/>
  <c r="A51" i="149"/>
  <c r="A52" i="149"/>
  <c r="A53" i="149"/>
  <c r="A54" i="149"/>
  <c r="A55" i="149"/>
  <c r="A56" i="149"/>
  <c r="A57" i="149"/>
  <c r="A58" i="149"/>
  <c r="A59" i="149"/>
  <c r="A60" i="149"/>
  <c r="A61" i="149"/>
  <c r="A62" i="149"/>
  <c r="A63" i="149"/>
  <c r="A64" i="149"/>
  <c r="A65" i="149"/>
  <c r="A66" i="149"/>
  <c r="A67" i="149"/>
  <c r="A68" i="149"/>
  <c r="A69" i="149"/>
  <c r="A70" i="149"/>
  <c r="A71" i="149"/>
  <c r="A72" i="149"/>
  <c r="A17" i="149"/>
  <c r="O9" i="221"/>
  <c r="O8" i="221"/>
  <c r="O9" i="157"/>
  <c r="O8" i="157"/>
  <c r="F9" i="200"/>
  <c r="F8" i="200"/>
  <c r="E432" i="204"/>
  <c r="H432" i="204" s="1"/>
  <c r="E431" i="204"/>
  <c r="H431" i="204" s="1"/>
  <c r="E415" i="204"/>
  <c r="H415" i="204" s="1"/>
  <c r="H397" i="204"/>
  <c r="E397" i="204"/>
  <c r="N389" i="204"/>
  <c r="J389" i="204"/>
  <c r="J384" i="204"/>
  <c r="I384" i="204"/>
  <c r="O378" i="204"/>
  <c r="J378" i="204"/>
  <c r="P372" i="204"/>
  <c r="O372" i="204"/>
  <c r="I367" i="204"/>
  <c r="Q366" i="204"/>
  <c r="J361" i="204"/>
  <c r="I361" i="204"/>
  <c r="O356" i="204"/>
  <c r="J356" i="204"/>
  <c r="I356" i="204"/>
  <c r="Q350" i="204"/>
  <c r="P350" i="204"/>
  <c r="O350" i="204"/>
  <c r="J350" i="204"/>
  <c r="P346" i="204"/>
  <c r="Q344" i="204"/>
  <c r="P344" i="204"/>
  <c r="J5" i="204"/>
  <c r="K5" i="204" s="1"/>
  <c r="L5" i="204" s="1"/>
  <c r="M5" i="204" s="1"/>
  <c r="N5" i="204" s="1"/>
  <c r="O5" i="204" s="1"/>
  <c r="P5" i="204" s="1"/>
  <c r="Q5" i="204" s="1"/>
  <c r="R5" i="204" s="1"/>
  <c r="Q391" i="204"/>
  <c r="P391" i="204"/>
  <c r="O391" i="204"/>
  <c r="N391" i="204"/>
  <c r="K373" i="204"/>
  <c r="J383" i="204"/>
  <c r="I389" i="204"/>
  <c r="G881" i="204"/>
  <c r="H881" i="204" s="1"/>
  <c r="F480" i="204"/>
  <c r="H480" i="204" s="1"/>
  <c r="E440" i="204"/>
  <c r="H440" i="204" s="1"/>
  <c r="G3" i="204"/>
  <c r="F83" i="202"/>
  <c r="N78" i="202"/>
  <c r="N77" i="202"/>
  <c r="N76" i="202"/>
  <c r="N75" i="202"/>
  <c r="N74" i="202"/>
  <c r="N73" i="202"/>
  <c r="N72" i="202"/>
  <c r="N71" i="202"/>
  <c r="N70" i="202"/>
  <c r="N69" i="202"/>
  <c r="N68" i="202"/>
  <c r="N67" i="202"/>
  <c r="N66" i="202"/>
  <c r="I66" i="202"/>
  <c r="N65" i="202"/>
  <c r="N64" i="202"/>
  <c r="N63" i="202"/>
  <c r="I63" i="202"/>
  <c r="N62" i="202"/>
  <c r="N61" i="202"/>
  <c r="N60" i="202"/>
  <c r="N59" i="202"/>
  <c r="N58" i="202"/>
  <c r="I58" i="202"/>
  <c r="B58" i="202"/>
  <c r="B59" i="202" s="1"/>
  <c r="N57" i="202"/>
  <c r="N56" i="202"/>
  <c r="I56" i="202"/>
  <c r="N55" i="202"/>
  <c r="N54" i="202"/>
  <c r="I54" i="202"/>
  <c r="N53" i="202"/>
  <c r="N52" i="202"/>
  <c r="N51" i="202"/>
  <c r="N50" i="202"/>
  <c r="F50" i="202"/>
  <c r="N49" i="202"/>
  <c r="I49" i="202"/>
  <c r="N48" i="202"/>
  <c r="N47" i="202"/>
  <c r="N46" i="202"/>
  <c r="F46" i="202"/>
  <c r="N45" i="202"/>
  <c r="N44" i="202"/>
  <c r="N43" i="202"/>
  <c r="N42" i="202"/>
  <c r="N41" i="202"/>
  <c r="N40" i="202"/>
  <c r="F40" i="202"/>
  <c r="N39" i="202"/>
  <c r="N38" i="202"/>
  <c r="N37" i="202"/>
  <c r="I37" i="202"/>
  <c r="N36" i="202"/>
  <c r="I36" i="202"/>
  <c r="N35" i="202"/>
  <c r="I35" i="202"/>
  <c r="C36" i="202"/>
  <c r="C37" i="202" s="1"/>
  <c r="C38" i="202" s="1"/>
  <c r="C39" i="202" s="1"/>
  <c r="C40" i="202" s="1"/>
  <c r="C41" i="202" s="1"/>
  <c r="C42" i="202" s="1"/>
  <c r="C43" i="202" s="1"/>
  <c r="C44" i="202" s="1"/>
  <c r="C45" i="202" s="1"/>
  <c r="C46" i="202" s="1"/>
  <c r="C47" i="202" s="1"/>
  <c r="C48" i="202" s="1"/>
  <c r="C49" i="202" s="1"/>
  <c r="C50" i="202" s="1"/>
  <c r="C51" i="202" s="1"/>
  <c r="C52" i="202" s="1"/>
  <c r="C53" i="202" s="1"/>
  <c r="C54" i="202" s="1"/>
  <c r="C55" i="202" s="1"/>
  <c r="C56" i="202" s="1"/>
  <c r="C57" i="202" s="1"/>
  <c r="C58" i="202" s="1"/>
  <c r="C59" i="202" s="1"/>
  <c r="C60" i="202" s="1"/>
  <c r="C61" i="202" s="1"/>
  <c r="C62" i="202" s="1"/>
  <c r="C63" i="202" s="1"/>
  <c r="C64" i="202" s="1"/>
  <c r="C65" i="202" s="1"/>
  <c r="C66" i="202" s="1"/>
  <c r="C67" i="202" s="1"/>
  <c r="C68" i="202" s="1"/>
  <c r="C69" i="202" s="1"/>
  <c r="C70" i="202" s="1"/>
  <c r="C71" i="202" s="1"/>
  <c r="C72" i="202" s="1"/>
  <c r="C73" i="202" s="1"/>
  <c r="C74" i="202" s="1"/>
  <c r="C75" i="202" s="1"/>
  <c r="C76" i="202" s="1"/>
  <c r="C77" i="202" s="1"/>
  <c r="C78" i="202" s="1"/>
  <c r="N34" i="202"/>
  <c r="I34" i="202"/>
  <c r="N33" i="202"/>
  <c r="I33" i="202"/>
  <c r="N32" i="202"/>
  <c r="I32" i="202"/>
  <c r="N31" i="202"/>
  <c r="I31" i="202"/>
  <c r="N30" i="202"/>
  <c r="I30" i="202"/>
  <c r="N29" i="202"/>
  <c r="I29" i="202"/>
  <c r="N28" i="202"/>
  <c r="I28" i="202"/>
  <c r="N27" i="202"/>
  <c r="I27" i="202"/>
  <c r="C28" i="202"/>
  <c r="C29" i="202" s="1"/>
  <c r="C30" i="202" s="1"/>
  <c r="C31" i="202" s="1"/>
  <c r="N26" i="202"/>
  <c r="I26" i="202"/>
  <c r="N25" i="202"/>
  <c r="I25" i="202"/>
  <c r="N24" i="202"/>
  <c r="I24" i="202"/>
  <c r="D24" i="202"/>
  <c r="D25" i="202" s="1"/>
  <c r="D26" i="202" s="1"/>
  <c r="N23" i="202"/>
  <c r="I23" i="202"/>
  <c r="N22" i="202"/>
  <c r="I22" i="202"/>
  <c r="N21" i="202"/>
  <c r="I21" i="202"/>
  <c r="N20" i="202"/>
  <c r="I20" i="202"/>
  <c r="N19" i="202"/>
  <c r="I19" i="202"/>
  <c r="N18" i="202"/>
  <c r="F18" i="202"/>
  <c r="F80" i="202" s="1"/>
  <c r="N17" i="202"/>
  <c r="I17" i="202"/>
  <c r="N16" i="202"/>
  <c r="I16" i="202"/>
  <c r="N15" i="202"/>
  <c r="I15" i="202"/>
  <c r="N14" i="202"/>
  <c r="I14" i="202"/>
  <c r="N13" i="202"/>
  <c r="F13" i="202"/>
  <c r="I13" i="202" s="1"/>
  <c r="N12" i="202"/>
  <c r="I12" i="202"/>
  <c r="N11" i="202"/>
  <c r="I11" i="202"/>
  <c r="N10" i="202"/>
  <c r="I10" i="202"/>
  <c r="C11" i="202"/>
  <c r="N8" i="202"/>
  <c r="I8" i="202"/>
  <c r="N7" i="202"/>
  <c r="I7" i="202"/>
  <c r="N6" i="202"/>
  <c r="I6" i="202"/>
  <c r="N5" i="202"/>
  <c r="I5" i="202"/>
  <c r="N4" i="202"/>
  <c r="I4" i="202"/>
  <c r="F4" i="202"/>
  <c r="N3" i="202"/>
  <c r="I3" i="202"/>
  <c r="H3" i="202"/>
  <c r="C4" i="202"/>
  <c r="C5" i="202" s="1"/>
  <c r="C6" i="202" s="1"/>
  <c r="F1718" i="216"/>
  <c r="E1718" i="216"/>
  <c r="D1717" i="216"/>
  <c r="C1717" i="216"/>
  <c r="D1716" i="216"/>
  <c r="C1716" i="216"/>
  <c r="D1715" i="216"/>
  <c r="C1715" i="216"/>
  <c r="D1714" i="216"/>
  <c r="C1714" i="216"/>
  <c r="D1713" i="216"/>
  <c r="C1713" i="216"/>
  <c r="D1712" i="216"/>
  <c r="C1712" i="216"/>
  <c r="D1711" i="216"/>
  <c r="C1711" i="216"/>
  <c r="D1710" i="216"/>
  <c r="C1710" i="216"/>
  <c r="D1709" i="216"/>
  <c r="C1709" i="216"/>
  <c r="D1708" i="216"/>
  <c r="C1708" i="216"/>
  <c r="D1707" i="216"/>
  <c r="C1707" i="216"/>
  <c r="D1706" i="216"/>
  <c r="C1706" i="216"/>
  <c r="D1705" i="216"/>
  <c r="C1705" i="216"/>
  <c r="D1704" i="216"/>
  <c r="C1704" i="216"/>
  <c r="D1703" i="216"/>
  <c r="C1703" i="216"/>
  <c r="D1702" i="216"/>
  <c r="C1702" i="216"/>
  <c r="D1701" i="216"/>
  <c r="C1701" i="216"/>
  <c r="D1700" i="216"/>
  <c r="C1700" i="216"/>
  <c r="D1699" i="216"/>
  <c r="C1699" i="216"/>
  <c r="D1698" i="216"/>
  <c r="C1698" i="216"/>
  <c r="D1697" i="216"/>
  <c r="C1697" i="216"/>
  <c r="D1696" i="216"/>
  <c r="C1696" i="216"/>
  <c r="D1695" i="216"/>
  <c r="C1695" i="216"/>
  <c r="D1694" i="216"/>
  <c r="C1694" i="216"/>
  <c r="D1693" i="216"/>
  <c r="C1693" i="216"/>
  <c r="D1692" i="216"/>
  <c r="C1692" i="216"/>
  <c r="D1691" i="216"/>
  <c r="C1691" i="216"/>
  <c r="D1690" i="216"/>
  <c r="C1690" i="216"/>
  <c r="D1689" i="216"/>
  <c r="C1689" i="216"/>
  <c r="D1688" i="216"/>
  <c r="C1688" i="216"/>
  <c r="D1687" i="216"/>
  <c r="C1687" i="216"/>
  <c r="D1686" i="216"/>
  <c r="C1686" i="216"/>
  <c r="D1685" i="216"/>
  <c r="C1685" i="216"/>
  <c r="D1684" i="216"/>
  <c r="C1684" i="216"/>
  <c r="D1683" i="216"/>
  <c r="C1683" i="216"/>
  <c r="D1682" i="216"/>
  <c r="C1682" i="216"/>
  <c r="D1681" i="216"/>
  <c r="C1681" i="216"/>
  <c r="D1680" i="216"/>
  <c r="C1680" i="216"/>
  <c r="D1679" i="216"/>
  <c r="C1679" i="216"/>
  <c r="D1678" i="216"/>
  <c r="C1678" i="216"/>
  <c r="D1677" i="216"/>
  <c r="C1677" i="216"/>
  <c r="D1676" i="216"/>
  <c r="C1676" i="216"/>
  <c r="D1675" i="216"/>
  <c r="C1675" i="216"/>
  <c r="D1674" i="216"/>
  <c r="C1674" i="216"/>
  <c r="D1673" i="216"/>
  <c r="C1673" i="216"/>
  <c r="D1672" i="216"/>
  <c r="C1672" i="216"/>
  <c r="D1671" i="216"/>
  <c r="C1671" i="216"/>
  <c r="D1670" i="216"/>
  <c r="C1670" i="216"/>
  <c r="D1669" i="216"/>
  <c r="C1669" i="216"/>
  <c r="F1668" i="216"/>
  <c r="E1668" i="216"/>
  <c r="D1667" i="216"/>
  <c r="C1667" i="216"/>
  <c r="D1666" i="216"/>
  <c r="C1666" i="216"/>
  <c r="D1665" i="216"/>
  <c r="C1665" i="216"/>
  <c r="D1664" i="216"/>
  <c r="C1664" i="216"/>
  <c r="D1663" i="216"/>
  <c r="C1663" i="216"/>
  <c r="D1662" i="216"/>
  <c r="C1662" i="216"/>
  <c r="D1661" i="216"/>
  <c r="C1661" i="216"/>
  <c r="D1660" i="216"/>
  <c r="C1660" i="216"/>
  <c r="D1659" i="216"/>
  <c r="C1659" i="216"/>
  <c r="D1658" i="216"/>
  <c r="C1658" i="216"/>
  <c r="D1657" i="216"/>
  <c r="C1657" i="216"/>
  <c r="D1656" i="216"/>
  <c r="C1656" i="216"/>
  <c r="D1655" i="216"/>
  <c r="C1655" i="216"/>
  <c r="D1654" i="216"/>
  <c r="C1654" i="216"/>
  <c r="D1653" i="216"/>
  <c r="C1653" i="216"/>
  <c r="D1652" i="216"/>
  <c r="C1652" i="216"/>
  <c r="D1651" i="216"/>
  <c r="C1651" i="216"/>
  <c r="D1650" i="216"/>
  <c r="C1650" i="216"/>
  <c r="D1649" i="216"/>
  <c r="C1649" i="216"/>
  <c r="D1648" i="216"/>
  <c r="C1648" i="216"/>
  <c r="D1647" i="216"/>
  <c r="C1647" i="216"/>
  <c r="D1646" i="216"/>
  <c r="C1646" i="216"/>
  <c r="D1645" i="216"/>
  <c r="C1645" i="216"/>
  <c r="D1644" i="216"/>
  <c r="C1644" i="216"/>
  <c r="D1643" i="216"/>
  <c r="C1643" i="216"/>
  <c r="D1642" i="216"/>
  <c r="C1642" i="216"/>
  <c r="D1641" i="216"/>
  <c r="C1641" i="216"/>
  <c r="D1640" i="216"/>
  <c r="C1640" i="216"/>
  <c r="D1639" i="216"/>
  <c r="C1639" i="216"/>
  <c r="D1638" i="216"/>
  <c r="C1638" i="216"/>
  <c r="D1637" i="216"/>
  <c r="C1637" i="216"/>
  <c r="D1636" i="216"/>
  <c r="C1636" i="216"/>
  <c r="D1635" i="216"/>
  <c r="C1635" i="216"/>
  <c r="D1634" i="216"/>
  <c r="C1634" i="216"/>
  <c r="D1633" i="216"/>
  <c r="C1633" i="216"/>
  <c r="D1632" i="216"/>
  <c r="C1632" i="216"/>
  <c r="D1631" i="216"/>
  <c r="C1631" i="216"/>
  <c r="D1630" i="216"/>
  <c r="C1630" i="216"/>
  <c r="D1629" i="216"/>
  <c r="C1629" i="216"/>
  <c r="D1628" i="216"/>
  <c r="C1628" i="216"/>
  <c r="D1627" i="216"/>
  <c r="C1627" i="216"/>
  <c r="D1626" i="216"/>
  <c r="C1626" i="216"/>
  <c r="D1625" i="216"/>
  <c r="C1625" i="216"/>
  <c r="D1624" i="216"/>
  <c r="C1624" i="216"/>
  <c r="D1623" i="216"/>
  <c r="C1623" i="216"/>
  <c r="D1622" i="216"/>
  <c r="C1622" i="216"/>
  <c r="D1621" i="216"/>
  <c r="C1621" i="216"/>
  <c r="F1620" i="216"/>
  <c r="E1620" i="216"/>
  <c r="D1619" i="216"/>
  <c r="C1619" i="216"/>
  <c r="D1618" i="216"/>
  <c r="C1618" i="216"/>
  <c r="D1617" i="216"/>
  <c r="C1617" i="216"/>
  <c r="D1616" i="216"/>
  <c r="C1616" i="216"/>
  <c r="D1615" i="216"/>
  <c r="C1615" i="216"/>
  <c r="D1614" i="216"/>
  <c r="C1614" i="216"/>
  <c r="D1613" i="216"/>
  <c r="C1613" i="216"/>
  <c r="D1612" i="216"/>
  <c r="C1612" i="216"/>
  <c r="D1611" i="216"/>
  <c r="C1611" i="216"/>
  <c r="D1610" i="216"/>
  <c r="C1610" i="216"/>
  <c r="D1609" i="216"/>
  <c r="C1609" i="216"/>
  <c r="D1608" i="216"/>
  <c r="C1608" i="216"/>
  <c r="D1607" i="216"/>
  <c r="C1607" i="216"/>
  <c r="D1606" i="216"/>
  <c r="C1606" i="216"/>
  <c r="D1605" i="216"/>
  <c r="C1605" i="216"/>
  <c r="D1604" i="216"/>
  <c r="C1604" i="216"/>
  <c r="D1603" i="216"/>
  <c r="C1603" i="216"/>
  <c r="D1602" i="216"/>
  <c r="C1602" i="216"/>
  <c r="D1601" i="216"/>
  <c r="C1601" i="216"/>
  <c r="D1600" i="216"/>
  <c r="C1600" i="216"/>
  <c r="D1599" i="216"/>
  <c r="C1599" i="216"/>
  <c r="D1598" i="216"/>
  <c r="C1598" i="216"/>
  <c r="D1597" i="216"/>
  <c r="C1597" i="216"/>
  <c r="D1596" i="216"/>
  <c r="C1596" i="216"/>
  <c r="D1595" i="216"/>
  <c r="C1595" i="216"/>
  <c r="D1594" i="216"/>
  <c r="C1594" i="216"/>
  <c r="D1593" i="216"/>
  <c r="C1593" i="216"/>
  <c r="D1592" i="216"/>
  <c r="C1592" i="216"/>
  <c r="D1591" i="216"/>
  <c r="C1591" i="216"/>
  <c r="D1590" i="216"/>
  <c r="C1590" i="216"/>
  <c r="D1589" i="216"/>
  <c r="C1589" i="216"/>
  <c r="D1588" i="216"/>
  <c r="C1588" i="216"/>
  <c r="D1587" i="216"/>
  <c r="C1587" i="216"/>
  <c r="D1586" i="216"/>
  <c r="C1586" i="216"/>
  <c r="D1585" i="216"/>
  <c r="C1585" i="216"/>
  <c r="D1584" i="216"/>
  <c r="C1584" i="216"/>
  <c r="D1583" i="216"/>
  <c r="C1583" i="216"/>
  <c r="D1582" i="216"/>
  <c r="C1582" i="216"/>
  <c r="D1581" i="216"/>
  <c r="C1581" i="216"/>
  <c r="D1580" i="216"/>
  <c r="C1580" i="216"/>
  <c r="D1579" i="216"/>
  <c r="C1579" i="216"/>
  <c r="D1578" i="216"/>
  <c r="C1578" i="216"/>
  <c r="D1577" i="216"/>
  <c r="C1577" i="216"/>
  <c r="D1576" i="216"/>
  <c r="C1576" i="216"/>
  <c r="D1575" i="216"/>
  <c r="C1575" i="216"/>
  <c r="D1574" i="216"/>
  <c r="C1574" i="216"/>
  <c r="D1573" i="216"/>
  <c r="C1573" i="216"/>
  <c r="F1572" i="216"/>
  <c r="E1572" i="216"/>
  <c r="D1571" i="216"/>
  <c r="C1571" i="216"/>
  <c r="D1570" i="216"/>
  <c r="C1570" i="216"/>
  <c r="D1569" i="216"/>
  <c r="C1569" i="216"/>
  <c r="D1568" i="216"/>
  <c r="C1568" i="216"/>
  <c r="D1567" i="216"/>
  <c r="C1567" i="216"/>
  <c r="D1566" i="216"/>
  <c r="C1566" i="216"/>
  <c r="D1565" i="216"/>
  <c r="C1565" i="216"/>
  <c r="D1564" i="216"/>
  <c r="C1564" i="216"/>
  <c r="D1563" i="216"/>
  <c r="C1563" i="216"/>
  <c r="D1562" i="216"/>
  <c r="C1562" i="216"/>
  <c r="D1561" i="216"/>
  <c r="C1561" i="216"/>
  <c r="D1560" i="216"/>
  <c r="C1560" i="216"/>
  <c r="D1559" i="216"/>
  <c r="C1559" i="216"/>
  <c r="D1558" i="216"/>
  <c r="C1558" i="216"/>
  <c r="D1557" i="216"/>
  <c r="C1557" i="216"/>
  <c r="D1556" i="216"/>
  <c r="C1556" i="216"/>
  <c r="D1555" i="216"/>
  <c r="C1555" i="216"/>
  <c r="D1554" i="216"/>
  <c r="C1554" i="216"/>
  <c r="D1553" i="216"/>
  <c r="C1553" i="216"/>
  <c r="D1552" i="216"/>
  <c r="C1552" i="216"/>
  <c r="D1551" i="216"/>
  <c r="C1551" i="216"/>
  <c r="D1550" i="216"/>
  <c r="C1550" i="216"/>
  <c r="D1549" i="216"/>
  <c r="C1549" i="216"/>
  <c r="D1548" i="216"/>
  <c r="C1548" i="216"/>
  <c r="D1547" i="216"/>
  <c r="C1547" i="216"/>
  <c r="D1546" i="216"/>
  <c r="C1546" i="216"/>
  <c r="D1545" i="216"/>
  <c r="C1545" i="216"/>
  <c r="D1544" i="216"/>
  <c r="C1544" i="216"/>
  <c r="D1543" i="216"/>
  <c r="C1543" i="216"/>
  <c r="D1542" i="216"/>
  <c r="C1542" i="216"/>
  <c r="D1541" i="216"/>
  <c r="C1541" i="216"/>
  <c r="D1540" i="216"/>
  <c r="C1540" i="216"/>
  <c r="D1539" i="216"/>
  <c r="C1539" i="216"/>
  <c r="D1538" i="216"/>
  <c r="C1538" i="216"/>
  <c r="D1537" i="216"/>
  <c r="C1537" i="216"/>
  <c r="D1536" i="216"/>
  <c r="C1536" i="216"/>
  <c r="D1535" i="216"/>
  <c r="C1535" i="216"/>
  <c r="D1534" i="216"/>
  <c r="C1534" i="216"/>
  <c r="D1533" i="216"/>
  <c r="C1533" i="216"/>
  <c r="D1532" i="216"/>
  <c r="C1532" i="216"/>
  <c r="D1531" i="216"/>
  <c r="C1531" i="216"/>
  <c r="D1530" i="216"/>
  <c r="C1530" i="216"/>
  <c r="D1529" i="216"/>
  <c r="C1529" i="216"/>
  <c r="D1528" i="216"/>
  <c r="C1528" i="216"/>
  <c r="D1527" i="216"/>
  <c r="C1527" i="216"/>
  <c r="D1526" i="216"/>
  <c r="C1526" i="216"/>
  <c r="D1525" i="216"/>
  <c r="C1525" i="216"/>
  <c r="F1524" i="216"/>
  <c r="E1524" i="216"/>
  <c r="D1523" i="216"/>
  <c r="C1523" i="216"/>
  <c r="D1522" i="216"/>
  <c r="C1522" i="216"/>
  <c r="D1521" i="216"/>
  <c r="C1521" i="216"/>
  <c r="D1520" i="216"/>
  <c r="C1520" i="216"/>
  <c r="D1519" i="216"/>
  <c r="C1519" i="216"/>
  <c r="D1518" i="216"/>
  <c r="C1518" i="216"/>
  <c r="D1517" i="216"/>
  <c r="C1517" i="216"/>
  <c r="D1516" i="216"/>
  <c r="C1516" i="216"/>
  <c r="D1515" i="216"/>
  <c r="C1515" i="216"/>
  <c r="D1514" i="216"/>
  <c r="C1514" i="216"/>
  <c r="D1513" i="216"/>
  <c r="C1513" i="216"/>
  <c r="D1512" i="216"/>
  <c r="C1512" i="216"/>
  <c r="D1511" i="216"/>
  <c r="C1511" i="216"/>
  <c r="D1510" i="216"/>
  <c r="C1510" i="216"/>
  <c r="D1509" i="216"/>
  <c r="C1509" i="216"/>
  <c r="D1508" i="216"/>
  <c r="C1508" i="216"/>
  <c r="D1507" i="216"/>
  <c r="C1507" i="216"/>
  <c r="D1506" i="216"/>
  <c r="C1506" i="216"/>
  <c r="D1505" i="216"/>
  <c r="C1505" i="216"/>
  <c r="D1504" i="216"/>
  <c r="C1504" i="216"/>
  <c r="D1503" i="216"/>
  <c r="C1503" i="216"/>
  <c r="D1502" i="216"/>
  <c r="C1502" i="216"/>
  <c r="D1501" i="216"/>
  <c r="C1501" i="216"/>
  <c r="D1500" i="216"/>
  <c r="C1500" i="216"/>
  <c r="D1499" i="216"/>
  <c r="C1499" i="216"/>
  <c r="D1498" i="216"/>
  <c r="C1498" i="216"/>
  <c r="D1497" i="216"/>
  <c r="C1497" i="216"/>
  <c r="D1496" i="216"/>
  <c r="C1496" i="216"/>
  <c r="D1495" i="216"/>
  <c r="C1495" i="216"/>
  <c r="D1494" i="216"/>
  <c r="C1494" i="216"/>
  <c r="D1493" i="216"/>
  <c r="C1493" i="216"/>
  <c r="D1492" i="216"/>
  <c r="C1492" i="216"/>
  <c r="D1491" i="216"/>
  <c r="C1491" i="216"/>
  <c r="D1490" i="216"/>
  <c r="C1490" i="216"/>
  <c r="D1489" i="216"/>
  <c r="C1489" i="216"/>
  <c r="D1488" i="216"/>
  <c r="C1488" i="216"/>
  <c r="D1487" i="216"/>
  <c r="C1487" i="216"/>
  <c r="D1486" i="216"/>
  <c r="C1486" i="216"/>
  <c r="D1485" i="216"/>
  <c r="C1485" i="216"/>
  <c r="D1484" i="216"/>
  <c r="C1484" i="216"/>
  <c r="D1483" i="216"/>
  <c r="C1483" i="216"/>
  <c r="D1482" i="216"/>
  <c r="C1482" i="216"/>
  <c r="D1481" i="216"/>
  <c r="C1481" i="216"/>
  <c r="D1480" i="216"/>
  <c r="C1480" i="216"/>
  <c r="D1479" i="216"/>
  <c r="C1479" i="216"/>
  <c r="D1478" i="216"/>
  <c r="C1478" i="216"/>
  <c r="D1477" i="216"/>
  <c r="C1477" i="216"/>
  <c r="D1476" i="216"/>
  <c r="C1476" i="216"/>
  <c r="F1475" i="216"/>
  <c r="E1475" i="216"/>
  <c r="D1474" i="216"/>
  <c r="C1474" i="216"/>
  <c r="D1473" i="216"/>
  <c r="C1473" i="216"/>
  <c r="D1472" i="216"/>
  <c r="C1472" i="216"/>
  <c r="D1471" i="216"/>
  <c r="C1471" i="216"/>
  <c r="D1470" i="216"/>
  <c r="C1470" i="216"/>
  <c r="D1469" i="216"/>
  <c r="C1469" i="216"/>
  <c r="D1468" i="216"/>
  <c r="C1468" i="216"/>
  <c r="D1467" i="216"/>
  <c r="C1467" i="216"/>
  <c r="D1466" i="216"/>
  <c r="C1466" i="216"/>
  <c r="D1465" i="216"/>
  <c r="C1465" i="216"/>
  <c r="D1464" i="216"/>
  <c r="C1464" i="216"/>
  <c r="D1463" i="216"/>
  <c r="C1463" i="216"/>
  <c r="D1462" i="216"/>
  <c r="C1462" i="216"/>
  <c r="D1461" i="216"/>
  <c r="C1461" i="216"/>
  <c r="D1460" i="216"/>
  <c r="C1460" i="216"/>
  <c r="D1459" i="216"/>
  <c r="C1459" i="216"/>
  <c r="D1458" i="216"/>
  <c r="C1458" i="216"/>
  <c r="D1457" i="216"/>
  <c r="C1457" i="216"/>
  <c r="D1456" i="216"/>
  <c r="C1456" i="216"/>
  <c r="D1455" i="216"/>
  <c r="C1455" i="216"/>
  <c r="D1454" i="216"/>
  <c r="C1454" i="216"/>
  <c r="D1453" i="216"/>
  <c r="C1453" i="216"/>
  <c r="D1452" i="216"/>
  <c r="C1452" i="216"/>
  <c r="D1451" i="216"/>
  <c r="C1451" i="216"/>
  <c r="D1450" i="216"/>
  <c r="C1450" i="216"/>
  <c r="D1449" i="216"/>
  <c r="C1449" i="216"/>
  <c r="D1448" i="216"/>
  <c r="C1448" i="216"/>
  <c r="D1447" i="216"/>
  <c r="C1447" i="216"/>
  <c r="D1446" i="216"/>
  <c r="C1446" i="216"/>
  <c r="D1445" i="216"/>
  <c r="C1445" i="216"/>
  <c r="D1444" i="216"/>
  <c r="C1444" i="216"/>
  <c r="D1443" i="216"/>
  <c r="C1443" i="216"/>
  <c r="D1442" i="216"/>
  <c r="C1442" i="216"/>
  <c r="D1441" i="216"/>
  <c r="C1441" i="216"/>
  <c r="D1440" i="216"/>
  <c r="C1440" i="216"/>
  <c r="D1439" i="216"/>
  <c r="C1439" i="216"/>
  <c r="D1438" i="216"/>
  <c r="C1438" i="216"/>
  <c r="D1437" i="216"/>
  <c r="C1437" i="216"/>
  <c r="D1436" i="216"/>
  <c r="C1436" i="216"/>
  <c r="D1435" i="216"/>
  <c r="C1435" i="216"/>
  <c r="D1434" i="216"/>
  <c r="C1434" i="216"/>
  <c r="D1433" i="216"/>
  <c r="C1433" i="216"/>
  <c r="D1432" i="216"/>
  <c r="C1432" i="216"/>
  <c r="D1431" i="216"/>
  <c r="C1431" i="216"/>
  <c r="D1430" i="216"/>
  <c r="C1430" i="216"/>
  <c r="D1429" i="216"/>
  <c r="C1429" i="216"/>
  <c r="D1428" i="216"/>
  <c r="C1428" i="216"/>
  <c r="F1427" i="216"/>
  <c r="E1427" i="216"/>
  <c r="D1426" i="216"/>
  <c r="C1426" i="216"/>
  <c r="D1425" i="216"/>
  <c r="C1425" i="216"/>
  <c r="D1424" i="216"/>
  <c r="C1424" i="216"/>
  <c r="D1423" i="216"/>
  <c r="C1423" i="216"/>
  <c r="D1422" i="216"/>
  <c r="C1422" i="216"/>
  <c r="D1421" i="216"/>
  <c r="C1421" i="216"/>
  <c r="D1420" i="216"/>
  <c r="C1420" i="216"/>
  <c r="D1419" i="216"/>
  <c r="C1419" i="216"/>
  <c r="D1418" i="216"/>
  <c r="C1418" i="216"/>
  <c r="D1417" i="216"/>
  <c r="C1417" i="216"/>
  <c r="D1416" i="216"/>
  <c r="C1416" i="216"/>
  <c r="D1415" i="216"/>
  <c r="C1415" i="216"/>
  <c r="D1414" i="216"/>
  <c r="C1414" i="216"/>
  <c r="D1413" i="216"/>
  <c r="C1413" i="216"/>
  <c r="D1412" i="216"/>
  <c r="C1412" i="216"/>
  <c r="D1411" i="216"/>
  <c r="C1411" i="216"/>
  <c r="D1410" i="216"/>
  <c r="C1410" i="216"/>
  <c r="D1409" i="216"/>
  <c r="C1409" i="216"/>
  <c r="D1408" i="216"/>
  <c r="C1408" i="216"/>
  <c r="D1407" i="216"/>
  <c r="C1407" i="216"/>
  <c r="D1406" i="216"/>
  <c r="C1406" i="216"/>
  <c r="D1405" i="216"/>
  <c r="C1405" i="216"/>
  <c r="D1404" i="216"/>
  <c r="C1404" i="216"/>
  <c r="D1403" i="216"/>
  <c r="C1403" i="216"/>
  <c r="D1402" i="216"/>
  <c r="C1402" i="216"/>
  <c r="D1401" i="216"/>
  <c r="C1401" i="216"/>
  <c r="D1400" i="216"/>
  <c r="C1400" i="216"/>
  <c r="D1399" i="216"/>
  <c r="C1399" i="216"/>
  <c r="D1398" i="216"/>
  <c r="C1398" i="216"/>
  <c r="D1397" i="216"/>
  <c r="C1397" i="216"/>
  <c r="D1396" i="216"/>
  <c r="C1396" i="216"/>
  <c r="D1395" i="216"/>
  <c r="C1395" i="216"/>
  <c r="D1394" i="216"/>
  <c r="C1394" i="216"/>
  <c r="D1393" i="216"/>
  <c r="C1393" i="216"/>
  <c r="D1392" i="216"/>
  <c r="C1392" i="216"/>
  <c r="D1391" i="216"/>
  <c r="C1391" i="216"/>
  <c r="D1390" i="216"/>
  <c r="C1390" i="216"/>
  <c r="D1389" i="216"/>
  <c r="C1389" i="216"/>
  <c r="D1388" i="216"/>
  <c r="C1388" i="216"/>
  <c r="D1387" i="216"/>
  <c r="C1387" i="216"/>
  <c r="D1386" i="216"/>
  <c r="C1386" i="216"/>
  <c r="D1385" i="216"/>
  <c r="C1385" i="216"/>
  <c r="D1384" i="216"/>
  <c r="C1384" i="216"/>
  <c r="D1383" i="216"/>
  <c r="C1383" i="216"/>
  <c r="D1382" i="216"/>
  <c r="C1382" i="216"/>
  <c r="D1381" i="216"/>
  <c r="C1381" i="216"/>
  <c r="D1380" i="216"/>
  <c r="C1380" i="216"/>
  <c r="F1379" i="216"/>
  <c r="E1379" i="216"/>
  <c r="D1378" i="216"/>
  <c r="C1378" i="216"/>
  <c r="D1377" i="216"/>
  <c r="C1377" i="216"/>
  <c r="D1376" i="216"/>
  <c r="C1376" i="216"/>
  <c r="D1375" i="216"/>
  <c r="C1375" i="216"/>
  <c r="D1374" i="216"/>
  <c r="C1374" i="216"/>
  <c r="D1373" i="216"/>
  <c r="C1373" i="216"/>
  <c r="D1372" i="216"/>
  <c r="C1372" i="216"/>
  <c r="D1371" i="216"/>
  <c r="C1371" i="216"/>
  <c r="D1370" i="216"/>
  <c r="C1370" i="216"/>
  <c r="D1369" i="216"/>
  <c r="C1369" i="216"/>
  <c r="D1368" i="216"/>
  <c r="C1368" i="216"/>
  <c r="D1367" i="216"/>
  <c r="C1367" i="216"/>
  <c r="D1366" i="216"/>
  <c r="C1366" i="216"/>
  <c r="D1365" i="216"/>
  <c r="C1365" i="216"/>
  <c r="D1364" i="216"/>
  <c r="C1364" i="216"/>
  <c r="D1363" i="216"/>
  <c r="C1363" i="216"/>
  <c r="D1362" i="216"/>
  <c r="C1362" i="216"/>
  <c r="D1361" i="216"/>
  <c r="C1361" i="216"/>
  <c r="D1360" i="216"/>
  <c r="C1360" i="216"/>
  <c r="D1359" i="216"/>
  <c r="C1359" i="216"/>
  <c r="D1358" i="216"/>
  <c r="C1358" i="216"/>
  <c r="D1357" i="216"/>
  <c r="C1357" i="216"/>
  <c r="D1356" i="216"/>
  <c r="C1356" i="216"/>
  <c r="D1355" i="216"/>
  <c r="C1355" i="216"/>
  <c r="D1354" i="216"/>
  <c r="C1354" i="216"/>
  <c r="D1353" i="216"/>
  <c r="C1353" i="216"/>
  <c r="D1352" i="216"/>
  <c r="C1352" i="216"/>
  <c r="D1351" i="216"/>
  <c r="C1351" i="216"/>
  <c r="D1350" i="216"/>
  <c r="C1350" i="216"/>
  <c r="D1349" i="216"/>
  <c r="C1349" i="216"/>
  <c r="D1348" i="216"/>
  <c r="C1348" i="216"/>
  <c r="D1347" i="216"/>
  <c r="C1347" i="216"/>
  <c r="D1346" i="216"/>
  <c r="C1346" i="216"/>
  <c r="D1345" i="216"/>
  <c r="C1345" i="216"/>
  <c r="D1344" i="216"/>
  <c r="C1344" i="216"/>
  <c r="D1343" i="216"/>
  <c r="C1343" i="216"/>
  <c r="D1342" i="216"/>
  <c r="C1342" i="216"/>
  <c r="D1341" i="216"/>
  <c r="C1341" i="216"/>
  <c r="D1340" i="216"/>
  <c r="C1340" i="216"/>
  <c r="D1339" i="216"/>
  <c r="C1339" i="216"/>
  <c r="D1338" i="216"/>
  <c r="C1338" i="216"/>
  <c r="D1337" i="216"/>
  <c r="C1337" i="216"/>
  <c r="D1336" i="216"/>
  <c r="C1336" i="216"/>
  <c r="D1335" i="216"/>
  <c r="C1335" i="216"/>
  <c r="D1334" i="216"/>
  <c r="C1334" i="216"/>
  <c r="D1333" i="216"/>
  <c r="C1333" i="216"/>
  <c r="D1332" i="216"/>
  <c r="C1332" i="216"/>
  <c r="D1331" i="216"/>
  <c r="C1331" i="216"/>
  <c r="F1330" i="216"/>
  <c r="E1330" i="216"/>
  <c r="D1329" i="216"/>
  <c r="C1329" i="216"/>
  <c r="D1328" i="216"/>
  <c r="C1328" i="216"/>
  <c r="D1327" i="216"/>
  <c r="C1327" i="216"/>
  <c r="D1326" i="216"/>
  <c r="C1326" i="216"/>
  <c r="D1325" i="216"/>
  <c r="C1325" i="216"/>
  <c r="D1324" i="216"/>
  <c r="C1324" i="216"/>
  <c r="D1323" i="216"/>
  <c r="C1323" i="216"/>
  <c r="D1322" i="216"/>
  <c r="C1322" i="216"/>
  <c r="D1321" i="216"/>
  <c r="C1321" i="216"/>
  <c r="D1320" i="216"/>
  <c r="C1320" i="216"/>
  <c r="D1319" i="216"/>
  <c r="C1319" i="216"/>
  <c r="D1318" i="216"/>
  <c r="C1318" i="216"/>
  <c r="D1317" i="216"/>
  <c r="C1317" i="216"/>
  <c r="D1316" i="216"/>
  <c r="C1316" i="216"/>
  <c r="D1315" i="216"/>
  <c r="C1315" i="216"/>
  <c r="D1314" i="216"/>
  <c r="C1314" i="216"/>
  <c r="D1313" i="216"/>
  <c r="C1313" i="216"/>
  <c r="D1312" i="216"/>
  <c r="C1312" i="216"/>
  <c r="D1311" i="216"/>
  <c r="C1311" i="216"/>
  <c r="D1310" i="216"/>
  <c r="C1310" i="216"/>
  <c r="D1309" i="216"/>
  <c r="C1309" i="216"/>
  <c r="D1308" i="216"/>
  <c r="C1308" i="216"/>
  <c r="D1307" i="216"/>
  <c r="C1307" i="216"/>
  <c r="D1306" i="216"/>
  <c r="C1306" i="216"/>
  <c r="D1305" i="216"/>
  <c r="C1305" i="216"/>
  <c r="D1304" i="216"/>
  <c r="C1304" i="216"/>
  <c r="D1303" i="216"/>
  <c r="C1303" i="216"/>
  <c r="D1302" i="216"/>
  <c r="C1302" i="216"/>
  <c r="D1301" i="216"/>
  <c r="C1301" i="216"/>
  <c r="D1300" i="216"/>
  <c r="C1300" i="216"/>
  <c r="D1299" i="216"/>
  <c r="C1299" i="216"/>
  <c r="D1298" i="216"/>
  <c r="C1298" i="216"/>
  <c r="D1297" i="216"/>
  <c r="C1297" i="216"/>
  <c r="D1296" i="216"/>
  <c r="C1296" i="216"/>
  <c r="D1295" i="216"/>
  <c r="C1295" i="216"/>
  <c r="D1294" i="216"/>
  <c r="C1294" i="216"/>
  <c r="D1293" i="216"/>
  <c r="C1293" i="216"/>
  <c r="D1292" i="216"/>
  <c r="C1292" i="216"/>
  <c r="D1291" i="216"/>
  <c r="C1291" i="216"/>
  <c r="D1290" i="216"/>
  <c r="C1290" i="216"/>
  <c r="D1289" i="216"/>
  <c r="C1289" i="216"/>
  <c r="D1288" i="216"/>
  <c r="C1288" i="216"/>
  <c r="D1287" i="216"/>
  <c r="C1287" i="216"/>
  <c r="D1286" i="216"/>
  <c r="C1286" i="216"/>
  <c r="D1285" i="216"/>
  <c r="C1285" i="216"/>
  <c r="D1284" i="216"/>
  <c r="C1284" i="216"/>
  <c r="D1283" i="216"/>
  <c r="C1283" i="216"/>
  <c r="F1282" i="216"/>
  <c r="E1282" i="216"/>
  <c r="D1281" i="216"/>
  <c r="C1281" i="216"/>
  <c r="D1280" i="216"/>
  <c r="C1280" i="216"/>
  <c r="D1279" i="216"/>
  <c r="C1279" i="216"/>
  <c r="D1278" i="216"/>
  <c r="C1278" i="216"/>
  <c r="D1277" i="216"/>
  <c r="C1277" i="216"/>
  <c r="D1276" i="216"/>
  <c r="C1276" i="216"/>
  <c r="D1275" i="216"/>
  <c r="C1275" i="216"/>
  <c r="D1274" i="216"/>
  <c r="C1274" i="216"/>
  <c r="D1273" i="216"/>
  <c r="C1273" i="216"/>
  <c r="D1272" i="216"/>
  <c r="C1272" i="216"/>
  <c r="D1271" i="216"/>
  <c r="C1271" i="216"/>
  <c r="D1270" i="216"/>
  <c r="C1270" i="216"/>
  <c r="D1269" i="216"/>
  <c r="C1269" i="216"/>
  <c r="D1268" i="216"/>
  <c r="C1268" i="216"/>
  <c r="D1267" i="216"/>
  <c r="C1267" i="216"/>
  <c r="D1266" i="216"/>
  <c r="C1266" i="216"/>
  <c r="D1265" i="216"/>
  <c r="C1265" i="216"/>
  <c r="D1264" i="216"/>
  <c r="C1264" i="216"/>
  <c r="D1263" i="216"/>
  <c r="C1263" i="216"/>
  <c r="D1262" i="216"/>
  <c r="C1262" i="216"/>
  <c r="D1261" i="216"/>
  <c r="C1261" i="216"/>
  <c r="D1260" i="216"/>
  <c r="C1260" i="216"/>
  <c r="D1259" i="216"/>
  <c r="C1259" i="216"/>
  <c r="D1258" i="216"/>
  <c r="C1258" i="216"/>
  <c r="D1257" i="216"/>
  <c r="C1257" i="216"/>
  <c r="D1256" i="216"/>
  <c r="C1256" i="216"/>
  <c r="D1255" i="216"/>
  <c r="C1255" i="216"/>
  <c r="D1254" i="216"/>
  <c r="C1254" i="216"/>
  <c r="D1253" i="216"/>
  <c r="C1253" i="216"/>
  <c r="D1252" i="216"/>
  <c r="C1252" i="216"/>
  <c r="D1251" i="216"/>
  <c r="C1251" i="216"/>
  <c r="D1250" i="216"/>
  <c r="C1250" i="216"/>
  <c r="D1249" i="216"/>
  <c r="C1249" i="216"/>
  <c r="D1248" i="216"/>
  <c r="C1248" i="216"/>
  <c r="D1247" i="216"/>
  <c r="C1247" i="216"/>
  <c r="D1246" i="216"/>
  <c r="C1246" i="216"/>
  <c r="D1245" i="216"/>
  <c r="C1245" i="216"/>
  <c r="D1244" i="216"/>
  <c r="C1244" i="216"/>
  <c r="D1243" i="216"/>
  <c r="C1243" i="216"/>
  <c r="D1242" i="216"/>
  <c r="C1242" i="216"/>
  <c r="D1241" i="216"/>
  <c r="C1241" i="216"/>
  <c r="D1240" i="216"/>
  <c r="C1240" i="216"/>
  <c r="D1239" i="216"/>
  <c r="C1239" i="216"/>
  <c r="D1238" i="216"/>
  <c r="C1238" i="216"/>
  <c r="D1237" i="216"/>
  <c r="C1237" i="216"/>
  <c r="D1236" i="216"/>
  <c r="C1236" i="216"/>
  <c r="D1235" i="216"/>
  <c r="C1235" i="216"/>
  <c r="F1234" i="216"/>
  <c r="E1234" i="216"/>
  <c r="D1233" i="216"/>
  <c r="C1233" i="216"/>
  <c r="D1232" i="216"/>
  <c r="C1232" i="216"/>
  <c r="D1231" i="216"/>
  <c r="C1231" i="216"/>
  <c r="D1230" i="216"/>
  <c r="C1230" i="216"/>
  <c r="D1229" i="216"/>
  <c r="C1229" i="216"/>
  <c r="D1228" i="216"/>
  <c r="C1228" i="216"/>
  <c r="D1227" i="216"/>
  <c r="C1227" i="216"/>
  <c r="D1226" i="216"/>
  <c r="C1226" i="216"/>
  <c r="D1225" i="216"/>
  <c r="C1225" i="216"/>
  <c r="D1224" i="216"/>
  <c r="C1224" i="216"/>
  <c r="D1223" i="216"/>
  <c r="C1223" i="216"/>
  <c r="D1222" i="216"/>
  <c r="C1222" i="216"/>
  <c r="D1221" i="216"/>
  <c r="C1221" i="216"/>
  <c r="D1220" i="216"/>
  <c r="C1220" i="216"/>
  <c r="D1219" i="216"/>
  <c r="C1219" i="216"/>
  <c r="D1218" i="216"/>
  <c r="C1218" i="216"/>
  <c r="D1217" i="216"/>
  <c r="C1217" i="216"/>
  <c r="D1216" i="216"/>
  <c r="C1216" i="216"/>
  <c r="D1215" i="216"/>
  <c r="C1215" i="216"/>
  <c r="D1214" i="216"/>
  <c r="C1214" i="216"/>
  <c r="D1213" i="216"/>
  <c r="C1213" i="216"/>
  <c r="D1212" i="216"/>
  <c r="C1212" i="216"/>
  <c r="D1211" i="216"/>
  <c r="C1211" i="216"/>
  <c r="D1210" i="216"/>
  <c r="C1210" i="216"/>
  <c r="D1209" i="216"/>
  <c r="C1209" i="216"/>
  <c r="D1208" i="216"/>
  <c r="C1208" i="216"/>
  <c r="D1207" i="216"/>
  <c r="C1207" i="216"/>
  <c r="D1206" i="216"/>
  <c r="C1206" i="216"/>
  <c r="D1205" i="216"/>
  <c r="C1205" i="216"/>
  <c r="D1204" i="216"/>
  <c r="C1204" i="216"/>
  <c r="D1203" i="216"/>
  <c r="C1203" i="216"/>
  <c r="D1202" i="216"/>
  <c r="C1202" i="216"/>
  <c r="D1201" i="216"/>
  <c r="C1201" i="216"/>
  <c r="D1200" i="216"/>
  <c r="C1200" i="216"/>
  <c r="D1199" i="216"/>
  <c r="C1199" i="216"/>
  <c r="D1198" i="216"/>
  <c r="C1198" i="216"/>
  <c r="D1197" i="216"/>
  <c r="C1197" i="216"/>
  <c r="D1196" i="216"/>
  <c r="C1196" i="216"/>
  <c r="D1195" i="216"/>
  <c r="C1195" i="216"/>
  <c r="D1194" i="216"/>
  <c r="C1194" i="216"/>
  <c r="D1193" i="216"/>
  <c r="C1193" i="216"/>
  <c r="D1192" i="216"/>
  <c r="C1192" i="216"/>
  <c r="D1191" i="216"/>
  <c r="C1191" i="216"/>
  <c r="D1190" i="216"/>
  <c r="C1190" i="216"/>
  <c r="D1189" i="216"/>
  <c r="C1189" i="216"/>
  <c r="D1188" i="216"/>
  <c r="C1188" i="216"/>
  <c r="D1187" i="216"/>
  <c r="C1187" i="216"/>
  <c r="D1186" i="216"/>
  <c r="C1186" i="216"/>
  <c r="D1185" i="216"/>
  <c r="C1185" i="216"/>
  <c r="F1184" i="216"/>
  <c r="E1184" i="216"/>
  <c r="D1183" i="216"/>
  <c r="C1183" i="216"/>
  <c r="D1182" i="216"/>
  <c r="C1182" i="216"/>
  <c r="D1181" i="216"/>
  <c r="C1181" i="216"/>
  <c r="D1180" i="216"/>
  <c r="C1180" i="216"/>
  <c r="D1179" i="216"/>
  <c r="C1179" i="216"/>
  <c r="D1178" i="216"/>
  <c r="C1178" i="216"/>
  <c r="D1177" i="216"/>
  <c r="C1177" i="216"/>
  <c r="D1176" i="216"/>
  <c r="C1176" i="216"/>
  <c r="D1175" i="216"/>
  <c r="C1175" i="216"/>
  <c r="D1174" i="216"/>
  <c r="C1174" i="216"/>
  <c r="D1173" i="216"/>
  <c r="C1173" i="216"/>
  <c r="D1172" i="216"/>
  <c r="C1172" i="216"/>
  <c r="D1171" i="216"/>
  <c r="C1171" i="216"/>
  <c r="D1170" i="216"/>
  <c r="C1170" i="216"/>
  <c r="D1169" i="216"/>
  <c r="C1169" i="216"/>
  <c r="D1168" i="216"/>
  <c r="C1168" i="216"/>
  <c r="D1167" i="216"/>
  <c r="C1167" i="216"/>
  <c r="D1166" i="216"/>
  <c r="C1166" i="216"/>
  <c r="D1165" i="216"/>
  <c r="C1165" i="216"/>
  <c r="D1164" i="216"/>
  <c r="C1164" i="216"/>
  <c r="D1163" i="216"/>
  <c r="C1163" i="216"/>
  <c r="D1162" i="216"/>
  <c r="C1162" i="216"/>
  <c r="D1161" i="216"/>
  <c r="C1161" i="216"/>
  <c r="D1160" i="216"/>
  <c r="C1160" i="216"/>
  <c r="D1159" i="216"/>
  <c r="C1159" i="216"/>
  <c r="D1158" i="216"/>
  <c r="C1158" i="216"/>
  <c r="D1157" i="216"/>
  <c r="C1157" i="216"/>
  <c r="D1156" i="216"/>
  <c r="C1156" i="216"/>
  <c r="D1155" i="216"/>
  <c r="C1155" i="216"/>
  <c r="D1154" i="216"/>
  <c r="C1154" i="216"/>
  <c r="D1153" i="216"/>
  <c r="C1153" i="216"/>
  <c r="D1152" i="216"/>
  <c r="C1152" i="216"/>
  <c r="D1151" i="216"/>
  <c r="C1151" i="216"/>
  <c r="D1150" i="216"/>
  <c r="C1150" i="216"/>
  <c r="D1149" i="216"/>
  <c r="C1149" i="216"/>
  <c r="D1148" i="216"/>
  <c r="C1148" i="216"/>
  <c r="D1147" i="216"/>
  <c r="C1147" i="216"/>
  <c r="D1146" i="216"/>
  <c r="C1146" i="216"/>
  <c r="D1145" i="216"/>
  <c r="C1145" i="216"/>
  <c r="D1144" i="216"/>
  <c r="C1144" i="216"/>
  <c r="D1143" i="216"/>
  <c r="C1143" i="216"/>
  <c r="D1142" i="216"/>
  <c r="C1142" i="216"/>
  <c r="D1141" i="216"/>
  <c r="C1141" i="216"/>
  <c r="D1140" i="216"/>
  <c r="C1140" i="216"/>
  <c r="D1139" i="216"/>
  <c r="C1139" i="216"/>
  <c r="D1138" i="216"/>
  <c r="C1138" i="216"/>
  <c r="D1137" i="216"/>
  <c r="C1137" i="216"/>
  <c r="D1136" i="216"/>
  <c r="C1136" i="216"/>
  <c r="F1135" i="216"/>
  <c r="E1135" i="216"/>
  <c r="D1134" i="216"/>
  <c r="C1134" i="216"/>
  <c r="D1133" i="216"/>
  <c r="C1133" i="216"/>
  <c r="D1132" i="216"/>
  <c r="C1132" i="216"/>
  <c r="D1131" i="216"/>
  <c r="C1131" i="216"/>
  <c r="D1130" i="216"/>
  <c r="C1130" i="216"/>
  <c r="D1129" i="216"/>
  <c r="C1129" i="216"/>
  <c r="D1128" i="216"/>
  <c r="C1128" i="216"/>
  <c r="D1127" i="216"/>
  <c r="C1127" i="216"/>
  <c r="D1126" i="216"/>
  <c r="C1126" i="216"/>
  <c r="D1125" i="216"/>
  <c r="C1125" i="216"/>
  <c r="D1124" i="216"/>
  <c r="C1124" i="216"/>
  <c r="D1123" i="216"/>
  <c r="C1123" i="216"/>
  <c r="D1122" i="216"/>
  <c r="C1122" i="216"/>
  <c r="D1121" i="216"/>
  <c r="C1121" i="216"/>
  <c r="D1120" i="216"/>
  <c r="C1120" i="216"/>
  <c r="D1119" i="216"/>
  <c r="C1119" i="216"/>
  <c r="D1118" i="216"/>
  <c r="C1118" i="216"/>
  <c r="D1117" i="216"/>
  <c r="C1117" i="216"/>
  <c r="D1116" i="216"/>
  <c r="C1116" i="216"/>
  <c r="D1115" i="216"/>
  <c r="C1115" i="216"/>
  <c r="D1114" i="216"/>
  <c r="C1114" i="216"/>
  <c r="D1113" i="216"/>
  <c r="C1113" i="216"/>
  <c r="D1112" i="216"/>
  <c r="C1112" i="216"/>
  <c r="D1111" i="216"/>
  <c r="C1111" i="216"/>
  <c r="D1110" i="216"/>
  <c r="C1110" i="216"/>
  <c r="D1109" i="216"/>
  <c r="C1109" i="216"/>
  <c r="D1108" i="216"/>
  <c r="C1108" i="216"/>
  <c r="D1107" i="216"/>
  <c r="C1107" i="216"/>
  <c r="D1106" i="216"/>
  <c r="C1106" i="216"/>
  <c r="D1105" i="216"/>
  <c r="C1105" i="216"/>
  <c r="D1104" i="216"/>
  <c r="C1104" i="216"/>
  <c r="D1103" i="216"/>
  <c r="C1103" i="216"/>
  <c r="D1102" i="216"/>
  <c r="C1102" i="216"/>
  <c r="D1101" i="216"/>
  <c r="C1101" i="216"/>
  <c r="D1100" i="216"/>
  <c r="C1100" i="216"/>
  <c r="D1099" i="216"/>
  <c r="C1099" i="216"/>
  <c r="D1098" i="216"/>
  <c r="C1098" i="216"/>
  <c r="D1097" i="216"/>
  <c r="C1097" i="216"/>
  <c r="D1096" i="216"/>
  <c r="C1096" i="216"/>
  <c r="D1095" i="216"/>
  <c r="C1095" i="216"/>
  <c r="D1094" i="216"/>
  <c r="C1094" i="216"/>
  <c r="D1093" i="216"/>
  <c r="C1093" i="216"/>
  <c r="D1092" i="216"/>
  <c r="C1092" i="216"/>
  <c r="D1091" i="216"/>
  <c r="C1091" i="216"/>
  <c r="D1090" i="216"/>
  <c r="C1090" i="216"/>
  <c r="D1089" i="216"/>
  <c r="C1089" i="216"/>
  <c r="D1088" i="216"/>
  <c r="C1088" i="216"/>
  <c r="F1087" i="216"/>
  <c r="E1087" i="216"/>
  <c r="D1086" i="216"/>
  <c r="C1086" i="216"/>
  <c r="D1085" i="216"/>
  <c r="C1085" i="216"/>
  <c r="D1084" i="216"/>
  <c r="C1084" i="216"/>
  <c r="D1083" i="216"/>
  <c r="C1083" i="216"/>
  <c r="D1082" i="216"/>
  <c r="C1082" i="216"/>
  <c r="D1081" i="216"/>
  <c r="C1081" i="216"/>
  <c r="D1080" i="216"/>
  <c r="C1080" i="216"/>
  <c r="D1079" i="216"/>
  <c r="C1079" i="216"/>
  <c r="D1078" i="216"/>
  <c r="C1078" i="216"/>
  <c r="D1077" i="216"/>
  <c r="C1077" i="216"/>
  <c r="D1076" i="216"/>
  <c r="C1076" i="216"/>
  <c r="D1075" i="216"/>
  <c r="C1075" i="216"/>
  <c r="D1074" i="216"/>
  <c r="C1074" i="216"/>
  <c r="D1073" i="216"/>
  <c r="C1073" i="216"/>
  <c r="D1072" i="216"/>
  <c r="C1072" i="216"/>
  <c r="D1071" i="216"/>
  <c r="C1071" i="216"/>
  <c r="D1070" i="216"/>
  <c r="C1070" i="216"/>
  <c r="D1069" i="216"/>
  <c r="C1069" i="216"/>
  <c r="D1068" i="216"/>
  <c r="C1068" i="216"/>
  <c r="D1067" i="216"/>
  <c r="C1067" i="216"/>
  <c r="D1066" i="216"/>
  <c r="C1066" i="216"/>
  <c r="D1065" i="216"/>
  <c r="C1065" i="216"/>
  <c r="D1064" i="216"/>
  <c r="C1064" i="216"/>
  <c r="D1063" i="216"/>
  <c r="C1063" i="216"/>
  <c r="D1062" i="216"/>
  <c r="C1062" i="216"/>
  <c r="D1061" i="216"/>
  <c r="C1061" i="216"/>
  <c r="D1060" i="216"/>
  <c r="C1060" i="216"/>
  <c r="D1059" i="216"/>
  <c r="C1059" i="216"/>
  <c r="D1058" i="216"/>
  <c r="C1058" i="216"/>
  <c r="D1057" i="216"/>
  <c r="C1057" i="216"/>
  <c r="D1056" i="216"/>
  <c r="C1056" i="216"/>
  <c r="D1055" i="216"/>
  <c r="C1055" i="216"/>
  <c r="D1054" i="216"/>
  <c r="C1054" i="216"/>
  <c r="D1053" i="216"/>
  <c r="C1053" i="216"/>
  <c r="D1052" i="216"/>
  <c r="C1052" i="216"/>
  <c r="D1051" i="216"/>
  <c r="C1051" i="216"/>
  <c r="D1050" i="216"/>
  <c r="C1050" i="216"/>
  <c r="D1049" i="216"/>
  <c r="C1049" i="216"/>
  <c r="D1048" i="216"/>
  <c r="C1048" i="216"/>
  <c r="D1047" i="216"/>
  <c r="C1047" i="216"/>
  <c r="D1046" i="216"/>
  <c r="C1046" i="216"/>
  <c r="D1045" i="216"/>
  <c r="C1045" i="216"/>
  <c r="D1044" i="216"/>
  <c r="C1044" i="216"/>
  <c r="D1043" i="216"/>
  <c r="C1043" i="216"/>
  <c r="D1042" i="216"/>
  <c r="C1042" i="216"/>
  <c r="D1041" i="216"/>
  <c r="C1041" i="216"/>
  <c r="D1040" i="216"/>
  <c r="C1040" i="216"/>
  <c r="F1039" i="216"/>
  <c r="E1039" i="216"/>
  <c r="D1038" i="216"/>
  <c r="C1038" i="216"/>
  <c r="D1037" i="216"/>
  <c r="C1037" i="216"/>
  <c r="D1036" i="216"/>
  <c r="C1036" i="216"/>
  <c r="D1035" i="216"/>
  <c r="C1035" i="216"/>
  <c r="D1034" i="216"/>
  <c r="C1034" i="216"/>
  <c r="D1033" i="216"/>
  <c r="C1033" i="216"/>
  <c r="D1032" i="216"/>
  <c r="C1032" i="216"/>
  <c r="D1031" i="216"/>
  <c r="C1031" i="216"/>
  <c r="D1030" i="216"/>
  <c r="C1030" i="216"/>
  <c r="D1029" i="216"/>
  <c r="C1029" i="216"/>
  <c r="D1028" i="216"/>
  <c r="C1028" i="216"/>
  <c r="D1027" i="216"/>
  <c r="C1027" i="216"/>
  <c r="D1026" i="216"/>
  <c r="C1026" i="216"/>
  <c r="D1025" i="216"/>
  <c r="C1025" i="216"/>
  <c r="D1024" i="216"/>
  <c r="C1024" i="216"/>
  <c r="D1023" i="216"/>
  <c r="C1023" i="216"/>
  <c r="D1022" i="216"/>
  <c r="C1022" i="216"/>
  <c r="D1021" i="216"/>
  <c r="C1021" i="216"/>
  <c r="D1020" i="216"/>
  <c r="C1020" i="216"/>
  <c r="D1019" i="216"/>
  <c r="C1019" i="216"/>
  <c r="D1018" i="216"/>
  <c r="C1018" i="216"/>
  <c r="D1017" i="216"/>
  <c r="C1017" i="216"/>
  <c r="D1016" i="216"/>
  <c r="C1016" i="216"/>
  <c r="D1015" i="216"/>
  <c r="C1015" i="216"/>
  <c r="D1014" i="216"/>
  <c r="C1014" i="216"/>
  <c r="D1013" i="216"/>
  <c r="C1013" i="216"/>
  <c r="D1012" i="216"/>
  <c r="C1012" i="216"/>
  <c r="D1011" i="216"/>
  <c r="C1011" i="216"/>
  <c r="D1010" i="216"/>
  <c r="C1010" i="216"/>
  <c r="D1009" i="216"/>
  <c r="C1009" i="216"/>
  <c r="D1008" i="216"/>
  <c r="C1008" i="216"/>
  <c r="D1007" i="216"/>
  <c r="C1007" i="216"/>
  <c r="D1006" i="216"/>
  <c r="C1006" i="216"/>
  <c r="D1005" i="216"/>
  <c r="C1005" i="216"/>
  <c r="D1004" i="216"/>
  <c r="C1004" i="216"/>
  <c r="D1003" i="216"/>
  <c r="C1003" i="216"/>
  <c r="D1002" i="216"/>
  <c r="C1002" i="216"/>
  <c r="D1001" i="216"/>
  <c r="C1001" i="216"/>
  <c r="D1000" i="216"/>
  <c r="C1000" i="216"/>
  <c r="D999" i="216"/>
  <c r="C999" i="216"/>
  <c r="D998" i="216"/>
  <c r="C998" i="216"/>
  <c r="D997" i="216"/>
  <c r="C997" i="216"/>
  <c r="D996" i="216"/>
  <c r="C996" i="216"/>
  <c r="D995" i="216"/>
  <c r="C995" i="216"/>
  <c r="D994" i="216"/>
  <c r="C994" i="216"/>
  <c r="D993" i="216"/>
  <c r="C993" i="216"/>
  <c r="D992" i="216"/>
  <c r="C992" i="216"/>
  <c r="F991" i="216"/>
  <c r="E991" i="216"/>
  <c r="D990" i="216"/>
  <c r="C990" i="216"/>
  <c r="D989" i="216"/>
  <c r="C989" i="216"/>
  <c r="D988" i="216"/>
  <c r="C988" i="216"/>
  <c r="D987" i="216"/>
  <c r="C987" i="216"/>
  <c r="D986" i="216"/>
  <c r="C986" i="216"/>
  <c r="D985" i="216"/>
  <c r="C985" i="216"/>
  <c r="D984" i="216"/>
  <c r="C984" i="216"/>
  <c r="D983" i="216"/>
  <c r="C983" i="216"/>
  <c r="D982" i="216"/>
  <c r="C982" i="216"/>
  <c r="D981" i="216"/>
  <c r="C981" i="216"/>
  <c r="D980" i="216"/>
  <c r="C980" i="216"/>
  <c r="D979" i="216"/>
  <c r="C979" i="216"/>
  <c r="D978" i="216"/>
  <c r="C978" i="216"/>
  <c r="D977" i="216"/>
  <c r="C977" i="216"/>
  <c r="D976" i="216"/>
  <c r="C976" i="216"/>
  <c r="D975" i="216"/>
  <c r="C975" i="216"/>
  <c r="D974" i="216"/>
  <c r="C974" i="216"/>
  <c r="D973" i="216"/>
  <c r="C973" i="216"/>
  <c r="D972" i="216"/>
  <c r="C972" i="216"/>
  <c r="D971" i="216"/>
  <c r="C971" i="216"/>
  <c r="D970" i="216"/>
  <c r="C970" i="216"/>
  <c r="D969" i="216"/>
  <c r="C969" i="216"/>
  <c r="D968" i="216"/>
  <c r="C968" i="216"/>
  <c r="D967" i="216"/>
  <c r="C967" i="216"/>
  <c r="D966" i="216"/>
  <c r="C966" i="216"/>
  <c r="D965" i="216"/>
  <c r="C965" i="216"/>
  <c r="D964" i="216"/>
  <c r="C964" i="216"/>
  <c r="D963" i="216"/>
  <c r="C963" i="216"/>
  <c r="D962" i="216"/>
  <c r="C962" i="216"/>
  <c r="D961" i="216"/>
  <c r="C961" i="216"/>
  <c r="D960" i="216"/>
  <c r="C960" i="216"/>
  <c r="D959" i="216"/>
  <c r="C959" i="216"/>
  <c r="D958" i="216"/>
  <c r="C958" i="216"/>
  <c r="D957" i="216"/>
  <c r="C957" i="216"/>
  <c r="D956" i="216"/>
  <c r="C956" i="216"/>
  <c r="D955" i="216"/>
  <c r="C955" i="216"/>
  <c r="D954" i="216"/>
  <c r="C954" i="216"/>
  <c r="D953" i="216"/>
  <c r="C953" i="216"/>
  <c r="D952" i="216"/>
  <c r="C952" i="216"/>
  <c r="D951" i="216"/>
  <c r="C951" i="216"/>
  <c r="D950" i="216"/>
  <c r="C950" i="216"/>
  <c r="D949" i="216"/>
  <c r="C949" i="216"/>
  <c r="D948" i="216"/>
  <c r="C948" i="216"/>
  <c r="D947" i="216"/>
  <c r="C947" i="216"/>
  <c r="D946" i="216"/>
  <c r="C946" i="216"/>
  <c r="D945" i="216"/>
  <c r="C945" i="216"/>
  <c r="D944" i="216"/>
  <c r="C944" i="216"/>
  <c r="F943" i="216"/>
  <c r="E943" i="216"/>
  <c r="D942" i="216"/>
  <c r="C942" i="216"/>
  <c r="D941" i="216"/>
  <c r="C941" i="216"/>
  <c r="D940" i="216"/>
  <c r="C940" i="216"/>
  <c r="D939" i="216"/>
  <c r="C939" i="216"/>
  <c r="D938" i="216"/>
  <c r="C938" i="216"/>
  <c r="D937" i="216"/>
  <c r="C937" i="216"/>
  <c r="D936" i="216"/>
  <c r="C936" i="216"/>
  <c r="D935" i="216"/>
  <c r="C935" i="216"/>
  <c r="D934" i="216"/>
  <c r="C934" i="216"/>
  <c r="D933" i="216"/>
  <c r="C933" i="216"/>
  <c r="D932" i="216"/>
  <c r="C932" i="216"/>
  <c r="D931" i="216"/>
  <c r="C931" i="216"/>
  <c r="D930" i="216"/>
  <c r="C930" i="216"/>
  <c r="D929" i="216"/>
  <c r="C929" i="216"/>
  <c r="D928" i="216"/>
  <c r="C928" i="216"/>
  <c r="D927" i="216"/>
  <c r="C927" i="216"/>
  <c r="D926" i="216"/>
  <c r="C926" i="216"/>
  <c r="D925" i="216"/>
  <c r="C925" i="216"/>
  <c r="D924" i="216"/>
  <c r="C924" i="216"/>
  <c r="D923" i="216"/>
  <c r="C923" i="216"/>
  <c r="D922" i="216"/>
  <c r="C922" i="216"/>
  <c r="D921" i="216"/>
  <c r="C921" i="216"/>
  <c r="D920" i="216"/>
  <c r="C920" i="216"/>
  <c r="D919" i="216"/>
  <c r="C919" i="216"/>
  <c r="D918" i="216"/>
  <c r="C918" i="216"/>
  <c r="D917" i="216"/>
  <c r="C917" i="216"/>
  <c r="D916" i="216"/>
  <c r="C916" i="216"/>
  <c r="D915" i="216"/>
  <c r="C915" i="216"/>
  <c r="D914" i="216"/>
  <c r="C914" i="216"/>
  <c r="D913" i="216"/>
  <c r="C913" i="216"/>
  <c r="D912" i="216"/>
  <c r="C912" i="216"/>
  <c r="D911" i="216"/>
  <c r="C911" i="216"/>
  <c r="D910" i="216"/>
  <c r="C910" i="216"/>
  <c r="D909" i="216"/>
  <c r="C909" i="216"/>
  <c r="D908" i="216"/>
  <c r="C908" i="216"/>
  <c r="D907" i="216"/>
  <c r="C907" i="216"/>
  <c r="D906" i="216"/>
  <c r="C906" i="216"/>
  <c r="D905" i="216"/>
  <c r="C905" i="216"/>
  <c r="D904" i="216"/>
  <c r="C904" i="216"/>
  <c r="D903" i="216"/>
  <c r="C903" i="216"/>
  <c r="D902" i="216"/>
  <c r="C902" i="216"/>
  <c r="D901" i="216"/>
  <c r="C901" i="216"/>
  <c r="D900" i="216"/>
  <c r="C900" i="216"/>
  <c r="D899" i="216"/>
  <c r="C899" i="216"/>
  <c r="D898" i="216"/>
  <c r="C898" i="216"/>
  <c r="D897" i="216"/>
  <c r="C897" i="216"/>
  <c r="D896" i="216"/>
  <c r="C896" i="216"/>
  <c r="D895" i="216"/>
  <c r="C895" i="216"/>
  <c r="D894" i="216"/>
  <c r="C894" i="216"/>
  <c r="D893" i="216"/>
  <c r="C893" i="216"/>
  <c r="D892" i="216"/>
  <c r="C892" i="216"/>
  <c r="D891" i="216"/>
  <c r="C891" i="216"/>
  <c r="F890" i="216"/>
  <c r="E890" i="216"/>
  <c r="D889" i="216"/>
  <c r="C889" i="216"/>
  <c r="D888" i="216"/>
  <c r="C888" i="216"/>
  <c r="D887" i="216"/>
  <c r="C887" i="216"/>
  <c r="D886" i="216"/>
  <c r="C886" i="216"/>
  <c r="D885" i="216"/>
  <c r="C885" i="216"/>
  <c r="D884" i="216"/>
  <c r="C884" i="216"/>
  <c r="D883" i="216"/>
  <c r="C883" i="216"/>
  <c r="D882" i="216"/>
  <c r="C882" i="216"/>
  <c r="D881" i="216"/>
  <c r="C881" i="216"/>
  <c r="D880" i="216"/>
  <c r="C880" i="216"/>
  <c r="D879" i="216"/>
  <c r="C879" i="216"/>
  <c r="D878" i="216"/>
  <c r="C878" i="216"/>
  <c r="D877" i="216"/>
  <c r="C877" i="216"/>
  <c r="D876" i="216"/>
  <c r="C876" i="216"/>
  <c r="D875" i="216"/>
  <c r="C875" i="216"/>
  <c r="D874" i="216"/>
  <c r="C874" i="216"/>
  <c r="D873" i="216"/>
  <c r="C873" i="216"/>
  <c r="D872" i="216"/>
  <c r="C872" i="216"/>
  <c r="D871" i="216"/>
  <c r="C871" i="216"/>
  <c r="D870" i="216"/>
  <c r="C870" i="216"/>
  <c r="D869" i="216"/>
  <c r="C869" i="216"/>
  <c r="D868" i="216"/>
  <c r="C868" i="216"/>
  <c r="D867" i="216"/>
  <c r="C867" i="216"/>
  <c r="D866" i="216"/>
  <c r="C866" i="216"/>
  <c r="D865" i="216"/>
  <c r="C865" i="216"/>
  <c r="D864" i="216"/>
  <c r="C864" i="216"/>
  <c r="D863" i="216"/>
  <c r="C863" i="216"/>
  <c r="D862" i="216"/>
  <c r="C862" i="216"/>
  <c r="D861" i="216"/>
  <c r="C861" i="216"/>
  <c r="D860" i="216"/>
  <c r="C860" i="216"/>
  <c r="D859" i="216"/>
  <c r="C859" i="216"/>
  <c r="D858" i="216"/>
  <c r="C858" i="216"/>
  <c r="D857" i="216"/>
  <c r="C857" i="216"/>
  <c r="D856" i="216"/>
  <c r="C856" i="216"/>
  <c r="D855" i="216"/>
  <c r="C855" i="216"/>
  <c r="D854" i="216"/>
  <c r="C854" i="216"/>
  <c r="D853" i="216"/>
  <c r="C853" i="216"/>
  <c r="D852" i="216"/>
  <c r="C852" i="216"/>
  <c r="D851" i="216"/>
  <c r="C851" i="216"/>
  <c r="D850" i="216"/>
  <c r="C850" i="216"/>
  <c r="D849" i="216"/>
  <c r="C849" i="216"/>
  <c r="D848" i="216"/>
  <c r="C848" i="216"/>
  <c r="D847" i="216"/>
  <c r="C847" i="216"/>
  <c r="D846" i="216"/>
  <c r="C846" i="216"/>
  <c r="D845" i="216"/>
  <c r="C845" i="216"/>
  <c r="D844" i="216"/>
  <c r="C844" i="216"/>
  <c r="D843" i="216"/>
  <c r="C843" i="216"/>
  <c r="D842" i="216"/>
  <c r="C842" i="216"/>
  <c r="D841" i="216"/>
  <c r="C841" i="216"/>
  <c r="D840" i="216"/>
  <c r="C840" i="216"/>
  <c r="F839" i="216"/>
  <c r="E839" i="216"/>
  <c r="D838" i="216"/>
  <c r="C838" i="216"/>
  <c r="D837" i="216"/>
  <c r="C837" i="216"/>
  <c r="D836" i="216"/>
  <c r="C836" i="216"/>
  <c r="D835" i="216"/>
  <c r="C835" i="216"/>
  <c r="D834" i="216"/>
  <c r="C834" i="216"/>
  <c r="D833" i="216"/>
  <c r="C833" i="216"/>
  <c r="D832" i="216"/>
  <c r="C832" i="216"/>
  <c r="D831" i="216"/>
  <c r="C831" i="216"/>
  <c r="D830" i="216"/>
  <c r="C830" i="216"/>
  <c r="D829" i="216"/>
  <c r="C829" i="216"/>
  <c r="D828" i="216"/>
  <c r="C828" i="216"/>
  <c r="D827" i="216"/>
  <c r="C827" i="216"/>
  <c r="D826" i="216"/>
  <c r="C826" i="216"/>
  <c r="D825" i="216"/>
  <c r="C825" i="216"/>
  <c r="D824" i="216"/>
  <c r="C824" i="216"/>
  <c r="D823" i="216"/>
  <c r="C823" i="216"/>
  <c r="D822" i="216"/>
  <c r="C822" i="216"/>
  <c r="D821" i="216"/>
  <c r="C821" i="216"/>
  <c r="D820" i="216"/>
  <c r="C820" i="216"/>
  <c r="D819" i="216"/>
  <c r="C819" i="216"/>
  <c r="D818" i="216"/>
  <c r="C818" i="216"/>
  <c r="D817" i="216"/>
  <c r="C817" i="216"/>
  <c r="D816" i="216"/>
  <c r="C816" i="216"/>
  <c r="D815" i="216"/>
  <c r="C815" i="216"/>
  <c r="D814" i="216"/>
  <c r="C814" i="216"/>
  <c r="D813" i="216"/>
  <c r="C813" i="216"/>
  <c r="D812" i="216"/>
  <c r="C812" i="216"/>
  <c r="D811" i="216"/>
  <c r="C811" i="216"/>
  <c r="D810" i="216"/>
  <c r="C810" i="216"/>
  <c r="D809" i="216"/>
  <c r="C809" i="216"/>
  <c r="D808" i="216"/>
  <c r="C808" i="216"/>
  <c r="D807" i="216"/>
  <c r="C807" i="216"/>
  <c r="D806" i="216"/>
  <c r="C806" i="216"/>
  <c r="D805" i="216"/>
  <c r="C805" i="216"/>
  <c r="D804" i="216"/>
  <c r="C804" i="216"/>
  <c r="D803" i="216"/>
  <c r="C803" i="216"/>
  <c r="D802" i="216"/>
  <c r="C802" i="216"/>
  <c r="D801" i="216"/>
  <c r="C801" i="216"/>
  <c r="D800" i="216"/>
  <c r="C800" i="216"/>
  <c r="D799" i="216"/>
  <c r="C799" i="216"/>
  <c r="D798" i="216"/>
  <c r="C798" i="216"/>
  <c r="D797" i="216"/>
  <c r="C797" i="216"/>
  <c r="D796" i="216"/>
  <c r="C796" i="216"/>
  <c r="D795" i="216"/>
  <c r="C795" i="216"/>
  <c r="D794" i="216"/>
  <c r="C794" i="216"/>
  <c r="D793" i="216"/>
  <c r="C793" i="216"/>
  <c r="D792" i="216"/>
  <c r="C792" i="216"/>
  <c r="F791" i="216"/>
  <c r="E791" i="216"/>
  <c r="D790" i="216"/>
  <c r="C790" i="216"/>
  <c r="D789" i="216"/>
  <c r="C789" i="216"/>
  <c r="D788" i="216"/>
  <c r="C788" i="216"/>
  <c r="D787" i="216"/>
  <c r="C787" i="216"/>
  <c r="D786" i="216"/>
  <c r="C786" i="216"/>
  <c r="D785" i="216"/>
  <c r="C785" i="216"/>
  <c r="D784" i="216"/>
  <c r="C784" i="216"/>
  <c r="D783" i="216"/>
  <c r="C783" i="216"/>
  <c r="D782" i="216"/>
  <c r="C782" i="216"/>
  <c r="D781" i="216"/>
  <c r="C781" i="216"/>
  <c r="D780" i="216"/>
  <c r="C780" i="216"/>
  <c r="D779" i="216"/>
  <c r="C779" i="216"/>
  <c r="D778" i="216"/>
  <c r="C778" i="216"/>
  <c r="D777" i="216"/>
  <c r="C777" i="216"/>
  <c r="D776" i="216"/>
  <c r="C776" i="216"/>
  <c r="D775" i="216"/>
  <c r="C775" i="216"/>
  <c r="D774" i="216"/>
  <c r="C774" i="216"/>
  <c r="D773" i="216"/>
  <c r="C773" i="216"/>
  <c r="D772" i="216"/>
  <c r="C772" i="216"/>
  <c r="D771" i="216"/>
  <c r="C771" i="216"/>
  <c r="D770" i="216"/>
  <c r="C770" i="216"/>
  <c r="D769" i="216"/>
  <c r="C769" i="216"/>
  <c r="D768" i="216"/>
  <c r="C768" i="216"/>
  <c r="D767" i="216"/>
  <c r="C767" i="216"/>
  <c r="D766" i="216"/>
  <c r="C766" i="216"/>
  <c r="D765" i="216"/>
  <c r="C765" i="216"/>
  <c r="D764" i="216"/>
  <c r="C764" i="216"/>
  <c r="D763" i="216"/>
  <c r="C763" i="216"/>
  <c r="D762" i="216"/>
  <c r="C762" i="216"/>
  <c r="D761" i="216"/>
  <c r="C761" i="216"/>
  <c r="D760" i="216"/>
  <c r="C760" i="216"/>
  <c r="D759" i="216"/>
  <c r="C759" i="216"/>
  <c r="D758" i="216"/>
  <c r="C758" i="216"/>
  <c r="D757" i="216"/>
  <c r="C757" i="216"/>
  <c r="D756" i="216"/>
  <c r="C756" i="216"/>
  <c r="D755" i="216"/>
  <c r="C755" i="216"/>
  <c r="D754" i="216"/>
  <c r="C754" i="216"/>
  <c r="D753" i="216"/>
  <c r="C753" i="216"/>
  <c r="D752" i="216"/>
  <c r="C752" i="216"/>
  <c r="D751" i="216"/>
  <c r="C751" i="216"/>
  <c r="D750" i="216"/>
  <c r="C750" i="216"/>
  <c r="D749" i="216"/>
  <c r="C749" i="216"/>
  <c r="D748" i="216"/>
  <c r="C748" i="216"/>
  <c r="D747" i="216"/>
  <c r="C747" i="216"/>
  <c r="D746" i="216"/>
  <c r="C746" i="216"/>
  <c r="D745" i="216"/>
  <c r="C745" i="216"/>
  <c r="D744" i="216"/>
  <c r="C744" i="216"/>
  <c r="F743" i="216"/>
  <c r="E743" i="216"/>
  <c r="D742" i="216"/>
  <c r="C742" i="216"/>
  <c r="D741" i="216"/>
  <c r="C741" i="216"/>
  <c r="D740" i="216"/>
  <c r="C740" i="216"/>
  <c r="D739" i="216"/>
  <c r="C739" i="216"/>
  <c r="D738" i="216"/>
  <c r="C738" i="216"/>
  <c r="D737" i="216"/>
  <c r="C737" i="216"/>
  <c r="D736" i="216"/>
  <c r="C736" i="216"/>
  <c r="D735" i="216"/>
  <c r="C735" i="216"/>
  <c r="D734" i="216"/>
  <c r="C734" i="216"/>
  <c r="D733" i="216"/>
  <c r="C733" i="216"/>
  <c r="D732" i="216"/>
  <c r="C732" i="216"/>
  <c r="D731" i="216"/>
  <c r="C731" i="216"/>
  <c r="D730" i="216"/>
  <c r="C730" i="216"/>
  <c r="D729" i="216"/>
  <c r="C729" i="216"/>
  <c r="D728" i="216"/>
  <c r="C728" i="216"/>
  <c r="D727" i="216"/>
  <c r="C727" i="216"/>
  <c r="D726" i="216"/>
  <c r="C726" i="216"/>
  <c r="D725" i="216"/>
  <c r="C725" i="216"/>
  <c r="D724" i="216"/>
  <c r="C724" i="216"/>
  <c r="D723" i="216"/>
  <c r="C723" i="216"/>
  <c r="D722" i="216"/>
  <c r="C722" i="216"/>
  <c r="D721" i="216"/>
  <c r="C721" i="216"/>
  <c r="D720" i="216"/>
  <c r="C720" i="216"/>
  <c r="D719" i="216"/>
  <c r="C719" i="216"/>
  <c r="D718" i="216"/>
  <c r="C718" i="216"/>
  <c r="D717" i="216"/>
  <c r="C717" i="216"/>
  <c r="D716" i="216"/>
  <c r="C716" i="216"/>
  <c r="D715" i="216"/>
  <c r="C715" i="216"/>
  <c r="D714" i="216"/>
  <c r="C714" i="216"/>
  <c r="D713" i="216"/>
  <c r="C713" i="216"/>
  <c r="D712" i="216"/>
  <c r="C712" i="216"/>
  <c r="D711" i="216"/>
  <c r="C711" i="216"/>
  <c r="D710" i="216"/>
  <c r="C710" i="216"/>
  <c r="D709" i="216"/>
  <c r="C709" i="216"/>
  <c r="D708" i="216"/>
  <c r="C708" i="216"/>
  <c r="D707" i="216"/>
  <c r="C707" i="216"/>
  <c r="D706" i="216"/>
  <c r="C706" i="216"/>
  <c r="D705" i="216"/>
  <c r="C705" i="216"/>
  <c r="D704" i="216"/>
  <c r="C704" i="216"/>
  <c r="D703" i="216"/>
  <c r="C703" i="216"/>
  <c r="D702" i="216"/>
  <c r="C702" i="216"/>
  <c r="D701" i="216"/>
  <c r="C701" i="216"/>
  <c r="D700" i="216"/>
  <c r="C700" i="216"/>
  <c r="D699" i="216"/>
  <c r="C699" i="216"/>
  <c r="D698" i="216"/>
  <c r="C698" i="216"/>
  <c r="D697" i="216"/>
  <c r="C697" i="216"/>
  <c r="D696" i="216"/>
  <c r="C696" i="216"/>
  <c r="F695" i="216"/>
  <c r="E695" i="216"/>
  <c r="D694" i="216"/>
  <c r="C694" i="216"/>
  <c r="D693" i="216"/>
  <c r="C693" i="216"/>
  <c r="D692" i="216"/>
  <c r="C692" i="216"/>
  <c r="D691" i="216"/>
  <c r="C691" i="216"/>
  <c r="D690" i="216"/>
  <c r="C690" i="216"/>
  <c r="D689" i="216"/>
  <c r="C689" i="216"/>
  <c r="D688" i="216"/>
  <c r="C688" i="216"/>
  <c r="D687" i="216"/>
  <c r="C687" i="216"/>
  <c r="D686" i="216"/>
  <c r="C686" i="216"/>
  <c r="D685" i="216"/>
  <c r="C685" i="216"/>
  <c r="D684" i="216"/>
  <c r="C684" i="216"/>
  <c r="D683" i="216"/>
  <c r="C683" i="216"/>
  <c r="D682" i="216"/>
  <c r="C682" i="216"/>
  <c r="D681" i="216"/>
  <c r="C681" i="216"/>
  <c r="D680" i="216"/>
  <c r="C680" i="216"/>
  <c r="D679" i="216"/>
  <c r="C679" i="216"/>
  <c r="D678" i="216"/>
  <c r="C678" i="216"/>
  <c r="D677" i="216"/>
  <c r="C677" i="216"/>
  <c r="D676" i="216"/>
  <c r="C676" i="216"/>
  <c r="D675" i="216"/>
  <c r="C675" i="216"/>
  <c r="D674" i="216"/>
  <c r="C674" i="216"/>
  <c r="D673" i="216"/>
  <c r="C673" i="216"/>
  <c r="D672" i="216"/>
  <c r="C672" i="216"/>
  <c r="D671" i="216"/>
  <c r="C671" i="216"/>
  <c r="D670" i="216"/>
  <c r="C670" i="216"/>
  <c r="D669" i="216"/>
  <c r="C669" i="216"/>
  <c r="D668" i="216"/>
  <c r="C668" i="216"/>
  <c r="D667" i="216"/>
  <c r="C667" i="216"/>
  <c r="D666" i="216"/>
  <c r="C666" i="216"/>
  <c r="D665" i="216"/>
  <c r="C665" i="216"/>
  <c r="D664" i="216"/>
  <c r="C664" i="216"/>
  <c r="D663" i="216"/>
  <c r="C663" i="216"/>
  <c r="D662" i="216"/>
  <c r="C662" i="216"/>
  <c r="D661" i="216"/>
  <c r="C661" i="216"/>
  <c r="D660" i="216"/>
  <c r="C660" i="216"/>
  <c r="D659" i="216"/>
  <c r="C659" i="216"/>
  <c r="D658" i="216"/>
  <c r="C658" i="216"/>
  <c r="D657" i="216"/>
  <c r="C657" i="216"/>
  <c r="D656" i="216"/>
  <c r="C656" i="216"/>
  <c r="D655" i="216"/>
  <c r="C655" i="216"/>
  <c r="D654" i="216"/>
  <c r="C654" i="216"/>
  <c r="D653" i="216"/>
  <c r="C653" i="216"/>
  <c r="D652" i="216"/>
  <c r="C652" i="216"/>
  <c r="D651" i="216"/>
  <c r="C651" i="216"/>
  <c r="D650" i="216"/>
  <c r="C650" i="216"/>
  <c r="D649" i="216"/>
  <c r="C649" i="216"/>
  <c r="D648" i="216"/>
  <c r="C648" i="216"/>
  <c r="F647" i="216"/>
  <c r="E647" i="216"/>
  <c r="D646" i="216"/>
  <c r="C646" i="216"/>
  <c r="D645" i="216"/>
  <c r="C645" i="216"/>
  <c r="D644" i="216"/>
  <c r="C644" i="216"/>
  <c r="D643" i="216"/>
  <c r="C643" i="216"/>
  <c r="D642" i="216"/>
  <c r="C642" i="216"/>
  <c r="D641" i="216"/>
  <c r="C641" i="216"/>
  <c r="D640" i="216"/>
  <c r="C640" i="216"/>
  <c r="D639" i="216"/>
  <c r="C639" i="216"/>
  <c r="D638" i="216"/>
  <c r="C638" i="216"/>
  <c r="D637" i="216"/>
  <c r="C637" i="216"/>
  <c r="D636" i="216"/>
  <c r="C636" i="216"/>
  <c r="D635" i="216"/>
  <c r="C635" i="216"/>
  <c r="D634" i="216"/>
  <c r="C634" i="216"/>
  <c r="D633" i="216"/>
  <c r="C633" i="216"/>
  <c r="D632" i="216"/>
  <c r="C632" i="216"/>
  <c r="D631" i="216"/>
  <c r="C631" i="216"/>
  <c r="D630" i="216"/>
  <c r="C630" i="216"/>
  <c r="D629" i="216"/>
  <c r="C629" i="216"/>
  <c r="D628" i="216"/>
  <c r="C628" i="216"/>
  <c r="D627" i="216"/>
  <c r="C627" i="216"/>
  <c r="D626" i="216"/>
  <c r="C626" i="216"/>
  <c r="D625" i="216"/>
  <c r="C625" i="216"/>
  <c r="D624" i="216"/>
  <c r="C624" i="216"/>
  <c r="D623" i="216"/>
  <c r="C623" i="216"/>
  <c r="D622" i="216"/>
  <c r="C622" i="216"/>
  <c r="D621" i="216"/>
  <c r="C621" i="216"/>
  <c r="D620" i="216"/>
  <c r="C620" i="216"/>
  <c r="D619" i="216"/>
  <c r="C619" i="216"/>
  <c r="D618" i="216"/>
  <c r="C618" i="216"/>
  <c r="D617" i="216"/>
  <c r="C617" i="216"/>
  <c r="D616" i="216"/>
  <c r="C616" i="216"/>
  <c r="D615" i="216"/>
  <c r="C615" i="216"/>
  <c r="D614" i="216"/>
  <c r="C614" i="216"/>
  <c r="D613" i="216"/>
  <c r="C613" i="216"/>
  <c r="D612" i="216"/>
  <c r="C612" i="216"/>
  <c r="D611" i="216"/>
  <c r="C611" i="216"/>
  <c r="D610" i="216"/>
  <c r="C610" i="216"/>
  <c r="D609" i="216"/>
  <c r="C609" i="216"/>
  <c r="D608" i="216"/>
  <c r="C608" i="216"/>
  <c r="D607" i="216"/>
  <c r="C607" i="216"/>
  <c r="D606" i="216"/>
  <c r="C606" i="216"/>
  <c r="D605" i="216"/>
  <c r="C605" i="216"/>
  <c r="D604" i="216"/>
  <c r="C604" i="216"/>
  <c r="D603" i="216"/>
  <c r="C603" i="216"/>
  <c r="D602" i="216"/>
  <c r="C602" i="216"/>
  <c r="D601" i="216"/>
  <c r="C601" i="216"/>
  <c r="D600" i="216"/>
  <c r="C600" i="216"/>
  <c r="D599" i="216"/>
  <c r="C599" i="216"/>
  <c r="F598" i="216"/>
  <c r="E598" i="216"/>
  <c r="D597" i="216"/>
  <c r="C597" i="216"/>
  <c r="D596" i="216"/>
  <c r="C596" i="216"/>
  <c r="D595" i="216"/>
  <c r="C595" i="216"/>
  <c r="D594" i="216"/>
  <c r="C594" i="216"/>
  <c r="D593" i="216"/>
  <c r="C593" i="216"/>
  <c r="D592" i="216"/>
  <c r="C592" i="216"/>
  <c r="D591" i="216"/>
  <c r="C591" i="216"/>
  <c r="D590" i="216"/>
  <c r="C590" i="216"/>
  <c r="D589" i="216"/>
  <c r="C589" i="216"/>
  <c r="D588" i="216"/>
  <c r="C588" i="216"/>
  <c r="D587" i="216"/>
  <c r="C587" i="216"/>
  <c r="D586" i="216"/>
  <c r="C586" i="216"/>
  <c r="D585" i="216"/>
  <c r="C585" i="216"/>
  <c r="D584" i="216"/>
  <c r="C584" i="216"/>
  <c r="D583" i="216"/>
  <c r="C583" i="216"/>
  <c r="D582" i="216"/>
  <c r="C582" i="216"/>
  <c r="D581" i="216"/>
  <c r="C581" i="216"/>
  <c r="D580" i="216"/>
  <c r="C580" i="216"/>
  <c r="D579" i="216"/>
  <c r="C579" i="216"/>
  <c r="D578" i="216"/>
  <c r="C578" i="216"/>
  <c r="D577" i="216"/>
  <c r="C577" i="216"/>
  <c r="D576" i="216"/>
  <c r="C576" i="216"/>
  <c r="D575" i="216"/>
  <c r="C575" i="216"/>
  <c r="D574" i="216"/>
  <c r="C574" i="216"/>
  <c r="D573" i="216"/>
  <c r="C573" i="216"/>
  <c r="D572" i="216"/>
  <c r="C572" i="216"/>
  <c r="D571" i="216"/>
  <c r="C571" i="216"/>
  <c r="D570" i="216"/>
  <c r="C570" i="216"/>
  <c r="D569" i="216"/>
  <c r="C569" i="216"/>
  <c r="D568" i="216"/>
  <c r="C568" i="216"/>
  <c r="D567" i="216"/>
  <c r="C567" i="216"/>
  <c r="D566" i="216"/>
  <c r="C566" i="216"/>
  <c r="D565" i="216"/>
  <c r="C565" i="216"/>
  <c r="D564" i="216"/>
  <c r="C564" i="216"/>
  <c r="D563" i="216"/>
  <c r="C563" i="216"/>
  <c r="D562" i="216"/>
  <c r="C562" i="216"/>
  <c r="D561" i="216"/>
  <c r="C561" i="216"/>
  <c r="D560" i="216"/>
  <c r="C560" i="216"/>
  <c r="D559" i="216"/>
  <c r="C559" i="216"/>
  <c r="D558" i="216"/>
  <c r="C558" i="216"/>
  <c r="D557" i="216"/>
  <c r="C557" i="216"/>
  <c r="D556" i="216"/>
  <c r="C556" i="216"/>
  <c r="D555" i="216"/>
  <c r="C555" i="216"/>
  <c r="D554" i="216"/>
  <c r="C554" i="216"/>
  <c r="D553" i="216"/>
  <c r="C553" i="216"/>
  <c r="D552" i="216"/>
  <c r="C552" i="216"/>
  <c r="D551" i="216"/>
  <c r="C551" i="216"/>
  <c r="F550" i="216"/>
  <c r="E550" i="216"/>
  <c r="D549" i="216"/>
  <c r="C549" i="216"/>
  <c r="D548" i="216"/>
  <c r="C548" i="216"/>
  <c r="D547" i="216"/>
  <c r="C547" i="216"/>
  <c r="D546" i="216"/>
  <c r="C546" i="216"/>
  <c r="D545" i="216"/>
  <c r="C545" i="216"/>
  <c r="D544" i="216"/>
  <c r="C544" i="216"/>
  <c r="D543" i="216"/>
  <c r="C543" i="216"/>
  <c r="D542" i="216"/>
  <c r="C542" i="216"/>
  <c r="D541" i="216"/>
  <c r="C541" i="216"/>
  <c r="D540" i="216"/>
  <c r="C540" i="216"/>
  <c r="D539" i="216"/>
  <c r="C539" i="216"/>
  <c r="D538" i="216"/>
  <c r="C538" i="216"/>
  <c r="D537" i="216"/>
  <c r="C537" i="216"/>
  <c r="D536" i="216"/>
  <c r="C536" i="216"/>
  <c r="D535" i="216"/>
  <c r="C535" i="216"/>
  <c r="D534" i="216"/>
  <c r="C534" i="216"/>
  <c r="D533" i="216"/>
  <c r="C533" i="216"/>
  <c r="D532" i="216"/>
  <c r="C532" i="216"/>
  <c r="D531" i="216"/>
  <c r="C531" i="216"/>
  <c r="D530" i="216"/>
  <c r="C530" i="216"/>
  <c r="D529" i="216"/>
  <c r="C529" i="216"/>
  <c r="D528" i="216"/>
  <c r="C528" i="216"/>
  <c r="D527" i="216"/>
  <c r="C527" i="216"/>
  <c r="D526" i="216"/>
  <c r="C526" i="216"/>
  <c r="D525" i="216"/>
  <c r="C525" i="216"/>
  <c r="D524" i="216"/>
  <c r="C524" i="216"/>
  <c r="D523" i="216"/>
  <c r="C523" i="216"/>
  <c r="D522" i="216"/>
  <c r="C522" i="216"/>
  <c r="D521" i="216"/>
  <c r="C521" i="216"/>
  <c r="D520" i="216"/>
  <c r="C520" i="216"/>
  <c r="D519" i="216"/>
  <c r="C519" i="216"/>
  <c r="D518" i="216"/>
  <c r="C518" i="216"/>
  <c r="D517" i="216"/>
  <c r="C517" i="216"/>
  <c r="D516" i="216"/>
  <c r="C516" i="216"/>
  <c r="D515" i="216"/>
  <c r="C515" i="216"/>
  <c r="D514" i="216"/>
  <c r="C514" i="216"/>
  <c r="D513" i="216"/>
  <c r="C513" i="216"/>
  <c r="D512" i="216"/>
  <c r="C512" i="216"/>
  <c r="D511" i="216"/>
  <c r="C511" i="216"/>
  <c r="D510" i="216"/>
  <c r="C510" i="216"/>
  <c r="D509" i="216"/>
  <c r="C509" i="216"/>
  <c r="D508" i="216"/>
  <c r="C508" i="216"/>
  <c r="D507" i="216"/>
  <c r="C507" i="216"/>
  <c r="D506" i="216"/>
  <c r="C506" i="216"/>
  <c r="D505" i="216"/>
  <c r="C505" i="216"/>
  <c r="D504" i="216"/>
  <c r="C504" i="216"/>
  <c r="D503" i="216"/>
  <c r="C503" i="216"/>
  <c r="F502" i="216"/>
  <c r="E502" i="216"/>
  <c r="D501" i="216"/>
  <c r="C501" i="216"/>
  <c r="D500" i="216"/>
  <c r="C500" i="216"/>
  <c r="D499" i="216"/>
  <c r="C499" i="216"/>
  <c r="D498" i="216"/>
  <c r="C498" i="216"/>
  <c r="D497" i="216"/>
  <c r="C497" i="216"/>
  <c r="D496" i="216"/>
  <c r="C496" i="216"/>
  <c r="D495" i="216"/>
  <c r="C495" i="216"/>
  <c r="D494" i="216"/>
  <c r="C494" i="216"/>
  <c r="D493" i="216"/>
  <c r="C493" i="216"/>
  <c r="D492" i="216"/>
  <c r="C492" i="216"/>
  <c r="D491" i="216"/>
  <c r="C491" i="216"/>
  <c r="D490" i="216"/>
  <c r="C490" i="216"/>
  <c r="D489" i="216"/>
  <c r="C489" i="216"/>
  <c r="D488" i="216"/>
  <c r="C488" i="216"/>
  <c r="D487" i="216"/>
  <c r="C487" i="216"/>
  <c r="D486" i="216"/>
  <c r="C486" i="216"/>
  <c r="D485" i="216"/>
  <c r="C485" i="216"/>
  <c r="D484" i="216"/>
  <c r="C484" i="216"/>
  <c r="D483" i="216"/>
  <c r="C483" i="216"/>
  <c r="D482" i="216"/>
  <c r="C482" i="216"/>
  <c r="D481" i="216"/>
  <c r="C481" i="216"/>
  <c r="D480" i="216"/>
  <c r="C480" i="216"/>
  <c r="D479" i="216"/>
  <c r="C479" i="216"/>
  <c r="D478" i="216"/>
  <c r="C478" i="216"/>
  <c r="D477" i="216"/>
  <c r="C477" i="216"/>
  <c r="D476" i="216"/>
  <c r="C476" i="216"/>
  <c r="D475" i="216"/>
  <c r="C475" i="216"/>
  <c r="D474" i="216"/>
  <c r="C474" i="216"/>
  <c r="D473" i="216"/>
  <c r="C473" i="216"/>
  <c r="D472" i="216"/>
  <c r="C472" i="216"/>
  <c r="D471" i="216"/>
  <c r="C471" i="216"/>
  <c r="D470" i="216"/>
  <c r="C470" i="216"/>
  <c r="D469" i="216"/>
  <c r="C469" i="216"/>
  <c r="D468" i="216"/>
  <c r="C468" i="216"/>
  <c r="D467" i="216"/>
  <c r="C467" i="216"/>
  <c r="D466" i="216"/>
  <c r="C466" i="216"/>
  <c r="D465" i="216"/>
  <c r="C465" i="216"/>
  <c r="D464" i="216"/>
  <c r="C464" i="216"/>
  <c r="D463" i="216"/>
  <c r="C463" i="216"/>
  <c r="D462" i="216"/>
  <c r="C462" i="216"/>
  <c r="D461" i="216"/>
  <c r="C461" i="216"/>
  <c r="D460" i="216"/>
  <c r="C460" i="216"/>
  <c r="D459" i="216"/>
  <c r="C459" i="216"/>
  <c r="D458" i="216"/>
  <c r="C458" i="216"/>
  <c r="D457" i="216"/>
  <c r="C457" i="216"/>
  <c r="D456" i="216"/>
  <c r="C456" i="216"/>
  <c r="D455" i="216"/>
  <c r="C455" i="216"/>
  <c r="D454" i="216"/>
  <c r="C454" i="216"/>
  <c r="F453" i="216"/>
  <c r="E453" i="216"/>
  <c r="D452" i="216"/>
  <c r="C452" i="216"/>
  <c r="D451" i="216"/>
  <c r="C451" i="216"/>
  <c r="D450" i="216"/>
  <c r="C450" i="216"/>
  <c r="D449" i="216"/>
  <c r="C449" i="216"/>
  <c r="D448" i="216"/>
  <c r="C448" i="216"/>
  <c r="D447" i="216"/>
  <c r="C447" i="216"/>
  <c r="D446" i="216"/>
  <c r="C446" i="216"/>
  <c r="D445" i="216"/>
  <c r="C445" i="216"/>
  <c r="D444" i="216"/>
  <c r="C444" i="216"/>
  <c r="D443" i="216"/>
  <c r="C443" i="216"/>
  <c r="D442" i="216"/>
  <c r="C442" i="216"/>
  <c r="D441" i="216"/>
  <c r="C441" i="216"/>
  <c r="D440" i="216"/>
  <c r="C440" i="216"/>
  <c r="D439" i="216"/>
  <c r="C439" i="216"/>
  <c r="D438" i="216"/>
  <c r="C438" i="216"/>
  <c r="D437" i="216"/>
  <c r="C437" i="216"/>
  <c r="D436" i="216"/>
  <c r="C436" i="216"/>
  <c r="D435" i="216"/>
  <c r="C435" i="216"/>
  <c r="D434" i="216"/>
  <c r="C434" i="216"/>
  <c r="D433" i="216"/>
  <c r="C433" i="216"/>
  <c r="D432" i="216"/>
  <c r="C432" i="216"/>
  <c r="D431" i="216"/>
  <c r="C431" i="216"/>
  <c r="D430" i="216"/>
  <c r="C430" i="216"/>
  <c r="D429" i="216"/>
  <c r="C429" i="216"/>
  <c r="D428" i="216"/>
  <c r="C428" i="216"/>
  <c r="D427" i="216"/>
  <c r="C427" i="216"/>
  <c r="D426" i="216"/>
  <c r="C426" i="216"/>
  <c r="D425" i="216"/>
  <c r="C425" i="216"/>
  <c r="D424" i="216"/>
  <c r="C424" i="216"/>
  <c r="D423" i="216"/>
  <c r="C423" i="216"/>
  <c r="D422" i="216"/>
  <c r="C422" i="216"/>
  <c r="D421" i="216"/>
  <c r="C421" i="216"/>
  <c r="D420" i="216"/>
  <c r="C420" i="216"/>
  <c r="D419" i="216"/>
  <c r="C419" i="216"/>
  <c r="D418" i="216"/>
  <c r="C418" i="216"/>
  <c r="D417" i="216"/>
  <c r="C417" i="216"/>
  <c r="D416" i="216"/>
  <c r="C416" i="216"/>
  <c r="D415" i="216"/>
  <c r="C415" i="216"/>
  <c r="D414" i="216"/>
  <c r="C414" i="216"/>
  <c r="D413" i="216"/>
  <c r="C413" i="216"/>
  <c r="D412" i="216"/>
  <c r="C412" i="216"/>
  <c r="D411" i="216"/>
  <c r="C411" i="216"/>
  <c r="D410" i="216"/>
  <c r="C410" i="216"/>
  <c r="D409" i="216"/>
  <c r="C409" i="216"/>
  <c r="D408" i="216"/>
  <c r="C408" i="216"/>
  <c r="D407" i="216"/>
  <c r="C407" i="216"/>
  <c r="D406" i="216"/>
  <c r="C406" i="216"/>
  <c r="D405" i="216"/>
  <c r="C405" i="216"/>
  <c r="F404" i="216"/>
  <c r="E404" i="216"/>
  <c r="D403" i="216"/>
  <c r="C403" i="216"/>
  <c r="D402" i="216"/>
  <c r="C402" i="216"/>
  <c r="D401" i="216"/>
  <c r="C401" i="216"/>
  <c r="D400" i="216"/>
  <c r="C400" i="216"/>
  <c r="D399" i="216"/>
  <c r="C399" i="216"/>
  <c r="D398" i="216"/>
  <c r="C398" i="216"/>
  <c r="D397" i="216"/>
  <c r="C397" i="216"/>
  <c r="D396" i="216"/>
  <c r="C396" i="216"/>
  <c r="D395" i="216"/>
  <c r="C395" i="216"/>
  <c r="D394" i="216"/>
  <c r="C394" i="216"/>
  <c r="D393" i="216"/>
  <c r="C393" i="216"/>
  <c r="D392" i="216"/>
  <c r="C392" i="216"/>
  <c r="D391" i="216"/>
  <c r="C391" i="216"/>
  <c r="D390" i="216"/>
  <c r="C390" i="216"/>
  <c r="D389" i="216"/>
  <c r="C389" i="216"/>
  <c r="D388" i="216"/>
  <c r="C388" i="216"/>
  <c r="D387" i="216"/>
  <c r="C387" i="216"/>
  <c r="D386" i="216"/>
  <c r="C386" i="216"/>
  <c r="D385" i="216"/>
  <c r="C385" i="216"/>
  <c r="D384" i="216"/>
  <c r="C384" i="216"/>
  <c r="D383" i="216"/>
  <c r="C383" i="216"/>
  <c r="D382" i="216"/>
  <c r="C382" i="216"/>
  <c r="D381" i="216"/>
  <c r="C381" i="216"/>
  <c r="D380" i="216"/>
  <c r="C380" i="216"/>
  <c r="D379" i="216"/>
  <c r="C379" i="216"/>
  <c r="D378" i="216"/>
  <c r="C378" i="216"/>
  <c r="D377" i="216"/>
  <c r="C377" i="216"/>
  <c r="D376" i="216"/>
  <c r="C376" i="216"/>
  <c r="D375" i="216"/>
  <c r="C375" i="216"/>
  <c r="D374" i="216"/>
  <c r="C374" i="216"/>
  <c r="D373" i="216"/>
  <c r="C373" i="216"/>
  <c r="D372" i="216"/>
  <c r="C372" i="216"/>
  <c r="D371" i="216"/>
  <c r="C371" i="216"/>
  <c r="D370" i="216"/>
  <c r="C370" i="216"/>
  <c r="D369" i="216"/>
  <c r="C369" i="216"/>
  <c r="D368" i="216"/>
  <c r="C368" i="216"/>
  <c r="D367" i="216"/>
  <c r="C367" i="216"/>
  <c r="D366" i="216"/>
  <c r="C366" i="216"/>
  <c r="D365" i="216"/>
  <c r="C365" i="216"/>
  <c r="D364" i="216"/>
  <c r="C364" i="216"/>
  <c r="D363" i="216"/>
  <c r="C363" i="216"/>
  <c r="D362" i="216"/>
  <c r="C362" i="216"/>
  <c r="D361" i="216"/>
  <c r="C361" i="216"/>
  <c r="D360" i="216"/>
  <c r="C360" i="216"/>
  <c r="D359" i="216"/>
  <c r="C359" i="216"/>
  <c r="D358" i="216"/>
  <c r="C358" i="216"/>
  <c r="D357" i="216"/>
  <c r="C357" i="216"/>
  <c r="D356" i="216"/>
  <c r="C356" i="216"/>
  <c r="D355" i="216"/>
  <c r="C355" i="216"/>
  <c r="D354" i="216"/>
  <c r="C354" i="216"/>
  <c r="D353" i="216"/>
  <c r="C353" i="216"/>
  <c r="F352" i="216"/>
  <c r="E352" i="216"/>
  <c r="D351" i="216"/>
  <c r="C351" i="216"/>
  <c r="D350" i="216"/>
  <c r="C350" i="216"/>
  <c r="D349" i="216"/>
  <c r="C349" i="216"/>
  <c r="D348" i="216"/>
  <c r="C348" i="216"/>
  <c r="D347" i="216"/>
  <c r="C347" i="216"/>
  <c r="D346" i="216"/>
  <c r="C346" i="216"/>
  <c r="D345" i="216"/>
  <c r="C345" i="216"/>
  <c r="D344" i="216"/>
  <c r="C344" i="216"/>
  <c r="D343" i="216"/>
  <c r="C343" i="216"/>
  <c r="D342" i="216"/>
  <c r="C342" i="216"/>
  <c r="D341" i="216"/>
  <c r="C341" i="216"/>
  <c r="D340" i="216"/>
  <c r="C340" i="216"/>
  <c r="D339" i="216"/>
  <c r="C339" i="216"/>
  <c r="D338" i="216"/>
  <c r="C338" i="216"/>
  <c r="D337" i="216"/>
  <c r="C337" i="216"/>
  <c r="D336" i="216"/>
  <c r="C336" i="216"/>
  <c r="D335" i="216"/>
  <c r="C335" i="216"/>
  <c r="D334" i="216"/>
  <c r="C334" i="216"/>
  <c r="D333" i="216"/>
  <c r="C333" i="216"/>
  <c r="D332" i="216"/>
  <c r="C332" i="216"/>
  <c r="D331" i="216"/>
  <c r="C331" i="216"/>
  <c r="D330" i="216"/>
  <c r="C330" i="216"/>
  <c r="D329" i="216"/>
  <c r="C329" i="216"/>
  <c r="D328" i="216"/>
  <c r="C328" i="216"/>
  <c r="D327" i="216"/>
  <c r="C327" i="216"/>
  <c r="D326" i="216"/>
  <c r="C326" i="216"/>
  <c r="D325" i="216"/>
  <c r="C325" i="216"/>
  <c r="D324" i="216"/>
  <c r="C324" i="216"/>
  <c r="D323" i="216"/>
  <c r="C323" i="216"/>
  <c r="D322" i="216"/>
  <c r="C322" i="216"/>
  <c r="D321" i="216"/>
  <c r="C321" i="216"/>
  <c r="D320" i="216"/>
  <c r="C320" i="216"/>
  <c r="D319" i="216"/>
  <c r="C319" i="216"/>
  <c r="D318" i="216"/>
  <c r="C318" i="216"/>
  <c r="D317" i="216"/>
  <c r="C317" i="216"/>
  <c r="D316" i="216"/>
  <c r="C316" i="216"/>
  <c r="D315" i="216"/>
  <c r="C315" i="216"/>
  <c r="D314" i="216"/>
  <c r="C314" i="216"/>
  <c r="D313" i="216"/>
  <c r="C313" i="216"/>
  <c r="D312" i="216"/>
  <c r="C312" i="216"/>
  <c r="D311" i="216"/>
  <c r="C311" i="216"/>
  <c r="D310" i="216"/>
  <c r="C310" i="216"/>
  <c r="D309" i="216"/>
  <c r="C309" i="216"/>
  <c r="D308" i="216"/>
  <c r="C308" i="216"/>
  <c r="D307" i="216"/>
  <c r="C307" i="216"/>
  <c r="D306" i="216"/>
  <c r="C306" i="216"/>
  <c r="D305" i="216"/>
  <c r="C305" i="216"/>
  <c r="F304" i="216"/>
  <c r="E304" i="216"/>
  <c r="D303" i="216"/>
  <c r="C303" i="216"/>
  <c r="D302" i="216"/>
  <c r="C302" i="216"/>
  <c r="D301" i="216"/>
  <c r="C301" i="216"/>
  <c r="D300" i="216"/>
  <c r="C300" i="216"/>
  <c r="D299" i="216"/>
  <c r="C299" i="216"/>
  <c r="D298" i="216"/>
  <c r="C298" i="216"/>
  <c r="D297" i="216"/>
  <c r="C297" i="216"/>
  <c r="D296" i="216"/>
  <c r="C296" i="216"/>
  <c r="D295" i="216"/>
  <c r="C295" i="216"/>
  <c r="D294" i="216"/>
  <c r="C294" i="216"/>
  <c r="D293" i="216"/>
  <c r="C293" i="216"/>
  <c r="D292" i="216"/>
  <c r="C292" i="216"/>
  <c r="D291" i="216"/>
  <c r="C291" i="216"/>
  <c r="D290" i="216"/>
  <c r="C290" i="216"/>
  <c r="D289" i="216"/>
  <c r="C289" i="216"/>
  <c r="D288" i="216"/>
  <c r="C288" i="216"/>
  <c r="D287" i="216"/>
  <c r="C287" i="216"/>
  <c r="D286" i="216"/>
  <c r="C286" i="216"/>
  <c r="D285" i="216"/>
  <c r="C285" i="216"/>
  <c r="D284" i="216"/>
  <c r="C284" i="216"/>
  <c r="D283" i="216"/>
  <c r="C283" i="216"/>
  <c r="D282" i="216"/>
  <c r="C282" i="216"/>
  <c r="D281" i="216"/>
  <c r="C281" i="216"/>
  <c r="D280" i="216"/>
  <c r="C280" i="216"/>
  <c r="D279" i="216"/>
  <c r="C279" i="216"/>
  <c r="D278" i="216"/>
  <c r="C278" i="216"/>
  <c r="D277" i="216"/>
  <c r="C277" i="216"/>
  <c r="D276" i="216"/>
  <c r="C276" i="216"/>
  <c r="D275" i="216"/>
  <c r="C275" i="216"/>
  <c r="D274" i="216"/>
  <c r="C274" i="216"/>
  <c r="D273" i="216"/>
  <c r="C273" i="216"/>
  <c r="D272" i="216"/>
  <c r="C272" i="216"/>
  <c r="D271" i="216"/>
  <c r="C271" i="216"/>
  <c r="D270" i="216"/>
  <c r="C270" i="216"/>
  <c r="D269" i="216"/>
  <c r="C269" i="216"/>
  <c r="D268" i="216"/>
  <c r="C268" i="216"/>
  <c r="D267" i="216"/>
  <c r="C267" i="216"/>
  <c r="D266" i="216"/>
  <c r="C266" i="216"/>
  <c r="D265" i="216"/>
  <c r="C265" i="216"/>
  <c r="D264" i="216"/>
  <c r="C264" i="216"/>
  <c r="D263" i="216"/>
  <c r="C263" i="216"/>
  <c r="D262" i="216"/>
  <c r="C262" i="216"/>
  <c r="D261" i="216"/>
  <c r="C261" i="216"/>
  <c r="D260" i="216"/>
  <c r="C260" i="216"/>
  <c r="D259" i="216"/>
  <c r="C259" i="216"/>
  <c r="D258" i="216"/>
  <c r="C258" i="216"/>
  <c r="D257" i="216"/>
  <c r="C257" i="216"/>
  <c r="D256" i="216"/>
  <c r="C256" i="216"/>
  <c r="F255" i="216"/>
  <c r="E255" i="216"/>
  <c r="D254" i="216"/>
  <c r="C254" i="216"/>
  <c r="D253" i="216"/>
  <c r="C253" i="216"/>
  <c r="D252" i="216"/>
  <c r="C252" i="216"/>
  <c r="D251" i="216"/>
  <c r="C251" i="216"/>
  <c r="D250" i="216"/>
  <c r="C250" i="216"/>
  <c r="D249" i="216"/>
  <c r="C249" i="216"/>
  <c r="D248" i="216"/>
  <c r="C248" i="216"/>
  <c r="D247" i="216"/>
  <c r="C247" i="216"/>
  <c r="D246" i="216"/>
  <c r="C246" i="216"/>
  <c r="D245" i="216"/>
  <c r="C245" i="216"/>
  <c r="D244" i="216"/>
  <c r="C244" i="216"/>
  <c r="D243" i="216"/>
  <c r="C243" i="216"/>
  <c r="D242" i="216"/>
  <c r="C242" i="216"/>
  <c r="D241" i="216"/>
  <c r="C241" i="216"/>
  <c r="D240" i="216"/>
  <c r="C240" i="216"/>
  <c r="D239" i="216"/>
  <c r="C239" i="216"/>
  <c r="D238" i="216"/>
  <c r="C238" i="216"/>
  <c r="D237" i="216"/>
  <c r="C237" i="216"/>
  <c r="D236" i="216"/>
  <c r="C236" i="216"/>
  <c r="D235" i="216"/>
  <c r="C235" i="216"/>
  <c r="D234" i="216"/>
  <c r="C234" i="216"/>
  <c r="D233" i="216"/>
  <c r="C233" i="216"/>
  <c r="D232" i="216"/>
  <c r="C232" i="216"/>
  <c r="D231" i="216"/>
  <c r="C231" i="216"/>
  <c r="D230" i="216"/>
  <c r="C230" i="216"/>
  <c r="D229" i="216"/>
  <c r="C229" i="216"/>
  <c r="D228" i="216"/>
  <c r="C228" i="216"/>
  <c r="D227" i="216"/>
  <c r="C227" i="216"/>
  <c r="D226" i="216"/>
  <c r="C226" i="216"/>
  <c r="D225" i="216"/>
  <c r="C225" i="216"/>
  <c r="D224" i="216"/>
  <c r="C224" i="216"/>
  <c r="D223" i="216"/>
  <c r="C223" i="216"/>
  <c r="D222" i="216"/>
  <c r="C222" i="216"/>
  <c r="D221" i="216"/>
  <c r="C221" i="216"/>
  <c r="D220" i="216"/>
  <c r="C220" i="216"/>
  <c r="D219" i="216"/>
  <c r="C219" i="216"/>
  <c r="D218" i="216"/>
  <c r="C218" i="216"/>
  <c r="D217" i="216"/>
  <c r="C217" i="216"/>
  <c r="D216" i="216"/>
  <c r="C216" i="216"/>
  <c r="D215" i="216"/>
  <c r="C215" i="216"/>
  <c r="D214" i="216"/>
  <c r="C214" i="216"/>
  <c r="D213" i="216"/>
  <c r="C213" i="216"/>
  <c r="D212" i="216"/>
  <c r="C212" i="216"/>
  <c r="D211" i="216"/>
  <c r="C211" i="216"/>
  <c r="D210" i="216"/>
  <c r="C210" i="216"/>
  <c r="D209" i="216"/>
  <c r="C209" i="216"/>
  <c r="D208" i="216"/>
  <c r="C208" i="216"/>
  <c r="D207" i="216"/>
  <c r="C207" i="216"/>
  <c r="F206" i="216"/>
  <c r="E206" i="216"/>
  <c r="D205" i="216"/>
  <c r="C205" i="216"/>
  <c r="D204" i="216"/>
  <c r="C204" i="216"/>
  <c r="F203" i="216"/>
  <c r="E203" i="216"/>
  <c r="D202" i="216"/>
  <c r="C202" i="216"/>
  <c r="D201" i="216"/>
  <c r="C201" i="216"/>
  <c r="D200" i="216"/>
  <c r="C200" i="216"/>
  <c r="D199" i="216"/>
  <c r="C199" i="216"/>
  <c r="D198" i="216"/>
  <c r="C198" i="216"/>
  <c r="D197" i="216"/>
  <c r="C197" i="216"/>
  <c r="D196" i="216"/>
  <c r="C196" i="216"/>
  <c r="D195" i="216"/>
  <c r="C195" i="216"/>
  <c r="D194" i="216"/>
  <c r="C194" i="216"/>
  <c r="D193" i="216"/>
  <c r="C193" i="216"/>
  <c r="D192" i="216"/>
  <c r="C192" i="216"/>
  <c r="D191" i="216"/>
  <c r="C191" i="216"/>
  <c r="D190" i="216"/>
  <c r="C190" i="216"/>
  <c r="D189" i="216"/>
  <c r="C189" i="216"/>
  <c r="D188" i="216"/>
  <c r="C188" i="216"/>
  <c r="D187" i="216"/>
  <c r="C187" i="216"/>
  <c r="D186" i="216"/>
  <c r="C186" i="216"/>
  <c r="D185" i="216"/>
  <c r="C185" i="216"/>
  <c r="D184" i="216"/>
  <c r="C184" i="216"/>
  <c r="D183" i="216"/>
  <c r="C183" i="216"/>
  <c r="D182" i="216"/>
  <c r="C182" i="216"/>
  <c r="D181" i="216"/>
  <c r="C181" i="216"/>
  <c r="D180" i="216"/>
  <c r="C180" i="216"/>
  <c r="D179" i="216"/>
  <c r="C179" i="216"/>
  <c r="D178" i="216"/>
  <c r="C178" i="216"/>
  <c r="D177" i="216"/>
  <c r="C177" i="216"/>
  <c r="D176" i="216"/>
  <c r="C176" i="216"/>
  <c r="D175" i="216"/>
  <c r="C175" i="216"/>
  <c r="D174" i="216"/>
  <c r="C174" i="216"/>
  <c r="D173" i="216"/>
  <c r="C173" i="216"/>
  <c r="D172" i="216"/>
  <c r="C172" i="216"/>
  <c r="D171" i="216"/>
  <c r="C171" i="216"/>
  <c r="D170" i="216"/>
  <c r="C170" i="216"/>
  <c r="D169" i="216"/>
  <c r="C169" i="216"/>
  <c r="D168" i="216"/>
  <c r="C168" i="216"/>
  <c r="D167" i="216"/>
  <c r="C167" i="216"/>
  <c r="D166" i="216"/>
  <c r="C166" i="216"/>
  <c r="D165" i="216"/>
  <c r="C165" i="216"/>
  <c r="D164" i="216"/>
  <c r="C164" i="216"/>
  <c r="D163" i="216"/>
  <c r="C163" i="216"/>
  <c r="D162" i="216"/>
  <c r="C162" i="216"/>
  <c r="D161" i="216"/>
  <c r="C161" i="216"/>
  <c r="D160" i="216"/>
  <c r="C160" i="216"/>
  <c r="D159" i="216"/>
  <c r="C159" i="216"/>
  <c r="D158" i="216"/>
  <c r="C158" i="216"/>
  <c r="D157" i="216"/>
  <c r="C157" i="216"/>
  <c r="D156" i="216"/>
  <c r="C156" i="216"/>
  <c r="D155" i="216"/>
  <c r="C155" i="216"/>
  <c r="F154" i="216"/>
  <c r="E154" i="216"/>
  <c r="D153" i="216"/>
  <c r="C153" i="216"/>
  <c r="D152" i="216"/>
  <c r="C152" i="216"/>
  <c r="D151" i="216"/>
  <c r="C151" i="216"/>
  <c r="D150" i="216"/>
  <c r="C150" i="216"/>
  <c r="D149" i="216"/>
  <c r="C149" i="216"/>
  <c r="D148" i="216"/>
  <c r="C148" i="216"/>
  <c r="D147" i="216"/>
  <c r="C147" i="216"/>
  <c r="D146" i="216"/>
  <c r="C146" i="216"/>
  <c r="D145" i="216"/>
  <c r="C145" i="216"/>
  <c r="D144" i="216"/>
  <c r="C144" i="216"/>
  <c r="D143" i="216"/>
  <c r="C143" i="216"/>
  <c r="D142" i="216"/>
  <c r="C142" i="216"/>
  <c r="D141" i="216"/>
  <c r="C141" i="216"/>
  <c r="D140" i="216"/>
  <c r="C140" i="216"/>
  <c r="D139" i="216"/>
  <c r="C139" i="216"/>
  <c r="D138" i="216"/>
  <c r="C138" i="216"/>
  <c r="D137" i="216"/>
  <c r="C137" i="216"/>
  <c r="D136" i="216"/>
  <c r="C136" i="216"/>
  <c r="D135" i="216"/>
  <c r="C135" i="216"/>
  <c r="D134" i="216"/>
  <c r="C134" i="216"/>
  <c r="D133" i="216"/>
  <c r="C133" i="216"/>
  <c r="D132" i="216"/>
  <c r="C132" i="216"/>
  <c r="D131" i="216"/>
  <c r="C131" i="216"/>
  <c r="D130" i="216"/>
  <c r="C130" i="216"/>
  <c r="D129" i="216"/>
  <c r="C129" i="216"/>
  <c r="D128" i="216"/>
  <c r="C128" i="216"/>
  <c r="D127" i="216"/>
  <c r="C127" i="216"/>
  <c r="D126" i="216"/>
  <c r="C126" i="216"/>
  <c r="D125" i="216"/>
  <c r="C125" i="216"/>
  <c r="D124" i="216"/>
  <c r="C124" i="216"/>
  <c r="D123" i="216"/>
  <c r="C123" i="216"/>
  <c r="D122" i="216"/>
  <c r="C122" i="216"/>
  <c r="D121" i="216"/>
  <c r="C121" i="216"/>
  <c r="D120" i="216"/>
  <c r="C120" i="216"/>
  <c r="D119" i="216"/>
  <c r="C119" i="216"/>
  <c r="D118" i="216"/>
  <c r="C118" i="216"/>
  <c r="D117" i="216"/>
  <c r="C117" i="216"/>
  <c r="D116" i="216"/>
  <c r="C116" i="216"/>
  <c r="D115" i="216"/>
  <c r="C115" i="216"/>
  <c r="D114" i="216"/>
  <c r="C114" i="216"/>
  <c r="D113" i="216"/>
  <c r="C113" i="216"/>
  <c r="D112" i="216"/>
  <c r="C112" i="216"/>
  <c r="D111" i="216"/>
  <c r="C111" i="216"/>
  <c r="D110" i="216"/>
  <c r="C110" i="216"/>
  <c r="D109" i="216"/>
  <c r="C109" i="216"/>
  <c r="D108" i="216"/>
  <c r="C108" i="216"/>
  <c r="D107" i="216"/>
  <c r="C107" i="216"/>
  <c r="D106" i="216"/>
  <c r="C106" i="216"/>
  <c r="F105" i="216"/>
  <c r="E105" i="216"/>
  <c r="D104" i="216"/>
  <c r="C104" i="216"/>
  <c r="D103" i="216"/>
  <c r="C103" i="216"/>
  <c r="D102" i="216"/>
  <c r="C102" i="216"/>
  <c r="D101" i="216"/>
  <c r="C101" i="216"/>
  <c r="D100" i="216"/>
  <c r="C100" i="216"/>
  <c r="D99" i="216"/>
  <c r="C99" i="216"/>
  <c r="D98" i="216"/>
  <c r="C98" i="216"/>
  <c r="D97" i="216"/>
  <c r="C97" i="216"/>
  <c r="D96" i="216"/>
  <c r="C96" i="216"/>
  <c r="D95" i="216"/>
  <c r="C95" i="216"/>
  <c r="D94" i="216"/>
  <c r="C94" i="216"/>
  <c r="D93" i="216"/>
  <c r="C93" i="216"/>
  <c r="D92" i="216"/>
  <c r="C92" i="216"/>
  <c r="D91" i="216"/>
  <c r="C91" i="216"/>
  <c r="D90" i="216"/>
  <c r="C90" i="216"/>
  <c r="D89" i="216"/>
  <c r="C89" i="216"/>
  <c r="D88" i="216"/>
  <c r="C88" i="216"/>
  <c r="D87" i="216"/>
  <c r="C87" i="216"/>
  <c r="D86" i="216"/>
  <c r="C86" i="216"/>
  <c r="D85" i="216"/>
  <c r="C85" i="216"/>
  <c r="D84" i="216"/>
  <c r="C84" i="216"/>
  <c r="D83" i="216"/>
  <c r="C83" i="216"/>
  <c r="D82" i="216"/>
  <c r="C82" i="216"/>
  <c r="D81" i="216"/>
  <c r="C81" i="216"/>
  <c r="D80" i="216"/>
  <c r="C80" i="216"/>
  <c r="D79" i="216"/>
  <c r="C79" i="216"/>
  <c r="D78" i="216"/>
  <c r="C78" i="216"/>
  <c r="D77" i="216"/>
  <c r="C77" i="216"/>
  <c r="D76" i="216"/>
  <c r="C76" i="216"/>
  <c r="D75" i="216"/>
  <c r="C75" i="216"/>
  <c r="D74" i="216"/>
  <c r="C74" i="216"/>
  <c r="D73" i="216"/>
  <c r="C73" i="216"/>
  <c r="D72" i="216"/>
  <c r="C72" i="216"/>
  <c r="D71" i="216"/>
  <c r="C71" i="216"/>
  <c r="D70" i="216"/>
  <c r="C70" i="216"/>
  <c r="D69" i="216"/>
  <c r="C69" i="216"/>
  <c r="D68" i="216"/>
  <c r="C68" i="216"/>
  <c r="D67" i="216"/>
  <c r="C67" i="216"/>
  <c r="D66" i="216"/>
  <c r="C66" i="216"/>
  <c r="D65" i="216"/>
  <c r="C65" i="216"/>
  <c r="D64" i="216"/>
  <c r="C64" i="216"/>
  <c r="D63" i="216"/>
  <c r="C63" i="216"/>
  <c r="D62" i="216"/>
  <c r="C62" i="216"/>
  <c r="D61" i="216"/>
  <c r="C61" i="216"/>
  <c r="D60" i="216"/>
  <c r="C60" i="216"/>
  <c r="D59" i="216"/>
  <c r="C59" i="216"/>
  <c r="D58" i="216"/>
  <c r="C58" i="216"/>
  <c r="D57" i="216"/>
  <c r="C57" i="216"/>
  <c r="F56" i="216"/>
  <c r="E56" i="216"/>
  <c r="D55" i="216"/>
  <c r="C55" i="216"/>
  <c r="D54" i="216"/>
  <c r="C54" i="216"/>
  <c r="D53" i="216"/>
  <c r="C53" i="216"/>
  <c r="D52" i="216"/>
  <c r="C52" i="216"/>
  <c r="D51" i="216"/>
  <c r="C51" i="216"/>
  <c r="D50" i="216"/>
  <c r="C50" i="216"/>
  <c r="D49" i="216"/>
  <c r="C49" i="216"/>
  <c r="D48" i="216"/>
  <c r="C48" i="216"/>
  <c r="D47" i="216"/>
  <c r="C47" i="216"/>
  <c r="D46" i="216"/>
  <c r="C46" i="216"/>
  <c r="D45" i="216"/>
  <c r="C45" i="216"/>
  <c r="D44" i="216"/>
  <c r="C44" i="216"/>
  <c r="D43" i="216"/>
  <c r="C43" i="216"/>
  <c r="D42" i="216"/>
  <c r="C42" i="216"/>
  <c r="D41" i="216"/>
  <c r="C41" i="216"/>
  <c r="D40" i="216"/>
  <c r="C40" i="216"/>
  <c r="D39" i="216"/>
  <c r="C39" i="216"/>
  <c r="D38" i="216"/>
  <c r="C38" i="216"/>
  <c r="D37" i="216"/>
  <c r="C37" i="216"/>
  <c r="D36" i="216"/>
  <c r="C36" i="216"/>
  <c r="D35" i="216"/>
  <c r="C35" i="216"/>
  <c r="D34" i="216"/>
  <c r="C34" i="216"/>
  <c r="D33" i="216"/>
  <c r="C33" i="216"/>
  <c r="D32" i="216"/>
  <c r="C32" i="216"/>
  <c r="D31" i="216"/>
  <c r="C31" i="216"/>
  <c r="D30" i="216"/>
  <c r="C30" i="216"/>
  <c r="D29" i="216"/>
  <c r="C29" i="216"/>
  <c r="D28" i="216"/>
  <c r="C28" i="216"/>
  <c r="D27" i="216"/>
  <c r="C27" i="216"/>
  <c r="D26" i="216"/>
  <c r="C26" i="216"/>
  <c r="D25" i="216"/>
  <c r="C25" i="216"/>
  <c r="D24" i="216"/>
  <c r="C24" i="216"/>
  <c r="D23" i="216"/>
  <c r="C23" i="216"/>
  <c r="D22" i="216"/>
  <c r="C22" i="216"/>
  <c r="D21" i="216"/>
  <c r="C21" i="216"/>
  <c r="D20" i="216"/>
  <c r="C20" i="216"/>
  <c r="D19" i="216"/>
  <c r="C19" i="216"/>
  <c r="D18" i="216"/>
  <c r="C18" i="216"/>
  <c r="D17" i="216"/>
  <c r="C17" i="216"/>
  <c r="D16" i="216"/>
  <c r="C16" i="216"/>
  <c r="D15" i="216"/>
  <c r="C15" i="216"/>
  <c r="D14" i="216"/>
  <c r="C14" i="216"/>
  <c r="D13" i="216"/>
  <c r="C13" i="216"/>
  <c r="D12" i="216"/>
  <c r="C12" i="216"/>
  <c r="D11" i="216"/>
  <c r="C11" i="216"/>
  <c r="D10" i="216"/>
  <c r="C10" i="216"/>
  <c r="D9" i="216"/>
  <c r="C9" i="216"/>
  <c r="D8" i="216"/>
  <c r="C8" i="216"/>
  <c r="H46" i="217"/>
  <c r="H45" i="217"/>
  <c r="H44" i="217"/>
  <c r="H43" i="217"/>
  <c r="H42" i="217"/>
  <c r="H41" i="217"/>
  <c r="H40" i="217"/>
  <c r="H39" i="217"/>
  <c r="H38" i="217"/>
  <c r="H37" i="217"/>
  <c r="H36" i="217"/>
  <c r="H35" i="217"/>
  <c r="H32" i="217"/>
  <c r="H31" i="217"/>
  <c r="H30" i="217"/>
  <c r="H29" i="217"/>
  <c r="H28" i="217"/>
  <c r="H27" i="217"/>
  <c r="H26" i="217"/>
  <c r="H25" i="217"/>
  <c r="H24" i="217"/>
  <c r="H23" i="217"/>
  <c r="H22" i="217"/>
  <c r="H21" i="217"/>
  <c r="H20" i="217"/>
  <c r="H19" i="217"/>
  <c r="H18" i="217"/>
  <c r="H17" i="217"/>
  <c r="H16" i="217"/>
  <c r="H15" i="217"/>
  <c r="H14" i="217"/>
  <c r="H13" i="217"/>
  <c r="I18" i="202" l="1"/>
  <c r="F483" i="204"/>
  <c r="H483" i="204" s="1"/>
  <c r="G899" i="204"/>
  <c r="H899" i="204" s="1"/>
  <c r="F448" i="204"/>
  <c r="H448" i="204" s="1"/>
  <c r="F466" i="204"/>
  <c r="H466" i="204" s="1"/>
  <c r="G901" i="204"/>
  <c r="H901" i="204" s="1"/>
  <c r="I345" i="204"/>
  <c r="I362" i="204"/>
  <c r="J367" i="204"/>
  <c r="Q372" i="204"/>
  <c r="P378" i="204"/>
  <c r="O384" i="204"/>
  <c r="I390" i="204"/>
  <c r="E398" i="204"/>
  <c r="H398" i="204" s="1"/>
  <c r="E416" i="204"/>
  <c r="H416" i="204" s="1"/>
  <c r="E433" i="204"/>
  <c r="H433" i="204" s="1"/>
  <c r="F449" i="204"/>
  <c r="H449" i="204" s="1"/>
  <c r="F467" i="204"/>
  <c r="H467" i="204" s="1"/>
  <c r="F484" i="204"/>
  <c r="H484" i="204" s="1"/>
  <c r="G909" i="204"/>
  <c r="H909" i="204" s="1"/>
  <c r="J345" i="204"/>
  <c r="P356" i="204"/>
  <c r="J362" i="204"/>
  <c r="I368" i="204"/>
  <c r="I373" i="204"/>
  <c r="Q378" i="204"/>
  <c r="P384" i="204"/>
  <c r="J390" i="204"/>
  <c r="E417" i="204"/>
  <c r="H417" i="204" s="1"/>
  <c r="F451" i="204"/>
  <c r="H451" i="204" s="1"/>
  <c r="F485" i="204"/>
  <c r="H485" i="204" s="1"/>
  <c r="G911" i="204"/>
  <c r="H911" i="204" s="1"/>
  <c r="I346" i="204"/>
  <c r="I351" i="204"/>
  <c r="Q356" i="204"/>
  <c r="O362" i="204"/>
  <c r="J368" i="204"/>
  <c r="J373" i="204"/>
  <c r="I379" i="204"/>
  <c r="Q384" i="204"/>
  <c r="O390" i="204"/>
  <c r="E399" i="204"/>
  <c r="H399" i="204" s="1"/>
  <c r="E434" i="204"/>
  <c r="H434" i="204" s="1"/>
  <c r="F452" i="204"/>
  <c r="H452" i="204" s="1"/>
  <c r="F468" i="204"/>
  <c r="H468" i="204" s="1"/>
  <c r="J346" i="204"/>
  <c r="J351" i="204"/>
  <c r="I357" i="204"/>
  <c r="P362" i="204"/>
  <c r="O368" i="204"/>
  <c r="I374" i="204"/>
  <c r="J379" i="204"/>
  <c r="I385" i="204"/>
  <c r="P390" i="204"/>
  <c r="E401" i="204"/>
  <c r="H401" i="204" s="1"/>
  <c r="E418" i="204"/>
  <c r="H418" i="204" s="1"/>
  <c r="E435" i="204"/>
  <c r="H435" i="204" s="1"/>
  <c r="F453" i="204"/>
  <c r="H453" i="204" s="1"/>
  <c r="F469" i="204"/>
  <c r="H469" i="204" s="1"/>
  <c r="F486" i="204"/>
  <c r="H486" i="204" s="1"/>
  <c r="O346" i="204"/>
  <c r="I352" i="204"/>
  <c r="J357" i="204"/>
  <c r="Q362" i="204"/>
  <c r="P368" i="204"/>
  <c r="J374" i="204"/>
  <c r="I380" i="204"/>
  <c r="J385" i="204"/>
  <c r="Q390" i="204"/>
  <c r="E402" i="204"/>
  <c r="H402" i="204" s="1"/>
  <c r="E419" i="204"/>
  <c r="H419" i="204" s="1"/>
  <c r="F454" i="204"/>
  <c r="H454" i="204" s="1"/>
  <c r="F471" i="204"/>
  <c r="H471" i="204" s="1"/>
  <c r="F487" i="204"/>
  <c r="H487" i="204" s="1"/>
  <c r="J352" i="204"/>
  <c r="I358" i="204"/>
  <c r="I363" i="204"/>
  <c r="Q368" i="204"/>
  <c r="O374" i="204"/>
  <c r="J380" i="204"/>
  <c r="I386" i="204"/>
  <c r="I391" i="204"/>
  <c r="E403" i="204"/>
  <c r="H403" i="204" s="1"/>
  <c r="E421" i="204"/>
  <c r="H421" i="204" s="1"/>
  <c r="E436" i="204"/>
  <c r="H436" i="204" s="1"/>
  <c r="F455" i="204"/>
  <c r="H455" i="204" s="1"/>
  <c r="F472" i="204"/>
  <c r="H472" i="204" s="1"/>
  <c r="Q346" i="204"/>
  <c r="O352" i="204"/>
  <c r="J358" i="204"/>
  <c r="R358" i="204" s="1"/>
  <c r="J363" i="204"/>
  <c r="I369" i="204"/>
  <c r="P374" i="204"/>
  <c r="O380" i="204"/>
  <c r="J386" i="204"/>
  <c r="J391" i="204"/>
  <c r="E404" i="204"/>
  <c r="H404" i="204" s="1"/>
  <c r="E422" i="204"/>
  <c r="H422" i="204" s="1"/>
  <c r="E437" i="204"/>
  <c r="H437" i="204" s="1"/>
  <c r="F473" i="204"/>
  <c r="H473" i="204" s="1"/>
  <c r="F488" i="204"/>
  <c r="H488" i="204" s="1"/>
  <c r="I347" i="204"/>
  <c r="P352" i="204"/>
  <c r="O358" i="204"/>
  <c r="I364" i="204"/>
  <c r="J369" i="204"/>
  <c r="Q374" i="204"/>
  <c r="P380" i="204"/>
  <c r="O386" i="204"/>
  <c r="I392" i="204"/>
  <c r="E405" i="204"/>
  <c r="H405" i="204" s="1"/>
  <c r="E423" i="204"/>
  <c r="H423" i="204" s="1"/>
  <c r="F456" i="204"/>
  <c r="H456" i="204" s="1"/>
  <c r="G869" i="204"/>
  <c r="H869" i="204" s="1"/>
  <c r="J347" i="204"/>
  <c r="Q352" i="204"/>
  <c r="P358" i="204"/>
  <c r="J364" i="204"/>
  <c r="K369" i="204"/>
  <c r="I375" i="204"/>
  <c r="Q380" i="204"/>
  <c r="P386" i="204"/>
  <c r="J392" i="204"/>
  <c r="E438" i="204"/>
  <c r="H438" i="204" s="1"/>
  <c r="F457" i="204"/>
  <c r="H457" i="204" s="1"/>
  <c r="F474" i="204"/>
  <c r="H474" i="204" s="1"/>
  <c r="G871" i="204"/>
  <c r="H871" i="204" s="1"/>
  <c r="I348" i="204"/>
  <c r="I353" i="204"/>
  <c r="Q358" i="204"/>
  <c r="O364" i="204"/>
  <c r="I370" i="204"/>
  <c r="J375" i="204"/>
  <c r="I381" i="204"/>
  <c r="Q386" i="204"/>
  <c r="O392" i="204"/>
  <c r="E406" i="204"/>
  <c r="H406" i="204" s="1"/>
  <c r="E424" i="204"/>
  <c r="H424" i="204" s="1"/>
  <c r="E439" i="204"/>
  <c r="H439" i="204" s="1"/>
  <c r="F475" i="204"/>
  <c r="H475" i="204" s="1"/>
  <c r="J348" i="204"/>
  <c r="J353" i="204"/>
  <c r="I359" i="204"/>
  <c r="P364" i="204"/>
  <c r="J370" i="204"/>
  <c r="I376" i="204"/>
  <c r="J381" i="204"/>
  <c r="I387" i="204"/>
  <c r="P392" i="204"/>
  <c r="E407" i="204"/>
  <c r="H407" i="204" s="1"/>
  <c r="E425" i="204"/>
  <c r="H425" i="204" s="1"/>
  <c r="F441" i="204"/>
  <c r="H441" i="204" s="1"/>
  <c r="F458" i="204"/>
  <c r="H458" i="204" s="1"/>
  <c r="G872" i="204"/>
  <c r="H872" i="204" s="1"/>
  <c r="O348" i="204"/>
  <c r="I354" i="204"/>
  <c r="J359" i="204"/>
  <c r="Q364" i="204"/>
  <c r="O370" i="204"/>
  <c r="J376" i="204"/>
  <c r="R376" i="204" s="1"/>
  <c r="I382" i="204"/>
  <c r="J387" i="204"/>
  <c r="Q392" i="204"/>
  <c r="F442" i="204"/>
  <c r="H442" i="204" s="1"/>
  <c r="F459" i="204"/>
  <c r="H459" i="204" s="1"/>
  <c r="F476" i="204"/>
  <c r="H476" i="204" s="1"/>
  <c r="G876" i="204"/>
  <c r="H876" i="204" s="1"/>
  <c r="P348" i="204"/>
  <c r="J354" i="204"/>
  <c r="K359" i="204"/>
  <c r="I365" i="204"/>
  <c r="P370" i="204"/>
  <c r="O376" i="204"/>
  <c r="J382" i="204"/>
  <c r="R382" i="204" s="1"/>
  <c r="I388" i="204"/>
  <c r="E393" i="204"/>
  <c r="H393" i="204" s="1"/>
  <c r="E408" i="204"/>
  <c r="H408" i="204" s="1"/>
  <c r="E426" i="204"/>
  <c r="H426" i="204" s="1"/>
  <c r="F443" i="204"/>
  <c r="H443" i="204" s="1"/>
  <c r="F461" i="204"/>
  <c r="H461" i="204" s="1"/>
  <c r="F477" i="204"/>
  <c r="H477" i="204" s="1"/>
  <c r="G879" i="204"/>
  <c r="H879" i="204" s="1"/>
  <c r="F3" i="204"/>
  <c r="I343" i="204"/>
  <c r="Q348" i="204"/>
  <c r="O354" i="204"/>
  <c r="I360" i="204"/>
  <c r="J365" i="204"/>
  <c r="Q370" i="204"/>
  <c r="P376" i="204"/>
  <c r="O382" i="204"/>
  <c r="J388" i="204"/>
  <c r="E409" i="204"/>
  <c r="H409" i="204" s="1"/>
  <c r="E427" i="204"/>
  <c r="H427" i="204" s="1"/>
  <c r="F444" i="204"/>
  <c r="H444" i="204" s="1"/>
  <c r="F462" i="204"/>
  <c r="H462" i="204" s="1"/>
  <c r="G882" i="204"/>
  <c r="H882" i="204" s="1"/>
  <c r="J343" i="204"/>
  <c r="I349" i="204"/>
  <c r="P354" i="204"/>
  <c r="J360" i="204"/>
  <c r="I366" i="204"/>
  <c r="I371" i="204"/>
  <c r="Q376" i="204"/>
  <c r="P382" i="204"/>
  <c r="O388" i="204"/>
  <c r="E394" i="204"/>
  <c r="H394" i="204" s="1"/>
  <c r="E411" i="204"/>
  <c r="H411" i="204" s="1"/>
  <c r="F445" i="204"/>
  <c r="H445" i="204" s="1"/>
  <c r="F463" i="204"/>
  <c r="H463" i="204" s="1"/>
  <c r="F478" i="204"/>
  <c r="H478" i="204" s="1"/>
  <c r="G886" i="204"/>
  <c r="H886" i="204" s="1"/>
  <c r="I344" i="204"/>
  <c r="J349" i="204"/>
  <c r="Q354" i="204"/>
  <c r="O360" i="204"/>
  <c r="J366" i="204"/>
  <c r="J371" i="204"/>
  <c r="I377" i="204"/>
  <c r="Q382" i="204"/>
  <c r="P388" i="204"/>
  <c r="E395" i="204"/>
  <c r="H395" i="204" s="1"/>
  <c r="E412" i="204"/>
  <c r="H412" i="204" s="1"/>
  <c r="E428" i="204"/>
  <c r="H428" i="204" s="1"/>
  <c r="F479" i="204"/>
  <c r="H479" i="204" s="1"/>
  <c r="G889" i="204"/>
  <c r="H889" i="204" s="1"/>
  <c r="J344" i="204"/>
  <c r="R344" i="204" s="1"/>
  <c r="K349" i="204"/>
  <c r="I355" i="204"/>
  <c r="P360" i="204"/>
  <c r="O366" i="204"/>
  <c r="I372" i="204"/>
  <c r="J377" i="204"/>
  <c r="I383" i="204"/>
  <c r="Q388" i="204"/>
  <c r="E413" i="204"/>
  <c r="H413" i="204" s="1"/>
  <c r="F446" i="204"/>
  <c r="H446" i="204" s="1"/>
  <c r="F464" i="204"/>
  <c r="H464" i="204" s="1"/>
  <c r="F481" i="204"/>
  <c r="H481" i="204" s="1"/>
  <c r="G892" i="204"/>
  <c r="H892" i="204" s="1"/>
  <c r="O344" i="204"/>
  <c r="I350" i="204"/>
  <c r="J355" i="204"/>
  <c r="Q360" i="204"/>
  <c r="P366" i="204"/>
  <c r="J372" i="204"/>
  <c r="I378" i="204"/>
  <c r="E396" i="204"/>
  <c r="H396" i="204" s="1"/>
  <c r="E414" i="204"/>
  <c r="H414" i="204" s="1"/>
  <c r="E429" i="204"/>
  <c r="H429" i="204" s="1"/>
  <c r="F447" i="204"/>
  <c r="H447" i="204" s="1"/>
  <c r="F465" i="204"/>
  <c r="H465" i="204" s="1"/>
  <c r="F482" i="204"/>
  <c r="H482" i="204" s="1"/>
  <c r="G896" i="204"/>
  <c r="H896" i="204" s="1"/>
  <c r="N88" i="120"/>
  <c r="K86" i="120"/>
  <c r="J86" i="120"/>
  <c r="Q86" i="120"/>
  <c r="R88" i="120"/>
  <c r="K347" i="204"/>
  <c r="K357" i="204"/>
  <c r="K367" i="204"/>
  <c r="K343" i="204"/>
  <c r="K353" i="204"/>
  <c r="K363" i="204"/>
  <c r="G915" i="204"/>
  <c r="H915" i="204" s="1"/>
  <c r="G905" i="204"/>
  <c r="H905" i="204" s="1"/>
  <c r="G895" i="204"/>
  <c r="H895" i="204" s="1"/>
  <c r="G885" i="204"/>
  <c r="H885" i="204" s="1"/>
  <c r="G875" i="204"/>
  <c r="H875" i="204" s="1"/>
  <c r="G914" i="204"/>
  <c r="H914" i="204" s="1"/>
  <c r="G904" i="204"/>
  <c r="H904" i="204" s="1"/>
  <c r="G894" i="204"/>
  <c r="H894" i="204" s="1"/>
  <c r="G884" i="204"/>
  <c r="H884" i="204" s="1"/>
  <c r="G874" i="204"/>
  <c r="H874" i="204" s="1"/>
  <c r="G902" i="204"/>
  <c r="H902" i="204" s="1"/>
  <c r="G913" i="204"/>
  <c r="H913" i="204" s="1"/>
  <c r="G903" i="204"/>
  <c r="H903" i="204" s="1"/>
  <c r="G893" i="204"/>
  <c r="H893" i="204" s="1"/>
  <c r="G883" i="204"/>
  <c r="H883" i="204" s="1"/>
  <c r="G873" i="204"/>
  <c r="H873" i="204" s="1"/>
  <c r="G912" i="204"/>
  <c r="H912" i="204" s="1"/>
  <c r="G910" i="204"/>
  <c r="H910" i="204" s="1"/>
  <c r="G900" i="204"/>
  <c r="H900" i="204" s="1"/>
  <c r="G890" i="204"/>
  <c r="H890" i="204" s="1"/>
  <c r="G880" i="204"/>
  <c r="H880" i="204" s="1"/>
  <c r="G870" i="204"/>
  <c r="H870" i="204" s="1"/>
  <c r="H4" i="204"/>
  <c r="G897" i="204"/>
  <c r="H897" i="204" s="1"/>
  <c r="G908" i="204"/>
  <c r="H908" i="204" s="1"/>
  <c r="G898" i="204"/>
  <c r="H898" i="204" s="1"/>
  <c r="G888" i="204"/>
  <c r="H888" i="204" s="1"/>
  <c r="G878" i="204"/>
  <c r="H878" i="204" s="1"/>
  <c r="G868" i="204"/>
  <c r="H868" i="204" s="1"/>
  <c r="G907" i="204"/>
  <c r="H907" i="204" s="1"/>
  <c r="G887" i="204"/>
  <c r="H887" i="204" s="1"/>
  <c r="G867" i="204"/>
  <c r="H867" i="204" s="1"/>
  <c r="G877" i="204"/>
  <c r="H877" i="204" s="1"/>
  <c r="G891" i="204"/>
  <c r="H891" i="204" s="1"/>
  <c r="R4" i="204"/>
  <c r="K383" i="204"/>
  <c r="K379" i="204"/>
  <c r="K391" i="204"/>
  <c r="K389" i="204"/>
  <c r="K387" i="204"/>
  <c r="K381" i="204"/>
  <c r="K377" i="204"/>
  <c r="K385" i="204"/>
  <c r="K392" i="204"/>
  <c r="K384" i="204"/>
  <c r="K378" i="204"/>
  <c r="K374" i="204"/>
  <c r="R374" i="204" s="1"/>
  <c r="K370" i="204"/>
  <c r="R370" i="204" s="1"/>
  <c r="K366" i="204"/>
  <c r="K362" i="204"/>
  <c r="K358" i="204"/>
  <c r="K354" i="204"/>
  <c r="R354" i="204" s="1"/>
  <c r="K350" i="204"/>
  <c r="K346" i="204"/>
  <c r="K390" i="204"/>
  <c r="K388" i="204"/>
  <c r="K386" i="204"/>
  <c r="K382" i="204"/>
  <c r="K380" i="204"/>
  <c r="K376" i="204"/>
  <c r="K372" i="204"/>
  <c r="K368" i="204"/>
  <c r="K364" i="204"/>
  <c r="K360" i="204"/>
  <c r="R360" i="204" s="1"/>
  <c r="K356" i="204"/>
  <c r="K352" i="204"/>
  <c r="K348" i="204"/>
  <c r="K344" i="204"/>
  <c r="L391" i="204"/>
  <c r="R391" i="204" s="1"/>
  <c r="L389" i="204"/>
  <c r="L387" i="204"/>
  <c r="L385" i="204"/>
  <c r="L383" i="204"/>
  <c r="L381" i="204"/>
  <c r="L379" i="204"/>
  <c r="L377" i="204"/>
  <c r="L375" i="204"/>
  <c r="L373" i="204"/>
  <c r="L371" i="204"/>
  <c r="L369" i="204"/>
  <c r="L367" i="204"/>
  <c r="L365" i="204"/>
  <c r="L363" i="204"/>
  <c r="L361" i="204"/>
  <c r="L359" i="204"/>
  <c r="L357" i="204"/>
  <c r="L355" i="204"/>
  <c r="L353" i="204"/>
  <c r="L351" i="204"/>
  <c r="L349" i="204"/>
  <c r="L347" i="204"/>
  <c r="R347" i="204" s="1"/>
  <c r="L345" i="204"/>
  <c r="L343" i="204"/>
  <c r="L392" i="204"/>
  <c r="L388" i="204"/>
  <c r="L384" i="204"/>
  <c r="L380" i="204"/>
  <c r="L378" i="204"/>
  <c r="L374" i="204"/>
  <c r="L370" i="204"/>
  <c r="L366" i="204"/>
  <c r="L362" i="204"/>
  <c r="L358" i="204"/>
  <c r="L356" i="204"/>
  <c r="L352" i="204"/>
  <c r="L350" i="204"/>
  <c r="L348" i="204"/>
  <c r="L344" i="204"/>
  <c r="L390" i="204"/>
  <c r="L386" i="204"/>
  <c r="L382" i="204"/>
  <c r="L376" i="204"/>
  <c r="L372" i="204"/>
  <c r="R372" i="204" s="1"/>
  <c r="L368" i="204"/>
  <c r="L364" i="204"/>
  <c r="L360" i="204"/>
  <c r="L354" i="204"/>
  <c r="L346" i="204"/>
  <c r="K355" i="204"/>
  <c r="M391" i="204"/>
  <c r="M389" i="204"/>
  <c r="M387" i="204"/>
  <c r="M385" i="204"/>
  <c r="M383" i="204"/>
  <c r="M381" i="204"/>
  <c r="M379" i="204"/>
  <c r="M377" i="204"/>
  <c r="M375" i="204"/>
  <c r="M373" i="204"/>
  <c r="M371" i="204"/>
  <c r="R371" i="204" s="1"/>
  <c r="M369" i="204"/>
  <c r="M367" i="204"/>
  <c r="M365" i="204"/>
  <c r="M363" i="204"/>
  <c r="M361" i="204"/>
  <c r="M359" i="204"/>
  <c r="M357" i="204"/>
  <c r="M355" i="204"/>
  <c r="M353" i="204"/>
  <c r="M351" i="204"/>
  <c r="M349" i="204"/>
  <c r="M347" i="204"/>
  <c r="M345" i="204"/>
  <c r="M343" i="204"/>
  <c r="M392" i="204"/>
  <c r="M390" i="204"/>
  <c r="M388" i="204"/>
  <c r="M386" i="204"/>
  <c r="M384" i="204"/>
  <c r="M382" i="204"/>
  <c r="M380" i="204"/>
  <c r="M378" i="204"/>
  <c r="M376" i="204"/>
  <c r="M374" i="204"/>
  <c r="M372" i="204"/>
  <c r="M370" i="204"/>
  <c r="M368" i="204"/>
  <c r="M366" i="204"/>
  <c r="M364" i="204"/>
  <c r="M362" i="204"/>
  <c r="M360" i="204"/>
  <c r="M358" i="204"/>
  <c r="M356" i="204"/>
  <c r="M354" i="204"/>
  <c r="M352" i="204"/>
  <c r="M350" i="204"/>
  <c r="M348" i="204"/>
  <c r="M346" i="204"/>
  <c r="M344" i="204"/>
  <c r="K345" i="204"/>
  <c r="R345" i="204" s="1"/>
  <c r="K365" i="204"/>
  <c r="K375" i="204"/>
  <c r="G906" i="204"/>
  <c r="H906" i="204" s="1"/>
  <c r="K351" i="204"/>
  <c r="K361" i="204"/>
  <c r="K371" i="204"/>
  <c r="E400" i="204"/>
  <c r="H400" i="204" s="1"/>
  <c r="E410" i="204"/>
  <c r="H410" i="204" s="1"/>
  <c r="E420" i="204"/>
  <c r="H420" i="204" s="1"/>
  <c r="E430" i="204"/>
  <c r="H430" i="204" s="1"/>
  <c r="F450" i="204"/>
  <c r="H450" i="204" s="1"/>
  <c r="F460" i="204"/>
  <c r="H460" i="204" s="1"/>
  <c r="F470" i="204"/>
  <c r="H470" i="204" s="1"/>
  <c r="N344" i="204"/>
  <c r="N346" i="204"/>
  <c r="N348" i="204"/>
  <c r="N350" i="204"/>
  <c r="N352" i="204"/>
  <c r="N354" i="204"/>
  <c r="N356" i="204"/>
  <c r="N358" i="204"/>
  <c r="N360" i="204"/>
  <c r="N362" i="204"/>
  <c r="N364" i="204"/>
  <c r="N366" i="204"/>
  <c r="N368" i="204"/>
  <c r="N370" i="204"/>
  <c r="N372" i="204"/>
  <c r="N374" i="204"/>
  <c r="N376" i="204"/>
  <c r="N378" i="204"/>
  <c r="N380" i="204"/>
  <c r="N382" i="204"/>
  <c r="N384" i="204"/>
  <c r="N386" i="204"/>
  <c r="N388" i="204"/>
  <c r="R388" i="204" s="1"/>
  <c r="N390" i="204"/>
  <c r="N392" i="204"/>
  <c r="N343" i="204"/>
  <c r="N345" i="204"/>
  <c r="N347" i="204"/>
  <c r="N349" i="204"/>
  <c r="N351" i="204"/>
  <c r="N353" i="204"/>
  <c r="N355" i="204"/>
  <c r="N357" i="204"/>
  <c r="N359" i="204"/>
  <c r="N361" i="204"/>
  <c r="N363" i="204"/>
  <c r="N365" i="204"/>
  <c r="N367" i="204"/>
  <c r="N369" i="204"/>
  <c r="N371" i="204"/>
  <c r="N373" i="204"/>
  <c r="N375" i="204"/>
  <c r="N377" i="204"/>
  <c r="N379" i="204"/>
  <c r="N381" i="204"/>
  <c r="N383" i="204"/>
  <c r="N385" i="204"/>
  <c r="N387" i="204"/>
  <c r="O343" i="204"/>
  <c r="O345" i="204"/>
  <c r="O347" i="204"/>
  <c r="O349" i="204"/>
  <c r="O351" i="204"/>
  <c r="O353" i="204"/>
  <c r="O355" i="204"/>
  <c r="O357" i="204"/>
  <c r="O359" i="204"/>
  <c r="O361" i="204"/>
  <c r="O363" i="204"/>
  <c r="O365" i="204"/>
  <c r="O367" i="204"/>
  <c r="R367" i="204" s="1"/>
  <c r="O369" i="204"/>
  <c r="O371" i="204"/>
  <c r="O373" i="204"/>
  <c r="O375" i="204"/>
  <c r="O377" i="204"/>
  <c r="O379" i="204"/>
  <c r="O381" i="204"/>
  <c r="O383" i="204"/>
  <c r="O385" i="204"/>
  <c r="O387" i="204"/>
  <c r="O389" i="204"/>
  <c r="P343" i="204"/>
  <c r="P345" i="204"/>
  <c r="P347" i="204"/>
  <c r="P349" i="204"/>
  <c r="P351" i="204"/>
  <c r="P353" i="204"/>
  <c r="P355" i="204"/>
  <c r="P357" i="204"/>
  <c r="P359" i="204"/>
  <c r="P361" i="204"/>
  <c r="P363" i="204"/>
  <c r="R363" i="204" s="1"/>
  <c r="P365" i="204"/>
  <c r="P367" i="204"/>
  <c r="P369" i="204"/>
  <c r="P371" i="204"/>
  <c r="P373" i="204"/>
  <c r="P375" i="204"/>
  <c r="P377" i="204"/>
  <c r="P379" i="204"/>
  <c r="P381" i="204"/>
  <c r="P383" i="204"/>
  <c r="P385" i="204"/>
  <c r="P387" i="204"/>
  <c r="P389" i="204"/>
  <c r="Q343" i="204"/>
  <c r="Q345" i="204"/>
  <c r="Q347" i="204"/>
  <c r="Q349" i="204"/>
  <c r="Q351" i="204"/>
  <c r="Q353" i="204"/>
  <c r="Q355" i="204"/>
  <c r="Q357" i="204"/>
  <c r="Q359" i="204"/>
  <c r="Q361" i="204"/>
  <c r="Q363" i="204"/>
  <c r="Q365" i="204"/>
  <c r="Q367" i="204"/>
  <c r="Q369" i="204"/>
  <c r="Q371" i="204"/>
  <c r="Q373" i="204"/>
  <c r="Q375" i="204"/>
  <c r="Q377" i="204"/>
  <c r="Q379" i="204"/>
  <c r="Q381" i="204"/>
  <c r="Q383" i="204"/>
  <c r="Q385" i="204"/>
  <c r="Q387" i="204"/>
  <c r="Q389" i="204"/>
  <c r="R389" i="204" s="1"/>
  <c r="C13" i="202"/>
  <c r="C14" i="202" s="1"/>
  <c r="C15" i="202" s="1"/>
  <c r="C16" i="202" s="1"/>
  <c r="C17" i="202" s="1"/>
  <c r="C18" i="202" s="1"/>
  <c r="C19" i="202" s="1"/>
  <c r="C20" i="202" s="1"/>
  <c r="C21" i="202" s="1"/>
  <c r="C22" i="202" s="1"/>
  <c r="C23" i="202" s="1"/>
  <c r="C24" i="202" s="1"/>
  <c r="C25" i="202" s="1"/>
  <c r="C26" i="202" s="1"/>
  <c r="C12" i="202"/>
  <c r="C34" i="202"/>
  <c r="C32" i="202"/>
  <c r="C33" i="202" s="1"/>
  <c r="C8" i="202"/>
  <c r="C7" i="202"/>
  <c r="J3" i="202"/>
  <c r="G4" i="202"/>
  <c r="G5" i="202" s="1"/>
  <c r="I38" i="202"/>
  <c r="F82" i="202"/>
  <c r="D647" i="216"/>
  <c r="D1718" i="216"/>
  <c r="D1330" i="216"/>
  <c r="D206" i="216"/>
  <c r="D890" i="216"/>
  <c r="D1087" i="216"/>
  <c r="D695" i="216"/>
  <c r="D598" i="216"/>
  <c r="D1379" i="216"/>
  <c r="D1668" i="216"/>
  <c r="D943" i="216"/>
  <c r="D550" i="216"/>
  <c r="D839" i="216"/>
  <c r="D1039" i="216"/>
  <c r="D404" i="216"/>
  <c r="D502" i="216"/>
  <c r="D1620" i="216"/>
  <c r="D991" i="216"/>
  <c r="D1427" i="216"/>
  <c r="E1720" i="216"/>
  <c r="F1720" i="216"/>
  <c r="D791" i="216"/>
  <c r="D1234" i="216"/>
  <c r="D1282" i="216"/>
  <c r="D1572" i="216"/>
  <c r="D304" i="216"/>
  <c r="D105" i="216"/>
  <c r="D203" i="216"/>
  <c r="D743" i="216"/>
  <c r="D1184" i="216"/>
  <c r="D453" i="216"/>
  <c r="D154" i="216"/>
  <c r="D255" i="216"/>
  <c r="D1524" i="216"/>
  <c r="D56" i="216"/>
  <c r="D352" i="216"/>
  <c r="D1135" i="216"/>
  <c r="D1475" i="216"/>
  <c r="H4" i="202" l="1"/>
  <c r="J4" i="202" s="1"/>
  <c r="R383" i="204"/>
  <c r="R350" i="204"/>
  <c r="R349" i="204"/>
  <c r="R375" i="204"/>
  <c r="R386" i="204"/>
  <c r="R373" i="204"/>
  <c r="R390" i="204"/>
  <c r="R348" i="204"/>
  <c r="R352" i="204"/>
  <c r="R378" i="204"/>
  <c r="R369" i="204"/>
  <c r="R359" i="204"/>
  <c r="R356" i="204"/>
  <c r="R384" i="204"/>
  <c r="R392" i="204"/>
  <c r="R364" i="204"/>
  <c r="R377" i="204"/>
  <c r="R366" i="204"/>
  <c r="R355" i="204"/>
  <c r="R387" i="204"/>
  <c r="R351" i="204"/>
  <c r="R343" i="204"/>
  <c r="R361" i="204"/>
  <c r="R353" i="204"/>
  <c r="R385" i="204"/>
  <c r="R362" i="204"/>
  <c r="R380" i="204"/>
  <c r="R379" i="204"/>
  <c r="R357" i="204"/>
  <c r="R365" i="204"/>
  <c r="R368" i="204"/>
  <c r="R381" i="204"/>
  <c r="R346" i="204"/>
  <c r="G6" i="202"/>
  <c r="H5" i="202"/>
  <c r="J5" i="202" s="1"/>
  <c r="K3" i="202"/>
  <c r="D1720" i="216"/>
  <c r="H6" i="202" l="1"/>
  <c r="G8" i="202"/>
  <c r="G7" i="202"/>
  <c r="H7" i="202" s="1"/>
  <c r="J7" i="202" s="1"/>
  <c r="K7" i="202" s="1"/>
  <c r="J6" i="202" l="1"/>
  <c r="K5" i="202" s="1"/>
  <c r="G10" i="202"/>
  <c r="H8" i="202"/>
  <c r="J8" i="202" s="1"/>
  <c r="K8" i="202" s="1"/>
  <c r="H10" i="202" l="1"/>
  <c r="G11" i="202"/>
  <c r="G13" i="202" l="1"/>
  <c r="G12" i="202"/>
  <c r="H12" i="202" s="1"/>
  <c r="J12" i="202" s="1"/>
  <c r="K12" i="202" s="1"/>
  <c r="H11" i="202"/>
  <c r="J11" i="202" s="1"/>
  <c r="J10" i="202"/>
  <c r="K10" i="202" s="1"/>
  <c r="G14" i="202" l="1"/>
  <c r="H13" i="202"/>
  <c r="J13" i="202" l="1"/>
  <c r="G15" i="202"/>
  <c r="H14" i="202"/>
  <c r="J14" i="202" s="1"/>
  <c r="G16" i="202" l="1"/>
  <c r="H15" i="202"/>
  <c r="J15" i="202" s="1"/>
  <c r="H16" i="202" l="1"/>
  <c r="J16" i="202" s="1"/>
  <c r="K13" i="202" s="1"/>
  <c r="G17" i="202"/>
  <c r="G18" i="202" l="1"/>
  <c r="H17" i="202"/>
  <c r="J17" i="202" s="1"/>
  <c r="K17" i="202" s="1"/>
  <c r="G19" i="202" l="1"/>
  <c r="H18" i="202"/>
  <c r="J18" i="202" s="1"/>
  <c r="K18" i="202" s="1"/>
  <c r="H19" i="202" l="1"/>
  <c r="J19" i="202" s="1"/>
  <c r="K19" i="202" s="1"/>
  <c r="G20" i="202"/>
  <c r="G21" i="202" l="1"/>
  <c r="H20" i="202"/>
  <c r="J20" i="202" s="1"/>
  <c r="G22" i="202" l="1"/>
  <c r="H21" i="202"/>
  <c r="J21" i="202" s="1"/>
  <c r="H22" i="202" l="1"/>
  <c r="J22" i="202" s="1"/>
  <c r="G23" i="202"/>
  <c r="G24" i="202" l="1"/>
  <c r="H23" i="202"/>
  <c r="J23" i="202" s="1"/>
  <c r="K20" i="202" s="1"/>
  <c r="G25" i="202" l="1"/>
  <c r="H24" i="202"/>
  <c r="J24" i="202" s="1"/>
  <c r="G26" i="202" l="1"/>
  <c r="H25" i="202"/>
  <c r="J25" i="202" s="1"/>
  <c r="G27" i="202" l="1"/>
  <c r="H26" i="202"/>
  <c r="J26" i="202" l="1"/>
  <c r="K24" i="202" s="1"/>
  <c r="H80" i="202"/>
  <c r="G28" i="202"/>
  <c r="H27" i="202"/>
  <c r="J27" i="202" l="1"/>
  <c r="K27" i="202" s="1"/>
  <c r="G29" i="202"/>
  <c r="H28" i="202"/>
  <c r="J28" i="202" s="1"/>
  <c r="K28" i="202" s="1"/>
  <c r="H29" i="202" l="1"/>
  <c r="J29" i="202" s="1"/>
  <c r="G30" i="202"/>
  <c r="G31" i="202" l="1"/>
  <c r="H30" i="202"/>
  <c r="J30" i="202" l="1"/>
  <c r="G32" i="202"/>
  <c r="H31" i="202"/>
  <c r="G33" i="202" l="1"/>
  <c r="H32" i="202"/>
  <c r="J32" i="202" s="1"/>
  <c r="J31" i="202"/>
  <c r="K29" i="202" s="1"/>
  <c r="G34" i="202" l="1"/>
  <c r="H33" i="202"/>
  <c r="J33" i="202" l="1"/>
  <c r="H34" i="202"/>
  <c r="J34" i="202" s="1"/>
  <c r="G35" i="202"/>
  <c r="G36" i="202" l="1"/>
  <c r="H35" i="202"/>
  <c r="J35" i="202" s="1"/>
  <c r="H83" i="202"/>
  <c r="K33" i="202"/>
  <c r="G37" i="202" l="1"/>
  <c r="H36" i="202"/>
  <c r="J36" i="202" s="1"/>
  <c r="H37" i="202" l="1"/>
  <c r="J37" i="202" s="1"/>
  <c r="K35" i="202" s="1"/>
  <c r="G38" i="202"/>
  <c r="G39" i="202" l="1"/>
  <c r="H38" i="202"/>
  <c r="H39" i="202" l="1"/>
  <c r="G40" i="202"/>
  <c r="G41" i="202" l="1"/>
  <c r="H40" i="202"/>
  <c r="G42" i="202" l="1"/>
  <c r="H41" i="202"/>
  <c r="G43" i="202" l="1"/>
  <c r="H42" i="202"/>
  <c r="G44" i="202" l="1"/>
  <c r="H43" i="202"/>
  <c r="H44" i="202" l="1"/>
  <c r="G45" i="202"/>
  <c r="H45" i="202" l="1"/>
  <c r="G46" i="202"/>
  <c r="G47" i="202" l="1"/>
  <c r="H46" i="202"/>
  <c r="G48" i="202" l="1"/>
  <c r="H47" i="202"/>
  <c r="G49" i="202" l="1"/>
  <c r="H48" i="202"/>
  <c r="J38" i="202" s="1"/>
  <c r="K38" i="202" s="1"/>
  <c r="G50" i="202" l="1"/>
  <c r="H49" i="202"/>
  <c r="H50" i="202" l="1"/>
  <c r="G51" i="202"/>
  <c r="G52" i="202" l="1"/>
  <c r="H51" i="202"/>
  <c r="G53" i="202" l="1"/>
  <c r="H52" i="202"/>
  <c r="G54" i="202" l="1"/>
  <c r="H53" i="202"/>
  <c r="J49" i="202" s="1"/>
  <c r="K49" i="202" s="1"/>
  <c r="H54" i="202" l="1"/>
  <c r="G55" i="202"/>
  <c r="G56" i="202" l="1"/>
  <c r="H55" i="202"/>
  <c r="J54" i="202"/>
  <c r="K54" i="202" s="1"/>
  <c r="H56" i="202" l="1"/>
  <c r="G57" i="202"/>
  <c r="G58" i="202" l="1"/>
  <c r="H57" i="202"/>
  <c r="J56" i="202"/>
  <c r="K56" i="202" s="1"/>
  <c r="G59" i="202" l="1"/>
  <c r="H58" i="202"/>
  <c r="G60" i="202" l="1"/>
  <c r="H59" i="202"/>
  <c r="H60" i="202" l="1"/>
  <c r="G61" i="202"/>
  <c r="G62" i="202" l="1"/>
  <c r="H61" i="202"/>
  <c r="G63" i="202" l="1"/>
  <c r="H62" i="202"/>
  <c r="J58" i="202" s="1"/>
  <c r="K58" i="202" s="1"/>
  <c r="G64" i="202" l="1"/>
  <c r="H63" i="202"/>
  <c r="H64" i="202" l="1"/>
  <c r="G65" i="202"/>
  <c r="G66" i="202" l="1"/>
  <c r="H65" i="202"/>
  <c r="J63" i="202" s="1"/>
  <c r="K63" i="202" s="1"/>
  <c r="H66" i="202" l="1"/>
  <c r="G67" i="202"/>
  <c r="G68" i="202" l="1"/>
  <c r="H67" i="202"/>
  <c r="G69" i="202" l="1"/>
  <c r="H68" i="202"/>
  <c r="G70" i="202" l="1"/>
  <c r="H69" i="202"/>
  <c r="H70" i="202" l="1"/>
  <c r="G71" i="202"/>
  <c r="G72" i="202" l="1"/>
  <c r="H71" i="202"/>
  <c r="G73" i="202" l="1"/>
  <c r="H72" i="202"/>
  <c r="G74" i="202" l="1"/>
  <c r="H73" i="202"/>
  <c r="G75" i="202" l="1"/>
  <c r="H74" i="202"/>
  <c r="H75" i="202" l="1"/>
  <c r="G76" i="202"/>
  <c r="G77" i="202" l="1"/>
  <c r="H76" i="202"/>
  <c r="G78" i="202" l="1"/>
  <c r="H78" i="202" s="1"/>
  <c r="H77" i="202"/>
  <c r="H82" i="202" l="1"/>
  <c r="J66" i="202"/>
  <c r="K66" i="202" s="1"/>
  <c r="L1654" i="210" l="1"/>
  <c r="L1650" i="210"/>
  <c r="L1646" i="210"/>
  <c r="L1642" i="210"/>
  <c r="L1638" i="210"/>
  <c r="L1633" i="210"/>
  <c r="L1608" i="210"/>
  <c r="L1604" i="210"/>
  <c r="L1600" i="210"/>
  <c r="L1596" i="210"/>
  <c r="L1592" i="210"/>
  <c r="L1587" i="210"/>
  <c r="L1562" i="210"/>
  <c r="L1558" i="210"/>
  <c r="L1554" i="210"/>
  <c r="L1550" i="210"/>
  <c r="L1546" i="210"/>
  <c r="L1541" i="210"/>
  <c r="L1516" i="210"/>
  <c r="L1512" i="210"/>
  <c r="L1508" i="210"/>
  <c r="L1504" i="210"/>
  <c r="L1500" i="210"/>
  <c r="L1495" i="210"/>
  <c r="L1470" i="210"/>
  <c r="L1466" i="210"/>
  <c r="L1462" i="210"/>
  <c r="L1458" i="210"/>
  <c r="L1454" i="210"/>
  <c r="L1449" i="210"/>
  <c r="L1424" i="210"/>
  <c r="L1420" i="210"/>
  <c r="L1416" i="210"/>
  <c r="L1412" i="210"/>
  <c r="L1408" i="210"/>
  <c r="L1403" i="210"/>
  <c r="L1378" i="210"/>
  <c r="L1374" i="210"/>
  <c r="L1370" i="210"/>
  <c r="L1366" i="210"/>
  <c r="L1362" i="210"/>
  <c r="L1357" i="210"/>
  <c r="L1332" i="210"/>
  <c r="L1328" i="210"/>
  <c r="L1324" i="210"/>
  <c r="L1320" i="210"/>
  <c r="L1316" i="210"/>
  <c r="L1311" i="210"/>
  <c r="L1286" i="210"/>
  <c r="L1282" i="210"/>
  <c r="L1278" i="210"/>
  <c r="L1274" i="210"/>
  <c r="L1270" i="210"/>
  <c r="L1265" i="210"/>
  <c r="L1240" i="210"/>
  <c r="L1236" i="210"/>
  <c r="L1232" i="210"/>
  <c r="L1228" i="210"/>
  <c r="L1224" i="210"/>
  <c r="L1219" i="210"/>
  <c r="L1194" i="210"/>
  <c r="L1190" i="210"/>
  <c r="L1186" i="210"/>
  <c r="L1182" i="210"/>
  <c r="L1178" i="210"/>
  <c r="L1173" i="210"/>
  <c r="L1148" i="210"/>
  <c r="L1144" i="210"/>
  <c r="L1140" i="210"/>
  <c r="L1136" i="210"/>
  <c r="L1132" i="210"/>
  <c r="L1127" i="210"/>
  <c r="L1102" i="210"/>
  <c r="L1098" i="210"/>
  <c r="L1094" i="210"/>
  <c r="L1090" i="210"/>
  <c r="L1086" i="210"/>
  <c r="L1081" i="210"/>
  <c r="L1056" i="210"/>
  <c r="L1052" i="210"/>
  <c r="L1048" i="210"/>
  <c r="L1044" i="210"/>
  <c r="L1040" i="210"/>
  <c r="L1035" i="210"/>
  <c r="L1010" i="210"/>
  <c r="L1006" i="210"/>
  <c r="L1002" i="210"/>
  <c r="L998" i="210"/>
  <c r="L994" i="210"/>
  <c r="L989" i="210"/>
  <c r="L964" i="210"/>
  <c r="L960" i="210"/>
  <c r="L956" i="210"/>
  <c r="L952" i="210"/>
  <c r="L948" i="210"/>
  <c r="L943" i="210"/>
  <c r="L918" i="210"/>
  <c r="L914" i="210"/>
  <c r="L910" i="210"/>
  <c r="L906" i="210"/>
  <c r="L902" i="210"/>
  <c r="L897" i="210"/>
  <c r="L872" i="210"/>
  <c r="L868" i="210"/>
  <c r="L864" i="210"/>
  <c r="L860" i="210"/>
  <c r="L856" i="210"/>
  <c r="L851" i="210"/>
  <c r="L826" i="210"/>
  <c r="L822" i="210"/>
  <c r="L818" i="210"/>
  <c r="L814" i="210"/>
  <c r="L810" i="210"/>
  <c r="L805" i="210"/>
  <c r="L780" i="210"/>
  <c r="L776" i="210"/>
  <c r="L772" i="210"/>
  <c r="L768" i="210"/>
  <c r="L764" i="210"/>
  <c r="L759" i="210"/>
  <c r="L734" i="210"/>
  <c r="L730" i="210"/>
  <c r="L726" i="210"/>
  <c r="L722" i="210"/>
  <c r="L718" i="210"/>
  <c r="L713" i="210"/>
  <c r="L688" i="210"/>
  <c r="L684" i="210"/>
  <c r="L680" i="210"/>
  <c r="L676" i="210"/>
  <c r="L672" i="210"/>
  <c r="L667" i="210"/>
  <c r="L642" i="210"/>
  <c r="L638" i="210"/>
  <c r="L634" i="210"/>
  <c r="L630" i="210"/>
  <c r="L626" i="210"/>
  <c r="L621" i="210"/>
  <c r="L596" i="210"/>
  <c r="L592" i="210"/>
  <c r="L588" i="210"/>
  <c r="L584" i="210"/>
  <c r="L580" i="210"/>
  <c r="L575" i="210"/>
  <c r="L550" i="210"/>
  <c r="L546" i="210"/>
  <c r="L542" i="210"/>
  <c r="L538" i="210"/>
  <c r="L534" i="210"/>
  <c r="L529" i="210"/>
  <c r="L504" i="210"/>
  <c r="L500" i="210"/>
  <c r="L496" i="210"/>
  <c r="L492" i="210"/>
  <c r="L488" i="210"/>
  <c r="L483" i="210"/>
  <c r="L458" i="210"/>
  <c r="L454" i="210"/>
  <c r="L450" i="210"/>
  <c r="L446" i="210"/>
  <c r="L442" i="210"/>
  <c r="L437" i="210"/>
  <c r="L412" i="210"/>
  <c r="L408" i="210"/>
  <c r="L404" i="210"/>
  <c r="L400" i="210"/>
  <c r="L396" i="210"/>
  <c r="L391" i="210"/>
  <c r="L366" i="210"/>
  <c r="L362" i="210"/>
  <c r="L358" i="210"/>
  <c r="L354" i="210"/>
  <c r="L350" i="210"/>
  <c r="L345" i="210"/>
  <c r="L320" i="210"/>
  <c r="L316" i="210"/>
  <c r="L312" i="210"/>
  <c r="L308" i="210"/>
  <c r="L304" i="210"/>
  <c r="L299" i="210"/>
  <c r="L274" i="210"/>
  <c r="L270" i="210"/>
  <c r="L266" i="210"/>
  <c r="L262" i="210"/>
  <c r="L258" i="210"/>
  <c r="L253" i="210"/>
  <c r="L228" i="210"/>
  <c r="L224" i="210"/>
  <c r="L220" i="210"/>
  <c r="L216" i="210"/>
  <c r="L212" i="210"/>
  <c r="L207" i="210"/>
  <c r="L182" i="210"/>
  <c r="L178" i="210"/>
  <c r="L174" i="210"/>
  <c r="L170" i="210"/>
  <c r="L166" i="210"/>
  <c r="L161" i="210"/>
  <c r="L136" i="210"/>
  <c r="L132" i="210"/>
  <c r="L128" i="210"/>
  <c r="L124" i="210"/>
  <c r="L120" i="210"/>
  <c r="L115" i="210"/>
  <c r="L90" i="210"/>
  <c r="L86" i="210"/>
  <c r="L82" i="210"/>
  <c r="L78" i="210"/>
  <c r="L74" i="210"/>
  <c r="L69" i="210"/>
  <c r="L4100" i="209"/>
  <c r="A6" i="196"/>
  <c r="A6" i="209" l="1"/>
  <c r="A120" i="209" s="1"/>
  <c r="A179" i="209" l="1"/>
  <c r="A65" i="209"/>
  <c r="C15" i="148" l="1"/>
  <c r="C13" i="148"/>
  <c r="A9" i="148"/>
  <c r="A7" i="148"/>
  <c r="H9" i="147"/>
  <c r="A8" i="147"/>
  <c r="A4" i="147"/>
  <c r="A2" i="147"/>
  <c r="A1" i="147"/>
  <c r="C13" i="146"/>
  <c r="C11" i="146"/>
  <c r="A9" i="146"/>
  <c r="A7" i="146"/>
  <c r="S184" i="120"/>
  <c r="R184" i="120"/>
  <c r="Q184" i="120"/>
  <c r="P184" i="120"/>
  <c r="O184" i="120"/>
  <c r="N184" i="120"/>
  <c r="M184" i="120"/>
  <c r="L184" i="120"/>
  <c r="K184" i="120"/>
  <c r="J184" i="120"/>
  <c r="I184" i="120"/>
  <c r="H184" i="120"/>
  <c r="G184" i="120"/>
  <c r="S178" i="120"/>
  <c r="R178" i="120"/>
  <c r="Q178" i="120"/>
  <c r="P178" i="120"/>
  <c r="O178" i="120"/>
  <c r="N178" i="120"/>
  <c r="M178" i="120"/>
  <c r="L178" i="120"/>
  <c r="K178" i="120"/>
  <c r="J178" i="120"/>
  <c r="I178" i="120"/>
  <c r="H178" i="120"/>
  <c r="G178" i="120"/>
  <c r="A166" i="120"/>
  <c r="A167" i="120" s="1"/>
  <c r="A168" i="120" s="1"/>
  <c r="A170" i="120" s="1"/>
  <c r="A171" i="120" s="1"/>
  <c r="A172" i="120" s="1"/>
  <c r="A173" i="120" s="1"/>
  <c r="A174" i="120" s="1"/>
  <c r="A175" i="120" s="1"/>
  <c r="A176" i="120" s="1"/>
  <c r="A178" i="120" s="1"/>
  <c r="A180" i="120" s="1"/>
  <c r="A181" i="120" s="1"/>
  <c r="A182" i="120" s="1"/>
  <c r="A184" i="120" s="1"/>
  <c r="A186" i="120" s="1"/>
  <c r="I163" i="120"/>
  <c r="A150" i="120"/>
  <c r="S145" i="120"/>
  <c r="R145" i="120"/>
  <c r="Q145" i="120"/>
  <c r="P145" i="120"/>
  <c r="O145" i="120"/>
  <c r="N145" i="120"/>
  <c r="M145" i="120"/>
  <c r="L145" i="120"/>
  <c r="K145" i="120"/>
  <c r="J145" i="120"/>
  <c r="I145" i="120"/>
  <c r="G135" i="120"/>
  <c r="S132" i="120"/>
  <c r="S133" i="120" s="1"/>
  <c r="R132" i="120"/>
  <c r="R133" i="120" s="1"/>
  <c r="Q132" i="120"/>
  <c r="Q133" i="120" s="1"/>
  <c r="P132" i="120"/>
  <c r="P133" i="120" s="1"/>
  <c r="O132" i="120"/>
  <c r="O133" i="120" s="1"/>
  <c r="N132" i="120"/>
  <c r="N133" i="120" s="1"/>
  <c r="M132" i="120"/>
  <c r="M133" i="120" s="1"/>
  <c r="L132" i="120"/>
  <c r="L133" i="120" s="1"/>
  <c r="K132" i="120"/>
  <c r="K133" i="120" s="1"/>
  <c r="J132" i="120"/>
  <c r="J133" i="120" s="1"/>
  <c r="I132" i="120"/>
  <c r="I133" i="120" s="1"/>
  <c r="H132" i="120"/>
  <c r="H133" i="120" s="1"/>
  <c r="G132" i="120"/>
  <c r="G133" i="120" s="1"/>
  <c r="S115" i="120"/>
  <c r="R115" i="120"/>
  <c r="Q115" i="120"/>
  <c r="P115" i="120"/>
  <c r="O115" i="120"/>
  <c r="N115" i="120"/>
  <c r="M115" i="120"/>
  <c r="L115" i="120"/>
  <c r="K115" i="120"/>
  <c r="J115" i="120"/>
  <c r="I115" i="120"/>
  <c r="S114" i="120"/>
  <c r="R114" i="120"/>
  <c r="Q114" i="120"/>
  <c r="P114" i="120"/>
  <c r="O114" i="120"/>
  <c r="N114" i="120"/>
  <c r="M114" i="120"/>
  <c r="L114" i="120"/>
  <c r="K114" i="120"/>
  <c r="J114" i="120"/>
  <c r="I114" i="120"/>
  <c r="H110" i="120"/>
  <c r="G110" i="120"/>
  <c r="H109" i="120"/>
  <c r="G109" i="120"/>
  <c r="A109" i="120"/>
  <c r="A110" i="120" s="1"/>
  <c r="A111" i="120" s="1"/>
  <c r="A113" i="120" s="1"/>
  <c r="A114" i="120" s="1"/>
  <c r="A115" i="120" s="1"/>
  <c r="A116" i="120" s="1"/>
  <c r="A117" i="120" s="1"/>
  <c r="A118" i="120" s="1"/>
  <c r="A119" i="120" s="1"/>
  <c r="A121" i="120" s="1"/>
  <c r="A122" i="120" s="1"/>
  <c r="A123" i="120" s="1"/>
  <c r="A124" i="120" s="1"/>
  <c r="A125" i="120" s="1"/>
  <c r="A127" i="120" s="1"/>
  <c r="A128" i="120" s="1"/>
  <c r="A129" i="120" s="1"/>
  <c r="A130" i="120" s="1"/>
  <c r="A131" i="120" s="1"/>
  <c r="A132" i="120" s="1"/>
  <c r="A133" i="120" s="1"/>
  <c r="A134" i="120" s="1"/>
  <c r="A136" i="120" s="1"/>
  <c r="A137" i="120" s="1"/>
  <c r="A138" i="120" s="1"/>
  <c r="A139" i="120" s="1"/>
  <c r="A140" i="120" s="1"/>
  <c r="A141" i="120" s="1"/>
  <c r="A142" i="120" s="1"/>
  <c r="A143" i="120" s="1"/>
  <c r="A144" i="120" s="1"/>
  <c r="A145" i="120" s="1"/>
  <c r="I107" i="120"/>
  <c r="A94" i="120"/>
  <c r="S75" i="120"/>
  <c r="S77" i="120" s="1"/>
  <c r="R75" i="120"/>
  <c r="R77" i="120" s="1"/>
  <c r="Q75" i="120"/>
  <c r="Q77" i="120" s="1"/>
  <c r="P75" i="120"/>
  <c r="P77" i="120" s="1"/>
  <c r="P117" i="120" s="1"/>
  <c r="O75" i="120"/>
  <c r="O77" i="120" s="1"/>
  <c r="O117" i="120" s="1"/>
  <c r="N75" i="120"/>
  <c r="N77" i="120" s="1"/>
  <c r="N117" i="120" s="1"/>
  <c r="M75" i="120"/>
  <c r="M77" i="120" s="1"/>
  <c r="L75" i="120"/>
  <c r="L77" i="120" s="1"/>
  <c r="K75" i="120"/>
  <c r="K77" i="120" s="1"/>
  <c r="K117" i="120" s="1"/>
  <c r="J75" i="120"/>
  <c r="J77" i="120" s="1"/>
  <c r="J80" i="120" s="1"/>
  <c r="J82" i="120" s="1"/>
  <c r="I75" i="120"/>
  <c r="I77" i="120" s="1"/>
  <c r="S67" i="120"/>
  <c r="R67" i="120"/>
  <c r="Q67" i="120"/>
  <c r="P67" i="120"/>
  <c r="O67" i="120"/>
  <c r="N67" i="120"/>
  <c r="M67" i="120"/>
  <c r="L67" i="120"/>
  <c r="K67" i="120"/>
  <c r="J67" i="120"/>
  <c r="I67" i="120"/>
  <c r="H65" i="120"/>
  <c r="H145" i="120" s="1"/>
  <c r="G65" i="120"/>
  <c r="G145" i="120" s="1"/>
  <c r="H63" i="120"/>
  <c r="G63" i="120"/>
  <c r="H62" i="120"/>
  <c r="A61" i="120"/>
  <c r="A62" i="120" s="1"/>
  <c r="A63" i="120" s="1"/>
  <c r="A64" i="120" s="1"/>
  <c r="A65" i="120" s="1"/>
  <c r="A67" i="120" s="1"/>
  <c r="A69" i="120" s="1"/>
  <c r="A70" i="120" s="1"/>
  <c r="A71" i="120" s="1"/>
  <c r="A73" i="120" s="1"/>
  <c r="A74" i="120" s="1"/>
  <c r="A75" i="120" s="1"/>
  <c r="A76" i="120" s="1"/>
  <c r="A77" i="120" s="1"/>
  <c r="A78" i="120" s="1"/>
  <c r="A79" i="120" s="1"/>
  <c r="A80" i="120" s="1"/>
  <c r="A81" i="120" s="1"/>
  <c r="A82" i="120" s="1"/>
  <c r="A83" i="120" s="1"/>
  <c r="A84" i="120" s="1"/>
  <c r="A86" i="120" s="1"/>
  <c r="A87" i="120" s="1"/>
  <c r="I58" i="120"/>
  <c r="A45" i="120"/>
  <c r="A44" i="120"/>
  <c r="S37" i="120"/>
  <c r="S39" i="120" s="1"/>
  <c r="R37" i="120"/>
  <c r="Q37" i="120"/>
  <c r="P37" i="120"/>
  <c r="O37" i="120"/>
  <c r="N37" i="120"/>
  <c r="M37" i="120"/>
  <c r="L37" i="120"/>
  <c r="K37" i="120"/>
  <c r="J37" i="120"/>
  <c r="I37" i="120"/>
  <c r="H37" i="120"/>
  <c r="G37" i="120"/>
  <c r="S28" i="120"/>
  <c r="S30" i="120" s="1"/>
  <c r="R28" i="120"/>
  <c r="R30" i="120" s="1"/>
  <c r="Q28" i="120"/>
  <c r="Q30" i="120" s="1"/>
  <c r="P28" i="120"/>
  <c r="P30" i="120" s="1"/>
  <c r="O28" i="120"/>
  <c r="O30" i="120" s="1"/>
  <c r="N28" i="120"/>
  <c r="N30" i="120" s="1"/>
  <c r="N39" i="120" s="1"/>
  <c r="M28" i="120"/>
  <c r="M30" i="120" s="1"/>
  <c r="M39" i="120" s="1"/>
  <c r="L28" i="120"/>
  <c r="L30" i="120" s="1"/>
  <c r="L39" i="120" s="1"/>
  <c r="K28" i="120"/>
  <c r="K30" i="120" s="1"/>
  <c r="K39" i="120" s="1"/>
  <c r="J28" i="120"/>
  <c r="J30" i="120" s="1"/>
  <c r="I28" i="120"/>
  <c r="I30" i="120" s="1"/>
  <c r="I39" i="120" s="1"/>
  <c r="A8" i="120"/>
  <c r="A155" i="120" s="1"/>
  <c r="A2" i="120"/>
  <c r="A93" i="120" s="1"/>
  <c r="A1" i="120"/>
  <c r="C18" i="119"/>
  <c r="C16" i="119"/>
  <c r="A13" i="119"/>
  <c r="A11" i="119"/>
  <c r="J37" i="177"/>
  <c r="F37" i="177"/>
  <c r="G19" i="179" s="1"/>
  <c r="A28" i="177"/>
  <c r="A29" i="177" s="1"/>
  <c r="A30" i="177" s="1"/>
  <c r="A31" i="177" s="1"/>
  <c r="A32" i="177" s="1"/>
  <c r="A33" i="177" s="1"/>
  <c r="A34" i="177" s="1"/>
  <c r="A35" i="177" s="1"/>
  <c r="A37" i="177" s="1"/>
  <c r="A24" i="177"/>
  <c r="A25" i="177" s="1"/>
  <c r="A26" i="177" s="1"/>
  <c r="A18" i="177"/>
  <c r="A19" i="177" s="1"/>
  <c r="A20" i="177" s="1"/>
  <c r="A21" i="177" s="1"/>
  <c r="A4" i="177"/>
  <c r="A1" i="177"/>
  <c r="F31" i="176"/>
  <c r="F33" i="176" s="1"/>
  <c r="G17" i="179" s="1"/>
  <c r="A18" i="176"/>
  <c r="A19" i="176" s="1"/>
  <c r="A20" i="176" s="1"/>
  <c r="A21" i="176" s="1"/>
  <c r="A22" i="176" s="1"/>
  <c r="A23" i="176" s="1"/>
  <c r="A24" i="176" s="1"/>
  <c r="A25" i="176" s="1"/>
  <c r="A26" i="176" s="1"/>
  <c r="A27" i="176" s="1"/>
  <c r="A28" i="176" s="1"/>
  <c r="A29" i="176" s="1"/>
  <c r="A31" i="176" s="1"/>
  <c r="A33" i="176" s="1"/>
  <c r="A35" i="176" s="1"/>
  <c r="A4" i="176"/>
  <c r="A2" i="176"/>
  <c r="A2" i="177" s="1"/>
  <c r="A2" i="178" s="1"/>
  <c r="A1" i="176"/>
  <c r="A4" i="179"/>
  <c r="A2" i="179"/>
  <c r="A1" i="179"/>
  <c r="M10" i="138"/>
  <c r="A9" i="138"/>
  <c r="A4" i="138"/>
  <c r="A2" i="138"/>
  <c r="A1" i="138"/>
  <c r="I25" i="112"/>
  <c r="G25" i="112"/>
  <c r="M23" i="112"/>
  <c r="M21" i="112"/>
  <c r="M19" i="112"/>
  <c r="M17" i="112"/>
  <c r="M10" i="112"/>
  <c r="A9" i="112"/>
  <c r="A4" i="112"/>
  <c r="A2" i="112"/>
  <c r="A1" i="112"/>
  <c r="C16" i="111"/>
  <c r="C14" i="111"/>
  <c r="A11" i="111"/>
  <c r="A9" i="111"/>
  <c r="A43" i="110"/>
  <c r="G38" i="110"/>
  <c r="L37" i="110"/>
  <c r="E36" i="110"/>
  <c r="L31" i="110"/>
  <c r="K31" i="110"/>
  <c r="J31" i="110"/>
  <c r="I31" i="110"/>
  <c r="H31" i="110"/>
  <c r="G31" i="110"/>
  <c r="F31" i="110"/>
  <c r="E31" i="110"/>
  <c r="D31" i="110"/>
  <c r="L30" i="110"/>
  <c r="L39" i="110" s="1"/>
  <c r="K30" i="110"/>
  <c r="K39" i="110" s="1"/>
  <c r="J30" i="110"/>
  <c r="J39" i="110" s="1"/>
  <c r="I30" i="110"/>
  <c r="I39" i="110" s="1"/>
  <c r="H30" i="110"/>
  <c r="H39" i="110" s="1"/>
  <c r="G30" i="110"/>
  <c r="G39" i="110" s="1"/>
  <c r="F30" i="110"/>
  <c r="F39" i="110" s="1"/>
  <c r="E30" i="110"/>
  <c r="E39" i="110" s="1"/>
  <c r="D30" i="110"/>
  <c r="D39" i="110" s="1"/>
  <c r="L29" i="110"/>
  <c r="L38" i="110" s="1"/>
  <c r="K29" i="110"/>
  <c r="K38" i="110" s="1"/>
  <c r="J29" i="110"/>
  <c r="J38" i="110" s="1"/>
  <c r="I29" i="110"/>
  <c r="I38" i="110" s="1"/>
  <c r="H29" i="110"/>
  <c r="H38" i="110" s="1"/>
  <c r="G29" i="110"/>
  <c r="F29" i="110"/>
  <c r="E29" i="110"/>
  <c r="E38" i="110" s="1"/>
  <c r="D29" i="110"/>
  <c r="D38" i="110" s="1"/>
  <c r="L28" i="110"/>
  <c r="K28" i="110"/>
  <c r="K37" i="110" s="1"/>
  <c r="J28" i="110"/>
  <c r="J37" i="110" s="1"/>
  <c r="I28" i="110"/>
  <c r="I37" i="110" s="1"/>
  <c r="H28" i="110"/>
  <c r="H37" i="110" s="1"/>
  <c r="G28" i="110"/>
  <c r="G37" i="110" s="1"/>
  <c r="F28" i="110"/>
  <c r="F37" i="110" s="1"/>
  <c r="E28" i="110"/>
  <c r="E37" i="110" s="1"/>
  <c r="D28" i="110"/>
  <c r="D37" i="110" s="1"/>
  <c r="L27" i="110"/>
  <c r="K27" i="110"/>
  <c r="K33" i="110" s="1"/>
  <c r="J27" i="110"/>
  <c r="J36" i="110" s="1"/>
  <c r="I27" i="110"/>
  <c r="H27" i="110"/>
  <c r="H36" i="110" s="1"/>
  <c r="G27" i="110"/>
  <c r="G36" i="110" s="1"/>
  <c r="F27" i="110"/>
  <c r="F36" i="110" s="1"/>
  <c r="E27" i="110"/>
  <c r="D27" i="110"/>
  <c r="D36" i="110" s="1"/>
  <c r="L24" i="110"/>
  <c r="K24" i="110"/>
  <c r="J24" i="110"/>
  <c r="I24" i="110"/>
  <c r="H24" i="110"/>
  <c r="G24" i="110"/>
  <c r="F24" i="110"/>
  <c r="E24" i="110"/>
  <c r="D24" i="110"/>
  <c r="A18" i="110"/>
  <c r="A19" i="110" s="1"/>
  <c r="A20" i="110" s="1"/>
  <c r="A21" i="110" s="1"/>
  <c r="A22" i="110" s="1"/>
  <c r="A24" i="110" s="1"/>
  <c r="A26" i="110" s="1"/>
  <c r="A27" i="110" s="1"/>
  <c r="A28" i="110" s="1"/>
  <c r="A29" i="110" s="1"/>
  <c r="A30" i="110" s="1"/>
  <c r="A31" i="110" s="1"/>
  <c r="A33" i="110" s="1"/>
  <c r="A35" i="110" s="1"/>
  <c r="A36" i="110" s="1"/>
  <c r="A37" i="110" s="1"/>
  <c r="A38" i="110" s="1"/>
  <c r="A39" i="110" s="1"/>
  <c r="L14" i="110"/>
  <c r="K14" i="110"/>
  <c r="J14" i="110"/>
  <c r="I14" i="110"/>
  <c r="H14" i="110"/>
  <c r="G14" i="110"/>
  <c r="F14" i="110"/>
  <c r="E14" i="110"/>
  <c r="D14" i="110"/>
  <c r="A8" i="110"/>
  <c r="A2" i="110"/>
  <c r="A1" i="110"/>
  <c r="B63" i="109"/>
  <c r="B62" i="109"/>
  <c r="L60" i="109"/>
  <c r="K60" i="109"/>
  <c r="I60" i="109"/>
  <c r="H60" i="109"/>
  <c r="G60" i="109"/>
  <c r="F60" i="109"/>
  <c r="E60" i="109"/>
  <c r="D60" i="109"/>
  <c r="L59" i="109"/>
  <c r="K59" i="109"/>
  <c r="I59" i="109"/>
  <c r="H59" i="109"/>
  <c r="G59" i="109"/>
  <c r="F59" i="109"/>
  <c r="E59" i="109"/>
  <c r="D59" i="109"/>
  <c r="L58" i="109"/>
  <c r="K58" i="109"/>
  <c r="I58" i="109"/>
  <c r="H58" i="109"/>
  <c r="G58" i="109"/>
  <c r="F58" i="109"/>
  <c r="E58" i="109"/>
  <c r="D58" i="109"/>
  <c r="L55" i="109"/>
  <c r="K55" i="109"/>
  <c r="J55" i="109"/>
  <c r="I55" i="109"/>
  <c r="H55" i="109"/>
  <c r="G55" i="109"/>
  <c r="F55" i="109"/>
  <c r="E55" i="109"/>
  <c r="D55" i="109"/>
  <c r="L54" i="109"/>
  <c r="K54" i="109"/>
  <c r="H54" i="109"/>
  <c r="G54" i="109"/>
  <c r="F54" i="109"/>
  <c r="E54" i="109"/>
  <c r="D54" i="109"/>
  <c r="L53" i="109"/>
  <c r="K53" i="109"/>
  <c r="H53" i="109"/>
  <c r="G53" i="109"/>
  <c r="F53" i="109"/>
  <c r="E53" i="109"/>
  <c r="D53" i="109"/>
  <c r="L52" i="109"/>
  <c r="K52" i="109"/>
  <c r="H52" i="109"/>
  <c r="G52" i="109"/>
  <c r="F52" i="109"/>
  <c r="E52" i="109"/>
  <c r="D52" i="109"/>
  <c r="L51" i="109"/>
  <c r="K51" i="109"/>
  <c r="H51" i="109"/>
  <c r="G51" i="109"/>
  <c r="F51" i="109"/>
  <c r="E51" i="109"/>
  <c r="D51" i="109"/>
  <c r="I48" i="109"/>
  <c r="H48" i="109"/>
  <c r="F48" i="109"/>
  <c r="L46" i="109"/>
  <c r="K46" i="109"/>
  <c r="J46" i="109"/>
  <c r="I46" i="109"/>
  <c r="H46" i="109"/>
  <c r="G46" i="109"/>
  <c r="F46" i="109"/>
  <c r="E46" i="109"/>
  <c r="D46" i="109"/>
  <c r="L40" i="109"/>
  <c r="L48" i="109" s="1"/>
  <c r="K40" i="109"/>
  <c r="J40" i="109"/>
  <c r="I40" i="109"/>
  <c r="H40" i="109"/>
  <c r="G40" i="109"/>
  <c r="F40" i="109"/>
  <c r="E40" i="109"/>
  <c r="D40" i="109"/>
  <c r="D48" i="109" s="1"/>
  <c r="D32" i="109"/>
  <c r="L30" i="109"/>
  <c r="L32" i="109" s="1"/>
  <c r="K30" i="109"/>
  <c r="I30" i="109"/>
  <c r="H30" i="109"/>
  <c r="G30" i="109"/>
  <c r="F30" i="109"/>
  <c r="E30" i="109"/>
  <c r="D30" i="109"/>
  <c r="L23" i="109"/>
  <c r="K23" i="109"/>
  <c r="H23" i="109"/>
  <c r="H32" i="109" s="1"/>
  <c r="G23" i="109"/>
  <c r="G32" i="109" s="1"/>
  <c r="F23" i="109"/>
  <c r="F32" i="109" s="1"/>
  <c r="E23" i="109"/>
  <c r="E32" i="109" s="1"/>
  <c r="D23" i="109"/>
  <c r="A17" i="109"/>
  <c r="A18" i="109" s="1"/>
  <c r="A19" i="109" s="1"/>
  <c r="A20" i="109" s="1"/>
  <c r="A21" i="109" s="1"/>
  <c r="A22" i="109" s="1"/>
  <c r="A23" i="109" s="1"/>
  <c r="A25" i="109" s="1"/>
  <c r="A26" i="109" s="1"/>
  <c r="A27" i="109" s="1"/>
  <c r="A28" i="109" s="1"/>
  <c r="A29" i="109" s="1"/>
  <c r="A30" i="109" s="1"/>
  <c r="A32" i="109" s="1"/>
  <c r="A34" i="109" s="1"/>
  <c r="A35" i="109" s="1"/>
  <c r="A36" i="109" s="1"/>
  <c r="A37" i="109" s="1"/>
  <c r="A38" i="109" s="1"/>
  <c r="A39" i="109" s="1"/>
  <c r="A40" i="109" s="1"/>
  <c r="A42" i="109" s="1"/>
  <c r="A43" i="109" s="1"/>
  <c r="A44" i="109" s="1"/>
  <c r="A45" i="109" s="1"/>
  <c r="A46" i="109" s="1"/>
  <c r="A48" i="109" s="1"/>
  <c r="A50" i="109" s="1"/>
  <c r="A51" i="109" s="1"/>
  <c r="A52" i="109" s="1"/>
  <c r="A53" i="109" s="1"/>
  <c r="A54" i="109" s="1"/>
  <c r="A55" i="109" s="1"/>
  <c r="A57" i="109" s="1"/>
  <c r="A58" i="109" s="1"/>
  <c r="A59" i="109" s="1"/>
  <c r="A60" i="109" s="1"/>
  <c r="L14" i="109"/>
  <c r="K14" i="109"/>
  <c r="J14" i="109"/>
  <c r="I14" i="109"/>
  <c r="H14" i="109"/>
  <c r="G14" i="109"/>
  <c r="F14" i="109"/>
  <c r="E14" i="109"/>
  <c r="D14" i="109"/>
  <c r="A8" i="109"/>
  <c r="A2" i="109"/>
  <c r="A1" i="109"/>
  <c r="D40" i="108"/>
  <c r="D43" i="108" s="1"/>
  <c r="L38" i="108"/>
  <c r="K38" i="108"/>
  <c r="H38" i="108"/>
  <c r="G38" i="108"/>
  <c r="F38" i="108"/>
  <c r="E38" i="108"/>
  <c r="D38" i="108"/>
  <c r="L30" i="108"/>
  <c r="L32" i="108" s="1"/>
  <c r="K30" i="108"/>
  <c r="K32" i="108" s="1"/>
  <c r="K40" i="108" s="1"/>
  <c r="K43" i="108" s="1"/>
  <c r="H30" i="108"/>
  <c r="G30" i="108"/>
  <c r="F30" i="108"/>
  <c r="E30" i="108"/>
  <c r="D30" i="108"/>
  <c r="D32" i="108" s="1"/>
  <c r="L22" i="108"/>
  <c r="K22" i="108"/>
  <c r="H22" i="108"/>
  <c r="G22" i="108"/>
  <c r="G32" i="108" s="1"/>
  <c r="G40" i="108" s="1"/>
  <c r="G43" i="108" s="1"/>
  <c r="F22" i="108"/>
  <c r="E22" i="108"/>
  <c r="E32" i="108" s="1"/>
  <c r="E40" i="108" s="1"/>
  <c r="E43" i="108" s="1"/>
  <c r="D22" i="108"/>
  <c r="A19" i="108"/>
  <c r="A20" i="108" s="1"/>
  <c r="A21" i="108" s="1"/>
  <c r="A22" i="108" s="1"/>
  <c r="A24" i="108" s="1"/>
  <c r="A25" i="108" s="1"/>
  <c r="A26" i="108" s="1"/>
  <c r="A27" i="108" s="1"/>
  <c r="A28" i="108" s="1"/>
  <c r="A29" i="108" s="1"/>
  <c r="A30" i="108" s="1"/>
  <c r="A32" i="108" s="1"/>
  <c r="A34" i="108" s="1"/>
  <c r="A35" i="108" s="1"/>
  <c r="A36" i="108" s="1"/>
  <c r="A37" i="108" s="1"/>
  <c r="A38" i="108" s="1"/>
  <c r="A40" i="108" s="1"/>
  <c r="A41" i="108" s="1"/>
  <c r="A43" i="108" s="1"/>
  <c r="L10" i="108"/>
  <c r="A8" i="108"/>
  <c r="A2" i="108"/>
  <c r="A1" i="108"/>
  <c r="C15" i="107"/>
  <c r="C13" i="107"/>
  <c r="A10" i="107"/>
  <c r="A8" i="107"/>
  <c r="G21" i="106"/>
  <c r="E19" i="106"/>
  <c r="A8" i="106"/>
  <c r="A4" i="106"/>
  <c r="A2" i="106"/>
  <c r="A1" i="106"/>
  <c r="C18" i="105"/>
  <c r="C16" i="105"/>
  <c r="A11" i="105"/>
  <c r="A9" i="105"/>
  <c r="I231" i="149"/>
  <c r="E231" i="149"/>
  <c r="G230" i="149"/>
  <c r="G229" i="149"/>
  <c r="G228" i="149"/>
  <c r="I225" i="149"/>
  <c r="E225" i="149"/>
  <c r="G224" i="149"/>
  <c r="G223" i="149"/>
  <c r="I220" i="149"/>
  <c r="E220" i="149"/>
  <c r="G219" i="149"/>
  <c r="G218" i="149"/>
  <c r="I212" i="149"/>
  <c r="E212" i="149"/>
  <c r="G211" i="149"/>
  <c r="G210" i="149"/>
  <c r="G209" i="149"/>
  <c r="I206" i="149"/>
  <c r="E206" i="149"/>
  <c r="G205" i="149"/>
  <c r="G204" i="149"/>
  <c r="I201" i="149"/>
  <c r="E201" i="149"/>
  <c r="G200" i="149"/>
  <c r="G199" i="149"/>
  <c r="I193" i="149"/>
  <c r="E193" i="149"/>
  <c r="G192" i="149"/>
  <c r="G191" i="149"/>
  <c r="G190" i="149"/>
  <c r="I187" i="149"/>
  <c r="E187" i="149"/>
  <c r="G186" i="149"/>
  <c r="G185" i="149"/>
  <c r="I182" i="149"/>
  <c r="E182" i="149"/>
  <c r="G181" i="149"/>
  <c r="G180" i="149"/>
  <c r="I172" i="149"/>
  <c r="A170" i="149"/>
  <c r="I169" i="149"/>
  <c r="A164" i="149"/>
  <c r="I150" i="149"/>
  <c r="E150" i="149"/>
  <c r="G149" i="149"/>
  <c r="G148" i="149"/>
  <c r="G147" i="149"/>
  <c r="I144" i="149"/>
  <c r="F144" i="149"/>
  <c r="E144" i="149"/>
  <c r="I139" i="149"/>
  <c r="E139" i="149"/>
  <c r="I131" i="149"/>
  <c r="E131" i="149"/>
  <c r="I125" i="149"/>
  <c r="E125" i="149"/>
  <c r="G125" i="149"/>
  <c r="I120" i="149"/>
  <c r="E120" i="149"/>
  <c r="G120" i="149"/>
  <c r="I112" i="149"/>
  <c r="E112" i="149"/>
  <c r="I106" i="149"/>
  <c r="E106" i="149"/>
  <c r="I101" i="149"/>
  <c r="E101" i="149"/>
  <c r="G101" i="149"/>
  <c r="I91" i="149"/>
  <c r="A89" i="149"/>
  <c r="I88" i="149"/>
  <c r="A83" i="149"/>
  <c r="I70" i="149"/>
  <c r="E70" i="149"/>
  <c r="I64" i="149"/>
  <c r="E64" i="149"/>
  <c r="I59" i="149"/>
  <c r="E59" i="149"/>
  <c r="I51" i="149"/>
  <c r="E51" i="149"/>
  <c r="I45" i="149"/>
  <c r="E45" i="149"/>
  <c r="G45" i="149"/>
  <c r="I40" i="149"/>
  <c r="E40" i="149"/>
  <c r="I32" i="149"/>
  <c r="E32" i="149"/>
  <c r="I26" i="149"/>
  <c r="E26" i="149"/>
  <c r="I21" i="149"/>
  <c r="E21" i="149"/>
  <c r="G21" i="149"/>
  <c r="I11" i="149"/>
  <c r="A9" i="149"/>
  <c r="A2" i="149"/>
  <c r="A163" i="149" s="1"/>
  <c r="A1" i="149"/>
  <c r="A81" i="149" s="1"/>
  <c r="E30" i="101"/>
  <c r="E29" i="101"/>
  <c r="A22" i="101"/>
  <c r="A24" i="101" s="1"/>
  <c r="A26" i="101" s="1"/>
  <c r="A29" i="101" s="1"/>
  <c r="A30" i="101" s="1"/>
  <c r="M11" i="101"/>
  <c r="A9" i="101"/>
  <c r="A2" i="101"/>
  <c r="A1" i="101"/>
  <c r="C18" i="96"/>
  <c r="C16" i="96"/>
  <c r="A11" i="96"/>
  <c r="A9" i="96"/>
  <c r="H24" i="239"/>
  <c r="H31" i="239" s="1"/>
  <c r="H35" i="239" s="1"/>
  <c r="A17" i="239"/>
  <c r="A19" i="239" s="1"/>
  <c r="A21" i="239" s="1"/>
  <c r="A22" i="239" s="1"/>
  <c r="A24" i="239" s="1"/>
  <c r="A31" i="239" s="1"/>
  <c r="A33" i="239" s="1"/>
  <c r="A35" i="239" s="1"/>
  <c r="A8" i="239"/>
  <c r="A2" i="239"/>
  <c r="A1" i="239"/>
  <c r="A40" i="238"/>
  <c r="A39" i="238"/>
  <c r="A38" i="238"/>
  <c r="A37" i="238"/>
  <c r="A36" i="238"/>
  <c r="A35" i="238"/>
  <c r="E34" i="238"/>
  <c r="A34" i="238"/>
  <c r="A33" i="238"/>
  <c r="E32" i="238"/>
  <c r="A32" i="238"/>
  <c r="A31" i="238"/>
  <c r="E30" i="238"/>
  <c r="A30" i="238"/>
  <c r="A29" i="238"/>
  <c r="A28" i="238"/>
  <c r="I27" i="238"/>
  <c r="G27" i="238"/>
  <c r="G38" i="238" s="1"/>
  <c r="A27" i="238"/>
  <c r="A26" i="238"/>
  <c r="A25" i="238"/>
  <c r="A24" i="238"/>
  <c r="A23" i="238"/>
  <c r="A22" i="238"/>
  <c r="A21" i="238"/>
  <c r="A20" i="238"/>
  <c r="A19" i="238"/>
  <c r="A18" i="238"/>
  <c r="I11" i="238"/>
  <c r="I10" i="238"/>
  <c r="A8" i="238"/>
  <c r="A3" i="238"/>
  <c r="A2" i="238"/>
  <c r="A1" i="238"/>
  <c r="A39" i="237"/>
  <c r="A38" i="237"/>
  <c r="A37" i="237"/>
  <c r="A36" i="237"/>
  <c r="A35" i="237"/>
  <c r="A34" i="237"/>
  <c r="E33" i="237"/>
  <c r="A33" i="237"/>
  <c r="A32" i="237"/>
  <c r="E31" i="237"/>
  <c r="A31" i="237"/>
  <c r="A30" i="237"/>
  <c r="E29" i="237"/>
  <c r="A29" i="237"/>
  <c r="A28" i="237"/>
  <c r="A27" i="237"/>
  <c r="I26" i="237"/>
  <c r="G26" i="237"/>
  <c r="G37" i="237" s="1"/>
  <c r="A26" i="237"/>
  <c r="A25" i="237"/>
  <c r="A24" i="237"/>
  <c r="A23" i="237"/>
  <c r="A22" i="237"/>
  <c r="A21" i="237"/>
  <c r="A20" i="237"/>
  <c r="A19" i="237"/>
  <c r="A18" i="237"/>
  <c r="A17" i="237"/>
  <c r="A8" i="237"/>
  <c r="A3" i="237"/>
  <c r="A2" i="237"/>
  <c r="A1" i="237"/>
  <c r="A41" i="141"/>
  <c r="A40" i="141"/>
  <c r="A39" i="141"/>
  <c r="A38" i="141"/>
  <c r="A37" i="141"/>
  <c r="A36" i="141"/>
  <c r="A35" i="141"/>
  <c r="A34" i="141"/>
  <c r="A33" i="141"/>
  <c r="A32" i="141"/>
  <c r="A31" i="141"/>
  <c r="A30" i="141"/>
  <c r="A29" i="141"/>
  <c r="A28" i="141"/>
  <c r="A27" i="141"/>
  <c r="I26" i="141"/>
  <c r="G26" i="141"/>
  <c r="A26" i="141"/>
  <c r="A25" i="141"/>
  <c r="I24" i="141"/>
  <c r="G24" i="141"/>
  <c r="A24" i="141"/>
  <c r="A23" i="141"/>
  <c r="I22" i="141"/>
  <c r="G22" i="141"/>
  <c r="A22" i="141"/>
  <c r="A21" i="141"/>
  <c r="I20" i="141"/>
  <c r="G20" i="141"/>
  <c r="A20" i="141"/>
  <c r="A19" i="141"/>
  <c r="I12" i="141"/>
  <c r="I11" i="141"/>
  <c r="A8" i="141"/>
  <c r="A3" i="141"/>
  <c r="A2" i="141"/>
  <c r="A1" i="141"/>
  <c r="A28" i="236"/>
  <c r="A24" i="236"/>
  <c r="A23" i="236"/>
  <c r="I22" i="236"/>
  <c r="G22" i="236"/>
  <c r="A22" i="236"/>
  <c r="A21" i="236"/>
  <c r="A20" i="236"/>
  <c r="A19" i="236"/>
  <c r="A18" i="236"/>
  <c r="I11" i="236"/>
  <c r="I10" i="236"/>
  <c r="A8" i="236"/>
  <c r="A3" i="236"/>
  <c r="A2" i="236"/>
  <c r="A1" i="236"/>
  <c r="A27" i="235"/>
  <c r="A26" i="235"/>
  <c r="A25" i="235"/>
  <c r="A24" i="235"/>
  <c r="A23" i="235"/>
  <c r="A22" i="235"/>
  <c r="I21" i="235"/>
  <c r="G21" i="235"/>
  <c r="A21" i="235"/>
  <c r="A20" i="235"/>
  <c r="A19" i="235"/>
  <c r="A18" i="235"/>
  <c r="A17" i="235"/>
  <c r="A8" i="235"/>
  <c r="A3" i="235"/>
  <c r="A2" i="235"/>
  <c r="A1" i="235"/>
  <c r="A29" i="94"/>
  <c r="A28" i="94"/>
  <c r="A27" i="94"/>
  <c r="A26" i="94"/>
  <c r="A25" i="94"/>
  <c r="A24" i="94"/>
  <c r="A23" i="94"/>
  <c r="A22" i="94"/>
  <c r="I21" i="94"/>
  <c r="G21" i="94"/>
  <c r="A21" i="94"/>
  <c r="A20" i="94"/>
  <c r="I19" i="94"/>
  <c r="I23" i="94" s="1"/>
  <c r="G19" i="94"/>
  <c r="A19" i="94"/>
  <c r="I12" i="94"/>
  <c r="I11" i="94"/>
  <c r="A8" i="94"/>
  <c r="A3" i="94"/>
  <c r="A2" i="94"/>
  <c r="A1" i="94"/>
  <c r="A26" i="234"/>
  <c r="A25" i="234"/>
  <c r="A24" i="234"/>
  <c r="A23" i="234"/>
  <c r="I22" i="234"/>
  <c r="G22" i="234"/>
  <c r="A22" i="234"/>
  <c r="A21" i="234"/>
  <c r="A20" i="234"/>
  <c r="A19" i="234"/>
  <c r="A18" i="234"/>
  <c r="I11" i="234"/>
  <c r="I10" i="234"/>
  <c r="A8" i="234"/>
  <c r="A3" i="234"/>
  <c r="A2" i="234"/>
  <c r="A1" i="234"/>
  <c r="A25" i="233"/>
  <c r="A24" i="233"/>
  <c r="A23" i="233"/>
  <c r="A22" i="233"/>
  <c r="I21" i="233"/>
  <c r="G21" i="233"/>
  <c r="A21" i="233"/>
  <c r="A20" i="233"/>
  <c r="A19" i="233"/>
  <c r="A18" i="233"/>
  <c r="A17" i="233"/>
  <c r="A8" i="233"/>
  <c r="A3" i="233"/>
  <c r="A2" i="233"/>
  <c r="A1" i="233"/>
  <c r="A27" i="140"/>
  <c r="A28" i="140" s="1"/>
  <c r="A29" i="140" s="1"/>
  <c r="A30" i="140" s="1"/>
  <c r="A31" i="140" s="1"/>
  <c r="A32" i="140" s="1"/>
  <c r="A26" i="140"/>
  <c r="A25" i="140"/>
  <c r="A24" i="140"/>
  <c r="A23" i="140"/>
  <c r="A22" i="140"/>
  <c r="I21" i="140"/>
  <c r="G21" i="140"/>
  <c r="A21" i="140"/>
  <c r="A20" i="140"/>
  <c r="I19" i="140"/>
  <c r="G19" i="140"/>
  <c r="G23" i="140" s="1"/>
  <c r="A19" i="140"/>
  <c r="I12" i="140"/>
  <c r="I11" i="140"/>
  <c r="A8" i="140"/>
  <c r="A3" i="140"/>
  <c r="A2" i="140"/>
  <c r="A1" i="140"/>
  <c r="A45" i="232"/>
  <c r="A46" i="232" s="1"/>
  <c r="A47" i="232" s="1"/>
  <c r="A48" i="232" s="1"/>
  <c r="A49" i="232" s="1"/>
  <c r="A44" i="232"/>
  <c r="A43" i="232"/>
  <c r="A42" i="232"/>
  <c r="I41" i="232"/>
  <c r="A41" i="232"/>
  <c r="E40" i="232"/>
  <c r="A40" i="232"/>
  <c r="E39" i="232"/>
  <c r="A39" i="232"/>
  <c r="E38" i="232"/>
  <c r="A38" i="232"/>
  <c r="E37" i="232"/>
  <c r="A37" i="232"/>
  <c r="E36" i="232"/>
  <c r="A36" i="232"/>
  <c r="E35" i="232"/>
  <c r="A35" i="232"/>
  <c r="E34" i="232"/>
  <c r="A34" i="232"/>
  <c r="E33" i="232"/>
  <c r="A33" i="232"/>
  <c r="E32" i="232"/>
  <c r="A32" i="232"/>
  <c r="E31" i="232"/>
  <c r="A31" i="232"/>
  <c r="E30" i="232"/>
  <c r="A30" i="232"/>
  <c r="E29" i="232"/>
  <c r="A29" i="232"/>
  <c r="E28" i="232"/>
  <c r="A28" i="232"/>
  <c r="A27" i="232"/>
  <c r="A26" i="232"/>
  <c r="I25" i="232"/>
  <c r="I43" i="232" s="1"/>
  <c r="G25" i="232"/>
  <c r="G43" i="232" s="1"/>
  <c r="A25" i="232"/>
  <c r="A24" i="232"/>
  <c r="A23" i="232"/>
  <c r="A22" i="232"/>
  <c r="A21" i="232"/>
  <c r="A20" i="232"/>
  <c r="A19" i="232"/>
  <c r="A18" i="232"/>
  <c r="I11" i="232"/>
  <c r="I10" i="232"/>
  <c r="A8" i="232"/>
  <c r="A3" i="232"/>
  <c r="A2" i="232"/>
  <c r="A1" i="232"/>
  <c r="A32" i="231"/>
  <c r="A31" i="231"/>
  <c r="A30" i="231"/>
  <c r="A29" i="231"/>
  <c r="I28" i="231"/>
  <c r="A28" i="231"/>
  <c r="E27" i="231"/>
  <c r="A27" i="231"/>
  <c r="A25" i="231"/>
  <c r="I24" i="231"/>
  <c r="I30" i="231" s="1"/>
  <c r="G24" i="231"/>
  <c r="G30" i="231" s="1"/>
  <c r="A24" i="231"/>
  <c r="A23" i="231"/>
  <c r="A22" i="231"/>
  <c r="A21" i="231"/>
  <c r="A20" i="231"/>
  <c r="A19" i="231"/>
  <c r="A18" i="231"/>
  <c r="A17" i="231"/>
  <c r="A8" i="231"/>
  <c r="A3" i="231"/>
  <c r="A2" i="231"/>
  <c r="A1" i="231"/>
  <c r="A47" i="139"/>
  <c r="A48" i="139" s="1"/>
  <c r="A49" i="139" s="1"/>
  <c r="A50" i="139" s="1"/>
  <c r="A51" i="139" s="1"/>
  <c r="A46" i="139"/>
  <c r="A45" i="139"/>
  <c r="A44" i="139"/>
  <c r="I43" i="139"/>
  <c r="A43" i="139"/>
  <c r="A42" i="139"/>
  <c r="A41" i="139"/>
  <c r="A40" i="139"/>
  <c r="A39" i="139"/>
  <c r="A38" i="139"/>
  <c r="A37" i="139"/>
  <c r="A36" i="139"/>
  <c r="A35" i="139"/>
  <c r="A34" i="139"/>
  <c r="A33" i="139"/>
  <c r="A32" i="139"/>
  <c r="A31" i="139"/>
  <c r="A30" i="139"/>
  <c r="A29" i="139"/>
  <c r="A28" i="139"/>
  <c r="A27" i="139"/>
  <c r="A26" i="139"/>
  <c r="I25" i="139"/>
  <c r="G25" i="139"/>
  <c r="A25" i="139"/>
  <c r="I24" i="139"/>
  <c r="G24" i="139"/>
  <c r="A24" i="139"/>
  <c r="I23" i="139"/>
  <c r="G23" i="139"/>
  <c r="A23" i="139"/>
  <c r="I22" i="139"/>
  <c r="G22" i="139"/>
  <c r="A22" i="139"/>
  <c r="I21" i="139"/>
  <c r="G21" i="139"/>
  <c r="A21" i="139"/>
  <c r="I20" i="139"/>
  <c r="G20" i="139"/>
  <c r="A20" i="139"/>
  <c r="A19" i="139"/>
  <c r="I12" i="139"/>
  <c r="I11" i="139"/>
  <c r="A8" i="139"/>
  <c r="A3" i="139"/>
  <c r="A2" i="139"/>
  <c r="A1" i="139"/>
  <c r="A37" i="230"/>
  <c r="A36" i="230"/>
  <c r="A35" i="230"/>
  <c r="A34" i="230"/>
  <c r="A33" i="230"/>
  <c r="A32" i="230"/>
  <c r="K31" i="230"/>
  <c r="I31" i="230"/>
  <c r="A31" i="230"/>
  <c r="A30" i="230"/>
  <c r="A29" i="230"/>
  <c r="A28" i="230"/>
  <c r="A27" i="230"/>
  <c r="A26" i="230"/>
  <c r="A25" i="230"/>
  <c r="K24" i="230"/>
  <c r="K35" i="230" s="1"/>
  <c r="I24" i="230"/>
  <c r="A24" i="230"/>
  <c r="A23" i="230"/>
  <c r="A22" i="230"/>
  <c r="A21" i="230"/>
  <c r="A20" i="230"/>
  <c r="A19" i="230"/>
  <c r="K12" i="230"/>
  <c r="K11" i="230"/>
  <c r="A9" i="230"/>
  <c r="A3" i="230"/>
  <c r="A2" i="230"/>
  <c r="A1" i="230"/>
  <c r="A37" i="229"/>
  <c r="A36" i="229"/>
  <c r="A35" i="229"/>
  <c r="A34" i="229"/>
  <c r="A33" i="229"/>
  <c r="A32" i="229"/>
  <c r="A31" i="229"/>
  <c r="K30" i="229"/>
  <c r="I30" i="229"/>
  <c r="A30" i="229"/>
  <c r="A29" i="229"/>
  <c r="A28" i="229"/>
  <c r="A27" i="229"/>
  <c r="A26" i="229"/>
  <c r="A25" i="229"/>
  <c r="A24" i="229"/>
  <c r="K23" i="229"/>
  <c r="K34" i="229" s="1"/>
  <c r="I23" i="229"/>
  <c r="A23" i="229"/>
  <c r="A22" i="229"/>
  <c r="A21" i="229"/>
  <c r="A20" i="229"/>
  <c r="A19" i="229"/>
  <c r="A18" i="229"/>
  <c r="A9" i="229"/>
  <c r="A2" i="229"/>
  <c r="A1" i="229"/>
  <c r="A38" i="90"/>
  <c r="A37" i="90"/>
  <c r="A36" i="90"/>
  <c r="A35" i="90"/>
  <c r="K34" i="90"/>
  <c r="I34" i="90"/>
  <c r="A34" i="90"/>
  <c r="A33" i="90"/>
  <c r="A32" i="90"/>
  <c r="K31" i="90"/>
  <c r="I31" i="90"/>
  <c r="A31" i="90"/>
  <c r="K30" i="90"/>
  <c r="I30" i="90"/>
  <c r="A30" i="90"/>
  <c r="K29" i="90"/>
  <c r="I29" i="90"/>
  <c r="A29" i="90"/>
  <c r="K28" i="90"/>
  <c r="I28" i="90"/>
  <c r="A28" i="90"/>
  <c r="A27" i="90"/>
  <c r="A26" i="90"/>
  <c r="A25" i="90"/>
  <c r="K24" i="90"/>
  <c r="I24" i="90"/>
  <c r="A24" i="90"/>
  <c r="K23" i="90"/>
  <c r="I23" i="90"/>
  <c r="A23" i="90"/>
  <c r="K22" i="90"/>
  <c r="I22" i="90"/>
  <c r="A22" i="90"/>
  <c r="K21" i="90"/>
  <c r="I21" i="90"/>
  <c r="A21" i="90"/>
  <c r="A20" i="90"/>
  <c r="K13" i="90"/>
  <c r="K12" i="90"/>
  <c r="A9" i="90"/>
  <c r="A3" i="90"/>
  <c r="A2" i="90"/>
  <c r="A1" i="90"/>
  <c r="A63" i="228"/>
  <c r="A62" i="228"/>
  <c r="A61" i="228"/>
  <c r="A60" i="228"/>
  <c r="A59" i="228"/>
  <c r="K58" i="228"/>
  <c r="K35" i="228" s="1"/>
  <c r="K36" i="228" s="1"/>
  <c r="K60" i="228" s="1"/>
  <c r="A58" i="228"/>
  <c r="G57" i="228"/>
  <c r="A57" i="228"/>
  <c r="G56" i="228"/>
  <c r="A56" i="228"/>
  <c r="G55" i="228"/>
  <c r="A55" i="228"/>
  <c r="G54" i="228"/>
  <c r="A54" i="228"/>
  <c r="G53" i="228"/>
  <c r="A53" i="228"/>
  <c r="G52" i="228"/>
  <c r="A52" i="228"/>
  <c r="G51" i="228"/>
  <c r="A51" i="228"/>
  <c r="G50" i="228"/>
  <c r="A50" i="228"/>
  <c r="G49" i="228"/>
  <c r="A49" i="228"/>
  <c r="G48" i="228"/>
  <c r="A48" i="228"/>
  <c r="G47" i="228"/>
  <c r="A47" i="228"/>
  <c r="G46" i="228"/>
  <c r="A46" i="228"/>
  <c r="G45" i="228"/>
  <c r="A45" i="228"/>
  <c r="G44" i="228"/>
  <c r="A44" i="228"/>
  <c r="G43" i="228"/>
  <c r="A43" i="228"/>
  <c r="G42" i="228"/>
  <c r="A42" i="228"/>
  <c r="G41" i="228"/>
  <c r="A41" i="228"/>
  <c r="G40" i="228"/>
  <c r="A40" i="228"/>
  <c r="G39" i="228"/>
  <c r="A39" i="228"/>
  <c r="A38" i="228"/>
  <c r="A37" i="228"/>
  <c r="I36" i="228"/>
  <c r="I60" i="228" s="1"/>
  <c r="A36" i="228"/>
  <c r="A35" i="228"/>
  <c r="A34" i="228"/>
  <c r="A33" i="228"/>
  <c r="A32" i="228"/>
  <c r="A31" i="228"/>
  <c r="A30" i="228"/>
  <c r="A29" i="228"/>
  <c r="A28" i="228"/>
  <c r="A27" i="228"/>
  <c r="A26" i="228"/>
  <c r="A25" i="228"/>
  <c r="A24" i="228"/>
  <c r="A23" i="228"/>
  <c r="A22" i="228"/>
  <c r="A21" i="228"/>
  <c r="A20" i="228"/>
  <c r="A19" i="228"/>
  <c r="K12" i="228"/>
  <c r="K11" i="228"/>
  <c r="A9" i="228"/>
  <c r="A3" i="228"/>
  <c r="A2" i="228"/>
  <c r="A1" i="228"/>
  <c r="A59" i="227"/>
  <c r="A58" i="227"/>
  <c r="A57" i="227"/>
  <c r="A56" i="227"/>
  <c r="A54" i="227"/>
  <c r="A53" i="227"/>
  <c r="K52" i="227"/>
  <c r="I52" i="227"/>
  <c r="A52" i="227"/>
  <c r="A51" i="227"/>
  <c r="A50" i="227"/>
  <c r="A49" i="227"/>
  <c r="A48" i="227"/>
  <c r="A47" i="227"/>
  <c r="A46" i="227"/>
  <c r="A45" i="227"/>
  <c r="K44" i="227"/>
  <c r="A44" i="227"/>
  <c r="G43" i="227"/>
  <c r="A43" i="227"/>
  <c r="A42" i="227"/>
  <c r="G41" i="227"/>
  <c r="A41" i="227"/>
  <c r="G40" i="227"/>
  <c r="A40" i="227"/>
  <c r="G39" i="227"/>
  <c r="A39" i="227"/>
  <c r="A38" i="227"/>
  <c r="A37" i="227"/>
  <c r="G36" i="227"/>
  <c r="A36" i="227"/>
  <c r="G35" i="227"/>
  <c r="A35" i="227"/>
  <c r="A34" i="227"/>
  <c r="G33" i="227"/>
  <c r="A33" i="227"/>
  <c r="G32" i="227"/>
  <c r="A32" i="227"/>
  <c r="G31" i="227"/>
  <c r="A31" i="227"/>
  <c r="A30" i="227"/>
  <c r="G29" i="227"/>
  <c r="A29" i="227"/>
  <c r="G28" i="227"/>
  <c r="A28" i="227"/>
  <c r="A27" i="227"/>
  <c r="A26" i="227"/>
  <c r="I25" i="227"/>
  <c r="I54" i="227" s="1"/>
  <c r="A25" i="227"/>
  <c r="K24" i="227"/>
  <c r="K25" i="227" s="1"/>
  <c r="A24" i="227"/>
  <c r="A23" i="227"/>
  <c r="A22" i="227"/>
  <c r="A21" i="227"/>
  <c r="A20" i="227"/>
  <c r="A19" i="227"/>
  <c r="A18" i="227"/>
  <c r="A9" i="227"/>
  <c r="A3" i="227"/>
  <c r="A2" i="227"/>
  <c r="A1" i="227"/>
  <c r="A94" i="87"/>
  <c r="A93" i="87"/>
  <c r="A92" i="87"/>
  <c r="A91" i="87"/>
  <c r="A90" i="87"/>
  <c r="A89" i="87"/>
  <c r="A88" i="87"/>
  <c r="K87" i="87"/>
  <c r="I87" i="87"/>
  <c r="A87" i="87"/>
  <c r="A86" i="87"/>
  <c r="A85" i="87"/>
  <c r="A84" i="87"/>
  <c r="A83" i="87"/>
  <c r="A82" i="87"/>
  <c r="A81" i="87"/>
  <c r="A80" i="87"/>
  <c r="K79" i="87"/>
  <c r="K41" i="87" s="1"/>
  <c r="A79" i="87"/>
  <c r="A78" i="87"/>
  <c r="A77" i="87"/>
  <c r="A76" i="87"/>
  <c r="A75" i="87"/>
  <c r="A74" i="87"/>
  <c r="A73" i="87"/>
  <c r="A72" i="87"/>
  <c r="A71" i="87"/>
  <c r="A70" i="87"/>
  <c r="A69" i="87"/>
  <c r="A68" i="87"/>
  <c r="A67" i="87"/>
  <c r="A66" i="87"/>
  <c r="A65" i="87"/>
  <c r="A64" i="87"/>
  <c r="A63" i="87"/>
  <c r="A62" i="87"/>
  <c r="A61" i="87"/>
  <c r="A60" i="87"/>
  <c r="A59" i="87"/>
  <c r="A58" i="87"/>
  <c r="A57" i="87"/>
  <c r="A56" i="87"/>
  <c r="A55" i="87"/>
  <c r="A54" i="87"/>
  <c r="A53" i="87"/>
  <c r="A52" i="87"/>
  <c r="A51" i="87"/>
  <c r="A50" i="87"/>
  <c r="A49" i="87"/>
  <c r="A48" i="87"/>
  <c r="A47" i="87"/>
  <c r="A46" i="87"/>
  <c r="A45" i="87"/>
  <c r="A44" i="87"/>
  <c r="A43" i="87"/>
  <c r="K42" i="87"/>
  <c r="I42" i="87"/>
  <c r="I89" i="87" s="1"/>
  <c r="A42" i="87"/>
  <c r="A41" i="87"/>
  <c r="A40" i="87"/>
  <c r="A39" i="87"/>
  <c r="A38" i="87"/>
  <c r="A37" i="87"/>
  <c r="A36" i="87"/>
  <c r="A35" i="87"/>
  <c r="A34" i="87"/>
  <c r="A33" i="87"/>
  <c r="A32" i="87"/>
  <c r="A31" i="87"/>
  <c r="A30" i="87"/>
  <c r="A29" i="87"/>
  <c r="A28" i="87"/>
  <c r="A27" i="87"/>
  <c r="A26" i="87"/>
  <c r="A25" i="87"/>
  <c r="A24" i="87"/>
  <c r="A23" i="87"/>
  <c r="A22" i="87"/>
  <c r="A21" i="87"/>
  <c r="A20" i="87"/>
  <c r="K13" i="87"/>
  <c r="K12" i="87"/>
  <c r="A9" i="87"/>
  <c r="A3" i="87"/>
  <c r="A2" i="87"/>
  <c r="A1" i="87"/>
  <c r="A23" i="88"/>
  <c r="A22" i="88"/>
  <c r="A21" i="88"/>
  <c r="A20" i="88"/>
  <c r="K13" i="88"/>
  <c r="K12" i="88"/>
  <c r="A9" i="88"/>
  <c r="A3" i="88"/>
  <c r="A2" i="88"/>
  <c r="A1" i="88"/>
  <c r="A43" i="226"/>
  <c r="A42" i="226"/>
  <c r="A41" i="226"/>
  <c r="A40" i="226"/>
  <c r="A39" i="226"/>
  <c r="K38" i="226"/>
  <c r="A38" i="226"/>
  <c r="A37" i="226"/>
  <c r="G36" i="226"/>
  <c r="A36" i="226"/>
  <c r="G35" i="226"/>
  <c r="A35" i="226"/>
  <c r="G34" i="226"/>
  <c r="A34" i="226"/>
  <c r="A33" i="226"/>
  <c r="G32" i="226"/>
  <c r="A32" i="226"/>
  <c r="G31" i="226"/>
  <c r="A31" i="226"/>
  <c r="G30" i="226"/>
  <c r="A30" i="226"/>
  <c r="A29" i="226"/>
  <c r="A28" i="226"/>
  <c r="K27" i="226"/>
  <c r="K40" i="226" s="1"/>
  <c r="I27" i="226"/>
  <c r="I40" i="226" s="1"/>
  <c r="A27" i="226"/>
  <c r="A26" i="226"/>
  <c r="A25" i="226"/>
  <c r="A24" i="226"/>
  <c r="A23" i="226"/>
  <c r="A22" i="226"/>
  <c r="A21" i="226"/>
  <c r="A20" i="226"/>
  <c r="A19" i="226"/>
  <c r="K12" i="226"/>
  <c r="K11" i="226"/>
  <c r="A9" i="226"/>
  <c r="A3" i="226"/>
  <c r="A2" i="226"/>
  <c r="A1" i="226"/>
  <c r="A61" i="225"/>
  <c r="A62" i="225" s="1"/>
  <c r="A63" i="225" s="1"/>
  <c r="A64" i="225" s="1"/>
  <c r="A65" i="225" s="1"/>
  <c r="A60" i="225"/>
  <c r="A59" i="225"/>
  <c r="K58" i="225"/>
  <c r="A58" i="225"/>
  <c r="A57" i="225"/>
  <c r="K56" i="225"/>
  <c r="A56" i="225"/>
  <c r="A55" i="225"/>
  <c r="A54" i="225"/>
  <c r="G53" i="225"/>
  <c r="A53" i="225"/>
  <c r="A52" i="225"/>
  <c r="A51" i="225"/>
  <c r="G50" i="225"/>
  <c r="A50" i="225"/>
  <c r="G49" i="225"/>
  <c r="A49" i="225"/>
  <c r="G48" i="225"/>
  <c r="A48" i="225"/>
  <c r="A47" i="225"/>
  <c r="A46" i="225"/>
  <c r="G45" i="225"/>
  <c r="A45" i="225"/>
  <c r="A44" i="225"/>
  <c r="A43" i="225"/>
  <c r="K42" i="225"/>
  <c r="I42" i="225"/>
  <c r="I58" i="225" s="1"/>
  <c r="A42" i="225"/>
  <c r="A41" i="225"/>
  <c r="A40" i="225"/>
  <c r="A39" i="225"/>
  <c r="A38" i="225"/>
  <c r="A37" i="225"/>
  <c r="A36" i="225"/>
  <c r="A35" i="225"/>
  <c r="A34" i="225"/>
  <c r="A33" i="225"/>
  <c r="A32" i="225"/>
  <c r="A31" i="225"/>
  <c r="A30" i="225"/>
  <c r="A29" i="225"/>
  <c r="A28" i="225"/>
  <c r="A27" i="225"/>
  <c r="A26" i="225"/>
  <c r="A25" i="225"/>
  <c r="A24" i="225"/>
  <c r="A23" i="225"/>
  <c r="A22" i="225"/>
  <c r="A21" i="225"/>
  <c r="A20" i="225"/>
  <c r="A19" i="225"/>
  <c r="A18" i="225"/>
  <c r="A9" i="225"/>
  <c r="A3" i="225"/>
  <c r="A2" i="225"/>
  <c r="A1" i="225"/>
  <c r="A77" i="86"/>
  <c r="A76" i="86"/>
  <c r="A75" i="86"/>
  <c r="A74" i="86"/>
  <c r="A73" i="86"/>
  <c r="K72" i="86"/>
  <c r="G72" i="86"/>
  <c r="A72" i="86"/>
  <c r="A71" i="86"/>
  <c r="A70" i="86"/>
  <c r="A69" i="86"/>
  <c r="A68" i="86"/>
  <c r="A67" i="86"/>
  <c r="A66" i="86"/>
  <c r="A65" i="86"/>
  <c r="A64" i="86"/>
  <c r="A63" i="86"/>
  <c r="A62" i="86"/>
  <c r="A61" i="86"/>
  <c r="A60" i="86"/>
  <c r="A59" i="86"/>
  <c r="A58" i="86"/>
  <c r="A57" i="86"/>
  <c r="A56" i="86"/>
  <c r="A55" i="86"/>
  <c r="A54" i="86"/>
  <c r="A53" i="86"/>
  <c r="A52" i="86"/>
  <c r="A51" i="86"/>
  <c r="K50" i="86"/>
  <c r="K74" i="86" s="1"/>
  <c r="I50" i="86"/>
  <c r="I74" i="86" s="1"/>
  <c r="A50" i="86"/>
  <c r="A49" i="86"/>
  <c r="A48" i="86"/>
  <c r="A47" i="86"/>
  <c r="A46" i="86"/>
  <c r="A45" i="86"/>
  <c r="A44" i="86"/>
  <c r="A43" i="86"/>
  <c r="A42" i="86"/>
  <c r="A41" i="86"/>
  <c r="A40" i="86"/>
  <c r="A39" i="86"/>
  <c r="A38" i="86"/>
  <c r="A37" i="86"/>
  <c r="A36" i="86"/>
  <c r="A35" i="86"/>
  <c r="A34" i="86"/>
  <c r="A33" i="86"/>
  <c r="A32" i="86"/>
  <c r="A31" i="86"/>
  <c r="A30" i="86"/>
  <c r="A29" i="86"/>
  <c r="A28" i="86"/>
  <c r="A27" i="86"/>
  <c r="A26" i="86"/>
  <c r="A25" i="86"/>
  <c r="A24" i="86"/>
  <c r="A23" i="86"/>
  <c r="A22" i="86"/>
  <c r="A21" i="86"/>
  <c r="A20" i="86"/>
  <c r="K13" i="86"/>
  <c r="K12" i="86"/>
  <c r="A9" i="86"/>
  <c r="A3" i="86"/>
  <c r="A2" i="86"/>
  <c r="A1" i="86"/>
  <c r="C18" i="85"/>
  <c r="C16" i="85"/>
  <c r="A11" i="85"/>
  <c r="A9" i="85"/>
  <c r="G138" i="207"/>
  <c r="G137" i="207"/>
  <c r="B108" i="207"/>
  <c r="B128" i="207" s="1"/>
  <c r="G90" i="207"/>
  <c r="A83" i="207"/>
  <c r="A82" i="207"/>
  <c r="B74" i="207"/>
  <c r="B109" i="207" s="1"/>
  <c r="B129" i="207" s="1"/>
  <c r="D73" i="207"/>
  <c r="D108" i="207" s="1"/>
  <c r="D128" i="207" s="1"/>
  <c r="D54" i="207"/>
  <c r="D74" i="207" s="1"/>
  <c r="D109" i="207" s="1"/>
  <c r="D129" i="207" s="1"/>
  <c r="B54" i="207"/>
  <c r="D53" i="207"/>
  <c r="B53" i="207"/>
  <c r="B73" i="207" s="1"/>
  <c r="D52" i="207"/>
  <c r="D72" i="207" s="1"/>
  <c r="D107" i="207" s="1"/>
  <c r="D127" i="207" s="1"/>
  <c r="B52" i="207"/>
  <c r="B72" i="207" s="1"/>
  <c r="B107" i="207" s="1"/>
  <c r="B127" i="207" s="1"/>
  <c r="D49" i="207"/>
  <c r="D69" i="207" s="1"/>
  <c r="D104" i="207" s="1"/>
  <c r="D124" i="207" s="1"/>
  <c r="D47" i="207"/>
  <c r="D67" i="207" s="1"/>
  <c r="D102" i="207" s="1"/>
  <c r="D122" i="207" s="1"/>
  <c r="D46" i="207"/>
  <c r="D66" i="207" s="1"/>
  <c r="D101" i="207" s="1"/>
  <c r="D121" i="207" s="1"/>
  <c r="A20" i="207"/>
  <c r="A22" i="207" s="1"/>
  <c r="A23" i="207" s="1"/>
  <c r="A24" i="207" s="1"/>
  <c r="A25" i="207" s="1"/>
  <c r="A26" i="207" s="1"/>
  <c r="A27" i="207" s="1"/>
  <c r="A28" i="207" s="1"/>
  <c r="A29" i="207" s="1"/>
  <c r="A30" i="207" s="1"/>
  <c r="A31" i="207" s="1"/>
  <c r="A32" i="207" s="1"/>
  <c r="A33" i="207" s="1"/>
  <c r="A34" i="207" s="1"/>
  <c r="A35" i="207" s="1"/>
  <c r="A36" i="207" s="1"/>
  <c r="A37" i="207" s="1"/>
  <c r="A38" i="207" s="1"/>
  <c r="A39" i="207" s="1"/>
  <c r="A40" i="207" s="1"/>
  <c r="A42" i="207" s="1"/>
  <c r="A43" i="207" s="1"/>
  <c r="A44" i="207" s="1"/>
  <c r="A45" i="207" s="1"/>
  <c r="A46" i="207" s="1"/>
  <c r="A47" i="207" s="1"/>
  <c r="A48" i="207" s="1"/>
  <c r="A49" i="207" s="1"/>
  <c r="A50" i="207" s="1"/>
  <c r="A51" i="207" s="1"/>
  <c r="A52" i="207" s="1"/>
  <c r="A53" i="207" s="1"/>
  <c r="A54" i="207" s="1"/>
  <c r="A55" i="207" s="1"/>
  <c r="A56" i="207" s="1"/>
  <c r="A57" i="207" s="1"/>
  <c r="A58" i="207" s="1"/>
  <c r="A59" i="207" s="1"/>
  <c r="A60" i="207" s="1"/>
  <c r="A62" i="207" s="1"/>
  <c r="A63" i="207" s="1"/>
  <c r="A64" i="207" s="1"/>
  <c r="A65" i="207" s="1"/>
  <c r="A66" i="207" s="1"/>
  <c r="A67" i="207" s="1"/>
  <c r="A68" i="207" s="1"/>
  <c r="A69" i="207" s="1"/>
  <c r="A70" i="207" s="1"/>
  <c r="A71" i="207" s="1"/>
  <c r="A72" i="207" s="1"/>
  <c r="A73" i="207" s="1"/>
  <c r="A74" i="207" s="1"/>
  <c r="A75" i="207" s="1"/>
  <c r="A76" i="207" s="1"/>
  <c r="A77" i="207" s="1"/>
  <c r="A78" i="207" s="1"/>
  <c r="A79" i="207" s="1"/>
  <c r="A80" i="207" s="1"/>
  <c r="A97" i="207" s="1"/>
  <c r="A98" i="207" s="1"/>
  <c r="A99" i="207" s="1"/>
  <c r="A100" i="207" s="1"/>
  <c r="A101" i="207" s="1"/>
  <c r="A102" i="207" s="1"/>
  <c r="A103" i="207" s="1"/>
  <c r="A104" i="207" s="1"/>
  <c r="A105" i="207" s="1"/>
  <c r="A106" i="207" s="1"/>
  <c r="A107" i="207" s="1"/>
  <c r="A108" i="207" s="1"/>
  <c r="A109" i="207" s="1"/>
  <c r="A110" i="207" s="1"/>
  <c r="A111" i="207" s="1"/>
  <c r="A112" i="207" s="1"/>
  <c r="A113" i="207" s="1"/>
  <c r="A114" i="207" s="1"/>
  <c r="A115" i="207" s="1"/>
  <c r="A117" i="207" s="1"/>
  <c r="A118" i="207" s="1"/>
  <c r="A119" i="207" s="1"/>
  <c r="A120" i="207" s="1"/>
  <c r="A121" i="207" s="1"/>
  <c r="A122" i="207" s="1"/>
  <c r="A123" i="207" s="1"/>
  <c r="A124" i="207" s="1"/>
  <c r="A125" i="207" s="1"/>
  <c r="A126" i="207" s="1"/>
  <c r="A127" i="207" s="1"/>
  <c r="A128" i="207" s="1"/>
  <c r="A129" i="207" s="1"/>
  <c r="A130" i="207" s="1"/>
  <c r="A131" i="207" s="1"/>
  <c r="A132" i="207" s="1"/>
  <c r="A133" i="207" s="1"/>
  <c r="A134" i="207" s="1"/>
  <c r="A135" i="207" s="1"/>
  <c r="A137" i="207" s="1"/>
  <c r="A138" i="207" s="1"/>
  <c r="A139" i="207" s="1"/>
  <c r="A17" i="207"/>
  <c r="A18" i="207" s="1"/>
  <c r="A19" i="207" s="1"/>
  <c r="A2" i="207"/>
  <c r="A1" i="207"/>
  <c r="K188" i="153"/>
  <c r="L188" i="153" s="1"/>
  <c r="F188" i="153"/>
  <c r="H188" i="153" s="1"/>
  <c r="K187" i="153"/>
  <c r="L187" i="153" s="1"/>
  <c r="F187" i="153"/>
  <c r="H187" i="153" s="1"/>
  <c r="K186" i="153"/>
  <c r="L186" i="153" s="1"/>
  <c r="L31" i="153" s="1"/>
  <c r="F186" i="153"/>
  <c r="H186" i="153" s="1"/>
  <c r="H31" i="153" s="1"/>
  <c r="K185" i="153"/>
  <c r="L185" i="153" s="1"/>
  <c r="F185" i="153"/>
  <c r="H185" i="153" s="1"/>
  <c r="H30" i="153" s="1"/>
  <c r="L182" i="153"/>
  <c r="L57" i="153" s="1"/>
  <c r="F182" i="153"/>
  <c r="L181" i="153"/>
  <c r="L56" i="153" s="1"/>
  <c r="F181" i="153"/>
  <c r="H181" i="153" s="1"/>
  <c r="H56" i="153" s="1"/>
  <c r="K178" i="153"/>
  <c r="L178" i="153" s="1"/>
  <c r="F178" i="153"/>
  <c r="H178" i="153" s="1"/>
  <c r="K177" i="153"/>
  <c r="L177" i="153" s="1"/>
  <c r="F177" i="153"/>
  <c r="K176" i="153"/>
  <c r="L176" i="153" s="1"/>
  <c r="F176" i="153"/>
  <c r="H176" i="153" s="1"/>
  <c r="K175" i="153"/>
  <c r="L175" i="153" s="1"/>
  <c r="F175" i="153"/>
  <c r="L172" i="153"/>
  <c r="L49" i="153" s="1"/>
  <c r="F172" i="153"/>
  <c r="L171" i="153"/>
  <c r="L50" i="153" s="1"/>
  <c r="F171" i="153"/>
  <c r="H171" i="153" s="1"/>
  <c r="L170" i="153"/>
  <c r="L51" i="153" s="1"/>
  <c r="F170" i="153"/>
  <c r="H170" i="153" s="1"/>
  <c r="H51" i="153" s="1"/>
  <c r="A170" i="153"/>
  <c r="A171" i="153" s="1"/>
  <c r="A172" i="153" s="1"/>
  <c r="A173" i="153" s="1"/>
  <c r="A174" i="153" s="1"/>
  <c r="A175" i="153" s="1"/>
  <c r="A176" i="153" s="1"/>
  <c r="A177" i="153" s="1"/>
  <c r="A178" i="153" s="1"/>
  <c r="A179" i="153" s="1"/>
  <c r="A180" i="153" s="1"/>
  <c r="A181" i="153" s="1"/>
  <c r="A182" i="153" s="1"/>
  <c r="A183" i="153" s="1"/>
  <c r="A184" i="153" s="1"/>
  <c r="A185" i="153" s="1"/>
  <c r="A186" i="153" s="1"/>
  <c r="A187" i="153" s="1"/>
  <c r="A188" i="153" s="1"/>
  <c r="L161" i="153"/>
  <c r="L159" i="153"/>
  <c r="A154" i="153"/>
  <c r="A153" i="153"/>
  <c r="L151" i="153"/>
  <c r="L25" i="153" s="1"/>
  <c r="F151" i="153"/>
  <c r="H151" i="153" s="1"/>
  <c r="H25" i="153" s="1"/>
  <c r="F150" i="153"/>
  <c r="H150" i="153" s="1"/>
  <c r="K148" i="153"/>
  <c r="K24" i="153" s="1"/>
  <c r="K47" i="153" s="1"/>
  <c r="J148" i="153"/>
  <c r="D148" i="153"/>
  <c r="D24" i="153" s="1"/>
  <c r="L147" i="153"/>
  <c r="F147" i="153"/>
  <c r="H147" i="153" s="1"/>
  <c r="L146" i="153"/>
  <c r="F146" i="153"/>
  <c r="H146" i="153" s="1"/>
  <c r="L145" i="153"/>
  <c r="F145" i="153"/>
  <c r="H145" i="153" s="1"/>
  <c r="L144" i="153"/>
  <c r="F144" i="153"/>
  <c r="H144" i="153" s="1"/>
  <c r="L143" i="153"/>
  <c r="F143" i="153"/>
  <c r="H143" i="153" s="1"/>
  <c r="L142" i="153"/>
  <c r="F142" i="153"/>
  <c r="H142" i="153" s="1"/>
  <c r="L141" i="153"/>
  <c r="F141" i="153"/>
  <c r="H141" i="153" s="1"/>
  <c r="L140" i="153"/>
  <c r="F140" i="153"/>
  <c r="H140" i="153" s="1"/>
  <c r="L139" i="153"/>
  <c r="F139" i="153"/>
  <c r="H139" i="153" s="1"/>
  <c r="L138" i="153"/>
  <c r="F138" i="153"/>
  <c r="H138" i="153" s="1"/>
  <c r="L137" i="153"/>
  <c r="F137" i="153"/>
  <c r="H137" i="153" s="1"/>
  <c r="L136" i="153"/>
  <c r="F136" i="153"/>
  <c r="H136" i="153" s="1"/>
  <c r="L135" i="153"/>
  <c r="F135" i="153"/>
  <c r="H135" i="153" s="1"/>
  <c r="L134" i="153"/>
  <c r="F134" i="153"/>
  <c r="H134" i="153" s="1"/>
  <c r="L133" i="153"/>
  <c r="F133" i="153"/>
  <c r="H133" i="153" s="1"/>
  <c r="L132" i="153"/>
  <c r="F132" i="153"/>
  <c r="H132" i="153" s="1"/>
  <c r="L131" i="153"/>
  <c r="F131" i="153"/>
  <c r="H131" i="153" s="1"/>
  <c r="L130" i="153"/>
  <c r="F130" i="153"/>
  <c r="H130" i="153" s="1"/>
  <c r="L129" i="153"/>
  <c r="F129" i="153"/>
  <c r="H129" i="153" s="1"/>
  <c r="L128" i="153"/>
  <c r="F128" i="153"/>
  <c r="H128" i="153" s="1"/>
  <c r="L127" i="153"/>
  <c r="F127" i="153"/>
  <c r="H127" i="153" s="1"/>
  <c r="L126" i="153"/>
  <c r="F126" i="153"/>
  <c r="H126" i="153" s="1"/>
  <c r="L125" i="153"/>
  <c r="F125" i="153"/>
  <c r="H125" i="153" s="1"/>
  <c r="L124" i="153"/>
  <c r="F124" i="153"/>
  <c r="H124" i="153" s="1"/>
  <c r="L123" i="153"/>
  <c r="F123" i="153"/>
  <c r="H123" i="153" s="1"/>
  <c r="L122" i="153"/>
  <c r="F122" i="153"/>
  <c r="H122" i="153" s="1"/>
  <c r="L121" i="153"/>
  <c r="F121" i="153"/>
  <c r="H121" i="153" s="1"/>
  <c r="L120" i="153"/>
  <c r="F120" i="153"/>
  <c r="H120" i="153" s="1"/>
  <c r="L119" i="153"/>
  <c r="F119" i="153"/>
  <c r="H119" i="153" s="1"/>
  <c r="L118" i="153"/>
  <c r="F118" i="153"/>
  <c r="H118" i="153" s="1"/>
  <c r="L117" i="153"/>
  <c r="F117" i="153"/>
  <c r="H117" i="153" s="1"/>
  <c r="L116" i="153"/>
  <c r="F116" i="153"/>
  <c r="H116" i="153" s="1"/>
  <c r="L115" i="153"/>
  <c r="F115" i="153"/>
  <c r="H115" i="153" s="1"/>
  <c r="L114" i="153"/>
  <c r="F114" i="153"/>
  <c r="H114" i="153" s="1"/>
  <c r="L113" i="153"/>
  <c r="F113" i="153"/>
  <c r="H113" i="153" s="1"/>
  <c r="L112" i="153"/>
  <c r="F112" i="153"/>
  <c r="H112" i="153" s="1"/>
  <c r="L111" i="153"/>
  <c r="F111" i="153"/>
  <c r="H111" i="153" s="1"/>
  <c r="L110" i="153"/>
  <c r="F110" i="153"/>
  <c r="H110" i="153" s="1"/>
  <c r="L109" i="153"/>
  <c r="F109" i="153"/>
  <c r="H109" i="153" s="1"/>
  <c r="L108" i="153"/>
  <c r="F108" i="153"/>
  <c r="H108" i="153" s="1"/>
  <c r="L107" i="153"/>
  <c r="F107" i="153"/>
  <c r="H107" i="153" s="1"/>
  <c r="L106" i="153"/>
  <c r="F106" i="153"/>
  <c r="H106" i="153" s="1"/>
  <c r="L105" i="153"/>
  <c r="H105" i="153"/>
  <c r="F105" i="153"/>
  <c r="L104" i="153"/>
  <c r="H104" i="153"/>
  <c r="F104" i="153"/>
  <c r="L103" i="153"/>
  <c r="F103" i="153"/>
  <c r="H103" i="153" s="1"/>
  <c r="J100" i="153"/>
  <c r="J23" i="153" s="1"/>
  <c r="G32" i="207" s="1"/>
  <c r="G52" i="207" s="1"/>
  <c r="G72" i="207" s="1"/>
  <c r="G107" i="207" s="1"/>
  <c r="G127" i="207" s="1"/>
  <c r="D100" i="153"/>
  <c r="D23" i="153" s="1"/>
  <c r="K99" i="153"/>
  <c r="F99" i="153"/>
  <c r="H99" i="153" s="1"/>
  <c r="K98" i="153"/>
  <c r="L98" i="153" s="1"/>
  <c r="F98" i="153"/>
  <c r="H98" i="153" s="1"/>
  <c r="K97" i="153"/>
  <c r="L97" i="153" s="1"/>
  <c r="F97" i="153"/>
  <c r="H97" i="153" s="1"/>
  <c r="L96" i="153"/>
  <c r="F96" i="153"/>
  <c r="H96" i="153" s="1"/>
  <c r="L95" i="153"/>
  <c r="F95" i="153"/>
  <c r="H95" i="153" s="1"/>
  <c r="K94" i="153"/>
  <c r="L94" i="153" s="1"/>
  <c r="F94" i="153"/>
  <c r="H94" i="153" s="1"/>
  <c r="L93" i="153"/>
  <c r="F93" i="153"/>
  <c r="H93" i="153" s="1"/>
  <c r="K92" i="153"/>
  <c r="L92" i="153" s="1"/>
  <c r="F92" i="153"/>
  <c r="A92" i="153"/>
  <c r="A93" i="153" s="1"/>
  <c r="A94" i="153" s="1"/>
  <c r="A95" i="153" s="1"/>
  <c r="A96" i="153" s="1"/>
  <c r="A97" i="153" s="1"/>
  <c r="A98" i="153" s="1"/>
  <c r="A99" i="153" s="1"/>
  <c r="A100" i="153" s="1"/>
  <c r="A102" i="153" s="1"/>
  <c r="A103" i="153" s="1"/>
  <c r="A104" i="153" s="1"/>
  <c r="A105" i="153" s="1"/>
  <c r="A106" i="153" s="1"/>
  <c r="A107" i="153" s="1"/>
  <c r="A108" i="153" s="1"/>
  <c r="A109" i="153" s="1"/>
  <c r="A110" i="153" s="1"/>
  <c r="A111" i="153" s="1"/>
  <c r="A112" i="153" s="1"/>
  <c r="A113" i="153" s="1"/>
  <c r="A114" i="153" s="1"/>
  <c r="A115" i="153" s="1"/>
  <c r="A116" i="153" s="1"/>
  <c r="A117" i="153" s="1"/>
  <c r="A118" i="153" s="1"/>
  <c r="A119" i="153" s="1"/>
  <c r="A120" i="153" s="1"/>
  <c r="A121" i="153" s="1"/>
  <c r="A122" i="153" s="1"/>
  <c r="A123" i="153" s="1"/>
  <c r="A124" i="153" s="1"/>
  <c r="A125" i="153" s="1"/>
  <c r="A126" i="153" s="1"/>
  <c r="A127" i="153" s="1"/>
  <c r="A128" i="153" s="1"/>
  <c r="A129" i="153" s="1"/>
  <c r="A130" i="153" s="1"/>
  <c r="A131" i="153" s="1"/>
  <c r="A132" i="153" s="1"/>
  <c r="A133" i="153" s="1"/>
  <c r="A134" i="153" s="1"/>
  <c r="A135" i="153" s="1"/>
  <c r="A136" i="153" s="1"/>
  <c r="A137" i="153" s="1"/>
  <c r="A138" i="153" s="1"/>
  <c r="A139" i="153" s="1"/>
  <c r="A140" i="153" s="1"/>
  <c r="A141" i="153" s="1"/>
  <c r="A142" i="153" s="1"/>
  <c r="A143" i="153" s="1"/>
  <c r="A144" i="153" s="1"/>
  <c r="A145" i="153" s="1"/>
  <c r="A146" i="153" s="1"/>
  <c r="A147" i="153" s="1"/>
  <c r="A148" i="153" s="1"/>
  <c r="A149" i="153" s="1"/>
  <c r="A150" i="153" s="1"/>
  <c r="A151" i="153" s="1"/>
  <c r="L83" i="153"/>
  <c r="L81" i="153"/>
  <c r="A76" i="153"/>
  <c r="A75" i="153"/>
  <c r="D72" i="153"/>
  <c r="K58" i="153"/>
  <c r="J58" i="153"/>
  <c r="F58" i="153"/>
  <c r="D58" i="153"/>
  <c r="K57" i="153"/>
  <c r="J57" i="153"/>
  <c r="D57" i="153"/>
  <c r="K56" i="153"/>
  <c r="J56" i="153"/>
  <c r="D56" i="153"/>
  <c r="J52" i="153"/>
  <c r="D52" i="153"/>
  <c r="K51" i="153"/>
  <c r="J51" i="153"/>
  <c r="G76" i="120" s="1"/>
  <c r="D51" i="153"/>
  <c r="H76" i="120" s="1"/>
  <c r="K50" i="153"/>
  <c r="J50" i="153"/>
  <c r="H50" i="153"/>
  <c r="F50" i="153"/>
  <c r="D50" i="153"/>
  <c r="K49" i="153"/>
  <c r="J49" i="153"/>
  <c r="D49" i="153"/>
  <c r="L40" i="153"/>
  <c r="J40" i="153"/>
  <c r="D40" i="153"/>
  <c r="F37" i="153"/>
  <c r="J31" i="153"/>
  <c r="D31" i="153"/>
  <c r="L30" i="153"/>
  <c r="K30" i="153"/>
  <c r="J30" i="153"/>
  <c r="D30" i="153"/>
  <c r="K25" i="153"/>
  <c r="J25" i="153"/>
  <c r="G34" i="207" s="1"/>
  <c r="G54" i="207" s="1"/>
  <c r="G74" i="207" s="1"/>
  <c r="G109" i="207" s="1"/>
  <c r="G129" i="207" s="1"/>
  <c r="F25" i="153"/>
  <c r="F34" i="207" s="1"/>
  <c r="F54" i="207" s="1"/>
  <c r="F74" i="207" s="1"/>
  <c r="F109" i="207" s="1"/>
  <c r="F129" i="207" s="1"/>
  <c r="D25" i="153"/>
  <c r="J24" i="153"/>
  <c r="A20" i="153"/>
  <c r="A21" i="153" s="1"/>
  <c r="A22" i="153" s="1"/>
  <c r="A23" i="153" s="1"/>
  <c r="A24" i="153" s="1"/>
  <c r="A25" i="153" s="1"/>
  <c r="A26" i="153" s="1"/>
  <c r="A27" i="153" s="1"/>
  <c r="A28" i="153" s="1"/>
  <c r="A29" i="153" s="1"/>
  <c r="A30" i="153" s="1"/>
  <c r="A31" i="153" s="1"/>
  <c r="A32" i="153" s="1"/>
  <c r="A33" i="153" s="1"/>
  <c r="A34" i="153" s="1"/>
  <c r="A35" i="153" s="1"/>
  <c r="A36" i="153" s="1"/>
  <c r="A37" i="153" s="1"/>
  <c r="A38" i="153" s="1"/>
  <c r="A39" i="153" s="1"/>
  <c r="A40" i="153" s="1"/>
  <c r="A41" i="153" s="1"/>
  <c r="A42" i="153" s="1"/>
  <c r="A43" i="153" s="1"/>
  <c r="A44" i="153" s="1"/>
  <c r="A45" i="153" s="1"/>
  <c r="A46" i="153" s="1"/>
  <c r="A47" i="153" s="1"/>
  <c r="A48" i="153" s="1"/>
  <c r="A49" i="153" s="1"/>
  <c r="A50" i="153" s="1"/>
  <c r="A51" i="153" s="1"/>
  <c r="A52" i="153" s="1"/>
  <c r="A53" i="153" s="1"/>
  <c r="A54" i="153" s="1"/>
  <c r="A55" i="153" s="1"/>
  <c r="A56" i="153" s="1"/>
  <c r="A57" i="153" s="1"/>
  <c r="A58" i="153" s="1"/>
  <c r="A59" i="153" s="1"/>
  <c r="A60" i="153" s="1"/>
  <c r="A61" i="153" s="1"/>
  <c r="A62" i="153" s="1"/>
  <c r="A63" i="153" s="1"/>
  <c r="A64" i="153" s="1"/>
  <c r="A65" i="153" s="1"/>
  <c r="A66" i="153" s="1"/>
  <c r="A67" i="153" s="1"/>
  <c r="A68" i="153" s="1"/>
  <c r="A69" i="153" s="1"/>
  <c r="A70" i="153" s="1"/>
  <c r="A71" i="153" s="1"/>
  <c r="A72" i="153" s="1"/>
  <c r="A73" i="153" s="1"/>
  <c r="L9" i="153"/>
  <c r="A2" i="153"/>
  <c r="A1" i="153"/>
  <c r="C18" i="137"/>
  <c r="C16" i="137"/>
  <c r="A11" i="137"/>
  <c r="A9" i="137"/>
  <c r="F37" i="167"/>
  <c r="F39" i="167" s="1"/>
  <c r="F41" i="167" s="1"/>
  <c r="F29" i="167"/>
  <c r="A14" i="167"/>
  <c r="A15" i="167" s="1"/>
  <c r="A16" i="167" s="1"/>
  <c r="A17" i="167" s="1"/>
  <c r="A18" i="167" s="1"/>
  <c r="A19" i="167" s="1"/>
  <c r="A21" i="167" s="1"/>
  <c r="A22" i="167" s="1"/>
  <c r="A23" i="167" s="1"/>
  <c r="A24" i="167" s="1"/>
  <c r="A25" i="167" s="1"/>
  <c r="A26" i="167" s="1"/>
  <c r="A28" i="167" s="1"/>
  <c r="A29" i="167" s="1"/>
  <c r="A30" i="167" s="1"/>
  <c r="A31" i="167" s="1"/>
  <c r="A32" i="167" s="1"/>
  <c r="A33" i="167" s="1"/>
  <c r="A34" i="167" s="1"/>
  <c r="A36" i="167" s="1"/>
  <c r="A37" i="167" s="1"/>
  <c r="A38" i="167" s="1"/>
  <c r="A39" i="167" s="1"/>
  <c r="A40" i="167" s="1"/>
  <c r="A41" i="167" s="1"/>
  <c r="A42" i="167" s="1"/>
  <c r="A43" i="167" s="1"/>
  <c r="A44" i="167" s="1"/>
  <c r="A45" i="167" s="1"/>
  <c r="A46" i="167" s="1"/>
  <c r="A48" i="167" s="1"/>
  <c r="A50" i="167" s="1"/>
  <c r="A52" i="167" s="1"/>
  <c r="A4" i="167"/>
  <c r="A2" i="167"/>
  <c r="A1" i="167"/>
  <c r="A15" i="203"/>
  <c r="A17" i="203" s="1"/>
  <c r="A4" i="203"/>
  <c r="A2" i="203"/>
  <c r="A1" i="203"/>
  <c r="A43" i="201"/>
  <c r="A42" i="201"/>
  <c r="A41" i="201"/>
  <c r="A40" i="201"/>
  <c r="A39" i="201"/>
  <c r="A38" i="201"/>
  <c r="A37" i="201"/>
  <c r="A36" i="201"/>
  <c r="A35" i="201"/>
  <c r="A34" i="201"/>
  <c r="A33" i="201"/>
  <c r="A32" i="201"/>
  <c r="A31" i="201"/>
  <c r="A30" i="201"/>
  <c r="A29" i="201"/>
  <c r="A28" i="201"/>
  <c r="A27" i="201"/>
  <c r="A26" i="201"/>
  <c r="A25" i="201"/>
  <c r="A24" i="201"/>
  <c r="A23" i="201"/>
  <c r="A22" i="201"/>
  <c r="A21" i="201"/>
  <c r="A20" i="201"/>
  <c r="A19" i="201"/>
  <c r="A18" i="201"/>
  <c r="A17" i="201"/>
  <c r="A16" i="201"/>
  <c r="A15" i="201"/>
  <c r="F10" i="201"/>
  <c r="F9" i="201"/>
  <c r="A4" i="201"/>
  <c r="A2" i="201"/>
  <c r="A1" i="201"/>
  <c r="A43" i="200"/>
  <c r="A41" i="200"/>
  <c r="A39" i="200"/>
  <c r="A37" i="200"/>
  <c r="A35" i="200"/>
  <c r="A33" i="200"/>
  <c r="A31" i="200"/>
  <c r="A29" i="200"/>
  <c r="A27" i="200"/>
  <c r="A25" i="200"/>
  <c r="A23" i="200"/>
  <c r="A21" i="200"/>
  <c r="A19" i="200"/>
  <c r="A17" i="200"/>
  <c r="A4" i="200"/>
  <c r="A2" i="200"/>
  <c r="A1" i="200"/>
  <c r="A15" i="163"/>
  <c r="A17" i="163" s="1"/>
  <c r="A19" i="163" s="1"/>
  <c r="A21" i="163" s="1"/>
  <c r="F13" i="163"/>
  <c r="F17" i="163" s="1"/>
  <c r="A4" i="163"/>
  <c r="A2" i="163"/>
  <c r="A1" i="163"/>
  <c r="A15" i="212"/>
  <c r="A17" i="212" s="1"/>
  <c r="A4" i="212"/>
  <c r="A2" i="212"/>
  <c r="A1" i="212"/>
  <c r="D15" i="173"/>
  <c r="A15" i="173"/>
  <c r="A17" i="173" s="1"/>
  <c r="A19" i="173" s="1"/>
  <c r="A21" i="173" s="1"/>
  <c r="A23" i="173" s="1"/>
  <c r="A25" i="173" s="1"/>
  <c r="F8" i="173"/>
  <c r="A4" i="173"/>
  <c r="A2" i="173"/>
  <c r="A1" i="173"/>
  <c r="A27" i="187"/>
  <c r="I25" i="187"/>
  <c r="H25" i="187"/>
  <c r="G25" i="187"/>
  <c r="F25" i="187"/>
  <c r="E25" i="187"/>
  <c r="D25" i="187"/>
  <c r="C25" i="187"/>
  <c r="C27" i="187" s="1"/>
  <c r="I19" i="106" s="1"/>
  <c r="F15" i="173" s="1"/>
  <c r="F17" i="173" s="1"/>
  <c r="F21" i="173" s="1"/>
  <c r="H13" i="187"/>
  <c r="G13" i="187"/>
  <c r="F13" i="187"/>
  <c r="E13" i="187"/>
  <c r="D13" i="187"/>
  <c r="C13" i="187"/>
  <c r="A4" i="187"/>
  <c r="A2" i="187"/>
  <c r="A1" i="187"/>
  <c r="D25" i="186"/>
  <c r="A16" i="186"/>
  <c r="A18" i="186" s="1"/>
  <c r="A20" i="186" s="1"/>
  <c r="A22" i="186" s="1"/>
  <c r="A25" i="186" s="1"/>
  <c r="A27" i="186" s="1"/>
  <c r="A29" i="186" s="1"/>
  <c r="A32" i="186" s="1"/>
  <c r="A4" i="186"/>
  <c r="A2" i="186"/>
  <c r="A1" i="186"/>
  <c r="D21" i="165"/>
  <c r="D19" i="165"/>
  <c r="A14" i="165"/>
  <c r="A15" i="165" s="1"/>
  <c r="A16" i="165" s="1"/>
  <c r="A17" i="165" s="1"/>
  <c r="A18" i="165" s="1"/>
  <c r="A19" i="165" s="1"/>
  <c r="A21" i="165" s="1"/>
  <c r="A23" i="165" s="1"/>
  <c r="A25" i="165" s="1"/>
  <c r="A4" i="165"/>
  <c r="A2" i="165"/>
  <c r="A1" i="165"/>
  <c r="A15" i="166"/>
  <c r="A17" i="166" s="1"/>
  <c r="A20" i="166" s="1"/>
  <c r="A22" i="166" s="1"/>
  <c r="A24" i="166" s="1"/>
  <c r="A27" i="166" s="1"/>
  <c r="A4" i="166"/>
  <c r="A2" i="166"/>
  <c r="A1" i="166"/>
  <c r="A15" i="199"/>
  <c r="A17" i="199" s="1"/>
  <c r="F8" i="199"/>
  <c r="A4" i="199"/>
  <c r="A2" i="199"/>
  <c r="A1" i="199"/>
  <c r="O104" i="78"/>
  <c r="O98" i="78"/>
  <c r="O85" i="78"/>
  <c r="O92" i="78" s="1"/>
  <c r="O72" i="78"/>
  <c r="O78" i="78" s="1"/>
  <c r="O66" i="78"/>
  <c r="A60" i="78"/>
  <c r="R58" i="78"/>
  <c r="A58" i="78"/>
  <c r="A55" i="78"/>
  <c r="O49" i="78"/>
  <c r="O44" i="78"/>
  <c r="O34" i="78"/>
  <c r="O39" i="78" s="1"/>
  <c r="O29" i="78"/>
  <c r="O24" i="78"/>
  <c r="O19" i="78"/>
  <c r="O14" i="78"/>
  <c r="A7" i="78"/>
  <c r="A59" i="78" s="1"/>
  <c r="A4" i="78"/>
  <c r="A56" i="78" s="1"/>
  <c r="A2" i="78"/>
  <c r="A54" i="78" s="1"/>
  <c r="A1" i="78"/>
  <c r="A53" i="78" s="1"/>
  <c r="Q15" i="77"/>
  <c r="Q21" i="77" s="1"/>
  <c r="Q14" i="77"/>
  <c r="Q20" i="77" s="1"/>
  <c r="U8" i="77"/>
  <c r="A7" i="77"/>
  <c r="A4" i="77"/>
  <c r="A2" i="77"/>
  <c r="A1" i="77"/>
  <c r="N51" i="221"/>
  <c r="M51" i="221"/>
  <c r="L51" i="221"/>
  <c r="K51" i="221"/>
  <c r="J51" i="221"/>
  <c r="I51" i="221"/>
  <c r="H51" i="221"/>
  <c r="G51" i="221"/>
  <c r="F51" i="221"/>
  <c r="E51" i="221"/>
  <c r="D51" i="221"/>
  <c r="C51" i="221"/>
  <c r="O50" i="221"/>
  <c r="X132" i="76" s="1"/>
  <c r="O49" i="221"/>
  <c r="O48" i="221"/>
  <c r="O47" i="221"/>
  <c r="F22" i="166" s="1"/>
  <c r="F24" i="166" s="1"/>
  <c r="R24" i="78" s="1"/>
  <c r="R26" i="78" s="1"/>
  <c r="F94" i="195" s="1"/>
  <c r="Q94" i="195" s="1"/>
  <c r="O46" i="221"/>
  <c r="O45" i="221"/>
  <c r="O44" i="221"/>
  <c r="F19" i="163" s="1"/>
  <c r="O43" i="221"/>
  <c r="O42" i="221"/>
  <c r="F27" i="186" s="1"/>
  <c r="O41" i="221"/>
  <c r="F20" i="186" s="1"/>
  <c r="O40" i="221"/>
  <c r="O39" i="221"/>
  <c r="X126" i="76" s="1"/>
  <c r="O38" i="221"/>
  <c r="X73" i="76" s="1"/>
  <c r="O37" i="221"/>
  <c r="O36" i="221"/>
  <c r="X54" i="76" s="1"/>
  <c r="O35" i="221"/>
  <c r="O34" i="221"/>
  <c r="O33" i="221"/>
  <c r="O32" i="221"/>
  <c r="O31" i="221"/>
  <c r="O30" i="221"/>
  <c r="O29" i="221"/>
  <c r="N27" i="221"/>
  <c r="N53" i="221" s="1"/>
  <c r="M27" i="221"/>
  <c r="M53" i="221" s="1"/>
  <c r="L27" i="221"/>
  <c r="L53" i="221" s="1"/>
  <c r="K27" i="221"/>
  <c r="J27" i="221"/>
  <c r="I27" i="221"/>
  <c r="H27" i="221"/>
  <c r="H53" i="221" s="1"/>
  <c r="G27" i="221"/>
  <c r="F27" i="221"/>
  <c r="F53" i="221" s="1"/>
  <c r="E27" i="221"/>
  <c r="E53" i="221" s="1"/>
  <c r="D27" i="221"/>
  <c r="D53" i="221" s="1"/>
  <c r="C27" i="221"/>
  <c r="C53" i="221" s="1"/>
  <c r="O26" i="221"/>
  <c r="O25" i="221"/>
  <c r="O24" i="221"/>
  <c r="O23" i="221"/>
  <c r="D23" i="165" s="1"/>
  <c r="O22" i="221"/>
  <c r="O21" i="221"/>
  <c r="O20" i="221"/>
  <c r="O19" i="221"/>
  <c r="O18" i="221"/>
  <c r="O17" i="221"/>
  <c r="X14" i="76" s="1"/>
  <c r="A17" i="221"/>
  <c r="A18" i="221" s="1"/>
  <c r="A19" i="221" s="1"/>
  <c r="A20" i="221" s="1"/>
  <c r="A21" i="221" s="1"/>
  <c r="A22" i="221" s="1"/>
  <c r="A23" i="221" s="1"/>
  <c r="A24" i="221" s="1"/>
  <c r="A25" i="221" s="1"/>
  <c r="A26" i="221" s="1"/>
  <c r="A27"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3" i="221" s="1"/>
  <c r="O16" i="221"/>
  <c r="O12" i="221"/>
  <c r="N12" i="221"/>
  <c r="M12" i="221"/>
  <c r="L12" i="221"/>
  <c r="K12" i="221"/>
  <c r="J12" i="221"/>
  <c r="I12" i="221"/>
  <c r="H12" i="221"/>
  <c r="G12" i="221"/>
  <c r="F12" i="221"/>
  <c r="E12" i="221"/>
  <c r="D12" i="221"/>
  <c r="C12" i="221"/>
  <c r="N11" i="221"/>
  <c r="M11" i="221"/>
  <c r="L11" i="221"/>
  <c r="K11" i="221"/>
  <c r="J11" i="221"/>
  <c r="I11" i="221"/>
  <c r="H11" i="221"/>
  <c r="G11" i="221"/>
  <c r="F11" i="221"/>
  <c r="E11" i="221"/>
  <c r="D11" i="221"/>
  <c r="C11" i="221"/>
  <c r="A7" i="221"/>
  <c r="A4" i="221"/>
  <c r="A2" i="221"/>
  <c r="A1" i="221"/>
  <c r="N51" i="157"/>
  <c r="M51" i="157"/>
  <c r="L51" i="157"/>
  <c r="K51" i="157"/>
  <c r="J51" i="157"/>
  <c r="I51" i="157"/>
  <c r="H51" i="157"/>
  <c r="G51" i="157"/>
  <c r="F51" i="157"/>
  <c r="E51" i="157"/>
  <c r="D51" i="157"/>
  <c r="C51" i="157"/>
  <c r="O50" i="157"/>
  <c r="O49" i="157"/>
  <c r="O48" i="157"/>
  <c r="O47" i="157"/>
  <c r="O46" i="157"/>
  <c r="O45" i="157"/>
  <c r="O44" i="157"/>
  <c r="O43" i="157"/>
  <c r="O42" i="157"/>
  <c r="O41" i="157"/>
  <c r="O40" i="157"/>
  <c r="X80" i="76" s="1"/>
  <c r="O39" i="157"/>
  <c r="X127" i="76" s="1"/>
  <c r="O38" i="157"/>
  <c r="O37" i="157"/>
  <c r="O36" i="157"/>
  <c r="O35" i="157"/>
  <c r="X49" i="76" s="1"/>
  <c r="O34" i="157"/>
  <c r="O33" i="157"/>
  <c r="O32" i="157"/>
  <c r="O31" i="157"/>
  <c r="X42" i="76" s="1"/>
  <c r="O30" i="157"/>
  <c r="O29" i="157"/>
  <c r="N27" i="157"/>
  <c r="M27" i="157"/>
  <c r="L27" i="157"/>
  <c r="K27" i="157"/>
  <c r="J27" i="157"/>
  <c r="I27" i="157"/>
  <c r="I53" i="157" s="1"/>
  <c r="H27" i="157"/>
  <c r="H53" i="157" s="1"/>
  <c r="G27" i="157"/>
  <c r="F27" i="157"/>
  <c r="E27" i="157"/>
  <c r="E53" i="157" s="1"/>
  <c r="D27" i="157"/>
  <c r="D53" i="157" s="1"/>
  <c r="C27" i="157"/>
  <c r="O26" i="157"/>
  <c r="O25" i="157"/>
  <c r="O24" i="157"/>
  <c r="O23" i="157"/>
  <c r="O22" i="157"/>
  <c r="G33" i="217" s="1"/>
  <c r="H33" i="217" s="1"/>
  <c r="O21" i="157"/>
  <c r="G34" i="217" s="1"/>
  <c r="H34" i="217" s="1"/>
  <c r="O20" i="157"/>
  <c r="O19" i="157"/>
  <c r="O18" i="157"/>
  <c r="O17" i="157"/>
  <c r="A17" i="157"/>
  <c r="A18" i="157" s="1"/>
  <c r="A19" i="157" s="1"/>
  <c r="A20" i="157" s="1"/>
  <c r="A21" i="157" s="1"/>
  <c r="A22" i="157" s="1"/>
  <c r="A23" i="157" s="1"/>
  <c r="A24" i="157" s="1"/>
  <c r="A25" i="157" s="1"/>
  <c r="A26" i="157" s="1"/>
  <c r="A27" i="157" s="1"/>
  <c r="A29" i="157" s="1"/>
  <c r="A30" i="157" s="1"/>
  <c r="A31" i="157" s="1"/>
  <c r="A32" i="157" s="1"/>
  <c r="A33" i="157" s="1"/>
  <c r="A34" i="157" s="1"/>
  <c r="A35" i="157" s="1"/>
  <c r="A36" i="157" s="1"/>
  <c r="A37" i="157" s="1"/>
  <c r="A38" i="157" s="1"/>
  <c r="A39" i="157" s="1"/>
  <c r="A40" i="157" s="1"/>
  <c r="A41" i="157" s="1"/>
  <c r="A42" i="157" s="1"/>
  <c r="A43" i="157" s="1"/>
  <c r="A44" i="157" s="1"/>
  <c r="A45" i="157" s="1"/>
  <c r="A46" i="157" s="1"/>
  <c r="A47" i="157" s="1"/>
  <c r="A48" i="157" s="1"/>
  <c r="A49" i="157" s="1"/>
  <c r="A50" i="157" s="1"/>
  <c r="A51" i="157" s="1"/>
  <c r="A53" i="157" s="1"/>
  <c r="O16" i="157"/>
  <c r="O12" i="157"/>
  <c r="N12" i="157"/>
  <c r="M12" i="157"/>
  <c r="L12" i="157"/>
  <c r="K12" i="157"/>
  <c r="J12" i="157"/>
  <c r="I12" i="157"/>
  <c r="H12" i="157"/>
  <c r="G12" i="157"/>
  <c r="F12" i="157"/>
  <c r="E12" i="157"/>
  <c r="D12" i="157"/>
  <c r="C12" i="157"/>
  <c r="N11" i="157"/>
  <c r="M11" i="157"/>
  <c r="L11" i="157"/>
  <c r="K11" i="157"/>
  <c r="J11" i="157"/>
  <c r="I11" i="157"/>
  <c r="H11" i="157"/>
  <c r="G11" i="157"/>
  <c r="F11" i="157"/>
  <c r="E11" i="157"/>
  <c r="D11" i="157"/>
  <c r="C11" i="157"/>
  <c r="A7" i="157"/>
  <c r="A4" i="157"/>
  <c r="A2" i="157"/>
  <c r="A1" i="157"/>
  <c r="X133" i="76"/>
  <c r="X121" i="76"/>
  <c r="X120" i="76"/>
  <c r="X114" i="76"/>
  <c r="X108" i="76"/>
  <c r="X107" i="76"/>
  <c r="X100" i="76"/>
  <c r="X99" i="76"/>
  <c r="X91" i="76"/>
  <c r="A91" i="76"/>
  <c r="A88" i="76"/>
  <c r="X79" i="76"/>
  <c r="X74" i="76"/>
  <c r="X68" i="76"/>
  <c r="X67" i="76"/>
  <c r="X62" i="76"/>
  <c r="X61" i="76"/>
  <c r="X55" i="76"/>
  <c r="X48" i="76"/>
  <c r="X41" i="76"/>
  <c r="X35" i="76"/>
  <c r="X28" i="76"/>
  <c r="X15" i="76"/>
  <c r="T15" i="76"/>
  <c r="T29" i="76" s="1"/>
  <c r="T14" i="76"/>
  <c r="T41" i="76" s="1"/>
  <c r="X8" i="76"/>
  <c r="X93" i="76" s="1"/>
  <c r="A7" i="76"/>
  <c r="A92" i="76" s="1"/>
  <c r="A4" i="76"/>
  <c r="A89" i="76" s="1"/>
  <c r="A2" i="76"/>
  <c r="A87" i="76" s="1"/>
  <c r="A1" i="76"/>
  <c r="A86" i="76" s="1"/>
  <c r="T77" i="75"/>
  <c r="A77" i="75"/>
  <c r="A74" i="75"/>
  <c r="P15" i="75"/>
  <c r="P33" i="75" s="1"/>
  <c r="P14" i="75"/>
  <c r="P38" i="75" s="1"/>
  <c r="T8" i="75"/>
  <c r="A7" i="75"/>
  <c r="A78" i="75" s="1"/>
  <c r="A4" i="75"/>
  <c r="A75" i="75" s="1"/>
  <c r="A2" i="75"/>
  <c r="A73" i="75" s="1"/>
  <c r="A1" i="75"/>
  <c r="A72" i="75" s="1"/>
  <c r="F15" i="224"/>
  <c r="J17" i="224" s="1"/>
  <c r="A14" i="224"/>
  <c r="A15" i="224" s="1"/>
  <c r="A16" i="224" s="1"/>
  <c r="A17" i="224" s="1"/>
  <c r="A19" i="224" s="1"/>
  <c r="A20" i="224" s="1"/>
  <c r="A21" i="224" s="1"/>
  <c r="A22" i="224" s="1"/>
  <c r="A23" i="224" s="1"/>
  <c r="A25" i="224" s="1"/>
  <c r="A4" i="224"/>
  <c r="A2" i="224"/>
  <c r="A1" i="224"/>
  <c r="Q28" i="219"/>
  <c r="Q20" i="219"/>
  <c r="Q27" i="219"/>
  <c r="U8" i="219"/>
  <c r="A7" i="219"/>
  <c r="A4" i="219"/>
  <c r="A2" i="219"/>
  <c r="A1" i="219"/>
  <c r="I25" i="223"/>
  <c r="H25" i="223"/>
  <c r="G25" i="223"/>
  <c r="F25" i="223"/>
  <c r="E25" i="223"/>
  <c r="D25" i="223"/>
  <c r="J24" i="223"/>
  <c r="I21" i="223"/>
  <c r="H21" i="223"/>
  <c r="H27" i="223" s="1"/>
  <c r="G21" i="223"/>
  <c r="F21" i="223"/>
  <c r="E21" i="223"/>
  <c r="E27" i="223" s="1"/>
  <c r="D21" i="223"/>
  <c r="J20" i="223"/>
  <c r="S36" i="218" s="1"/>
  <c r="E22" i="213" s="1"/>
  <c r="G22" i="213" s="1"/>
  <c r="J19" i="223"/>
  <c r="S31" i="218" s="1"/>
  <c r="J18" i="223"/>
  <c r="S26" i="218" s="1"/>
  <c r="E20" i="213" s="1"/>
  <c r="G20" i="213" s="1"/>
  <c r="J17" i="223"/>
  <c r="S21" i="218" s="1"/>
  <c r="A17" i="223"/>
  <c r="A18" i="223" s="1"/>
  <c r="A19" i="223" s="1"/>
  <c r="A20" i="223" s="1"/>
  <c r="A21" i="223" s="1"/>
  <c r="A23" i="223" s="1"/>
  <c r="A24" i="223" s="1"/>
  <c r="A25" i="223" s="1"/>
  <c r="A27" i="223" s="1"/>
  <c r="J16" i="223"/>
  <c r="S16" i="218" s="1"/>
  <c r="E18" i="213" s="1"/>
  <c r="H11" i="223"/>
  <c r="G11" i="223"/>
  <c r="F11" i="223"/>
  <c r="E11" i="223"/>
  <c r="D11" i="223"/>
  <c r="H10" i="223"/>
  <c r="G10" i="223"/>
  <c r="F10" i="223"/>
  <c r="E10" i="223"/>
  <c r="D10" i="223"/>
  <c r="J8" i="223"/>
  <c r="A7" i="223"/>
  <c r="A4" i="223"/>
  <c r="A2" i="223"/>
  <c r="A1" i="223"/>
  <c r="O16" i="218"/>
  <c r="O36" i="218" s="1"/>
  <c r="O42" i="218" s="1"/>
  <c r="O15" i="218"/>
  <c r="O35" i="218" s="1"/>
  <c r="O41" i="218" s="1"/>
  <c r="S8" i="218"/>
  <c r="A7" i="218"/>
  <c r="A4" i="218"/>
  <c r="A2" i="218"/>
  <c r="A1" i="218"/>
  <c r="O139" i="195"/>
  <c r="N139" i="195"/>
  <c r="N141" i="195" s="1"/>
  <c r="M139" i="195"/>
  <c r="M141" i="195" s="1"/>
  <c r="L139" i="195"/>
  <c r="L141" i="195" s="1"/>
  <c r="K139" i="195"/>
  <c r="K141" i="195" s="1"/>
  <c r="J139" i="195"/>
  <c r="J141" i="195" s="1"/>
  <c r="I139" i="195"/>
  <c r="I141" i="195" s="1"/>
  <c r="H139" i="195"/>
  <c r="H141" i="195" s="1"/>
  <c r="G139" i="195"/>
  <c r="G141" i="195" s="1"/>
  <c r="F139" i="195"/>
  <c r="F141" i="195" s="1"/>
  <c r="E139" i="195"/>
  <c r="E141" i="195" s="1"/>
  <c r="Q138" i="195"/>
  <c r="Q137" i="195"/>
  <c r="P132" i="195"/>
  <c r="O132" i="195"/>
  <c r="E132" i="195"/>
  <c r="E143" i="195" s="1"/>
  <c r="Q129" i="195"/>
  <c r="A125" i="195"/>
  <c r="A126" i="195" s="1"/>
  <c r="A127" i="195" s="1"/>
  <c r="A128" i="195" s="1"/>
  <c r="A129" i="195" s="1"/>
  <c r="A131" i="195" s="1"/>
  <c r="A132" i="195" s="1"/>
  <c r="A134" i="195" s="1"/>
  <c r="A136" i="195" s="1"/>
  <c r="A137" i="195" s="1"/>
  <c r="A138" i="195" s="1"/>
  <c r="A139" i="195" s="1"/>
  <c r="A141" i="195" s="1"/>
  <c r="A143" i="195" s="1"/>
  <c r="A145" i="195" s="1"/>
  <c r="R114" i="195"/>
  <c r="A114" i="195"/>
  <c r="A111" i="195"/>
  <c r="A110" i="195"/>
  <c r="Q100" i="195"/>
  <c r="Q97" i="195"/>
  <c r="Q95" i="195"/>
  <c r="Q93" i="195"/>
  <c r="Q92" i="195"/>
  <c r="Q89" i="195"/>
  <c r="Q88" i="195"/>
  <c r="Q87" i="195"/>
  <c r="Q81" i="195"/>
  <c r="Q72" i="195"/>
  <c r="Q70" i="195"/>
  <c r="Q68" i="195"/>
  <c r="A68" i="195"/>
  <c r="A69" i="195" s="1"/>
  <c r="A70" i="195" s="1"/>
  <c r="A71" i="195" s="1"/>
  <c r="A72" i="195" s="1"/>
  <c r="A73" i="195" s="1"/>
  <c r="A74" i="195" s="1"/>
  <c r="A75" i="195" s="1"/>
  <c r="A76" i="195" s="1"/>
  <c r="A77" i="195" s="1"/>
  <c r="A78" i="195" s="1"/>
  <c r="A79" i="195" s="1"/>
  <c r="A80" i="195" s="1"/>
  <c r="A81" i="195" s="1"/>
  <c r="A82" i="195" s="1"/>
  <c r="A83" i="195" s="1"/>
  <c r="A84" i="195" s="1"/>
  <c r="A85" i="195" s="1"/>
  <c r="A86" i="195" s="1"/>
  <c r="A87" i="195" s="1"/>
  <c r="A88" i="195" s="1"/>
  <c r="A89" i="195" s="1"/>
  <c r="A90" i="195" s="1"/>
  <c r="A91" i="195" s="1"/>
  <c r="A92" i="195" s="1"/>
  <c r="A93" i="195" s="1"/>
  <c r="A94" i="195" s="1"/>
  <c r="A95" i="195" s="1"/>
  <c r="A96" i="195" s="1"/>
  <c r="A97" i="195" s="1"/>
  <c r="A98" i="195" s="1"/>
  <c r="A99" i="195" s="1"/>
  <c r="A100" i="195" s="1"/>
  <c r="A101" i="195" s="1"/>
  <c r="A102" i="195" s="1"/>
  <c r="A103" i="195" s="1"/>
  <c r="A104" i="195" s="1"/>
  <c r="A105" i="195" s="1"/>
  <c r="A106" i="195" s="1"/>
  <c r="A67" i="195"/>
  <c r="Q66" i="195"/>
  <c r="M62" i="195"/>
  <c r="M120" i="195" s="1"/>
  <c r="E61" i="195"/>
  <c r="E119" i="195" s="1"/>
  <c r="R56" i="195"/>
  <c r="A56" i="195"/>
  <c r="A53" i="195"/>
  <c r="A52" i="195"/>
  <c r="P44" i="195"/>
  <c r="O44" i="195"/>
  <c r="N44" i="195"/>
  <c r="M44" i="195"/>
  <c r="L44" i="195"/>
  <c r="K44" i="195"/>
  <c r="J44" i="195"/>
  <c r="I44" i="195"/>
  <c r="H44" i="195"/>
  <c r="G44" i="195"/>
  <c r="E44" i="195"/>
  <c r="Q43" i="195"/>
  <c r="Q42" i="195"/>
  <c r="Q41" i="195"/>
  <c r="Q40" i="195"/>
  <c r="Q39" i="195"/>
  <c r="Q38" i="195"/>
  <c r="Q37" i="195"/>
  <c r="P31" i="195"/>
  <c r="O31" i="195"/>
  <c r="N31" i="195"/>
  <c r="M31" i="195"/>
  <c r="L31" i="195"/>
  <c r="K31" i="195"/>
  <c r="J31" i="195"/>
  <c r="I31" i="195"/>
  <c r="H31" i="195"/>
  <c r="G31" i="195"/>
  <c r="F31" i="195"/>
  <c r="Q30" i="195"/>
  <c r="Q29" i="195"/>
  <c r="Q28" i="195"/>
  <c r="Q27" i="195"/>
  <c r="P23" i="195"/>
  <c r="O23" i="195"/>
  <c r="N23" i="195"/>
  <c r="M23" i="195"/>
  <c r="L23" i="195"/>
  <c r="K23" i="195"/>
  <c r="J23" i="195"/>
  <c r="I23" i="195"/>
  <c r="G23" i="195"/>
  <c r="F23" i="195"/>
  <c r="F33" i="195" s="1"/>
  <c r="F46" i="195" s="1"/>
  <c r="E23" i="195"/>
  <c r="A17" i="195"/>
  <c r="A18" i="195" s="1"/>
  <c r="A19" i="195" s="1"/>
  <c r="A20" i="195" s="1"/>
  <c r="A21" i="195" s="1"/>
  <c r="A22" i="195" s="1"/>
  <c r="A23" i="195" s="1"/>
  <c r="A25" i="195" s="1"/>
  <c r="A26" i="195" s="1"/>
  <c r="A27" i="195" s="1"/>
  <c r="A28" i="195" s="1"/>
  <c r="A29" i="195" s="1"/>
  <c r="A30" i="195" s="1"/>
  <c r="A31" i="195" s="1"/>
  <c r="A33" i="195" s="1"/>
  <c r="A35" i="195" s="1"/>
  <c r="A36" i="195" s="1"/>
  <c r="A37" i="195" s="1"/>
  <c r="A38" i="195" s="1"/>
  <c r="A39" i="195" s="1"/>
  <c r="A40" i="195" s="1"/>
  <c r="A41" i="195" s="1"/>
  <c r="A42" i="195" s="1"/>
  <c r="A43" i="195" s="1"/>
  <c r="A44" i="195" s="1"/>
  <c r="A46" i="195" s="1"/>
  <c r="P13" i="195"/>
  <c r="P62" i="195" s="1"/>
  <c r="P120" i="195" s="1"/>
  <c r="O13" i="195"/>
  <c r="O62" i="195" s="1"/>
  <c r="O120" i="195" s="1"/>
  <c r="N13" i="195"/>
  <c r="N62" i="195" s="1"/>
  <c r="N120" i="195" s="1"/>
  <c r="M13" i="195"/>
  <c r="L13" i="195"/>
  <c r="L62" i="195" s="1"/>
  <c r="L120" i="195" s="1"/>
  <c r="K13" i="195"/>
  <c r="K62" i="195" s="1"/>
  <c r="K120" i="195" s="1"/>
  <c r="J13" i="195"/>
  <c r="J62" i="195" s="1"/>
  <c r="J120" i="195" s="1"/>
  <c r="I13" i="195"/>
  <c r="I62" i="195" s="1"/>
  <c r="I120" i="195" s="1"/>
  <c r="H13" i="195"/>
  <c r="H62" i="195" s="1"/>
  <c r="H120" i="195" s="1"/>
  <c r="G13" i="195"/>
  <c r="G62" i="195" s="1"/>
  <c r="G120" i="195" s="1"/>
  <c r="F13" i="195"/>
  <c r="F62" i="195" s="1"/>
  <c r="F120" i="195" s="1"/>
  <c r="E13" i="195"/>
  <c r="E62" i="195" s="1"/>
  <c r="E120" i="195" s="1"/>
  <c r="F12" i="195"/>
  <c r="G12" i="195" s="1"/>
  <c r="A8" i="195"/>
  <c r="A5" i="195"/>
  <c r="A112" i="195" s="1"/>
  <c r="A2" i="195"/>
  <c r="A1" i="195"/>
  <c r="A50" i="195" s="1"/>
  <c r="K140" i="213"/>
  <c r="K142" i="213" s="1"/>
  <c r="J140" i="213"/>
  <c r="J142" i="213" s="1"/>
  <c r="E140" i="213"/>
  <c r="E142" i="213" s="1"/>
  <c r="G139" i="213"/>
  <c r="G138" i="213"/>
  <c r="L133" i="213"/>
  <c r="J133" i="213"/>
  <c r="E133" i="213"/>
  <c r="M130" i="213"/>
  <c r="G130" i="213"/>
  <c r="G129" i="213"/>
  <c r="G128" i="213"/>
  <c r="G127" i="213"/>
  <c r="G126" i="213"/>
  <c r="A126" i="213"/>
  <c r="A127" i="213" s="1"/>
  <c r="A128" i="213" s="1"/>
  <c r="A129" i="213" s="1"/>
  <c r="A130" i="213" s="1"/>
  <c r="A132" i="213" s="1"/>
  <c r="A133" i="213" s="1"/>
  <c r="A135" i="213" s="1"/>
  <c r="A137" i="213" s="1"/>
  <c r="A138" i="213" s="1"/>
  <c r="A139" i="213" s="1"/>
  <c r="A140" i="213" s="1"/>
  <c r="A142" i="213" s="1"/>
  <c r="A144" i="213" s="1"/>
  <c r="A146" i="213" s="1"/>
  <c r="G125" i="213"/>
  <c r="P115" i="213"/>
  <c r="A115" i="213"/>
  <c r="A112" i="213"/>
  <c r="A111" i="213"/>
  <c r="G107" i="213"/>
  <c r="G106" i="213"/>
  <c r="G105" i="213"/>
  <c r="G104" i="213"/>
  <c r="G103" i="213"/>
  <c r="G102" i="213"/>
  <c r="M101" i="213"/>
  <c r="G101" i="213"/>
  <c r="G100" i="213"/>
  <c r="G99" i="213"/>
  <c r="M98" i="213"/>
  <c r="G98" i="213"/>
  <c r="G97" i="213"/>
  <c r="G96" i="213"/>
  <c r="G95" i="213"/>
  <c r="G94" i="213"/>
  <c r="G93" i="213"/>
  <c r="G92" i="213"/>
  <c r="G91" i="213"/>
  <c r="G90" i="213"/>
  <c r="G89" i="213"/>
  <c r="G88" i="213"/>
  <c r="G87" i="213"/>
  <c r="G86" i="213"/>
  <c r="G85" i="213"/>
  <c r="G84" i="213"/>
  <c r="G83" i="213"/>
  <c r="G82" i="213"/>
  <c r="G81" i="213"/>
  <c r="G80" i="213"/>
  <c r="G79" i="213"/>
  <c r="G78" i="213"/>
  <c r="G77" i="213"/>
  <c r="G76" i="213"/>
  <c r="G75" i="213"/>
  <c r="G74" i="213"/>
  <c r="G73" i="213"/>
  <c r="G72" i="213"/>
  <c r="G71" i="213"/>
  <c r="G70" i="213"/>
  <c r="G69" i="213"/>
  <c r="G68" i="213"/>
  <c r="M67" i="213"/>
  <c r="G67" i="213"/>
  <c r="A67" i="213"/>
  <c r="A68" i="213" s="1"/>
  <c r="A69" i="213" s="1"/>
  <c r="A70" i="213" s="1"/>
  <c r="A71" i="213" s="1"/>
  <c r="A72" i="213" s="1"/>
  <c r="A73" i="213" s="1"/>
  <c r="A74" i="213" s="1"/>
  <c r="A75" i="213" s="1"/>
  <c r="A76" i="213" s="1"/>
  <c r="A77" i="213" s="1"/>
  <c r="A78" i="213" s="1"/>
  <c r="A79" i="213" s="1"/>
  <c r="A80" i="213" s="1"/>
  <c r="A81" i="213" s="1"/>
  <c r="A82" i="213" s="1"/>
  <c r="A83" i="213" s="1"/>
  <c r="A84" i="213" s="1"/>
  <c r="A85" i="213" s="1"/>
  <c r="A86" i="213" s="1"/>
  <c r="A87" i="213" s="1"/>
  <c r="A88" i="213" s="1"/>
  <c r="A89" i="213" s="1"/>
  <c r="A90" i="213" s="1"/>
  <c r="A91" i="213" s="1"/>
  <c r="A92" i="213" s="1"/>
  <c r="A93" i="213" s="1"/>
  <c r="A94" i="213" s="1"/>
  <c r="A95" i="213" s="1"/>
  <c r="A96" i="213" s="1"/>
  <c r="A97" i="213" s="1"/>
  <c r="A98" i="213" s="1"/>
  <c r="A99" i="213" s="1"/>
  <c r="A100" i="213" s="1"/>
  <c r="A101" i="213" s="1"/>
  <c r="A102" i="213" s="1"/>
  <c r="A103" i="213" s="1"/>
  <c r="A104" i="213" s="1"/>
  <c r="A105" i="213" s="1"/>
  <c r="A106" i="213" s="1"/>
  <c r="A107" i="213" s="1"/>
  <c r="M66" i="213"/>
  <c r="L61" i="213"/>
  <c r="L120" i="213" s="1"/>
  <c r="K61" i="213"/>
  <c r="K120" i="213" s="1"/>
  <c r="J61" i="213"/>
  <c r="J120" i="213" s="1"/>
  <c r="F61" i="213"/>
  <c r="F120" i="213" s="1"/>
  <c r="E61" i="213"/>
  <c r="E120" i="213" s="1"/>
  <c r="P56" i="213"/>
  <c r="A56" i="213"/>
  <c r="A53" i="213"/>
  <c r="A52" i="213"/>
  <c r="L44" i="213"/>
  <c r="K44" i="213"/>
  <c r="F44" i="213"/>
  <c r="E44" i="213"/>
  <c r="G43" i="213"/>
  <c r="G42" i="213"/>
  <c r="G41" i="213"/>
  <c r="G40" i="213"/>
  <c r="G39" i="213"/>
  <c r="G38" i="213"/>
  <c r="G37" i="213"/>
  <c r="L31" i="213"/>
  <c r="K31" i="213"/>
  <c r="F31" i="213"/>
  <c r="F33" i="213" s="1"/>
  <c r="F46" i="213" s="1"/>
  <c r="G30" i="213"/>
  <c r="G29" i="213"/>
  <c r="G27" i="213"/>
  <c r="G26" i="213"/>
  <c r="L23" i="213"/>
  <c r="K23" i="213"/>
  <c r="F23" i="213"/>
  <c r="E19" i="213"/>
  <c r="G19" i="213" s="1"/>
  <c r="A17" i="213"/>
  <c r="A18" i="213" s="1"/>
  <c r="A19" i="213" s="1"/>
  <c r="A20" i="213" s="1"/>
  <c r="A21" i="213" s="1"/>
  <c r="A22" i="213" s="1"/>
  <c r="A23" i="213" s="1"/>
  <c r="A25" i="213" s="1"/>
  <c r="A26" i="213" s="1"/>
  <c r="A27" i="213" s="1"/>
  <c r="A28" i="213" s="1"/>
  <c r="A29" i="213" s="1"/>
  <c r="A30" i="213" s="1"/>
  <c r="A31" i="213" s="1"/>
  <c r="A33" i="213" s="1"/>
  <c r="A35" i="213" s="1"/>
  <c r="A36" i="213" s="1"/>
  <c r="A37" i="213" s="1"/>
  <c r="A38" i="213" s="1"/>
  <c r="A39" i="213" s="1"/>
  <c r="A40" i="213" s="1"/>
  <c r="A41" i="213" s="1"/>
  <c r="A42" i="213" s="1"/>
  <c r="A43" i="213" s="1"/>
  <c r="A44" i="213" s="1"/>
  <c r="A46" i="213" s="1"/>
  <c r="L13" i="213"/>
  <c r="L62" i="213" s="1"/>
  <c r="L121" i="213" s="1"/>
  <c r="K13" i="213"/>
  <c r="K62" i="213" s="1"/>
  <c r="K121" i="213" s="1"/>
  <c r="J13" i="213"/>
  <c r="J62" i="213" s="1"/>
  <c r="J121" i="213" s="1"/>
  <c r="F13" i="213"/>
  <c r="F62" i="213" s="1"/>
  <c r="F121" i="213" s="1"/>
  <c r="E13" i="213"/>
  <c r="E62" i="213" s="1"/>
  <c r="E121" i="213" s="1"/>
  <c r="A8" i="213"/>
  <c r="A116" i="213" s="1"/>
  <c r="A5" i="213"/>
  <c r="A54" i="213" s="1"/>
  <c r="A2" i="213"/>
  <c r="A1" i="213"/>
  <c r="C15" i="67"/>
  <c r="C13" i="67"/>
  <c r="A9" i="67"/>
  <c r="A7" i="67"/>
  <c r="P131" i="73"/>
  <c r="G79" i="120" s="1"/>
  <c r="O126" i="73"/>
  <c r="N126" i="73"/>
  <c r="M126" i="73"/>
  <c r="L126" i="73"/>
  <c r="K126" i="73"/>
  <c r="J126" i="73"/>
  <c r="I126" i="73"/>
  <c r="H126" i="73"/>
  <c r="G126" i="73"/>
  <c r="F126" i="73"/>
  <c r="E126" i="73"/>
  <c r="D126" i="73"/>
  <c r="P125" i="73"/>
  <c r="G78" i="120" s="1"/>
  <c r="P124" i="73"/>
  <c r="P123" i="73"/>
  <c r="G81" i="120" s="1"/>
  <c r="O119" i="73"/>
  <c r="N119" i="73"/>
  <c r="M119" i="73"/>
  <c r="L119" i="73"/>
  <c r="K119" i="73"/>
  <c r="J119" i="73"/>
  <c r="I119" i="73"/>
  <c r="H119" i="73"/>
  <c r="G119" i="73"/>
  <c r="F119" i="73"/>
  <c r="E119" i="73"/>
  <c r="D119" i="73"/>
  <c r="P118" i="73"/>
  <c r="P117" i="73"/>
  <c r="P116" i="73"/>
  <c r="P115" i="73"/>
  <c r="D155" i="71" s="1"/>
  <c r="F155" i="71" s="1"/>
  <c r="O113" i="73"/>
  <c r="N113" i="73"/>
  <c r="M113" i="73"/>
  <c r="L113" i="73"/>
  <c r="K113" i="73"/>
  <c r="K121" i="73" s="1"/>
  <c r="J113" i="73"/>
  <c r="J121" i="73" s="1"/>
  <c r="I113" i="73"/>
  <c r="H113" i="73"/>
  <c r="G113" i="73"/>
  <c r="G134" i="73" s="1"/>
  <c r="F113" i="73"/>
  <c r="E113" i="73"/>
  <c r="D113" i="73"/>
  <c r="P111" i="73"/>
  <c r="P110" i="73"/>
  <c r="P109" i="73"/>
  <c r="P108" i="73"/>
  <c r="D140" i="71" s="1"/>
  <c r="F140" i="71" s="1"/>
  <c r="D126" i="195" s="1"/>
  <c r="P107" i="73"/>
  <c r="P106" i="73"/>
  <c r="P105" i="73"/>
  <c r="P104" i="73"/>
  <c r="P103" i="73"/>
  <c r="P102" i="73"/>
  <c r="P101" i="73"/>
  <c r="P100" i="73"/>
  <c r="D133" i="71" s="1"/>
  <c r="F133" i="71" s="1"/>
  <c r="D102" i="195" s="1"/>
  <c r="P99" i="73"/>
  <c r="P98" i="73"/>
  <c r="P97" i="73"/>
  <c r="P96" i="73"/>
  <c r="P95" i="73"/>
  <c r="P94" i="73"/>
  <c r="P93" i="73"/>
  <c r="P92" i="73"/>
  <c r="D119" i="71" s="1"/>
  <c r="F119" i="71" s="1"/>
  <c r="D94" i="195" s="1"/>
  <c r="P91" i="73"/>
  <c r="P90" i="73"/>
  <c r="P89" i="73"/>
  <c r="P88" i="73"/>
  <c r="P87" i="73"/>
  <c r="P86" i="73"/>
  <c r="P85" i="73"/>
  <c r="P84" i="73"/>
  <c r="D105" i="71" s="1"/>
  <c r="F105" i="71" s="1"/>
  <c r="D86" i="195" s="1"/>
  <c r="A84" i="73"/>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3" i="73" s="1"/>
  <c r="A115" i="73" s="1"/>
  <c r="A116" i="73" s="1"/>
  <c r="A117" i="73" s="1"/>
  <c r="A118" i="73" s="1"/>
  <c r="A119" i="73" s="1"/>
  <c r="A121" i="73" s="1"/>
  <c r="A123" i="73" s="1"/>
  <c r="A124" i="73" s="1"/>
  <c r="A125" i="73" s="1"/>
  <c r="A126" i="73" s="1"/>
  <c r="A130" i="73" s="1"/>
  <c r="A131" i="73" s="1"/>
  <c r="A132" i="73" s="1"/>
  <c r="A134" i="73" s="1"/>
  <c r="P83" i="73"/>
  <c r="P80" i="73"/>
  <c r="O79" i="73"/>
  <c r="N79" i="73"/>
  <c r="M79" i="73"/>
  <c r="L79" i="73"/>
  <c r="K79" i="73"/>
  <c r="J79" i="73"/>
  <c r="I79" i="73"/>
  <c r="H79" i="73"/>
  <c r="G79" i="73"/>
  <c r="F79" i="73"/>
  <c r="E79" i="73"/>
  <c r="D79" i="73"/>
  <c r="O78" i="73"/>
  <c r="N78" i="73"/>
  <c r="M78" i="73"/>
  <c r="L78" i="73"/>
  <c r="K78" i="73"/>
  <c r="J78" i="73"/>
  <c r="I78" i="73"/>
  <c r="H78" i="73"/>
  <c r="G78" i="73"/>
  <c r="F78" i="73"/>
  <c r="E78" i="73"/>
  <c r="D78" i="73"/>
  <c r="P74" i="73"/>
  <c r="A74" i="73"/>
  <c r="A71" i="73"/>
  <c r="P67" i="73"/>
  <c r="P66" i="73"/>
  <c r="D102" i="71" s="1"/>
  <c r="F102" i="71" s="1"/>
  <c r="D83" i="195" s="1"/>
  <c r="P65" i="73"/>
  <c r="P64" i="73"/>
  <c r="P63" i="73"/>
  <c r="P62" i="73"/>
  <c r="P61" i="73"/>
  <c r="P60" i="73"/>
  <c r="P59" i="73"/>
  <c r="P58" i="73"/>
  <c r="D76" i="71" s="1"/>
  <c r="F76" i="71" s="1"/>
  <c r="D75" i="195" s="1"/>
  <c r="P57" i="73"/>
  <c r="D75" i="71" s="1"/>
  <c r="F75" i="71" s="1"/>
  <c r="D74" i="195" s="1"/>
  <c r="P56" i="73"/>
  <c r="P55" i="73"/>
  <c r="P54" i="73"/>
  <c r="P53" i="73"/>
  <c r="P52" i="73"/>
  <c r="P51" i="73"/>
  <c r="P50" i="73"/>
  <c r="D68" i="71" s="1"/>
  <c r="F68" i="71" s="1"/>
  <c r="D43" i="195" s="1"/>
  <c r="P49" i="73"/>
  <c r="P48" i="73"/>
  <c r="P47" i="73"/>
  <c r="P46" i="73"/>
  <c r="P45" i="73"/>
  <c r="P44" i="73"/>
  <c r="P43" i="73"/>
  <c r="P42" i="73"/>
  <c r="D61" i="71" s="1"/>
  <c r="F61" i="71" s="1"/>
  <c r="P41" i="73"/>
  <c r="P40" i="73"/>
  <c r="P39" i="73"/>
  <c r="P38" i="73"/>
  <c r="P37" i="73"/>
  <c r="P36" i="73"/>
  <c r="P35" i="73"/>
  <c r="P34" i="73"/>
  <c r="P33" i="73"/>
  <c r="P32" i="73"/>
  <c r="P31" i="73"/>
  <c r="P30" i="73"/>
  <c r="P29" i="73"/>
  <c r="P28" i="73"/>
  <c r="P27" i="73"/>
  <c r="P26" i="73"/>
  <c r="D23" i="71" s="1"/>
  <c r="F23" i="71" s="1"/>
  <c r="P25" i="73"/>
  <c r="P24" i="73"/>
  <c r="P23" i="73"/>
  <c r="P22" i="73"/>
  <c r="P21" i="73"/>
  <c r="P20" i="73"/>
  <c r="P19" i="73"/>
  <c r="P18" i="73"/>
  <c r="D153" i="71" s="1"/>
  <c r="F153" i="71" s="1"/>
  <c r="D137" i="195" s="1"/>
  <c r="P17" i="73"/>
  <c r="D152" i="71" s="1"/>
  <c r="F152" i="71" s="1"/>
  <c r="P16" i="73"/>
  <c r="A16" i="73"/>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P15" i="73"/>
  <c r="P12" i="73"/>
  <c r="A7" i="73"/>
  <c r="A75" i="73" s="1"/>
  <c r="A4" i="73"/>
  <c r="A72" i="73" s="1"/>
  <c r="A2" i="73"/>
  <c r="A70" i="73" s="1"/>
  <c r="A1" i="73"/>
  <c r="A69" i="73" s="1"/>
  <c r="P127" i="72"/>
  <c r="P126" i="72"/>
  <c r="P125" i="72"/>
  <c r="O122" i="72"/>
  <c r="N122" i="72"/>
  <c r="M122" i="72"/>
  <c r="L122" i="72"/>
  <c r="K122" i="72"/>
  <c r="J122" i="72"/>
  <c r="I122" i="72"/>
  <c r="H122" i="72"/>
  <c r="G122" i="72"/>
  <c r="F122" i="72"/>
  <c r="E122" i="72"/>
  <c r="D122" i="72"/>
  <c r="P121" i="72"/>
  <c r="P120" i="72"/>
  <c r="P119" i="72"/>
  <c r="O115" i="72"/>
  <c r="N115" i="72"/>
  <c r="M115" i="72"/>
  <c r="L115" i="72"/>
  <c r="K115" i="72"/>
  <c r="J115" i="72"/>
  <c r="I115" i="72"/>
  <c r="H115" i="72"/>
  <c r="G115" i="72"/>
  <c r="F115" i="72"/>
  <c r="E115" i="72"/>
  <c r="D115" i="72"/>
  <c r="P114" i="72"/>
  <c r="D155" i="70" s="1"/>
  <c r="F155" i="70" s="1"/>
  <c r="P113" i="72"/>
  <c r="P112" i="72"/>
  <c r="D153" i="70" s="1"/>
  <c r="F153" i="70" s="1"/>
  <c r="P111" i="72"/>
  <c r="O109" i="72"/>
  <c r="O117" i="72" s="1"/>
  <c r="N109" i="72"/>
  <c r="M109" i="72"/>
  <c r="M117" i="72" s="1"/>
  <c r="L109" i="72"/>
  <c r="L117" i="72" s="1"/>
  <c r="K109" i="72"/>
  <c r="J109" i="72"/>
  <c r="J117" i="72" s="1"/>
  <c r="I109" i="72"/>
  <c r="I117" i="72" s="1"/>
  <c r="G109" i="72"/>
  <c r="G130" i="72" s="1"/>
  <c r="F109" i="72"/>
  <c r="E109" i="72"/>
  <c r="D109" i="72"/>
  <c r="P107" i="72"/>
  <c r="P106" i="72"/>
  <c r="P105" i="72"/>
  <c r="P104" i="72"/>
  <c r="P103" i="72"/>
  <c r="P102" i="72"/>
  <c r="P101" i="72"/>
  <c r="P100" i="72"/>
  <c r="P99" i="72"/>
  <c r="P98" i="72"/>
  <c r="D131" i="70" s="1"/>
  <c r="F131" i="70" s="1"/>
  <c r="D104" i="213" s="1"/>
  <c r="P97" i="72"/>
  <c r="P96" i="72"/>
  <c r="P95" i="72"/>
  <c r="P94" i="72"/>
  <c r="D125" i="70" s="1"/>
  <c r="F125" i="70" s="1"/>
  <c r="D101" i="213" s="1"/>
  <c r="P93" i="72"/>
  <c r="P92" i="72"/>
  <c r="P91" i="72"/>
  <c r="P90" i="72"/>
  <c r="D118" i="70" s="1"/>
  <c r="F118" i="70" s="1"/>
  <c r="D97" i="213" s="1"/>
  <c r="P89" i="72"/>
  <c r="P88" i="72"/>
  <c r="P87" i="72"/>
  <c r="P86" i="72"/>
  <c r="P85" i="72"/>
  <c r="P84" i="72"/>
  <c r="P83" i="72"/>
  <c r="P82" i="72"/>
  <c r="P81" i="72"/>
  <c r="P80" i="72"/>
  <c r="A80" i="72"/>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9" i="72" s="1"/>
  <c r="A111" i="72" s="1"/>
  <c r="A112" i="72" s="1"/>
  <c r="A113" i="72" s="1"/>
  <c r="A114" i="72" s="1"/>
  <c r="A115" i="72" s="1"/>
  <c r="A117" i="72" s="1"/>
  <c r="A119" i="72" s="1"/>
  <c r="A120" i="72" s="1"/>
  <c r="A121" i="72" s="1"/>
  <c r="A122" i="72" s="1"/>
  <c r="A126" i="72" s="1"/>
  <c r="A127" i="72" s="1"/>
  <c r="A128" i="72" s="1"/>
  <c r="A130" i="72" s="1"/>
  <c r="P79" i="72"/>
  <c r="P76" i="72"/>
  <c r="O75" i="72"/>
  <c r="N75" i="72"/>
  <c r="M75" i="72"/>
  <c r="L75" i="72"/>
  <c r="K75" i="72"/>
  <c r="J75" i="72"/>
  <c r="I75" i="72"/>
  <c r="H75" i="72"/>
  <c r="G75" i="72"/>
  <c r="F75" i="72"/>
  <c r="E75" i="72"/>
  <c r="D75" i="72"/>
  <c r="O74" i="72"/>
  <c r="N74" i="72"/>
  <c r="M74" i="72"/>
  <c r="L74" i="72"/>
  <c r="K74" i="72"/>
  <c r="J74" i="72"/>
  <c r="I74" i="72"/>
  <c r="H74" i="72"/>
  <c r="G74" i="72"/>
  <c r="F74" i="72"/>
  <c r="E74" i="72"/>
  <c r="D74" i="72"/>
  <c r="P70" i="72"/>
  <c r="A70" i="72"/>
  <c r="A67" i="72"/>
  <c r="P63" i="72"/>
  <c r="P62" i="72"/>
  <c r="P61" i="72"/>
  <c r="P60" i="72"/>
  <c r="P59" i="72"/>
  <c r="P58" i="72"/>
  <c r="P57" i="72"/>
  <c r="P56" i="72"/>
  <c r="P55" i="72"/>
  <c r="P54" i="72"/>
  <c r="P53" i="72"/>
  <c r="P52" i="72"/>
  <c r="P51" i="72"/>
  <c r="P50" i="72"/>
  <c r="P49" i="72"/>
  <c r="P48" i="72"/>
  <c r="P47" i="72"/>
  <c r="D42" i="70" s="1"/>
  <c r="P46" i="72"/>
  <c r="D67" i="70" s="1"/>
  <c r="F67" i="70" s="1"/>
  <c r="D43" i="213" s="1"/>
  <c r="P45" i="72"/>
  <c r="P44" i="72"/>
  <c r="P43" i="72"/>
  <c r="P42" i="72"/>
  <c r="P41" i="72"/>
  <c r="P40" i="72"/>
  <c r="P39" i="72"/>
  <c r="P38" i="72"/>
  <c r="P37" i="72"/>
  <c r="D55" i="70" s="1"/>
  <c r="F55" i="70" s="1"/>
  <c r="P36" i="72"/>
  <c r="D54" i="70" s="1"/>
  <c r="F54" i="70" s="1"/>
  <c r="P35" i="72"/>
  <c r="P34" i="72"/>
  <c r="D52" i="70" s="1"/>
  <c r="F52" i="70" s="1"/>
  <c r="P33" i="72"/>
  <c r="H32" i="72"/>
  <c r="P32" i="72" s="1"/>
  <c r="D38" i="70" s="1"/>
  <c r="P31" i="72"/>
  <c r="P30" i="72"/>
  <c r="P29" i="72"/>
  <c r="D29" i="70" s="1"/>
  <c r="F29" i="70" s="1"/>
  <c r="P28" i="72"/>
  <c r="P27" i="72"/>
  <c r="P26" i="72"/>
  <c r="P25" i="72"/>
  <c r="P24" i="72"/>
  <c r="D21" i="70" s="1"/>
  <c r="F21" i="70" s="1"/>
  <c r="P23" i="72"/>
  <c r="D20" i="70" s="1"/>
  <c r="F20" i="70" s="1"/>
  <c r="P22" i="72"/>
  <c r="P21" i="72"/>
  <c r="P20" i="72"/>
  <c r="P19" i="72"/>
  <c r="E36" i="69" s="1"/>
  <c r="I36" i="69" s="1"/>
  <c r="D34" i="154" s="1"/>
  <c r="F34" i="154" s="1"/>
  <c r="G34" i="154" s="1"/>
  <c r="P18" i="72"/>
  <c r="P17" i="72"/>
  <c r="P16" i="72"/>
  <c r="A16" i="72"/>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P15" i="72"/>
  <c r="D148" i="70" s="1"/>
  <c r="F148" i="70" s="1"/>
  <c r="P12" i="72"/>
  <c r="A7" i="72"/>
  <c r="A71" i="72" s="1"/>
  <c r="A4" i="72"/>
  <c r="A68" i="72" s="1"/>
  <c r="A2" i="72"/>
  <c r="A66" i="72" s="1"/>
  <c r="A1" i="72"/>
  <c r="A65" i="72" s="1"/>
  <c r="D158" i="71"/>
  <c r="D157" i="71"/>
  <c r="F157" i="71" s="1"/>
  <c r="D156" i="71"/>
  <c r="F156" i="71" s="1"/>
  <c r="F154" i="71"/>
  <c r="D154" i="71"/>
  <c r="D151" i="71"/>
  <c r="F151" i="71" s="1"/>
  <c r="J28" i="108" s="1"/>
  <c r="D146" i="71"/>
  <c r="F146" i="71" s="1"/>
  <c r="D129" i="195" s="1"/>
  <c r="R129" i="195" s="1"/>
  <c r="D145" i="71"/>
  <c r="D141" i="71"/>
  <c r="F141" i="71" s="1"/>
  <c r="D127" i="195" s="1"/>
  <c r="D139" i="71"/>
  <c r="F139" i="71" s="1"/>
  <c r="D125" i="195" s="1"/>
  <c r="D138" i="71"/>
  <c r="F138" i="71" s="1"/>
  <c r="D124" i="195" s="1"/>
  <c r="D137" i="71"/>
  <c r="F137" i="71" s="1"/>
  <c r="D106" i="195" s="1"/>
  <c r="D136" i="71"/>
  <c r="F136" i="71" s="1"/>
  <c r="D105" i="195" s="1"/>
  <c r="D135" i="71"/>
  <c r="F135" i="71" s="1"/>
  <c r="D104" i="195" s="1"/>
  <c r="D134" i="71"/>
  <c r="F134" i="71" s="1"/>
  <c r="D103" i="195" s="1"/>
  <c r="D132" i="71"/>
  <c r="D128" i="71"/>
  <c r="F128" i="71" s="1"/>
  <c r="D100" i="195" s="1"/>
  <c r="R100" i="195" s="1"/>
  <c r="D127" i="71"/>
  <c r="F127" i="71" s="1"/>
  <c r="D99" i="195" s="1"/>
  <c r="D126" i="71"/>
  <c r="F126" i="71" s="1"/>
  <c r="D98" i="195" s="1"/>
  <c r="D125" i="71"/>
  <c r="D121" i="71"/>
  <c r="F121" i="71" s="1"/>
  <c r="D96" i="195" s="1"/>
  <c r="D120" i="71"/>
  <c r="F120" i="71" s="1"/>
  <c r="D95" i="195" s="1"/>
  <c r="R95" i="195" s="1"/>
  <c r="D118" i="71"/>
  <c r="F114" i="71"/>
  <c r="D92" i="195" s="1"/>
  <c r="R92" i="195" s="1"/>
  <c r="D114" i="71"/>
  <c r="D113" i="71"/>
  <c r="F113" i="71" s="1"/>
  <c r="D91" i="195" s="1"/>
  <c r="D112" i="71"/>
  <c r="F112" i="71" s="1"/>
  <c r="D90" i="195" s="1"/>
  <c r="D111" i="71"/>
  <c r="F111" i="71" s="1"/>
  <c r="D89" i="195" s="1"/>
  <c r="R89" i="195" s="1"/>
  <c r="D110" i="71"/>
  <c r="D106" i="71"/>
  <c r="F106" i="71" s="1"/>
  <c r="D87" i="195" s="1"/>
  <c r="R87" i="195" s="1"/>
  <c r="D104" i="71"/>
  <c r="F104" i="71" s="1"/>
  <c r="D85" i="195" s="1"/>
  <c r="D103" i="71"/>
  <c r="F103" i="71" s="1"/>
  <c r="D84" i="195" s="1"/>
  <c r="D101" i="71"/>
  <c r="F101" i="71" s="1"/>
  <c r="D82" i="195" s="1"/>
  <c r="D100" i="71"/>
  <c r="F100" i="71" s="1"/>
  <c r="D81" i="195" s="1"/>
  <c r="R81" i="195" s="1"/>
  <c r="D99" i="71"/>
  <c r="F99" i="71" s="1"/>
  <c r="D80" i="195" s="1"/>
  <c r="A99" i="71"/>
  <c r="A100" i="71" s="1"/>
  <c r="A101" i="71" s="1"/>
  <c r="A102" i="71" s="1"/>
  <c r="A103" i="71" s="1"/>
  <c r="A104" i="71" s="1"/>
  <c r="A105" i="71" s="1"/>
  <c r="A106" i="71" s="1"/>
  <c r="A107" i="71" s="1"/>
  <c r="A109" i="71" s="1"/>
  <c r="A110" i="71" s="1"/>
  <c r="A111" i="71" s="1"/>
  <c r="A112" i="71" s="1"/>
  <c r="A113" i="71" s="1"/>
  <c r="A114" i="71" s="1"/>
  <c r="A115" i="71" s="1"/>
  <c r="A117" i="71" s="1"/>
  <c r="A118" i="71" s="1"/>
  <c r="A119" i="71" s="1"/>
  <c r="A120" i="71" s="1"/>
  <c r="A121" i="71" s="1"/>
  <c r="A122" i="71" s="1"/>
  <c r="A124" i="71" s="1"/>
  <c r="A125" i="71" s="1"/>
  <c r="A126" i="71" s="1"/>
  <c r="A127" i="71" s="1"/>
  <c r="A128" i="71" s="1"/>
  <c r="A129" i="71" s="1"/>
  <c r="A131" i="71" s="1"/>
  <c r="A132" i="71" s="1"/>
  <c r="A133" i="71" s="1"/>
  <c r="A134" i="71" s="1"/>
  <c r="A135" i="71" s="1"/>
  <c r="A136" i="71" s="1"/>
  <c r="A137" i="71" s="1"/>
  <c r="A138" i="71" s="1"/>
  <c r="A139" i="71" s="1"/>
  <c r="A140" i="71" s="1"/>
  <c r="A141" i="71" s="1"/>
  <c r="A142" i="71" s="1"/>
  <c r="A144" i="71" s="1"/>
  <c r="A145" i="71" s="1"/>
  <c r="A146" i="71" s="1"/>
  <c r="A147" i="71" s="1"/>
  <c r="A149" i="71" s="1"/>
  <c r="A151" i="71" s="1"/>
  <c r="A152" i="71" s="1"/>
  <c r="A153" i="71" s="1"/>
  <c r="A154" i="71" s="1"/>
  <c r="A155" i="71" s="1"/>
  <c r="A156" i="71" s="1"/>
  <c r="A157" i="71" s="1"/>
  <c r="A158" i="71" s="1"/>
  <c r="A160" i="71" s="1"/>
  <c r="A162" i="71" s="1"/>
  <c r="G89" i="71"/>
  <c r="A89" i="71"/>
  <c r="A86" i="71"/>
  <c r="D80" i="71"/>
  <c r="F80" i="71" s="1"/>
  <c r="D79" i="195" s="1"/>
  <c r="D79" i="71"/>
  <c r="F79" i="71" s="1"/>
  <c r="D78" i="195" s="1"/>
  <c r="D78" i="71"/>
  <c r="F78" i="71" s="1"/>
  <c r="D77" i="195" s="1"/>
  <c r="D77" i="71"/>
  <c r="F77" i="71" s="1"/>
  <c r="D76" i="195" s="1"/>
  <c r="F74" i="71"/>
  <c r="D73" i="195" s="1"/>
  <c r="D74" i="71"/>
  <c r="D73" i="71"/>
  <c r="F73" i="71" s="1"/>
  <c r="D72" i="195" s="1"/>
  <c r="R72" i="195" s="1"/>
  <c r="D72" i="71"/>
  <c r="D67" i="71"/>
  <c r="F67" i="71" s="1"/>
  <c r="D42" i="195" s="1"/>
  <c r="D66" i="71"/>
  <c r="F66" i="71" s="1"/>
  <c r="D41" i="195" s="1"/>
  <c r="D65" i="71"/>
  <c r="F65" i="71" s="1"/>
  <c r="F64" i="71"/>
  <c r="D40" i="195" s="1"/>
  <c r="D64" i="71"/>
  <c r="D63" i="71"/>
  <c r="F63" i="71" s="1"/>
  <c r="D39" i="195" s="1"/>
  <c r="D62" i="71"/>
  <c r="F62" i="71" s="1"/>
  <c r="D38" i="195" s="1"/>
  <c r="D56" i="71"/>
  <c r="F56" i="71" s="1"/>
  <c r="D55" i="71"/>
  <c r="F55" i="71" s="1"/>
  <c r="D54" i="71"/>
  <c r="F54" i="71" s="1"/>
  <c r="F53" i="71"/>
  <c r="D53" i="71"/>
  <c r="D52" i="71"/>
  <c r="F52" i="71" s="1"/>
  <c r="D48" i="71"/>
  <c r="F48" i="71" s="1"/>
  <c r="D44" i="71"/>
  <c r="F44" i="71" s="1"/>
  <c r="D69" i="195" s="1"/>
  <c r="D43" i="71"/>
  <c r="D36" i="71"/>
  <c r="F36" i="71" s="1"/>
  <c r="D30" i="195" s="1"/>
  <c r="D35" i="71"/>
  <c r="F35" i="71" s="1"/>
  <c r="D29" i="195" s="1"/>
  <c r="D34" i="71"/>
  <c r="F34" i="71" s="1"/>
  <c r="J28" i="109" s="1"/>
  <c r="J60" i="109" s="1"/>
  <c r="D33" i="71"/>
  <c r="F33" i="71" s="1"/>
  <c r="J27" i="109" s="1"/>
  <c r="J59" i="109" s="1"/>
  <c r="D32" i="71"/>
  <c r="F32" i="71" s="1"/>
  <c r="F31" i="71"/>
  <c r="D27" i="195" s="1"/>
  <c r="D31" i="71"/>
  <c r="D30" i="71"/>
  <c r="F30" i="71" s="1"/>
  <c r="D26" i="71"/>
  <c r="F26" i="71" s="1"/>
  <c r="F25" i="71"/>
  <c r="J20" i="109" s="1"/>
  <c r="D25" i="71"/>
  <c r="D24" i="71"/>
  <c r="F24" i="71" s="1"/>
  <c r="D22" i="71"/>
  <c r="F22" i="71" s="1"/>
  <c r="D21" i="71"/>
  <c r="F21" i="71" s="1"/>
  <c r="D20" i="71"/>
  <c r="F20" i="71" s="1"/>
  <c r="D19" i="71"/>
  <c r="D18" i="71"/>
  <c r="F18" i="71" s="1"/>
  <c r="D17" i="71"/>
  <c r="F17" i="71" s="1"/>
  <c r="A16" i="71"/>
  <c r="A17" i="71" s="1"/>
  <c r="A18" i="71" s="1"/>
  <c r="A19" i="71" s="1"/>
  <c r="A20" i="71" s="1"/>
  <c r="A21" i="71" s="1"/>
  <c r="A22" i="71" s="1"/>
  <c r="A23" i="71" s="1"/>
  <c r="A24" i="71" s="1"/>
  <c r="A25" i="71" s="1"/>
  <c r="A26" i="71" s="1"/>
  <c r="A27" i="71" s="1"/>
  <c r="A29" i="71" s="1"/>
  <c r="A30" i="71" s="1"/>
  <c r="A31" i="71" s="1"/>
  <c r="A32" i="71" s="1"/>
  <c r="A33" i="71" s="1"/>
  <c r="A34" i="71" s="1"/>
  <c r="A35" i="71" s="1"/>
  <c r="A36" i="71" s="1"/>
  <c r="A37" i="71" s="1"/>
  <c r="A39" i="71" s="1"/>
  <c r="A41" i="71" s="1"/>
  <c r="A42" i="71" s="1"/>
  <c r="A43" i="71" s="1"/>
  <c r="A44" i="71" s="1"/>
  <c r="A45" i="71" s="1"/>
  <c r="A47" i="71" s="1"/>
  <c r="A48" i="71" s="1"/>
  <c r="A49" i="71" s="1"/>
  <c r="A51" i="71" s="1"/>
  <c r="A52" i="71" s="1"/>
  <c r="A53" i="71" s="1"/>
  <c r="A54" i="71" s="1"/>
  <c r="A55" i="71" s="1"/>
  <c r="A56" i="71" s="1"/>
  <c r="A57" i="71" s="1"/>
  <c r="A59" i="71" s="1"/>
  <c r="A60" i="71" s="1"/>
  <c r="A61" i="71" s="1"/>
  <c r="A62" i="71" s="1"/>
  <c r="A63" i="71" s="1"/>
  <c r="A64" i="71" s="1"/>
  <c r="A65" i="71" s="1"/>
  <c r="A66" i="71" s="1"/>
  <c r="A67" i="71" s="1"/>
  <c r="A68" i="71" s="1"/>
  <c r="A69" i="71" s="1"/>
  <c r="A72" i="71" s="1"/>
  <c r="A73" i="71" s="1"/>
  <c r="A74" i="71" s="1"/>
  <c r="A75" i="71" s="1"/>
  <c r="A76" i="71" s="1"/>
  <c r="A77" i="71" s="1"/>
  <c r="A78" i="71" s="1"/>
  <c r="A79" i="71" s="1"/>
  <c r="A80" i="71" s="1"/>
  <c r="A81" i="71" s="1"/>
  <c r="A7" i="71"/>
  <c r="A90" i="71" s="1"/>
  <c r="A4" i="71"/>
  <c r="A87" i="71" s="1"/>
  <c r="A2" i="71"/>
  <c r="A85" i="71" s="1"/>
  <c r="A1" i="71"/>
  <c r="A84" i="71" s="1"/>
  <c r="D154" i="70"/>
  <c r="D152" i="70"/>
  <c r="F152" i="70" s="1"/>
  <c r="D151" i="70"/>
  <c r="F151" i="70" s="1"/>
  <c r="D139" i="213" s="1"/>
  <c r="D150" i="70"/>
  <c r="F150" i="70" s="1"/>
  <c r="D138" i="213" s="1"/>
  <c r="D137" i="70"/>
  <c r="F137" i="70" s="1"/>
  <c r="D127" i="213" s="1"/>
  <c r="D133" i="70"/>
  <c r="F133" i="70" s="1"/>
  <c r="D106" i="213" s="1"/>
  <c r="D132" i="70"/>
  <c r="F132" i="70" s="1"/>
  <c r="D105" i="213" s="1"/>
  <c r="D122" i="70"/>
  <c r="F122" i="70" s="1"/>
  <c r="D117" i="70"/>
  <c r="F117" i="70" s="1"/>
  <c r="D96" i="213" s="1"/>
  <c r="D116" i="70"/>
  <c r="F116" i="70" s="1"/>
  <c r="D95" i="213" s="1"/>
  <c r="D115" i="70"/>
  <c r="F115" i="70" s="1"/>
  <c r="D111" i="70"/>
  <c r="F111" i="70" s="1"/>
  <c r="D93" i="213" s="1"/>
  <c r="D109" i="70"/>
  <c r="F109" i="70" s="1"/>
  <c r="D91" i="213" s="1"/>
  <c r="D102" i="70"/>
  <c r="F102" i="70" s="1"/>
  <c r="D87" i="213" s="1"/>
  <c r="D101" i="70"/>
  <c r="F101" i="70" s="1"/>
  <c r="D86" i="213" s="1"/>
  <c r="A96" i="70"/>
  <c r="A97" i="70" s="1"/>
  <c r="A98" i="70" s="1"/>
  <c r="A99" i="70" s="1"/>
  <c r="A100" i="70" s="1"/>
  <c r="A101" i="70" s="1"/>
  <c r="A102" i="70" s="1"/>
  <c r="A103" i="70" s="1"/>
  <c r="A104" i="70" s="1"/>
  <c r="A106" i="70" s="1"/>
  <c r="A107" i="70" s="1"/>
  <c r="A108" i="70" s="1"/>
  <c r="A109" i="70" s="1"/>
  <c r="A110" i="70" s="1"/>
  <c r="A111" i="70" s="1"/>
  <c r="A112" i="70" s="1"/>
  <c r="A114" i="70" s="1"/>
  <c r="A115" i="70" s="1"/>
  <c r="A116" i="70" s="1"/>
  <c r="A117" i="70" s="1"/>
  <c r="A118" i="70" s="1"/>
  <c r="A119" i="70" s="1"/>
  <c r="A121" i="70" s="1"/>
  <c r="A122" i="70" s="1"/>
  <c r="A123" i="70" s="1"/>
  <c r="A124" i="70" s="1"/>
  <c r="A125" i="70" s="1"/>
  <c r="A126" i="70" s="1"/>
  <c r="A128" i="70" s="1"/>
  <c r="A129" i="70" s="1"/>
  <c r="A130" i="70" s="1"/>
  <c r="A131" i="70" s="1"/>
  <c r="A132" i="70" s="1"/>
  <c r="A133" i="70" s="1"/>
  <c r="A134" i="70" s="1"/>
  <c r="A135" i="70" s="1"/>
  <c r="A136" i="70" s="1"/>
  <c r="A137" i="70" s="1"/>
  <c r="A138" i="70" s="1"/>
  <c r="A139" i="70" s="1"/>
  <c r="A141" i="70" s="1"/>
  <c r="A142" i="70" s="1"/>
  <c r="A143" i="70" s="1"/>
  <c r="A144" i="70" s="1"/>
  <c r="A146" i="70" s="1"/>
  <c r="A148" i="70" s="1"/>
  <c r="A149" i="70" s="1"/>
  <c r="A150" i="70" s="1"/>
  <c r="A151" i="70" s="1"/>
  <c r="A152" i="70" s="1"/>
  <c r="A153" i="70" s="1"/>
  <c r="A154" i="70" s="1"/>
  <c r="A155" i="70" s="1"/>
  <c r="A157" i="70" s="1"/>
  <c r="A159" i="70" s="1"/>
  <c r="G86" i="70"/>
  <c r="A86" i="70"/>
  <c r="A83" i="70"/>
  <c r="A82" i="70"/>
  <c r="D79" i="70"/>
  <c r="F79" i="70" s="1"/>
  <c r="D80" i="213" s="1"/>
  <c r="D73" i="70"/>
  <c r="F73" i="70" s="1"/>
  <c r="D74" i="213" s="1"/>
  <c r="D72" i="70"/>
  <c r="F72" i="70" s="1"/>
  <c r="D73" i="213" s="1"/>
  <c r="D66" i="70"/>
  <c r="F66" i="70" s="1"/>
  <c r="D42" i="213" s="1"/>
  <c r="D65" i="70"/>
  <c r="F65" i="70" s="1"/>
  <c r="D41" i="213" s="1"/>
  <c r="D53" i="70"/>
  <c r="F53" i="70" s="1"/>
  <c r="D47" i="70"/>
  <c r="D48" i="70" s="1"/>
  <c r="D43" i="70"/>
  <c r="F43" i="70" s="1"/>
  <c r="D70" i="213" s="1"/>
  <c r="D31" i="70"/>
  <c r="F31" i="70" s="1"/>
  <c r="D30" i="213" s="1"/>
  <c r="D28" i="70"/>
  <c r="F28" i="70" s="1"/>
  <c r="D27" i="70"/>
  <c r="F27" i="70" s="1"/>
  <c r="D26" i="70"/>
  <c r="F26" i="70" s="1"/>
  <c r="D27" i="213" s="1"/>
  <c r="D25" i="70"/>
  <c r="F25" i="70" s="1"/>
  <c r="D19" i="70"/>
  <c r="F19" i="70" s="1"/>
  <c r="A16" i="70"/>
  <c r="A17" i="70" s="1"/>
  <c r="A18" i="70" s="1"/>
  <c r="A19" i="70" s="1"/>
  <c r="A20" i="70" s="1"/>
  <c r="A21" i="70" s="1"/>
  <c r="A7" i="70"/>
  <c r="A87" i="70" s="1"/>
  <c r="A4" i="70"/>
  <c r="A84" i="70" s="1"/>
  <c r="A2" i="70"/>
  <c r="A1" i="70"/>
  <c r="A81" i="70" s="1"/>
  <c r="O36" i="69"/>
  <c r="O35" i="69"/>
  <c r="G24" i="69"/>
  <c r="O22" i="69"/>
  <c r="K22" i="69"/>
  <c r="A20" i="69"/>
  <c r="A21" i="69" s="1"/>
  <c r="A22" i="69" s="1"/>
  <c r="A23" i="69" s="1"/>
  <c r="A24" i="69" s="1"/>
  <c r="A25" i="69" s="1"/>
  <c r="A26" i="69" s="1"/>
  <c r="A27" i="69" s="1"/>
  <c r="A28" i="69" s="1"/>
  <c r="A29" i="69" s="1"/>
  <c r="A31" i="69" s="1"/>
  <c r="A33" i="69" s="1"/>
  <c r="A34" i="69" s="1"/>
  <c r="A35" i="69" s="1"/>
  <c r="A36" i="69" s="1"/>
  <c r="A38" i="69" s="1"/>
  <c r="A40" i="69" s="1"/>
  <c r="A41" i="69" s="1"/>
  <c r="A42" i="69" s="1"/>
  <c r="A44" i="69" s="1"/>
  <c r="A46" i="69" s="1"/>
  <c r="A8" i="69"/>
  <c r="A2" i="69"/>
  <c r="A1" i="69"/>
  <c r="A21" i="68"/>
  <c r="A22" i="68" s="1"/>
  <c r="A23" i="68" s="1"/>
  <c r="A24" i="68" s="1"/>
  <c r="A25" i="68" s="1"/>
  <c r="A27" i="68" s="1"/>
  <c r="A30" i="68" s="1"/>
  <c r="A31" i="68" s="1"/>
  <c r="A32" i="68" s="1"/>
  <c r="A34" i="68" s="1"/>
  <c r="A36" i="68" s="1"/>
  <c r="A38" i="68" s="1"/>
  <c r="A9" i="68"/>
  <c r="A2" i="68"/>
  <c r="A1" i="68"/>
  <c r="C15" i="66"/>
  <c r="C13" i="66"/>
  <c r="A9" i="66"/>
  <c r="A7" i="66"/>
  <c r="E9" i="142"/>
  <c r="A8" i="142"/>
  <c r="A4" i="142"/>
  <c r="A2" i="142"/>
  <c r="A1" i="142"/>
  <c r="C37" i="206"/>
  <c r="D37" i="206" s="1"/>
  <c r="F37" i="206" s="1"/>
  <c r="A29" i="206"/>
  <c r="A30" i="206" s="1"/>
  <c r="A31" i="206" s="1"/>
  <c r="A32" i="206" s="1"/>
  <c r="A33" i="206" s="1"/>
  <c r="A34" i="206" s="1"/>
  <c r="A35" i="206" s="1"/>
  <c r="A36" i="206" s="1"/>
  <c r="A37" i="206" s="1"/>
  <c r="A38" i="206" s="1"/>
  <c r="A39" i="206" s="1"/>
  <c r="A40" i="206" s="1"/>
  <c r="A42" i="206" s="1"/>
  <c r="A44" i="206" s="1"/>
  <c r="A46" i="206" s="1"/>
  <c r="A17" i="206"/>
  <c r="A19" i="206" s="1"/>
  <c r="A4" i="206"/>
  <c r="A2" i="206"/>
  <c r="A1" i="206"/>
  <c r="W197" i="171"/>
  <c r="C40" i="206" s="1"/>
  <c r="V197" i="171"/>
  <c r="C39" i="206" s="1"/>
  <c r="D39" i="206" s="1"/>
  <c r="F39" i="206" s="1"/>
  <c r="U197" i="171"/>
  <c r="C38" i="206" s="1"/>
  <c r="T197" i="171"/>
  <c r="S197" i="171"/>
  <c r="C36" i="206" s="1"/>
  <c r="R197" i="171"/>
  <c r="C35" i="206" s="1"/>
  <c r="Q197" i="171"/>
  <c r="C34" i="206" s="1"/>
  <c r="D34" i="206" s="1"/>
  <c r="F34" i="206" s="1"/>
  <c r="P197" i="171"/>
  <c r="C33" i="206" s="1"/>
  <c r="L197" i="171"/>
  <c r="C32" i="206" s="1"/>
  <c r="K197" i="171"/>
  <c r="C31" i="206" s="1"/>
  <c r="D31" i="206" s="1"/>
  <c r="F31" i="206" s="1"/>
  <c r="J197" i="171"/>
  <c r="C30" i="206" s="1"/>
  <c r="D30" i="206" s="1"/>
  <c r="F30" i="206" s="1"/>
  <c r="I197" i="171"/>
  <c r="C29" i="206" s="1"/>
  <c r="W193" i="171"/>
  <c r="V193" i="171"/>
  <c r="U193" i="171"/>
  <c r="T193" i="171"/>
  <c r="S193" i="171"/>
  <c r="R193" i="171"/>
  <c r="Q193" i="171"/>
  <c r="P193" i="171"/>
  <c r="L193" i="171"/>
  <c r="K193" i="171"/>
  <c r="J193" i="171"/>
  <c r="I193" i="171"/>
  <c r="G193" i="171"/>
  <c r="F193" i="171"/>
  <c r="D193" i="171"/>
  <c r="H192" i="171"/>
  <c r="H193" i="171" s="1"/>
  <c r="F192" i="171"/>
  <c r="F39" i="171" s="1"/>
  <c r="W189" i="171"/>
  <c r="V189" i="171"/>
  <c r="U189" i="171"/>
  <c r="T189" i="171"/>
  <c r="S189" i="171"/>
  <c r="R189" i="171"/>
  <c r="Q189" i="171"/>
  <c r="P189" i="171"/>
  <c r="L189" i="171"/>
  <c r="K189" i="171"/>
  <c r="J189" i="171"/>
  <c r="I189" i="171"/>
  <c r="G189" i="171"/>
  <c r="D189" i="171"/>
  <c r="F188" i="171"/>
  <c r="F187" i="171"/>
  <c r="H187" i="171" s="1"/>
  <c r="F186" i="171"/>
  <c r="H186" i="171" s="1"/>
  <c r="W183" i="171"/>
  <c r="V183" i="171"/>
  <c r="U183" i="171"/>
  <c r="T183" i="171"/>
  <c r="S183" i="171"/>
  <c r="R183" i="171"/>
  <c r="Q183" i="171"/>
  <c r="P183" i="171"/>
  <c r="L183" i="171"/>
  <c r="K183" i="171"/>
  <c r="J183" i="171"/>
  <c r="I183" i="171"/>
  <c r="G183" i="171"/>
  <c r="D183" i="171"/>
  <c r="F182" i="171"/>
  <c r="H182" i="171" s="1"/>
  <c r="F181" i="171"/>
  <c r="F180" i="171"/>
  <c r="H180" i="171" s="1"/>
  <c r="W177" i="171"/>
  <c r="V177" i="171"/>
  <c r="U177" i="171"/>
  <c r="T177" i="171"/>
  <c r="S177" i="171"/>
  <c r="R177" i="171"/>
  <c r="Q177" i="171"/>
  <c r="P177" i="171"/>
  <c r="L177" i="171"/>
  <c r="K177" i="171"/>
  <c r="J177" i="171"/>
  <c r="I177" i="171"/>
  <c r="G177" i="171"/>
  <c r="D177" i="171"/>
  <c r="H176" i="171"/>
  <c r="F176" i="171"/>
  <c r="F177" i="171" s="1"/>
  <c r="F175" i="171"/>
  <c r="H175" i="171" s="1"/>
  <c r="F174" i="171"/>
  <c r="H174" i="171" s="1"/>
  <c r="H173" i="171"/>
  <c r="F173" i="171"/>
  <c r="W170" i="171"/>
  <c r="V170" i="171"/>
  <c r="U170" i="171"/>
  <c r="T170" i="171"/>
  <c r="S170" i="171"/>
  <c r="R170" i="171"/>
  <c r="Q170" i="171"/>
  <c r="P170" i="171"/>
  <c r="L170" i="171"/>
  <c r="K170" i="171"/>
  <c r="J170" i="171"/>
  <c r="I170" i="171"/>
  <c r="G170" i="171"/>
  <c r="D170" i="171"/>
  <c r="F169" i="171"/>
  <c r="H169" i="171" s="1"/>
  <c r="F168" i="171"/>
  <c r="H168" i="171" s="1"/>
  <c r="F167" i="171"/>
  <c r="A167" i="171"/>
  <c r="A168" i="171" s="1"/>
  <c r="A169" i="171" s="1"/>
  <c r="A170" i="171" s="1"/>
  <c r="A171" i="171" s="1"/>
  <c r="A172" i="171" s="1"/>
  <c r="A173" i="171" s="1"/>
  <c r="A174" i="171" s="1"/>
  <c r="A175" i="171" s="1"/>
  <c r="A176" i="171" s="1"/>
  <c r="A177" i="171" s="1"/>
  <c r="A178" i="171" s="1"/>
  <c r="A179" i="171" s="1"/>
  <c r="A180" i="171" s="1"/>
  <c r="A181" i="171" s="1"/>
  <c r="A182" i="171" s="1"/>
  <c r="A183" i="171" s="1"/>
  <c r="A184" i="171" s="1"/>
  <c r="A185" i="171" s="1"/>
  <c r="A186" i="171" s="1"/>
  <c r="A187" i="171" s="1"/>
  <c r="A188" i="171" s="1"/>
  <c r="A189" i="171" s="1"/>
  <c r="A190" i="171" s="1"/>
  <c r="A191" i="171" s="1"/>
  <c r="A192" i="171" s="1"/>
  <c r="A193" i="171" s="1"/>
  <c r="A194" i="171" s="1"/>
  <c r="A195" i="171" s="1"/>
  <c r="A196" i="171" s="1"/>
  <c r="A197" i="171" s="1"/>
  <c r="F166" i="171"/>
  <c r="H166" i="171" s="1"/>
  <c r="A166" i="171"/>
  <c r="M165" i="171"/>
  <c r="M166" i="171" s="1"/>
  <c r="A165" i="171"/>
  <c r="A153" i="171"/>
  <c r="M153" i="171" s="1"/>
  <c r="M152" i="171"/>
  <c r="W146" i="171"/>
  <c r="V146" i="171"/>
  <c r="U146" i="171"/>
  <c r="T146" i="171"/>
  <c r="S146" i="171"/>
  <c r="R146" i="171"/>
  <c r="Q146" i="171"/>
  <c r="P146" i="171"/>
  <c r="L146" i="171"/>
  <c r="K146" i="171"/>
  <c r="J146" i="171"/>
  <c r="I146" i="171"/>
  <c r="H146" i="171"/>
  <c r="G146" i="171"/>
  <c r="D146" i="171"/>
  <c r="F145" i="171"/>
  <c r="F144" i="171"/>
  <c r="F143" i="171"/>
  <c r="F142" i="171"/>
  <c r="F141" i="171"/>
  <c r="F140" i="171"/>
  <c r="F139" i="171"/>
  <c r="F138" i="171"/>
  <c r="F137" i="171"/>
  <c r="F136" i="171"/>
  <c r="F135" i="171"/>
  <c r="F134" i="171"/>
  <c r="F133" i="171"/>
  <c r="F132" i="171"/>
  <c r="F131" i="171"/>
  <c r="F130" i="171"/>
  <c r="F129" i="171"/>
  <c r="F128" i="171"/>
  <c r="F127" i="171"/>
  <c r="F126" i="171"/>
  <c r="F125" i="171"/>
  <c r="F124" i="171"/>
  <c r="F123" i="171"/>
  <c r="F122" i="171"/>
  <c r="F121" i="171"/>
  <c r="F120" i="171"/>
  <c r="F119" i="171"/>
  <c r="F118" i="171"/>
  <c r="F117" i="171"/>
  <c r="W114" i="171"/>
  <c r="V114" i="171"/>
  <c r="U114" i="171"/>
  <c r="T114" i="171"/>
  <c r="S114" i="171"/>
  <c r="R114" i="171"/>
  <c r="Q114" i="171"/>
  <c r="P114" i="171"/>
  <c r="L114" i="171"/>
  <c r="K114" i="171"/>
  <c r="J114" i="171"/>
  <c r="I114" i="171"/>
  <c r="G114" i="171"/>
  <c r="D114" i="171"/>
  <c r="F113" i="171"/>
  <c r="H113" i="171" s="1"/>
  <c r="F112" i="171"/>
  <c r="H112" i="171" s="1"/>
  <c r="W109" i="171"/>
  <c r="V109" i="171"/>
  <c r="U109" i="171"/>
  <c r="T109" i="171"/>
  <c r="S109" i="171"/>
  <c r="R109" i="171"/>
  <c r="Q109" i="171"/>
  <c r="P109" i="171"/>
  <c r="L109" i="171"/>
  <c r="K109" i="171"/>
  <c r="J109" i="171"/>
  <c r="I109" i="171"/>
  <c r="H109" i="171"/>
  <c r="G109" i="171"/>
  <c r="D109" i="171"/>
  <c r="F108" i="171"/>
  <c r="F107" i="171"/>
  <c r="F106" i="171"/>
  <c r="F105" i="171"/>
  <c r="F104" i="171"/>
  <c r="A104" i="171"/>
  <c r="A105" i="171" s="1"/>
  <c r="A106" i="171" s="1"/>
  <c r="A107" i="171" s="1"/>
  <c r="A108" i="171" s="1"/>
  <c r="A109" i="171" s="1"/>
  <c r="A110" i="171" s="1"/>
  <c r="A111" i="171" s="1"/>
  <c r="A112" i="171" s="1"/>
  <c r="A113" i="171" s="1"/>
  <c r="A114" i="171" s="1"/>
  <c r="A115" i="171" s="1"/>
  <c r="A116" i="171" s="1"/>
  <c r="A117" i="171" s="1"/>
  <c r="A118" i="171" s="1"/>
  <c r="A119" i="171" s="1"/>
  <c r="A120" i="171" s="1"/>
  <c r="A121" i="171" s="1"/>
  <c r="A122" i="171" s="1"/>
  <c r="A123" i="171" s="1"/>
  <c r="A124" i="171" s="1"/>
  <c r="A125" i="171" s="1"/>
  <c r="A126" i="171" s="1"/>
  <c r="A127" i="171" s="1"/>
  <c r="A128" i="171" s="1"/>
  <c r="A129" i="171" s="1"/>
  <c r="A130" i="171" s="1"/>
  <c r="A131" i="171" s="1"/>
  <c r="A132" i="171" s="1"/>
  <c r="A133" i="171" s="1"/>
  <c r="A134" i="171" s="1"/>
  <c r="A135" i="171" s="1"/>
  <c r="A136" i="171" s="1"/>
  <c r="A137" i="171" s="1"/>
  <c r="A138" i="171" s="1"/>
  <c r="A139" i="171" s="1"/>
  <c r="A140" i="171" s="1"/>
  <c r="A141" i="171" s="1"/>
  <c r="A142" i="171" s="1"/>
  <c r="A143" i="171" s="1"/>
  <c r="A144" i="171" s="1"/>
  <c r="A145" i="171" s="1"/>
  <c r="A146" i="171" s="1"/>
  <c r="A147" i="171" s="1"/>
  <c r="A148" i="171" s="1"/>
  <c r="F103" i="171"/>
  <c r="M102" i="171"/>
  <c r="M103" i="171" s="1"/>
  <c r="X103" i="171" s="1"/>
  <c r="Y103" i="171" s="1"/>
  <c r="A102" i="171"/>
  <c r="A103" i="171" s="1"/>
  <c r="A90" i="171"/>
  <c r="M90" i="171" s="1"/>
  <c r="M89" i="171"/>
  <c r="W85" i="171"/>
  <c r="W148" i="171" s="1"/>
  <c r="V85" i="171"/>
  <c r="U85" i="171"/>
  <c r="T85" i="171"/>
  <c r="T148" i="171" s="1"/>
  <c r="T195" i="171" s="1"/>
  <c r="S85" i="171"/>
  <c r="S148" i="171" s="1"/>
  <c r="S195" i="171" s="1"/>
  <c r="R85" i="171"/>
  <c r="Q85" i="171"/>
  <c r="Q148" i="171" s="1"/>
  <c r="Q195" i="171" s="1"/>
  <c r="P85" i="171"/>
  <c r="L85" i="171"/>
  <c r="K85" i="171"/>
  <c r="J85" i="171"/>
  <c r="I85" i="171"/>
  <c r="H85" i="171"/>
  <c r="G85" i="171"/>
  <c r="D85" i="171"/>
  <c r="F84" i="171"/>
  <c r="F83" i="171"/>
  <c r="F82" i="171"/>
  <c r="F81" i="171"/>
  <c r="F80" i="171"/>
  <c r="F79" i="171"/>
  <c r="F78" i="171"/>
  <c r="F77" i="171"/>
  <c r="F76" i="171"/>
  <c r="F75" i="171"/>
  <c r="F74" i="171"/>
  <c r="F73" i="171"/>
  <c r="F72" i="171"/>
  <c r="F71" i="171"/>
  <c r="F70" i="171"/>
  <c r="F69" i="171"/>
  <c r="F68" i="171"/>
  <c r="F67" i="171"/>
  <c r="F66" i="171"/>
  <c r="F65" i="171"/>
  <c r="F64" i="171"/>
  <c r="F63" i="171"/>
  <c r="F62" i="171"/>
  <c r="F61" i="171"/>
  <c r="F60" i="171"/>
  <c r="F59" i="171"/>
  <c r="F58" i="171"/>
  <c r="F57" i="171"/>
  <c r="F56" i="171"/>
  <c r="F55" i="171"/>
  <c r="F54" i="171"/>
  <c r="F53" i="171"/>
  <c r="F52" i="171"/>
  <c r="F51" i="171"/>
  <c r="F50" i="171"/>
  <c r="F49" i="171"/>
  <c r="F48" i="171"/>
  <c r="F47" i="171"/>
  <c r="F46" i="171"/>
  <c r="F45" i="171"/>
  <c r="F19" i="171" s="1"/>
  <c r="W39" i="171"/>
  <c r="V39" i="171"/>
  <c r="U39" i="171"/>
  <c r="T39" i="171"/>
  <c r="S39" i="171"/>
  <c r="R39" i="171"/>
  <c r="Q39" i="171"/>
  <c r="P39" i="171"/>
  <c r="L39" i="171"/>
  <c r="K39" i="171"/>
  <c r="J39" i="171"/>
  <c r="I39" i="171"/>
  <c r="G39" i="171"/>
  <c r="D39" i="171"/>
  <c r="W38" i="171"/>
  <c r="V38" i="171"/>
  <c r="U38" i="171"/>
  <c r="T38" i="171"/>
  <c r="S38" i="171"/>
  <c r="R38" i="171"/>
  <c r="Q38" i="171"/>
  <c r="P38" i="171"/>
  <c r="L38" i="171"/>
  <c r="K38" i="171"/>
  <c r="J38" i="171"/>
  <c r="I38" i="171"/>
  <c r="H38" i="171"/>
  <c r="G38" i="171"/>
  <c r="F38" i="171"/>
  <c r="D38" i="171"/>
  <c r="W37" i="171"/>
  <c r="V37" i="171"/>
  <c r="U37" i="171"/>
  <c r="T37" i="171"/>
  <c r="S37" i="171"/>
  <c r="R37" i="171"/>
  <c r="Q37" i="171"/>
  <c r="Q40" i="171" s="1"/>
  <c r="P37" i="171"/>
  <c r="P40" i="171" s="1"/>
  <c r="L37" i="171"/>
  <c r="K37" i="171"/>
  <c r="J37" i="171"/>
  <c r="I37" i="171"/>
  <c r="H37" i="171"/>
  <c r="G37" i="171"/>
  <c r="D37" i="171"/>
  <c r="D40" i="171" s="1"/>
  <c r="W36" i="171"/>
  <c r="V36" i="171"/>
  <c r="U36" i="171"/>
  <c r="T36" i="171"/>
  <c r="S36" i="171"/>
  <c r="R36" i="171"/>
  <c r="Q36" i="171"/>
  <c r="P36" i="171"/>
  <c r="L36" i="171"/>
  <c r="K36" i="171"/>
  <c r="J36" i="171"/>
  <c r="I36" i="171"/>
  <c r="H36" i="171"/>
  <c r="G36" i="171"/>
  <c r="G40" i="171" s="1"/>
  <c r="D36" i="171"/>
  <c r="W35" i="171"/>
  <c r="V35" i="171"/>
  <c r="U35" i="171"/>
  <c r="T35" i="171"/>
  <c r="S35" i="171"/>
  <c r="S40" i="171" s="1"/>
  <c r="R35" i="171"/>
  <c r="Q35" i="171"/>
  <c r="P35" i="171"/>
  <c r="L35" i="171"/>
  <c r="K35" i="171"/>
  <c r="J35" i="171"/>
  <c r="I35" i="171"/>
  <c r="H35" i="171"/>
  <c r="G35" i="171"/>
  <c r="D35" i="171"/>
  <c r="G32" i="171"/>
  <c r="W31" i="171"/>
  <c r="V31" i="171"/>
  <c r="U31" i="171"/>
  <c r="T31" i="171"/>
  <c r="S31" i="171"/>
  <c r="R31" i="171"/>
  <c r="Q31" i="171"/>
  <c r="P31" i="171"/>
  <c r="L31" i="171"/>
  <c r="K31" i="171"/>
  <c r="J31" i="171"/>
  <c r="I31" i="171"/>
  <c r="H31" i="171"/>
  <c r="G31" i="171"/>
  <c r="F31" i="171"/>
  <c r="D31" i="171"/>
  <c r="W30" i="171"/>
  <c r="V30" i="171"/>
  <c r="U30" i="171"/>
  <c r="T30" i="171"/>
  <c r="S30" i="171"/>
  <c r="R30" i="171"/>
  <c r="Q30" i="171"/>
  <c r="P30" i="171"/>
  <c r="L30" i="171"/>
  <c r="K30" i="171"/>
  <c r="J30" i="171"/>
  <c r="I30" i="171"/>
  <c r="H30" i="171"/>
  <c r="G30" i="171"/>
  <c r="F30" i="171"/>
  <c r="D30" i="171"/>
  <c r="W29" i="171"/>
  <c r="V29" i="171"/>
  <c r="U29" i="171"/>
  <c r="T29" i="171"/>
  <c r="S29" i="171"/>
  <c r="R29" i="171"/>
  <c r="Q29" i="171"/>
  <c r="P29" i="171"/>
  <c r="L29" i="171"/>
  <c r="K29" i="171"/>
  <c r="J29" i="171"/>
  <c r="I29" i="171"/>
  <c r="H29" i="171"/>
  <c r="G29" i="171"/>
  <c r="D29" i="171"/>
  <c r="W28" i="171"/>
  <c r="V28" i="171"/>
  <c r="U28" i="171"/>
  <c r="T28" i="171"/>
  <c r="S28" i="171"/>
  <c r="R28" i="171"/>
  <c r="Q28" i="171"/>
  <c r="P28" i="171"/>
  <c r="L28" i="171"/>
  <c r="K28" i="171"/>
  <c r="J28" i="171"/>
  <c r="I28" i="171"/>
  <c r="H28" i="171"/>
  <c r="G28" i="171"/>
  <c r="F28" i="171"/>
  <c r="D28" i="171"/>
  <c r="W27" i="171"/>
  <c r="V27" i="171"/>
  <c r="U27" i="171"/>
  <c r="T27" i="171"/>
  <c r="S27" i="171"/>
  <c r="S32" i="171" s="1"/>
  <c r="R27" i="171"/>
  <c r="Q27" i="171"/>
  <c r="P27" i="171"/>
  <c r="L27" i="171"/>
  <c r="K27" i="171"/>
  <c r="J27" i="171"/>
  <c r="I27" i="171"/>
  <c r="H27" i="171"/>
  <c r="G27" i="171"/>
  <c r="D27" i="171"/>
  <c r="K24" i="171"/>
  <c r="W23" i="171"/>
  <c r="V23" i="171"/>
  <c r="U23" i="171"/>
  <c r="T23" i="171"/>
  <c r="S23" i="171"/>
  <c r="R23" i="171"/>
  <c r="Q23" i="171"/>
  <c r="P23" i="171"/>
  <c r="L23" i="171"/>
  <c r="K23" i="171"/>
  <c r="J23" i="171"/>
  <c r="I23" i="171"/>
  <c r="H23" i="171"/>
  <c r="G23" i="171"/>
  <c r="F23" i="171"/>
  <c r="D23" i="171"/>
  <c r="W22" i="171"/>
  <c r="V22" i="171"/>
  <c r="U22" i="171"/>
  <c r="T22" i="171"/>
  <c r="T24" i="171" s="1"/>
  <c r="S22" i="171"/>
  <c r="R22" i="171"/>
  <c r="Q22" i="171"/>
  <c r="P22" i="171"/>
  <c r="L22" i="171"/>
  <c r="K22" i="171"/>
  <c r="J22" i="171"/>
  <c r="I22" i="171"/>
  <c r="G22" i="171"/>
  <c r="D22" i="171"/>
  <c r="W21" i="171"/>
  <c r="V21" i="171"/>
  <c r="U21" i="171"/>
  <c r="T21" i="171"/>
  <c r="S21" i="171"/>
  <c r="R21" i="171"/>
  <c r="Q21" i="171"/>
  <c r="P21" i="171"/>
  <c r="L21" i="171"/>
  <c r="K21" i="171"/>
  <c r="J21" i="171"/>
  <c r="I21" i="171"/>
  <c r="H21" i="171"/>
  <c r="G21" i="171"/>
  <c r="F21" i="171"/>
  <c r="D21" i="171"/>
  <c r="W20" i="171"/>
  <c r="V20" i="171"/>
  <c r="U20" i="171"/>
  <c r="T20" i="171"/>
  <c r="S20" i="171"/>
  <c r="R20" i="171"/>
  <c r="Q20" i="171"/>
  <c r="P20" i="171"/>
  <c r="L20" i="171"/>
  <c r="K20" i="171"/>
  <c r="J20" i="171"/>
  <c r="I20" i="171"/>
  <c r="G20" i="171"/>
  <c r="D20" i="171"/>
  <c r="W19" i="171"/>
  <c r="V19" i="171"/>
  <c r="V24" i="171" s="1"/>
  <c r="U19" i="171"/>
  <c r="T19" i="171"/>
  <c r="S19" i="171"/>
  <c r="R19" i="171"/>
  <c r="Q19" i="171"/>
  <c r="P19" i="171"/>
  <c r="L19" i="171"/>
  <c r="K19" i="171"/>
  <c r="J19" i="171"/>
  <c r="I19" i="171"/>
  <c r="H19" i="171"/>
  <c r="G19" i="171"/>
  <c r="D19" i="171"/>
  <c r="M17" i="171"/>
  <c r="M18" i="171" s="1"/>
  <c r="M19" i="171" s="1"/>
  <c r="A17" i="171"/>
  <c r="A18" i="171" s="1"/>
  <c r="A19" i="171" s="1"/>
  <c r="A20" i="171" s="1"/>
  <c r="A21" i="171" s="1"/>
  <c r="A22" i="171" s="1"/>
  <c r="A23" i="171" s="1"/>
  <c r="A24" i="171" s="1"/>
  <c r="A25" i="171" s="1"/>
  <c r="A26" i="171" s="1"/>
  <c r="A27" i="171" s="1"/>
  <c r="A28" i="171" s="1"/>
  <c r="A29" i="171" s="1"/>
  <c r="A30" i="171" s="1"/>
  <c r="A31" i="171" s="1"/>
  <c r="A32" i="171" s="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A53" i="171" s="1"/>
  <c r="A54" i="171" s="1"/>
  <c r="A55" i="171" s="1"/>
  <c r="A56" i="171" s="1"/>
  <c r="A57" i="171" s="1"/>
  <c r="A58" i="171" s="1"/>
  <c r="A59" i="171" s="1"/>
  <c r="A60" i="171" s="1"/>
  <c r="A61" i="171" s="1"/>
  <c r="A62" i="171" s="1"/>
  <c r="A63" i="171" s="1"/>
  <c r="A64" i="171" s="1"/>
  <c r="A65" i="171" s="1"/>
  <c r="A66" i="171" s="1"/>
  <c r="A67" i="171" s="1"/>
  <c r="A68" i="171" s="1"/>
  <c r="A69" i="171" s="1"/>
  <c r="A70" i="171" s="1"/>
  <c r="A71" i="171" s="1"/>
  <c r="A72" i="171" s="1"/>
  <c r="A73" i="171" s="1"/>
  <c r="A74" i="171" s="1"/>
  <c r="A75" i="171" s="1"/>
  <c r="A76" i="171" s="1"/>
  <c r="A77" i="171" s="1"/>
  <c r="A78" i="171" s="1"/>
  <c r="A79" i="171" s="1"/>
  <c r="A80" i="171" s="1"/>
  <c r="A81" i="171" s="1"/>
  <c r="A82" i="171" s="1"/>
  <c r="A83" i="171" s="1"/>
  <c r="A84" i="171" s="1"/>
  <c r="A85" i="171" s="1"/>
  <c r="M4" i="171"/>
  <c r="A4" i="171"/>
  <c r="M3" i="171"/>
  <c r="W194" i="170"/>
  <c r="V194" i="170"/>
  <c r="U194" i="170"/>
  <c r="T194" i="170"/>
  <c r="S194" i="170"/>
  <c r="R194" i="170"/>
  <c r="Q194" i="170"/>
  <c r="P194" i="170"/>
  <c r="L194" i="170"/>
  <c r="K194" i="170"/>
  <c r="J194" i="170"/>
  <c r="I194" i="170"/>
  <c r="G194" i="170"/>
  <c r="D194" i="170"/>
  <c r="F193" i="170"/>
  <c r="F39" i="170" s="1"/>
  <c r="W190" i="170"/>
  <c r="V190" i="170"/>
  <c r="U190" i="170"/>
  <c r="T190" i="170"/>
  <c r="S190" i="170"/>
  <c r="R190" i="170"/>
  <c r="Q190" i="170"/>
  <c r="P190" i="170"/>
  <c r="L190" i="170"/>
  <c r="K190" i="170"/>
  <c r="J190" i="170"/>
  <c r="I190" i="170"/>
  <c r="G190" i="170"/>
  <c r="D190" i="170"/>
  <c r="F189" i="170"/>
  <c r="F190" i="170" s="1"/>
  <c r="H188" i="170"/>
  <c r="F188" i="170"/>
  <c r="H187" i="170"/>
  <c r="F187" i="170"/>
  <c r="W184" i="170"/>
  <c r="V184" i="170"/>
  <c r="U184" i="170"/>
  <c r="T184" i="170"/>
  <c r="S184" i="170"/>
  <c r="R184" i="170"/>
  <c r="Q184" i="170"/>
  <c r="P184" i="170"/>
  <c r="L184" i="170"/>
  <c r="K184" i="170"/>
  <c r="J184" i="170"/>
  <c r="I184" i="170"/>
  <c r="G184" i="170"/>
  <c r="D184" i="170"/>
  <c r="F183" i="170"/>
  <c r="H183" i="170" s="1"/>
  <c r="H182" i="170"/>
  <c r="F182" i="170"/>
  <c r="H181" i="170"/>
  <c r="F181" i="170"/>
  <c r="W178" i="170"/>
  <c r="V178" i="170"/>
  <c r="U178" i="170"/>
  <c r="T178" i="170"/>
  <c r="S178" i="170"/>
  <c r="R178" i="170"/>
  <c r="Q178" i="170"/>
  <c r="P178" i="170"/>
  <c r="L178" i="170"/>
  <c r="K178" i="170"/>
  <c r="J178" i="170"/>
  <c r="I178" i="170"/>
  <c r="G178" i="170"/>
  <c r="D178" i="170"/>
  <c r="F177" i="170"/>
  <c r="H177" i="170" s="1"/>
  <c r="F176" i="170"/>
  <c r="H176" i="170" s="1"/>
  <c r="F175" i="170"/>
  <c r="F174" i="170"/>
  <c r="H174" i="170" s="1"/>
  <c r="W171" i="170"/>
  <c r="V171" i="170"/>
  <c r="U171" i="170"/>
  <c r="T171" i="170"/>
  <c r="S171" i="170"/>
  <c r="R171" i="170"/>
  <c r="Q171" i="170"/>
  <c r="P171" i="170"/>
  <c r="L171" i="170"/>
  <c r="K171" i="170"/>
  <c r="J171" i="170"/>
  <c r="I171" i="170"/>
  <c r="G171" i="170"/>
  <c r="D171" i="170"/>
  <c r="F170" i="170"/>
  <c r="F169" i="170"/>
  <c r="H169" i="170" s="1"/>
  <c r="F168" i="170"/>
  <c r="F22" i="170" s="1"/>
  <c r="H167" i="170"/>
  <c r="F167" i="170"/>
  <c r="M166" i="170"/>
  <c r="M167" i="170" s="1"/>
  <c r="M168" i="170" s="1"/>
  <c r="M169" i="170" s="1"/>
  <c r="M170" i="170" s="1"/>
  <c r="M171" i="170" s="1"/>
  <c r="M172" i="170" s="1"/>
  <c r="M173" i="170" s="1"/>
  <c r="M174" i="170" s="1"/>
  <c r="A166" i="170"/>
  <c r="A167" i="170" s="1"/>
  <c r="A168" i="170" s="1"/>
  <c r="A169" i="170" s="1"/>
  <c r="A170" i="170" s="1"/>
  <c r="A171" i="170" s="1"/>
  <c r="A172" i="170" s="1"/>
  <c r="A173" i="170" s="1"/>
  <c r="A174" i="170" s="1"/>
  <c r="A175" i="170" s="1"/>
  <c r="A176" i="170" s="1"/>
  <c r="A177" i="170" s="1"/>
  <c r="A178" i="170" s="1"/>
  <c r="A179" i="170" s="1"/>
  <c r="A180" i="170" s="1"/>
  <c r="A181" i="170" s="1"/>
  <c r="A182" i="170" s="1"/>
  <c r="A183" i="170" s="1"/>
  <c r="A184" i="170" s="1"/>
  <c r="A185" i="170" s="1"/>
  <c r="A186" i="170" s="1"/>
  <c r="A187" i="170" s="1"/>
  <c r="A188" i="170" s="1"/>
  <c r="A189" i="170" s="1"/>
  <c r="A190" i="170" s="1"/>
  <c r="A191" i="170" s="1"/>
  <c r="A192" i="170" s="1"/>
  <c r="A193" i="170" s="1"/>
  <c r="A194" i="170" s="1"/>
  <c r="A195" i="170" s="1"/>
  <c r="A196" i="170" s="1"/>
  <c r="A153" i="170"/>
  <c r="M152" i="170"/>
  <c r="A151" i="170"/>
  <c r="A150" i="170"/>
  <c r="W146" i="170"/>
  <c r="V146" i="170"/>
  <c r="U146" i="170"/>
  <c r="T146" i="170"/>
  <c r="S146" i="170"/>
  <c r="R146" i="170"/>
  <c r="R148" i="170" s="1"/>
  <c r="R196" i="170" s="1"/>
  <c r="Q146" i="170"/>
  <c r="P146" i="170"/>
  <c r="L146" i="170"/>
  <c r="K146" i="170"/>
  <c r="J146" i="170"/>
  <c r="I146" i="170"/>
  <c r="H146" i="170"/>
  <c r="G146" i="170"/>
  <c r="D146" i="170"/>
  <c r="F145" i="170"/>
  <c r="F144" i="170"/>
  <c r="F143" i="170"/>
  <c r="F142" i="170"/>
  <c r="F141" i="170"/>
  <c r="F140" i="170"/>
  <c r="F139" i="170"/>
  <c r="F138" i="170"/>
  <c r="F137" i="170"/>
  <c r="F136" i="170"/>
  <c r="F135" i="170"/>
  <c r="F134" i="170"/>
  <c r="F133" i="170"/>
  <c r="F132" i="170"/>
  <c r="F131" i="170"/>
  <c r="F130" i="170"/>
  <c r="F129" i="170"/>
  <c r="F128" i="170"/>
  <c r="F127" i="170"/>
  <c r="F126" i="170"/>
  <c r="F125" i="170"/>
  <c r="F124" i="170"/>
  <c r="F123" i="170"/>
  <c r="F122" i="170"/>
  <c r="F121" i="170"/>
  <c r="F120" i="170"/>
  <c r="F119" i="170"/>
  <c r="F118" i="170"/>
  <c r="F117" i="170"/>
  <c r="W114" i="170"/>
  <c r="V114" i="170"/>
  <c r="U114" i="170"/>
  <c r="T114" i="170"/>
  <c r="S114" i="170"/>
  <c r="R114" i="170"/>
  <c r="Q114" i="170"/>
  <c r="P114" i="170"/>
  <c r="L114" i="170"/>
  <c r="K114" i="170"/>
  <c r="J114" i="170"/>
  <c r="I114" i="170"/>
  <c r="G114" i="170"/>
  <c r="F114" i="170"/>
  <c r="D114" i="170"/>
  <c r="F113" i="170"/>
  <c r="H113" i="170" s="1"/>
  <c r="H112" i="170"/>
  <c r="F112" i="170"/>
  <c r="W109" i="170"/>
  <c r="V109" i="170"/>
  <c r="U109" i="170"/>
  <c r="T109" i="170"/>
  <c r="T148" i="170" s="1"/>
  <c r="S109" i="170"/>
  <c r="R109" i="170"/>
  <c r="Q109" i="170"/>
  <c r="P109" i="170"/>
  <c r="L109" i="170"/>
  <c r="K109" i="170"/>
  <c r="J109" i="170"/>
  <c r="J148" i="170" s="1"/>
  <c r="I109" i="170"/>
  <c r="H109" i="170"/>
  <c r="G109" i="170"/>
  <c r="D109" i="170"/>
  <c r="F108" i="170"/>
  <c r="F36" i="170" s="1"/>
  <c r="F107" i="170"/>
  <c r="F106" i="170"/>
  <c r="F105" i="170"/>
  <c r="F104" i="170"/>
  <c r="A104" i="170"/>
  <c r="A105" i="170" s="1"/>
  <c r="M103" i="170"/>
  <c r="F103" i="170"/>
  <c r="A103" i="170"/>
  <c r="A90" i="170"/>
  <c r="M89" i="170"/>
  <c r="A88" i="170"/>
  <c r="M87" i="170"/>
  <c r="A87" i="170"/>
  <c r="W85" i="170"/>
  <c r="V85" i="170"/>
  <c r="V148" i="170" s="1"/>
  <c r="U85" i="170"/>
  <c r="T85" i="170"/>
  <c r="S85" i="170"/>
  <c r="R85" i="170"/>
  <c r="Q85" i="170"/>
  <c r="P85" i="170"/>
  <c r="L85" i="170"/>
  <c r="K85" i="170"/>
  <c r="J85" i="170"/>
  <c r="I85" i="170"/>
  <c r="I148" i="170" s="1"/>
  <c r="H85" i="170"/>
  <c r="H148" i="170" s="1"/>
  <c r="G85" i="170"/>
  <c r="D85" i="170"/>
  <c r="D148" i="170" s="1"/>
  <c r="F84" i="170"/>
  <c r="F83" i="170"/>
  <c r="F82" i="170"/>
  <c r="F81" i="170"/>
  <c r="F80" i="170"/>
  <c r="F79" i="170"/>
  <c r="F78" i="170"/>
  <c r="F77" i="170"/>
  <c r="F76" i="170"/>
  <c r="F75" i="170"/>
  <c r="F74" i="170"/>
  <c r="F73" i="170"/>
  <c r="F72" i="170"/>
  <c r="F71" i="170"/>
  <c r="F70" i="170"/>
  <c r="F69" i="170"/>
  <c r="F68" i="170"/>
  <c r="F67" i="170"/>
  <c r="F66" i="170"/>
  <c r="F65" i="170"/>
  <c r="F64" i="170"/>
  <c r="F63" i="170"/>
  <c r="F62" i="170"/>
  <c r="F61" i="170"/>
  <c r="F60" i="170"/>
  <c r="F59" i="170"/>
  <c r="F58" i="170"/>
  <c r="F57" i="170"/>
  <c r="F56" i="170"/>
  <c r="F55" i="170"/>
  <c r="F54" i="170"/>
  <c r="F53" i="170"/>
  <c r="F52" i="170"/>
  <c r="F51" i="170"/>
  <c r="F50" i="170"/>
  <c r="F49" i="170"/>
  <c r="F48" i="170"/>
  <c r="F47" i="170"/>
  <c r="F46" i="170"/>
  <c r="F45" i="170"/>
  <c r="W39" i="170"/>
  <c r="V39" i="170"/>
  <c r="U39" i="170"/>
  <c r="T39" i="170"/>
  <c r="S39" i="170"/>
  <c r="R39" i="170"/>
  <c r="Q39" i="170"/>
  <c r="P39" i="170"/>
  <c r="L39" i="170"/>
  <c r="K39" i="170"/>
  <c r="J39" i="170"/>
  <c r="I39" i="170"/>
  <c r="G39" i="170"/>
  <c r="D39" i="170"/>
  <c r="W38" i="170"/>
  <c r="V38" i="170"/>
  <c r="U38" i="170"/>
  <c r="T38" i="170"/>
  <c r="S38" i="170"/>
  <c r="R38" i="170"/>
  <c r="Q38" i="170"/>
  <c r="P38" i="170"/>
  <c r="L38" i="170"/>
  <c r="K38" i="170"/>
  <c r="J38" i="170"/>
  <c r="I38" i="170"/>
  <c r="H38" i="170"/>
  <c r="G38" i="170"/>
  <c r="F38" i="170"/>
  <c r="D38" i="170"/>
  <c r="W37" i="170"/>
  <c r="V37" i="170"/>
  <c r="U37" i="170"/>
  <c r="T37" i="170"/>
  <c r="S37" i="170"/>
  <c r="R37" i="170"/>
  <c r="Q37" i="170"/>
  <c r="P37" i="170"/>
  <c r="L37" i="170"/>
  <c r="K37" i="170"/>
  <c r="J37" i="170"/>
  <c r="I37" i="170"/>
  <c r="H37" i="170"/>
  <c r="G37" i="170"/>
  <c r="D37" i="170"/>
  <c r="W36" i="170"/>
  <c r="V36" i="170"/>
  <c r="U36" i="170"/>
  <c r="T36" i="170"/>
  <c r="S36" i="170"/>
  <c r="R36" i="170"/>
  <c r="Q36" i="170"/>
  <c r="P36" i="170"/>
  <c r="L36" i="170"/>
  <c r="K36" i="170"/>
  <c r="J36" i="170"/>
  <c r="I36" i="170"/>
  <c r="H36" i="170"/>
  <c r="G36" i="170"/>
  <c r="D36" i="170"/>
  <c r="W35" i="170"/>
  <c r="V35" i="170"/>
  <c r="U35" i="170"/>
  <c r="T35" i="170"/>
  <c r="T40" i="170" s="1"/>
  <c r="S35" i="170"/>
  <c r="R35" i="170"/>
  <c r="Q35" i="170"/>
  <c r="P35" i="170"/>
  <c r="L35" i="170"/>
  <c r="K35" i="170"/>
  <c r="K40" i="170" s="1"/>
  <c r="J35" i="170"/>
  <c r="I35" i="170"/>
  <c r="H35" i="170"/>
  <c r="G35" i="170"/>
  <c r="D35" i="170"/>
  <c r="W31" i="170"/>
  <c r="V31" i="170"/>
  <c r="U31" i="170"/>
  <c r="T31" i="170"/>
  <c r="S31" i="170"/>
  <c r="R31" i="170"/>
  <c r="Q31" i="170"/>
  <c r="P31" i="170"/>
  <c r="L31" i="170"/>
  <c r="K31" i="170"/>
  <c r="J31" i="170"/>
  <c r="I31" i="170"/>
  <c r="H31" i="170"/>
  <c r="G31" i="170"/>
  <c r="F31" i="170"/>
  <c r="D31" i="170"/>
  <c r="W30" i="170"/>
  <c r="V30" i="170"/>
  <c r="U30" i="170"/>
  <c r="T30" i="170"/>
  <c r="S30" i="170"/>
  <c r="R30" i="170"/>
  <c r="Q30" i="170"/>
  <c r="P30" i="170"/>
  <c r="L30" i="170"/>
  <c r="K30" i="170"/>
  <c r="J30" i="170"/>
  <c r="I30" i="170"/>
  <c r="H30" i="170"/>
  <c r="G30" i="170"/>
  <c r="F30" i="170"/>
  <c r="D30" i="170"/>
  <c r="W29" i="170"/>
  <c r="V29" i="170"/>
  <c r="U29" i="170"/>
  <c r="T29" i="170"/>
  <c r="S29" i="170"/>
  <c r="R29" i="170"/>
  <c r="Q29" i="170"/>
  <c r="P29" i="170"/>
  <c r="L29" i="170"/>
  <c r="K29" i="170"/>
  <c r="J29" i="170"/>
  <c r="I29" i="170"/>
  <c r="H29" i="170"/>
  <c r="G29" i="170"/>
  <c r="D29" i="170"/>
  <c r="W28" i="170"/>
  <c r="V28" i="170"/>
  <c r="U28" i="170"/>
  <c r="T28" i="170"/>
  <c r="S28" i="170"/>
  <c r="R28" i="170"/>
  <c r="Q28" i="170"/>
  <c r="Q32" i="170" s="1"/>
  <c r="P28" i="170"/>
  <c r="L28" i="170"/>
  <c r="K28" i="170"/>
  <c r="J28" i="170"/>
  <c r="I28" i="170"/>
  <c r="H28" i="170"/>
  <c r="G28" i="170"/>
  <c r="F28" i="170"/>
  <c r="D28" i="170"/>
  <c r="W27" i="170"/>
  <c r="V27" i="170"/>
  <c r="V32" i="170" s="1"/>
  <c r="U27" i="170"/>
  <c r="U32" i="170" s="1"/>
  <c r="T27" i="170"/>
  <c r="S27" i="170"/>
  <c r="R27" i="170"/>
  <c r="Q27" i="170"/>
  <c r="P27" i="170"/>
  <c r="L27" i="170"/>
  <c r="K27" i="170"/>
  <c r="J27" i="170"/>
  <c r="J32" i="170" s="1"/>
  <c r="I27" i="170"/>
  <c r="H27" i="170"/>
  <c r="G27" i="170"/>
  <c r="D27" i="170"/>
  <c r="I24" i="170"/>
  <c r="W23" i="170"/>
  <c r="V23" i="170"/>
  <c r="U23" i="170"/>
  <c r="T23" i="170"/>
  <c r="S23" i="170"/>
  <c r="R23" i="170"/>
  <c r="Q23" i="170"/>
  <c r="P23" i="170"/>
  <c r="L23" i="170"/>
  <c r="K23" i="170"/>
  <c r="J23" i="170"/>
  <c r="I23" i="170"/>
  <c r="H23" i="170"/>
  <c r="G23" i="170"/>
  <c r="F23" i="170"/>
  <c r="D23" i="170"/>
  <c r="W22" i="170"/>
  <c r="V22" i="170"/>
  <c r="U22" i="170"/>
  <c r="T22" i="170"/>
  <c r="S22" i="170"/>
  <c r="R22" i="170"/>
  <c r="Q22" i="170"/>
  <c r="P22" i="170"/>
  <c r="L22" i="170"/>
  <c r="K22" i="170"/>
  <c r="J22" i="170"/>
  <c r="I22" i="170"/>
  <c r="G22" i="170"/>
  <c r="D22" i="170"/>
  <c r="W21" i="170"/>
  <c r="V21" i="170"/>
  <c r="U21" i="170"/>
  <c r="T21" i="170"/>
  <c r="S21" i="170"/>
  <c r="R21" i="170"/>
  <c r="Q21" i="170"/>
  <c r="P21" i="170"/>
  <c r="L21" i="170"/>
  <c r="K21" i="170"/>
  <c r="J21" i="170"/>
  <c r="I21" i="170"/>
  <c r="H21" i="170"/>
  <c r="G21" i="170"/>
  <c r="F21" i="170"/>
  <c r="D21" i="170"/>
  <c r="W20" i="170"/>
  <c r="V20" i="170"/>
  <c r="U20" i="170"/>
  <c r="T20" i="170"/>
  <c r="S20" i="170"/>
  <c r="R20" i="170"/>
  <c r="Q20" i="170"/>
  <c r="P20" i="170"/>
  <c r="L20" i="170"/>
  <c r="K20" i="170"/>
  <c r="J20" i="170"/>
  <c r="I20" i="170"/>
  <c r="H20" i="170"/>
  <c r="G20" i="170"/>
  <c r="F20" i="170"/>
  <c r="D20" i="170"/>
  <c r="W19" i="170"/>
  <c r="W24" i="170" s="1"/>
  <c r="V19" i="170"/>
  <c r="U19" i="170"/>
  <c r="U24" i="170" s="1"/>
  <c r="T19" i="170"/>
  <c r="T24" i="170" s="1"/>
  <c r="S19" i="170"/>
  <c r="R19" i="170"/>
  <c r="Q19" i="170"/>
  <c r="P19" i="170"/>
  <c r="L19" i="170"/>
  <c r="K19" i="170"/>
  <c r="J19" i="170"/>
  <c r="I19" i="170"/>
  <c r="H19" i="170"/>
  <c r="G19" i="170"/>
  <c r="D19" i="170"/>
  <c r="M17" i="170"/>
  <c r="M18" i="170" s="1"/>
  <c r="M19" i="170" s="1"/>
  <c r="M20" i="170" s="1"/>
  <c r="M21" i="170" s="1"/>
  <c r="M22" i="170" s="1"/>
  <c r="M23" i="170" s="1"/>
  <c r="M24" i="170" s="1"/>
  <c r="M25" i="170" s="1"/>
  <c r="M26" i="170" s="1"/>
  <c r="M27" i="170" s="1"/>
  <c r="M28" i="170" s="1"/>
  <c r="M29" i="170" s="1"/>
  <c r="M30" i="170" s="1"/>
  <c r="M31" i="170" s="1"/>
  <c r="M32" i="170" s="1"/>
  <c r="M33" i="170" s="1"/>
  <c r="M34" i="170" s="1"/>
  <c r="M35" i="170" s="1"/>
  <c r="M36" i="170" s="1"/>
  <c r="M37" i="170" s="1"/>
  <c r="M38" i="170" s="1"/>
  <c r="M39" i="170" s="1"/>
  <c r="M40" i="170" s="1"/>
  <c r="M41" i="170" s="1"/>
  <c r="M42" i="170" s="1"/>
  <c r="M43" i="170" s="1"/>
  <c r="M44" i="170" s="1"/>
  <c r="M45" i="170" s="1"/>
  <c r="A17" i="170"/>
  <c r="A18" i="170" s="1"/>
  <c r="A19" i="170" s="1"/>
  <c r="A20" i="170" s="1"/>
  <c r="A21" i="170" s="1"/>
  <c r="A22" i="170" s="1"/>
  <c r="A23" i="170" s="1"/>
  <c r="A24" i="170" s="1"/>
  <c r="A25" i="170" s="1"/>
  <c r="A26" i="170" s="1"/>
  <c r="A27" i="170" s="1"/>
  <c r="A28" i="170" s="1"/>
  <c r="A29" i="170" s="1"/>
  <c r="A30" i="170" s="1"/>
  <c r="A31" i="170" s="1"/>
  <c r="A32" i="170" s="1"/>
  <c r="A33" i="170" s="1"/>
  <c r="A34" i="170" s="1"/>
  <c r="A35" i="170" s="1"/>
  <c r="A36" i="170" s="1"/>
  <c r="A37" i="170" s="1"/>
  <c r="A38" i="170" s="1"/>
  <c r="A39" i="170" s="1"/>
  <c r="A40" i="170" s="1"/>
  <c r="A41" i="170" s="1"/>
  <c r="A42" i="170" s="1"/>
  <c r="A43" i="170" s="1"/>
  <c r="A44" i="170" s="1"/>
  <c r="A45" i="170" s="1"/>
  <c r="A46" i="170" s="1"/>
  <c r="A47" i="170" s="1"/>
  <c r="A48" i="170" s="1"/>
  <c r="A49" i="170" s="1"/>
  <c r="A50" i="170" s="1"/>
  <c r="A51" i="170" s="1"/>
  <c r="A52" i="170" s="1"/>
  <c r="A53" i="170" s="1"/>
  <c r="A54" i="170" s="1"/>
  <c r="A55" i="170" s="1"/>
  <c r="A56" i="170" s="1"/>
  <c r="A57" i="170" s="1"/>
  <c r="A58" i="170" s="1"/>
  <c r="A59" i="170" s="1"/>
  <c r="A60" i="170" s="1"/>
  <c r="A61" i="170" s="1"/>
  <c r="A62" i="170" s="1"/>
  <c r="A63" i="170" s="1"/>
  <c r="A64" i="170" s="1"/>
  <c r="A65" i="170" s="1"/>
  <c r="A66" i="170" s="1"/>
  <c r="A67" i="170" s="1"/>
  <c r="A68" i="170" s="1"/>
  <c r="A69" i="170" s="1"/>
  <c r="A70" i="170" s="1"/>
  <c r="A71" i="170" s="1"/>
  <c r="A72" i="170" s="1"/>
  <c r="A73" i="170" s="1"/>
  <c r="A74" i="170" s="1"/>
  <c r="A75" i="170" s="1"/>
  <c r="A76" i="170" s="1"/>
  <c r="A77" i="170" s="1"/>
  <c r="A78" i="170" s="1"/>
  <c r="A79" i="170" s="1"/>
  <c r="A80" i="170" s="1"/>
  <c r="A81" i="170" s="1"/>
  <c r="A82" i="170" s="1"/>
  <c r="A83" i="170" s="1"/>
  <c r="A84" i="170" s="1"/>
  <c r="A85" i="170" s="1"/>
  <c r="M4" i="170"/>
  <c r="A4" i="170"/>
  <c r="M90" i="170" s="1"/>
  <c r="M3" i="170"/>
  <c r="A2" i="170"/>
  <c r="M88" i="170" s="1"/>
  <c r="M1" i="170"/>
  <c r="A1" i="170"/>
  <c r="M150" i="170" s="1"/>
  <c r="H43" i="49"/>
  <c r="H44" i="49" s="1"/>
  <c r="H45" i="49" s="1"/>
  <c r="H46" i="49" s="1"/>
  <c r="H47" i="49" s="1"/>
  <c r="H48" i="49" s="1"/>
  <c r="H49" i="49" s="1"/>
  <c r="H50" i="49" s="1"/>
  <c r="H51" i="49" s="1"/>
  <c r="H52" i="49" s="1"/>
  <c r="H53" i="49" s="1"/>
  <c r="H54" i="49" s="1"/>
  <c r="F69" i="49"/>
  <c r="D69" i="49"/>
  <c r="G68" i="49"/>
  <c r="E68" i="49"/>
  <c r="G67" i="49"/>
  <c r="E67" i="49"/>
  <c r="G66" i="49"/>
  <c r="E66" i="49"/>
  <c r="G65" i="49"/>
  <c r="E65" i="49"/>
  <c r="G64" i="49"/>
  <c r="E64" i="49"/>
  <c r="G63" i="49"/>
  <c r="E63" i="49"/>
  <c r="G62" i="49"/>
  <c r="E62" i="49"/>
  <c r="G61" i="49"/>
  <c r="E61" i="49"/>
  <c r="G60" i="49"/>
  <c r="E60" i="49"/>
  <c r="G59" i="49"/>
  <c r="E59" i="49"/>
  <c r="G58" i="49"/>
  <c r="E58" i="49"/>
  <c r="G57" i="49"/>
  <c r="E57" i="49"/>
  <c r="F55" i="49"/>
  <c r="D55" i="49"/>
  <c r="G54" i="49"/>
  <c r="E54" i="49"/>
  <c r="G53" i="49"/>
  <c r="E53" i="49"/>
  <c r="G52" i="49"/>
  <c r="E52" i="49"/>
  <c r="G51" i="49"/>
  <c r="E51" i="49"/>
  <c r="G50" i="49"/>
  <c r="E50" i="49"/>
  <c r="G49" i="49"/>
  <c r="E49" i="49"/>
  <c r="G48" i="49"/>
  <c r="E48" i="49"/>
  <c r="G47" i="49"/>
  <c r="E47" i="49"/>
  <c r="G46" i="49"/>
  <c r="E46" i="49"/>
  <c r="G45" i="49"/>
  <c r="E45" i="49"/>
  <c r="G44" i="49"/>
  <c r="E44" i="49"/>
  <c r="G43" i="49"/>
  <c r="E43" i="49"/>
  <c r="G40" i="49"/>
  <c r="E40" i="49"/>
  <c r="J39" i="49"/>
  <c r="G38" i="49"/>
  <c r="E38" i="49"/>
  <c r="J37" i="49"/>
  <c r="G36" i="49"/>
  <c r="E36" i="49"/>
  <c r="J35" i="49"/>
  <c r="G34" i="49"/>
  <c r="E34" i="49"/>
  <c r="J33" i="49"/>
  <c r="G32" i="49"/>
  <c r="E32" i="49"/>
  <c r="J31" i="49"/>
  <c r="G30" i="49"/>
  <c r="E30" i="49"/>
  <c r="J29" i="49"/>
  <c r="G28" i="49"/>
  <c r="E28" i="49"/>
  <c r="J27" i="49"/>
  <c r="G26" i="49"/>
  <c r="E26" i="49"/>
  <c r="J25" i="49"/>
  <c r="G24" i="49"/>
  <c r="E24" i="49"/>
  <c r="J23" i="49"/>
  <c r="G22" i="49"/>
  <c r="E22" i="49"/>
  <c r="J21" i="49"/>
  <c r="G20" i="49"/>
  <c r="E20" i="49"/>
  <c r="J19" i="49"/>
  <c r="F19" i="49"/>
  <c r="D19" i="49"/>
  <c r="D21" i="49" s="1"/>
  <c r="H18" i="49"/>
  <c r="H20" i="49" s="1"/>
  <c r="H22" i="49" s="1"/>
  <c r="H24" i="49" s="1"/>
  <c r="H26" i="49" s="1"/>
  <c r="H28" i="49" s="1"/>
  <c r="H30" i="49" s="1"/>
  <c r="H32" i="49" s="1"/>
  <c r="H34" i="49" s="1"/>
  <c r="H36" i="49" s="1"/>
  <c r="H38" i="49" s="1"/>
  <c r="H40" i="49" s="1"/>
  <c r="G18" i="49"/>
  <c r="E18" i="49"/>
  <c r="A18" i="49"/>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G17" i="49"/>
  <c r="E17" i="49"/>
  <c r="J8" i="49"/>
  <c r="A7" i="49"/>
  <c r="A4" i="49"/>
  <c r="A2" i="49"/>
  <c r="A1" i="49"/>
  <c r="E29" i="222"/>
  <c r="E31" i="222" s="1"/>
  <c r="E33" i="222" s="1"/>
  <c r="E35" i="222" s="1"/>
  <c r="E27" i="222"/>
  <c r="E23" i="222"/>
  <c r="E25" i="222" s="1"/>
  <c r="A19" i="222"/>
  <c r="A21" i="222" s="1"/>
  <c r="A23" i="222" s="1"/>
  <c r="A25" i="222" s="1"/>
  <c r="A27" i="222" s="1"/>
  <c r="A29" i="222" s="1"/>
  <c r="A31" i="222" s="1"/>
  <c r="A33" i="222" s="1"/>
  <c r="A35" i="222" s="1"/>
  <c r="A37" i="222" s="1"/>
  <c r="F8" i="222"/>
  <c r="A4" i="222"/>
  <c r="F50" i="155"/>
  <c r="G50" i="155" s="1"/>
  <c r="G49" i="155"/>
  <c r="F49" i="155"/>
  <c r="F48" i="155"/>
  <c r="G48" i="155" s="1"/>
  <c r="I38" i="155"/>
  <c r="D23" i="155"/>
  <c r="F23" i="155" s="1"/>
  <c r="G23" i="155" s="1"/>
  <c r="D22" i="155"/>
  <c r="F22" i="155" s="1"/>
  <c r="G22" i="155" s="1"/>
  <c r="D20" i="155"/>
  <c r="F20" i="155" s="1"/>
  <c r="G20" i="155" s="1"/>
  <c r="F19" i="155"/>
  <c r="G19" i="155" s="1"/>
  <c r="H18" i="155"/>
  <c r="H17" i="155"/>
  <c r="J17" i="155" s="1"/>
  <c r="F17" i="155"/>
  <c r="G17" i="155" s="1"/>
  <c r="J16" i="155"/>
  <c r="A16" i="155"/>
  <c r="A17" i="155" s="1"/>
  <c r="A18" i="155" s="1"/>
  <c r="A19" i="155" s="1"/>
  <c r="A20" i="155" s="1"/>
  <c r="A21" i="155" s="1"/>
  <c r="A22" i="155" s="1"/>
  <c r="A23" i="155" s="1"/>
  <c r="A24" i="155" s="1"/>
  <c r="A25" i="155" s="1"/>
  <c r="A26" i="155" s="1"/>
  <c r="A27" i="155" s="1"/>
  <c r="A29" i="155" s="1"/>
  <c r="A31" i="155" s="1"/>
  <c r="A32" i="155" s="1"/>
  <c r="A33" i="155" s="1"/>
  <c r="A34" i="155" s="1"/>
  <c r="A36" i="155" s="1"/>
  <c r="A37" i="155" s="1"/>
  <c r="A38" i="155" s="1"/>
  <c r="A39" i="155" s="1"/>
  <c r="A41" i="155" s="1"/>
  <c r="A42" i="155" s="1"/>
  <c r="A43" i="155" s="1"/>
  <c r="A44" i="155" s="1"/>
  <c r="A46" i="155" s="1"/>
  <c r="A48" i="155" s="1"/>
  <c r="A49" i="155" s="1"/>
  <c r="A50" i="155" s="1"/>
  <c r="A52" i="155" s="1"/>
  <c r="A54" i="155" s="1"/>
  <c r="K8" i="155"/>
  <c r="A4" i="155"/>
  <c r="F50" i="154"/>
  <c r="G50" i="154" s="1"/>
  <c r="F49" i="154"/>
  <c r="G49" i="154" s="1"/>
  <c r="F48" i="154"/>
  <c r="G48" i="154" s="1"/>
  <c r="I38" i="154"/>
  <c r="D26" i="154"/>
  <c r="F26" i="154" s="1"/>
  <c r="G26" i="154" s="1"/>
  <c r="D25" i="154"/>
  <c r="F25" i="154" s="1"/>
  <c r="G25" i="154" s="1"/>
  <c r="F24" i="154"/>
  <c r="G24" i="154" s="1"/>
  <c r="D24" i="154"/>
  <c r="D23" i="154"/>
  <c r="F23" i="154" s="1"/>
  <c r="G23" i="154" s="1"/>
  <c r="D22" i="154"/>
  <c r="F22" i="154" s="1"/>
  <c r="G22" i="154" s="1"/>
  <c r="F20" i="154"/>
  <c r="G20" i="154" s="1"/>
  <c r="D20" i="154"/>
  <c r="D19" i="154"/>
  <c r="F19" i="154" s="1"/>
  <c r="G19" i="154" s="1"/>
  <c r="D18" i="154"/>
  <c r="F18" i="154" s="1"/>
  <c r="G18" i="154" s="1"/>
  <c r="H17" i="154"/>
  <c r="F17" i="154"/>
  <c r="G17" i="154" s="1"/>
  <c r="J16" i="154"/>
  <c r="A16" i="154"/>
  <c r="A17" i="154" s="1"/>
  <c r="A18" i="154" s="1"/>
  <c r="A19" i="154" s="1"/>
  <c r="A20" i="154" s="1"/>
  <c r="A21" i="154" s="1"/>
  <c r="A22" i="154" s="1"/>
  <c r="A23" i="154" s="1"/>
  <c r="A24" i="154" s="1"/>
  <c r="A25" i="154" s="1"/>
  <c r="A26" i="154" s="1"/>
  <c r="A27" i="154" s="1"/>
  <c r="A29" i="154" s="1"/>
  <c r="A31" i="154" s="1"/>
  <c r="A32" i="154" s="1"/>
  <c r="A33" i="154" s="1"/>
  <c r="A34" i="154" s="1"/>
  <c r="A36" i="154" s="1"/>
  <c r="A37" i="154" s="1"/>
  <c r="A38" i="154" s="1"/>
  <c r="A39" i="154" s="1"/>
  <c r="A41" i="154" s="1"/>
  <c r="A42" i="154" s="1"/>
  <c r="A43" i="154" s="1"/>
  <c r="A44" i="154" s="1"/>
  <c r="A46" i="154" s="1"/>
  <c r="A48" i="154" s="1"/>
  <c r="A49" i="154" s="1"/>
  <c r="A50" i="154" s="1"/>
  <c r="A52" i="154" s="1"/>
  <c r="A54" i="154" s="1"/>
  <c r="K8" i="154"/>
  <c r="A4" i="154"/>
  <c r="A2" i="154"/>
  <c r="A2" i="155" s="1"/>
  <c r="A1" i="154"/>
  <c r="A1" i="222" s="1"/>
  <c r="D28" i="19"/>
  <c r="D18" i="34" s="1"/>
  <c r="D21" i="19"/>
  <c r="D22" i="19" s="1"/>
  <c r="D23" i="19" s="1"/>
  <c r="D24" i="19" s="1"/>
  <c r="D25" i="19" s="1"/>
  <c r="D26" i="19" s="1"/>
  <c r="D30" i="19" s="1"/>
  <c r="D31" i="19" s="1"/>
  <c r="D32" i="19" s="1"/>
  <c r="D34" i="19" s="1"/>
  <c r="A15" i="19"/>
  <c r="A16" i="19" s="1"/>
  <c r="A17" i="19" s="1"/>
  <c r="A18" i="19" s="1"/>
  <c r="A19" i="19" s="1"/>
  <c r="A20" i="19" s="1"/>
  <c r="A21" i="19" s="1"/>
  <c r="A22" i="19" s="1"/>
  <c r="A23" i="19" s="1"/>
  <c r="A24" i="19" s="1"/>
  <c r="A25" i="19" s="1"/>
  <c r="A26" i="19" s="1"/>
  <c r="A28" i="19" s="1"/>
  <c r="A30" i="19" s="1"/>
  <c r="A31" i="19" s="1"/>
  <c r="A32" i="19" s="1"/>
  <c r="A34" i="19" s="1"/>
  <c r="A35" i="19" s="1"/>
  <c r="A36" i="19" s="1"/>
  <c r="A37" i="19" s="1"/>
  <c r="A38" i="19" s="1"/>
  <c r="A39" i="19" s="1"/>
  <c r="A40" i="19" s="1"/>
  <c r="A41" i="19" s="1"/>
  <c r="A42" i="19" s="1"/>
  <c r="A43" i="19" s="1"/>
  <c r="A44" i="19" s="1"/>
  <c r="A45" i="19" s="1"/>
  <c r="A46" i="19" s="1"/>
  <c r="A48" i="19" s="1"/>
  <c r="A8" i="19"/>
  <c r="A4" i="19"/>
  <c r="A2" i="19"/>
  <c r="A1" i="19"/>
  <c r="G16" i="54"/>
  <c r="G8" i="54"/>
  <c r="D8" i="19" s="1"/>
  <c r="A7" i="54"/>
  <c r="A7" i="19" s="1"/>
  <c r="A4" i="54"/>
  <c r="A2" i="54"/>
  <c r="A1" i="54"/>
  <c r="F16" i="34"/>
  <c r="F8" i="34"/>
  <c r="A7" i="34"/>
  <c r="A4" i="34"/>
  <c r="A2" i="34"/>
  <c r="A1" i="34"/>
  <c r="L18" i="50"/>
  <c r="I16" i="50"/>
  <c r="L16" i="50" s="1"/>
  <c r="L8" i="50"/>
  <c r="A7" i="50"/>
  <c r="A4" i="50"/>
  <c r="A2" i="50"/>
  <c r="A1" i="50"/>
  <c r="L18" i="22"/>
  <c r="I16" i="22"/>
  <c r="L16" i="22" s="1"/>
  <c r="L8" i="22"/>
  <c r="A7" i="22"/>
  <c r="A4" i="22"/>
  <c r="A2" i="22"/>
  <c r="A1" i="22"/>
  <c r="A53" i="37"/>
  <c r="J51" i="37"/>
  <c r="N50" i="37"/>
  <c r="N51" i="37" s="1"/>
  <c r="H50" i="37"/>
  <c r="H51" i="37" s="1"/>
  <c r="J48" i="37"/>
  <c r="N47" i="37"/>
  <c r="H47" i="37"/>
  <c r="N46" i="37"/>
  <c r="H46" i="37"/>
  <c r="N45" i="37"/>
  <c r="N48" i="37" s="1"/>
  <c r="H45" i="37"/>
  <c r="H48" i="37" s="1"/>
  <c r="J42" i="37"/>
  <c r="J53" i="37" s="1"/>
  <c r="N41" i="37"/>
  <c r="H41" i="37"/>
  <c r="N40" i="37"/>
  <c r="H40" i="37"/>
  <c r="N39" i="37"/>
  <c r="H39" i="37"/>
  <c r="N38" i="37"/>
  <c r="H38" i="37"/>
  <c r="N37" i="37"/>
  <c r="H37" i="37"/>
  <c r="N36" i="37"/>
  <c r="H36" i="37"/>
  <c r="N35" i="37"/>
  <c r="H35" i="37"/>
  <c r="N34" i="37"/>
  <c r="H34" i="37"/>
  <c r="N33" i="37"/>
  <c r="H33" i="37"/>
  <c r="N32" i="37"/>
  <c r="H32" i="37"/>
  <c r="N31" i="37"/>
  <c r="H31" i="37"/>
  <c r="N30" i="37"/>
  <c r="H30" i="37"/>
  <c r="N29" i="37"/>
  <c r="H29" i="37"/>
  <c r="N28" i="37"/>
  <c r="H28" i="37"/>
  <c r="N27" i="37"/>
  <c r="H27" i="37"/>
  <c r="H26" i="37"/>
  <c r="N25" i="37"/>
  <c r="H25" i="37"/>
  <c r="J22" i="37"/>
  <c r="N21" i="37"/>
  <c r="N22" i="37" s="1"/>
  <c r="H21" i="37"/>
  <c r="N20" i="37"/>
  <c r="H20" i="37"/>
  <c r="N19" i="37"/>
  <c r="H19" i="37"/>
  <c r="A19" i="37"/>
  <c r="A20" i="37" s="1"/>
  <c r="A21" i="37" s="1"/>
  <c r="A22" i="37" s="1"/>
  <c r="A24" i="37" s="1"/>
  <c r="A25" i="37" s="1"/>
  <c r="A26" i="37" s="1"/>
  <c r="A27" i="37" s="1"/>
  <c r="A28" i="37" s="1"/>
  <c r="A29" i="37" s="1"/>
  <c r="A30" i="37" s="1"/>
  <c r="A31" i="37" s="1"/>
  <c r="A32" i="37" s="1"/>
  <c r="A33" i="37" s="1"/>
  <c r="A34" i="37" s="1"/>
  <c r="A35" i="37" s="1"/>
  <c r="A36" i="37" s="1"/>
  <c r="A37" i="37" s="1"/>
  <c r="A38" i="37" s="1"/>
  <c r="A39" i="37" s="1"/>
  <c r="A40" i="37" s="1"/>
  <c r="A41" i="37" s="1"/>
  <c r="A42" i="37" s="1"/>
  <c r="A44" i="37" s="1"/>
  <c r="A45" i="37" s="1"/>
  <c r="A46" i="37" s="1"/>
  <c r="A47" i="37" s="1"/>
  <c r="A48" i="37" s="1"/>
  <c r="N8" i="37"/>
  <c r="A7" i="37"/>
  <c r="A4" i="37"/>
  <c r="A2" i="37"/>
  <c r="A1" i="37"/>
  <c r="O8" i="135"/>
  <c r="A7" i="135"/>
  <c r="A4" i="135"/>
  <c r="A2" i="135"/>
  <c r="A1" i="135"/>
  <c r="O8" i="13"/>
  <c r="A7" i="13"/>
  <c r="A4" i="13"/>
  <c r="A2" i="13"/>
  <c r="A1" i="13"/>
  <c r="Q67" i="43"/>
  <c r="P67" i="43"/>
  <c r="O67" i="43"/>
  <c r="N67" i="43"/>
  <c r="M67" i="43"/>
  <c r="L67" i="43"/>
  <c r="K67" i="43"/>
  <c r="J67" i="43"/>
  <c r="I67" i="43"/>
  <c r="H67" i="43"/>
  <c r="G67" i="43"/>
  <c r="F67" i="43"/>
  <c r="E67" i="43"/>
  <c r="R62" i="43"/>
  <c r="A62" i="43"/>
  <c r="A59" i="43"/>
  <c r="A43" i="43"/>
  <c r="A44" i="43" s="1"/>
  <c r="A45" i="43" s="1"/>
  <c r="A46" i="43" s="1"/>
  <c r="A47" i="43" s="1"/>
  <c r="A48" i="43" s="1"/>
  <c r="A49" i="43" s="1"/>
  <c r="A50" i="43" s="1"/>
  <c r="A51" i="43" s="1"/>
  <c r="A52" i="43" s="1"/>
  <c r="A53" i="43" s="1"/>
  <c r="A54" i="43" s="1"/>
  <c r="A55" i="43" s="1"/>
  <c r="A72" i="43" s="1"/>
  <c r="A73" i="43" s="1"/>
  <c r="A74" i="43" s="1"/>
  <c r="A75" i="43" s="1"/>
  <c r="A76" i="43" s="1"/>
  <c r="A77" i="43" s="1"/>
  <c r="A78" i="43" s="1"/>
  <c r="A79" i="43" s="1"/>
  <c r="A80" i="43" s="1"/>
  <c r="A81" i="43" s="1"/>
  <c r="A82" i="43" s="1"/>
  <c r="A83" i="43" s="1"/>
  <c r="A84" i="43" s="1"/>
  <c r="A85" i="43" s="1"/>
  <c r="A86" i="43" s="1"/>
  <c r="A88" i="43" s="1"/>
  <c r="A89" i="43" s="1"/>
  <c r="A90" i="43" s="1"/>
  <c r="A92" i="43" s="1"/>
  <c r="A94" i="43" s="1"/>
  <c r="A96" i="43" s="1"/>
  <c r="A98" i="43" s="1"/>
  <c r="A99" i="43" s="1"/>
  <c r="A100" i="43" s="1"/>
  <c r="A101" i="43" s="1"/>
  <c r="A102" i="43" s="1"/>
  <c r="A103" i="43" s="1"/>
  <c r="A104" i="43" s="1"/>
  <c r="A106" i="43" s="1"/>
  <c r="A16" i="43"/>
  <c r="A17" i="43" s="1"/>
  <c r="A18" i="43" s="1"/>
  <c r="A19" i="43" s="1"/>
  <c r="A20" i="43" s="1"/>
  <c r="A21" i="43" s="1"/>
  <c r="A22" i="43" s="1"/>
  <c r="A24" i="43" s="1"/>
  <c r="A25" i="43" s="1"/>
  <c r="A26" i="43" s="1"/>
  <c r="A27" i="43" s="1"/>
  <c r="A28" i="43" s="1"/>
  <c r="A29" i="43" s="1"/>
  <c r="A30" i="43" s="1"/>
  <c r="A31" i="43" s="1"/>
  <c r="A32" i="43" s="1"/>
  <c r="A33" i="43" s="1"/>
  <c r="A34" i="43" s="1"/>
  <c r="A35" i="43" s="1"/>
  <c r="A36" i="43" s="1"/>
  <c r="A37" i="43" s="1"/>
  <c r="A38" i="43" s="1"/>
  <c r="A39" i="43" s="1"/>
  <c r="A40" i="43" s="1"/>
  <c r="A41" i="43" s="1"/>
  <c r="A42" i="43" s="1"/>
  <c r="R9" i="43"/>
  <c r="R64" i="43" s="1"/>
  <c r="A8" i="43"/>
  <c r="A63" i="43" s="1"/>
  <c r="A4" i="43"/>
  <c r="A60" i="43" s="1"/>
  <c r="A2" i="43"/>
  <c r="A58" i="43" s="1"/>
  <c r="A1" i="43"/>
  <c r="A57" i="43" s="1"/>
  <c r="P68" i="42"/>
  <c r="O68" i="42"/>
  <c r="N68" i="42"/>
  <c r="M68" i="42"/>
  <c r="L68" i="42"/>
  <c r="K68" i="42"/>
  <c r="J68" i="42"/>
  <c r="I68" i="42"/>
  <c r="H68" i="42"/>
  <c r="G68" i="42"/>
  <c r="F68" i="42"/>
  <c r="E68" i="42"/>
  <c r="P67" i="42"/>
  <c r="O67" i="42"/>
  <c r="N67" i="42"/>
  <c r="M67" i="42"/>
  <c r="L67" i="42"/>
  <c r="K67" i="42"/>
  <c r="J67" i="42"/>
  <c r="I67" i="42"/>
  <c r="H67" i="42"/>
  <c r="G67" i="42"/>
  <c r="F67" i="42"/>
  <c r="E67" i="42"/>
  <c r="A64" i="42"/>
  <c r="P63" i="42"/>
  <c r="A59" i="42"/>
  <c r="A58" i="42"/>
  <c r="A44" i="42"/>
  <c r="A45" i="42" s="1"/>
  <c r="A46" i="42" s="1"/>
  <c r="A47" i="42" s="1"/>
  <c r="A48" i="42" s="1"/>
  <c r="A49" i="42" s="1"/>
  <c r="A50" i="42" s="1"/>
  <c r="A51" i="42" s="1"/>
  <c r="A52" i="42" s="1"/>
  <c r="A53" i="42" s="1"/>
  <c r="A54" i="42" s="1"/>
  <c r="A55" i="42" s="1"/>
  <c r="A56" i="42" s="1"/>
  <c r="A73" i="42" s="1"/>
  <c r="A74" i="42" s="1"/>
  <c r="A75" i="42" s="1"/>
  <c r="A76" i="42" s="1"/>
  <c r="A77" i="42" s="1"/>
  <c r="A78" i="42" s="1"/>
  <c r="A79" i="42" s="1"/>
  <c r="A80" i="42" s="1"/>
  <c r="A81" i="42" s="1"/>
  <c r="A82" i="42" s="1"/>
  <c r="A83" i="42" s="1"/>
  <c r="A84" i="42" s="1"/>
  <c r="A85" i="42" s="1"/>
  <c r="A86" i="42" s="1"/>
  <c r="A87" i="42" s="1"/>
  <c r="A89" i="42" s="1"/>
  <c r="A90" i="42" s="1"/>
  <c r="A91" i="42" s="1"/>
  <c r="A93" i="42" s="1"/>
  <c r="A95" i="42" s="1"/>
  <c r="A97" i="42" s="1"/>
  <c r="A99" i="42" s="1"/>
  <c r="A100" i="42" s="1"/>
  <c r="A101" i="42" s="1"/>
  <c r="A102" i="42" s="1"/>
  <c r="A103" i="42" s="1"/>
  <c r="A104" i="42" s="1"/>
  <c r="A105" i="42" s="1"/>
  <c r="A107" i="42" s="1"/>
  <c r="A17" i="42"/>
  <c r="A18" i="42" s="1"/>
  <c r="A19" i="42" s="1"/>
  <c r="A20" i="42" s="1"/>
  <c r="A21" i="42" s="1"/>
  <c r="A22" i="42" s="1"/>
  <c r="A25" i="42" s="1"/>
  <c r="A26" i="42" s="1"/>
  <c r="A27" i="42" s="1"/>
  <c r="A28" i="42" s="1"/>
  <c r="A29" i="42" s="1"/>
  <c r="A30" i="42" s="1"/>
  <c r="A31" i="42" s="1"/>
  <c r="A32" i="42" s="1"/>
  <c r="A33" i="42" s="1"/>
  <c r="A34" i="42" s="1"/>
  <c r="A35" i="42" s="1"/>
  <c r="A36" i="42" s="1"/>
  <c r="A37" i="42" s="1"/>
  <c r="A38" i="42" s="1"/>
  <c r="A39" i="42" s="1"/>
  <c r="A40" i="42" s="1"/>
  <c r="A41" i="42" s="1"/>
  <c r="A42" i="42" s="1"/>
  <c r="A16" i="42"/>
  <c r="P8" i="42"/>
  <c r="P65" i="42" s="1"/>
  <c r="A7" i="42"/>
  <c r="A4" i="42"/>
  <c r="A61" i="42" s="1"/>
  <c r="A2" i="42"/>
  <c r="A1" i="42"/>
  <c r="J98" i="48"/>
  <c r="J94" i="48"/>
  <c r="J59" i="48"/>
  <c r="L73" i="48"/>
  <c r="F70" i="48"/>
  <c r="A67" i="48"/>
  <c r="L66" i="48"/>
  <c r="A63" i="48"/>
  <c r="J26" i="48"/>
  <c r="A20" i="48"/>
  <c r="A21" i="48" s="1"/>
  <c r="A22" i="48" s="1"/>
  <c r="A23" i="48" s="1"/>
  <c r="A24" i="48" s="1"/>
  <c r="A25" i="48" s="1"/>
  <c r="A26"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80" i="48" s="1"/>
  <c r="A81" i="48" s="1"/>
  <c r="A82" i="48" s="1"/>
  <c r="A83" i="48" s="1"/>
  <c r="A84" i="48" s="1"/>
  <c r="A85" i="48" s="1"/>
  <c r="A86" i="48" s="1"/>
  <c r="A87" i="48" s="1"/>
  <c r="A88" i="48" s="1"/>
  <c r="A89" i="48" s="1"/>
  <c r="A90" i="48" s="1"/>
  <c r="A91" i="48" s="1"/>
  <c r="A92" i="48" s="1"/>
  <c r="A93" i="48" s="1"/>
  <c r="A94" i="48" s="1"/>
  <c r="A96" i="48" s="1"/>
  <c r="A97" i="48" s="1"/>
  <c r="A100" i="48" s="1"/>
  <c r="A102" i="48" s="1"/>
  <c r="A104" i="48" s="1"/>
  <c r="A106" i="48" s="1"/>
  <c r="A107" i="48" s="1"/>
  <c r="A108" i="48" s="1"/>
  <c r="A109" i="48" s="1"/>
  <c r="A110" i="48" s="1"/>
  <c r="A111" i="48" s="1"/>
  <c r="A112" i="48" s="1"/>
  <c r="A114" i="48" s="1"/>
  <c r="L13" i="48"/>
  <c r="F10" i="48"/>
  <c r="L8" i="48"/>
  <c r="L68" i="48" s="1"/>
  <c r="A7" i="48"/>
  <c r="A4" i="48"/>
  <c r="A64" i="48" s="1"/>
  <c r="A2" i="48"/>
  <c r="A62" i="48" s="1"/>
  <c r="A1" i="48"/>
  <c r="A61" i="48" s="1"/>
  <c r="J94" i="12"/>
  <c r="J90" i="12"/>
  <c r="J57" i="12"/>
  <c r="A65" i="12"/>
  <c r="K64" i="12"/>
  <c r="A61" i="12"/>
  <c r="J24" i="12"/>
  <c r="J96" i="12" s="1"/>
  <c r="J100" i="12" s="1"/>
  <c r="J110" i="12" s="1"/>
  <c r="A22" i="12"/>
  <c r="A23" i="12" s="1"/>
  <c r="A24"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76" i="12" s="1"/>
  <c r="A77" i="12" s="1"/>
  <c r="A78" i="12" s="1"/>
  <c r="A79" i="12" s="1"/>
  <c r="A80" i="12" s="1"/>
  <c r="A81" i="12" s="1"/>
  <c r="A82" i="12" s="1"/>
  <c r="A83" i="12" s="1"/>
  <c r="A84" i="12" s="1"/>
  <c r="A85" i="12" s="1"/>
  <c r="A86" i="12" s="1"/>
  <c r="A87" i="12" s="1"/>
  <c r="A88" i="12" s="1"/>
  <c r="A89" i="12" s="1"/>
  <c r="A90" i="12" s="1"/>
  <c r="A92" i="12" s="1"/>
  <c r="A93" i="12" s="1"/>
  <c r="A96" i="12" s="1"/>
  <c r="A98" i="12" s="1"/>
  <c r="A100" i="12" s="1"/>
  <c r="A102" i="12" s="1"/>
  <c r="A103" i="12" s="1"/>
  <c r="A104" i="12" s="1"/>
  <c r="A105" i="12" s="1"/>
  <c r="A106" i="12" s="1"/>
  <c r="A107" i="12" s="1"/>
  <c r="A108" i="12" s="1"/>
  <c r="A110" i="12" s="1"/>
  <c r="A18" i="12"/>
  <c r="A19" i="12" s="1"/>
  <c r="A20" i="12" s="1"/>
  <c r="A21" i="12" s="1"/>
  <c r="K8" i="12"/>
  <c r="K66" i="12" s="1"/>
  <c r="A7" i="12"/>
  <c r="A4" i="12"/>
  <c r="A62" i="12" s="1"/>
  <c r="A2" i="12"/>
  <c r="A60" i="12" s="1"/>
  <c r="A1" i="12"/>
  <c r="A59" i="12" s="1"/>
  <c r="K8" i="134"/>
  <c r="A7" i="134"/>
  <c r="A4" i="134"/>
  <c r="A2" i="134"/>
  <c r="A1" i="134"/>
  <c r="K8" i="11"/>
  <c r="A7" i="11"/>
  <c r="A4" i="11"/>
  <c r="A2" i="11"/>
  <c r="A1" i="11"/>
  <c r="L8" i="133"/>
  <c r="A7" i="133"/>
  <c r="A4" i="133"/>
  <c r="A2" i="133"/>
  <c r="A1" i="133"/>
  <c r="L8" i="10"/>
  <c r="A7" i="10"/>
  <c r="A4" i="10"/>
  <c r="A2" i="10"/>
  <c r="A1" i="10"/>
  <c r="H8" i="132"/>
  <c r="A7" i="132"/>
  <c r="A4" i="132"/>
  <c r="A2" i="132"/>
  <c r="A1" i="132"/>
  <c r="H8" i="9"/>
  <c r="A7" i="9"/>
  <c r="A4" i="9"/>
  <c r="A2" i="9"/>
  <c r="A1" i="9"/>
  <c r="I8" i="131"/>
  <c r="A7" i="131"/>
  <c r="A4" i="131"/>
  <c r="A2" i="131"/>
  <c r="A1" i="131"/>
  <c r="I8" i="8"/>
  <c r="A7" i="8"/>
  <c r="A4" i="8"/>
  <c r="A2" i="8"/>
  <c r="A1" i="8"/>
  <c r="G103" i="130"/>
  <c r="G93" i="130"/>
  <c r="F93" i="130"/>
  <c r="E93" i="130"/>
  <c r="G89" i="130"/>
  <c r="F88" i="130"/>
  <c r="E88" i="130"/>
  <c r="F87" i="130"/>
  <c r="E87" i="130"/>
  <c r="F86" i="130"/>
  <c r="E86" i="130"/>
  <c r="F85" i="130"/>
  <c r="E85" i="130"/>
  <c r="F84" i="130"/>
  <c r="E84" i="130"/>
  <c r="F83" i="130"/>
  <c r="E83" i="130"/>
  <c r="F82" i="130"/>
  <c r="E82" i="130"/>
  <c r="F81" i="130"/>
  <c r="E81" i="130"/>
  <c r="F80" i="130"/>
  <c r="E80" i="130"/>
  <c r="F79" i="130"/>
  <c r="E79" i="130"/>
  <c r="F78" i="130"/>
  <c r="E78" i="130"/>
  <c r="F77" i="130"/>
  <c r="E77" i="130"/>
  <c r="F76" i="130"/>
  <c r="E76" i="130"/>
  <c r="F75" i="130"/>
  <c r="E75" i="130"/>
  <c r="A75" i="130"/>
  <c r="A76" i="130" s="1"/>
  <c r="A77" i="130" s="1"/>
  <c r="A78" i="130" s="1"/>
  <c r="A79" i="130" s="1"/>
  <c r="A80" i="130" s="1"/>
  <c r="A81" i="130" s="1"/>
  <c r="A82" i="130" s="1"/>
  <c r="A83" i="130" s="1"/>
  <c r="A84" i="130" s="1"/>
  <c r="A85" i="130" s="1"/>
  <c r="A86" i="130" s="1"/>
  <c r="A87" i="130" s="1"/>
  <c r="A88" i="130" s="1"/>
  <c r="A89" i="130" s="1"/>
  <c r="A91" i="130" s="1"/>
  <c r="A92" i="130" s="1"/>
  <c r="A95" i="130" s="1"/>
  <c r="A97" i="130" s="1"/>
  <c r="A98" i="130" s="1"/>
  <c r="A99" i="130" s="1"/>
  <c r="A100" i="130" s="1"/>
  <c r="A101" i="130" s="1"/>
  <c r="A102" i="130" s="1"/>
  <c r="A103" i="130" s="1"/>
  <c r="A105" i="130" s="1"/>
  <c r="I66" i="130"/>
  <c r="A66" i="130"/>
  <c r="I64" i="130"/>
  <c r="A64" i="130"/>
  <c r="A61" i="130"/>
  <c r="G57" i="130"/>
  <c r="F56" i="130"/>
  <c r="E56" i="130"/>
  <c r="F55" i="130"/>
  <c r="E55" i="130"/>
  <c r="F54" i="130"/>
  <c r="E54" i="130"/>
  <c r="F53" i="130"/>
  <c r="E53" i="130"/>
  <c r="F52" i="130"/>
  <c r="E52" i="130"/>
  <c r="F51" i="130"/>
  <c r="E51" i="130"/>
  <c r="F50" i="130"/>
  <c r="E50" i="130"/>
  <c r="F49" i="130"/>
  <c r="E49" i="130"/>
  <c r="F48" i="130"/>
  <c r="E48" i="130"/>
  <c r="F45" i="130"/>
  <c r="E45" i="130"/>
  <c r="A45" i="130"/>
  <c r="A46" i="130" s="1"/>
  <c r="A47" i="130" s="1"/>
  <c r="A48" i="130" s="1"/>
  <c r="A49" i="130" s="1"/>
  <c r="A50" i="130" s="1"/>
  <c r="A51" i="130" s="1"/>
  <c r="A52" i="130" s="1"/>
  <c r="A53" i="130" s="1"/>
  <c r="A54" i="130" s="1"/>
  <c r="A55" i="130" s="1"/>
  <c r="A56" i="130" s="1"/>
  <c r="A57" i="130" s="1"/>
  <c r="F44" i="130"/>
  <c r="E44" i="130"/>
  <c r="F42" i="130"/>
  <c r="E42" i="130"/>
  <c r="F41" i="130"/>
  <c r="E41" i="130"/>
  <c r="F39" i="130"/>
  <c r="E39" i="130"/>
  <c r="F37" i="130"/>
  <c r="E37" i="130"/>
  <c r="F36" i="130"/>
  <c r="E36" i="130"/>
  <c r="F35" i="130"/>
  <c r="E35" i="130"/>
  <c r="F34" i="130"/>
  <c r="E34" i="130"/>
  <c r="F33" i="130"/>
  <c r="E33" i="130"/>
  <c r="F32" i="130"/>
  <c r="E32" i="130"/>
  <c r="F31" i="130"/>
  <c r="E31" i="130"/>
  <c r="F30" i="130"/>
  <c r="E30" i="130"/>
  <c r="F29" i="130"/>
  <c r="E29" i="130"/>
  <c r="F28" i="130"/>
  <c r="E28" i="130"/>
  <c r="F27" i="130"/>
  <c r="E27" i="130"/>
  <c r="G24" i="130"/>
  <c r="F21" i="130"/>
  <c r="E21" i="130"/>
  <c r="F20" i="130"/>
  <c r="E20" i="130"/>
  <c r="E19" i="130"/>
  <c r="F18" i="130"/>
  <c r="E18" i="130"/>
  <c r="A17" i="130"/>
  <c r="A18" i="130" s="1"/>
  <c r="A19" i="130" s="1"/>
  <c r="A20" i="130" s="1"/>
  <c r="A21" i="130" s="1"/>
  <c r="A22" i="130" s="1"/>
  <c r="A23" i="130" s="1"/>
  <c r="A24" i="130" s="1"/>
  <c r="A26" i="130" s="1"/>
  <c r="A27" i="130" s="1"/>
  <c r="A28" i="130" s="1"/>
  <c r="A29" i="130" s="1"/>
  <c r="A30" i="130" s="1"/>
  <c r="A31" i="130" s="1"/>
  <c r="A32" i="130" s="1"/>
  <c r="A33" i="130" s="1"/>
  <c r="A34" i="130" s="1"/>
  <c r="A35" i="130" s="1"/>
  <c r="A36" i="130" s="1"/>
  <c r="A37" i="130" s="1"/>
  <c r="A38" i="130" s="1"/>
  <c r="A39" i="130" s="1"/>
  <c r="A40" i="130" s="1"/>
  <c r="A41" i="130" s="1"/>
  <c r="A42" i="130" s="1"/>
  <c r="A43" i="130" s="1"/>
  <c r="I8" i="130"/>
  <c r="A7" i="130"/>
  <c r="A65" i="130" s="1"/>
  <c r="A4" i="130"/>
  <c r="A62" i="130" s="1"/>
  <c r="A2" i="130"/>
  <c r="A60" i="130" s="1"/>
  <c r="A1" i="130"/>
  <c r="A59" i="130" s="1"/>
  <c r="G103" i="7"/>
  <c r="G105" i="7" s="1"/>
  <c r="G93" i="7"/>
  <c r="F93" i="7"/>
  <c r="E93" i="7"/>
  <c r="G89" i="7"/>
  <c r="A75" i="7"/>
  <c r="A76" i="7" s="1"/>
  <c r="A77" i="7" s="1"/>
  <c r="A78" i="7" s="1"/>
  <c r="A79" i="7" s="1"/>
  <c r="A80" i="7" s="1"/>
  <c r="A81" i="7" s="1"/>
  <c r="A82" i="7" s="1"/>
  <c r="A83" i="7" s="1"/>
  <c r="A84" i="7" s="1"/>
  <c r="A85" i="7" s="1"/>
  <c r="A86" i="7" s="1"/>
  <c r="A87" i="7" s="1"/>
  <c r="A88" i="7" s="1"/>
  <c r="A89" i="7" s="1"/>
  <c r="A91" i="7" s="1"/>
  <c r="A92" i="7" s="1"/>
  <c r="A95" i="7" s="1"/>
  <c r="A97" i="7" s="1"/>
  <c r="A98" i="7" s="1"/>
  <c r="A99" i="7" s="1"/>
  <c r="A100" i="7" s="1"/>
  <c r="A101" i="7" s="1"/>
  <c r="A102" i="7" s="1"/>
  <c r="A103" i="7" s="1"/>
  <c r="A105" i="7" s="1"/>
  <c r="H66" i="7"/>
  <c r="A66" i="7"/>
  <c r="A64" i="7"/>
  <c r="A61" i="7"/>
  <c r="G57" i="7"/>
  <c r="G24" i="7"/>
  <c r="F21" i="7"/>
  <c r="E21" i="7"/>
  <c r="F20" i="7"/>
  <c r="E20" i="7"/>
  <c r="F19" i="7"/>
  <c r="E19" i="7"/>
  <c r="F18" i="7"/>
  <c r="E18" i="7"/>
  <c r="A18" i="7"/>
  <c r="A19" i="7" s="1"/>
  <c r="A20" i="7" s="1"/>
  <c r="A21" i="7" s="1"/>
  <c r="A22" i="7" s="1"/>
  <c r="A23" i="7" s="1"/>
  <c r="A24"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17" i="7"/>
  <c r="H8" i="7"/>
  <c r="A7" i="7"/>
  <c r="A65" i="7" s="1"/>
  <c r="A4" i="7"/>
  <c r="A62" i="7" s="1"/>
  <c r="A2" i="7"/>
  <c r="A60" i="7" s="1"/>
  <c r="A1" i="7"/>
  <c r="A59" i="7" s="1"/>
  <c r="O8" i="128"/>
  <c r="A7" i="128"/>
  <c r="A4" i="128"/>
  <c r="A2" i="128"/>
  <c r="A1" i="128"/>
  <c r="O8" i="129"/>
  <c r="A7" i="129"/>
  <c r="A4" i="129"/>
  <c r="A2" i="129"/>
  <c r="A1" i="129"/>
  <c r="E75" i="214"/>
  <c r="E76" i="214" s="1"/>
  <c r="D66" i="214"/>
  <c r="D63" i="214"/>
  <c r="E54" i="214"/>
  <c r="E53" i="214"/>
  <c r="E52" i="214"/>
  <c r="E51" i="214"/>
  <c r="E50" i="214"/>
  <c r="E49" i="214"/>
  <c r="E48" i="214"/>
  <c r="E47" i="214"/>
  <c r="E46" i="214"/>
  <c r="E45" i="214"/>
  <c r="E44" i="214"/>
  <c r="E43" i="214"/>
  <c r="E42" i="214"/>
  <c r="E41" i="214"/>
  <c r="E40" i="214"/>
  <c r="E39" i="214"/>
  <c r="E38" i="214"/>
  <c r="E37" i="214"/>
  <c r="E36" i="214"/>
  <c r="E35" i="214"/>
  <c r="E34" i="214"/>
  <c r="E33" i="214"/>
  <c r="E32" i="214"/>
  <c r="E31" i="214"/>
  <c r="E30" i="214"/>
  <c r="E29" i="214"/>
  <c r="E28" i="214"/>
  <c r="E27" i="214"/>
  <c r="E26" i="214"/>
  <c r="D26" i="214"/>
  <c r="E25" i="214"/>
  <c r="D25" i="214"/>
  <c r="E21" i="214"/>
  <c r="E20" i="214"/>
  <c r="E19" i="214"/>
  <c r="D19" i="214"/>
  <c r="E18" i="214"/>
  <c r="D18" i="214"/>
  <c r="E17" i="214"/>
  <c r="E16" i="214"/>
  <c r="D16" i="214"/>
  <c r="A16" i="214"/>
  <c r="A17" i="214" s="1"/>
  <c r="A18" i="214" s="1"/>
  <c r="A19" i="214" s="1"/>
  <c r="A20" i="214" s="1"/>
  <c r="A21" i="214" s="1"/>
  <c r="A22" i="214" s="1"/>
  <c r="A24" i="214" s="1"/>
  <c r="A25" i="214" s="1"/>
  <c r="A26" i="214" s="1"/>
  <c r="A27" i="214" s="1"/>
  <c r="A28" i="214" s="1"/>
  <c r="A29" i="214" s="1"/>
  <c r="A30" i="214" s="1"/>
  <c r="A31" i="214" s="1"/>
  <c r="A32" i="214" s="1"/>
  <c r="A33" i="214" s="1"/>
  <c r="A34" i="214" s="1"/>
  <c r="A35" i="214" s="1"/>
  <c r="A36" i="214" s="1"/>
  <c r="A37" i="214" s="1"/>
  <c r="A38" i="214" s="1"/>
  <c r="A39" i="214" s="1"/>
  <c r="A40" i="214" s="1"/>
  <c r="A41" i="214" s="1"/>
  <c r="A42" i="214" s="1"/>
  <c r="A43" i="214" s="1"/>
  <c r="A44" i="214" s="1"/>
  <c r="A45" i="214" s="1"/>
  <c r="A46" i="214" s="1"/>
  <c r="A47" i="214" s="1"/>
  <c r="A48" i="214" s="1"/>
  <c r="A49" i="214" s="1"/>
  <c r="A50" i="214" s="1"/>
  <c r="A51" i="214" s="1"/>
  <c r="A52" i="214" s="1"/>
  <c r="A53" i="214" s="1"/>
  <c r="A54" i="214" s="1"/>
  <c r="A55" i="214" s="1"/>
  <c r="A57" i="214" s="1"/>
  <c r="A58" i="214" s="1"/>
  <c r="A59" i="214" s="1"/>
  <c r="A60" i="214" s="1"/>
  <c r="A61" i="214" s="1"/>
  <c r="A62" i="214" s="1"/>
  <c r="A63" i="214" s="1"/>
  <c r="A64" i="214" s="1"/>
  <c r="A65" i="214" s="1"/>
  <c r="A66" i="214" s="1"/>
  <c r="A67" i="214" s="1"/>
  <c r="A68" i="214" s="1"/>
  <c r="A69" i="214" s="1"/>
  <c r="A70" i="214" s="1"/>
  <c r="A71" i="214" s="1"/>
  <c r="A72" i="214" s="1"/>
  <c r="A74" i="214" s="1"/>
  <c r="A75" i="214" s="1"/>
  <c r="A76" i="214" s="1"/>
  <c r="A78" i="214" s="1"/>
  <c r="F8" i="214"/>
  <c r="A7" i="214"/>
  <c r="A6" i="214"/>
  <c r="A4" i="214"/>
  <c r="A2" i="214"/>
  <c r="A1" i="214"/>
  <c r="P56" i="211"/>
  <c r="O56" i="211"/>
  <c r="N56" i="211"/>
  <c r="M56" i="211"/>
  <c r="L56" i="211"/>
  <c r="K56" i="211"/>
  <c r="J56" i="211"/>
  <c r="I56" i="211"/>
  <c r="H56" i="211"/>
  <c r="G56" i="211"/>
  <c r="F56" i="211"/>
  <c r="E56" i="211"/>
  <c r="Q55" i="211"/>
  <c r="Q54" i="211"/>
  <c r="Q53" i="211"/>
  <c r="P50" i="211"/>
  <c r="O50" i="211"/>
  <c r="N50" i="211"/>
  <c r="M50" i="211"/>
  <c r="L50" i="211"/>
  <c r="K50" i="211"/>
  <c r="J50" i="211"/>
  <c r="I50" i="211"/>
  <c r="H50" i="211"/>
  <c r="G50" i="211"/>
  <c r="F50" i="211"/>
  <c r="E50" i="211"/>
  <c r="Q49" i="211"/>
  <c r="Q48" i="211"/>
  <c r="Q47" i="211"/>
  <c r="Q50" i="211" s="1"/>
  <c r="P43" i="211"/>
  <c r="O43" i="211"/>
  <c r="N43" i="211"/>
  <c r="M43" i="211"/>
  <c r="L43" i="211"/>
  <c r="K43" i="211"/>
  <c r="J43" i="211"/>
  <c r="I43" i="211"/>
  <c r="H43" i="211"/>
  <c r="G43" i="211"/>
  <c r="F43" i="211"/>
  <c r="E43" i="211"/>
  <c r="Q42" i="211"/>
  <c r="Q41" i="211"/>
  <c r="Q40" i="211"/>
  <c r="Q43" i="211" s="1"/>
  <c r="P37" i="211"/>
  <c r="O37" i="211"/>
  <c r="N37" i="211"/>
  <c r="M37" i="211"/>
  <c r="L37" i="211"/>
  <c r="K37" i="211"/>
  <c r="J37" i="211"/>
  <c r="I37" i="211"/>
  <c r="H37" i="211"/>
  <c r="G37" i="211"/>
  <c r="F37" i="211"/>
  <c r="E37" i="211"/>
  <c r="Q36" i="211"/>
  <c r="Q35" i="211"/>
  <c r="P30" i="211"/>
  <c r="O30" i="211"/>
  <c r="E3899" i="209" s="1"/>
  <c r="N30" i="211"/>
  <c r="E3785" i="209" s="1"/>
  <c r="M30" i="211"/>
  <c r="L30" i="211"/>
  <c r="K30" i="211"/>
  <c r="J30" i="211"/>
  <c r="I30" i="211"/>
  <c r="H30" i="211"/>
  <c r="G30" i="211"/>
  <c r="E2987" i="209" s="1"/>
  <c r="F30" i="211"/>
  <c r="E30" i="211"/>
  <c r="E2759" i="209" s="1"/>
  <c r="Q29" i="211"/>
  <c r="Q28" i="211"/>
  <c r="P26" i="211"/>
  <c r="O26" i="211"/>
  <c r="N26" i="211"/>
  <c r="M26" i="211"/>
  <c r="L26" i="211"/>
  <c r="K26" i="211"/>
  <c r="J26" i="211"/>
  <c r="I26" i="211"/>
  <c r="H26" i="211"/>
  <c r="E3100" i="209" s="1"/>
  <c r="E3102" i="209" s="1"/>
  <c r="G26" i="211"/>
  <c r="F26" i="211"/>
  <c r="E26" i="211"/>
  <c r="A26" i="211"/>
  <c r="A28" i="211" s="1"/>
  <c r="A29" i="211" s="1"/>
  <c r="A30" i="211" s="1"/>
  <c r="A33" i="211" s="1"/>
  <c r="A34" i="211" s="1"/>
  <c r="A35" i="211" s="1"/>
  <c r="A36" i="211" s="1"/>
  <c r="A37" i="211" s="1"/>
  <c r="A39" i="211" s="1"/>
  <c r="A40" i="211" s="1"/>
  <c r="A41" i="211" s="1"/>
  <c r="A42" i="211" s="1"/>
  <c r="A43" i="211" s="1"/>
  <c r="A46" i="211" s="1"/>
  <c r="A47" i="211" s="1"/>
  <c r="A48" i="211" s="1"/>
  <c r="A49" i="211" s="1"/>
  <c r="A50" i="211" s="1"/>
  <c r="A52" i="211" s="1"/>
  <c r="A53" i="211" s="1"/>
  <c r="A54" i="211" s="1"/>
  <c r="A55" i="211" s="1"/>
  <c r="A56" i="211" s="1"/>
  <c r="Q25" i="211"/>
  <c r="Q24" i="211"/>
  <c r="P21" i="211"/>
  <c r="E2645" i="209" s="1"/>
  <c r="O21" i="211"/>
  <c r="N21" i="211"/>
  <c r="E2417" i="209" s="1"/>
  <c r="M21" i="211"/>
  <c r="L21" i="211"/>
  <c r="K21" i="211"/>
  <c r="J21" i="211"/>
  <c r="I21" i="211"/>
  <c r="H21" i="211"/>
  <c r="G21" i="211"/>
  <c r="F21" i="211"/>
  <c r="E21" i="211"/>
  <c r="Q20" i="211"/>
  <c r="Q19" i="211"/>
  <c r="Q21" i="211" s="1"/>
  <c r="P17" i="211"/>
  <c r="O17" i="211"/>
  <c r="N17" i="211"/>
  <c r="M17" i="211"/>
  <c r="L17" i="211"/>
  <c r="K17" i="211"/>
  <c r="E2074" i="209" s="1"/>
  <c r="J17" i="211"/>
  <c r="I17" i="211"/>
  <c r="E1846" i="209" s="1"/>
  <c r="E1848" i="209" s="1"/>
  <c r="H17" i="211"/>
  <c r="G17" i="211"/>
  <c r="F17" i="211"/>
  <c r="E17" i="211"/>
  <c r="Q16" i="211"/>
  <c r="A16" i="211"/>
  <c r="A17" i="211" s="1"/>
  <c r="A19" i="211" s="1"/>
  <c r="A20" i="211" s="1"/>
  <c r="A21" i="211" s="1"/>
  <c r="A23" i="211" s="1"/>
  <c r="A24" i="211" s="1"/>
  <c r="A25" i="211" s="1"/>
  <c r="Q15" i="211"/>
  <c r="Q17" i="211" s="1"/>
  <c r="A15" i="211"/>
  <c r="F12" i="211"/>
  <c r="G12" i="211" s="1"/>
  <c r="H12" i="211" s="1"/>
  <c r="I12" i="211" s="1"/>
  <c r="J12" i="211" s="1"/>
  <c r="K12" i="211" s="1"/>
  <c r="L12" i="211" s="1"/>
  <c r="M12" i="211" s="1"/>
  <c r="N12" i="211" s="1"/>
  <c r="O12" i="211" s="1"/>
  <c r="P12" i="211" s="1"/>
  <c r="Q12" i="211" s="1"/>
  <c r="Q8" i="211"/>
  <c r="A7" i="211"/>
  <c r="A6" i="211"/>
  <c r="A4" i="211"/>
  <c r="A2" i="211"/>
  <c r="A1" i="211"/>
  <c r="M1654" i="210"/>
  <c r="N1653" i="210"/>
  <c r="N1652" i="210"/>
  <c r="F1652" i="210"/>
  <c r="F1653" i="210" s="1"/>
  <c r="F4037" i="209" s="1"/>
  <c r="M4037" i="209" s="1"/>
  <c r="E1652" i="210"/>
  <c r="E1653" i="210" s="1"/>
  <c r="M1650" i="210"/>
  <c r="M1649" i="210"/>
  <c r="N1648" i="210"/>
  <c r="N1649" i="210" s="1"/>
  <c r="M1648" i="210"/>
  <c r="F1648" i="210"/>
  <c r="F1649" i="210" s="1"/>
  <c r="E1648" i="210"/>
  <c r="E1649" i="210" s="1"/>
  <c r="E4036" i="209" s="1"/>
  <c r="M1646" i="210"/>
  <c r="M1645" i="210"/>
  <c r="N1644" i="210"/>
  <c r="N1645" i="210" s="1"/>
  <c r="F1644" i="210"/>
  <c r="F1645" i="210" s="1"/>
  <c r="E1644" i="210"/>
  <c r="E1645" i="210" s="1"/>
  <c r="E4033" i="209" s="1"/>
  <c r="M1642" i="210"/>
  <c r="M1641" i="210" s="1"/>
  <c r="N1640" i="210"/>
  <c r="N1641" i="210" s="1"/>
  <c r="N4030" i="209" s="1"/>
  <c r="F1640" i="210"/>
  <c r="F1641" i="210" s="1"/>
  <c r="F4030" i="209" s="1"/>
  <c r="M4030" i="209" s="1"/>
  <c r="E1640" i="210"/>
  <c r="E1641" i="210" s="1"/>
  <c r="M1638" i="210"/>
  <c r="N1636" i="210"/>
  <c r="N1637" i="210" s="1"/>
  <c r="N4028" i="209" s="1"/>
  <c r="F1636" i="210"/>
  <c r="F1637" i="210" s="1"/>
  <c r="E1636" i="210"/>
  <c r="E1637" i="210" s="1"/>
  <c r="E4028" i="209" s="1"/>
  <c r="N1633" i="210"/>
  <c r="F1633" i="210"/>
  <c r="E1633" i="210"/>
  <c r="M1632" i="210"/>
  <c r="M1652" i="210" s="1"/>
  <c r="M1653" i="210" s="1"/>
  <c r="M1631" i="210"/>
  <c r="M1630" i="210"/>
  <c r="M1644" i="210" s="1"/>
  <c r="M1629" i="210"/>
  <c r="M1640" i="210" s="1"/>
  <c r="A1629" i="210"/>
  <c r="A1630" i="210" s="1"/>
  <c r="A1631" i="210" s="1"/>
  <c r="A1632" i="210" s="1"/>
  <c r="A1633" i="210" s="1"/>
  <c r="A1636" i="210" s="1"/>
  <c r="A1637" i="210" s="1"/>
  <c r="A1638" i="210" s="1"/>
  <c r="A1640" i="210" s="1"/>
  <c r="A1641" i="210" s="1"/>
  <c r="A1642" i="210" s="1"/>
  <c r="A1644" i="210" s="1"/>
  <c r="A1645" i="210" s="1"/>
  <c r="A1646" i="210" s="1"/>
  <c r="A1648" i="210" s="1"/>
  <c r="A1649" i="210" s="1"/>
  <c r="A1650" i="210" s="1"/>
  <c r="A1652" i="210" s="1"/>
  <c r="A1653" i="210" s="1"/>
  <c r="A1654" i="210" s="1"/>
  <c r="M1628" i="210"/>
  <c r="O1625" i="210"/>
  <c r="N1625" i="210"/>
  <c r="M1625" i="210"/>
  <c r="L1625" i="210"/>
  <c r="K1625" i="210"/>
  <c r="J1625" i="210"/>
  <c r="I1625" i="210"/>
  <c r="O1618" i="210"/>
  <c r="A1617" i="210"/>
  <c r="A1616" i="210"/>
  <c r="A1613" i="210"/>
  <c r="M1608" i="210"/>
  <c r="E1607" i="210"/>
  <c r="N1606" i="210"/>
  <c r="N1607" i="210" s="1"/>
  <c r="F1606" i="210"/>
  <c r="F1607" i="210" s="1"/>
  <c r="E1606" i="210"/>
  <c r="M1604" i="210"/>
  <c r="M1603" i="210" s="1"/>
  <c r="N1602" i="210"/>
  <c r="N1603" i="210" s="1"/>
  <c r="N3922" i="209" s="1"/>
  <c r="F1602" i="210"/>
  <c r="F1603" i="210" s="1"/>
  <c r="E1602" i="210"/>
  <c r="E1603" i="210" s="1"/>
  <c r="E3922" i="209" s="1"/>
  <c r="M1600" i="210"/>
  <c r="N1598" i="210"/>
  <c r="N1599" i="210" s="1"/>
  <c r="N3919" i="209" s="1"/>
  <c r="F1598" i="210"/>
  <c r="F1599" i="210" s="1"/>
  <c r="F3919" i="209" s="1"/>
  <c r="M3919" i="209" s="1"/>
  <c r="E1598" i="210"/>
  <c r="E1599" i="210" s="1"/>
  <c r="M1596" i="210"/>
  <c r="N1595" i="210"/>
  <c r="F1595" i="210"/>
  <c r="N1594" i="210"/>
  <c r="F1594" i="210"/>
  <c r="E1594" i="210"/>
  <c r="E1595" i="210" s="1"/>
  <c r="M1592" i="210"/>
  <c r="N1591" i="210"/>
  <c r="N3914" i="209" s="1"/>
  <c r="N1590" i="210"/>
  <c r="M1590" i="210"/>
  <c r="F1590" i="210"/>
  <c r="F1591" i="210" s="1"/>
  <c r="E1590" i="210"/>
  <c r="E1591" i="210" s="1"/>
  <c r="N1587" i="210"/>
  <c r="F1587" i="210"/>
  <c r="E1587" i="210"/>
  <c r="M1586" i="210"/>
  <c r="M1606" i="210" s="1"/>
  <c r="M1607" i="210" s="1"/>
  <c r="M1585" i="210"/>
  <c r="M1602" i="210" s="1"/>
  <c r="M1584" i="210"/>
  <c r="M1598" i="210" s="1"/>
  <c r="M1599" i="210" s="1"/>
  <c r="M1583" i="210"/>
  <c r="M1594" i="210" s="1"/>
  <c r="A1583" i="210"/>
  <c r="A1584" i="210" s="1"/>
  <c r="A1585" i="210" s="1"/>
  <c r="A1586" i="210" s="1"/>
  <c r="A1587" i="210" s="1"/>
  <c r="A1590" i="210" s="1"/>
  <c r="A1591" i="210" s="1"/>
  <c r="A1592" i="210" s="1"/>
  <c r="A1594" i="210" s="1"/>
  <c r="A1595" i="210" s="1"/>
  <c r="A1596" i="210" s="1"/>
  <c r="A1598" i="210" s="1"/>
  <c r="A1599" i="210" s="1"/>
  <c r="A1600" i="210" s="1"/>
  <c r="A1602" i="210" s="1"/>
  <c r="A1603" i="210" s="1"/>
  <c r="A1604" i="210" s="1"/>
  <c r="A1606" i="210" s="1"/>
  <c r="A1607" i="210" s="1"/>
  <c r="A1608" i="210" s="1"/>
  <c r="M1582" i="210"/>
  <c r="O1579" i="210"/>
  <c r="N1579" i="210"/>
  <c r="M1579" i="210"/>
  <c r="L1579" i="210"/>
  <c r="K1579" i="210"/>
  <c r="J1579" i="210"/>
  <c r="I1579" i="210"/>
  <c r="O1572" i="210"/>
  <c r="A1571" i="210"/>
  <c r="A1570" i="210"/>
  <c r="A1567" i="210"/>
  <c r="M1562" i="210"/>
  <c r="M1561" i="210" s="1"/>
  <c r="E1561" i="210"/>
  <c r="N1560" i="210"/>
  <c r="N1561" i="210" s="1"/>
  <c r="F1560" i="210"/>
  <c r="F1561" i="210" s="1"/>
  <c r="E1560" i="210"/>
  <c r="M1558" i="210"/>
  <c r="F1557" i="210"/>
  <c r="N1556" i="210"/>
  <c r="N1557" i="210" s="1"/>
  <c r="F1556" i="210"/>
  <c r="E1556" i="210"/>
  <c r="E1557" i="210" s="1"/>
  <c r="E3808" i="209" s="1"/>
  <c r="M1554" i="210"/>
  <c r="N1553" i="210"/>
  <c r="F1553" i="210"/>
  <c r="N1552" i="210"/>
  <c r="M1552" i="210"/>
  <c r="F1552" i="210"/>
  <c r="E1552" i="210"/>
  <c r="E1553" i="210" s="1"/>
  <c r="E3805" i="209" s="1"/>
  <c r="M1550" i="210"/>
  <c r="N1548" i="210"/>
  <c r="N1549" i="210" s="1"/>
  <c r="N3802" i="209" s="1"/>
  <c r="F1548" i="210"/>
  <c r="F1549" i="210" s="1"/>
  <c r="E1548" i="210"/>
  <c r="E1549" i="210" s="1"/>
  <c r="M1546" i="210"/>
  <c r="N1544" i="210"/>
  <c r="N1545" i="210" s="1"/>
  <c r="N3800" i="209" s="1"/>
  <c r="M1544" i="210"/>
  <c r="M1545" i="210" s="1"/>
  <c r="F1544" i="210"/>
  <c r="F1545" i="210" s="1"/>
  <c r="F3800" i="209" s="1"/>
  <c r="M3800" i="209" s="1"/>
  <c r="E1544" i="210"/>
  <c r="E1545" i="210" s="1"/>
  <c r="N1541" i="210"/>
  <c r="F1541" i="210"/>
  <c r="E1541" i="210"/>
  <c r="M1540" i="210"/>
  <c r="M1560" i="210" s="1"/>
  <c r="M1539" i="210"/>
  <c r="M1556" i="210" s="1"/>
  <c r="M1538" i="210"/>
  <c r="M1537" i="210"/>
  <c r="M1548" i="210" s="1"/>
  <c r="A1537" i="210"/>
  <c r="A1538" i="210" s="1"/>
  <c r="A1539" i="210" s="1"/>
  <c r="A1540" i="210" s="1"/>
  <c r="A1541" i="210" s="1"/>
  <c r="A1544" i="210" s="1"/>
  <c r="A1545" i="210" s="1"/>
  <c r="A1546" i="210" s="1"/>
  <c r="A1548" i="210" s="1"/>
  <c r="A1549" i="210" s="1"/>
  <c r="A1550" i="210" s="1"/>
  <c r="A1552" i="210" s="1"/>
  <c r="A1553" i="210" s="1"/>
  <c r="A1554" i="210" s="1"/>
  <c r="A1556" i="210" s="1"/>
  <c r="A1557" i="210" s="1"/>
  <c r="A1558" i="210" s="1"/>
  <c r="A1560" i="210" s="1"/>
  <c r="A1561" i="210" s="1"/>
  <c r="A1562" i="210" s="1"/>
  <c r="M1536" i="210"/>
  <c r="M1541" i="210" s="1"/>
  <c r="O1533" i="210"/>
  <c r="N1533" i="210"/>
  <c r="M1533" i="210"/>
  <c r="L1533" i="210"/>
  <c r="K1533" i="210"/>
  <c r="J1533" i="210"/>
  <c r="I1533" i="210"/>
  <c r="O1526" i="210"/>
  <c r="A1525" i="210"/>
  <c r="A1524" i="210"/>
  <c r="A1521" i="210"/>
  <c r="M1516" i="210"/>
  <c r="N1515" i="210"/>
  <c r="N3695" i="209" s="1"/>
  <c r="N1514" i="210"/>
  <c r="F1514" i="210"/>
  <c r="F1515" i="210" s="1"/>
  <c r="F3695" i="209" s="1"/>
  <c r="M3695" i="209" s="1"/>
  <c r="E1514" i="210"/>
  <c r="E1515" i="210" s="1"/>
  <c r="M1512" i="210"/>
  <c r="N1511" i="210"/>
  <c r="N1510" i="210"/>
  <c r="F1510" i="210"/>
  <c r="F1511" i="210" s="1"/>
  <c r="F3694" i="209" s="1"/>
  <c r="M3694" i="209" s="1"/>
  <c r="E1510" i="210"/>
  <c r="E1511" i="210" s="1"/>
  <c r="M1508" i="210"/>
  <c r="N1507" i="210"/>
  <c r="N1506" i="210"/>
  <c r="F1506" i="210"/>
  <c r="F1507" i="210" s="1"/>
  <c r="E1506" i="210"/>
  <c r="E1507" i="210" s="1"/>
  <c r="M1504" i="210"/>
  <c r="N1502" i="210"/>
  <c r="N1503" i="210" s="1"/>
  <c r="F1502" i="210"/>
  <c r="F1503" i="210" s="1"/>
  <c r="F3688" i="209" s="1"/>
  <c r="M3688" i="209" s="1"/>
  <c r="E1502" i="210"/>
  <c r="E1503" i="210" s="1"/>
  <c r="M1500" i="210"/>
  <c r="N1499" i="210"/>
  <c r="N1498" i="210"/>
  <c r="F1498" i="210"/>
  <c r="F1499" i="210" s="1"/>
  <c r="E1498" i="210"/>
  <c r="E1499" i="210" s="1"/>
  <c r="E3686" i="209" s="1"/>
  <c r="N1495" i="210"/>
  <c r="F1495" i="210"/>
  <c r="E1495" i="210"/>
  <c r="M1494" i="210"/>
  <c r="M1514" i="210" s="1"/>
  <c r="M1515" i="210" s="1"/>
  <c r="M1493" i="210"/>
  <c r="M1510" i="210" s="1"/>
  <c r="M1492" i="210"/>
  <c r="M1495" i="210" s="1"/>
  <c r="M1491" i="210"/>
  <c r="M1502" i="210" s="1"/>
  <c r="A1491" i="210"/>
  <c r="A1492" i="210" s="1"/>
  <c r="A1493" i="210" s="1"/>
  <c r="A1494" i="210" s="1"/>
  <c r="A1495" i="210" s="1"/>
  <c r="A1498" i="210" s="1"/>
  <c r="A1499" i="210" s="1"/>
  <c r="A1500" i="210" s="1"/>
  <c r="A1502" i="210" s="1"/>
  <c r="A1503" i="210" s="1"/>
  <c r="A1504" i="210" s="1"/>
  <c r="A1506" i="210" s="1"/>
  <c r="A1507" i="210" s="1"/>
  <c r="A1508" i="210" s="1"/>
  <c r="A1510" i="210" s="1"/>
  <c r="A1511" i="210" s="1"/>
  <c r="A1512" i="210" s="1"/>
  <c r="A1514" i="210" s="1"/>
  <c r="A1515" i="210" s="1"/>
  <c r="A1516" i="210" s="1"/>
  <c r="M1490" i="210"/>
  <c r="M1498" i="210" s="1"/>
  <c r="O1487" i="210"/>
  <c r="N1487" i="210"/>
  <c r="M1487" i="210"/>
  <c r="L1487" i="210"/>
  <c r="K1487" i="210"/>
  <c r="J1487" i="210"/>
  <c r="I1487" i="210"/>
  <c r="O1480" i="210"/>
  <c r="A1479" i="210"/>
  <c r="A1478" i="210"/>
  <c r="A1475" i="210"/>
  <c r="M1470" i="210"/>
  <c r="N1468" i="210"/>
  <c r="N1469" i="210" s="1"/>
  <c r="F1468" i="210"/>
  <c r="F1469" i="210" s="1"/>
  <c r="F3581" i="209" s="1"/>
  <c r="M3581" i="209" s="1"/>
  <c r="E1468" i="210"/>
  <c r="E1469" i="210" s="1"/>
  <c r="E3581" i="209" s="1"/>
  <c r="M1466" i="210"/>
  <c r="N1465" i="210"/>
  <c r="F1465" i="210"/>
  <c r="N1464" i="210"/>
  <c r="F1464" i="210"/>
  <c r="E1464" i="210"/>
  <c r="E1465" i="210" s="1"/>
  <c r="M1462" i="210"/>
  <c r="N1460" i="210"/>
  <c r="N1461" i="210" s="1"/>
  <c r="M1460" i="210"/>
  <c r="F1460" i="210"/>
  <c r="F1461" i="210" s="1"/>
  <c r="E1460" i="210"/>
  <c r="E1461" i="210" s="1"/>
  <c r="M1458" i="210"/>
  <c r="N1456" i="210"/>
  <c r="N1457" i="210" s="1"/>
  <c r="F1456" i="210"/>
  <c r="F1457" i="210" s="1"/>
  <c r="F3574" i="209" s="1"/>
  <c r="M3574" i="209" s="1"/>
  <c r="E1456" i="210"/>
  <c r="E1457" i="210" s="1"/>
  <c r="E3574" i="209" s="1"/>
  <c r="M1454" i="210"/>
  <c r="F1453" i="210"/>
  <c r="N1452" i="210"/>
  <c r="N1453" i="210" s="1"/>
  <c r="F1452" i="210"/>
  <c r="E1452" i="210"/>
  <c r="E1453" i="210" s="1"/>
  <c r="N1449" i="210"/>
  <c r="F1449" i="210"/>
  <c r="E1449" i="210"/>
  <c r="M1448" i="210"/>
  <c r="M1468" i="210" s="1"/>
  <c r="M1469" i="210" s="1"/>
  <c r="M1447" i="210"/>
  <c r="M1464" i="210" s="1"/>
  <c r="M1446" i="210"/>
  <c r="M1445" i="210"/>
  <c r="M1456" i="210" s="1"/>
  <c r="M1457" i="210" s="1"/>
  <c r="A1445" i="210"/>
  <c r="A1446" i="210" s="1"/>
  <c r="A1447" i="210" s="1"/>
  <c r="A1448" i="210" s="1"/>
  <c r="A1449" i="210" s="1"/>
  <c r="A1452" i="210" s="1"/>
  <c r="A1453" i="210" s="1"/>
  <c r="A1454" i="210" s="1"/>
  <c r="A1456" i="210" s="1"/>
  <c r="A1457" i="210" s="1"/>
  <c r="A1458" i="210" s="1"/>
  <c r="A1460" i="210" s="1"/>
  <c r="A1461" i="210" s="1"/>
  <c r="A1462" i="210" s="1"/>
  <c r="A1464" i="210" s="1"/>
  <c r="A1465" i="210" s="1"/>
  <c r="A1466" i="210" s="1"/>
  <c r="A1468" i="210" s="1"/>
  <c r="A1469" i="210" s="1"/>
  <c r="A1470" i="210" s="1"/>
  <c r="M1444" i="210"/>
  <c r="M1452" i="210" s="1"/>
  <c r="M1453" i="210" s="1"/>
  <c r="O1441" i="210"/>
  <c r="N1441" i="210"/>
  <c r="M1441" i="210"/>
  <c r="L1441" i="210"/>
  <c r="K1441" i="210"/>
  <c r="J1441" i="210"/>
  <c r="I1441" i="210"/>
  <c r="O1434" i="210"/>
  <c r="A1433" i="210"/>
  <c r="A1432" i="210"/>
  <c r="A1429" i="210"/>
  <c r="M1424" i="210"/>
  <c r="N1423" i="210"/>
  <c r="N3467" i="209" s="1"/>
  <c r="M1423" i="210"/>
  <c r="N1422" i="210"/>
  <c r="F1422" i="210"/>
  <c r="F1423" i="210" s="1"/>
  <c r="E1422" i="210"/>
  <c r="E1423" i="210" s="1"/>
  <c r="M1420" i="210"/>
  <c r="N1418" i="210"/>
  <c r="N1419" i="210" s="1"/>
  <c r="F1418" i="210"/>
  <c r="F1419" i="210" s="1"/>
  <c r="F3466" i="209" s="1"/>
  <c r="M3466" i="209" s="1"/>
  <c r="E1418" i="210"/>
  <c r="E1419" i="210" s="1"/>
  <c r="M1416" i="210"/>
  <c r="E1415" i="210"/>
  <c r="N1414" i="210"/>
  <c r="N1415" i="210" s="1"/>
  <c r="F1414" i="210"/>
  <c r="F1415" i="210" s="1"/>
  <c r="E1414" i="210"/>
  <c r="M1412" i="210"/>
  <c r="N1410" i="210"/>
  <c r="N1411" i="210" s="1"/>
  <c r="N3460" i="209" s="1"/>
  <c r="F1410" i="210"/>
  <c r="F1411" i="210" s="1"/>
  <c r="F3460" i="209" s="1"/>
  <c r="E1410" i="210"/>
  <c r="E1411" i="210" s="1"/>
  <c r="E3460" i="209" s="1"/>
  <c r="M1408" i="210"/>
  <c r="N1406" i="210"/>
  <c r="N1407" i="210" s="1"/>
  <c r="N3458" i="209" s="1"/>
  <c r="F1406" i="210"/>
  <c r="F1407" i="210" s="1"/>
  <c r="E1406" i="210"/>
  <c r="E1407" i="210" s="1"/>
  <c r="E3458" i="209" s="1"/>
  <c r="N1403" i="210"/>
  <c r="F1403" i="210"/>
  <c r="E1403" i="210"/>
  <c r="M1402" i="210"/>
  <c r="M1422" i="210" s="1"/>
  <c r="M1401" i="210"/>
  <c r="M1418" i="210" s="1"/>
  <c r="M1400" i="210"/>
  <c r="M1414" i="210" s="1"/>
  <c r="M1415" i="210" s="1"/>
  <c r="M1399" i="210"/>
  <c r="M1410" i="210" s="1"/>
  <c r="M1411" i="210" s="1"/>
  <c r="A1399" i="210"/>
  <c r="A1400" i="210" s="1"/>
  <c r="A1401" i="210" s="1"/>
  <c r="A1402" i="210" s="1"/>
  <c r="A1403" i="210" s="1"/>
  <c r="A1406" i="210" s="1"/>
  <c r="A1407" i="210" s="1"/>
  <c r="A1408" i="210" s="1"/>
  <c r="A1410" i="210" s="1"/>
  <c r="A1411" i="210" s="1"/>
  <c r="A1412" i="210" s="1"/>
  <c r="A1414" i="210" s="1"/>
  <c r="A1415" i="210" s="1"/>
  <c r="A1416" i="210" s="1"/>
  <c r="A1418" i="210" s="1"/>
  <c r="A1419" i="210" s="1"/>
  <c r="A1420" i="210" s="1"/>
  <c r="A1422" i="210" s="1"/>
  <c r="A1423" i="210" s="1"/>
  <c r="A1424" i="210" s="1"/>
  <c r="M1398" i="210"/>
  <c r="O1395" i="210"/>
  <c r="N1395" i="210"/>
  <c r="M1395" i="210"/>
  <c r="L1395" i="210"/>
  <c r="K1395" i="210"/>
  <c r="J1395" i="210"/>
  <c r="I1395" i="210"/>
  <c r="O1388" i="210"/>
  <c r="A1387" i="210"/>
  <c r="A1386" i="210"/>
  <c r="A1383" i="210"/>
  <c r="M1378" i="210"/>
  <c r="A1377" i="210"/>
  <c r="A1378" i="210" s="1"/>
  <c r="N1376" i="210"/>
  <c r="N1377" i="210" s="1"/>
  <c r="F1376" i="210"/>
  <c r="F1377" i="210" s="1"/>
  <c r="E1376" i="210"/>
  <c r="E1377" i="210" s="1"/>
  <c r="M1374" i="210"/>
  <c r="N1372" i="210"/>
  <c r="N1373" i="210" s="1"/>
  <c r="F1372" i="210"/>
  <c r="F1373" i="210" s="1"/>
  <c r="E1372" i="210"/>
  <c r="E1373" i="210" s="1"/>
  <c r="E3352" i="209" s="1"/>
  <c r="M1370" i="210"/>
  <c r="N1368" i="210"/>
  <c r="N1369" i="210" s="1"/>
  <c r="F1368" i="210"/>
  <c r="F1369" i="210" s="1"/>
  <c r="F3349" i="209" s="1"/>
  <c r="M3349" i="209" s="1"/>
  <c r="E1368" i="210"/>
  <c r="E1369" i="210" s="1"/>
  <c r="E3349" i="209" s="1"/>
  <c r="M1366" i="210"/>
  <c r="F1365" i="210"/>
  <c r="N1364" i="210"/>
  <c r="N1365" i="210" s="1"/>
  <c r="N3346" i="209" s="1"/>
  <c r="F1364" i="210"/>
  <c r="E1364" i="210"/>
  <c r="E1365" i="210" s="1"/>
  <c r="M1362" i="210"/>
  <c r="N1360" i="210"/>
  <c r="N1361" i="210" s="1"/>
  <c r="N3344" i="209" s="1"/>
  <c r="F1360" i="210"/>
  <c r="F1361" i="210" s="1"/>
  <c r="E1360" i="210"/>
  <c r="E1361" i="210" s="1"/>
  <c r="N1357" i="210"/>
  <c r="F1357" i="210"/>
  <c r="E1357" i="210"/>
  <c r="M1356" i="210"/>
  <c r="M1376" i="210" s="1"/>
  <c r="M1355" i="210"/>
  <c r="M1372" i="210" s="1"/>
  <c r="M1373" i="210" s="1"/>
  <c r="M1354" i="210"/>
  <c r="M1368" i="210" s="1"/>
  <c r="M1369" i="210" s="1"/>
  <c r="M1353" i="210"/>
  <c r="M1364" i="210" s="1"/>
  <c r="A1353" i="210"/>
  <c r="A1354" i="210" s="1"/>
  <c r="A1355" i="210" s="1"/>
  <c r="A1356" i="210" s="1"/>
  <c r="A1357" i="210" s="1"/>
  <c r="A1360" i="210" s="1"/>
  <c r="A1361" i="210" s="1"/>
  <c r="A1362" i="210" s="1"/>
  <c r="A1364" i="210" s="1"/>
  <c r="A1365" i="210" s="1"/>
  <c r="A1366" i="210" s="1"/>
  <c r="A1368" i="210" s="1"/>
  <c r="A1369" i="210" s="1"/>
  <c r="A1370" i="210" s="1"/>
  <c r="A1372" i="210" s="1"/>
  <c r="A1373" i="210" s="1"/>
  <c r="A1374" i="210" s="1"/>
  <c r="A1376" i="210" s="1"/>
  <c r="M1352" i="210"/>
  <c r="M1360" i="210" s="1"/>
  <c r="O1349" i="210"/>
  <c r="N1349" i="210"/>
  <c r="M1349" i="210"/>
  <c r="L1349" i="210"/>
  <c r="K1349" i="210"/>
  <c r="J1349" i="210"/>
  <c r="I1349" i="210"/>
  <c r="O1342" i="210"/>
  <c r="A1341" i="210"/>
  <c r="A1340" i="210"/>
  <c r="A1337" i="210"/>
  <c r="M1332" i="210"/>
  <c r="E1331" i="210"/>
  <c r="N1330" i="210"/>
  <c r="N1331" i="210" s="1"/>
  <c r="M1330" i="210"/>
  <c r="F1330" i="210"/>
  <c r="F1331" i="210" s="1"/>
  <c r="E1330" i="210"/>
  <c r="M1328" i="210"/>
  <c r="N1327" i="210"/>
  <c r="N1326" i="210"/>
  <c r="F1326" i="210"/>
  <c r="F1327" i="210" s="1"/>
  <c r="F3238" i="209" s="1"/>
  <c r="M3238" i="209" s="1"/>
  <c r="E1326" i="210"/>
  <c r="E1327" i="210" s="1"/>
  <c r="E3238" i="209" s="1"/>
  <c r="M1324" i="210"/>
  <c r="N1323" i="210"/>
  <c r="N1322" i="210"/>
  <c r="F1322" i="210"/>
  <c r="F1323" i="210" s="1"/>
  <c r="E1322" i="210"/>
  <c r="E1323" i="210" s="1"/>
  <c r="M1320" i="210"/>
  <c r="N1319" i="210"/>
  <c r="N1318" i="210"/>
  <c r="F1318" i="210"/>
  <c r="F1319" i="210" s="1"/>
  <c r="E1318" i="210"/>
  <c r="E1319" i="210" s="1"/>
  <c r="M1316" i="210"/>
  <c r="N1314" i="210"/>
  <c r="N1315" i="210" s="1"/>
  <c r="F1314" i="210"/>
  <c r="F1315" i="210" s="1"/>
  <c r="E1314" i="210"/>
  <c r="E1315" i="210" s="1"/>
  <c r="E3230" i="209" s="1"/>
  <c r="N1311" i="210"/>
  <c r="F1311" i="210"/>
  <c r="E1311" i="210"/>
  <c r="M1310" i="210"/>
  <c r="M1309" i="210"/>
  <c r="M1326" i="210" s="1"/>
  <c r="M1327" i="210" s="1"/>
  <c r="M1308" i="210"/>
  <c r="M1322" i="210" s="1"/>
  <c r="M1307" i="210"/>
  <c r="M1318" i="210" s="1"/>
  <c r="A1307" i="210"/>
  <c r="A1308" i="210" s="1"/>
  <c r="A1309" i="210" s="1"/>
  <c r="A1310" i="210" s="1"/>
  <c r="A1311" i="210" s="1"/>
  <c r="A1314" i="210" s="1"/>
  <c r="A1315" i="210" s="1"/>
  <c r="A1316" i="210" s="1"/>
  <c r="A1318" i="210" s="1"/>
  <c r="A1319" i="210" s="1"/>
  <c r="A1320" i="210" s="1"/>
  <c r="A1322" i="210" s="1"/>
  <c r="A1323" i="210" s="1"/>
  <c r="A1324" i="210" s="1"/>
  <c r="A1326" i="210" s="1"/>
  <c r="A1327" i="210" s="1"/>
  <c r="A1328" i="210" s="1"/>
  <c r="A1330" i="210" s="1"/>
  <c r="A1331" i="210" s="1"/>
  <c r="A1332" i="210" s="1"/>
  <c r="M1306" i="210"/>
  <c r="O1303" i="210"/>
  <c r="N1303" i="210"/>
  <c r="M1303" i="210"/>
  <c r="L1303" i="210"/>
  <c r="K1303" i="210"/>
  <c r="J1303" i="210"/>
  <c r="I1303" i="210"/>
  <c r="O1296" i="210"/>
  <c r="A1295" i="210"/>
  <c r="A1294" i="210"/>
  <c r="A1291" i="210"/>
  <c r="M1286" i="210"/>
  <c r="F1285" i="210"/>
  <c r="N1284" i="210"/>
  <c r="N1285" i="210" s="1"/>
  <c r="N3125" i="209" s="1"/>
  <c r="F1284" i="210"/>
  <c r="E1284" i="210"/>
  <c r="E1285" i="210" s="1"/>
  <c r="E3125" i="209" s="1"/>
  <c r="M1282" i="210"/>
  <c r="N1280" i="210"/>
  <c r="N1281" i="210" s="1"/>
  <c r="N3124" i="209" s="1"/>
  <c r="F1280" i="210"/>
  <c r="F1281" i="210" s="1"/>
  <c r="E1280" i="210"/>
  <c r="E1281" i="210" s="1"/>
  <c r="M1278" i="210"/>
  <c r="N1276" i="210"/>
  <c r="N1277" i="210" s="1"/>
  <c r="M1276" i="210"/>
  <c r="F1276" i="210"/>
  <c r="F1277" i="210" s="1"/>
  <c r="E1276" i="210"/>
  <c r="E1277" i="210" s="1"/>
  <c r="E3121" i="209" s="1"/>
  <c r="M1274" i="210"/>
  <c r="N1272" i="210"/>
  <c r="N1273" i="210" s="1"/>
  <c r="M1272" i="210"/>
  <c r="F1272" i="210"/>
  <c r="F1273" i="210" s="1"/>
  <c r="F3118" i="209" s="1"/>
  <c r="M3118" i="209" s="1"/>
  <c r="E1272" i="210"/>
  <c r="E1273" i="210" s="1"/>
  <c r="E3118" i="209" s="1"/>
  <c r="M1270" i="210"/>
  <c r="F1269" i="210"/>
  <c r="E1269" i="210"/>
  <c r="N1268" i="210"/>
  <c r="N1269" i="210" s="1"/>
  <c r="F1268" i="210"/>
  <c r="E1268" i="210"/>
  <c r="N1265" i="210"/>
  <c r="F1265" i="210"/>
  <c r="E1265" i="210"/>
  <c r="M1264" i="210"/>
  <c r="M1284" i="210" s="1"/>
  <c r="M1263" i="210"/>
  <c r="M1280" i="210" s="1"/>
  <c r="M1281" i="210" s="1"/>
  <c r="M1262" i="210"/>
  <c r="M1261" i="210"/>
  <c r="A1261" i="210"/>
  <c r="A1262" i="210" s="1"/>
  <c r="A1263" i="210" s="1"/>
  <c r="A1264" i="210" s="1"/>
  <c r="A1265" i="210" s="1"/>
  <c r="A1268" i="210" s="1"/>
  <c r="A1269" i="210" s="1"/>
  <c r="A1270" i="210" s="1"/>
  <c r="A1272" i="210" s="1"/>
  <c r="A1273" i="210" s="1"/>
  <c r="A1274" i="210" s="1"/>
  <c r="A1276" i="210" s="1"/>
  <c r="A1277" i="210" s="1"/>
  <c r="A1278" i="210" s="1"/>
  <c r="A1280" i="210" s="1"/>
  <c r="A1281" i="210" s="1"/>
  <c r="A1282" i="210" s="1"/>
  <c r="A1284" i="210" s="1"/>
  <c r="A1285" i="210" s="1"/>
  <c r="A1286" i="210" s="1"/>
  <c r="M1260" i="210"/>
  <c r="M1268" i="210" s="1"/>
  <c r="M1269" i="210" s="1"/>
  <c r="O1257" i="210"/>
  <c r="N1257" i="210"/>
  <c r="M1257" i="210"/>
  <c r="L1257" i="210"/>
  <c r="K1257" i="210"/>
  <c r="J1257" i="210"/>
  <c r="I1257" i="210"/>
  <c r="O1250" i="210"/>
  <c r="A1249" i="210"/>
  <c r="A1248" i="210"/>
  <c r="A1245" i="210"/>
  <c r="M1240" i="210"/>
  <c r="M1239" i="210" s="1"/>
  <c r="N1239" i="210"/>
  <c r="N1238" i="210"/>
  <c r="M1238" i="210"/>
  <c r="F1238" i="210"/>
  <c r="F1239" i="210" s="1"/>
  <c r="E1238" i="210"/>
  <c r="E1239" i="210" s="1"/>
  <c r="M1236" i="210"/>
  <c r="N1234" i="210"/>
  <c r="N1235" i="210" s="1"/>
  <c r="F1234" i="210"/>
  <c r="F1235" i="210" s="1"/>
  <c r="E1234" i="210"/>
  <c r="E1235" i="210" s="1"/>
  <c r="E3010" i="209" s="1"/>
  <c r="M1232" i="210"/>
  <c r="N1230" i="210"/>
  <c r="N1231" i="210" s="1"/>
  <c r="F1230" i="210"/>
  <c r="F1231" i="210" s="1"/>
  <c r="F3007" i="209" s="1"/>
  <c r="M3007" i="209" s="1"/>
  <c r="E1230" i="210"/>
  <c r="E1231" i="210" s="1"/>
  <c r="E3007" i="209" s="1"/>
  <c r="M1228" i="210"/>
  <c r="F1227" i="210"/>
  <c r="N1226" i="210"/>
  <c r="N1227" i="210" s="1"/>
  <c r="F1226" i="210"/>
  <c r="E1226" i="210"/>
  <c r="E1227" i="210" s="1"/>
  <c r="E3004" i="209" s="1"/>
  <c r="M1224" i="210"/>
  <c r="N1222" i="210"/>
  <c r="N1223" i="210" s="1"/>
  <c r="N3002" i="209" s="1"/>
  <c r="M1222" i="210"/>
  <c r="F1222" i="210"/>
  <c r="F1223" i="210" s="1"/>
  <c r="F3002" i="209" s="1"/>
  <c r="M3002" i="209" s="1"/>
  <c r="E1222" i="210"/>
  <c r="E1223" i="210" s="1"/>
  <c r="N1219" i="210"/>
  <c r="F1219" i="210"/>
  <c r="E1219" i="210"/>
  <c r="M1218" i="210"/>
  <c r="M1217" i="210"/>
  <c r="M1234" i="210" s="1"/>
  <c r="M1216" i="210"/>
  <c r="M1230" i="210" s="1"/>
  <c r="M1231" i="210" s="1"/>
  <c r="M1215" i="210"/>
  <c r="M1226" i="210" s="1"/>
  <c r="A1215" i="210"/>
  <c r="A1216" i="210" s="1"/>
  <c r="A1217" i="210" s="1"/>
  <c r="A1218" i="210" s="1"/>
  <c r="A1219" i="210" s="1"/>
  <c r="A1222" i="210" s="1"/>
  <c r="A1223" i="210" s="1"/>
  <c r="A1224" i="210" s="1"/>
  <c r="A1226" i="210" s="1"/>
  <c r="A1227" i="210" s="1"/>
  <c r="A1228" i="210" s="1"/>
  <c r="A1230" i="210" s="1"/>
  <c r="A1231" i="210" s="1"/>
  <c r="A1232" i="210" s="1"/>
  <c r="A1234" i="210" s="1"/>
  <c r="A1235" i="210" s="1"/>
  <c r="A1236" i="210" s="1"/>
  <c r="A1238" i="210" s="1"/>
  <c r="A1239" i="210" s="1"/>
  <c r="A1240" i="210" s="1"/>
  <c r="M1214" i="210"/>
  <c r="O1211" i="210"/>
  <c r="N1211" i="210"/>
  <c r="M1211" i="210"/>
  <c r="L1211" i="210"/>
  <c r="K1211" i="210"/>
  <c r="J1211" i="210"/>
  <c r="I1211" i="210"/>
  <c r="O1204" i="210"/>
  <c r="A1203" i="210"/>
  <c r="A1202" i="210"/>
  <c r="A1199" i="210"/>
  <c r="M1194" i="210"/>
  <c r="N1192" i="210"/>
  <c r="N1193" i="210" s="1"/>
  <c r="F1192" i="210"/>
  <c r="F1193" i="210" s="1"/>
  <c r="E1192" i="210"/>
  <c r="E1193" i="210" s="1"/>
  <c r="E2897" i="209" s="1"/>
  <c r="M1190" i="210"/>
  <c r="F1189" i="210"/>
  <c r="E1189" i="210"/>
  <c r="N1188" i="210"/>
  <c r="N1189" i="210" s="1"/>
  <c r="N2896" i="209" s="1"/>
  <c r="F1188" i="210"/>
  <c r="E1188" i="210"/>
  <c r="M1186" i="210"/>
  <c r="E1185" i="210"/>
  <c r="N1184" i="210"/>
  <c r="N1185" i="210" s="1"/>
  <c r="F1184" i="210"/>
  <c r="F1185" i="210" s="1"/>
  <c r="F2893" i="209" s="1"/>
  <c r="M2893" i="209" s="1"/>
  <c r="E1184" i="210"/>
  <c r="M1182" i="210"/>
  <c r="N1180" i="210"/>
  <c r="N1181" i="210" s="1"/>
  <c r="N2890" i="209" s="1"/>
  <c r="F1180" i="210"/>
  <c r="F1181" i="210" s="1"/>
  <c r="F2890" i="209" s="1"/>
  <c r="M2890" i="209" s="1"/>
  <c r="E1180" i="210"/>
  <c r="E1181" i="210" s="1"/>
  <c r="M1178" i="210"/>
  <c r="N1176" i="210"/>
  <c r="N1177" i="210" s="1"/>
  <c r="N2888" i="209" s="1"/>
  <c r="F1176" i="210"/>
  <c r="F1177" i="210" s="1"/>
  <c r="E1176" i="210"/>
  <c r="E1177" i="210" s="1"/>
  <c r="E2888" i="209" s="1"/>
  <c r="N1173" i="210"/>
  <c r="F1173" i="210"/>
  <c r="E1173" i="210"/>
  <c r="M1172" i="210"/>
  <c r="M1192" i="210" s="1"/>
  <c r="M1171" i="210"/>
  <c r="M1188" i="210" s="1"/>
  <c r="M1170" i="210"/>
  <c r="M1184" i="210" s="1"/>
  <c r="M1185" i="210" s="1"/>
  <c r="M1169" i="210"/>
  <c r="M1180" i="210" s="1"/>
  <c r="M1181" i="210" s="1"/>
  <c r="A1169" i="210"/>
  <c r="A1170" i="210" s="1"/>
  <c r="A1171" i="210" s="1"/>
  <c r="A1172" i="210" s="1"/>
  <c r="A1173" i="210" s="1"/>
  <c r="A1176" i="210" s="1"/>
  <c r="A1177" i="210" s="1"/>
  <c r="A1178" i="210" s="1"/>
  <c r="A1180" i="210" s="1"/>
  <c r="A1181" i="210" s="1"/>
  <c r="A1182" i="210" s="1"/>
  <c r="A1184" i="210" s="1"/>
  <c r="A1185" i="210" s="1"/>
  <c r="A1186" i="210" s="1"/>
  <c r="A1188" i="210" s="1"/>
  <c r="A1189" i="210" s="1"/>
  <c r="A1190" i="210" s="1"/>
  <c r="A1192" i="210" s="1"/>
  <c r="A1193" i="210" s="1"/>
  <c r="A1194" i="210" s="1"/>
  <c r="M1168" i="210"/>
  <c r="M1176" i="210" s="1"/>
  <c r="O1165" i="210"/>
  <c r="N1165" i="210"/>
  <c r="M1165" i="210"/>
  <c r="L1165" i="210"/>
  <c r="K1165" i="210"/>
  <c r="J1165" i="210"/>
  <c r="I1165" i="210"/>
  <c r="O1158" i="210"/>
  <c r="A1157" i="210"/>
  <c r="A1156" i="210"/>
  <c r="A1153" i="210"/>
  <c r="M1148" i="210"/>
  <c r="F1147" i="210"/>
  <c r="F2783" i="209" s="1"/>
  <c r="M2783" i="209" s="1"/>
  <c r="E1147" i="210"/>
  <c r="N1146" i="210"/>
  <c r="N1147" i="210" s="1"/>
  <c r="F1146" i="210"/>
  <c r="E1146" i="210"/>
  <c r="M1144" i="210"/>
  <c r="F1143" i="210"/>
  <c r="N1142" i="210"/>
  <c r="N1143" i="210" s="1"/>
  <c r="F1142" i="210"/>
  <c r="E1142" i="210"/>
  <c r="E1143" i="210" s="1"/>
  <c r="M1140" i="210"/>
  <c r="N1138" i="210"/>
  <c r="N1139" i="210" s="1"/>
  <c r="N2779" i="209" s="1"/>
  <c r="F1138" i="210"/>
  <c r="F1139" i="210" s="1"/>
  <c r="F2779" i="209" s="1"/>
  <c r="E1138" i="210"/>
  <c r="E1139" i="210" s="1"/>
  <c r="M1136" i="210"/>
  <c r="N1135" i="210"/>
  <c r="N1134" i="210"/>
  <c r="F1134" i="210"/>
  <c r="F1135" i="210" s="1"/>
  <c r="E1134" i="210"/>
  <c r="E1135" i="210" s="1"/>
  <c r="E2776" i="209" s="1"/>
  <c r="M1132" i="210"/>
  <c r="E1131" i="210"/>
  <c r="N1130" i="210"/>
  <c r="N1131" i="210" s="1"/>
  <c r="F1130" i="210"/>
  <c r="F1131" i="210" s="1"/>
  <c r="F2774" i="209" s="1"/>
  <c r="E1130" i="210"/>
  <c r="N1127" i="210"/>
  <c r="F1127" i="210"/>
  <c r="E1127" i="210"/>
  <c r="M1126" i="210"/>
  <c r="M1146" i="210" s="1"/>
  <c r="M1147" i="210" s="1"/>
  <c r="M1125" i="210"/>
  <c r="M1142" i="210" s="1"/>
  <c r="M1143" i="210" s="1"/>
  <c r="M1124" i="210"/>
  <c r="M1138" i="210" s="1"/>
  <c r="M1139" i="210" s="1"/>
  <c r="M1123" i="210"/>
  <c r="M1134" i="210" s="1"/>
  <c r="A1123" i="210"/>
  <c r="A1124" i="210" s="1"/>
  <c r="A1125" i="210" s="1"/>
  <c r="A1126" i="210" s="1"/>
  <c r="A1127" i="210" s="1"/>
  <c r="A1130" i="210" s="1"/>
  <c r="A1131" i="210" s="1"/>
  <c r="A1132" i="210" s="1"/>
  <c r="A1134" i="210" s="1"/>
  <c r="A1135" i="210" s="1"/>
  <c r="A1136" i="210" s="1"/>
  <c r="A1138" i="210" s="1"/>
  <c r="A1139" i="210" s="1"/>
  <c r="A1140" i="210" s="1"/>
  <c r="A1142" i="210" s="1"/>
  <c r="A1143" i="210" s="1"/>
  <c r="A1144" i="210" s="1"/>
  <c r="A1146" i="210" s="1"/>
  <c r="A1147" i="210" s="1"/>
  <c r="A1148" i="210" s="1"/>
  <c r="M1122" i="210"/>
  <c r="O1119" i="210"/>
  <c r="N1119" i="210"/>
  <c r="M1119" i="210"/>
  <c r="L1119" i="210"/>
  <c r="K1119" i="210"/>
  <c r="J1119" i="210"/>
  <c r="I1119" i="210"/>
  <c r="O1112" i="210"/>
  <c r="A1111" i="210"/>
  <c r="A1110" i="210"/>
  <c r="A1107" i="210"/>
  <c r="F1102" i="210"/>
  <c r="E1102" i="210"/>
  <c r="E1101" i="210" s="1"/>
  <c r="E2669" i="209" s="1"/>
  <c r="N1101" i="210"/>
  <c r="N1100" i="210"/>
  <c r="K1100" i="210"/>
  <c r="F1100" i="210"/>
  <c r="E1100" i="210"/>
  <c r="F1098" i="210"/>
  <c r="M1098" i="210" s="1"/>
  <c r="E1098" i="210"/>
  <c r="N1097" i="210"/>
  <c r="N1096" i="210"/>
  <c r="K1096" i="210"/>
  <c r="F1096" i="210"/>
  <c r="E1096" i="210"/>
  <c r="M1094" i="210"/>
  <c r="F1094" i="210"/>
  <c r="E1094" i="210"/>
  <c r="F1093" i="210"/>
  <c r="F2665" i="209" s="1"/>
  <c r="M2665" i="209" s="1"/>
  <c r="N1092" i="210"/>
  <c r="N1093" i="210" s="1"/>
  <c r="K1092" i="210"/>
  <c r="F1092" i="210"/>
  <c r="E1092" i="210"/>
  <c r="F1090" i="210"/>
  <c r="F1089" i="210" s="1"/>
  <c r="E1090" i="210"/>
  <c r="E1089" i="210" s="1"/>
  <c r="E2662" i="209" s="1"/>
  <c r="N1088" i="210"/>
  <c r="N1089" i="210" s="1"/>
  <c r="N2662" i="209" s="1"/>
  <c r="K1088" i="210"/>
  <c r="F1088" i="210"/>
  <c r="E1088" i="210"/>
  <c r="F1086" i="210"/>
  <c r="E1086" i="210"/>
  <c r="N1084" i="210"/>
  <c r="N1085" i="210" s="1"/>
  <c r="K1084" i="210"/>
  <c r="F1084" i="210"/>
  <c r="E1084" i="210"/>
  <c r="N1081" i="210"/>
  <c r="K1081" i="210"/>
  <c r="F1081" i="210"/>
  <c r="E1081" i="210"/>
  <c r="M1080" i="210"/>
  <c r="M1100" i="210" s="1"/>
  <c r="A1080" i="210"/>
  <c r="A1081" i="210" s="1"/>
  <c r="A1084" i="210" s="1"/>
  <c r="A1085" i="210" s="1"/>
  <c r="A1086" i="210" s="1"/>
  <c r="A1088" i="210" s="1"/>
  <c r="A1089" i="210" s="1"/>
  <c r="A1090" i="210" s="1"/>
  <c r="A1092" i="210" s="1"/>
  <c r="A1093" i="210" s="1"/>
  <c r="A1094" i="210" s="1"/>
  <c r="A1096" i="210" s="1"/>
  <c r="A1097" i="210" s="1"/>
  <c r="A1098" i="210" s="1"/>
  <c r="A1100" i="210" s="1"/>
  <c r="A1101" i="210" s="1"/>
  <c r="A1102" i="210" s="1"/>
  <c r="M1079" i="210"/>
  <c r="M1096" i="210" s="1"/>
  <c r="M1078" i="210"/>
  <c r="M1092" i="210" s="1"/>
  <c r="A1078" i="210"/>
  <c r="A1079" i="210" s="1"/>
  <c r="M1077" i="210"/>
  <c r="M1088" i="210" s="1"/>
  <c r="A1077" i="210"/>
  <c r="M1076" i="210"/>
  <c r="M1084" i="210" s="1"/>
  <c r="O1073" i="210"/>
  <c r="N1073" i="210"/>
  <c r="M1073" i="210"/>
  <c r="L1073" i="210"/>
  <c r="K1073" i="210"/>
  <c r="J1073" i="210"/>
  <c r="I1073" i="210"/>
  <c r="O1066" i="210"/>
  <c r="A1065" i="210"/>
  <c r="A1064" i="210"/>
  <c r="A1061" i="210"/>
  <c r="F1056" i="210"/>
  <c r="M1056" i="210" s="1"/>
  <c r="E1056" i="210"/>
  <c r="N1054" i="210"/>
  <c r="N1055" i="210" s="1"/>
  <c r="K1054" i="210"/>
  <c r="F1054" i="210"/>
  <c r="E1054" i="210"/>
  <c r="F1052" i="210"/>
  <c r="M1052" i="210" s="1"/>
  <c r="E1052" i="210"/>
  <c r="N1050" i="210"/>
  <c r="N1051" i="210" s="1"/>
  <c r="K1050" i="210"/>
  <c r="F1050" i="210"/>
  <c r="F1051" i="210" s="1"/>
  <c r="E1050" i="210"/>
  <c r="F1048" i="210"/>
  <c r="E1048" i="210"/>
  <c r="N1046" i="210"/>
  <c r="N1047" i="210" s="1"/>
  <c r="N2551" i="209" s="1"/>
  <c r="K1046" i="210"/>
  <c r="F1046" i="210"/>
  <c r="E1046" i="210"/>
  <c r="E1047" i="210" s="1"/>
  <c r="E2551" i="209" s="1"/>
  <c r="F1044" i="210"/>
  <c r="M1044" i="210" s="1"/>
  <c r="E1044" i="210"/>
  <c r="N1043" i="210"/>
  <c r="N1042" i="210"/>
  <c r="K1042" i="210"/>
  <c r="F1042" i="210"/>
  <c r="E1042" i="210"/>
  <c r="F1040" i="210"/>
  <c r="M1040" i="210" s="1"/>
  <c r="E1040" i="210"/>
  <c r="N1039" i="210"/>
  <c r="N1038" i="210"/>
  <c r="K1038" i="210"/>
  <c r="F1038" i="210"/>
  <c r="E1038" i="210"/>
  <c r="N1035" i="210"/>
  <c r="K1035" i="210"/>
  <c r="F1035" i="210"/>
  <c r="E1035" i="210"/>
  <c r="M1034" i="210"/>
  <c r="M1054" i="210" s="1"/>
  <c r="M1033" i="210"/>
  <c r="M1050" i="210" s="1"/>
  <c r="M1032" i="210"/>
  <c r="M1046" i="210" s="1"/>
  <c r="M1031" i="210"/>
  <c r="M1042" i="210" s="1"/>
  <c r="A1031" i="210"/>
  <c r="A1032" i="210" s="1"/>
  <c r="A1033" i="210" s="1"/>
  <c r="A1034" i="210" s="1"/>
  <c r="A1035" i="210" s="1"/>
  <c r="A1038" i="210" s="1"/>
  <c r="A1039" i="210" s="1"/>
  <c r="A1040" i="210" s="1"/>
  <c r="A1042" i="210" s="1"/>
  <c r="A1043" i="210" s="1"/>
  <c r="A1044" i="210" s="1"/>
  <c r="A1046" i="210" s="1"/>
  <c r="A1047" i="210" s="1"/>
  <c r="A1048" i="210" s="1"/>
  <c r="A1050" i="210" s="1"/>
  <c r="A1051" i="210" s="1"/>
  <c r="A1052" i="210" s="1"/>
  <c r="A1054" i="210" s="1"/>
  <c r="A1055" i="210" s="1"/>
  <c r="A1056" i="210" s="1"/>
  <c r="M1030" i="210"/>
  <c r="M1038" i="210" s="1"/>
  <c r="O1027" i="210"/>
  <c r="N1027" i="210"/>
  <c r="M1027" i="210"/>
  <c r="L1027" i="210"/>
  <c r="K1027" i="210"/>
  <c r="J1027" i="210"/>
  <c r="I1027" i="210"/>
  <c r="O1020" i="210"/>
  <c r="A1019" i="210"/>
  <c r="A1018" i="210"/>
  <c r="A1015" i="210"/>
  <c r="F1010" i="210"/>
  <c r="E1010" i="210"/>
  <c r="E1009" i="210" s="1"/>
  <c r="E2441" i="209" s="1"/>
  <c r="N1008" i="210"/>
  <c r="N1009" i="210" s="1"/>
  <c r="K1008" i="210"/>
  <c r="F1008" i="210"/>
  <c r="E1008" i="210"/>
  <c r="M1006" i="210"/>
  <c r="F1006" i="210"/>
  <c r="E1006" i="210"/>
  <c r="E1005" i="210" s="1"/>
  <c r="E2440" i="209" s="1"/>
  <c r="F1005" i="210"/>
  <c r="F2440" i="209" s="1"/>
  <c r="M2440" i="209" s="1"/>
  <c r="N1004" i="210"/>
  <c r="N1005" i="210" s="1"/>
  <c r="K1004" i="210"/>
  <c r="F1004" i="210"/>
  <c r="E1004" i="210"/>
  <c r="F1002" i="210"/>
  <c r="E1002" i="210"/>
  <c r="N1000" i="210"/>
  <c r="N1001" i="210" s="1"/>
  <c r="N2437" i="209" s="1"/>
  <c r="K1000" i="210"/>
  <c r="F1000" i="210"/>
  <c r="E1000" i="210"/>
  <c r="F998" i="210"/>
  <c r="M998" i="210" s="1"/>
  <c r="E998" i="210"/>
  <c r="N996" i="210"/>
  <c r="N997" i="210" s="1"/>
  <c r="N2434" i="209" s="1"/>
  <c r="K996" i="210"/>
  <c r="F996" i="210"/>
  <c r="F997" i="210" s="1"/>
  <c r="F2434" i="209" s="1"/>
  <c r="M2434" i="209" s="1"/>
  <c r="E996" i="210"/>
  <c r="F994" i="210"/>
  <c r="M994" i="210" s="1"/>
  <c r="E994" i="210"/>
  <c r="E993" i="210" s="1"/>
  <c r="E2432" i="209" s="1"/>
  <c r="N993" i="210"/>
  <c r="F993" i="210"/>
  <c r="F2432" i="209" s="1"/>
  <c r="M2432" i="209" s="1"/>
  <c r="N992" i="210"/>
  <c r="K992" i="210"/>
  <c r="F992" i="210"/>
  <c r="E992" i="210"/>
  <c r="N989" i="210"/>
  <c r="K989" i="210"/>
  <c r="F989" i="210"/>
  <c r="E989" i="210"/>
  <c r="M988" i="210"/>
  <c r="M1008" i="210" s="1"/>
  <c r="M987" i="210"/>
  <c r="M1004" i="210" s="1"/>
  <c r="M986" i="210"/>
  <c r="M985" i="210"/>
  <c r="M996" i="210" s="1"/>
  <c r="A985" i="210"/>
  <c r="A986" i="210" s="1"/>
  <c r="A987" i="210" s="1"/>
  <c r="A988" i="210" s="1"/>
  <c r="A989" i="210" s="1"/>
  <c r="A992" i="210" s="1"/>
  <c r="A993" i="210" s="1"/>
  <c r="A994" i="210" s="1"/>
  <c r="A996" i="210" s="1"/>
  <c r="A997" i="210" s="1"/>
  <c r="A998" i="210" s="1"/>
  <c r="A1000" i="210" s="1"/>
  <c r="A1001" i="210" s="1"/>
  <c r="A1002" i="210" s="1"/>
  <c r="A1004" i="210" s="1"/>
  <c r="A1005" i="210" s="1"/>
  <c r="A1006" i="210" s="1"/>
  <c r="A1008" i="210" s="1"/>
  <c r="A1009" i="210" s="1"/>
  <c r="A1010" i="210" s="1"/>
  <c r="M984" i="210"/>
  <c r="M992" i="210" s="1"/>
  <c r="O981" i="210"/>
  <c r="N981" i="210"/>
  <c r="M981" i="210"/>
  <c r="L981" i="210"/>
  <c r="K981" i="210"/>
  <c r="J981" i="210"/>
  <c r="I981" i="210"/>
  <c r="O974" i="210"/>
  <c r="A973" i="210"/>
  <c r="A972" i="210"/>
  <c r="A969" i="210"/>
  <c r="F964" i="210"/>
  <c r="M964" i="210" s="1"/>
  <c r="E964" i="210"/>
  <c r="N963" i="210"/>
  <c r="N2327" i="209" s="1"/>
  <c r="N962" i="210"/>
  <c r="K962" i="210"/>
  <c r="F962" i="210"/>
  <c r="E962" i="210"/>
  <c r="F960" i="210"/>
  <c r="M960" i="210" s="1"/>
  <c r="E960" i="210"/>
  <c r="N959" i="210"/>
  <c r="N2326" i="209" s="1"/>
  <c r="N958" i="210"/>
  <c r="K958" i="210"/>
  <c r="F958" i="210"/>
  <c r="F959" i="210" s="1"/>
  <c r="F2326" i="209" s="1"/>
  <c r="M2326" i="209" s="1"/>
  <c r="E958" i="210"/>
  <c r="E959" i="210" s="1"/>
  <c r="F956" i="210"/>
  <c r="M956" i="210" s="1"/>
  <c r="E956" i="210"/>
  <c r="N954" i="210"/>
  <c r="N955" i="210" s="1"/>
  <c r="K954" i="210"/>
  <c r="F954" i="210"/>
  <c r="E954" i="210"/>
  <c r="F952" i="210"/>
  <c r="M952" i="210" s="1"/>
  <c r="E952" i="210"/>
  <c r="N950" i="210"/>
  <c r="N951" i="210" s="1"/>
  <c r="K950" i="210"/>
  <c r="F950" i="210"/>
  <c r="F951" i="210" s="1"/>
  <c r="F2320" i="209" s="1"/>
  <c r="M2320" i="209" s="1"/>
  <c r="E950" i="210"/>
  <c r="F948" i="210"/>
  <c r="E948" i="210"/>
  <c r="N946" i="210"/>
  <c r="N947" i="210" s="1"/>
  <c r="N2318" i="209" s="1"/>
  <c r="K946" i="210"/>
  <c r="F946" i="210"/>
  <c r="E946" i="210"/>
  <c r="N943" i="210"/>
  <c r="K943" i="210"/>
  <c r="F943" i="210"/>
  <c r="E943" i="210"/>
  <c r="M942" i="210"/>
  <c r="M962" i="210" s="1"/>
  <c r="M941" i="210"/>
  <c r="M958" i="210" s="1"/>
  <c r="A941" i="210"/>
  <c r="A942" i="210" s="1"/>
  <c r="A943" i="210" s="1"/>
  <c r="A946" i="210" s="1"/>
  <c r="A947" i="210" s="1"/>
  <c r="A948" i="210" s="1"/>
  <c r="A950" i="210" s="1"/>
  <c r="A951" i="210" s="1"/>
  <c r="A952" i="210" s="1"/>
  <c r="A954" i="210" s="1"/>
  <c r="A955" i="210" s="1"/>
  <c r="A956" i="210" s="1"/>
  <c r="A958" i="210" s="1"/>
  <c r="A959" i="210" s="1"/>
  <c r="A960" i="210" s="1"/>
  <c r="A962" i="210" s="1"/>
  <c r="A963" i="210" s="1"/>
  <c r="A964" i="210" s="1"/>
  <c r="M940" i="210"/>
  <c r="M954" i="210" s="1"/>
  <c r="M939" i="210"/>
  <c r="M950" i="210" s="1"/>
  <c r="A939" i="210"/>
  <c r="A940" i="210" s="1"/>
  <c r="M938" i="210"/>
  <c r="O935" i="210"/>
  <c r="N935" i="210"/>
  <c r="M935" i="210"/>
  <c r="L935" i="210"/>
  <c r="K935" i="210"/>
  <c r="J935" i="210"/>
  <c r="I935" i="210"/>
  <c r="O928" i="210"/>
  <c r="A927" i="210"/>
  <c r="A926" i="210"/>
  <c r="A923" i="210"/>
  <c r="F918" i="210"/>
  <c r="E918" i="210"/>
  <c r="E917" i="210"/>
  <c r="E2213" i="209" s="1"/>
  <c r="N916" i="210"/>
  <c r="N917" i="210" s="1"/>
  <c r="N2213" i="209" s="1"/>
  <c r="K916" i="210"/>
  <c r="F916" i="210"/>
  <c r="E916" i="210"/>
  <c r="F914" i="210"/>
  <c r="E914" i="210"/>
  <c r="N912" i="210"/>
  <c r="N913" i="210" s="1"/>
  <c r="K912" i="210"/>
  <c r="F912" i="210"/>
  <c r="E912" i="210"/>
  <c r="F910" i="210"/>
  <c r="M910" i="210" s="1"/>
  <c r="E910" i="210"/>
  <c r="N908" i="210"/>
  <c r="N909" i="210" s="1"/>
  <c r="K908" i="210"/>
  <c r="F908" i="210"/>
  <c r="F909" i="210" s="1"/>
  <c r="E908" i="210"/>
  <c r="F906" i="210"/>
  <c r="F905" i="210" s="1"/>
  <c r="E906" i="210"/>
  <c r="N905" i="210"/>
  <c r="N2206" i="209" s="1"/>
  <c r="N904" i="210"/>
  <c r="K904" i="210"/>
  <c r="F904" i="210"/>
  <c r="E904" i="210"/>
  <c r="E905" i="210" s="1"/>
  <c r="M902" i="210"/>
  <c r="F902" i="210"/>
  <c r="E902" i="210"/>
  <c r="N900" i="210"/>
  <c r="N901" i="210" s="1"/>
  <c r="K900" i="210"/>
  <c r="F900" i="210"/>
  <c r="F901" i="210" s="1"/>
  <c r="F2204" i="209" s="1"/>
  <c r="M2204" i="209" s="1"/>
  <c r="E900" i="210"/>
  <c r="N897" i="210"/>
  <c r="K897" i="210"/>
  <c r="F897" i="210"/>
  <c r="E897" i="210"/>
  <c r="M896" i="210"/>
  <c r="M916" i="210" s="1"/>
  <c r="A896" i="210"/>
  <c r="A897" i="210" s="1"/>
  <c r="A900" i="210" s="1"/>
  <c r="A901" i="210" s="1"/>
  <c r="A902" i="210" s="1"/>
  <c r="A904" i="210" s="1"/>
  <c r="A905" i="210" s="1"/>
  <c r="A906" i="210" s="1"/>
  <c r="A908" i="210" s="1"/>
  <c r="A909" i="210" s="1"/>
  <c r="A910" i="210" s="1"/>
  <c r="A912" i="210" s="1"/>
  <c r="A913" i="210" s="1"/>
  <c r="A914" i="210" s="1"/>
  <c r="A916" i="210" s="1"/>
  <c r="A917" i="210" s="1"/>
  <c r="A918" i="210" s="1"/>
  <c r="M895" i="210"/>
  <c r="M912" i="210" s="1"/>
  <c r="M894" i="210"/>
  <c r="M908" i="210" s="1"/>
  <c r="M893" i="210"/>
  <c r="A893" i="210"/>
  <c r="A894" i="210" s="1"/>
  <c r="A895" i="210" s="1"/>
  <c r="M892" i="210"/>
  <c r="M900" i="210" s="1"/>
  <c r="O889" i="210"/>
  <c r="N889" i="210"/>
  <c r="M889" i="210"/>
  <c r="L889" i="210"/>
  <c r="K889" i="210"/>
  <c r="J889" i="210"/>
  <c r="I889" i="210"/>
  <c r="O882" i="210"/>
  <c r="A881" i="210"/>
  <c r="A880" i="210"/>
  <c r="A877" i="210"/>
  <c r="F872" i="210"/>
  <c r="E872" i="210"/>
  <c r="E871" i="210" s="1"/>
  <c r="E2099" i="209" s="1"/>
  <c r="N871" i="210"/>
  <c r="N2099" i="209" s="1"/>
  <c r="N870" i="210"/>
  <c r="K870" i="210"/>
  <c r="F870" i="210"/>
  <c r="E870" i="210"/>
  <c r="M868" i="210"/>
  <c r="F868" i="210"/>
  <c r="E868" i="210"/>
  <c r="N866" i="210"/>
  <c r="N867" i="210" s="1"/>
  <c r="N2098" i="209" s="1"/>
  <c r="K866" i="210"/>
  <c r="F866" i="210"/>
  <c r="F867" i="210" s="1"/>
  <c r="F2098" i="209" s="1"/>
  <c r="M2098" i="209" s="1"/>
  <c r="E866" i="210"/>
  <c r="M864" i="210"/>
  <c r="F864" i="210"/>
  <c r="F863" i="210" s="1"/>
  <c r="F2095" i="209" s="1"/>
  <c r="M2095" i="209" s="1"/>
  <c r="E864" i="210"/>
  <c r="E863" i="210"/>
  <c r="E2095" i="209" s="1"/>
  <c r="N862" i="210"/>
  <c r="N863" i="210" s="1"/>
  <c r="K862" i="210"/>
  <c r="F862" i="210"/>
  <c r="E862" i="210"/>
  <c r="F860" i="210"/>
  <c r="E860" i="210"/>
  <c r="N858" i="210"/>
  <c r="N859" i="210" s="1"/>
  <c r="K858" i="210"/>
  <c r="F858" i="210"/>
  <c r="E858" i="210"/>
  <c r="E859" i="210" s="1"/>
  <c r="E2092" i="209" s="1"/>
  <c r="M856" i="210"/>
  <c r="F856" i="210"/>
  <c r="E856" i="210"/>
  <c r="N854" i="210"/>
  <c r="N855" i="210" s="1"/>
  <c r="K854" i="210"/>
  <c r="F854" i="210"/>
  <c r="F855" i="210" s="1"/>
  <c r="F2090" i="209" s="1"/>
  <c r="M2090" i="209" s="1"/>
  <c r="E854" i="210"/>
  <c r="N851" i="210"/>
  <c r="K851" i="210"/>
  <c r="F851" i="210"/>
  <c r="E851" i="210"/>
  <c r="M850" i="210"/>
  <c r="M870" i="210" s="1"/>
  <c r="M849" i="210"/>
  <c r="M866" i="210" s="1"/>
  <c r="M848" i="210"/>
  <c r="M862" i="210" s="1"/>
  <c r="M847" i="210"/>
  <c r="M858" i="210" s="1"/>
  <c r="A847" i="210"/>
  <c r="A848" i="210" s="1"/>
  <c r="A849" i="210" s="1"/>
  <c r="A850" i="210" s="1"/>
  <c r="A851" i="210" s="1"/>
  <c r="A854" i="210" s="1"/>
  <c r="A855" i="210" s="1"/>
  <c r="A856" i="210" s="1"/>
  <c r="A858" i="210" s="1"/>
  <c r="A859" i="210" s="1"/>
  <c r="A860" i="210" s="1"/>
  <c r="A862" i="210" s="1"/>
  <c r="A863" i="210" s="1"/>
  <c r="A864" i="210" s="1"/>
  <c r="A866" i="210" s="1"/>
  <c r="A867" i="210" s="1"/>
  <c r="A868" i="210" s="1"/>
  <c r="A870" i="210" s="1"/>
  <c r="A871" i="210" s="1"/>
  <c r="A872" i="210" s="1"/>
  <c r="M846" i="210"/>
  <c r="M854" i="210" s="1"/>
  <c r="O843" i="210"/>
  <c r="N843" i="210"/>
  <c r="M843" i="210"/>
  <c r="L843" i="210"/>
  <c r="K843" i="210"/>
  <c r="J843" i="210"/>
  <c r="I843" i="210"/>
  <c r="O836" i="210"/>
  <c r="A835" i="210"/>
  <c r="A834" i="210"/>
  <c r="A831" i="210"/>
  <c r="F826" i="210"/>
  <c r="M826" i="210" s="1"/>
  <c r="E826" i="210"/>
  <c r="N824" i="210"/>
  <c r="N825" i="210" s="1"/>
  <c r="K824" i="210"/>
  <c r="F824" i="210"/>
  <c r="E824" i="210"/>
  <c r="F822" i="210"/>
  <c r="M822" i="210" s="1"/>
  <c r="E822" i="210"/>
  <c r="N820" i="210"/>
  <c r="N821" i="210" s="1"/>
  <c r="K820" i="210"/>
  <c r="F820" i="210"/>
  <c r="E820" i="210"/>
  <c r="E821" i="210" s="1"/>
  <c r="E1984" i="209" s="1"/>
  <c r="F818" i="210"/>
  <c r="E818" i="210"/>
  <c r="N817" i="210"/>
  <c r="N816" i="210"/>
  <c r="K816" i="210"/>
  <c r="F816" i="210"/>
  <c r="E816" i="210"/>
  <c r="F814" i="210"/>
  <c r="M814" i="210" s="1"/>
  <c r="E814" i="210"/>
  <c r="N812" i="210"/>
  <c r="N813" i="210" s="1"/>
  <c r="N1978" i="209" s="1"/>
  <c r="K812" i="210"/>
  <c r="F812" i="210"/>
  <c r="E812" i="210"/>
  <c r="F810" i="210"/>
  <c r="M810" i="210" s="1"/>
  <c r="E810" i="210"/>
  <c r="N808" i="210"/>
  <c r="N809" i="210" s="1"/>
  <c r="K808" i="210"/>
  <c r="F808" i="210"/>
  <c r="E808" i="210"/>
  <c r="N805" i="210"/>
  <c r="K805" i="210"/>
  <c r="F805" i="210"/>
  <c r="E805" i="210"/>
  <c r="M804" i="210"/>
  <c r="M824" i="210" s="1"/>
  <c r="M803" i="210"/>
  <c r="M820" i="210" s="1"/>
  <c r="M802" i="210"/>
  <c r="M816" i="210" s="1"/>
  <c r="A802" i="210"/>
  <c r="A803" i="210" s="1"/>
  <c r="A804" i="210" s="1"/>
  <c r="A805" i="210" s="1"/>
  <c r="A808" i="210" s="1"/>
  <c r="A809" i="210" s="1"/>
  <c r="A810" i="210" s="1"/>
  <c r="A812" i="210" s="1"/>
  <c r="A813" i="210" s="1"/>
  <c r="A814" i="210" s="1"/>
  <c r="A816" i="210" s="1"/>
  <c r="A817" i="210" s="1"/>
  <c r="A818" i="210" s="1"/>
  <c r="A820" i="210" s="1"/>
  <c r="A821" i="210" s="1"/>
  <c r="A822" i="210" s="1"/>
  <c r="A824" i="210" s="1"/>
  <c r="A825" i="210" s="1"/>
  <c r="A826" i="210" s="1"/>
  <c r="M801" i="210"/>
  <c r="M812" i="210" s="1"/>
  <c r="A801" i="210"/>
  <c r="M800" i="210"/>
  <c r="M808" i="210" s="1"/>
  <c r="O797" i="210"/>
  <c r="N797" i="210"/>
  <c r="M797" i="210"/>
  <c r="L797" i="210"/>
  <c r="K797" i="210"/>
  <c r="J797" i="210"/>
  <c r="I797" i="210"/>
  <c r="O790" i="210"/>
  <c r="A789" i="210"/>
  <c r="A788" i="210"/>
  <c r="A785" i="210"/>
  <c r="F780" i="210"/>
  <c r="M780" i="210" s="1"/>
  <c r="E780" i="210"/>
  <c r="N778" i="210"/>
  <c r="N779" i="210" s="1"/>
  <c r="K778" i="210"/>
  <c r="F778" i="210"/>
  <c r="F779" i="210" s="1"/>
  <c r="E778" i="210"/>
  <c r="F776" i="210"/>
  <c r="F775" i="210" s="1"/>
  <c r="E776" i="210"/>
  <c r="N774" i="210"/>
  <c r="N775" i="210" s="1"/>
  <c r="N1870" i="209" s="1"/>
  <c r="K774" i="210"/>
  <c r="F774" i="210"/>
  <c r="E774" i="210"/>
  <c r="F772" i="210"/>
  <c r="M772" i="210" s="1"/>
  <c r="E772" i="210"/>
  <c r="N770" i="210"/>
  <c r="N771" i="210" s="1"/>
  <c r="K770" i="210"/>
  <c r="F770" i="210"/>
  <c r="F771" i="210" s="1"/>
  <c r="F1867" i="209" s="1"/>
  <c r="M1867" i="209" s="1"/>
  <c r="E770" i="210"/>
  <c r="F768" i="210"/>
  <c r="M768" i="210" s="1"/>
  <c r="E768" i="210"/>
  <c r="E767" i="210" s="1"/>
  <c r="E1864" i="209" s="1"/>
  <c r="N766" i="210"/>
  <c r="N767" i="210" s="1"/>
  <c r="K766" i="210"/>
  <c r="F766" i="210"/>
  <c r="E766" i="210"/>
  <c r="F764" i="210"/>
  <c r="E764" i="210"/>
  <c r="E763" i="210" s="1"/>
  <c r="E1862" i="209" s="1"/>
  <c r="N762" i="210"/>
  <c r="N763" i="210" s="1"/>
  <c r="N1862" i="209" s="1"/>
  <c r="K762" i="210"/>
  <c r="F762" i="210"/>
  <c r="E762" i="210"/>
  <c r="N759" i="210"/>
  <c r="K759" i="210"/>
  <c r="F759" i="210"/>
  <c r="E759" i="210"/>
  <c r="M758" i="210"/>
  <c r="M778" i="210" s="1"/>
  <c r="M757" i="210"/>
  <c r="M774" i="210" s="1"/>
  <c r="M756" i="210"/>
  <c r="M770" i="210" s="1"/>
  <c r="M755" i="210"/>
  <c r="M766" i="210" s="1"/>
  <c r="A755" i="210"/>
  <c r="A756" i="210" s="1"/>
  <c r="A757" i="210" s="1"/>
  <c r="A758" i="210" s="1"/>
  <c r="A759" i="210" s="1"/>
  <c r="A762" i="210" s="1"/>
  <c r="A763" i="210" s="1"/>
  <c r="A764" i="210" s="1"/>
  <c r="A766" i="210" s="1"/>
  <c r="A767" i="210" s="1"/>
  <c r="A768" i="210" s="1"/>
  <c r="A770" i="210" s="1"/>
  <c r="A771" i="210" s="1"/>
  <c r="A772" i="210" s="1"/>
  <c r="A774" i="210" s="1"/>
  <c r="A775" i="210" s="1"/>
  <c r="A776" i="210" s="1"/>
  <c r="A778" i="210" s="1"/>
  <c r="A779" i="210" s="1"/>
  <c r="A780" i="210" s="1"/>
  <c r="M754" i="210"/>
  <c r="M762" i="210" s="1"/>
  <c r="O751" i="210"/>
  <c r="N751" i="210"/>
  <c r="M751" i="210"/>
  <c r="L751" i="210"/>
  <c r="K751" i="210"/>
  <c r="J751" i="210"/>
  <c r="I751" i="210"/>
  <c r="O744" i="210"/>
  <c r="A743" i="210"/>
  <c r="A742" i="210"/>
  <c r="A739" i="210"/>
  <c r="F734" i="210"/>
  <c r="M734" i="210" s="1"/>
  <c r="E734" i="210"/>
  <c r="N732" i="210"/>
  <c r="N733" i="210" s="1"/>
  <c r="N1757" i="209" s="1"/>
  <c r="K732" i="210"/>
  <c r="F732" i="210"/>
  <c r="E732" i="210"/>
  <c r="F730" i="210"/>
  <c r="E730" i="210"/>
  <c r="E729" i="210"/>
  <c r="E1756" i="209" s="1"/>
  <c r="N728" i="210"/>
  <c r="N729" i="210" s="1"/>
  <c r="N1756" i="209" s="1"/>
  <c r="K728" i="210"/>
  <c r="F728" i="210"/>
  <c r="E728" i="210"/>
  <c r="F726" i="210"/>
  <c r="M726" i="210" s="1"/>
  <c r="E726" i="210"/>
  <c r="N724" i="210"/>
  <c r="N725" i="210" s="1"/>
  <c r="K724" i="210"/>
  <c r="F724" i="210"/>
  <c r="E724" i="210"/>
  <c r="F722" i="210"/>
  <c r="M722" i="210" s="1"/>
  <c r="E722" i="210"/>
  <c r="N721" i="210"/>
  <c r="N720" i="210"/>
  <c r="K720" i="210"/>
  <c r="F720" i="210"/>
  <c r="F721" i="210" s="1"/>
  <c r="F1750" i="209" s="1"/>
  <c r="M1750" i="209" s="1"/>
  <c r="E720" i="210"/>
  <c r="M718" i="210"/>
  <c r="F718" i="210"/>
  <c r="E718" i="210"/>
  <c r="N716" i="210"/>
  <c r="N717" i="210" s="1"/>
  <c r="K716" i="210"/>
  <c r="F716" i="210"/>
  <c r="F717" i="210" s="1"/>
  <c r="F1748" i="209" s="1"/>
  <c r="M1748" i="209" s="1"/>
  <c r="E716" i="210"/>
  <c r="N713" i="210"/>
  <c r="K713" i="210"/>
  <c r="F713" i="210"/>
  <c r="E713" i="210"/>
  <c r="M712" i="210"/>
  <c r="M732" i="210" s="1"/>
  <c r="M711" i="210"/>
  <c r="M728" i="210" s="1"/>
  <c r="M710" i="210"/>
  <c r="M724" i="210" s="1"/>
  <c r="M709" i="210"/>
  <c r="M713" i="210" s="1"/>
  <c r="A709" i="210"/>
  <c r="A710" i="210" s="1"/>
  <c r="A711" i="210" s="1"/>
  <c r="A712" i="210" s="1"/>
  <c r="A713" i="210" s="1"/>
  <c r="A716" i="210" s="1"/>
  <c r="A717" i="210" s="1"/>
  <c r="A718" i="210" s="1"/>
  <c r="A720" i="210" s="1"/>
  <c r="A721" i="210" s="1"/>
  <c r="A722" i="210" s="1"/>
  <c r="A724" i="210" s="1"/>
  <c r="A725" i="210" s="1"/>
  <c r="A726" i="210" s="1"/>
  <c r="A728" i="210" s="1"/>
  <c r="A729" i="210" s="1"/>
  <c r="A730" i="210" s="1"/>
  <c r="A732" i="210" s="1"/>
  <c r="A733" i="210" s="1"/>
  <c r="A734" i="210" s="1"/>
  <c r="M708" i="210"/>
  <c r="M716" i="210" s="1"/>
  <c r="M717" i="210" s="1"/>
  <c r="O705" i="210"/>
  <c r="N705" i="210"/>
  <c r="M705" i="210"/>
  <c r="L705" i="210"/>
  <c r="K705" i="210"/>
  <c r="J705" i="210"/>
  <c r="I705" i="210"/>
  <c r="O698" i="210"/>
  <c r="A697" i="210"/>
  <c r="A696" i="210"/>
  <c r="A693" i="210"/>
  <c r="A691" i="210"/>
  <c r="F688" i="210"/>
  <c r="E688" i="210"/>
  <c r="N686" i="210"/>
  <c r="N687" i="210" s="1"/>
  <c r="M686" i="210"/>
  <c r="K686" i="210"/>
  <c r="F686" i="210"/>
  <c r="E686" i="210"/>
  <c r="F684" i="210"/>
  <c r="M684" i="210" s="1"/>
  <c r="E684" i="210"/>
  <c r="N683" i="210"/>
  <c r="N682" i="210"/>
  <c r="K682" i="210"/>
  <c r="F682" i="210"/>
  <c r="E682" i="210"/>
  <c r="F680" i="210"/>
  <c r="F679" i="210" s="1"/>
  <c r="E680" i="210"/>
  <c r="N678" i="210"/>
  <c r="N679" i="210" s="1"/>
  <c r="K678" i="210"/>
  <c r="F678" i="210"/>
  <c r="E678" i="210"/>
  <c r="F676" i="210"/>
  <c r="E676" i="210"/>
  <c r="N674" i="210"/>
  <c r="N675" i="210" s="1"/>
  <c r="K674" i="210"/>
  <c r="F674" i="210"/>
  <c r="E674" i="210"/>
  <c r="J672" i="210"/>
  <c r="J994" i="210" s="1"/>
  <c r="F672" i="210"/>
  <c r="M672" i="210" s="1"/>
  <c r="E672" i="210"/>
  <c r="F671" i="210"/>
  <c r="F1634" i="209" s="1"/>
  <c r="M1634" i="209" s="1"/>
  <c r="N670" i="210"/>
  <c r="N671" i="210" s="1"/>
  <c r="K670" i="210"/>
  <c r="F670" i="210"/>
  <c r="E670" i="210"/>
  <c r="N667" i="210"/>
  <c r="K667" i="210"/>
  <c r="F667" i="210"/>
  <c r="E667" i="210"/>
  <c r="M666" i="210"/>
  <c r="J666" i="210"/>
  <c r="J804" i="210" s="1"/>
  <c r="M665" i="210"/>
  <c r="M682" i="210" s="1"/>
  <c r="J665" i="210"/>
  <c r="J849" i="210" s="1"/>
  <c r="M664" i="210"/>
  <c r="M678" i="210" s="1"/>
  <c r="J664" i="210"/>
  <c r="J1032" i="210" s="1"/>
  <c r="M663" i="210"/>
  <c r="M674" i="210" s="1"/>
  <c r="J663" i="210"/>
  <c r="J985" i="210" s="1"/>
  <c r="A663" i="210"/>
  <c r="A664" i="210" s="1"/>
  <c r="A665" i="210" s="1"/>
  <c r="A666" i="210" s="1"/>
  <c r="A667" i="210" s="1"/>
  <c r="A670" i="210" s="1"/>
  <c r="A671" i="210" s="1"/>
  <c r="A672" i="210" s="1"/>
  <c r="A674" i="210" s="1"/>
  <c r="A675" i="210" s="1"/>
  <c r="A676" i="210" s="1"/>
  <c r="A678" i="210" s="1"/>
  <c r="A679" i="210" s="1"/>
  <c r="A680" i="210" s="1"/>
  <c r="A682" i="210" s="1"/>
  <c r="A683" i="210" s="1"/>
  <c r="A684" i="210" s="1"/>
  <c r="A686" i="210" s="1"/>
  <c r="A687" i="210" s="1"/>
  <c r="A688" i="210" s="1"/>
  <c r="M662" i="210"/>
  <c r="M670" i="210" s="1"/>
  <c r="J662" i="210"/>
  <c r="J938" i="210" s="1"/>
  <c r="O659" i="210"/>
  <c r="N659" i="210"/>
  <c r="M659" i="210"/>
  <c r="L659" i="210"/>
  <c r="K659" i="210"/>
  <c r="J659" i="210"/>
  <c r="I659" i="210"/>
  <c r="O652" i="210"/>
  <c r="A651" i="210"/>
  <c r="A650" i="210"/>
  <c r="A647" i="210"/>
  <c r="M642" i="210"/>
  <c r="F642" i="210"/>
  <c r="E642" i="210"/>
  <c r="N640" i="210"/>
  <c r="N641" i="210" s="1"/>
  <c r="K640" i="210"/>
  <c r="K641" i="210" s="1"/>
  <c r="F640" i="210"/>
  <c r="E640" i="210"/>
  <c r="M638" i="210"/>
  <c r="F638" i="210"/>
  <c r="E638" i="210"/>
  <c r="E637" i="210" s="1"/>
  <c r="E1528" i="209" s="1"/>
  <c r="K637" i="210"/>
  <c r="N636" i="210"/>
  <c r="N637" i="210" s="1"/>
  <c r="K636" i="210"/>
  <c r="F636" i="210"/>
  <c r="E636" i="210"/>
  <c r="M634" i="210"/>
  <c r="F634" i="210"/>
  <c r="E634" i="210"/>
  <c r="N632" i="210"/>
  <c r="N633" i="210" s="1"/>
  <c r="K632" i="210"/>
  <c r="K633" i="210" s="1"/>
  <c r="F632" i="210"/>
  <c r="F633" i="210" s="1"/>
  <c r="F1525" i="209" s="1"/>
  <c r="M1525" i="209" s="1"/>
  <c r="E632" i="210"/>
  <c r="M630" i="210"/>
  <c r="F630" i="210"/>
  <c r="E630" i="210"/>
  <c r="N628" i="210"/>
  <c r="N629" i="210" s="1"/>
  <c r="K628" i="210"/>
  <c r="K629" i="210" s="1"/>
  <c r="F628" i="210"/>
  <c r="F629" i="210" s="1"/>
  <c r="F1522" i="209" s="1"/>
  <c r="M1522" i="209" s="1"/>
  <c r="E628" i="210"/>
  <c r="F626" i="210"/>
  <c r="M626" i="210" s="1"/>
  <c r="E626" i="210"/>
  <c r="N624" i="210"/>
  <c r="N625" i="210" s="1"/>
  <c r="K624" i="210"/>
  <c r="K625" i="210" s="1"/>
  <c r="F624" i="210"/>
  <c r="F625" i="210" s="1"/>
  <c r="F1520" i="209" s="1"/>
  <c r="M1520" i="209" s="1"/>
  <c r="E624" i="210"/>
  <c r="N621" i="210"/>
  <c r="K621" i="210"/>
  <c r="F621" i="210"/>
  <c r="E621" i="210"/>
  <c r="M620" i="210"/>
  <c r="M640" i="210" s="1"/>
  <c r="M619" i="210"/>
  <c r="M636" i="210" s="1"/>
  <c r="M637" i="210" s="1"/>
  <c r="M618" i="210"/>
  <c r="M632" i="210" s="1"/>
  <c r="M617" i="210"/>
  <c r="M628" i="210" s="1"/>
  <c r="A617" i="210"/>
  <c r="A618" i="210" s="1"/>
  <c r="A619" i="210" s="1"/>
  <c r="A620" i="210" s="1"/>
  <c r="A621" i="210" s="1"/>
  <c r="A624" i="210" s="1"/>
  <c r="A625" i="210" s="1"/>
  <c r="A626" i="210" s="1"/>
  <c r="A628" i="210" s="1"/>
  <c r="A629" i="210" s="1"/>
  <c r="A630" i="210" s="1"/>
  <c r="A632" i="210" s="1"/>
  <c r="A633" i="210" s="1"/>
  <c r="A634" i="210" s="1"/>
  <c r="A636" i="210" s="1"/>
  <c r="A637" i="210" s="1"/>
  <c r="A638" i="210" s="1"/>
  <c r="A640" i="210" s="1"/>
  <c r="A641" i="210" s="1"/>
  <c r="A642" i="210" s="1"/>
  <c r="M616" i="210"/>
  <c r="O613" i="210"/>
  <c r="N613" i="210"/>
  <c r="M613" i="210"/>
  <c r="L613" i="210"/>
  <c r="K613" i="210"/>
  <c r="J613" i="210"/>
  <c r="I613" i="210"/>
  <c r="O606" i="210"/>
  <c r="A605" i="210"/>
  <c r="A604" i="210"/>
  <c r="A601" i="210"/>
  <c r="M596" i="210"/>
  <c r="F596" i="210"/>
  <c r="E596" i="210"/>
  <c r="N595" i="210"/>
  <c r="N594" i="210"/>
  <c r="K594" i="210"/>
  <c r="K595" i="210" s="1"/>
  <c r="F594" i="210"/>
  <c r="F595" i="210" s="1"/>
  <c r="F1415" i="209" s="1"/>
  <c r="M1415" i="209" s="1"/>
  <c r="E594" i="210"/>
  <c r="F592" i="210"/>
  <c r="E592" i="210"/>
  <c r="N590" i="210"/>
  <c r="N591" i="210" s="1"/>
  <c r="M590" i="210"/>
  <c r="K590" i="210"/>
  <c r="K591" i="210" s="1"/>
  <c r="F590" i="210"/>
  <c r="E590" i="210"/>
  <c r="F588" i="210"/>
  <c r="E588" i="210"/>
  <c r="E587" i="210" s="1"/>
  <c r="E1411" i="209" s="1"/>
  <c r="N586" i="210"/>
  <c r="N587" i="210" s="1"/>
  <c r="M586" i="210"/>
  <c r="K586" i="210"/>
  <c r="K587" i="210" s="1"/>
  <c r="F586" i="210"/>
  <c r="E586" i="210"/>
  <c r="M584" i="210"/>
  <c r="F584" i="210"/>
  <c r="E584" i="210"/>
  <c r="N582" i="210"/>
  <c r="N583" i="210" s="1"/>
  <c r="K582" i="210"/>
  <c r="K583" i="210" s="1"/>
  <c r="F582" i="210"/>
  <c r="F583" i="210" s="1"/>
  <c r="F1408" i="209" s="1"/>
  <c r="M1408" i="209" s="1"/>
  <c r="E582" i="210"/>
  <c r="F580" i="210"/>
  <c r="M580" i="210" s="1"/>
  <c r="E580" i="210"/>
  <c r="N578" i="210"/>
  <c r="N579" i="210" s="1"/>
  <c r="K578" i="210"/>
  <c r="K579" i="210" s="1"/>
  <c r="F578" i="210"/>
  <c r="F579" i="210" s="1"/>
  <c r="F1406" i="209" s="1"/>
  <c r="M1406" i="209" s="1"/>
  <c r="E578" i="210"/>
  <c r="N575" i="210"/>
  <c r="K575" i="210"/>
  <c r="F575" i="210"/>
  <c r="E575" i="210"/>
  <c r="M574" i="210"/>
  <c r="M594" i="210" s="1"/>
  <c r="M573" i="210"/>
  <c r="M572" i="210"/>
  <c r="M571" i="210"/>
  <c r="M582" i="210" s="1"/>
  <c r="A571" i="210"/>
  <c r="A572" i="210" s="1"/>
  <c r="A573" i="210" s="1"/>
  <c r="A574" i="210" s="1"/>
  <c r="A575" i="210" s="1"/>
  <c r="A578" i="210" s="1"/>
  <c r="A579" i="210" s="1"/>
  <c r="A580" i="210" s="1"/>
  <c r="A582" i="210" s="1"/>
  <c r="A583" i="210" s="1"/>
  <c r="A584" i="210" s="1"/>
  <c r="A586" i="210" s="1"/>
  <c r="A587" i="210" s="1"/>
  <c r="A588" i="210" s="1"/>
  <c r="A590" i="210" s="1"/>
  <c r="A591" i="210" s="1"/>
  <c r="A592" i="210" s="1"/>
  <c r="A594" i="210" s="1"/>
  <c r="A595" i="210" s="1"/>
  <c r="A596" i="210" s="1"/>
  <c r="M570" i="210"/>
  <c r="M578" i="210" s="1"/>
  <c r="O567" i="210"/>
  <c r="N567" i="210"/>
  <c r="M567" i="210"/>
  <c r="L567" i="210"/>
  <c r="K567" i="210"/>
  <c r="J567" i="210"/>
  <c r="I567" i="210"/>
  <c r="O560" i="210"/>
  <c r="A559" i="210"/>
  <c r="A558" i="210"/>
  <c r="A555" i="210"/>
  <c r="N548" i="210"/>
  <c r="N549" i="210" s="1"/>
  <c r="N1301" i="209" s="1"/>
  <c r="K548" i="210"/>
  <c r="K549" i="210" s="1"/>
  <c r="F548" i="210"/>
  <c r="F549" i="210" s="1"/>
  <c r="F1301" i="209" s="1"/>
  <c r="M1301" i="209" s="1"/>
  <c r="E548" i="210"/>
  <c r="E549" i="210" s="1"/>
  <c r="E1301" i="209" s="1"/>
  <c r="N544" i="210"/>
  <c r="N545" i="210" s="1"/>
  <c r="M544" i="210"/>
  <c r="M545" i="210" s="1"/>
  <c r="K544" i="210"/>
  <c r="K545" i="210" s="1"/>
  <c r="F544" i="210"/>
  <c r="F545" i="210" s="1"/>
  <c r="E544" i="210"/>
  <c r="E545" i="210" s="1"/>
  <c r="E1300" i="209" s="1"/>
  <c r="F541" i="210"/>
  <c r="F1297" i="209" s="1"/>
  <c r="M1297" i="209" s="1"/>
  <c r="N540" i="210"/>
  <c r="N541" i="210" s="1"/>
  <c r="K540" i="210"/>
  <c r="K541" i="210" s="1"/>
  <c r="F540" i="210"/>
  <c r="E540" i="210"/>
  <c r="E541" i="210" s="1"/>
  <c r="N536" i="210"/>
  <c r="N537" i="210" s="1"/>
  <c r="K536" i="210"/>
  <c r="K537" i="210" s="1"/>
  <c r="K1294" i="209" s="1"/>
  <c r="F536" i="210"/>
  <c r="F537" i="210" s="1"/>
  <c r="F1294" i="209" s="1"/>
  <c r="M1294" i="209" s="1"/>
  <c r="E536" i="210"/>
  <c r="E537" i="210" s="1"/>
  <c r="E1294" i="209" s="1"/>
  <c r="N532" i="210"/>
  <c r="N533" i="210" s="1"/>
  <c r="N1292" i="209" s="1"/>
  <c r="N1311" i="209" s="1"/>
  <c r="K532" i="210"/>
  <c r="K533" i="210" s="1"/>
  <c r="F532" i="210"/>
  <c r="F533" i="210" s="1"/>
  <c r="E532" i="210"/>
  <c r="E533" i="210" s="1"/>
  <c r="N529" i="210"/>
  <c r="K529" i="210"/>
  <c r="F529" i="210"/>
  <c r="E529" i="210"/>
  <c r="M528" i="210"/>
  <c r="M548" i="210" s="1"/>
  <c r="M549" i="210" s="1"/>
  <c r="M527" i="210"/>
  <c r="M526" i="210"/>
  <c r="M540" i="210" s="1"/>
  <c r="M541" i="210" s="1"/>
  <c r="M525" i="210"/>
  <c r="M536" i="210" s="1"/>
  <c r="M537" i="210" s="1"/>
  <c r="A525" i="210"/>
  <c r="A526" i="210" s="1"/>
  <c r="A527" i="210" s="1"/>
  <c r="A528" i="210" s="1"/>
  <c r="A529" i="210" s="1"/>
  <c r="A532" i="210" s="1"/>
  <c r="A533" i="210" s="1"/>
  <c r="A534" i="210" s="1"/>
  <c r="A536" i="210" s="1"/>
  <c r="A537" i="210" s="1"/>
  <c r="A538" i="210" s="1"/>
  <c r="A540" i="210" s="1"/>
  <c r="A541" i="210" s="1"/>
  <c r="A542" i="210" s="1"/>
  <c r="A544" i="210" s="1"/>
  <c r="A545" i="210" s="1"/>
  <c r="A546" i="210" s="1"/>
  <c r="A548" i="210" s="1"/>
  <c r="A549" i="210" s="1"/>
  <c r="A550" i="210" s="1"/>
  <c r="M524" i="210"/>
  <c r="O521" i="210"/>
  <c r="N521" i="210"/>
  <c r="M521" i="210"/>
  <c r="L521" i="210"/>
  <c r="K521" i="210"/>
  <c r="J521" i="210"/>
  <c r="I521" i="210"/>
  <c r="O514" i="210"/>
  <c r="A513" i="210"/>
  <c r="A512" i="210"/>
  <c r="A509" i="210"/>
  <c r="N503" i="210"/>
  <c r="N502" i="210"/>
  <c r="K502" i="210"/>
  <c r="K503" i="210" s="1"/>
  <c r="F502" i="210"/>
  <c r="F503" i="210" s="1"/>
  <c r="E502" i="210"/>
  <c r="E503" i="210" s="1"/>
  <c r="K499" i="210"/>
  <c r="E499" i="210"/>
  <c r="E1186" i="209" s="1"/>
  <c r="N498" i="210"/>
  <c r="N499" i="210" s="1"/>
  <c r="K498" i="210"/>
  <c r="F498" i="210"/>
  <c r="F499" i="210" s="1"/>
  <c r="E498" i="210"/>
  <c r="N494" i="210"/>
  <c r="N495" i="210" s="1"/>
  <c r="N1183" i="209" s="1"/>
  <c r="K494" i="210"/>
  <c r="K495" i="210" s="1"/>
  <c r="K1183" i="209" s="1"/>
  <c r="F494" i="210"/>
  <c r="F495" i="210" s="1"/>
  <c r="E494" i="210"/>
  <c r="E495" i="210" s="1"/>
  <c r="K491" i="210"/>
  <c r="F491" i="210"/>
  <c r="E491" i="210"/>
  <c r="N490" i="210"/>
  <c r="N491" i="210" s="1"/>
  <c r="K490" i="210"/>
  <c r="F490" i="210"/>
  <c r="E490" i="210"/>
  <c r="N487" i="210"/>
  <c r="N1178" i="209" s="1"/>
  <c r="N486" i="210"/>
  <c r="K486" i="210"/>
  <c r="K487" i="210" s="1"/>
  <c r="F486" i="210"/>
  <c r="F487" i="210" s="1"/>
  <c r="E486" i="210"/>
  <c r="E487" i="210" s="1"/>
  <c r="N483" i="210"/>
  <c r="K483" i="210"/>
  <c r="F483" i="210"/>
  <c r="E483" i="210"/>
  <c r="M482" i="210"/>
  <c r="M502" i="210" s="1"/>
  <c r="M503" i="210" s="1"/>
  <c r="A482" i="210"/>
  <c r="A483" i="210" s="1"/>
  <c r="A486" i="210" s="1"/>
  <c r="A487" i="210" s="1"/>
  <c r="A488" i="210" s="1"/>
  <c r="A490" i="210" s="1"/>
  <c r="A491" i="210" s="1"/>
  <c r="A492" i="210" s="1"/>
  <c r="A494" i="210" s="1"/>
  <c r="A495" i="210" s="1"/>
  <c r="A496" i="210" s="1"/>
  <c r="A498" i="210" s="1"/>
  <c r="A499" i="210" s="1"/>
  <c r="A500" i="210" s="1"/>
  <c r="A502" i="210" s="1"/>
  <c r="A503" i="210" s="1"/>
  <c r="A504" i="210" s="1"/>
  <c r="M481" i="210"/>
  <c r="M498" i="210" s="1"/>
  <c r="M499" i="210" s="1"/>
  <c r="M480" i="210"/>
  <c r="M494" i="210" s="1"/>
  <c r="M495" i="210" s="1"/>
  <c r="A480" i="210"/>
  <c r="A481" i="210" s="1"/>
  <c r="M479" i="210"/>
  <c r="M490" i="210" s="1"/>
  <c r="M491" i="210" s="1"/>
  <c r="A479" i="210"/>
  <c r="M478" i="210"/>
  <c r="M483" i="210" s="1"/>
  <c r="O475" i="210"/>
  <c r="N475" i="210"/>
  <c r="M475" i="210"/>
  <c r="L475" i="210"/>
  <c r="K475" i="210"/>
  <c r="J475" i="210"/>
  <c r="I475" i="210"/>
  <c r="O468" i="210"/>
  <c r="A467" i="210"/>
  <c r="A466" i="210"/>
  <c r="A463" i="210"/>
  <c r="N456" i="210"/>
  <c r="N457" i="210" s="1"/>
  <c r="N1073" i="209" s="1"/>
  <c r="K456" i="210"/>
  <c r="K457" i="210" s="1"/>
  <c r="F456" i="210"/>
  <c r="F457" i="210" s="1"/>
  <c r="E456" i="210"/>
  <c r="E457" i="210" s="1"/>
  <c r="F453" i="210"/>
  <c r="E453" i="210"/>
  <c r="N452" i="210"/>
  <c r="N453" i="210" s="1"/>
  <c r="N1072" i="209" s="1"/>
  <c r="K452" i="210"/>
  <c r="K453" i="210" s="1"/>
  <c r="K1072" i="209" s="1"/>
  <c r="F452" i="210"/>
  <c r="E452" i="210"/>
  <c r="N448" i="210"/>
  <c r="N449" i="210" s="1"/>
  <c r="N1069" i="209" s="1"/>
  <c r="M448" i="210"/>
  <c r="M449" i="210" s="1"/>
  <c r="K448" i="210"/>
  <c r="K449" i="210" s="1"/>
  <c r="K1069" i="209" s="1"/>
  <c r="F448" i="210"/>
  <c r="F449" i="210" s="1"/>
  <c r="E448" i="210"/>
  <c r="E449" i="210" s="1"/>
  <c r="K445" i="210"/>
  <c r="N444" i="210"/>
  <c r="N445" i="210" s="1"/>
  <c r="K444" i="210"/>
  <c r="F444" i="210"/>
  <c r="F445" i="210" s="1"/>
  <c r="F1066" i="209" s="1"/>
  <c r="M1066" i="209" s="1"/>
  <c r="E444" i="210"/>
  <c r="E445" i="210" s="1"/>
  <c r="E1066" i="209" s="1"/>
  <c r="N441" i="210"/>
  <c r="N1064" i="209" s="1"/>
  <c r="N440" i="210"/>
  <c r="K440" i="210"/>
  <c r="K441" i="210" s="1"/>
  <c r="F440" i="210"/>
  <c r="F441" i="210" s="1"/>
  <c r="E440" i="210"/>
  <c r="E441" i="210" s="1"/>
  <c r="N437" i="210"/>
  <c r="K437" i="210"/>
  <c r="F437" i="210"/>
  <c r="E437" i="210"/>
  <c r="M436" i="210"/>
  <c r="M456" i="210" s="1"/>
  <c r="M457" i="210" s="1"/>
  <c r="M435" i="210"/>
  <c r="M452" i="210" s="1"/>
  <c r="M453" i="210" s="1"/>
  <c r="M434" i="210"/>
  <c r="M433" i="210"/>
  <c r="M444" i="210" s="1"/>
  <c r="M445" i="210" s="1"/>
  <c r="A433" i="210"/>
  <c r="A434" i="210" s="1"/>
  <c r="A435" i="210" s="1"/>
  <c r="A436" i="210" s="1"/>
  <c r="A437" i="210" s="1"/>
  <c r="A440" i="210" s="1"/>
  <c r="A441" i="210" s="1"/>
  <c r="A442" i="210" s="1"/>
  <c r="A444" i="210" s="1"/>
  <c r="A445" i="210" s="1"/>
  <c r="A446" i="210" s="1"/>
  <c r="A448" i="210" s="1"/>
  <c r="A449" i="210" s="1"/>
  <c r="A450" i="210" s="1"/>
  <c r="A452" i="210" s="1"/>
  <c r="A453" i="210" s="1"/>
  <c r="A454" i="210" s="1"/>
  <c r="A456" i="210" s="1"/>
  <c r="A457" i="210" s="1"/>
  <c r="A458" i="210" s="1"/>
  <c r="M432" i="210"/>
  <c r="O429" i="210"/>
  <c r="N429" i="210"/>
  <c r="M429" i="210"/>
  <c r="L429" i="210"/>
  <c r="K429" i="210"/>
  <c r="J429" i="210"/>
  <c r="I429" i="210"/>
  <c r="O422" i="210"/>
  <c r="A421" i="210"/>
  <c r="A420" i="210"/>
  <c r="A417" i="210"/>
  <c r="N410" i="210"/>
  <c r="N411" i="210" s="1"/>
  <c r="N959" i="209" s="1"/>
  <c r="K410" i="210"/>
  <c r="K411" i="210" s="1"/>
  <c r="F410" i="210"/>
  <c r="F411" i="210" s="1"/>
  <c r="E410" i="210"/>
  <c r="E411" i="210" s="1"/>
  <c r="N406" i="210"/>
  <c r="N407" i="210" s="1"/>
  <c r="K406" i="210"/>
  <c r="K407" i="210" s="1"/>
  <c r="K958" i="209" s="1"/>
  <c r="F406" i="210"/>
  <c r="F407" i="210" s="1"/>
  <c r="F958" i="209" s="1"/>
  <c r="E406" i="210"/>
  <c r="E407" i="210" s="1"/>
  <c r="E958" i="209" s="1"/>
  <c r="N403" i="210"/>
  <c r="N402" i="210"/>
  <c r="K402" i="210"/>
  <c r="K403" i="210" s="1"/>
  <c r="F402" i="210"/>
  <c r="F403" i="210" s="1"/>
  <c r="E402" i="210"/>
  <c r="E403" i="210" s="1"/>
  <c r="E955" i="209" s="1"/>
  <c r="E399" i="210"/>
  <c r="N398" i="210"/>
  <c r="N399" i="210" s="1"/>
  <c r="K398" i="210"/>
  <c r="K399" i="210" s="1"/>
  <c r="K952" i="209" s="1"/>
  <c r="F398" i="210"/>
  <c r="F399" i="210" s="1"/>
  <c r="F952" i="209" s="1"/>
  <c r="M952" i="209" s="1"/>
  <c r="E398" i="210"/>
  <c r="N394" i="210"/>
  <c r="N395" i="210" s="1"/>
  <c r="N950" i="209" s="1"/>
  <c r="M394" i="210"/>
  <c r="M395" i="210" s="1"/>
  <c r="K394" i="210"/>
  <c r="K395" i="210" s="1"/>
  <c r="F394" i="210"/>
  <c r="F395" i="210" s="1"/>
  <c r="E394" i="210"/>
  <c r="E395" i="210" s="1"/>
  <c r="N391" i="210"/>
  <c r="K391" i="210"/>
  <c r="F391" i="210"/>
  <c r="E391" i="210"/>
  <c r="M390" i="210"/>
  <c r="M410" i="210" s="1"/>
  <c r="M411" i="210" s="1"/>
  <c r="M389" i="210"/>
  <c r="M406" i="210" s="1"/>
  <c r="M407" i="210" s="1"/>
  <c r="M388" i="210"/>
  <c r="M402" i="210" s="1"/>
  <c r="M403" i="210" s="1"/>
  <c r="M387" i="210"/>
  <c r="M398" i="210" s="1"/>
  <c r="M399" i="210" s="1"/>
  <c r="A387" i="210"/>
  <c r="A388" i="210" s="1"/>
  <c r="A389" i="210" s="1"/>
  <c r="A390" i="210" s="1"/>
  <c r="A391" i="210" s="1"/>
  <c r="A394" i="210" s="1"/>
  <c r="A395" i="210" s="1"/>
  <c r="A396" i="210" s="1"/>
  <c r="A398" i="210" s="1"/>
  <c r="A399" i="210" s="1"/>
  <c r="A400" i="210" s="1"/>
  <c r="A402" i="210" s="1"/>
  <c r="A403" i="210" s="1"/>
  <c r="A404" i="210" s="1"/>
  <c r="A406" i="210" s="1"/>
  <c r="A407" i="210" s="1"/>
  <c r="A408" i="210" s="1"/>
  <c r="A410" i="210" s="1"/>
  <c r="A411" i="210" s="1"/>
  <c r="A412" i="210" s="1"/>
  <c r="M386" i="210"/>
  <c r="O383" i="210"/>
  <c r="N383" i="210"/>
  <c r="M383" i="210"/>
  <c r="L383" i="210"/>
  <c r="K383" i="210"/>
  <c r="J383" i="210"/>
  <c r="I383" i="210"/>
  <c r="O376" i="210"/>
  <c r="A375" i="210"/>
  <c r="A374" i="210"/>
  <c r="A371" i="210"/>
  <c r="A369" i="210"/>
  <c r="N364" i="210"/>
  <c r="N365" i="210" s="1"/>
  <c r="N845" i="209" s="1"/>
  <c r="K364" i="210"/>
  <c r="K365" i="210" s="1"/>
  <c r="F364" i="210"/>
  <c r="F365" i="210" s="1"/>
  <c r="E364" i="210"/>
  <c r="E365" i="210" s="1"/>
  <c r="N360" i="210"/>
  <c r="N361" i="210" s="1"/>
  <c r="K360" i="210"/>
  <c r="K361" i="210" s="1"/>
  <c r="K844" i="209" s="1"/>
  <c r="F360" i="210"/>
  <c r="F361" i="210" s="1"/>
  <c r="F844" i="209" s="1"/>
  <c r="M844" i="209" s="1"/>
  <c r="E360" i="210"/>
  <c r="E361" i="210" s="1"/>
  <c r="E844" i="209" s="1"/>
  <c r="N357" i="210"/>
  <c r="N356" i="210"/>
  <c r="K356" i="210"/>
  <c r="K357" i="210" s="1"/>
  <c r="F356" i="210"/>
  <c r="F357" i="210" s="1"/>
  <c r="F841" i="209" s="1"/>
  <c r="M841" i="209" s="1"/>
  <c r="E356" i="210"/>
  <c r="E357" i="210" s="1"/>
  <c r="K353" i="210"/>
  <c r="F353" i="210"/>
  <c r="E353" i="210"/>
  <c r="N352" i="210"/>
  <c r="N353" i="210" s="1"/>
  <c r="K352" i="210"/>
  <c r="F352" i="210"/>
  <c r="E352" i="210"/>
  <c r="N348" i="210"/>
  <c r="N349" i="210" s="1"/>
  <c r="N836" i="209" s="1"/>
  <c r="K348" i="210"/>
  <c r="K349" i="210" s="1"/>
  <c r="F348" i="210"/>
  <c r="F349" i="210" s="1"/>
  <c r="E348" i="210"/>
  <c r="E349" i="210" s="1"/>
  <c r="N345" i="210"/>
  <c r="K345" i="210"/>
  <c r="F345" i="210"/>
  <c r="E345" i="210"/>
  <c r="M344" i="210"/>
  <c r="M364" i="210" s="1"/>
  <c r="M365" i="210" s="1"/>
  <c r="M343" i="210"/>
  <c r="M360" i="210" s="1"/>
  <c r="M361" i="210" s="1"/>
  <c r="M342" i="210"/>
  <c r="M356" i="210" s="1"/>
  <c r="M357" i="210" s="1"/>
  <c r="A342" i="210"/>
  <c r="A343" i="210" s="1"/>
  <c r="A344" i="210" s="1"/>
  <c r="A345" i="210" s="1"/>
  <c r="A348" i="210" s="1"/>
  <c r="A349" i="210" s="1"/>
  <c r="A350" i="210" s="1"/>
  <c r="A352" i="210" s="1"/>
  <c r="A353" i="210" s="1"/>
  <c r="A354" i="210" s="1"/>
  <c r="A356" i="210" s="1"/>
  <c r="A357" i="210" s="1"/>
  <c r="A358" i="210" s="1"/>
  <c r="A360" i="210" s="1"/>
  <c r="A361" i="210" s="1"/>
  <c r="A362" i="210" s="1"/>
  <c r="A364" i="210" s="1"/>
  <c r="A365" i="210" s="1"/>
  <c r="A366" i="210" s="1"/>
  <c r="M341" i="210"/>
  <c r="M352" i="210" s="1"/>
  <c r="M353" i="210" s="1"/>
  <c r="A341" i="210"/>
  <c r="M340" i="210"/>
  <c r="O337" i="210"/>
  <c r="N337" i="210"/>
  <c r="M337" i="210"/>
  <c r="L337" i="210"/>
  <c r="K337" i="210"/>
  <c r="J337" i="210"/>
  <c r="I337" i="210"/>
  <c r="O330" i="210"/>
  <c r="A329" i="210"/>
  <c r="A328" i="210"/>
  <c r="A325" i="210"/>
  <c r="N319" i="210"/>
  <c r="N731" i="209" s="1"/>
  <c r="N318" i="210"/>
  <c r="K318" i="210"/>
  <c r="K319" i="210" s="1"/>
  <c r="F318" i="210"/>
  <c r="F319" i="210" s="1"/>
  <c r="E318" i="210"/>
  <c r="E319" i="210" s="1"/>
  <c r="N314" i="210"/>
  <c r="N315" i="210" s="1"/>
  <c r="K314" i="210"/>
  <c r="K315" i="210" s="1"/>
  <c r="K730" i="209" s="1"/>
  <c r="F314" i="210"/>
  <c r="F315" i="210" s="1"/>
  <c r="F730" i="209" s="1"/>
  <c r="M730" i="209" s="1"/>
  <c r="E314" i="210"/>
  <c r="E315" i="210" s="1"/>
  <c r="E730" i="209" s="1"/>
  <c r="N310" i="210"/>
  <c r="N311" i="210" s="1"/>
  <c r="N727" i="209" s="1"/>
  <c r="K310" i="210"/>
  <c r="K311" i="210" s="1"/>
  <c r="F310" i="210"/>
  <c r="F311" i="210" s="1"/>
  <c r="E310" i="210"/>
  <c r="E311" i="210" s="1"/>
  <c r="N306" i="210"/>
  <c r="N307" i="210" s="1"/>
  <c r="K306" i="210"/>
  <c r="K307" i="210" s="1"/>
  <c r="K724" i="209" s="1"/>
  <c r="F306" i="210"/>
  <c r="F307" i="210" s="1"/>
  <c r="F724" i="209" s="1"/>
  <c r="M724" i="209" s="1"/>
  <c r="E306" i="210"/>
  <c r="E307" i="210" s="1"/>
  <c r="E724" i="209" s="1"/>
  <c r="N302" i="210"/>
  <c r="N303" i="210" s="1"/>
  <c r="N722" i="209" s="1"/>
  <c r="K302" i="210"/>
  <c r="K303" i="210" s="1"/>
  <c r="K722" i="209" s="1"/>
  <c r="F302" i="210"/>
  <c r="F303" i="210" s="1"/>
  <c r="E302" i="210"/>
  <c r="E303" i="210" s="1"/>
  <c r="N299" i="210"/>
  <c r="K299" i="210"/>
  <c r="F299" i="210"/>
  <c r="E299" i="210"/>
  <c r="M298" i="210"/>
  <c r="M318" i="210" s="1"/>
  <c r="M319" i="210" s="1"/>
  <c r="M297" i="210"/>
  <c r="M314" i="210" s="1"/>
  <c r="M315" i="210" s="1"/>
  <c r="M296" i="210"/>
  <c r="M310" i="210" s="1"/>
  <c r="M311" i="210" s="1"/>
  <c r="M295" i="210"/>
  <c r="M306" i="210" s="1"/>
  <c r="M307" i="210" s="1"/>
  <c r="A295" i="210"/>
  <c r="A296" i="210" s="1"/>
  <c r="A297" i="210" s="1"/>
  <c r="A298" i="210" s="1"/>
  <c r="A299" i="210" s="1"/>
  <c r="A302" i="210" s="1"/>
  <c r="A303" i="210" s="1"/>
  <c r="A304" i="210" s="1"/>
  <c r="A306" i="210" s="1"/>
  <c r="A307" i="210" s="1"/>
  <c r="A308" i="210" s="1"/>
  <c r="A310" i="210" s="1"/>
  <c r="A311" i="210" s="1"/>
  <c r="A312" i="210" s="1"/>
  <c r="A314" i="210" s="1"/>
  <c r="A315" i="210" s="1"/>
  <c r="A316" i="210" s="1"/>
  <c r="A318" i="210" s="1"/>
  <c r="A319" i="210" s="1"/>
  <c r="A320" i="210" s="1"/>
  <c r="M294" i="210"/>
  <c r="O291" i="210"/>
  <c r="N291" i="210"/>
  <c r="M291" i="210"/>
  <c r="L291" i="210"/>
  <c r="K291" i="210"/>
  <c r="J291" i="210"/>
  <c r="I291" i="210"/>
  <c r="O284" i="210"/>
  <c r="A283" i="210"/>
  <c r="A282" i="210"/>
  <c r="A279" i="210"/>
  <c r="A277" i="210"/>
  <c r="N273" i="210"/>
  <c r="N617" i="209" s="1"/>
  <c r="N272" i="210"/>
  <c r="K272" i="210"/>
  <c r="K273" i="210" s="1"/>
  <c r="F272" i="210"/>
  <c r="F273" i="210" s="1"/>
  <c r="E272" i="210"/>
  <c r="E273" i="210" s="1"/>
  <c r="K269" i="210"/>
  <c r="N268" i="210"/>
  <c r="N269" i="210" s="1"/>
  <c r="K268" i="210"/>
  <c r="F268" i="210"/>
  <c r="F269" i="210" s="1"/>
  <c r="F616" i="209" s="1"/>
  <c r="M616" i="209" s="1"/>
  <c r="E268" i="210"/>
  <c r="E269" i="210" s="1"/>
  <c r="E616" i="209" s="1"/>
  <c r="N264" i="210"/>
  <c r="N265" i="210" s="1"/>
  <c r="N613" i="209" s="1"/>
  <c r="M264" i="210"/>
  <c r="M265" i="210" s="1"/>
  <c r="K264" i="210"/>
  <c r="K265" i="210" s="1"/>
  <c r="F264" i="210"/>
  <c r="F265" i="210" s="1"/>
  <c r="E264" i="210"/>
  <c r="E265" i="210" s="1"/>
  <c r="E261" i="210"/>
  <c r="N260" i="210"/>
  <c r="N261" i="210" s="1"/>
  <c r="K260" i="210"/>
  <c r="K261" i="210" s="1"/>
  <c r="K610" i="209" s="1"/>
  <c r="F260" i="210"/>
  <c r="F261" i="210" s="1"/>
  <c r="F610" i="209" s="1"/>
  <c r="M610" i="209" s="1"/>
  <c r="E260" i="210"/>
  <c r="N256" i="210"/>
  <c r="N257" i="210" s="1"/>
  <c r="N608" i="209" s="1"/>
  <c r="K256" i="210"/>
  <c r="K257" i="210" s="1"/>
  <c r="F256" i="210"/>
  <c r="F257" i="210" s="1"/>
  <c r="E256" i="210"/>
  <c r="E257" i="210" s="1"/>
  <c r="N253" i="210"/>
  <c r="K253" i="210"/>
  <c r="F253" i="210"/>
  <c r="E253" i="210"/>
  <c r="M252" i="210"/>
  <c r="M272" i="210" s="1"/>
  <c r="M273" i="210" s="1"/>
  <c r="M251" i="210"/>
  <c r="M268" i="210" s="1"/>
  <c r="M269" i="210" s="1"/>
  <c r="M250" i="210"/>
  <c r="M249" i="210"/>
  <c r="M260" i="210" s="1"/>
  <c r="M261" i="210" s="1"/>
  <c r="A249" i="210"/>
  <c r="A250" i="210" s="1"/>
  <c r="A251" i="210" s="1"/>
  <c r="A252" i="210" s="1"/>
  <c r="A253" i="210" s="1"/>
  <c r="A256" i="210" s="1"/>
  <c r="A257" i="210" s="1"/>
  <c r="A258" i="210" s="1"/>
  <c r="A260" i="210" s="1"/>
  <c r="A261" i="210" s="1"/>
  <c r="A262" i="210" s="1"/>
  <c r="A264" i="210" s="1"/>
  <c r="A265" i="210" s="1"/>
  <c r="A266" i="210" s="1"/>
  <c r="A268" i="210" s="1"/>
  <c r="A269" i="210" s="1"/>
  <c r="A270" i="210" s="1"/>
  <c r="A272" i="210" s="1"/>
  <c r="A273" i="210" s="1"/>
  <c r="A274" i="210" s="1"/>
  <c r="M248" i="210"/>
  <c r="O245" i="210"/>
  <c r="N245" i="210"/>
  <c r="M245" i="210"/>
  <c r="L245" i="210"/>
  <c r="K245" i="210"/>
  <c r="J245" i="210"/>
  <c r="I245" i="210"/>
  <c r="O238" i="210"/>
  <c r="A237" i="210"/>
  <c r="A236" i="210"/>
  <c r="A233" i="210"/>
  <c r="A231" i="210"/>
  <c r="N227" i="210"/>
  <c r="N503" i="209" s="1"/>
  <c r="N226" i="210"/>
  <c r="K226" i="210"/>
  <c r="K227" i="210" s="1"/>
  <c r="F226" i="210"/>
  <c r="F227" i="210" s="1"/>
  <c r="E226" i="210"/>
  <c r="E227" i="210" s="1"/>
  <c r="N222" i="210"/>
  <c r="N223" i="210" s="1"/>
  <c r="K222" i="210"/>
  <c r="K223" i="210" s="1"/>
  <c r="K502" i="209" s="1"/>
  <c r="F222" i="210"/>
  <c r="F223" i="210" s="1"/>
  <c r="F502" i="209" s="1"/>
  <c r="M502" i="209" s="1"/>
  <c r="E222" i="210"/>
  <c r="E223" i="210" s="1"/>
  <c r="E502" i="209" s="1"/>
  <c r="N218" i="210"/>
  <c r="N219" i="210" s="1"/>
  <c r="N499" i="209" s="1"/>
  <c r="K218" i="210"/>
  <c r="K219" i="210" s="1"/>
  <c r="F218" i="210"/>
  <c r="F219" i="210" s="1"/>
  <c r="E218" i="210"/>
  <c r="E219" i="210" s="1"/>
  <c r="K215" i="210"/>
  <c r="N214" i="210"/>
  <c r="N215" i="210" s="1"/>
  <c r="K214" i="210"/>
  <c r="F214" i="210"/>
  <c r="F215" i="210" s="1"/>
  <c r="F496" i="209" s="1"/>
  <c r="M496" i="209" s="1"/>
  <c r="E214" i="210"/>
  <c r="E215" i="210" s="1"/>
  <c r="E496" i="209" s="1"/>
  <c r="N211" i="210"/>
  <c r="N210" i="210"/>
  <c r="K210" i="210"/>
  <c r="K211" i="210" s="1"/>
  <c r="K494" i="209" s="1"/>
  <c r="F210" i="210"/>
  <c r="F211" i="210" s="1"/>
  <c r="E210" i="210"/>
  <c r="E211" i="210" s="1"/>
  <c r="N207" i="210"/>
  <c r="K207" i="210"/>
  <c r="F207" i="210"/>
  <c r="E207" i="210"/>
  <c r="M206" i="210"/>
  <c r="M226" i="210" s="1"/>
  <c r="M227" i="210" s="1"/>
  <c r="M205" i="210"/>
  <c r="M222" i="210" s="1"/>
  <c r="M223" i="210" s="1"/>
  <c r="M204" i="210"/>
  <c r="M218" i="210" s="1"/>
  <c r="M219" i="210" s="1"/>
  <c r="A204" i="210"/>
  <c r="A205" i="210" s="1"/>
  <c r="A206" i="210" s="1"/>
  <c r="A207" i="210" s="1"/>
  <c r="A210" i="210" s="1"/>
  <c r="A211" i="210" s="1"/>
  <c r="A212" i="210" s="1"/>
  <c r="A214" i="210" s="1"/>
  <c r="A215" i="210" s="1"/>
  <c r="A216" i="210" s="1"/>
  <c r="A218" i="210" s="1"/>
  <c r="A219" i="210" s="1"/>
  <c r="A220" i="210" s="1"/>
  <c r="A222" i="210" s="1"/>
  <c r="A223" i="210" s="1"/>
  <c r="A224" i="210" s="1"/>
  <c r="A226" i="210" s="1"/>
  <c r="A227" i="210" s="1"/>
  <c r="A228" i="210" s="1"/>
  <c r="M203" i="210"/>
  <c r="M214" i="210" s="1"/>
  <c r="M215" i="210" s="1"/>
  <c r="A203" i="210"/>
  <c r="M202" i="210"/>
  <c r="M210" i="210" s="1"/>
  <c r="M211" i="210" s="1"/>
  <c r="O199" i="210"/>
  <c r="N199" i="210"/>
  <c r="M199" i="210"/>
  <c r="L199" i="210"/>
  <c r="K199" i="210"/>
  <c r="J199" i="210"/>
  <c r="I199" i="210"/>
  <c r="O192" i="210"/>
  <c r="A191" i="210"/>
  <c r="A190" i="210"/>
  <c r="A187" i="210"/>
  <c r="N181" i="210"/>
  <c r="N389" i="209" s="1"/>
  <c r="N180" i="210"/>
  <c r="K180" i="210"/>
  <c r="K181" i="210" s="1"/>
  <c r="F180" i="210"/>
  <c r="F181" i="210" s="1"/>
  <c r="E180" i="210"/>
  <c r="E181" i="210" s="1"/>
  <c r="N176" i="210"/>
  <c r="N177" i="210" s="1"/>
  <c r="K176" i="210"/>
  <c r="K177" i="210" s="1"/>
  <c r="K388" i="209" s="1"/>
  <c r="F176" i="210"/>
  <c r="F177" i="210" s="1"/>
  <c r="F388" i="209" s="1"/>
  <c r="M388" i="209" s="1"/>
  <c r="E176" i="210"/>
  <c r="E177" i="210" s="1"/>
  <c r="E388" i="209" s="1"/>
  <c r="A176" i="210"/>
  <c r="A177" i="210" s="1"/>
  <c r="A178" i="210" s="1"/>
  <c r="A180" i="210" s="1"/>
  <c r="A181" i="210" s="1"/>
  <c r="A182" i="210" s="1"/>
  <c r="N172" i="210"/>
  <c r="N173" i="210" s="1"/>
  <c r="N385" i="209" s="1"/>
  <c r="K172" i="210"/>
  <c r="K173" i="210" s="1"/>
  <c r="F172" i="210"/>
  <c r="F173" i="210" s="1"/>
  <c r="E172" i="210"/>
  <c r="E173" i="210" s="1"/>
  <c r="E385" i="209" s="1"/>
  <c r="K169" i="210"/>
  <c r="F169" i="210"/>
  <c r="N168" i="210"/>
  <c r="N169" i="210" s="1"/>
  <c r="K168" i="210"/>
  <c r="F168" i="210"/>
  <c r="E168" i="210"/>
  <c r="E169" i="210" s="1"/>
  <c r="E382" i="209" s="1"/>
  <c r="N164" i="210"/>
  <c r="N165" i="210" s="1"/>
  <c r="N380" i="209" s="1"/>
  <c r="K164" i="210"/>
  <c r="K165" i="210" s="1"/>
  <c r="F164" i="210"/>
  <c r="F165" i="210" s="1"/>
  <c r="E164" i="210"/>
  <c r="E165" i="210" s="1"/>
  <c r="N161" i="210"/>
  <c r="K161" i="210"/>
  <c r="F161" i="210"/>
  <c r="E161" i="210"/>
  <c r="M160" i="210"/>
  <c r="M180" i="210" s="1"/>
  <c r="M181" i="210" s="1"/>
  <c r="M159" i="210"/>
  <c r="M176" i="210" s="1"/>
  <c r="M177" i="210" s="1"/>
  <c r="M158" i="210"/>
  <c r="M172" i="210" s="1"/>
  <c r="M173" i="210" s="1"/>
  <c r="A158" i="210"/>
  <c r="A159" i="210" s="1"/>
  <c r="A160" i="210" s="1"/>
  <c r="A161" i="210" s="1"/>
  <c r="A164" i="210" s="1"/>
  <c r="A165" i="210" s="1"/>
  <c r="A166" i="210" s="1"/>
  <c r="A168" i="210" s="1"/>
  <c r="A169" i="210" s="1"/>
  <c r="A170" i="210" s="1"/>
  <c r="A172" i="210" s="1"/>
  <c r="A173" i="210" s="1"/>
  <c r="A174" i="210" s="1"/>
  <c r="M157" i="210"/>
  <c r="M168" i="210" s="1"/>
  <c r="M169" i="210" s="1"/>
  <c r="A157" i="210"/>
  <c r="M156" i="210"/>
  <c r="O153" i="210"/>
  <c r="N153" i="210"/>
  <c r="M153" i="210"/>
  <c r="L153" i="210"/>
  <c r="K153" i="210"/>
  <c r="J153" i="210"/>
  <c r="I153" i="210"/>
  <c r="O146" i="210"/>
  <c r="A145" i="210"/>
  <c r="A144" i="210"/>
  <c r="A141" i="210"/>
  <c r="N135" i="210"/>
  <c r="N275" i="209" s="1"/>
  <c r="N134" i="210"/>
  <c r="K134" i="210"/>
  <c r="K135" i="210" s="1"/>
  <c r="F134" i="210"/>
  <c r="F135" i="210" s="1"/>
  <c r="E134" i="210"/>
  <c r="E135" i="210" s="1"/>
  <c r="N130" i="210"/>
  <c r="N131" i="210" s="1"/>
  <c r="N274" i="209" s="1"/>
  <c r="K130" i="210"/>
  <c r="K131" i="210" s="1"/>
  <c r="K274" i="209" s="1"/>
  <c r="F130" i="210"/>
  <c r="F131" i="210" s="1"/>
  <c r="F274" i="209" s="1"/>
  <c r="M274" i="209" s="1"/>
  <c r="E130" i="210"/>
  <c r="E131" i="210" s="1"/>
  <c r="E274" i="209" s="1"/>
  <c r="N126" i="210"/>
  <c r="N127" i="210" s="1"/>
  <c r="N271" i="209" s="1"/>
  <c r="K126" i="210"/>
  <c r="K127" i="210" s="1"/>
  <c r="F126" i="210"/>
  <c r="F127" i="210" s="1"/>
  <c r="F271" i="209" s="1"/>
  <c r="M271" i="209" s="1"/>
  <c r="E126" i="210"/>
  <c r="E127" i="210" s="1"/>
  <c r="F123" i="210"/>
  <c r="E123" i="210"/>
  <c r="N122" i="210"/>
  <c r="N123" i="210" s="1"/>
  <c r="K122" i="210"/>
  <c r="K123" i="210" s="1"/>
  <c r="K268" i="209" s="1"/>
  <c r="F122" i="210"/>
  <c r="E122" i="210"/>
  <c r="N118" i="210"/>
  <c r="N119" i="210" s="1"/>
  <c r="N266" i="209" s="1"/>
  <c r="M118" i="210"/>
  <c r="M119" i="210" s="1"/>
  <c r="K118" i="210"/>
  <c r="K119" i="210" s="1"/>
  <c r="F118" i="210"/>
  <c r="F119" i="210" s="1"/>
  <c r="E118" i="210"/>
  <c r="E119" i="210" s="1"/>
  <c r="N115" i="210"/>
  <c r="K115" i="210"/>
  <c r="F115" i="210"/>
  <c r="E115" i="210"/>
  <c r="M114" i="210"/>
  <c r="M134" i="210" s="1"/>
  <c r="M135" i="210" s="1"/>
  <c r="M113" i="210"/>
  <c r="M130" i="210" s="1"/>
  <c r="M131" i="210" s="1"/>
  <c r="M112" i="210"/>
  <c r="M126" i="210" s="1"/>
  <c r="M127" i="210" s="1"/>
  <c r="M111" i="210"/>
  <c r="M122" i="210" s="1"/>
  <c r="M123" i="210" s="1"/>
  <c r="A111" i="210"/>
  <c r="A112" i="210" s="1"/>
  <c r="A113" i="210" s="1"/>
  <c r="A114" i="210" s="1"/>
  <c r="A115" i="210" s="1"/>
  <c r="A118" i="210" s="1"/>
  <c r="A119" i="210" s="1"/>
  <c r="A120" i="210" s="1"/>
  <c r="A122" i="210" s="1"/>
  <c r="A123" i="210" s="1"/>
  <c r="A124" i="210" s="1"/>
  <c r="A126" i="210" s="1"/>
  <c r="A127" i="210" s="1"/>
  <c r="A128" i="210" s="1"/>
  <c r="A130" i="210" s="1"/>
  <c r="A131" i="210" s="1"/>
  <c r="A132" i="210" s="1"/>
  <c r="A134" i="210" s="1"/>
  <c r="A135" i="210" s="1"/>
  <c r="A136" i="210" s="1"/>
  <c r="M110" i="210"/>
  <c r="O107" i="210"/>
  <c r="N107" i="210"/>
  <c r="M107" i="210"/>
  <c r="L107" i="210"/>
  <c r="K107" i="210"/>
  <c r="J107" i="210"/>
  <c r="I107" i="210"/>
  <c r="O100" i="210"/>
  <c r="A99" i="210"/>
  <c r="A98" i="210"/>
  <c r="A95" i="210"/>
  <c r="M90" i="210"/>
  <c r="K89" i="210"/>
  <c r="E89" i="210"/>
  <c r="N88" i="210"/>
  <c r="N89" i="210" s="1"/>
  <c r="K88" i="210"/>
  <c r="F88" i="210"/>
  <c r="F89" i="210" s="1"/>
  <c r="E88" i="210"/>
  <c r="M86" i="210"/>
  <c r="N84" i="210"/>
  <c r="N85" i="210" s="1"/>
  <c r="N160" i="209" s="1"/>
  <c r="M84" i="210"/>
  <c r="M85" i="210" s="1"/>
  <c r="K84" i="210"/>
  <c r="K85" i="210" s="1"/>
  <c r="F84" i="210"/>
  <c r="F85" i="210" s="1"/>
  <c r="E84" i="210"/>
  <c r="E85" i="210" s="1"/>
  <c r="M82" i="210"/>
  <c r="M81" i="210" s="1"/>
  <c r="F81" i="210"/>
  <c r="N80" i="210"/>
  <c r="N81" i="210" s="1"/>
  <c r="N157" i="209" s="1"/>
  <c r="K80" i="210"/>
  <c r="K81" i="210" s="1"/>
  <c r="F80" i="210"/>
  <c r="E80" i="210"/>
  <c r="E81" i="210" s="1"/>
  <c r="M78" i="210"/>
  <c r="N76" i="210"/>
  <c r="N77" i="210" s="1"/>
  <c r="K76" i="210"/>
  <c r="K77" i="210" s="1"/>
  <c r="K154" i="209" s="1"/>
  <c r="F76" i="210"/>
  <c r="F77" i="210" s="1"/>
  <c r="F154" i="209" s="1"/>
  <c r="M154" i="209" s="1"/>
  <c r="E76" i="210"/>
  <c r="E77" i="210" s="1"/>
  <c r="E154" i="209" s="1"/>
  <c r="M74" i="210"/>
  <c r="N72" i="210"/>
  <c r="N73" i="210" s="1"/>
  <c r="K72" i="210"/>
  <c r="K73" i="210" s="1"/>
  <c r="K152" i="209" s="1"/>
  <c r="F72" i="210"/>
  <c r="F73" i="210" s="1"/>
  <c r="F152" i="209" s="1"/>
  <c r="M152" i="209" s="1"/>
  <c r="E72" i="210"/>
  <c r="E73" i="210" s="1"/>
  <c r="E152" i="209" s="1"/>
  <c r="N69" i="210"/>
  <c r="K69" i="210"/>
  <c r="F69" i="210"/>
  <c r="E69" i="210"/>
  <c r="M68" i="210"/>
  <c r="M88" i="210" s="1"/>
  <c r="M67" i="210"/>
  <c r="M66" i="210"/>
  <c r="M80" i="210" s="1"/>
  <c r="A66" i="210"/>
  <c r="A67" i="210" s="1"/>
  <c r="A68" i="210" s="1"/>
  <c r="A69" i="210" s="1"/>
  <c r="A72" i="210" s="1"/>
  <c r="A73" i="210" s="1"/>
  <c r="A74" i="210" s="1"/>
  <c r="A76" i="210" s="1"/>
  <c r="A77" i="210" s="1"/>
  <c r="A78" i="210" s="1"/>
  <c r="A80" i="210" s="1"/>
  <c r="A81" i="210" s="1"/>
  <c r="A82" i="210" s="1"/>
  <c r="A84" i="210" s="1"/>
  <c r="A85" i="210" s="1"/>
  <c r="A86" i="210" s="1"/>
  <c r="A88" i="210" s="1"/>
  <c r="A89" i="210" s="1"/>
  <c r="A90" i="210" s="1"/>
  <c r="M65" i="210"/>
  <c r="M76" i="210" s="1"/>
  <c r="M77" i="210" s="1"/>
  <c r="A65" i="210"/>
  <c r="M64" i="210"/>
  <c r="M72" i="210" s="1"/>
  <c r="M73" i="210" s="1"/>
  <c r="D64" i="210"/>
  <c r="O61" i="210"/>
  <c r="N61" i="210"/>
  <c r="M61" i="210"/>
  <c r="L61" i="210"/>
  <c r="K61" i="210"/>
  <c r="J61" i="210"/>
  <c r="I61" i="210"/>
  <c r="O54" i="210"/>
  <c r="A53" i="210"/>
  <c r="A52" i="210"/>
  <c r="A49" i="210"/>
  <c r="M44" i="210"/>
  <c r="L44" i="210"/>
  <c r="I43" i="210"/>
  <c r="D43" i="210"/>
  <c r="G43" i="210" s="1"/>
  <c r="N42" i="210"/>
  <c r="N43" i="210" s="1"/>
  <c r="N47" i="209" s="1"/>
  <c r="K42" i="210"/>
  <c r="F42" i="210"/>
  <c r="F43" i="210" s="1"/>
  <c r="E42" i="210"/>
  <c r="E43" i="210" s="1"/>
  <c r="D42" i="210"/>
  <c r="M40" i="210"/>
  <c r="L40" i="210"/>
  <c r="I39" i="210"/>
  <c r="N38" i="210"/>
  <c r="N39" i="210" s="1"/>
  <c r="N46" i="209" s="1"/>
  <c r="K38" i="210"/>
  <c r="F38" i="210"/>
  <c r="F39" i="210" s="1"/>
  <c r="F46" i="209" s="1"/>
  <c r="M46" i="209" s="1"/>
  <c r="E38" i="210"/>
  <c r="E39" i="210" s="1"/>
  <c r="D38" i="210"/>
  <c r="G38" i="210" s="1"/>
  <c r="L36" i="210"/>
  <c r="I35" i="210"/>
  <c r="I43" i="209" s="1"/>
  <c r="N34" i="210"/>
  <c r="N35" i="210" s="1"/>
  <c r="N43" i="209" s="1"/>
  <c r="K34" i="210"/>
  <c r="K35" i="210" s="1"/>
  <c r="F34" i="210"/>
  <c r="F35" i="210" s="1"/>
  <c r="F43" i="209" s="1"/>
  <c r="M43" i="209" s="1"/>
  <c r="E34" i="210"/>
  <c r="E35" i="210" s="1"/>
  <c r="E43" i="209" s="1"/>
  <c r="D34" i="210"/>
  <c r="D35" i="210" s="1"/>
  <c r="M32" i="210"/>
  <c r="L32" i="210"/>
  <c r="I31" i="210"/>
  <c r="N30" i="210"/>
  <c r="N31" i="210" s="1"/>
  <c r="N40" i="209" s="1"/>
  <c r="K30" i="210"/>
  <c r="K31" i="210" s="1"/>
  <c r="F30" i="210"/>
  <c r="F31" i="210" s="1"/>
  <c r="F40" i="209" s="1"/>
  <c r="M40" i="209" s="1"/>
  <c r="E30" i="210"/>
  <c r="E31" i="210" s="1"/>
  <c r="E40" i="209" s="1"/>
  <c r="D30" i="210"/>
  <c r="D31" i="210" s="1"/>
  <c r="M28" i="210"/>
  <c r="M27" i="210" s="1"/>
  <c r="L28" i="210"/>
  <c r="N27" i="210"/>
  <c r="I27" i="210"/>
  <c r="F27" i="210"/>
  <c r="E27" i="210"/>
  <c r="E38" i="209" s="1"/>
  <c r="N26" i="210"/>
  <c r="K26" i="210"/>
  <c r="K27" i="210" s="1"/>
  <c r="F26" i="210"/>
  <c r="E26" i="210"/>
  <c r="D26" i="210"/>
  <c r="D27" i="210" s="1"/>
  <c r="N23" i="210"/>
  <c r="L23" i="210"/>
  <c r="K23" i="210"/>
  <c r="I23" i="210"/>
  <c r="G23" i="210"/>
  <c r="F23" i="210"/>
  <c r="E23" i="210"/>
  <c r="D23" i="210"/>
  <c r="O22" i="210"/>
  <c r="I68" i="210" s="1"/>
  <c r="M22" i="210"/>
  <c r="M42" i="210" s="1"/>
  <c r="G22" i="210"/>
  <c r="D68" i="210" s="1"/>
  <c r="M21" i="210"/>
  <c r="O21" i="210" s="1"/>
  <c r="I67" i="210" s="1"/>
  <c r="G21" i="210"/>
  <c r="D67" i="210" s="1"/>
  <c r="M20" i="210"/>
  <c r="M34" i="210" s="1"/>
  <c r="M35" i="210" s="1"/>
  <c r="G20" i="210"/>
  <c r="D66" i="210" s="1"/>
  <c r="G66" i="210" s="1"/>
  <c r="D112" i="210" s="1"/>
  <c r="O19" i="210"/>
  <c r="I65" i="210" s="1"/>
  <c r="M19" i="210"/>
  <c r="M30" i="210" s="1"/>
  <c r="M31" i="210" s="1"/>
  <c r="G19" i="210"/>
  <c r="D65" i="210" s="1"/>
  <c r="D76" i="210" s="1"/>
  <c r="A19" i="210"/>
  <c r="A20" i="210" s="1"/>
  <c r="A21" i="210" s="1"/>
  <c r="A22" i="210" s="1"/>
  <c r="A23" i="210" s="1"/>
  <c r="A26" i="210" s="1"/>
  <c r="A27" i="210" s="1"/>
  <c r="A28" i="210" s="1"/>
  <c r="A30" i="210" s="1"/>
  <c r="A31" i="210" s="1"/>
  <c r="A32" i="210" s="1"/>
  <c r="A34" i="210" s="1"/>
  <c r="A35" i="210" s="1"/>
  <c r="A36" i="210" s="1"/>
  <c r="A38" i="210" s="1"/>
  <c r="A39" i="210" s="1"/>
  <c r="A40" i="210" s="1"/>
  <c r="A42" i="210" s="1"/>
  <c r="A43" i="210" s="1"/>
  <c r="A44" i="210" s="1"/>
  <c r="O18" i="210"/>
  <c r="M18" i="210"/>
  <c r="M26" i="210" s="1"/>
  <c r="G18" i="210"/>
  <c r="O15" i="210"/>
  <c r="N15" i="210"/>
  <c r="M15" i="210"/>
  <c r="L15" i="210"/>
  <c r="K15" i="210"/>
  <c r="J15" i="210"/>
  <c r="I15" i="210"/>
  <c r="I11" i="210"/>
  <c r="G11" i="210"/>
  <c r="O8" i="210"/>
  <c r="A7" i="210"/>
  <c r="A6" i="210"/>
  <c r="A4" i="210"/>
  <c r="A2" i="210"/>
  <c r="A1474" i="210" s="1"/>
  <c r="A1" i="210"/>
  <c r="A1335" i="210" s="1"/>
  <c r="N4099" i="209"/>
  <c r="M4099" i="209"/>
  <c r="F4099" i="209"/>
  <c r="E4099" i="209"/>
  <c r="N4098" i="209"/>
  <c r="F4098" i="209"/>
  <c r="M4098" i="209" s="1"/>
  <c r="E4098" i="209"/>
  <c r="N4097" i="209"/>
  <c r="F4097" i="209"/>
  <c r="M4097" i="209" s="1"/>
  <c r="E4097" i="209"/>
  <c r="N4096" i="209"/>
  <c r="F4096" i="209"/>
  <c r="M4096" i="209" s="1"/>
  <c r="E4096" i="209"/>
  <c r="N4095" i="209"/>
  <c r="F4095" i="209"/>
  <c r="M4095" i="209" s="1"/>
  <c r="E4095" i="209"/>
  <c r="N4085" i="209"/>
  <c r="L4085" i="209"/>
  <c r="F4085" i="209"/>
  <c r="E4085" i="209"/>
  <c r="M4084" i="209"/>
  <c r="M4085" i="209" s="1"/>
  <c r="K4084" i="209"/>
  <c r="K4085" i="209" s="1"/>
  <c r="J4084" i="209"/>
  <c r="N4081" i="209"/>
  <c r="F4081" i="209"/>
  <c r="E4081" i="209"/>
  <c r="M4080" i="209"/>
  <c r="M4079" i="209"/>
  <c r="M4078" i="209"/>
  <c r="M4077" i="209"/>
  <c r="M4076" i="209"/>
  <c r="M4075" i="209"/>
  <c r="M4074" i="209"/>
  <c r="M4073" i="209"/>
  <c r="M4072" i="209"/>
  <c r="M4071" i="209"/>
  <c r="M4070" i="209"/>
  <c r="M4069" i="209"/>
  <c r="M4068" i="209"/>
  <c r="M4067" i="209"/>
  <c r="A4067" i="209"/>
  <c r="A4068" i="209" s="1"/>
  <c r="A4069" i="209" s="1"/>
  <c r="A4070" i="209" s="1"/>
  <c r="A4071" i="209" s="1"/>
  <c r="A4072" i="209" s="1"/>
  <c r="A4073" i="209" s="1"/>
  <c r="A4074" i="209" s="1"/>
  <c r="A4075" i="209" s="1"/>
  <c r="A4076" i="209" s="1"/>
  <c r="A4077" i="209" s="1"/>
  <c r="A4078" i="209" s="1"/>
  <c r="A4079" i="209" s="1"/>
  <c r="A4080" i="209" s="1"/>
  <c r="A4081" i="209" s="1"/>
  <c r="A4083" i="209" s="1"/>
  <c r="A4084" i="209" s="1"/>
  <c r="A4085" i="209" s="1"/>
  <c r="A4087" i="209" s="1"/>
  <c r="A4089" i="209" s="1"/>
  <c r="A4091" i="209" s="1"/>
  <c r="A4094" i="209" s="1"/>
  <c r="A4095" i="209" s="1"/>
  <c r="A4096" i="209" s="1"/>
  <c r="A4097" i="209" s="1"/>
  <c r="A4098" i="209" s="1"/>
  <c r="A4099" i="209" s="1"/>
  <c r="A4100" i="209" s="1"/>
  <c r="A4102" i="209" s="1"/>
  <c r="O4064" i="209"/>
  <c r="N4064" i="209"/>
  <c r="M4064" i="209"/>
  <c r="L4064" i="209"/>
  <c r="K4064" i="209"/>
  <c r="J4064" i="209"/>
  <c r="I4064" i="209"/>
  <c r="A4057" i="209"/>
  <c r="O4055" i="209"/>
  <c r="A4052" i="209"/>
  <c r="L4047" i="209"/>
  <c r="M4046" i="209"/>
  <c r="M4045" i="209"/>
  <c r="M4044" i="209"/>
  <c r="M4043" i="209"/>
  <c r="M4042" i="209"/>
  <c r="M4041" i="209"/>
  <c r="M4040" i="209"/>
  <c r="M4039" i="209"/>
  <c r="M4038" i="209"/>
  <c r="N4037" i="209"/>
  <c r="E4037" i="209"/>
  <c r="N4036" i="209"/>
  <c r="F4036" i="209"/>
  <c r="M4036" i="209" s="1"/>
  <c r="M4035" i="209"/>
  <c r="M4034" i="209"/>
  <c r="N4033" i="209"/>
  <c r="F4033" i="209"/>
  <c r="M4033" i="209" s="1"/>
  <c r="M4032" i="209"/>
  <c r="M4031" i="209"/>
  <c r="E4030" i="209"/>
  <c r="M4029" i="209"/>
  <c r="F4028" i="209"/>
  <c r="M4028" i="209" s="1"/>
  <c r="M4027" i="209"/>
  <c r="M4026" i="209"/>
  <c r="K4026" i="209"/>
  <c r="M4025" i="209"/>
  <c r="M4024" i="209"/>
  <c r="M4023" i="209"/>
  <c r="M4022" i="209"/>
  <c r="M4021" i="209"/>
  <c r="M4020" i="209"/>
  <c r="M4019" i="209"/>
  <c r="M4018" i="209"/>
  <c r="J4018" i="209"/>
  <c r="M4017" i="209"/>
  <c r="J4017" i="209"/>
  <c r="N4014" i="209"/>
  <c r="L4014" i="209"/>
  <c r="K4013" i="209"/>
  <c r="J4013" i="209"/>
  <c r="F4013" i="209"/>
  <c r="M4013" i="209" s="1"/>
  <c r="E4013" i="209"/>
  <c r="K4012" i="209"/>
  <c r="J4012" i="209"/>
  <c r="F4012" i="209"/>
  <c r="E4012" i="209"/>
  <c r="M4011" i="209"/>
  <c r="J4011" i="209"/>
  <c r="M4010" i="209"/>
  <c r="J4010" i="209"/>
  <c r="M4009" i="209"/>
  <c r="K4009" i="209"/>
  <c r="J4009" i="209"/>
  <c r="M4008" i="209"/>
  <c r="J4008" i="209"/>
  <c r="A4008" i="209"/>
  <c r="A4009" i="209" s="1"/>
  <c r="A4010" i="209" s="1"/>
  <c r="A4011" i="209" s="1"/>
  <c r="A4012" i="209" s="1"/>
  <c r="A4013" i="209" s="1"/>
  <c r="A4014" i="209" s="1"/>
  <c r="A4016" i="209" s="1"/>
  <c r="A4017" i="209" s="1"/>
  <c r="A4018" i="209" s="1"/>
  <c r="A4019" i="209" s="1"/>
  <c r="A4020" i="209" s="1"/>
  <c r="A4021" i="209" s="1"/>
  <c r="A4022" i="209" s="1"/>
  <c r="A4023" i="209" s="1"/>
  <c r="A4024" i="209" s="1"/>
  <c r="A4025" i="209" s="1"/>
  <c r="A4026" i="209" s="1"/>
  <c r="A4027" i="209" s="1"/>
  <c r="A4028" i="209" s="1"/>
  <c r="A4029" i="209" s="1"/>
  <c r="A4030" i="209" s="1"/>
  <c r="A4031" i="209" s="1"/>
  <c r="A4032" i="209" s="1"/>
  <c r="A4033" i="209" s="1"/>
  <c r="A4034" i="209" s="1"/>
  <c r="A4035" i="209" s="1"/>
  <c r="A4036" i="209" s="1"/>
  <c r="A4037" i="209" s="1"/>
  <c r="A4038" i="209" s="1"/>
  <c r="A4039" i="209" s="1"/>
  <c r="A4040" i="209" s="1"/>
  <c r="A4041" i="209" s="1"/>
  <c r="A4042" i="209" s="1"/>
  <c r="A4043" i="209" s="1"/>
  <c r="A4044" i="209" s="1"/>
  <c r="A4045" i="209" s="1"/>
  <c r="A4046" i="209" s="1"/>
  <c r="A4047" i="209" s="1"/>
  <c r="O4005" i="209"/>
  <c r="N4005" i="209"/>
  <c r="M4005" i="209"/>
  <c r="L4005" i="209"/>
  <c r="K4005" i="209"/>
  <c r="J4005" i="209"/>
  <c r="I4005" i="209"/>
  <c r="A3998" i="209"/>
  <c r="O3996" i="209"/>
  <c r="A3993" i="209"/>
  <c r="L3986" i="209"/>
  <c r="J108" i="196" s="1"/>
  <c r="N3985" i="209"/>
  <c r="F3985" i="209"/>
  <c r="M3985" i="209" s="1"/>
  <c r="E3985" i="209"/>
  <c r="N3984" i="209"/>
  <c r="F3984" i="209"/>
  <c r="M3984" i="209" s="1"/>
  <c r="E3984" i="209"/>
  <c r="N3983" i="209"/>
  <c r="F3983" i="209"/>
  <c r="M3983" i="209" s="1"/>
  <c r="E3983" i="209"/>
  <c r="N3982" i="209"/>
  <c r="F3982" i="209"/>
  <c r="M3982" i="209" s="1"/>
  <c r="E3982" i="209"/>
  <c r="N3981" i="209"/>
  <c r="F3981" i="209"/>
  <c r="E3981" i="209"/>
  <c r="N3971" i="209"/>
  <c r="L3971" i="209"/>
  <c r="F3971" i="209"/>
  <c r="E3971" i="209"/>
  <c r="M3970" i="209"/>
  <c r="M3971" i="209" s="1"/>
  <c r="K3970" i="209"/>
  <c r="K3971" i="209" s="1"/>
  <c r="J3970" i="209"/>
  <c r="N3967" i="209"/>
  <c r="F3967" i="209"/>
  <c r="E3967" i="209"/>
  <c r="M3966" i="209"/>
  <c r="M3965" i="209"/>
  <c r="M3964" i="209"/>
  <c r="M3963" i="209"/>
  <c r="M3962" i="209"/>
  <c r="M3961" i="209"/>
  <c r="M3960" i="209"/>
  <c r="M3959" i="209"/>
  <c r="M3958" i="209"/>
  <c r="M3957" i="209"/>
  <c r="M3956" i="209"/>
  <c r="M3955" i="209"/>
  <c r="M3954" i="209"/>
  <c r="M3953" i="209"/>
  <c r="A3953" i="209"/>
  <c r="A3954" i="209" s="1"/>
  <c r="A3955" i="209" s="1"/>
  <c r="A3956" i="209" s="1"/>
  <c r="A3957" i="209" s="1"/>
  <c r="A3958" i="209" s="1"/>
  <c r="A3959" i="209" s="1"/>
  <c r="A3960" i="209" s="1"/>
  <c r="A3961" i="209" s="1"/>
  <c r="A3962" i="209" s="1"/>
  <c r="A3963" i="209" s="1"/>
  <c r="A3964" i="209" s="1"/>
  <c r="A3965" i="209" s="1"/>
  <c r="A3966" i="209" s="1"/>
  <c r="A3967" i="209" s="1"/>
  <c r="A3969" i="209" s="1"/>
  <c r="A3970" i="209" s="1"/>
  <c r="A3971" i="209" s="1"/>
  <c r="A3973" i="209" s="1"/>
  <c r="A3975" i="209" s="1"/>
  <c r="A3977" i="209" s="1"/>
  <c r="A3980" i="209" s="1"/>
  <c r="A3981" i="209" s="1"/>
  <c r="A3982" i="209" s="1"/>
  <c r="A3983" i="209" s="1"/>
  <c r="A3984" i="209" s="1"/>
  <c r="A3985" i="209" s="1"/>
  <c r="A3986" i="209" s="1"/>
  <c r="A3988" i="209" s="1"/>
  <c r="O3950" i="209"/>
  <c r="N3950" i="209"/>
  <c r="M3950" i="209"/>
  <c r="L3950" i="209"/>
  <c r="K3950" i="209"/>
  <c r="J3950" i="209"/>
  <c r="I3950" i="209"/>
  <c r="A3943" i="209"/>
  <c r="O3941" i="209"/>
  <c r="A3938" i="209"/>
  <c r="L3933" i="209"/>
  <c r="M3932" i="209"/>
  <c r="M3931" i="209"/>
  <c r="M3930" i="209"/>
  <c r="M3929" i="209"/>
  <c r="M3928" i="209"/>
  <c r="M3927" i="209"/>
  <c r="M3926" i="209"/>
  <c r="M3925" i="209"/>
  <c r="M3924" i="209"/>
  <c r="N3923" i="209"/>
  <c r="F3923" i="209"/>
  <c r="M3923" i="209" s="1"/>
  <c r="E3923" i="209"/>
  <c r="F3922" i="209"/>
  <c r="M3922" i="209" s="1"/>
  <c r="M3921" i="209"/>
  <c r="M3920" i="209"/>
  <c r="E3919" i="209"/>
  <c r="M3918" i="209"/>
  <c r="M3917" i="209"/>
  <c r="N3916" i="209"/>
  <c r="F3916" i="209"/>
  <c r="M3916" i="209" s="1"/>
  <c r="E3916" i="209"/>
  <c r="M3915" i="209"/>
  <c r="F3914" i="209"/>
  <c r="E3914" i="209"/>
  <c r="M3913" i="209"/>
  <c r="M3912" i="209"/>
  <c r="K3912" i="209"/>
  <c r="M3911" i="209"/>
  <c r="M3910" i="209"/>
  <c r="M3909" i="209"/>
  <c r="M3908" i="209"/>
  <c r="M3907" i="209"/>
  <c r="M3906" i="209"/>
  <c r="M3905" i="209"/>
  <c r="M3904" i="209"/>
  <c r="J3904" i="209"/>
  <c r="M3903" i="209"/>
  <c r="J3903" i="209"/>
  <c r="N3900" i="209"/>
  <c r="L3900" i="209"/>
  <c r="K3899" i="209"/>
  <c r="J3899" i="209"/>
  <c r="F3899" i="209"/>
  <c r="M3899" i="209" s="1"/>
  <c r="K3898" i="209"/>
  <c r="J3898" i="209"/>
  <c r="F3898" i="209"/>
  <c r="M3898" i="209" s="1"/>
  <c r="E3898" i="209"/>
  <c r="M3897" i="209"/>
  <c r="J3897" i="209"/>
  <c r="M3896" i="209"/>
  <c r="J3896" i="209"/>
  <c r="M3895" i="209"/>
  <c r="K3895" i="209"/>
  <c r="K3900" i="209" s="1"/>
  <c r="J3895" i="209"/>
  <c r="M3894" i="209"/>
  <c r="J3894" i="209"/>
  <c r="A3894" i="209"/>
  <c r="A3895" i="209" s="1"/>
  <c r="A3896" i="209" s="1"/>
  <c r="A3897" i="209" s="1"/>
  <c r="A3898" i="209" s="1"/>
  <c r="A3899" i="209" s="1"/>
  <c r="A3900" i="209" s="1"/>
  <c r="A3902" i="209" s="1"/>
  <c r="A3903" i="209" s="1"/>
  <c r="A3904" i="209" s="1"/>
  <c r="A3905" i="209" s="1"/>
  <c r="A3906" i="209" s="1"/>
  <c r="A3907" i="209" s="1"/>
  <c r="A3908" i="209" s="1"/>
  <c r="A3909" i="209" s="1"/>
  <c r="A3910" i="209" s="1"/>
  <c r="A3911" i="209" s="1"/>
  <c r="A3912" i="209" s="1"/>
  <c r="A3913" i="209" s="1"/>
  <c r="A3914" i="209" s="1"/>
  <c r="A3915" i="209" s="1"/>
  <c r="A3916" i="209" s="1"/>
  <c r="A3917" i="209" s="1"/>
  <c r="A3918" i="209" s="1"/>
  <c r="A3919" i="209" s="1"/>
  <c r="A3920" i="209" s="1"/>
  <c r="A3921" i="209" s="1"/>
  <c r="A3922" i="209" s="1"/>
  <c r="A3923" i="209" s="1"/>
  <c r="A3924" i="209" s="1"/>
  <c r="A3925" i="209" s="1"/>
  <c r="A3926" i="209" s="1"/>
  <c r="A3927" i="209" s="1"/>
  <c r="A3928" i="209" s="1"/>
  <c r="A3929" i="209" s="1"/>
  <c r="A3930" i="209" s="1"/>
  <c r="A3931" i="209" s="1"/>
  <c r="A3932" i="209" s="1"/>
  <c r="A3933" i="209" s="1"/>
  <c r="O3891" i="209"/>
  <c r="N3891" i="209"/>
  <c r="M3891" i="209"/>
  <c r="L3891" i="209"/>
  <c r="K3891" i="209"/>
  <c r="J3891" i="209"/>
  <c r="I3891" i="209"/>
  <c r="A3884" i="209"/>
  <c r="O3882" i="209"/>
  <c r="A3879" i="209"/>
  <c r="L3872" i="209"/>
  <c r="J107" i="196" s="1"/>
  <c r="N3871" i="209"/>
  <c r="F3871" i="209"/>
  <c r="E3871" i="209"/>
  <c r="N3870" i="209"/>
  <c r="F3870" i="209"/>
  <c r="M3870" i="209" s="1"/>
  <c r="E3870" i="209"/>
  <c r="N3869" i="209"/>
  <c r="F3869" i="209"/>
  <c r="M3869" i="209" s="1"/>
  <c r="E3869" i="209"/>
  <c r="N3868" i="209"/>
  <c r="M3868" i="209"/>
  <c r="F3868" i="209"/>
  <c r="E3868" i="209"/>
  <c r="N3867" i="209"/>
  <c r="F3867" i="209"/>
  <c r="M3867" i="209" s="1"/>
  <c r="E3867" i="209"/>
  <c r="N3857" i="209"/>
  <c r="L3857" i="209"/>
  <c r="F3857" i="209"/>
  <c r="E3857" i="209"/>
  <c r="M3856" i="209"/>
  <c r="M3857" i="209" s="1"/>
  <c r="K3856" i="209"/>
  <c r="K3857" i="209" s="1"/>
  <c r="J3856" i="209"/>
  <c r="N3853" i="209"/>
  <c r="F3853" i="209"/>
  <c r="E3853" i="209"/>
  <c r="M3852" i="209"/>
  <c r="M3851" i="209"/>
  <c r="M3850" i="209"/>
  <c r="M3849" i="209"/>
  <c r="M3848" i="209"/>
  <c r="M3847" i="209"/>
  <c r="M3846" i="209"/>
  <c r="M3845" i="209"/>
  <c r="M3844" i="209"/>
  <c r="M3843" i="209"/>
  <c r="M3842" i="209"/>
  <c r="M3841" i="209"/>
  <c r="M3840" i="209"/>
  <c r="M3839" i="209"/>
  <c r="A3839" i="209"/>
  <c r="A3840" i="209" s="1"/>
  <c r="A3841" i="209" s="1"/>
  <c r="A3842" i="209" s="1"/>
  <c r="A3843" i="209" s="1"/>
  <c r="A3844" i="209" s="1"/>
  <c r="A3845" i="209" s="1"/>
  <c r="A3846" i="209" s="1"/>
  <c r="A3847" i="209" s="1"/>
  <c r="A3848" i="209" s="1"/>
  <c r="A3849" i="209" s="1"/>
  <c r="A3850" i="209" s="1"/>
  <c r="A3851" i="209" s="1"/>
  <c r="A3852" i="209" s="1"/>
  <c r="A3853" i="209" s="1"/>
  <c r="A3855" i="209" s="1"/>
  <c r="A3856" i="209" s="1"/>
  <c r="A3857" i="209" s="1"/>
  <c r="A3859" i="209" s="1"/>
  <c r="A3861" i="209" s="1"/>
  <c r="A3863" i="209" s="1"/>
  <c r="A3866" i="209" s="1"/>
  <c r="A3867" i="209" s="1"/>
  <c r="A3868" i="209" s="1"/>
  <c r="A3869" i="209" s="1"/>
  <c r="A3870" i="209" s="1"/>
  <c r="A3871" i="209" s="1"/>
  <c r="A3872" i="209" s="1"/>
  <c r="A3874" i="209" s="1"/>
  <c r="O3836" i="209"/>
  <c r="N3836" i="209"/>
  <c r="M3836" i="209"/>
  <c r="L3836" i="209"/>
  <c r="K3836" i="209"/>
  <c r="J3836" i="209"/>
  <c r="I3836" i="209"/>
  <c r="A3829" i="209"/>
  <c r="O3827" i="209"/>
  <c r="A3824" i="209"/>
  <c r="L3819" i="209"/>
  <c r="M3818" i="209"/>
  <c r="M3817" i="209"/>
  <c r="M3816" i="209"/>
  <c r="M3815" i="209"/>
  <c r="M3814" i="209"/>
  <c r="M3813" i="209"/>
  <c r="M3812" i="209"/>
  <c r="M3811" i="209"/>
  <c r="M3810" i="209"/>
  <c r="N3809" i="209"/>
  <c r="F3809" i="209"/>
  <c r="M3809" i="209" s="1"/>
  <c r="E3809" i="209"/>
  <c r="N3808" i="209"/>
  <c r="F3808" i="209"/>
  <c r="M3808" i="209" s="1"/>
  <c r="M3807" i="209"/>
  <c r="M3806" i="209"/>
  <c r="N3805" i="209"/>
  <c r="F3805" i="209"/>
  <c r="M3805" i="209" s="1"/>
  <c r="M3804" i="209"/>
  <c r="M3803" i="209"/>
  <c r="F3802" i="209"/>
  <c r="M3802" i="209" s="1"/>
  <c r="E3802" i="209"/>
  <c r="M3801" i="209"/>
  <c r="E3800" i="209"/>
  <c r="M3799" i="209"/>
  <c r="M3798" i="209"/>
  <c r="K3798" i="209"/>
  <c r="M3797" i="209"/>
  <c r="M3796" i="209"/>
  <c r="M3795" i="209"/>
  <c r="M3794" i="209"/>
  <c r="M3793" i="209"/>
  <c r="M3792" i="209"/>
  <c r="M3791" i="209"/>
  <c r="M3790" i="209"/>
  <c r="J3790" i="209"/>
  <c r="M3789" i="209"/>
  <c r="J3789" i="209"/>
  <c r="N3786" i="209"/>
  <c r="L3786" i="209"/>
  <c r="K3785" i="209"/>
  <c r="J3785" i="209"/>
  <c r="F3785" i="209"/>
  <c r="M3785" i="209" s="1"/>
  <c r="K3784" i="209"/>
  <c r="J3784" i="209"/>
  <c r="F3784" i="209"/>
  <c r="E3784" i="209"/>
  <c r="M3783" i="209"/>
  <c r="J3783" i="209"/>
  <c r="A3783" i="209"/>
  <c r="A3784" i="209" s="1"/>
  <c r="A3785" i="209" s="1"/>
  <c r="A3786" i="209" s="1"/>
  <c r="A3788" i="209" s="1"/>
  <c r="A3789" i="209" s="1"/>
  <c r="A3790" i="209" s="1"/>
  <c r="A3791" i="209" s="1"/>
  <c r="A3792" i="209" s="1"/>
  <c r="A3793" i="209" s="1"/>
  <c r="A3794" i="209" s="1"/>
  <c r="A3795" i="209" s="1"/>
  <c r="A3796" i="209" s="1"/>
  <c r="A3797" i="209" s="1"/>
  <c r="A3798" i="209" s="1"/>
  <c r="A3799" i="209" s="1"/>
  <c r="A3800" i="209" s="1"/>
  <c r="A3801" i="209" s="1"/>
  <c r="A3802" i="209" s="1"/>
  <c r="A3803" i="209" s="1"/>
  <c r="A3804" i="209" s="1"/>
  <c r="A3805" i="209" s="1"/>
  <c r="A3806" i="209" s="1"/>
  <c r="A3807" i="209" s="1"/>
  <c r="A3808" i="209" s="1"/>
  <c r="A3809" i="209" s="1"/>
  <c r="A3810" i="209" s="1"/>
  <c r="A3811" i="209" s="1"/>
  <c r="A3812" i="209" s="1"/>
  <c r="A3813" i="209" s="1"/>
  <c r="A3814" i="209" s="1"/>
  <c r="A3815" i="209" s="1"/>
  <c r="A3816" i="209" s="1"/>
  <c r="A3817" i="209" s="1"/>
  <c r="A3818" i="209" s="1"/>
  <c r="A3819" i="209" s="1"/>
  <c r="M3782" i="209"/>
  <c r="J3782" i="209"/>
  <c r="M3781" i="209"/>
  <c r="K3781" i="209"/>
  <c r="J3781" i="209"/>
  <c r="M3780" i="209"/>
  <c r="J3780" i="209"/>
  <c r="A3780" i="209"/>
  <c r="A3781" i="209" s="1"/>
  <c r="A3782" i="209" s="1"/>
  <c r="O3777" i="209"/>
  <c r="N3777" i="209"/>
  <c r="M3777" i="209"/>
  <c r="L3777" i="209"/>
  <c r="K3777" i="209"/>
  <c r="J3777" i="209"/>
  <c r="I3777" i="209"/>
  <c r="A3770" i="209"/>
  <c r="O3768" i="209"/>
  <c r="A3765" i="209"/>
  <c r="L3758" i="209"/>
  <c r="N3757" i="209"/>
  <c r="F3757" i="209"/>
  <c r="M3757" i="209" s="1"/>
  <c r="E3757" i="209"/>
  <c r="N3756" i="209"/>
  <c r="F3756" i="209"/>
  <c r="M3756" i="209" s="1"/>
  <c r="E3756" i="209"/>
  <c r="N3755" i="209"/>
  <c r="F3755" i="209"/>
  <c r="M3755" i="209" s="1"/>
  <c r="E3755" i="209"/>
  <c r="N3754" i="209"/>
  <c r="F3754" i="209"/>
  <c r="M3754" i="209" s="1"/>
  <c r="E3754" i="209"/>
  <c r="N3753" i="209"/>
  <c r="F3753" i="209"/>
  <c r="E3753" i="209"/>
  <c r="N3743" i="209"/>
  <c r="L3743" i="209"/>
  <c r="F3743" i="209"/>
  <c r="E3743" i="209"/>
  <c r="M3742" i="209"/>
  <c r="M3743" i="209" s="1"/>
  <c r="K3742" i="209"/>
  <c r="K3743" i="209" s="1"/>
  <c r="J3742" i="209"/>
  <c r="N3739" i="209"/>
  <c r="F3739" i="209"/>
  <c r="E3739" i="209"/>
  <c r="M3738" i="209"/>
  <c r="M3737" i="209"/>
  <c r="M3736" i="209"/>
  <c r="M3735" i="209"/>
  <c r="M3734" i="209"/>
  <c r="M3733" i="209"/>
  <c r="M3732" i="209"/>
  <c r="M3731" i="209"/>
  <c r="M3730" i="209"/>
  <c r="M3729" i="209"/>
  <c r="M3728" i="209"/>
  <c r="M3727" i="209"/>
  <c r="M3726" i="209"/>
  <c r="M3725" i="209"/>
  <c r="A3725" i="209"/>
  <c r="A3726" i="209" s="1"/>
  <c r="A3727" i="209" s="1"/>
  <c r="A3728" i="209" s="1"/>
  <c r="A3729" i="209" s="1"/>
  <c r="A3730" i="209" s="1"/>
  <c r="A3731" i="209" s="1"/>
  <c r="A3732" i="209" s="1"/>
  <c r="A3733" i="209" s="1"/>
  <c r="A3734" i="209" s="1"/>
  <c r="A3735" i="209" s="1"/>
  <c r="A3736" i="209" s="1"/>
  <c r="A3737" i="209" s="1"/>
  <c r="A3738" i="209" s="1"/>
  <c r="A3739" i="209" s="1"/>
  <c r="A3741" i="209" s="1"/>
  <c r="A3742" i="209" s="1"/>
  <c r="A3743" i="209" s="1"/>
  <c r="A3745" i="209" s="1"/>
  <c r="A3747" i="209" s="1"/>
  <c r="A3749" i="209" s="1"/>
  <c r="A3752" i="209" s="1"/>
  <c r="A3753" i="209" s="1"/>
  <c r="A3754" i="209" s="1"/>
  <c r="A3755" i="209" s="1"/>
  <c r="A3756" i="209" s="1"/>
  <c r="A3757" i="209" s="1"/>
  <c r="A3758" i="209" s="1"/>
  <c r="A3760" i="209" s="1"/>
  <c r="O3722" i="209"/>
  <c r="N3722" i="209"/>
  <c r="M3722" i="209"/>
  <c r="L3722" i="209"/>
  <c r="K3722" i="209"/>
  <c r="J3722" i="209"/>
  <c r="I3722" i="209"/>
  <c r="A3715" i="209"/>
  <c r="O3713" i="209"/>
  <c r="A3710" i="209"/>
  <c r="L3705" i="209"/>
  <c r="M3704" i="209"/>
  <c r="M3703" i="209"/>
  <c r="M3702" i="209"/>
  <c r="M3701" i="209"/>
  <c r="M3700" i="209"/>
  <c r="M3699" i="209"/>
  <c r="M3698" i="209"/>
  <c r="M3697" i="209"/>
  <c r="M3696" i="209"/>
  <c r="E3695" i="209"/>
  <c r="N3694" i="209"/>
  <c r="E3694" i="209"/>
  <c r="M3693" i="209"/>
  <c r="M3692" i="209"/>
  <c r="N3691" i="209"/>
  <c r="F3691" i="209"/>
  <c r="E3691" i="209"/>
  <c r="M3690" i="209"/>
  <c r="M3689" i="209"/>
  <c r="N3688" i="209"/>
  <c r="E3688" i="209"/>
  <c r="M3687" i="209"/>
  <c r="N3686" i="209"/>
  <c r="F3686" i="209"/>
  <c r="M3686" i="209" s="1"/>
  <c r="M3685" i="209"/>
  <c r="M3684" i="209"/>
  <c r="K3684" i="209"/>
  <c r="M3683" i="209"/>
  <c r="M3682" i="209"/>
  <c r="M3681" i="209"/>
  <c r="M3680" i="209"/>
  <c r="M3679" i="209"/>
  <c r="M3678" i="209"/>
  <c r="M3677" i="209"/>
  <c r="M3676" i="209"/>
  <c r="J3676" i="209"/>
  <c r="M3675" i="209"/>
  <c r="J3675" i="209"/>
  <c r="N3672" i="209"/>
  <c r="L3672" i="209"/>
  <c r="K3671" i="209"/>
  <c r="J3671" i="209"/>
  <c r="F3671" i="209"/>
  <c r="M3671" i="209" s="1"/>
  <c r="E3671" i="209"/>
  <c r="K3670" i="209"/>
  <c r="J3670" i="209"/>
  <c r="F3670" i="209"/>
  <c r="M3670" i="209" s="1"/>
  <c r="E3670" i="209"/>
  <c r="M3669" i="209"/>
  <c r="J3669" i="209"/>
  <c r="M3668" i="209"/>
  <c r="J3668" i="209"/>
  <c r="M3667" i="209"/>
  <c r="K3667" i="209"/>
  <c r="J3667" i="209"/>
  <c r="M3666" i="209"/>
  <c r="J3666" i="209"/>
  <c r="A3666" i="209"/>
  <c r="A3667" i="209" s="1"/>
  <c r="A3668" i="209" s="1"/>
  <c r="A3669" i="209" s="1"/>
  <c r="A3670" i="209" s="1"/>
  <c r="A3671" i="209" s="1"/>
  <c r="A3672" i="209" s="1"/>
  <c r="A3674" i="209" s="1"/>
  <c r="A3675" i="209" s="1"/>
  <c r="A3676" i="209" s="1"/>
  <c r="A3677" i="209" s="1"/>
  <c r="A3678" i="209" s="1"/>
  <c r="A3679" i="209" s="1"/>
  <c r="A3680" i="209" s="1"/>
  <c r="A3681" i="209" s="1"/>
  <c r="A3682" i="209" s="1"/>
  <c r="A3683" i="209" s="1"/>
  <c r="A3684" i="209" s="1"/>
  <c r="A3685" i="209" s="1"/>
  <c r="A3686" i="209" s="1"/>
  <c r="A3687" i="209" s="1"/>
  <c r="A3688" i="209" s="1"/>
  <c r="A3689" i="209" s="1"/>
  <c r="A3690" i="209" s="1"/>
  <c r="A3691" i="209" s="1"/>
  <c r="A3692" i="209" s="1"/>
  <c r="A3693" i="209" s="1"/>
  <c r="A3694" i="209" s="1"/>
  <c r="A3695" i="209" s="1"/>
  <c r="A3696" i="209" s="1"/>
  <c r="A3697" i="209" s="1"/>
  <c r="A3698" i="209" s="1"/>
  <c r="A3699" i="209" s="1"/>
  <c r="A3700" i="209" s="1"/>
  <c r="A3701" i="209" s="1"/>
  <c r="A3702" i="209" s="1"/>
  <c r="A3703" i="209" s="1"/>
  <c r="A3704" i="209" s="1"/>
  <c r="A3705" i="209" s="1"/>
  <c r="O3663" i="209"/>
  <c r="N3663" i="209"/>
  <c r="M3663" i="209"/>
  <c r="L3663" i="209"/>
  <c r="K3663" i="209"/>
  <c r="J3663" i="209"/>
  <c r="I3663" i="209"/>
  <c r="A3656" i="209"/>
  <c r="O3654" i="209"/>
  <c r="A3651" i="209"/>
  <c r="L3644" i="209"/>
  <c r="N3643" i="209"/>
  <c r="F3643" i="209"/>
  <c r="M3643" i="209" s="1"/>
  <c r="E3643" i="209"/>
  <c r="N3642" i="209"/>
  <c r="F3642" i="209"/>
  <c r="M3642" i="209" s="1"/>
  <c r="E3642" i="209"/>
  <c r="N3641" i="209"/>
  <c r="M3641" i="209"/>
  <c r="F3641" i="209"/>
  <c r="E3641" i="209"/>
  <c r="N3640" i="209"/>
  <c r="F3640" i="209"/>
  <c r="M3640" i="209" s="1"/>
  <c r="E3640" i="209"/>
  <c r="N3639" i="209"/>
  <c r="F3639" i="209"/>
  <c r="E3639" i="209"/>
  <c r="N3629" i="209"/>
  <c r="L3629" i="209"/>
  <c r="F3629" i="209"/>
  <c r="E3629" i="209"/>
  <c r="M3628" i="209"/>
  <c r="M3629" i="209" s="1"/>
  <c r="K3628" i="209"/>
  <c r="K3629" i="209" s="1"/>
  <c r="J3628" i="209"/>
  <c r="N3625" i="209"/>
  <c r="F3625" i="209"/>
  <c r="E3625" i="209"/>
  <c r="M3624" i="209"/>
  <c r="M3623" i="209"/>
  <c r="M3622" i="209"/>
  <c r="M3621" i="209"/>
  <c r="M3620" i="209"/>
  <c r="M3619" i="209"/>
  <c r="M3618" i="209"/>
  <c r="M3617" i="209"/>
  <c r="M3616" i="209"/>
  <c r="M3615" i="209"/>
  <c r="M3614" i="209"/>
  <c r="M3613" i="209"/>
  <c r="M3612" i="209"/>
  <c r="M3611" i="209"/>
  <c r="A3611" i="209"/>
  <c r="A3612" i="209" s="1"/>
  <c r="A3613" i="209" s="1"/>
  <c r="A3614" i="209" s="1"/>
  <c r="A3615" i="209" s="1"/>
  <c r="A3616" i="209" s="1"/>
  <c r="A3617" i="209" s="1"/>
  <c r="A3618" i="209" s="1"/>
  <c r="A3619" i="209" s="1"/>
  <c r="A3620" i="209" s="1"/>
  <c r="A3621" i="209" s="1"/>
  <c r="A3622" i="209" s="1"/>
  <c r="A3623" i="209" s="1"/>
  <c r="A3624" i="209" s="1"/>
  <c r="A3625" i="209" s="1"/>
  <c r="A3627" i="209" s="1"/>
  <c r="A3628" i="209" s="1"/>
  <c r="A3629" i="209" s="1"/>
  <c r="A3631" i="209" s="1"/>
  <c r="A3633" i="209" s="1"/>
  <c r="A3635" i="209" s="1"/>
  <c r="A3638" i="209" s="1"/>
  <c r="A3639" i="209" s="1"/>
  <c r="A3640" i="209" s="1"/>
  <c r="A3641" i="209" s="1"/>
  <c r="A3642" i="209" s="1"/>
  <c r="A3643" i="209" s="1"/>
  <c r="A3644" i="209" s="1"/>
  <c r="A3646" i="209" s="1"/>
  <c r="O3608" i="209"/>
  <c r="N3608" i="209"/>
  <c r="M3608" i="209"/>
  <c r="L3608" i="209"/>
  <c r="K3608" i="209"/>
  <c r="J3608" i="209"/>
  <c r="I3608" i="209"/>
  <c r="A3601" i="209"/>
  <c r="O3599" i="209"/>
  <c r="A3596" i="209"/>
  <c r="L3591" i="209"/>
  <c r="M3590" i="209"/>
  <c r="M3589" i="209"/>
  <c r="M3588" i="209"/>
  <c r="M3587" i="209"/>
  <c r="M3586" i="209"/>
  <c r="M3585" i="209"/>
  <c r="M3584" i="209"/>
  <c r="M3583" i="209"/>
  <c r="M3582" i="209"/>
  <c r="N3581" i="209"/>
  <c r="N3580" i="209"/>
  <c r="F3580" i="209"/>
  <c r="M3580" i="209" s="1"/>
  <c r="E3580" i="209"/>
  <c r="M3579" i="209"/>
  <c r="M3578" i="209"/>
  <c r="N3577" i="209"/>
  <c r="F3577" i="209"/>
  <c r="M3577" i="209" s="1"/>
  <c r="E3577" i="209"/>
  <c r="M3576" i="209"/>
  <c r="M3575" i="209"/>
  <c r="N3574" i="209"/>
  <c r="M3573" i="209"/>
  <c r="N3572" i="209"/>
  <c r="F3572" i="209"/>
  <c r="E3572" i="209"/>
  <c r="M3571" i="209"/>
  <c r="M3570" i="209"/>
  <c r="K3570" i="209"/>
  <c r="M3569" i="209"/>
  <c r="M3568" i="209"/>
  <c r="M3567" i="209"/>
  <c r="M3566" i="209"/>
  <c r="M3565" i="209"/>
  <c r="M3564" i="209"/>
  <c r="M3563" i="209"/>
  <c r="M3562" i="209"/>
  <c r="J3562" i="209"/>
  <c r="M3561" i="209"/>
  <c r="J3561" i="209"/>
  <c r="N3558" i="209"/>
  <c r="L3558" i="209"/>
  <c r="K3557" i="209"/>
  <c r="J3557" i="209"/>
  <c r="F3557" i="209"/>
  <c r="M3557" i="209" s="1"/>
  <c r="E3557" i="209"/>
  <c r="K3556" i="209"/>
  <c r="J3556" i="209"/>
  <c r="F3556" i="209"/>
  <c r="E3556" i="209"/>
  <c r="M3555" i="209"/>
  <c r="J3555" i="209"/>
  <c r="M3554" i="209"/>
  <c r="J3554" i="209"/>
  <c r="M3553" i="209"/>
  <c r="K3553" i="209"/>
  <c r="J3553" i="209"/>
  <c r="M3552" i="209"/>
  <c r="J3552" i="209"/>
  <c r="A3552" i="209"/>
  <c r="A3553" i="209" s="1"/>
  <c r="A3554" i="209" s="1"/>
  <c r="A3555" i="209" s="1"/>
  <c r="A3556" i="209" s="1"/>
  <c r="A3557" i="209" s="1"/>
  <c r="A3558" i="209" s="1"/>
  <c r="A3560" i="209" s="1"/>
  <c r="A3561" i="209" s="1"/>
  <c r="A3562" i="209" s="1"/>
  <c r="A3563" i="209" s="1"/>
  <c r="A3564" i="209" s="1"/>
  <c r="A3565" i="209" s="1"/>
  <c r="A3566" i="209" s="1"/>
  <c r="A3567" i="209" s="1"/>
  <c r="A3568" i="209" s="1"/>
  <c r="A3569" i="209" s="1"/>
  <c r="A3570" i="209" s="1"/>
  <c r="A3571" i="209" s="1"/>
  <c r="A3572" i="209" s="1"/>
  <c r="A3573" i="209" s="1"/>
  <c r="A3574" i="209" s="1"/>
  <c r="A3575" i="209" s="1"/>
  <c r="A3576" i="209" s="1"/>
  <c r="A3577" i="209" s="1"/>
  <c r="A3578" i="209" s="1"/>
  <c r="A3579" i="209" s="1"/>
  <c r="A3580" i="209" s="1"/>
  <c r="A3581" i="209" s="1"/>
  <c r="A3582" i="209" s="1"/>
  <c r="A3583" i="209" s="1"/>
  <c r="A3584" i="209" s="1"/>
  <c r="A3585" i="209" s="1"/>
  <c r="A3586" i="209" s="1"/>
  <c r="A3587" i="209" s="1"/>
  <c r="A3588" i="209" s="1"/>
  <c r="A3589" i="209" s="1"/>
  <c r="A3590" i="209" s="1"/>
  <c r="A3591" i="209" s="1"/>
  <c r="O3549" i="209"/>
  <c r="N3549" i="209"/>
  <c r="M3549" i="209"/>
  <c r="L3549" i="209"/>
  <c r="K3549" i="209"/>
  <c r="J3549" i="209"/>
  <c r="I3549" i="209"/>
  <c r="A3542" i="209"/>
  <c r="O3540" i="209"/>
  <c r="A3537" i="209"/>
  <c r="L3530" i="209"/>
  <c r="J104" i="196" s="1"/>
  <c r="N3529" i="209"/>
  <c r="F3529" i="209"/>
  <c r="M3529" i="209" s="1"/>
  <c r="E3529" i="209"/>
  <c r="N3528" i="209"/>
  <c r="F3528" i="209"/>
  <c r="M3528" i="209" s="1"/>
  <c r="E3528" i="209"/>
  <c r="N3527" i="209"/>
  <c r="F3527" i="209"/>
  <c r="M3527" i="209" s="1"/>
  <c r="E3527" i="209"/>
  <c r="N3526" i="209"/>
  <c r="F3526" i="209"/>
  <c r="M3526" i="209" s="1"/>
  <c r="E3526" i="209"/>
  <c r="N3525" i="209"/>
  <c r="F3525" i="209"/>
  <c r="M3525" i="209" s="1"/>
  <c r="E3525" i="209"/>
  <c r="N3515" i="209"/>
  <c r="L3515" i="209"/>
  <c r="F3515" i="209"/>
  <c r="E3515" i="209"/>
  <c r="M3514" i="209"/>
  <c r="M3515" i="209" s="1"/>
  <c r="K3514" i="209"/>
  <c r="K3515" i="209" s="1"/>
  <c r="J3514" i="209"/>
  <c r="N3511" i="209"/>
  <c r="F3511" i="209"/>
  <c r="E3511" i="209"/>
  <c r="M3510" i="209"/>
  <c r="M3509" i="209"/>
  <c r="M3508" i="209"/>
  <c r="M3507" i="209"/>
  <c r="M3506" i="209"/>
  <c r="M3505" i="209"/>
  <c r="M3504" i="209"/>
  <c r="M3503" i="209"/>
  <c r="M3502" i="209"/>
  <c r="M3501" i="209"/>
  <c r="M3500" i="209"/>
  <c r="M3499" i="209"/>
  <c r="M3498" i="209"/>
  <c r="M3497" i="209"/>
  <c r="A3497" i="209"/>
  <c r="A3498" i="209" s="1"/>
  <c r="A3499" i="209" s="1"/>
  <c r="A3500" i="209" s="1"/>
  <c r="A3501" i="209" s="1"/>
  <c r="A3502" i="209" s="1"/>
  <c r="A3503" i="209" s="1"/>
  <c r="A3504" i="209" s="1"/>
  <c r="A3505" i="209" s="1"/>
  <c r="A3506" i="209" s="1"/>
  <c r="A3507" i="209" s="1"/>
  <c r="A3508" i="209" s="1"/>
  <c r="A3509" i="209" s="1"/>
  <c r="A3510" i="209" s="1"/>
  <c r="A3511" i="209" s="1"/>
  <c r="A3513" i="209" s="1"/>
  <c r="A3514" i="209" s="1"/>
  <c r="A3515" i="209" s="1"/>
  <c r="A3517" i="209" s="1"/>
  <c r="A3519" i="209" s="1"/>
  <c r="A3521" i="209" s="1"/>
  <c r="A3524" i="209" s="1"/>
  <c r="A3525" i="209" s="1"/>
  <c r="A3526" i="209" s="1"/>
  <c r="A3527" i="209" s="1"/>
  <c r="A3528" i="209" s="1"/>
  <c r="A3529" i="209" s="1"/>
  <c r="A3530" i="209" s="1"/>
  <c r="A3532" i="209" s="1"/>
  <c r="O3494" i="209"/>
  <c r="N3494" i="209"/>
  <c r="M3494" i="209"/>
  <c r="L3494" i="209"/>
  <c r="K3494" i="209"/>
  <c r="J3494" i="209"/>
  <c r="I3494" i="209"/>
  <c r="A3487" i="209"/>
  <c r="O3485" i="209"/>
  <c r="A3482" i="209"/>
  <c r="L3477" i="209"/>
  <c r="M3476" i="209"/>
  <c r="M3475" i="209"/>
  <c r="M3474" i="209"/>
  <c r="M3473" i="209"/>
  <c r="M3472" i="209"/>
  <c r="M3471" i="209"/>
  <c r="M3470" i="209"/>
  <c r="M3469" i="209"/>
  <c r="M3468" i="209"/>
  <c r="F3467" i="209"/>
  <c r="M3467" i="209" s="1"/>
  <c r="E3467" i="209"/>
  <c r="N3466" i="209"/>
  <c r="E3466" i="209"/>
  <c r="M3465" i="209"/>
  <c r="M3464" i="209"/>
  <c r="N3463" i="209"/>
  <c r="M3463" i="209"/>
  <c r="F3463" i="209"/>
  <c r="E3463" i="209"/>
  <c r="M3462" i="209"/>
  <c r="M3461" i="209"/>
  <c r="M3459" i="209"/>
  <c r="F3458" i="209"/>
  <c r="M3458" i="209" s="1"/>
  <c r="M3457" i="209"/>
  <c r="M3456" i="209"/>
  <c r="K3456" i="209"/>
  <c r="M3455" i="209"/>
  <c r="M3454" i="209"/>
  <c r="M3453" i="209"/>
  <c r="M3452" i="209"/>
  <c r="M3451" i="209"/>
  <c r="M3450" i="209"/>
  <c r="M3449" i="209"/>
  <c r="M3448" i="209"/>
  <c r="J3448" i="209"/>
  <c r="M3447" i="209"/>
  <c r="J3447" i="209"/>
  <c r="N3444" i="209"/>
  <c r="L3444" i="209"/>
  <c r="K3443" i="209"/>
  <c r="J3443" i="209"/>
  <c r="F3443" i="209"/>
  <c r="M3443" i="209" s="1"/>
  <c r="E3443" i="209"/>
  <c r="E3444" i="209" s="1"/>
  <c r="K3442" i="209"/>
  <c r="J3442" i="209"/>
  <c r="F3442" i="209"/>
  <c r="E3442" i="209"/>
  <c r="M3441" i="209"/>
  <c r="J3441" i="209"/>
  <c r="M3440" i="209"/>
  <c r="J3440" i="209"/>
  <c r="M3439" i="209"/>
  <c r="K3439" i="209"/>
  <c r="J3439" i="209"/>
  <c r="M3438" i="209"/>
  <c r="J3438" i="209"/>
  <c r="A3438" i="209"/>
  <c r="A3439" i="209" s="1"/>
  <c r="A3440" i="209" s="1"/>
  <c r="A3441" i="209" s="1"/>
  <c r="A3442" i="209" s="1"/>
  <c r="A3443" i="209" s="1"/>
  <c r="A3444" i="209" s="1"/>
  <c r="A3446" i="209" s="1"/>
  <c r="A3447" i="209" s="1"/>
  <c r="A3448" i="209" s="1"/>
  <c r="A3449" i="209" s="1"/>
  <c r="A3450" i="209" s="1"/>
  <c r="A3451" i="209" s="1"/>
  <c r="A3452" i="209" s="1"/>
  <c r="A3453" i="209" s="1"/>
  <c r="A3454" i="209" s="1"/>
  <c r="A3455" i="209" s="1"/>
  <c r="A3456" i="209" s="1"/>
  <c r="A3457" i="209" s="1"/>
  <c r="A3458" i="209" s="1"/>
  <c r="A3459" i="209" s="1"/>
  <c r="A3460" i="209" s="1"/>
  <c r="A3461" i="209" s="1"/>
  <c r="A3462" i="209" s="1"/>
  <c r="A3463" i="209" s="1"/>
  <c r="A3464" i="209" s="1"/>
  <c r="A3465" i="209" s="1"/>
  <c r="A3466" i="209" s="1"/>
  <c r="A3467" i="209" s="1"/>
  <c r="A3468" i="209" s="1"/>
  <c r="A3469" i="209" s="1"/>
  <c r="A3470" i="209" s="1"/>
  <c r="A3471" i="209" s="1"/>
  <c r="A3472" i="209" s="1"/>
  <c r="A3473" i="209" s="1"/>
  <c r="A3474" i="209" s="1"/>
  <c r="A3475" i="209" s="1"/>
  <c r="A3476" i="209" s="1"/>
  <c r="A3477" i="209" s="1"/>
  <c r="O3435" i="209"/>
  <c r="N3435" i="209"/>
  <c r="M3435" i="209"/>
  <c r="L3435" i="209"/>
  <c r="K3435" i="209"/>
  <c r="J3435" i="209"/>
  <c r="I3435" i="209"/>
  <c r="A3428" i="209"/>
  <c r="O3426" i="209"/>
  <c r="A3423" i="209"/>
  <c r="L3416" i="209"/>
  <c r="N3415" i="209"/>
  <c r="F3415" i="209"/>
  <c r="M3415" i="209" s="1"/>
  <c r="E3415" i="209"/>
  <c r="N3414" i="209"/>
  <c r="F3414" i="209"/>
  <c r="M3414" i="209" s="1"/>
  <c r="E3414" i="209"/>
  <c r="N3413" i="209"/>
  <c r="F3413" i="209"/>
  <c r="E3413" i="209"/>
  <c r="N3412" i="209"/>
  <c r="F3412" i="209"/>
  <c r="M3412" i="209" s="1"/>
  <c r="E3412" i="209"/>
  <c r="N3411" i="209"/>
  <c r="F3411" i="209"/>
  <c r="M3411" i="209" s="1"/>
  <c r="E3411" i="209"/>
  <c r="N3401" i="209"/>
  <c r="L3401" i="209"/>
  <c r="F3401" i="209"/>
  <c r="E3401" i="209"/>
  <c r="M3400" i="209"/>
  <c r="M3401" i="209" s="1"/>
  <c r="K3400" i="209"/>
  <c r="K3401" i="209" s="1"/>
  <c r="J3400" i="209"/>
  <c r="N3397" i="209"/>
  <c r="F3397" i="209"/>
  <c r="E3397" i="209"/>
  <c r="M3396" i="209"/>
  <c r="M3395" i="209"/>
  <c r="M3394" i="209"/>
  <c r="M3393" i="209"/>
  <c r="M3392" i="209"/>
  <c r="M3391" i="209"/>
  <c r="M3390" i="209"/>
  <c r="M3389" i="209"/>
  <c r="M3388" i="209"/>
  <c r="M3387" i="209"/>
  <c r="M3386" i="209"/>
  <c r="M3385" i="209"/>
  <c r="M3384" i="209"/>
  <c r="M3383" i="209"/>
  <c r="A3383" i="209"/>
  <c r="A3384" i="209" s="1"/>
  <c r="A3385" i="209" s="1"/>
  <c r="A3386" i="209" s="1"/>
  <c r="A3387" i="209" s="1"/>
  <c r="A3388" i="209" s="1"/>
  <c r="A3389" i="209" s="1"/>
  <c r="A3390" i="209" s="1"/>
  <c r="A3391" i="209" s="1"/>
  <c r="A3392" i="209" s="1"/>
  <c r="A3393" i="209" s="1"/>
  <c r="A3394" i="209" s="1"/>
  <c r="A3395" i="209" s="1"/>
  <c r="A3396" i="209" s="1"/>
  <c r="A3397" i="209" s="1"/>
  <c r="A3399" i="209" s="1"/>
  <c r="A3400" i="209" s="1"/>
  <c r="A3401" i="209" s="1"/>
  <c r="A3403" i="209" s="1"/>
  <c r="A3405" i="209" s="1"/>
  <c r="A3407" i="209" s="1"/>
  <c r="A3410" i="209" s="1"/>
  <c r="A3411" i="209" s="1"/>
  <c r="A3412" i="209" s="1"/>
  <c r="A3413" i="209" s="1"/>
  <c r="A3414" i="209" s="1"/>
  <c r="A3415" i="209" s="1"/>
  <c r="A3416" i="209" s="1"/>
  <c r="A3418" i="209" s="1"/>
  <c r="O3380" i="209"/>
  <c r="N3380" i="209"/>
  <c r="M3380" i="209"/>
  <c r="L3380" i="209"/>
  <c r="K3380" i="209"/>
  <c r="J3380" i="209"/>
  <c r="I3380" i="209"/>
  <c r="A3373" i="209"/>
  <c r="O3371" i="209"/>
  <c r="A3368" i="209"/>
  <c r="L3363" i="209"/>
  <c r="M3362" i="209"/>
  <c r="M3361" i="209"/>
  <c r="M3360" i="209"/>
  <c r="M3359" i="209"/>
  <c r="M3358" i="209"/>
  <c r="M3357" i="209"/>
  <c r="M3356" i="209"/>
  <c r="M3355" i="209"/>
  <c r="M3354" i="209"/>
  <c r="N3353" i="209"/>
  <c r="F3353" i="209"/>
  <c r="M3353" i="209" s="1"/>
  <c r="E3353" i="209"/>
  <c r="N3352" i="209"/>
  <c r="F3352" i="209"/>
  <c r="M3352" i="209" s="1"/>
  <c r="M3351" i="209"/>
  <c r="M3350" i="209"/>
  <c r="N3349" i="209"/>
  <c r="M3348" i="209"/>
  <c r="M3347" i="209"/>
  <c r="F3346" i="209"/>
  <c r="M3346" i="209" s="1"/>
  <c r="E3346" i="209"/>
  <c r="M3345" i="209"/>
  <c r="M3344" i="209"/>
  <c r="F3344" i="209"/>
  <c r="E3344" i="209"/>
  <c r="M3343" i="209"/>
  <c r="M3342" i="209"/>
  <c r="K3342" i="209"/>
  <c r="M3341" i="209"/>
  <c r="M3340" i="209"/>
  <c r="M3339" i="209"/>
  <c r="M3338" i="209"/>
  <c r="M3337" i="209"/>
  <c r="M3336" i="209"/>
  <c r="M3335" i="209"/>
  <c r="M3334" i="209"/>
  <c r="J3334" i="209"/>
  <c r="M3333" i="209"/>
  <c r="J3333" i="209"/>
  <c r="N3330" i="209"/>
  <c r="L3330" i="209"/>
  <c r="K3329" i="209"/>
  <c r="J3329" i="209"/>
  <c r="F3329" i="209"/>
  <c r="M3329" i="209" s="1"/>
  <c r="E3329" i="209"/>
  <c r="K3328" i="209"/>
  <c r="J3328" i="209"/>
  <c r="F3328" i="209"/>
  <c r="M3328" i="209" s="1"/>
  <c r="E3328" i="209"/>
  <c r="E3330" i="209" s="1"/>
  <c r="M3327" i="209"/>
  <c r="J3327" i="209"/>
  <c r="M3326" i="209"/>
  <c r="J3326" i="209"/>
  <c r="K3325" i="209"/>
  <c r="J3325" i="209"/>
  <c r="F3325" i="209"/>
  <c r="F19" i="130" s="1"/>
  <c r="M3324" i="209"/>
  <c r="J3324" i="209"/>
  <c r="A3324" i="209"/>
  <c r="A3325" i="209" s="1"/>
  <c r="A3326" i="209" s="1"/>
  <c r="A3327" i="209" s="1"/>
  <c r="A3328" i="209" s="1"/>
  <c r="A3329" i="209" s="1"/>
  <c r="A3330" i="209" s="1"/>
  <c r="A3332" i="209" s="1"/>
  <c r="A3333" i="209" s="1"/>
  <c r="A3334" i="209" s="1"/>
  <c r="A3335" i="209" s="1"/>
  <c r="A3336" i="209" s="1"/>
  <c r="A3337" i="209" s="1"/>
  <c r="A3338" i="209" s="1"/>
  <c r="A3339" i="209" s="1"/>
  <c r="A3340" i="209" s="1"/>
  <c r="A3341" i="209" s="1"/>
  <c r="A3342" i="209" s="1"/>
  <c r="A3343" i="209" s="1"/>
  <c r="A3344" i="209" s="1"/>
  <c r="A3345" i="209" s="1"/>
  <c r="A3346" i="209" s="1"/>
  <c r="A3347" i="209" s="1"/>
  <c r="A3348" i="209" s="1"/>
  <c r="A3349" i="209" s="1"/>
  <c r="A3350" i="209" s="1"/>
  <c r="A3351" i="209" s="1"/>
  <c r="A3352" i="209" s="1"/>
  <c r="A3353" i="209" s="1"/>
  <c r="A3354" i="209" s="1"/>
  <c r="A3355" i="209" s="1"/>
  <c r="A3356" i="209" s="1"/>
  <c r="A3357" i="209" s="1"/>
  <c r="A3358" i="209" s="1"/>
  <c r="A3359" i="209" s="1"/>
  <c r="A3360" i="209" s="1"/>
  <c r="A3361" i="209" s="1"/>
  <c r="A3362" i="209" s="1"/>
  <c r="A3363" i="209" s="1"/>
  <c r="O3321" i="209"/>
  <c r="N3321" i="209"/>
  <c r="M3321" i="209"/>
  <c r="L3321" i="209"/>
  <c r="K3321" i="209"/>
  <c r="J3321" i="209"/>
  <c r="I3321" i="209"/>
  <c r="A3314" i="209"/>
  <c r="O3312" i="209"/>
  <c r="A3309" i="209"/>
  <c r="L3302" i="209"/>
  <c r="J102" i="196" s="1"/>
  <c r="N3301" i="209"/>
  <c r="F3301" i="209"/>
  <c r="M3301" i="209" s="1"/>
  <c r="E3301" i="209"/>
  <c r="N3300" i="209"/>
  <c r="F3300" i="209"/>
  <c r="M3300" i="209" s="1"/>
  <c r="E3300" i="209"/>
  <c r="N3299" i="209"/>
  <c r="F3299" i="209"/>
  <c r="E3299" i="209"/>
  <c r="N3298" i="209"/>
  <c r="F3298" i="209"/>
  <c r="M3298" i="209" s="1"/>
  <c r="E3298" i="209"/>
  <c r="N3297" i="209"/>
  <c r="F3297" i="209"/>
  <c r="M3297" i="209" s="1"/>
  <c r="E3297" i="209"/>
  <c r="N3287" i="209"/>
  <c r="L3287" i="209"/>
  <c r="F3287" i="209"/>
  <c r="E3287" i="209"/>
  <c r="M3286" i="209"/>
  <c r="M3287" i="209" s="1"/>
  <c r="K3286" i="209"/>
  <c r="K3287" i="209" s="1"/>
  <c r="J3286" i="209"/>
  <c r="N3283" i="209"/>
  <c r="F3283" i="209"/>
  <c r="E3283" i="209"/>
  <c r="M3282" i="209"/>
  <c r="M3281" i="209"/>
  <c r="M3280" i="209"/>
  <c r="M3279" i="209"/>
  <c r="M3278" i="209"/>
  <c r="M3277" i="209"/>
  <c r="M3276" i="209"/>
  <c r="M3275" i="209"/>
  <c r="M3274" i="209"/>
  <c r="M3273" i="209"/>
  <c r="M3272" i="209"/>
  <c r="M3271" i="209"/>
  <c r="M3270" i="209"/>
  <c r="M3269" i="209"/>
  <c r="A3269" i="209"/>
  <c r="A3270" i="209" s="1"/>
  <c r="A3271" i="209" s="1"/>
  <c r="A3272" i="209" s="1"/>
  <c r="A3273" i="209" s="1"/>
  <c r="A3274" i="209" s="1"/>
  <c r="A3275" i="209" s="1"/>
  <c r="A3276" i="209" s="1"/>
  <c r="A3277" i="209" s="1"/>
  <c r="A3278" i="209" s="1"/>
  <c r="A3279" i="209" s="1"/>
  <c r="A3280" i="209" s="1"/>
  <c r="A3281" i="209" s="1"/>
  <c r="A3282" i="209" s="1"/>
  <c r="A3283" i="209" s="1"/>
  <c r="A3285" i="209" s="1"/>
  <c r="A3286" i="209" s="1"/>
  <c r="A3287" i="209" s="1"/>
  <c r="A3289" i="209" s="1"/>
  <c r="A3291" i="209" s="1"/>
  <c r="A3293" i="209" s="1"/>
  <c r="A3296" i="209" s="1"/>
  <c r="A3297" i="209" s="1"/>
  <c r="A3298" i="209" s="1"/>
  <c r="A3299" i="209" s="1"/>
  <c r="A3300" i="209" s="1"/>
  <c r="A3301" i="209" s="1"/>
  <c r="A3302" i="209" s="1"/>
  <c r="A3304" i="209" s="1"/>
  <c r="O3266" i="209"/>
  <c r="N3266" i="209"/>
  <c r="M3266" i="209"/>
  <c r="L3266" i="209"/>
  <c r="K3266" i="209"/>
  <c r="J3266" i="209"/>
  <c r="I3266" i="209"/>
  <c r="A3259" i="209"/>
  <c r="O3257" i="209"/>
  <c r="A3254" i="209"/>
  <c r="L3249" i="209"/>
  <c r="M3248" i="209"/>
  <c r="M3247" i="209"/>
  <c r="M3246" i="209"/>
  <c r="M3245" i="209"/>
  <c r="M3244" i="209"/>
  <c r="M3243" i="209"/>
  <c r="M3242" i="209"/>
  <c r="M3241" i="209"/>
  <c r="M3240" i="209"/>
  <c r="N3239" i="209"/>
  <c r="F3239" i="209"/>
  <c r="M3239" i="209" s="1"/>
  <c r="E3239" i="209"/>
  <c r="N3238" i="209"/>
  <c r="M3237" i="209"/>
  <c r="M3236" i="209"/>
  <c r="N3235" i="209"/>
  <c r="F3235" i="209"/>
  <c r="M3235" i="209" s="1"/>
  <c r="E3235" i="209"/>
  <c r="M3234" i="209"/>
  <c r="M3233" i="209"/>
  <c r="N3232" i="209"/>
  <c r="F3232" i="209"/>
  <c r="M3232" i="209" s="1"/>
  <c r="E3232" i="209"/>
  <c r="M3231" i="209"/>
  <c r="N3230" i="209"/>
  <c r="N3249" i="209" s="1"/>
  <c r="F3230" i="209"/>
  <c r="M3229" i="209"/>
  <c r="M3228" i="209"/>
  <c r="K3228" i="209"/>
  <c r="M3227" i="209"/>
  <c r="M3226" i="209"/>
  <c r="M3225" i="209"/>
  <c r="M3224" i="209"/>
  <c r="M3223" i="209"/>
  <c r="M3222" i="209"/>
  <c r="M3221" i="209"/>
  <c r="M3220" i="209"/>
  <c r="J3220" i="209"/>
  <c r="M3219" i="209"/>
  <c r="J3219" i="209"/>
  <c r="N3216" i="209"/>
  <c r="L3216" i="209"/>
  <c r="K3215" i="209"/>
  <c r="J3215" i="209"/>
  <c r="F3215" i="209"/>
  <c r="M3215" i="209" s="1"/>
  <c r="E3215" i="209"/>
  <c r="K3214" i="209"/>
  <c r="J3214" i="209"/>
  <c r="F3214" i="209"/>
  <c r="E3214" i="209"/>
  <c r="E3216" i="209" s="1"/>
  <c r="M3213" i="209"/>
  <c r="J3213" i="209"/>
  <c r="M3212" i="209"/>
  <c r="J3212" i="209"/>
  <c r="M3211" i="209"/>
  <c r="K3211" i="209"/>
  <c r="J3211" i="209"/>
  <c r="M3210" i="209"/>
  <c r="J3210" i="209"/>
  <c r="A3210" i="209"/>
  <c r="A3211" i="209" s="1"/>
  <c r="A3212" i="209" s="1"/>
  <c r="A3213" i="209" s="1"/>
  <c r="A3214" i="209" s="1"/>
  <c r="A3215" i="209" s="1"/>
  <c r="A3216" i="209" s="1"/>
  <c r="A3218" i="209" s="1"/>
  <c r="A3219" i="209" s="1"/>
  <c r="A3220" i="209" s="1"/>
  <c r="A3221" i="209" s="1"/>
  <c r="A3222" i="209" s="1"/>
  <c r="A3223" i="209" s="1"/>
  <c r="A3224" i="209" s="1"/>
  <c r="A3225" i="209" s="1"/>
  <c r="A3226" i="209" s="1"/>
  <c r="A3227" i="209" s="1"/>
  <c r="A3228" i="209" s="1"/>
  <c r="A3229" i="209" s="1"/>
  <c r="A3230" i="209" s="1"/>
  <c r="A3231" i="209" s="1"/>
  <c r="A3232" i="209" s="1"/>
  <c r="A3233" i="209" s="1"/>
  <c r="A3234" i="209" s="1"/>
  <c r="A3235" i="209" s="1"/>
  <c r="A3236" i="209" s="1"/>
  <c r="A3237" i="209" s="1"/>
  <c r="A3238" i="209" s="1"/>
  <c r="A3239" i="209" s="1"/>
  <c r="A3240" i="209" s="1"/>
  <c r="A3241" i="209" s="1"/>
  <c r="A3242" i="209" s="1"/>
  <c r="A3243" i="209" s="1"/>
  <c r="A3244" i="209" s="1"/>
  <c r="A3245" i="209" s="1"/>
  <c r="A3246" i="209" s="1"/>
  <c r="A3247" i="209" s="1"/>
  <c r="A3248" i="209" s="1"/>
  <c r="A3249" i="209" s="1"/>
  <c r="O3207" i="209"/>
  <c r="N3207" i="209"/>
  <c r="M3207" i="209"/>
  <c r="L3207" i="209"/>
  <c r="K3207" i="209"/>
  <c r="J3207" i="209"/>
  <c r="I3207" i="209"/>
  <c r="A3200" i="209"/>
  <c r="O3198" i="209"/>
  <c r="A3195" i="209"/>
  <c r="L3188" i="209"/>
  <c r="J101" i="196" s="1"/>
  <c r="N3187" i="209"/>
  <c r="F3187" i="209"/>
  <c r="M3187" i="209" s="1"/>
  <c r="E3187" i="209"/>
  <c r="N3186" i="209"/>
  <c r="F3186" i="209"/>
  <c r="M3186" i="209" s="1"/>
  <c r="E3186" i="209"/>
  <c r="N3185" i="209"/>
  <c r="F3185" i="209"/>
  <c r="M3185" i="209" s="1"/>
  <c r="E3185" i="209"/>
  <c r="N3184" i="209"/>
  <c r="F3184" i="209"/>
  <c r="M3184" i="209" s="1"/>
  <c r="E3184" i="209"/>
  <c r="N3183" i="209"/>
  <c r="F3183" i="209"/>
  <c r="E3183" i="209"/>
  <c r="N3173" i="209"/>
  <c r="L3173" i="209"/>
  <c r="K3173" i="209"/>
  <c r="F3173" i="209"/>
  <c r="E3173" i="209"/>
  <c r="M3172" i="209"/>
  <c r="M3173" i="209" s="1"/>
  <c r="K3172" i="209"/>
  <c r="J3172" i="209"/>
  <c r="N3169" i="209"/>
  <c r="F3169" i="209"/>
  <c r="E3169" i="209"/>
  <c r="M3168" i="209"/>
  <c r="M3167" i="209"/>
  <c r="M3166" i="209"/>
  <c r="M3165" i="209"/>
  <c r="M3164" i="209"/>
  <c r="M3163" i="209"/>
  <c r="M3162" i="209"/>
  <c r="M3161" i="209"/>
  <c r="M3160" i="209"/>
  <c r="A3160" i="209"/>
  <c r="A3161" i="209" s="1"/>
  <c r="A3162" i="209" s="1"/>
  <c r="A3163" i="209" s="1"/>
  <c r="A3164" i="209" s="1"/>
  <c r="A3165" i="209" s="1"/>
  <c r="A3166" i="209" s="1"/>
  <c r="A3167" i="209" s="1"/>
  <c r="A3168" i="209" s="1"/>
  <c r="A3169" i="209" s="1"/>
  <c r="A3171" i="209" s="1"/>
  <c r="A3172" i="209" s="1"/>
  <c r="A3173" i="209" s="1"/>
  <c r="A3175" i="209" s="1"/>
  <c r="A3177" i="209" s="1"/>
  <c r="A3179" i="209" s="1"/>
  <c r="A3182" i="209" s="1"/>
  <c r="A3183" i="209" s="1"/>
  <c r="A3184" i="209" s="1"/>
  <c r="A3185" i="209" s="1"/>
  <c r="A3186" i="209" s="1"/>
  <c r="A3187" i="209" s="1"/>
  <c r="A3188" i="209" s="1"/>
  <c r="A3190" i="209" s="1"/>
  <c r="M3159" i="209"/>
  <c r="M3158" i="209"/>
  <c r="M3157" i="209"/>
  <c r="M3156" i="209"/>
  <c r="M3155" i="209"/>
  <c r="A3155" i="209"/>
  <c r="A3156" i="209" s="1"/>
  <c r="A3157" i="209" s="1"/>
  <c r="A3158" i="209" s="1"/>
  <c r="A3159" i="209" s="1"/>
  <c r="O3152" i="209"/>
  <c r="N3152" i="209"/>
  <c r="M3152" i="209"/>
  <c r="L3152" i="209"/>
  <c r="K3152" i="209"/>
  <c r="J3152" i="209"/>
  <c r="I3152" i="209"/>
  <c r="A3145" i="209"/>
  <c r="O3143" i="209"/>
  <c r="A3140" i="209"/>
  <c r="L3135" i="209"/>
  <c r="M3134" i="209"/>
  <c r="M3133" i="209"/>
  <c r="M3132" i="209"/>
  <c r="M3131" i="209"/>
  <c r="M3130" i="209"/>
  <c r="M3129" i="209"/>
  <c r="M3128" i="209"/>
  <c r="M3127" i="209"/>
  <c r="M3126" i="209"/>
  <c r="F3125" i="209"/>
  <c r="M3125" i="209" s="1"/>
  <c r="F3124" i="209"/>
  <c r="M3124" i="209" s="1"/>
  <c r="E3124" i="209"/>
  <c r="M3123" i="209"/>
  <c r="M3122" i="209"/>
  <c r="N3121" i="209"/>
  <c r="F3121" i="209"/>
  <c r="M3121" i="209" s="1"/>
  <c r="M3120" i="209"/>
  <c r="M3119" i="209"/>
  <c r="N3118" i="209"/>
  <c r="M3117" i="209"/>
  <c r="N3116" i="209"/>
  <c r="F3116" i="209"/>
  <c r="E3116" i="209"/>
  <c r="M3115" i="209"/>
  <c r="M3114" i="209"/>
  <c r="K3114" i="209"/>
  <c r="M3113" i="209"/>
  <c r="M3112" i="209"/>
  <c r="M3111" i="209"/>
  <c r="M3110" i="209"/>
  <c r="M3109" i="209"/>
  <c r="M3108" i="209"/>
  <c r="M3107" i="209"/>
  <c r="M3106" i="209"/>
  <c r="J3106" i="209"/>
  <c r="M3105" i="209"/>
  <c r="J3105" i="209"/>
  <c r="N3102" i="209"/>
  <c r="L3102" i="209"/>
  <c r="K3101" i="209"/>
  <c r="J3101" i="209"/>
  <c r="F3101" i="209"/>
  <c r="M3101" i="209" s="1"/>
  <c r="E3101" i="209"/>
  <c r="K3100" i="209"/>
  <c r="J3100" i="209"/>
  <c r="F3100" i="209"/>
  <c r="M3100" i="209" s="1"/>
  <c r="M3099" i="209"/>
  <c r="J3099" i="209"/>
  <c r="M3098" i="209"/>
  <c r="J3098" i="209"/>
  <c r="M3097" i="209"/>
  <c r="K3097" i="209"/>
  <c r="J3097" i="209"/>
  <c r="M3096" i="209"/>
  <c r="J3096" i="209"/>
  <c r="A3096" i="209"/>
  <c r="A3097" i="209" s="1"/>
  <c r="A3098" i="209" s="1"/>
  <c r="A3099" i="209" s="1"/>
  <c r="A3100" i="209" s="1"/>
  <c r="A3101" i="209" s="1"/>
  <c r="A3102" i="209" s="1"/>
  <c r="A3104" i="209" s="1"/>
  <c r="A3105" i="209" s="1"/>
  <c r="A3106" i="209" s="1"/>
  <c r="A3107" i="209" s="1"/>
  <c r="A3108" i="209" s="1"/>
  <c r="A3109" i="209" s="1"/>
  <c r="A3110" i="209" s="1"/>
  <c r="A3111" i="209" s="1"/>
  <c r="A3112" i="209" s="1"/>
  <c r="A3113" i="209" s="1"/>
  <c r="A3114" i="209" s="1"/>
  <c r="A3115" i="209" s="1"/>
  <c r="A3116" i="209" s="1"/>
  <c r="A3117" i="209" s="1"/>
  <c r="A3118" i="209" s="1"/>
  <c r="A3119" i="209" s="1"/>
  <c r="A3120" i="209" s="1"/>
  <c r="A3121" i="209" s="1"/>
  <c r="A3122" i="209" s="1"/>
  <c r="A3123" i="209" s="1"/>
  <c r="A3124" i="209" s="1"/>
  <c r="A3125" i="209" s="1"/>
  <c r="A3126" i="209" s="1"/>
  <c r="A3127" i="209" s="1"/>
  <c r="A3128" i="209" s="1"/>
  <c r="A3129" i="209" s="1"/>
  <c r="A3130" i="209" s="1"/>
  <c r="A3131" i="209" s="1"/>
  <c r="A3132" i="209" s="1"/>
  <c r="A3133" i="209" s="1"/>
  <c r="A3134" i="209" s="1"/>
  <c r="A3135" i="209" s="1"/>
  <c r="O3093" i="209"/>
  <c r="N3093" i="209"/>
  <c r="M3093" i="209"/>
  <c r="L3093" i="209"/>
  <c r="K3093" i="209"/>
  <c r="J3093" i="209"/>
  <c r="I3093" i="209"/>
  <c r="A3086" i="209"/>
  <c r="O3084" i="209"/>
  <c r="A3081" i="209"/>
  <c r="L3074" i="209"/>
  <c r="N3073" i="209"/>
  <c r="F3073" i="209"/>
  <c r="M3073" i="209" s="1"/>
  <c r="E3073" i="209"/>
  <c r="N3072" i="209"/>
  <c r="F3072" i="209"/>
  <c r="M3072" i="209" s="1"/>
  <c r="E3072" i="209"/>
  <c r="N3071" i="209"/>
  <c r="F3071" i="209"/>
  <c r="M3071" i="209" s="1"/>
  <c r="E3071" i="209"/>
  <c r="N3070" i="209"/>
  <c r="F3070" i="209"/>
  <c r="M3070" i="209" s="1"/>
  <c r="E3070" i="209"/>
  <c r="N3069" i="209"/>
  <c r="F3069" i="209"/>
  <c r="M3069" i="209" s="1"/>
  <c r="E3069" i="209"/>
  <c r="N3059" i="209"/>
  <c r="L3059" i="209"/>
  <c r="F3059" i="209"/>
  <c r="E3059" i="209"/>
  <c r="M3058" i="209"/>
  <c r="M3059" i="209" s="1"/>
  <c r="K3058" i="209"/>
  <c r="K3059" i="209" s="1"/>
  <c r="J3058" i="209"/>
  <c r="N3055" i="209"/>
  <c r="F3055" i="209"/>
  <c r="E3055" i="209"/>
  <c r="M3054" i="209"/>
  <c r="M3053" i="209"/>
  <c r="M3052" i="209"/>
  <c r="J3052" i="209"/>
  <c r="J3166" i="209" s="1"/>
  <c r="J3280" i="209" s="1"/>
  <c r="J3394" i="209" s="1"/>
  <c r="J3508" i="209" s="1"/>
  <c r="J3622" i="209" s="1"/>
  <c r="J3736" i="209" s="1"/>
  <c r="J3850" i="209" s="1"/>
  <c r="J3964" i="209" s="1"/>
  <c r="J4078" i="209" s="1"/>
  <c r="M3051" i="209"/>
  <c r="M3050" i="209"/>
  <c r="M3049" i="209"/>
  <c r="M3048" i="209"/>
  <c r="M3047" i="209"/>
  <c r="M3046" i="209"/>
  <c r="M3045" i="209"/>
  <c r="M3044" i="209"/>
  <c r="M3043" i="209"/>
  <c r="M3042" i="209"/>
  <c r="M3041" i="209"/>
  <c r="A3041" i="209"/>
  <c r="A3042" i="209" s="1"/>
  <c r="A3043" i="209" s="1"/>
  <c r="A3044" i="209" s="1"/>
  <c r="A3045" i="209" s="1"/>
  <c r="A3046" i="209" s="1"/>
  <c r="A3047" i="209" s="1"/>
  <c r="A3048" i="209" s="1"/>
  <c r="A3049" i="209" s="1"/>
  <c r="A3050" i="209" s="1"/>
  <c r="A3051" i="209" s="1"/>
  <c r="A3052" i="209" s="1"/>
  <c r="A3053" i="209" s="1"/>
  <c r="A3054" i="209" s="1"/>
  <c r="A3055" i="209" s="1"/>
  <c r="A3057" i="209" s="1"/>
  <c r="A3058" i="209" s="1"/>
  <c r="A3059" i="209" s="1"/>
  <c r="A3061" i="209" s="1"/>
  <c r="A3063" i="209" s="1"/>
  <c r="A3065" i="209" s="1"/>
  <c r="A3068" i="209" s="1"/>
  <c r="A3069" i="209" s="1"/>
  <c r="A3070" i="209" s="1"/>
  <c r="A3071" i="209" s="1"/>
  <c r="A3072" i="209" s="1"/>
  <c r="A3073" i="209" s="1"/>
  <c r="A3074" i="209" s="1"/>
  <c r="A3076" i="209" s="1"/>
  <c r="O3038" i="209"/>
  <c r="N3038" i="209"/>
  <c r="M3038" i="209"/>
  <c r="L3038" i="209"/>
  <c r="K3038" i="209"/>
  <c r="J3038" i="209"/>
  <c r="I3038" i="209"/>
  <c r="A3031" i="209"/>
  <c r="O3029" i="209"/>
  <c r="A3026" i="209"/>
  <c r="L3021" i="209"/>
  <c r="M3020" i="209"/>
  <c r="M3019" i="209"/>
  <c r="M3018" i="209"/>
  <c r="M3017" i="209"/>
  <c r="M3016" i="209"/>
  <c r="M3015" i="209"/>
  <c r="M3014" i="209"/>
  <c r="M3013" i="209"/>
  <c r="M3012" i="209"/>
  <c r="N3011" i="209"/>
  <c r="F3011" i="209"/>
  <c r="M3011" i="209" s="1"/>
  <c r="E3011" i="209"/>
  <c r="N3010" i="209"/>
  <c r="F3010" i="209"/>
  <c r="M3010" i="209" s="1"/>
  <c r="M3009" i="209"/>
  <c r="M3008" i="209"/>
  <c r="N3007" i="209"/>
  <c r="M3006" i="209"/>
  <c r="M3005" i="209"/>
  <c r="N3004" i="209"/>
  <c r="F3004" i="209"/>
  <c r="M3004" i="209" s="1"/>
  <c r="M3003" i="209"/>
  <c r="E3002" i="209"/>
  <c r="M3001" i="209"/>
  <c r="M3000" i="209"/>
  <c r="K3000" i="209"/>
  <c r="M2999" i="209"/>
  <c r="M2998" i="209"/>
  <c r="M2997" i="209"/>
  <c r="M2996" i="209"/>
  <c r="M2995" i="209"/>
  <c r="M2994" i="209"/>
  <c r="M2993" i="209"/>
  <c r="M2992" i="209"/>
  <c r="J2992" i="209"/>
  <c r="M2991" i="209"/>
  <c r="J2991" i="209"/>
  <c r="N2988" i="209"/>
  <c r="L2988" i="209"/>
  <c r="K2987" i="209"/>
  <c r="J2987" i="209"/>
  <c r="F2987" i="209"/>
  <c r="M2987" i="209" s="1"/>
  <c r="K2986" i="209"/>
  <c r="J2986" i="209"/>
  <c r="F2986" i="209"/>
  <c r="F2988" i="209" s="1"/>
  <c r="E2986" i="209"/>
  <c r="M2985" i="209"/>
  <c r="J2985" i="209"/>
  <c r="M2984" i="209"/>
  <c r="J2984" i="209"/>
  <c r="M2983" i="209"/>
  <c r="K2983" i="209"/>
  <c r="J2983" i="209"/>
  <c r="M2982" i="209"/>
  <c r="J2982" i="209"/>
  <c r="A2982" i="209"/>
  <c r="A2983" i="209" s="1"/>
  <c r="A2984" i="209" s="1"/>
  <c r="A2985" i="209" s="1"/>
  <c r="A2986" i="209" s="1"/>
  <c r="A2987" i="209" s="1"/>
  <c r="A2988" i="209" s="1"/>
  <c r="A2990" i="209" s="1"/>
  <c r="A2991" i="209" s="1"/>
  <c r="A2992" i="209" s="1"/>
  <c r="A2993" i="209" s="1"/>
  <c r="A2994" i="209" s="1"/>
  <c r="A2995" i="209" s="1"/>
  <c r="A2996" i="209" s="1"/>
  <c r="A2997" i="209" s="1"/>
  <c r="A2998" i="209" s="1"/>
  <c r="A2999" i="209" s="1"/>
  <c r="A3000" i="209" s="1"/>
  <c r="A3001" i="209" s="1"/>
  <c r="A3002" i="209" s="1"/>
  <c r="A3003" i="209" s="1"/>
  <c r="A3004" i="209" s="1"/>
  <c r="A3005" i="209" s="1"/>
  <c r="A3006" i="209" s="1"/>
  <c r="A3007" i="209" s="1"/>
  <c r="A3008" i="209" s="1"/>
  <c r="A3009" i="209" s="1"/>
  <c r="A3010" i="209" s="1"/>
  <c r="A3011" i="209" s="1"/>
  <c r="A3012" i="209" s="1"/>
  <c r="A3013" i="209" s="1"/>
  <c r="A3014" i="209" s="1"/>
  <c r="A3015" i="209" s="1"/>
  <c r="A3016" i="209" s="1"/>
  <c r="A3017" i="209" s="1"/>
  <c r="A3018" i="209" s="1"/>
  <c r="A3019" i="209" s="1"/>
  <c r="A3020" i="209" s="1"/>
  <c r="A3021" i="209" s="1"/>
  <c r="O2979" i="209"/>
  <c r="N2979" i="209"/>
  <c r="M2979" i="209"/>
  <c r="L2979" i="209"/>
  <c r="K2979" i="209"/>
  <c r="J2979" i="209"/>
  <c r="I2979" i="209"/>
  <c r="A2972" i="209"/>
  <c r="O2970" i="209"/>
  <c r="A2967" i="209"/>
  <c r="L2960" i="209"/>
  <c r="J99" i="196" s="1"/>
  <c r="N2959" i="209"/>
  <c r="F2959" i="209"/>
  <c r="M2959" i="209" s="1"/>
  <c r="E2959" i="209"/>
  <c r="N2958" i="209"/>
  <c r="F2958" i="209"/>
  <c r="M2958" i="209" s="1"/>
  <c r="E2958" i="209"/>
  <c r="N2957" i="209"/>
  <c r="F2957" i="209"/>
  <c r="M2957" i="209" s="1"/>
  <c r="E2957" i="209"/>
  <c r="N2956" i="209"/>
  <c r="F2956" i="209"/>
  <c r="E2956" i="209"/>
  <c r="N2955" i="209"/>
  <c r="F2955" i="209"/>
  <c r="M2955" i="209" s="1"/>
  <c r="E2955" i="209"/>
  <c r="N2945" i="209"/>
  <c r="L2945" i="209"/>
  <c r="F2945" i="209"/>
  <c r="E2945" i="209"/>
  <c r="M2944" i="209"/>
  <c r="M2945" i="209" s="1"/>
  <c r="K2944" i="209"/>
  <c r="K2945" i="209" s="1"/>
  <c r="J2944" i="209"/>
  <c r="N2941" i="209"/>
  <c r="F2941" i="209"/>
  <c r="E2941" i="209"/>
  <c r="M2940" i="209"/>
  <c r="L2940" i="209"/>
  <c r="J2940" i="209"/>
  <c r="J3054" i="209" s="1"/>
  <c r="J3168" i="209" s="1"/>
  <c r="J3282" i="209" s="1"/>
  <c r="J3396" i="209" s="1"/>
  <c r="J3510" i="209" s="1"/>
  <c r="J3624" i="209" s="1"/>
  <c r="J3738" i="209" s="1"/>
  <c r="J3852" i="209" s="1"/>
  <c r="J3966" i="209" s="1"/>
  <c r="J4080" i="209" s="1"/>
  <c r="M2939" i="209"/>
  <c r="L2939" i="209"/>
  <c r="L3053" i="209" s="1"/>
  <c r="L3167" i="209" s="1"/>
  <c r="L3281" i="209" s="1"/>
  <c r="L3395" i="209" s="1"/>
  <c r="L3509" i="209" s="1"/>
  <c r="L3623" i="209" s="1"/>
  <c r="L3737" i="209" s="1"/>
  <c r="L3851" i="209" s="1"/>
  <c r="L3965" i="209" s="1"/>
  <c r="L4079" i="209" s="1"/>
  <c r="M2938" i="209"/>
  <c r="L2938" i="209"/>
  <c r="L3052" i="209" s="1"/>
  <c r="L3166" i="209" s="1"/>
  <c r="L3280" i="209" s="1"/>
  <c r="L3394" i="209" s="1"/>
  <c r="L3508" i="209" s="1"/>
  <c r="L3622" i="209" s="1"/>
  <c r="L3736" i="209" s="1"/>
  <c r="L3850" i="209" s="1"/>
  <c r="L3964" i="209" s="1"/>
  <c r="L4078" i="209" s="1"/>
  <c r="J2938" i="209"/>
  <c r="M2937" i="209"/>
  <c r="L2937" i="209"/>
  <c r="J2937" i="209"/>
  <c r="J3051" i="209" s="1"/>
  <c r="J3165" i="209" s="1"/>
  <c r="J3279" i="209" s="1"/>
  <c r="J3393" i="209" s="1"/>
  <c r="J3507" i="209" s="1"/>
  <c r="J3621" i="209" s="1"/>
  <c r="J3735" i="209" s="1"/>
  <c r="J3849" i="209" s="1"/>
  <c r="J3963" i="209" s="1"/>
  <c r="J4077" i="209" s="1"/>
  <c r="M2936" i="209"/>
  <c r="L2936" i="209"/>
  <c r="L3050" i="209" s="1"/>
  <c r="L3164" i="209" s="1"/>
  <c r="L3278" i="209" s="1"/>
  <c r="L3392" i="209" s="1"/>
  <c r="L3506" i="209" s="1"/>
  <c r="L3620" i="209" s="1"/>
  <c r="L3734" i="209" s="1"/>
  <c r="L3848" i="209" s="1"/>
  <c r="L3962" i="209" s="1"/>
  <c r="L4076" i="209" s="1"/>
  <c r="J2936" i="209"/>
  <c r="J3050" i="209" s="1"/>
  <c r="J3164" i="209" s="1"/>
  <c r="J3278" i="209" s="1"/>
  <c r="J3392" i="209" s="1"/>
  <c r="J3506" i="209" s="1"/>
  <c r="J3620" i="209" s="1"/>
  <c r="J3734" i="209" s="1"/>
  <c r="J3848" i="209" s="1"/>
  <c r="J3962" i="209" s="1"/>
  <c r="J4076" i="209" s="1"/>
  <c r="M2935" i="209"/>
  <c r="L2935" i="209"/>
  <c r="M2934" i="209"/>
  <c r="L2934" i="209"/>
  <c r="J2934" i="209"/>
  <c r="J3048" i="209" s="1"/>
  <c r="J3162" i="209" s="1"/>
  <c r="J3276" i="209" s="1"/>
  <c r="J3390" i="209" s="1"/>
  <c r="J3504" i="209" s="1"/>
  <c r="J3618" i="209" s="1"/>
  <c r="J3732" i="209" s="1"/>
  <c r="J3846" i="209" s="1"/>
  <c r="J3960" i="209" s="1"/>
  <c r="J4074" i="209" s="1"/>
  <c r="M2933" i="209"/>
  <c r="L2933" i="209"/>
  <c r="J2933" i="209"/>
  <c r="J3047" i="209" s="1"/>
  <c r="J3161" i="209" s="1"/>
  <c r="J3275" i="209" s="1"/>
  <c r="J3389" i="209" s="1"/>
  <c r="J3503" i="209" s="1"/>
  <c r="J3617" i="209" s="1"/>
  <c r="J3731" i="209" s="1"/>
  <c r="J3845" i="209" s="1"/>
  <c r="J3959" i="209" s="1"/>
  <c r="J4073" i="209" s="1"/>
  <c r="M2932" i="209"/>
  <c r="L2932" i="209"/>
  <c r="L3046" i="209" s="1"/>
  <c r="L3160" i="209" s="1"/>
  <c r="L3274" i="209" s="1"/>
  <c r="L3388" i="209" s="1"/>
  <c r="L3502" i="209" s="1"/>
  <c r="L3616" i="209" s="1"/>
  <c r="L3730" i="209" s="1"/>
  <c r="L3844" i="209" s="1"/>
  <c r="L3958" i="209" s="1"/>
  <c r="L4072" i="209" s="1"/>
  <c r="M2931" i="209"/>
  <c r="L2931" i="209"/>
  <c r="L3045" i="209" s="1"/>
  <c r="L3159" i="209" s="1"/>
  <c r="L3273" i="209" s="1"/>
  <c r="L3387" i="209" s="1"/>
  <c r="L3501" i="209" s="1"/>
  <c r="L3615" i="209" s="1"/>
  <c r="L3729" i="209" s="1"/>
  <c r="L3843" i="209" s="1"/>
  <c r="L3957" i="209" s="1"/>
  <c r="L4071" i="209" s="1"/>
  <c r="M2930" i="209"/>
  <c r="L2930" i="209"/>
  <c r="M2929" i="209"/>
  <c r="L2929" i="209"/>
  <c r="L3043" i="209" s="1"/>
  <c r="L3157" i="209" s="1"/>
  <c r="L3271" i="209" s="1"/>
  <c r="L3385" i="209" s="1"/>
  <c r="L3499" i="209" s="1"/>
  <c r="L3613" i="209" s="1"/>
  <c r="L3727" i="209" s="1"/>
  <c r="L3841" i="209" s="1"/>
  <c r="L3955" i="209" s="1"/>
  <c r="L4069" i="209" s="1"/>
  <c r="J2929" i="209"/>
  <c r="J3043" i="209" s="1"/>
  <c r="J3157" i="209" s="1"/>
  <c r="J3271" i="209" s="1"/>
  <c r="J3385" i="209" s="1"/>
  <c r="J3499" i="209" s="1"/>
  <c r="J3613" i="209" s="1"/>
  <c r="J3727" i="209" s="1"/>
  <c r="J3841" i="209" s="1"/>
  <c r="J3955" i="209" s="1"/>
  <c r="J4069" i="209" s="1"/>
  <c r="M2928" i="209"/>
  <c r="L2928" i="209"/>
  <c r="L3042" i="209" s="1"/>
  <c r="L3156" i="209" s="1"/>
  <c r="L3270" i="209" s="1"/>
  <c r="L3384" i="209" s="1"/>
  <c r="L3498" i="209" s="1"/>
  <c r="L3612" i="209" s="1"/>
  <c r="L3726" i="209" s="1"/>
  <c r="L3840" i="209" s="1"/>
  <c r="L3954" i="209" s="1"/>
  <c r="L4068" i="209" s="1"/>
  <c r="M2927" i="209"/>
  <c r="L2927" i="209"/>
  <c r="J2927" i="209"/>
  <c r="J3041" i="209" s="1"/>
  <c r="J3155" i="209" s="1"/>
  <c r="J3269" i="209" s="1"/>
  <c r="J3383" i="209" s="1"/>
  <c r="J3497" i="209" s="1"/>
  <c r="J3611" i="209" s="1"/>
  <c r="J3725" i="209" s="1"/>
  <c r="J3839" i="209" s="1"/>
  <c r="J3953" i="209" s="1"/>
  <c r="J4067" i="209" s="1"/>
  <c r="A2927" i="209"/>
  <c r="A2928" i="209" s="1"/>
  <c r="A2929" i="209" s="1"/>
  <c r="A2930" i="209" s="1"/>
  <c r="A2931" i="209" s="1"/>
  <c r="A2932" i="209" s="1"/>
  <c r="A2933" i="209" s="1"/>
  <c r="A2934" i="209" s="1"/>
  <c r="A2935" i="209" s="1"/>
  <c r="A2936" i="209" s="1"/>
  <c r="A2937" i="209" s="1"/>
  <c r="A2938" i="209" s="1"/>
  <c r="A2939" i="209" s="1"/>
  <c r="A2940" i="209" s="1"/>
  <c r="A2941" i="209" s="1"/>
  <c r="A2943" i="209" s="1"/>
  <c r="A2944" i="209" s="1"/>
  <c r="A2945" i="209" s="1"/>
  <c r="A2947" i="209" s="1"/>
  <c r="A2949" i="209" s="1"/>
  <c r="A2951" i="209" s="1"/>
  <c r="A2954" i="209" s="1"/>
  <c r="A2955" i="209" s="1"/>
  <c r="A2956" i="209" s="1"/>
  <c r="A2957" i="209" s="1"/>
  <c r="A2958" i="209" s="1"/>
  <c r="A2959" i="209" s="1"/>
  <c r="A2960" i="209" s="1"/>
  <c r="A2962" i="209" s="1"/>
  <c r="O2924" i="209"/>
  <c r="N2924" i="209"/>
  <c r="M2924" i="209"/>
  <c r="L2924" i="209"/>
  <c r="K2924" i="209"/>
  <c r="J2924" i="209"/>
  <c r="I2924" i="209"/>
  <c r="A2917" i="209"/>
  <c r="O2915" i="209"/>
  <c r="A2912" i="209"/>
  <c r="L2907" i="209"/>
  <c r="M2906" i="209"/>
  <c r="J2906" i="209"/>
  <c r="J3020" i="209" s="1"/>
  <c r="J3134" i="209" s="1"/>
  <c r="J3248" i="209" s="1"/>
  <c r="J3362" i="209" s="1"/>
  <c r="J3476" i="209" s="1"/>
  <c r="J3590" i="209" s="1"/>
  <c r="J3704" i="209" s="1"/>
  <c r="J3818" i="209" s="1"/>
  <c r="J3932" i="209" s="1"/>
  <c r="J4046" i="209" s="1"/>
  <c r="M2905" i="209"/>
  <c r="M2904" i="209"/>
  <c r="M2903" i="209"/>
  <c r="M2902" i="209"/>
  <c r="M2901" i="209"/>
  <c r="J2901" i="209"/>
  <c r="J3015" i="209" s="1"/>
  <c r="J3129" i="209" s="1"/>
  <c r="J3243" i="209" s="1"/>
  <c r="J3357" i="209" s="1"/>
  <c r="J3471" i="209" s="1"/>
  <c r="J3585" i="209" s="1"/>
  <c r="J3699" i="209" s="1"/>
  <c r="J3813" i="209" s="1"/>
  <c r="J3927" i="209" s="1"/>
  <c r="J4041" i="209" s="1"/>
  <c r="M2900" i="209"/>
  <c r="M2899" i="209"/>
  <c r="J2899" i="209"/>
  <c r="J3013" i="209" s="1"/>
  <c r="J3127" i="209" s="1"/>
  <c r="J3241" i="209" s="1"/>
  <c r="J3355" i="209" s="1"/>
  <c r="J3469" i="209" s="1"/>
  <c r="J3583" i="209" s="1"/>
  <c r="J3697" i="209" s="1"/>
  <c r="J3811" i="209" s="1"/>
  <c r="J3925" i="209" s="1"/>
  <c r="J4039" i="209" s="1"/>
  <c r="M2898" i="209"/>
  <c r="J2898" i="209"/>
  <c r="J3012" i="209" s="1"/>
  <c r="J3126" i="209" s="1"/>
  <c r="J3240" i="209" s="1"/>
  <c r="J3354" i="209" s="1"/>
  <c r="J3468" i="209" s="1"/>
  <c r="J3582" i="209" s="1"/>
  <c r="J3696" i="209" s="1"/>
  <c r="J3810" i="209" s="1"/>
  <c r="J3924" i="209" s="1"/>
  <c r="J4038" i="209" s="1"/>
  <c r="N2897" i="209"/>
  <c r="M2897" i="209"/>
  <c r="J2897" i="209"/>
  <c r="J3011" i="209" s="1"/>
  <c r="J3125" i="209" s="1"/>
  <c r="J3239" i="209" s="1"/>
  <c r="J3353" i="209" s="1"/>
  <c r="J3467" i="209" s="1"/>
  <c r="J3581" i="209" s="1"/>
  <c r="J3695" i="209" s="1"/>
  <c r="J3809" i="209" s="1"/>
  <c r="J3923" i="209" s="1"/>
  <c r="J4037" i="209" s="1"/>
  <c r="F2897" i="209"/>
  <c r="J2896" i="209"/>
  <c r="J3010" i="209" s="1"/>
  <c r="J3124" i="209" s="1"/>
  <c r="J3238" i="209" s="1"/>
  <c r="J3352" i="209" s="1"/>
  <c r="J3466" i="209" s="1"/>
  <c r="J3580" i="209" s="1"/>
  <c r="J3694" i="209" s="1"/>
  <c r="J3808" i="209" s="1"/>
  <c r="J3922" i="209" s="1"/>
  <c r="J4036" i="209" s="1"/>
  <c r="F2896" i="209"/>
  <c r="E2896" i="209"/>
  <c r="M2895" i="209"/>
  <c r="J2895" i="209"/>
  <c r="J3009" i="209" s="1"/>
  <c r="J3123" i="209" s="1"/>
  <c r="J3237" i="209" s="1"/>
  <c r="J3351" i="209" s="1"/>
  <c r="J3465" i="209" s="1"/>
  <c r="J3579" i="209" s="1"/>
  <c r="J3693" i="209" s="1"/>
  <c r="J3807" i="209" s="1"/>
  <c r="J3921" i="209" s="1"/>
  <c r="J4035" i="209" s="1"/>
  <c r="M2894" i="209"/>
  <c r="J2894" i="209"/>
  <c r="J3008" i="209" s="1"/>
  <c r="J3122" i="209" s="1"/>
  <c r="J3236" i="209" s="1"/>
  <c r="J3350" i="209" s="1"/>
  <c r="J3464" i="209" s="1"/>
  <c r="J3578" i="209" s="1"/>
  <c r="J3692" i="209" s="1"/>
  <c r="J3806" i="209" s="1"/>
  <c r="J3920" i="209" s="1"/>
  <c r="J4034" i="209" s="1"/>
  <c r="N2893" i="209"/>
  <c r="J2893" i="209"/>
  <c r="J3007" i="209" s="1"/>
  <c r="J3121" i="209" s="1"/>
  <c r="J3235" i="209" s="1"/>
  <c r="J3349" i="209" s="1"/>
  <c r="J3463" i="209" s="1"/>
  <c r="J3577" i="209" s="1"/>
  <c r="J3691" i="209" s="1"/>
  <c r="J3805" i="209" s="1"/>
  <c r="J3919" i="209" s="1"/>
  <c r="J4033" i="209" s="1"/>
  <c r="E2893" i="209"/>
  <c r="M2892" i="209"/>
  <c r="J2892" i="209"/>
  <c r="J3006" i="209" s="1"/>
  <c r="J3120" i="209" s="1"/>
  <c r="J3234" i="209" s="1"/>
  <c r="J3348" i="209" s="1"/>
  <c r="J3462" i="209" s="1"/>
  <c r="J3576" i="209" s="1"/>
  <c r="J3690" i="209" s="1"/>
  <c r="J3804" i="209" s="1"/>
  <c r="J3918" i="209" s="1"/>
  <c r="J4032" i="209" s="1"/>
  <c r="M2891" i="209"/>
  <c r="E2890" i="209"/>
  <c r="M2889" i="209"/>
  <c r="J2889" i="209"/>
  <c r="J3003" i="209" s="1"/>
  <c r="J3117" i="209" s="1"/>
  <c r="J3231" i="209" s="1"/>
  <c r="J3345" i="209" s="1"/>
  <c r="J3459" i="209" s="1"/>
  <c r="J3573" i="209" s="1"/>
  <c r="J3687" i="209" s="1"/>
  <c r="J3801" i="209" s="1"/>
  <c r="J3915" i="209" s="1"/>
  <c r="J4029" i="209" s="1"/>
  <c r="J2888" i="209"/>
  <c r="J3002" i="209" s="1"/>
  <c r="J3116" i="209" s="1"/>
  <c r="J3230" i="209" s="1"/>
  <c r="J3344" i="209" s="1"/>
  <c r="J3458" i="209" s="1"/>
  <c r="J3572" i="209" s="1"/>
  <c r="J3686" i="209" s="1"/>
  <c r="J3800" i="209" s="1"/>
  <c r="J3914" i="209" s="1"/>
  <c r="J4028" i="209" s="1"/>
  <c r="F2888" i="209"/>
  <c r="M2888" i="209" s="1"/>
  <c r="M2887" i="209"/>
  <c r="J2887" i="209"/>
  <c r="J3001" i="209" s="1"/>
  <c r="J3115" i="209" s="1"/>
  <c r="J3229" i="209" s="1"/>
  <c r="J3343" i="209" s="1"/>
  <c r="J3457" i="209" s="1"/>
  <c r="J3571" i="209" s="1"/>
  <c r="J3685" i="209" s="1"/>
  <c r="J3799" i="209" s="1"/>
  <c r="J3913" i="209" s="1"/>
  <c r="J4027" i="209" s="1"/>
  <c r="M2886" i="209"/>
  <c r="K2886" i="209"/>
  <c r="M2885" i="209"/>
  <c r="J2885" i="209"/>
  <c r="J2999" i="209" s="1"/>
  <c r="J3113" i="209" s="1"/>
  <c r="J3227" i="209" s="1"/>
  <c r="J3341" i="209" s="1"/>
  <c r="J3455" i="209" s="1"/>
  <c r="J3569" i="209" s="1"/>
  <c r="J3683" i="209" s="1"/>
  <c r="J3797" i="209" s="1"/>
  <c r="J3911" i="209" s="1"/>
  <c r="J4025" i="209" s="1"/>
  <c r="M2884" i="209"/>
  <c r="M2883" i="209"/>
  <c r="M2882" i="209"/>
  <c r="M2881" i="209"/>
  <c r="J2881" i="209"/>
  <c r="J2995" i="209" s="1"/>
  <c r="J3109" i="209" s="1"/>
  <c r="J3223" i="209" s="1"/>
  <c r="J3337" i="209" s="1"/>
  <c r="J3451" i="209" s="1"/>
  <c r="J3565" i="209" s="1"/>
  <c r="J3679" i="209" s="1"/>
  <c r="J3793" i="209" s="1"/>
  <c r="J3907" i="209" s="1"/>
  <c r="J4021" i="209" s="1"/>
  <c r="M2880" i="209"/>
  <c r="J2880" i="209"/>
  <c r="J2994" i="209" s="1"/>
  <c r="J3108" i="209" s="1"/>
  <c r="J3222" i="209" s="1"/>
  <c r="J3336" i="209" s="1"/>
  <c r="J3450" i="209" s="1"/>
  <c r="J3564" i="209" s="1"/>
  <c r="J3678" i="209" s="1"/>
  <c r="J3792" i="209" s="1"/>
  <c r="J3906" i="209" s="1"/>
  <c r="J4020" i="209" s="1"/>
  <c r="M2879" i="209"/>
  <c r="J2879" i="209"/>
  <c r="J2993" i="209" s="1"/>
  <c r="J3107" i="209" s="1"/>
  <c r="J3221" i="209" s="1"/>
  <c r="J3335" i="209" s="1"/>
  <c r="J3449" i="209" s="1"/>
  <c r="J3563" i="209" s="1"/>
  <c r="J3677" i="209" s="1"/>
  <c r="J3791" i="209" s="1"/>
  <c r="J3905" i="209" s="1"/>
  <c r="J4019" i="209" s="1"/>
  <c r="M2878" i="209"/>
  <c r="J2878" i="209"/>
  <c r="M2877" i="209"/>
  <c r="J2877" i="209"/>
  <c r="N2874" i="209"/>
  <c r="L2874" i="209"/>
  <c r="K2873" i="209"/>
  <c r="J2873" i="209"/>
  <c r="F2873" i="209"/>
  <c r="M2873" i="209" s="1"/>
  <c r="E2873" i="209"/>
  <c r="K2872" i="209"/>
  <c r="J2872" i="209"/>
  <c r="F2872" i="209"/>
  <c r="M2872" i="209" s="1"/>
  <c r="E2872" i="209"/>
  <c r="M2871" i="209"/>
  <c r="J2871" i="209"/>
  <c r="M2870" i="209"/>
  <c r="J2870" i="209"/>
  <c r="M2869" i="209"/>
  <c r="K2869" i="209"/>
  <c r="J2869" i="209"/>
  <c r="M2868" i="209"/>
  <c r="J2868" i="209"/>
  <c r="A2868" i="209"/>
  <c r="A2869" i="209" s="1"/>
  <c r="A2870" i="209" s="1"/>
  <c r="A2871" i="209" s="1"/>
  <c r="A2872" i="209" s="1"/>
  <c r="A2873" i="209" s="1"/>
  <c r="A2874" i="209" s="1"/>
  <c r="A2876" i="209" s="1"/>
  <c r="A2877" i="209" s="1"/>
  <c r="A2878" i="209" s="1"/>
  <c r="A2879" i="209" s="1"/>
  <c r="A2880" i="209" s="1"/>
  <c r="A2881" i="209" s="1"/>
  <c r="A2882" i="209" s="1"/>
  <c r="A2883" i="209" s="1"/>
  <c r="A2884" i="209" s="1"/>
  <c r="A2885" i="209" s="1"/>
  <c r="A2886" i="209" s="1"/>
  <c r="A2887" i="209" s="1"/>
  <c r="A2888" i="209" s="1"/>
  <c r="A2889" i="209" s="1"/>
  <c r="A2890" i="209" s="1"/>
  <c r="A2891" i="209" s="1"/>
  <c r="A2892" i="209" s="1"/>
  <c r="A2893" i="209" s="1"/>
  <c r="A2894" i="209" s="1"/>
  <c r="A2895" i="209" s="1"/>
  <c r="A2896" i="209" s="1"/>
  <c r="A2897" i="209" s="1"/>
  <c r="A2898" i="209" s="1"/>
  <c r="A2899" i="209" s="1"/>
  <c r="A2900" i="209" s="1"/>
  <c r="A2901" i="209" s="1"/>
  <c r="A2902" i="209" s="1"/>
  <c r="A2903" i="209" s="1"/>
  <c r="A2904" i="209" s="1"/>
  <c r="A2905" i="209" s="1"/>
  <c r="A2906" i="209" s="1"/>
  <c r="A2907" i="209" s="1"/>
  <c r="O2865" i="209"/>
  <c r="N2865" i="209"/>
  <c r="M2865" i="209"/>
  <c r="L2865" i="209"/>
  <c r="K2865" i="209"/>
  <c r="J2865" i="209"/>
  <c r="I2865" i="209"/>
  <c r="A2858" i="209"/>
  <c r="O2856" i="209"/>
  <c r="A2853" i="209"/>
  <c r="L2846" i="209"/>
  <c r="N2845" i="209"/>
  <c r="J2845" i="209"/>
  <c r="J1126" i="210" s="1"/>
  <c r="F2845" i="209"/>
  <c r="M2845" i="209" s="1"/>
  <c r="E2845" i="209"/>
  <c r="N2844" i="209"/>
  <c r="J2844" i="209"/>
  <c r="J1125" i="210" s="1"/>
  <c r="F2844" i="209"/>
  <c r="M2844" i="209" s="1"/>
  <c r="E2844" i="209"/>
  <c r="N2843" i="209"/>
  <c r="J2843" i="209"/>
  <c r="J1124" i="210" s="1"/>
  <c r="F2843" i="209"/>
  <c r="M2843" i="209" s="1"/>
  <c r="E2843" i="209"/>
  <c r="N2842" i="209"/>
  <c r="F2842" i="209"/>
  <c r="E2842" i="209"/>
  <c r="N2841" i="209"/>
  <c r="J2841" i="209"/>
  <c r="J1122" i="210" s="1"/>
  <c r="F2841" i="209"/>
  <c r="M2841" i="209" s="1"/>
  <c r="E2841" i="209"/>
  <c r="N2831" i="209"/>
  <c r="L2831" i="209"/>
  <c r="F2831" i="209"/>
  <c r="E2831" i="209"/>
  <c r="M2830" i="209"/>
  <c r="M2831" i="209" s="1"/>
  <c r="K2830" i="209"/>
  <c r="J2830" i="209"/>
  <c r="N2827" i="209"/>
  <c r="L2827" i="209"/>
  <c r="F2827" i="209"/>
  <c r="E2827" i="209"/>
  <c r="M2826" i="209"/>
  <c r="M2825" i="209"/>
  <c r="M2824" i="209"/>
  <c r="M2823" i="209"/>
  <c r="M2822" i="209"/>
  <c r="M2821" i="209"/>
  <c r="J2821" i="209"/>
  <c r="J2935" i="209" s="1"/>
  <c r="J3049" i="209" s="1"/>
  <c r="J3163" i="209" s="1"/>
  <c r="J3277" i="209" s="1"/>
  <c r="J3391" i="209" s="1"/>
  <c r="J3505" i="209" s="1"/>
  <c r="J3619" i="209" s="1"/>
  <c r="J3733" i="209" s="1"/>
  <c r="J3847" i="209" s="1"/>
  <c r="J3961" i="209" s="1"/>
  <c r="J4075" i="209" s="1"/>
  <c r="M2820" i="209"/>
  <c r="M2819" i="209"/>
  <c r="M2818" i="209"/>
  <c r="J2818" i="209"/>
  <c r="J2932" i="209" s="1"/>
  <c r="J3046" i="209" s="1"/>
  <c r="J3160" i="209" s="1"/>
  <c r="J3274" i="209" s="1"/>
  <c r="J3388" i="209" s="1"/>
  <c r="J3502" i="209" s="1"/>
  <c r="J3616" i="209" s="1"/>
  <c r="J3730" i="209" s="1"/>
  <c r="J3844" i="209" s="1"/>
  <c r="J3958" i="209" s="1"/>
  <c r="J4072" i="209" s="1"/>
  <c r="M2817" i="209"/>
  <c r="M2816" i="209"/>
  <c r="M2815" i="209"/>
  <c r="M2814" i="209"/>
  <c r="J2814" i="209"/>
  <c r="J2928" i="209" s="1"/>
  <c r="J3042" i="209" s="1"/>
  <c r="J3156" i="209" s="1"/>
  <c r="J3270" i="209" s="1"/>
  <c r="J3384" i="209" s="1"/>
  <c r="J3498" i="209" s="1"/>
  <c r="J3612" i="209" s="1"/>
  <c r="J3726" i="209" s="1"/>
  <c r="J3840" i="209" s="1"/>
  <c r="J3954" i="209" s="1"/>
  <c r="J4068" i="209" s="1"/>
  <c r="M2813" i="209"/>
  <c r="A2813" i="209"/>
  <c r="A2814" i="209" s="1"/>
  <c r="A2815" i="209" s="1"/>
  <c r="A2816" i="209" s="1"/>
  <c r="A2817" i="209" s="1"/>
  <c r="A2818" i="209" s="1"/>
  <c r="A2819" i="209" s="1"/>
  <c r="A2820" i="209" s="1"/>
  <c r="A2821" i="209" s="1"/>
  <c r="A2822" i="209" s="1"/>
  <c r="A2823" i="209" s="1"/>
  <c r="A2824" i="209" s="1"/>
  <c r="A2825" i="209" s="1"/>
  <c r="A2826" i="209" s="1"/>
  <c r="A2827" i="209" s="1"/>
  <c r="A2829" i="209" s="1"/>
  <c r="A2830" i="209" s="1"/>
  <c r="A2831" i="209" s="1"/>
  <c r="A2833" i="209" s="1"/>
  <c r="A2835" i="209" s="1"/>
  <c r="A2837" i="209" s="1"/>
  <c r="A2840" i="209" s="1"/>
  <c r="A2841" i="209" s="1"/>
  <c r="A2842" i="209" s="1"/>
  <c r="A2843" i="209" s="1"/>
  <c r="A2844" i="209" s="1"/>
  <c r="A2845" i="209" s="1"/>
  <c r="A2846" i="209" s="1"/>
  <c r="A2848" i="209" s="1"/>
  <c r="O2810" i="209"/>
  <c r="N2810" i="209"/>
  <c r="M2810" i="209"/>
  <c r="L2810" i="209"/>
  <c r="K2810" i="209"/>
  <c r="J2810" i="209"/>
  <c r="I2810" i="209"/>
  <c r="A2803" i="209"/>
  <c r="O2801" i="209"/>
  <c r="A2798" i="209"/>
  <c r="L2793" i="209"/>
  <c r="M2792" i="209"/>
  <c r="M2791" i="209"/>
  <c r="M2790" i="209"/>
  <c r="M2789" i="209"/>
  <c r="M2788" i="209"/>
  <c r="J2788" i="209"/>
  <c r="J2902" i="209" s="1"/>
  <c r="J3016" i="209" s="1"/>
  <c r="J3130" i="209" s="1"/>
  <c r="J3244" i="209" s="1"/>
  <c r="J3358" i="209" s="1"/>
  <c r="J3472" i="209" s="1"/>
  <c r="J3586" i="209" s="1"/>
  <c r="J3700" i="209" s="1"/>
  <c r="J3814" i="209" s="1"/>
  <c r="J3928" i="209" s="1"/>
  <c r="J4042" i="209" s="1"/>
  <c r="M2787" i="209"/>
  <c r="M2786" i="209"/>
  <c r="J2786" i="209"/>
  <c r="J2900" i="209" s="1"/>
  <c r="J3014" i="209" s="1"/>
  <c r="J3128" i="209" s="1"/>
  <c r="J3242" i="209" s="1"/>
  <c r="J3356" i="209" s="1"/>
  <c r="J3470" i="209" s="1"/>
  <c r="J3584" i="209" s="1"/>
  <c r="J3698" i="209" s="1"/>
  <c r="J3812" i="209" s="1"/>
  <c r="J3926" i="209" s="1"/>
  <c r="J4040" i="209" s="1"/>
  <c r="M2785" i="209"/>
  <c r="M2784" i="209"/>
  <c r="N2783" i="209"/>
  <c r="E2783" i="209"/>
  <c r="N2782" i="209"/>
  <c r="F2782" i="209"/>
  <c r="E2782" i="209"/>
  <c r="M2781" i="209"/>
  <c r="M2780" i="209"/>
  <c r="E2779" i="209"/>
  <c r="M2778" i="209"/>
  <c r="M2777" i="209"/>
  <c r="N2776" i="209"/>
  <c r="J2776" i="209"/>
  <c r="F2776" i="209"/>
  <c r="M2776" i="209" s="1"/>
  <c r="M2775" i="209"/>
  <c r="N2774" i="209"/>
  <c r="E2774" i="209"/>
  <c r="M2773" i="209"/>
  <c r="M2772" i="209"/>
  <c r="K2772" i="209"/>
  <c r="J2772" i="209"/>
  <c r="J2886" i="209" s="1"/>
  <c r="J3000" i="209" s="1"/>
  <c r="J3114" i="209" s="1"/>
  <c r="J3228" i="209" s="1"/>
  <c r="J3342" i="209" s="1"/>
  <c r="J3456" i="209" s="1"/>
  <c r="J3570" i="209" s="1"/>
  <c r="J3684" i="209" s="1"/>
  <c r="J3798" i="209" s="1"/>
  <c r="J3912" i="209" s="1"/>
  <c r="J4026" i="209" s="1"/>
  <c r="M2771" i="209"/>
  <c r="M2770" i="209"/>
  <c r="M2769" i="209"/>
  <c r="M2768" i="209"/>
  <c r="J2768" i="209"/>
  <c r="J2769" i="209" s="1"/>
  <c r="M2767" i="209"/>
  <c r="M2766" i="209"/>
  <c r="M2765" i="209"/>
  <c r="M2764" i="209"/>
  <c r="J2764" i="209"/>
  <c r="M2763" i="209"/>
  <c r="J2763" i="209"/>
  <c r="N2760" i="209"/>
  <c r="L2760" i="209"/>
  <c r="K2759" i="209"/>
  <c r="J2759" i="209"/>
  <c r="F2759" i="209"/>
  <c r="K2758" i="209"/>
  <c r="J2758" i="209"/>
  <c r="F2758" i="209"/>
  <c r="M2758" i="209" s="1"/>
  <c r="E2758" i="209"/>
  <c r="M2757" i="209"/>
  <c r="J2757" i="209"/>
  <c r="M2756" i="209"/>
  <c r="J2756" i="209"/>
  <c r="M2755" i="209"/>
  <c r="K2755" i="209"/>
  <c r="J2755" i="209"/>
  <c r="M2754" i="209"/>
  <c r="J2754" i="209"/>
  <c r="A2754" i="209"/>
  <c r="A2755" i="209" s="1"/>
  <c r="A2756" i="209" s="1"/>
  <c r="A2757" i="209" s="1"/>
  <c r="A2758" i="209" s="1"/>
  <c r="A2759" i="209" s="1"/>
  <c r="A2760" i="209" s="1"/>
  <c r="A2762" i="209" s="1"/>
  <c r="A2763" i="209" s="1"/>
  <c r="A2764" i="209" s="1"/>
  <c r="A2765" i="209" s="1"/>
  <c r="A2766" i="209" s="1"/>
  <c r="A2767" i="209" s="1"/>
  <c r="A2768" i="209" s="1"/>
  <c r="A2769" i="209" s="1"/>
  <c r="A2770" i="209" s="1"/>
  <c r="A2771" i="209" s="1"/>
  <c r="A2772" i="209" s="1"/>
  <c r="A2773" i="209" s="1"/>
  <c r="A2774" i="209" s="1"/>
  <c r="A2775" i="209" s="1"/>
  <c r="A2776" i="209" s="1"/>
  <c r="A2777" i="209" s="1"/>
  <c r="A2778" i="209" s="1"/>
  <c r="A2779" i="209" s="1"/>
  <c r="A2780" i="209" s="1"/>
  <c r="A2781" i="209" s="1"/>
  <c r="A2782" i="209" s="1"/>
  <c r="A2783" i="209" s="1"/>
  <c r="A2784" i="209" s="1"/>
  <c r="A2785" i="209" s="1"/>
  <c r="A2786" i="209" s="1"/>
  <c r="A2787" i="209" s="1"/>
  <c r="A2788" i="209" s="1"/>
  <c r="A2789" i="209" s="1"/>
  <c r="A2790" i="209" s="1"/>
  <c r="A2791" i="209" s="1"/>
  <c r="A2792" i="209" s="1"/>
  <c r="A2793" i="209" s="1"/>
  <c r="O2751" i="209"/>
  <c r="N2751" i="209"/>
  <c r="M2751" i="209"/>
  <c r="L2751" i="209"/>
  <c r="K2751" i="209"/>
  <c r="J2751" i="209"/>
  <c r="I2751" i="209"/>
  <c r="A2744" i="209"/>
  <c r="O2742" i="209"/>
  <c r="A2739" i="209"/>
  <c r="L2732" i="209"/>
  <c r="J97" i="196" s="1"/>
  <c r="N2731" i="209"/>
  <c r="K2731" i="209"/>
  <c r="J2731" i="209"/>
  <c r="F2731" i="209"/>
  <c r="M2731" i="209" s="1"/>
  <c r="E2731" i="209"/>
  <c r="N2730" i="209"/>
  <c r="K2730" i="209"/>
  <c r="J2730" i="209"/>
  <c r="F2730" i="209"/>
  <c r="M2730" i="209" s="1"/>
  <c r="E2730" i="209"/>
  <c r="N2729" i="209"/>
  <c r="M2729" i="209"/>
  <c r="K2729" i="209"/>
  <c r="J2729" i="209"/>
  <c r="F2729" i="209"/>
  <c r="E2729" i="209"/>
  <c r="N2728" i="209"/>
  <c r="K2728" i="209"/>
  <c r="J2728" i="209"/>
  <c r="F2728" i="209"/>
  <c r="E2728" i="209"/>
  <c r="N2727" i="209"/>
  <c r="K2727" i="209"/>
  <c r="J2727" i="209"/>
  <c r="F2727" i="209"/>
  <c r="M2727" i="209" s="1"/>
  <c r="E2727" i="209"/>
  <c r="N2717" i="209"/>
  <c r="L2717" i="209"/>
  <c r="F2717" i="209"/>
  <c r="E2717" i="209"/>
  <c r="M2716" i="209"/>
  <c r="M2717" i="209" s="1"/>
  <c r="K2716" i="209"/>
  <c r="K2717" i="209" s="1"/>
  <c r="J2716" i="209"/>
  <c r="N2713" i="209"/>
  <c r="J2712" i="209"/>
  <c r="F2712" i="209"/>
  <c r="M2712" i="209" s="1"/>
  <c r="E2712" i="209"/>
  <c r="J2711" i="209"/>
  <c r="J2825" i="209" s="1"/>
  <c r="J2939" i="209" s="1"/>
  <c r="J3053" i="209" s="1"/>
  <c r="J3167" i="209" s="1"/>
  <c r="J3281" i="209" s="1"/>
  <c r="J3395" i="209" s="1"/>
  <c r="J3509" i="209" s="1"/>
  <c r="J3623" i="209" s="1"/>
  <c r="J3737" i="209" s="1"/>
  <c r="J3851" i="209" s="1"/>
  <c r="J3965" i="209" s="1"/>
  <c r="J4079" i="209" s="1"/>
  <c r="F2711" i="209"/>
  <c r="M2711" i="209" s="1"/>
  <c r="E2711" i="209"/>
  <c r="J2710" i="209"/>
  <c r="F2710" i="209"/>
  <c r="M2710" i="209" s="1"/>
  <c r="E2710" i="209"/>
  <c r="J2709" i="209"/>
  <c r="F2709" i="209"/>
  <c r="M2709" i="209" s="1"/>
  <c r="E2709" i="209"/>
  <c r="J2708" i="209"/>
  <c r="F2708" i="209"/>
  <c r="M2708" i="209" s="1"/>
  <c r="E2708" i="209"/>
  <c r="J2707" i="209"/>
  <c r="F2707" i="209"/>
  <c r="M2707" i="209" s="1"/>
  <c r="E2707" i="209"/>
  <c r="J2706" i="209"/>
  <c r="F2706" i="209"/>
  <c r="M2706" i="209" s="1"/>
  <c r="E2706" i="209"/>
  <c r="J2705" i="209"/>
  <c r="F2705" i="209"/>
  <c r="M2705" i="209" s="1"/>
  <c r="E2705" i="209"/>
  <c r="J2704" i="209"/>
  <c r="F2704" i="209"/>
  <c r="M2704" i="209" s="1"/>
  <c r="E2704" i="209"/>
  <c r="J2703" i="209"/>
  <c r="J2817" i="209" s="1"/>
  <c r="J2931" i="209" s="1"/>
  <c r="J3045" i="209" s="1"/>
  <c r="J3159" i="209" s="1"/>
  <c r="J3273" i="209" s="1"/>
  <c r="J3387" i="209" s="1"/>
  <c r="J3501" i="209" s="1"/>
  <c r="J3615" i="209" s="1"/>
  <c r="J3729" i="209" s="1"/>
  <c r="J3843" i="209" s="1"/>
  <c r="J3957" i="209" s="1"/>
  <c r="J4071" i="209" s="1"/>
  <c r="F2703" i="209"/>
  <c r="M2703" i="209" s="1"/>
  <c r="E2703" i="209"/>
  <c r="J2702" i="209"/>
  <c r="J2816" i="209" s="1"/>
  <c r="J2930" i="209" s="1"/>
  <c r="J3044" i="209" s="1"/>
  <c r="J3158" i="209" s="1"/>
  <c r="J3272" i="209" s="1"/>
  <c r="J3386" i="209" s="1"/>
  <c r="J3500" i="209" s="1"/>
  <c r="J3614" i="209" s="1"/>
  <c r="J3728" i="209" s="1"/>
  <c r="J3842" i="209" s="1"/>
  <c r="J3956" i="209" s="1"/>
  <c r="J4070" i="209" s="1"/>
  <c r="F2702" i="209"/>
  <c r="M2702" i="209" s="1"/>
  <c r="E2702" i="209"/>
  <c r="L2701" i="209"/>
  <c r="J2701" i="209"/>
  <c r="F2701" i="209"/>
  <c r="M2701" i="209" s="1"/>
  <c r="E2701" i="209"/>
  <c r="L2700" i="209"/>
  <c r="L2713" i="209" s="1"/>
  <c r="J2700" i="209"/>
  <c r="F2700" i="209"/>
  <c r="M2700" i="209" s="1"/>
  <c r="E2700" i="209"/>
  <c r="L2699" i="209"/>
  <c r="J2699" i="209"/>
  <c r="F2699" i="209"/>
  <c r="E2699" i="209"/>
  <c r="A2699" i="209"/>
  <c r="A2700" i="209" s="1"/>
  <c r="A2701" i="209" s="1"/>
  <c r="A2702" i="209" s="1"/>
  <c r="A2703" i="209" s="1"/>
  <c r="A2704" i="209" s="1"/>
  <c r="A2705" i="209" s="1"/>
  <c r="A2706" i="209" s="1"/>
  <c r="A2707" i="209" s="1"/>
  <c r="A2708" i="209" s="1"/>
  <c r="A2709" i="209" s="1"/>
  <c r="A2710" i="209" s="1"/>
  <c r="A2711" i="209" s="1"/>
  <c r="A2712" i="209" s="1"/>
  <c r="A2713" i="209" s="1"/>
  <c r="A2715" i="209" s="1"/>
  <c r="A2716" i="209" s="1"/>
  <c r="A2717" i="209" s="1"/>
  <c r="A2719" i="209" s="1"/>
  <c r="A2721" i="209" s="1"/>
  <c r="A2723" i="209" s="1"/>
  <c r="A2726" i="209" s="1"/>
  <c r="A2727" i="209" s="1"/>
  <c r="A2728" i="209" s="1"/>
  <c r="A2729" i="209" s="1"/>
  <c r="A2730" i="209" s="1"/>
  <c r="A2731" i="209" s="1"/>
  <c r="A2732" i="209" s="1"/>
  <c r="A2734" i="209" s="1"/>
  <c r="O2696" i="209"/>
  <c r="N2696" i="209"/>
  <c r="M2696" i="209"/>
  <c r="L2696" i="209"/>
  <c r="K2696" i="209"/>
  <c r="J2696" i="209"/>
  <c r="I2696" i="209"/>
  <c r="A2689" i="209"/>
  <c r="O2687" i="209"/>
  <c r="A2684" i="209"/>
  <c r="L2679" i="209"/>
  <c r="J2678" i="209"/>
  <c r="F2678" i="209"/>
  <c r="M2678" i="209" s="1"/>
  <c r="E2678" i="209"/>
  <c r="J2677" i="209"/>
  <c r="F2677" i="209"/>
  <c r="M2677" i="209" s="1"/>
  <c r="E2677" i="209"/>
  <c r="J2676" i="209"/>
  <c r="F2676" i="209"/>
  <c r="M2676" i="209" s="1"/>
  <c r="E2676" i="209"/>
  <c r="J2675" i="209"/>
  <c r="F2675" i="209"/>
  <c r="M2675" i="209" s="1"/>
  <c r="E2675" i="209"/>
  <c r="J2674" i="209"/>
  <c r="F2674" i="209"/>
  <c r="M2674" i="209" s="1"/>
  <c r="E2674" i="209"/>
  <c r="J2673" i="209"/>
  <c r="F2673" i="209"/>
  <c r="M2673" i="209" s="1"/>
  <c r="E2673" i="209"/>
  <c r="J2672" i="209"/>
  <c r="F2672" i="209"/>
  <c r="M2672" i="209" s="1"/>
  <c r="E2672" i="209"/>
  <c r="J2671" i="209"/>
  <c r="F2671" i="209"/>
  <c r="M2671" i="209" s="1"/>
  <c r="E2671" i="209"/>
  <c r="M2670" i="209"/>
  <c r="J2670" i="209"/>
  <c r="F2670" i="209"/>
  <c r="E2670" i="209"/>
  <c r="N2669" i="209"/>
  <c r="J2669" i="209"/>
  <c r="N2668" i="209"/>
  <c r="J2668" i="209"/>
  <c r="J2667" i="209"/>
  <c r="F2667" i="209"/>
  <c r="M2667" i="209" s="1"/>
  <c r="E2667" i="209"/>
  <c r="J2666" i="209"/>
  <c r="F2666" i="209"/>
  <c r="M2666" i="209" s="1"/>
  <c r="E2666" i="209"/>
  <c r="N2665" i="209"/>
  <c r="J2665" i="209"/>
  <c r="J2664" i="209"/>
  <c r="F2664" i="209"/>
  <c r="M2664" i="209" s="1"/>
  <c r="E2664" i="209"/>
  <c r="J2663" i="209"/>
  <c r="F2663" i="209"/>
  <c r="M2663" i="209" s="1"/>
  <c r="E2663" i="209"/>
  <c r="J2662" i="209"/>
  <c r="F2662" i="209"/>
  <c r="M2662" i="209" s="1"/>
  <c r="J2661" i="209"/>
  <c r="F2661" i="209"/>
  <c r="M2661" i="209" s="1"/>
  <c r="E2661" i="209"/>
  <c r="N2660" i="209"/>
  <c r="J2660" i="209"/>
  <c r="J2659" i="209"/>
  <c r="F2659" i="209"/>
  <c r="M2659" i="209" s="1"/>
  <c r="E2659" i="209"/>
  <c r="K2658" i="209"/>
  <c r="J2658" i="209"/>
  <c r="F2658" i="209"/>
  <c r="M2658" i="209" s="1"/>
  <c r="E2658" i="209"/>
  <c r="J2657" i="209"/>
  <c r="F2657" i="209"/>
  <c r="M2657" i="209" s="1"/>
  <c r="E2657" i="209"/>
  <c r="J2656" i="209"/>
  <c r="F2656" i="209"/>
  <c r="M2656" i="209" s="1"/>
  <c r="E2656" i="209"/>
  <c r="J2655" i="209"/>
  <c r="F2655" i="209"/>
  <c r="M2655" i="209" s="1"/>
  <c r="E2655" i="209"/>
  <c r="J2654" i="209"/>
  <c r="F2654" i="209"/>
  <c r="M2654" i="209" s="1"/>
  <c r="E2654" i="209"/>
  <c r="J2653" i="209"/>
  <c r="F2653" i="209"/>
  <c r="M2653" i="209" s="1"/>
  <c r="E2653" i="209"/>
  <c r="J2652" i="209"/>
  <c r="F2652" i="209"/>
  <c r="M2652" i="209" s="1"/>
  <c r="E2652" i="209"/>
  <c r="J2651" i="209"/>
  <c r="F2651" i="209"/>
  <c r="M2651" i="209" s="1"/>
  <c r="E2651" i="209"/>
  <c r="J2650" i="209"/>
  <c r="F2650" i="209"/>
  <c r="M2650" i="209" s="1"/>
  <c r="E2650" i="209"/>
  <c r="J2649" i="209"/>
  <c r="F2649" i="209"/>
  <c r="M2649" i="209" s="1"/>
  <c r="E2649" i="209"/>
  <c r="N2646" i="209"/>
  <c r="L2646" i="209"/>
  <c r="K2645" i="209"/>
  <c r="J2645" i="209"/>
  <c r="F2645" i="209"/>
  <c r="M2645" i="209" s="1"/>
  <c r="M2644" i="209"/>
  <c r="K2644" i="209"/>
  <c r="J2644" i="209"/>
  <c r="F2644" i="209"/>
  <c r="E2644" i="209"/>
  <c r="M2643" i="209"/>
  <c r="J2643" i="209"/>
  <c r="M2642" i="209"/>
  <c r="J2642" i="209"/>
  <c r="M2641" i="209"/>
  <c r="K2641" i="209"/>
  <c r="J2641" i="209"/>
  <c r="M2640" i="209"/>
  <c r="J2640" i="209"/>
  <c r="A2640" i="209"/>
  <c r="A2641" i="209" s="1"/>
  <c r="A2642" i="209" s="1"/>
  <c r="A2643" i="209" s="1"/>
  <c r="A2644" i="209" s="1"/>
  <c r="A2645" i="209" s="1"/>
  <c r="A2646" i="209" s="1"/>
  <c r="A2648" i="209" s="1"/>
  <c r="A2649" i="209" s="1"/>
  <c r="A2650" i="209" s="1"/>
  <c r="A2651" i="209" s="1"/>
  <c r="A2652" i="209" s="1"/>
  <c r="A2653" i="209" s="1"/>
  <c r="A2654" i="209" s="1"/>
  <c r="A2655" i="209" s="1"/>
  <c r="A2656" i="209" s="1"/>
  <c r="A2657" i="209" s="1"/>
  <c r="A2658" i="209" s="1"/>
  <c r="A2659" i="209" s="1"/>
  <c r="A2660" i="209" s="1"/>
  <c r="A2661" i="209" s="1"/>
  <c r="A2662" i="209" s="1"/>
  <c r="A2663" i="209" s="1"/>
  <c r="A2664" i="209" s="1"/>
  <c r="A2665" i="209" s="1"/>
  <c r="A2666" i="209" s="1"/>
  <c r="A2667" i="209" s="1"/>
  <c r="A2668" i="209" s="1"/>
  <c r="A2669" i="209" s="1"/>
  <c r="A2670" i="209" s="1"/>
  <c r="A2671" i="209" s="1"/>
  <c r="A2672" i="209" s="1"/>
  <c r="A2673" i="209" s="1"/>
  <c r="A2674" i="209" s="1"/>
  <c r="A2675" i="209" s="1"/>
  <c r="A2676" i="209" s="1"/>
  <c r="A2677" i="209" s="1"/>
  <c r="A2678" i="209" s="1"/>
  <c r="A2679" i="209" s="1"/>
  <c r="O2637" i="209"/>
  <c r="N2637" i="209"/>
  <c r="M2637" i="209"/>
  <c r="L2637" i="209"/>
  <c r="K2637" i="209"/>
  <c r="J2637" i="209"/>
  <c r="I2637" i="209"/>
  <c r="A2630" i="209"/>
  <c r="O2628" i="209"/>
  <c r="A2625" i="209"/>
  <c r="L2618" i="209"/>
  <c r="N2617" i="209"/>
  <c r="K2617" i="209"/>
  <c r="J2617" i="209"/>
  <c r="F2617" i="209"/>
  <c r="M2617" i="209" s="1"/>
  <c r="E2617" i="209"/>
  <c r="N2616" i="209"/>
  <c r="K2616" i="209"/>
  <c r="J2616" i="209"/>
  <c r="F2616" i="209"/>
  <c r="M2616" i="209" s="1"/>
  <c r="E2616" i="209"/>
  <c r="N2615" i="209"/>
  <c r="K2615" i="209"/>
  <c r="J2615" i="209"/>
  <c r="F2615" i="209"/>
  <c r="M2615" i="209" s="1"/>
  <c r="E2615" i="209"/>
  <c r="N2614" i="209"/>
  <c r="K2614" i="209"/>
  <c r="J2614" i="209"/>
  <c r="F2614" i="209"/>
  <c r="M2614" i="209" s="1"/>
  <c r="E2614" i="209"/>
  <c r="N2613" i="209"/>
  <c r="K2613" i="209"/>
  <c r="K2618" i="209" s="1"/>
  <c r="I96" i="196" s="1"/>
  <c r="J2613" i="209"/>
  <c r="F2613" i="209"/>
  <c r="M2613" i="209" s="1"/>
  <c r="M2618" i="209" s="1"/>
  <c r="K96" i="196" s="1"/>
  <c r="E2613" i="209"/>
  <c r="N2603" i="209"/>
  <c r="L2603" i="209"/>
  <c r="F2603" i="209"/>
  <c r="E2603" i="209"/>
  <c r="M2602" i="209"/>
  <c r="M2603" i="209" s="1"/>
  <c r="K2602" i="209"/>
  <c r="K2603" i="209" s="1"/>
  <c r="J2602" i="209"/>
  <c r="N2599" i="209"/>
  <c r="L2599" i="209"/>
  <c r="J2598" i="209"/>
  <c r="F2598" i="209"/>
  <c r="M2598" i="209" s="1"/>
  <c r="E2598" i="209"/>
  <c r="J2597" i="209"/>
  <c r="F2597" i="209"/>
  <c r="M2597" i="209" s="1"/>
  <c r="E2597" i="209"/>
  <c r="J2596" i="209"/>
  <c r="F2596" i="209"/>
  <c r="M2596" i="209" s="1"/>
  <c r="E2596" i="209"/>
  <c r="J2595" i="209"/>
  <c r="F2595" i="209"/>
  <c r="M2595" i="209" s="1"/>
  <c r="E2595" i="209"/>
  <c r="J2594" i="209"/>
  <c r="F2594" i="209"/>
  <c r="M2594" i="209" s="1"/>
  <c r="E2594" i="209"/>
  <c r="J2593" i="209"/>
  <c r="F2593" i="209"/>
  <c r="M2593" i="209" s="1"/>
  <c r="E2593" i="209"/>
  <c r="J2592" i="209"/>
  <c r="F2592" i="209"/>
  <c r="M2592" i="209" s="1"/>
  <c r="E2592" i="209"/>
  <c r="J2591" i="209"/>
  <c r="F2591" i="209"/>
  <c r="M2591" i="209" s="1"/>
  <c r="E2591" i="209"/>
  <c r="J2590" i="209"/>
  <c r="F2590" i="209"/>
  <c r="M2590" i="209" s="1"/>
  <c r="E2590" i="209"/>
  <c r="J2589" i="209"/>
  <c r="F2589" i="209"/>
  <c r="M2589" i="209" s="1"/>
  <c r="E2589" i="209"/>
  <c r="J2588" i="209"/>
  <c r="F2588" i="209"/>
  <c r="M2588" i="209" s="1"/>
  <c r="E2588" i="209"/>
  <c r="J2587" i="209"/>
  <c r="F2587" i="209"/>
  <c r="M2587" i="209" s="1"/>
  <c r="E2587" i="209"/>
  <c r="J2586" i="209"/>
  <c r="F2586" i="209"/>
  <c r="E2586" i="209"/>
  <c r="J2585" i="209"/>
  <c r="F2585" i="209"/>
  <c r="M2585" i="209" s="1"/>
  <c r="E2585" i="209"/>
  <c r="A2585" i="209"/>
  <c r="A2586" i="209" s="1"/>
  <c r="A2587" i="209" s="1"/>
  <c r="A2588" i="209" s="1"/>
  <c r="A2589" i="209" s="1"/>
  <c r="A2590" i="209" s="1"/>
  <c r="A2591" i="209" s="1"/>
  <c r="A2592" i="209" s="1"/>
  <c r="A2593" i="209" s="1"/>
  <c r="A2594" i="209" s="1"/>
  <c r="A2595" i="209" s="1"/>
  <c r="A2596" i="209" s="1"/>
  <c r="A2597" i="209" s="1"/>
  <c r="A2598" i="209" s="1"/>
  <c r="A2599" i="209" s="1"/>
  <c r="A2601" i="209" s="1"/>
  <c r="A2602" i="209" s="1"/>
  <c r="A2603" i="209" s="1"/>
  <c r="A2605" i="209" s="1"/>
  <c r="A2607" i="209" s="1"/>
  <c r="A2609" i="209" s="1"/>
  <c r="A2612" i="209" s="1"/>
  <c r="A2613" i="209" s="1"/>
  <c r="A2614" i="209" s="1"/>
  <c r="A2615" i="209" s="1"/>
  <c r="A2616" i="209" s="1"/>
  <c r="A2617" i="209" s="1"/>
  <c r="A2618" i="209" s="1"/>
  <c r="A2620" i="209" s="1"/>
  <c r="O2582" i="209"/>
  <c r="N2582" i="209"/>
  <c r="M2582" i="209"/>
  <c r="L2582" i="209"/>
  <c r="K2582" i="209"/>
  <c r="J2582" i="209"/>
  <c r="I2582" i="209"/>
  <c r="A2575" i="209"/>
  <c r="O2573" i="209"/>
  <c r="A2573" i="209"/>
  <c r="A2570" i="209"/>
  <c r="L2565" i="209"/>
  <c r="M2564" i="209"/>
  <c r="J2564" i="209"/>
  <c r="F2564" i="209"/>
  <c r="E2564" i="209"/>
  <c r="J2563" i="209"/>
  <c r="F2563" i="209"/>
  <c r="M2563" i="209" s="1"/>
  <c r="E2563" i="209"/>
  <c r="J2562" i="209"/>
  <c r="F2562" i="209"/>
  <c r="M2562" i="209" s="1"/>
  <c r="E2562" i="209"/>
  <c r="J2561" i="209"/>
  <c r="F2561" i="209"/>
  <c r="M2561" i="209" s="1"/>
  <c r="E2561" i="209"/>
  <c r="J2560" i="209"/>
  <c r="F2560" i="209"/>
  <c r="M2560" i="209" s="1"/>
  <c r="E2560" i="209"/>
  <c r="J2559" i="209"/>
  <c r="F2559" i="209"/>
  <c r="M2559" i="209" s="1"/>
  <c r="E2559" i="209"/>
  <c r="J2558" i="209"/>
  <c r="F2558" i="209"/>
  <c r="M2558" i="209" s="1"/>
  <c r="E2558" i="209"/>
  <c r="J2557" i="209"/>
  <c r="F2557" i="209"/>
  <c r="M2557" i="209" s="1"/>
  <c r="E2557" i="209"/>
  <c r="J2556" i="209"/>
  <c r="F2556" i="209"/>
  <c r="M2556" i="209" s="1"/>
  <c r="E2556" i="209"/>
  <c r="N2555" i="209"/>
  <c r="J2555" i="209"/>
  <c r="N2554" i="209"/>
  <c r="J2554" i="209"/>
  <c r="F2554" i="209"/>
  <c r="M2554" i="209" s="1"/>
  <c r="J2553" i="209"/>
  <c r="F2553" i="209"/>
  <c r="M2553" i="209" s="1"/>
  <c r="E2553" i="209"/>
  <c r="J2552" i="209"/>
  <c r="F2552" i="209"/>
  <c r="M2552" i="209" s="1"/>
  <c r="E2552" i="209"/>
  <c r="J2551" i="209"/>
  <c r="J2550" i="209"/>
  <c r="F2550" i="209"/>
  <c r="M2550" i="209" s="1"/>
  <c r="E2550" i="209"/>
  <c r="J2549" i="209"/>
  <c r="F2549" i="209"/>
  <c r="M2549" i="209" s="1"/>
  <c r="E2549" i="209"/>
  <c r="N2548" i="209"/>
  <c r="J2548" i="209"/>
  <c r="J2547" i="209"/>
  <c r="F2547" i="209"/>
  <c r="M2547" i="209" s="1"/>
  <c r="E2547" i="209"/>
  <c r="N2546" i="209"/>
  <c r="J2546" i="209"/>
  <c r="J2545" i="209"/>
  <c r="F2545" i="209"/>
  <c r="M2545" i="209" s="1"/>
  <c r="E2545" i="209"/>
  <c r="K2544" i="209"/>
  <c r="J2544" i="209"/>
  <c r="F2544" i="209"/>
  <c r="M2544" i="209" s="1"/>
  <c r="E2544" i="209"/>
  <c r="J2543" i="209"/>
  <c r="F2543" i="209"/>
  <c r="M2543" i="209" s="1"/>
  <c r="E2543" i="209"/>
  <c r="J2542" i="209"/>
  <c r="F2542" i="209"/>
  <c r="M2542" i="209" s="1"/>
  <c r="E2542" i="209"/>
  <c r="J2541" i="209"/>
  <c r="F2541" i="209"/>
  <c r="M2541" i="209" s="1"/>
  <c r="E2541" i="209"/>
  <c r="J2540" i="209"/>
  <c r="F2540" i="209"/>
  <c r="M2540" i="209" s="1"/>
  <c r="E2540" i="209"/>
  <c r="M2539" i="209"/>
  <c r="J2539" i="209"/>
  <c r="F2539" i="209"/>
  <c r="E2539" i="209"/>
  <c r="J2538" i="209"/>
  <c r="F2538" i="209"/>
  <c r="M2538" i="209" s="1"/>
  <c r="E2538" i="209"/>
  <c r="J2537" i="209"/>
  <c r="F2537" i="209"/>
  <c r="M2537" i="209" s="1"/>
  <c r="E2537" i="209"/>
  <c r="J2536" i="209"/>
  <c r="F2536" i="209"/>
  <c r="M2536" i="209" s="1"/>
  <c r="E2536" i="209"/>
  <c r="J2535" i="209"/>
  <c r="F2535" i="209"/>
  <c r="E2535" i="209"/>
  <c r="N2532" i="209"/>
  <c r="L2532" i="209"/>
  <c r="K2531" i="209"/>
  <c r="J2531" i="209"/>
  <c r="F2531" i="209"/>
  <c r="M2531" i="209" s="1"/>
  <c r="E2531" i="209"/>
  <c r="K2530" i="209"/>
  <c r="J2530" i="209"/>
  <c r="F2530" i="209"/>
  <c r="M2530" i="209" s="1"/>
  <c r="E2530" i="209"/>
  <c r="E2532" i="209" s="1"/>
  <c r="M2529" i="209"/>
  <c r="J2529" i="209"/>
  <c r="M2528" i="209"/>
  <c r="J2528" i="209"/>
  <c r="M2527" i="209"/>
  <c r="K2527" i="209"/>
  <c r="J2527" i="209"/>
  <c r="M2526" i="209"/>
  <c r="J2526" i="209"/>
  <c r="A2526" i="209"/>
  <c r="A2527" i="209" s="1"/>
  <c r="A2528" i="209" s="1"/>
  <c r="A2529" i="209" s="1"/>
  <c r="A2530" i="209" s="1"/>
  <c r="A2531" i="209" s="1"/>
  <c r="A2532" i="209" s="1"/>
  <c r="A2534" i="209" s="1"/>
  <c r="A2535" i="209" s="1"/>
  <c r="A2536" i="209" s="1"/>
  <c r="A2537" i="209" s="1"/>
  <c r="A2538" i="209" s="1"/>
  <c r="A2539" i="209" s="1"/>
  <c r="A2540" i="209" s="1"/>
  <c r="A2541" i="209" s="1"/>
  <c r="A2542" i="209" s="1"/>
  <c r="A2543" i="209" s="1"/>
  <c r="A2544" i="209" s="1"/>
  <c r="A2545" i="209" s="1"/>
  <c r="A2546" i="209" s="1"/>
  <c r="A2547" i="209" s="1"/>
  <c r="A2548" i="209" s="1"/>
  <c r="A2549" i="209" s="1"/>
  <c r="A2550" i="209" s="1"/>
  <c r="A2551" i="209" s="1"/>
  <c r="A2552" i="209" s="1"/>
  <c r="A2553" i="209" s="1"/>
  <c r="A2554" i="209" s="1"/>
  <c r="A2555" i="209" s="1"/>
  <c r="A2556" i="209" s="1"/>
  <c r="A2557" i="209" s="1"/>
  <c r="A2558" i="209" s="1"/>
  <c r="A2559" i="209" s="1"/>
  <c r="A2560" i="209" s="1"/>
  <c r="A2561" i="209" s="1"/>
  <c r="A2562" i="209" s="1"/>
  <c r="A2563" i="209" s="1"/>
  <c r="A2564" i="209" s="1"/>
  <c r="A2565" i="209" s="1"/>
  <c r="O2523" i="209"/>
  <c r="N2523" i="209"/>
  <c r="M2523" i="209"/>
  <c r="L2523" i="209"/>
  <c r="K2523" i="209"/>
  <c r="J2523" i="209"/>
  <c r="I2523" i="209"/>
  <c r="A2516" i="209"/>
  <c r="O2514" i="209"/>
  <c r="A2511" i="209"/>
  <c r="L2504" i="209"/>
  <c r="J95" i="196" s="1"/>
  <c r="N2503" i="209"/>
  <c r="K2503" i="209"/>
  <c r="J2503" i="209"/>
  <c r="F2503" i="209"/>
  <c r="M2503" i="209" s="1"/>
  <c r="E2503" i="209"/>
  <c r="N2502" i="209"/>
  <c r="K2502" i="209"/>
  <c r="J2502" i="209"/>
  <c r="F2502" i="209"/>
  <c r="M2502" i="209" s="1"/>
  <c r="E2502" i="209"/>
  <c r="N2501" i="209"/>
  <c r="K2501" i="209"/>
  <c r="J2501" i="209"/>
  <c r="F2501" i="209"/>
  <c r="M2501" i="209" s="1"/>
  <c r="E2501" i="209"/>
  <c r="N2500" i="209"/>
  <c r="K2500" i="209"/>
  <c r="J2500" i="209"/>
  <c r="F2500" i="209"/>
  <c r="M2500" i="209" s="1"/>
  <c r="E2500" i="209"/>
  <c r="N2499" i="209"/>
  <c r="K2499" i="209"/>
  <c r="J2499" i="209"/>
  <c r="F2499" i="209"/>
  <c r="M2499" i="209" s="1"/>
  <c r="E2499" i="209"/>
  <c r="N2489" i="209"/>
  <c r="L2489" i="209"/>
  <c r="F2489" i="209"/>
  <c r="E2489" i="209"/>
  <c r="M2488" i="209"/>
  <c r="M2489" i="209" s="1"/>
  <c r="K2488" i="209"/>
  <c r="K2489" i="209" s="1"/>
  <c r="J2488" i="209"/>
  <c r="N2485" i="209"/>
  <c r="L2485" i="209"/>
  <c r="M2484" i="209"/>
  <c r="J2484" i="209"/>
  <c r="F2484" i="209"/>
  <c r="E2484" i="209"/>
  <c r="J2483" i="209"/>
  <c r="F2483" i="209"/>
  <c r="M2483" i="209" s="1"/>
  <c r="E2483" i="209"/>
  <c r="J2482" i="209"/>
  <c r="F2482" i="209"/>
  <c r="M2482" i="209" s="1"/>
  <c r="E2482" i="209"/>
  <c r="J2481" i="209"/>
  <c r="F2481" i="209"/>
  <c r="M2481" i="209" s="1"/>
  <c r="E2481" i="209"/>
  <c r="M2480" i="209"/>
  <c r="J2480" i="209"/>
  <c r="F2480" i="209"/>
  <c r="E2480" i="209"/>
  <c r="J2479" i="209"/>
  <c r="F2479" i="209"/>
  <c r="M2479" i="209" s="1"/>
  <c r="E2479" i="209"/>
  <c r="J2478" i="209"/>
  <c r="F2478" i="209"/>
  <c r="M2478" i="209" s="1"/>
  <c r="E2478" i="209"/>
  <c r="J2477" i="209"/>
  <c r="F2477" i="209"/>
  <c r="M2477" i="209" s="1"/>
  <c r="E2477" i="209"/>
  <c r="J2476" i="209"/>
  <c r="F2476" i="209"/>
  <c r="M2476" i="209" s="1"/>
  <c r="E2476" i="209"/>
  <c r="J2475" i="209"/>
  <c r="F2475" i="209"/>
  <c r="M2475" i="209" s="1"/>
  <c r="E2475" i="209"/>
  <c r="J2474" i="209"/>
  <c r="F2474" i="209"/>
  <c r="M2474" i="209" s="1"/>
  <c r="E2474" i="209"/>
  <c r="J2473" i="209"/>
  <c r="F2473" i="209"/>
  <c r="M2473" i="209" s="1"/>
  <c r="E2473" i="209"/>
  <c r="J2472" i="209"/>
  <c r="F2472" i="209"/>
  <c r="M2472" i="209" s="1"/>
  <c r="E2472" i="209"/>
  <c r="J2471" i="209"/>
  <c r="F2471" i="209"/>
  <c r="M2471" i="209" s="1"/>
  <c r="E2471" i="209"/>
  <c r="A2471" i="209"/>
  <c r="A2472" i="209" s="1"/>
  <c r="A2473" i="209" s="1"/>
  <c r="A2474" i="209" s="1"/>
  <c r="A2475" i="209" s="1"/>
  <c r="A2476" i="209" s="1"/>
  <c r="A2477" i="209" s="1"/>
  <c r="A2478" i="209" s="1"/>
  <c r="A2479" i="209" s="1"/>
  <c r="A2480" i="209" s="1"/>
  <c r="A2481" i="209" s="1"/>
  <c r="A2482" i="209" s="1"/>
  <c r="A2483" i="209" s="1"/>
  <c r="A2484" i="209" s="1"/>
  <c r="A2485" i="209" s="1"/>
  <c r="A2487" i="209" s="1"/>
  <c r="A2488" i="209" s="1"/>
  <c r="A2489" i="209" s="1"/>
  <c r="A2491" i="209" s="1"/>
  <c r="A2493" i="209" s="1"/>
  <c r="A2495" i="209" s="1"/>
  <c r="A2498" i="209" s="1"/>
  <c r="A2499" i="209" s="1"/>
  <c r="A2500" i="209" s="1"/>
  <c r="A2501" i="209" s="1"/>
  <c r="A2502" i="209" s="1"/>
  <c r="A2503" i="209" s="1"/>
  <c r="A2504" i="209" s="1"/>
  <c r="A2506" i="209" s="1"/>
  <c r="O2468" i="209"/>
  <c r="N2468" i="209"/>
  <c r="M2468" i="209"/>
  <c r="L2468" i="209"/>
  <c r="K2468" i="209"/>
  <c r="J2468" i="209"/>
  <c r="I2468" i="209"/>
  <c r="A2461" i="209"/>
  <c r="O2459" i="209"/>
  <c r="A2456" i="209"/>
  <c r="L2451" i="209"/>
  <c r="J2450" i="209"/>
  <c r="F2450" i="209"/>
  <c r="M2450" i="209" s="1"/>
  <c r="E2450" i="209"/>
  <c r="J2449" i="209"/>
  <c r="F2449" i="209"/>
  <c r="M2449" i="209" s="1"/>
  <c r="E2449" i="209"/>
  <c r="J2448" i="209"/>
  <c r="F2448" i="209"/>
  <c r="M2448" i="209" s="1"/>
  <c r="E2448" i="209"/>
  <c r="J2447" i="209"/>
  <c r="F2447" i="209"/>
  <c r="M2447" i="209" s="1"/>
  <c r="E2447" i="209"/>
  <c r="J2446" i="209"/>
  <c r="F2446" i="209"/>
  <c r="M2446" i="209" s="1"/>
  <c r="E2446" i="209"/>
  <c r="J2445" i="209"/>
  <c r="F2445" i="209"/>
  <c r="M2445" i="209" s="1"/>
  <c r="E2445" i="209"/>
  <c r="J2444" i="209"/>
  <c r="F2444" i="209"/>
  <c r="M2444" i="209" s="1"/>
  <c r="E2444" i="209"/>
  <c r="J2443" i="209"/>
  <c r="F2443" i="209"/>
  <c r="M2443" i="209" s="1"/>
  <c r="E2443" i="209"/>
  <c r="J2442" i="209"/>
  <c r="F2442" i="209"/>
  <c r="M2442" i="209" s="1"/>
  <c r="E2442" i="209"/>
  <c r="N2441" i="209"/>
  <c r="J2441" i="209"/>
  <c r="N2440" i="209"/>
  <c r="J2440" i="209"/>
  <c r="J2439" i="209"/>
  <c r="F2439" i="209"/>
  <c r="M2439" i="209" s="1"/>
  <c r="E2439" i="209"/>
  <c r="J2438" i="209"/>
  <c r="F2438" i="209"/>
  <c r="M2438" i="209" s="1"/>
  <c r="E2438" i="209"/>
  <c r="J2437" i="209"/>
  <c r="J2436" i="209"/>
  <c r="F2436" i="209"/>
  <c r="M2436" i="209" s="1"/>
  <c r="E2436" i="209"/>
  <c r="J2435" i="209"/>
  <c r="F2435" i="209"/>
  <c r="M2435" i="209" s="1"/>
  <c r="E2435" i="209"/>
  <c r="J2434" i="209"/>
  <c r="J2433" i="209"/>
  <c r="F2433" i="209"/>
  <c r="M2433" i="209" s="1"/>
  <c r="E2433" i="209"/>
  <c r="N2432" i="209"/>
  <c r="J2432" i="209"/>
  <c r="J2431" i="209"/>
  <c r="F2431" i="209"/>
  <c r="M2431" i="209" s="1"/>
  <c r="E2431" i="209"/>
  <c r="K2430" i="209"/>
  <c r="J2430" i="209"/>
  <c r="F2430" i="209"/>
  <c r="M2430" i="209" s="1"/>
  <c r="E2430" i="209"/>
  <c r="J2429" i="209"/>
  <c r="F2429" i="209"/>
  <c r="M2429" i="209" s="1"/>
  <c r="E2429" i="209"/>
  <c r="J2428" i="209"/>
  <c r="F2428" i="209"/>
  <c r="M2428" i="209" s="1"/>
  <c r="E2428" i="209"/>
  <c r="J2427" i="209"/>
  <c r="F2427" i="209"/>
  <c r="M2427" i="209" s="1"/>
  <c r="E2427" i="209"/>
  <c r="J2426" i="209"/>
  <c r="F2426" i="209"/>
  <c r="M2426" i="209" s="1"/>
  <c r="E2426" i="209"/>
  <c r="J2425" i="209"/>
  <c r="F2425" i="209"/>
  <c r="M2425" i="209" s="1"/>
  <c r="E2425" i="209"/>
  <c r="J2424" i="209"/>
  <c r="F2424" i="209"/>
  <c r="M2424" i="209" s="1"/>
  <c r="E2424" i="209"/>
  <c r="J2423" i="209"/>
  <c r="F2423" i="209"/>
  <c r="M2423" i="209" s="1"/>
  <c r="E2423" i="209"/>
  <c r="J2422" i="209"/>
  <c r="F2422" i="209"/>
  <c r="M2422" i="209" s="1"/>
  <c r="E2422" i="209"/>
  <c r="J2421" i="209"/>
  <c r="F2421" i="209"/>
  <c r="E2421" i="209"/>
  <c r="N2418" i="209"/>
  <c r="L2418" i="209"/>
  <c r="K2417" i="209"/>
  <c r="J2417" i="209"/>
  <c r="F2417" i="209"/>
  <c r="M2417" i="209" s="1"/>
  <c r="K2416" i="209"/>
  <c r="J2416" i="209"/>
  <c r="F2416" i="209"/>
  <c r="M2416" i="209" s="1"/>
  <c r="E2416" i="209"/>
  <c r="M2415" i="209"/>
  <c r="J2415" i="209"/>
  <c r="M2414" i="209"/>
  <c r="J2414" i="209"/>
  <c r="M2413" i="209"/>
  <c r="K2413" i="209"/>
  <c r="J2413" i="209"/>
  <c r="M2412" i="209"/>
  <c r="J2412" i="209"/>
  <c r="A2412" i="209"/>
  <c r="A2413" i="209" s="1"/>
  <c r="A2414" i="209" s="1"/>
  <c r="A2415" i="209" s="1"/>
  <c r="A2416" i="209" s="1"/>
  <c r="A2417" i="209" s="1"/>
  <c r="A2418" i="209" s="1"/>
  <c r="A2420" i="209" s="1"/>
  <c r="A2421" i="209" s="1"/>
  <c r="A2422" i="209" s="1"/>
  <c r="A2423" i="209" s="1"/>
  <c r="A2424" i="209" s="1"/>
  <c r="A2425" i="209" s="1"/>
  <c r="A2426" i="209" s="1"/>
  <c r="A2427" i="209" s="1"/>
  <c r="A2428" i="209" s="1"/>
  <c r="A2429" i="209" s="1"/>
  <c r="A2430" i="209" s="1"/>
  <c r="A2431" i="209" s="1"/>
  <c r="A2432" i="209" s="1"/>
  <c r="A2433" i="209" s="1"/>
  <c r="A2434" i="209" s="1"/>
  <c r="A2435" i="209" s="1"/>
  <c r="A2436" i="209" s="1"/>
  <c r="A2437" i="209" s="1"/>
  <c r="A2438" i="209" s="1"/>
  <c r="A2439" i="209" s="1"/>
  <c r="A2440" i="209" s="1"/>
  <c r="A2441" i="209" s="1"/>
  <c r="A2442" i="209" s="1"/>
  <c r="A2443" i="209" s="1"/>
  <c r="A2444" i="209" s="1"/>
  <c r="A2445" i="209" s="1"/>
  <c r="A2446" i="209" s="1"/>
  <c r="A2447" i="209" s="1"/>
  <c r="A2448" i="209" s="1"/>
  <c r="A2449" i="209" s="1"/>
  <c r="A2450" i="209" s="1"/>
  <c r="A2451" i="209" s="1"/>
  <c r="O2409" i="209"/>
  <c r="N2409" i="209"/>
  <c r="M2409" i="209"/>
  <c r="L2409" i="209"/>
  <c r="K2409" i="209"/>
  <c r="J2409" i="209"/>
  <c r="I2409" i="209"/>
  <c r="A2402" i="209"/>
  <c r="O2400" i="209"/>
  <c r="A2397" i="209"/>
  <c r="L2390" i="209"/>
  <c r="N2389" i="209"/>
  <c r="K2389" i="209"/>
  <c r="J2389" i="209"/>
  <c r="F2389" i="209"/>
  <c r="M2389" i="209" s="1"/>
  <c r="E2389" i="209"/>
  <c r="N2388" i="209"/>
  <c r="K2388" i="209"/>
  <c r="J2388" i="209"/>
  <c r="F2388" i="209"/>
  <c r="M2388" i="209" s="1"/>
  <c r="E2388" i="209"/>
  <c r="N2387" i="209"/>
  <c r="K2387" i="209"/>
  <c r="J2387" i="209"/>
  <c r="F2387" i="209"/>
  <c r="M2387" i="209" s="1"/>
  <c r="E2387" i="209"/>
  <c r="N2386" i="209"/>
  <c r="K2386" i="209"/>
  <c r="J2386" i="209"/>
  <c r="F2386" i="209"/>
  <c r="M2386" i="209" s="1"/>
  <c r="E2386" i="209"/>
  <c r="N2385" i="209"/>
  <c r="K2385" i="209"/>
  <c r="K2390" i="209" s="1"/>
  <c r="I94" i="196" s="1"/>
  <c r="J2385" i="209"/>
  <c r="F2385" i="209"/>
  <c r="E2385" i="209"/>
  <c r="N2375" i="209"/>
  <c r="L2375" i="209"/>
  <c r="F2375" i="209"/>
  <c r="E2375" i="209"/>
  <c r="M2374" i="209"/>
  <c r="M2375" i="209" s="1"/>
  <c r="K2374" i="209"/>
  <c r="K2375" i="209" s="1"/>
  <c r="J2374" i="209"/>
  <c r="N2371" i="209"/>
  <c r="L2371" i="209"/>
  <c r="J2370" i="209"/>
  <c r="F2370" i="209"/>
  <c r="M2370" i="209" s="1"/>
  <c r="E2370" i="209"/>
  <c r="J2369" i="209"/>
  <c r="F2369" i="209"/>
  <c r="M2369" i="209" s="1"/>
  <c r="E2369" i="209"/>
  <c r="J2368" i="209"/>
  <c r="F2368" i="209"/>
  <c r="M2368" i="209" s="1"/>
  <c r="E2368" i="209"/>
  <c r="M2367" i="209"/>
  <c r="J2367" i="209"/>
  <c r="F2367" i="209"/>
  <c r="E2367" i="209"/>
  <c r="J2366" i="209"/>
  <c r="F2366" i="209"/>
  <c r="M2366" i="209" s="1"/>
  <c r="E2366" i="209"/>
  <c r="J2365" i="209"/>
  <c r="F2365" i="209"/>
  <c r="M2365" i="209" s="1"/>
  <c r="E2365" i="209"/>
  <c r="J2364" i="209"/>
  <c r="F2364" i="209"/>
  <c r="M2364" i="209" s="1"/>
  <c r="E2364" i="209"/>
  <c r="J2363" i="209"/>
  <c r="F2363" i="209"/>
  <c r="M2363" i="209" s="1"/>
  <c r="E2363" i="209"/>
  <c r="J2362" i="209"/>
  <c r="F2362" i="209"/>
  <c r="M2362" i="209" s="1"/>
  <c r="E2362" i="209"/>
  <c r="J2361" i="209"/>
  <c r="F2361" i="209"/>
  <c r="M2361" i="209" s="1"/>
  <c r="E2361" i="209"/>
  <c r="J2360" i="209"/>
  <c r="F2360" i="209"/>
  <c r="M2360" i="209" s="1"/>
  <c r="E2360" i="209"/>
  <c r="J2359" i="209"/>
  <c r="F2359" i="209"/>
  <c r="M2359" i="209" s="1"/>
  <c r="E2359" i="209"/>
  <c r="J2358" i="209"/>
  <c r="F2358" i="209"/>
  <c r="M2358" i="209" s="1"/>
  <c r="E2358" i="209"/>
  <c r="J2357" i="209"/>
  <c r="F2357" i="209"/>
  <c r="M2357" i="209" s="1"/>
  <c r="E2357" i="209"/>
  <c r="A2357" i="209"/>
  <c r="A2358" i="209" s="1"/>
  <c r="A2359" i="209" s="1"/>
  <c r="A2360" i="209" s="1"/>
  <c r="A2361" i="209" s="1"/>
  <c r="A2362" i="209" s="1"/>
  <c r="A2363" i="209" s="1"/>
  <c r="A2364" i="209" s="1"/>
  <c r="A2365" i="209" s="1"/>
  <c r="A2366" i="209" s="1"/>
  <c r="A2367" i="209" s="1"/>
  <c r="A2368" i="209" s="1"/>
  <c r="A2369" i="209" s="1"/>
  <c r="A2370" i="209" s="1"/>
  <c r="A2371" i="209" s="1"/>
  <c r="A2373" i="209" s="1"/>
  <c r="A2374" i="209" s="1"/>
  <c r="A2375" i="209" s="1"/>
  <c r="A2377" i="209" s="1"/>
  <c r="A2379" i="209" s="1"/>
  <c r="A2381" i="209" s="1"/>
  <c r="A2384" i="209" s="1"/>
  <c r="A2385" i="209" s="1"/>
  <c r="A2386" i="209" s="1"/>
  <c r="A2387" i="209" s="1"/>
  <c r="A2388" i="209" s="1"/>
  <c r="A2389" i="209" s="1"/>
  <c r="A2390" i="209" s="1"/>
  <c r="A2392" i="209" s="1"/>
  <c r="O2354" i="209"/>
  <c r="N2354" i="209"/>
  <c r="M2354" i="209"/>
  <c r="L2354" i="209"/>
  <c r="K2354" i="209"/>
  <c r="J2354" i="209"/>
  <c r="I2354" i="209"/>
  <c r="A2347" i="209"/>
  <c r="O2345" i="209"/>
  <c r="A2342" i="209"/>
  <c r="L2337" i="209"/>
  <c r="J2336" i="209"/>
  <c r="F2336" i="209"/>
  <c r="M2336" i="209" s="1"/>
  <c r="E2336" i="209"/>
  <c r="J2335" i="209"/>
  <c r="F2335" i="209"/>
  <c r="M2335" i="209" s="1"/>
  <c r="E2335" i="209"/>
  <c r="J2334" i="209"/>
  <c r="F2334" i="209"/>
  <c r="M2334" i="209" s="1"/>
  <c r="E2334" i="209"/>
  <c r="J2333" i="209"/>
  <c r="F2333" i="209"/>
  <c r="M2333" i="209" s="1"/>
  <c r="E2333" i="209"/>
  <c r="M2332" i="209"/>
  <c r="J2332" i="209"/>
  <c r="F2332" i="209"/>
  <c r="E2332" i="209"/>
  <c r="J2331" i="209"/>
  <c r="F2331" i="209"/>
  <c r="M2331" i="209" s="1"/>
  <c r="E2331" i="209"/>
  <c r="J2330" i="209"/>
  <c r="F2330" i="209"/>
  <c r="M2330" i="209" s="1"/>
  <c r="E2330" i="209"/>
  <c r="J2329" i="209"/>
  <c r="F2329" i="209"/>
  <c r="M2329" i="209" s="1"/>
  <c r="E2329" i="209"/>
  <c r="J2328" i="209"/>
  <c r="F2328" i="209"/>
  <c r="M2328" i="209" s="1"/>
  <c r="E2328" i="209"/>
  <c r="J2327" i="209"/>
  <c r="J2326" i="209"/>
  <c r="E2326" i="209"/>
  <c r="J2325" i="209"/>
  <c r="F2325" i="209"/>
  <c r="M2325" i="209" s="1"/>
  <c r="E2325" i="209"/>
  <c r="J2324" i="209"/>
  <c r="F2324" i="209"/>
  <c r="M2324" i="209" s="1"/>
  <c r="E2324" i="209"/>
  <c r="N2323" i="209"/>
  <c r="J2323" i="209"/>
  <c r="J2322" i="209"/>
  <c r="F2322" i="209"/>
  <c r="M2322" i="209" s="1"/>
  <c r="E2322" i="209"/>
  <c r="J2321" i="209"/>
  <c r="F2321" i="209"/>
  <c r="M2321" i="209" s="1"/>
  <c r="E2321" i="209"/>
  <c r="N2320" i="209"/>
  <c r="J2320" i="209"/>
  <c r="J2319" i="209"/>
  <c r="F2319" i="209"/>
  <c r="M2319" i="209" s="1"/>
  <c r="E2319" i="209"/>
  <c r="J2318" i="209"/>
  <c r="J2317" i="209"/>
  <c r="F2317" i="209"/>
  <c r="M2317" i="209" s="1"/>
  <c r="E2317" i="209"/>
  <c r="K2316" i="209"/>
  <c r="J2316" i="209"/>
  <c r="F2316" i="209"/>
  <c r="M2316" i="209" s="1"/>
  <c r="E2316" i="209"/>
  <c r="J2315" i="209"/>
  <c r="F2315" i="209"/>
  <c r="M2315" i="209" s="1"/>
  <c r="E2315" i="209"/>
  <c r="J2314" i="209"/>
  <c r="F2314" i="209"/>
  <c r="M2314" i="209" s="1"/>
  <c r="E2314" i="209"/>
  <c r="J2313" i="209"/>
  <c r="F2313" i="209"/>
  <c r="M2313" i="209" s="1"/>
  <c r="E2313" i="209"/>
  <c r="J2312" i="209"/>
  <c r="F2312" i="209"/>
  <c r="M2312" i="209" s="1"/>
  <c r="E2312" i="209"/>
  <c r="J2311" i="209"/>
  <c r="F2311" i="209"/>
  <c r="M2311" i="209" s="1"/>
  <c r="E2311" i="209"/>
  <c r="J2310" i="209"/>
  <c r="F2310" i="209"/>
  <c r="M2310" i="209" s="1"/>
  <c r="E2310" i="209"/>
  <c r="J2309" i="209"/>
  <c r="F2309" i="209"/>
  <c r="M2309" i="209" s="1"/>
  <c r="E2309" i="209"/>
  <c r="J2308" i="209"/>
  <c r="F2308" i="209"/>
  <c r="M2308" i="209" s="1"/>
  <c r="E2308" i="209"/>
  <c r="J2307" i="209"/>
  <c r="F2307" i="209"/>
  <c r="M2307" i="209" s="1"/>
  <c r="E2307" i="209"/>
  <c r="N2304" i="209"/>
  <c r="L2304" i="209"/>
  <c r="K2303" i="209"/>
  <c r="K2304" i="209" s="1"/>
  <c r="J2303" i="209"/>
  <c r="F2303" i="209"/>
  <c r="E2303" i="209"/>
  <c r="K2302" i="209"/>
  <c r="J2302" i="209"/>
  <c r="F2302" i="209"/>
  <c r="M2302" i="209" s="1"/>
  <c r="E2302" i="209"/>
  <c r="E2304" i="209" s="1"/>
  <c r="M2301" i="209"/>
  <c r="J2301" i="209"/>
  <c r="M2300" i="209"/>
  <c r="J2300" i="209"/>
  <c r="M2299" i="209"/>
  <c r="K2299" i="209"/>
  <c r="J2299" i="209"/>
  <c r="A2299" i="209"/>
  <c r="A2300" i="209" s="1"/>
  <c r="A2301" i="209" s="1"/>
  <c r="A2302" i="209" s="1"/>
  <c r="A2303" i="209" s="1"/>
  <c r="A2304" i="209" s="1"/>
  <c r="A2306" i="209" s="1"/>
  <c r="A2307" i="209" s="1"/>
  <c r="A2308" i="209" s="1"/>
  <c r="A2309" i="209" s="1"/>
  <c r="A2310" i="209" s="1"/>
  <c r="A2311" i="209" s="1"/>
  <c r="A2312" i="209" s="1"/>
  <c r="A2313" i="209" s="1"/>
  <c r="A2314" i="209" s="1"/>
  <c r="A2315" i="209" s="1"/>
  <c r="A2316" i="209" s="1"/>
  <c r="A2317" i="209" s="1"/>
  <c r="A2318" i="209" s="1"/>
  <c r="A2319" i="209" s="1"/>
  <c r="A2320" i="209" s="1"/>
  <c r="A2321" i="209" s="1"/>
  <c r="A2322" i="209" s="1"/>
  <c r="A2323" i="209" s="1"/>
  <c r="A2324" i="209" s="1"/>
  <c r="A2325" i="209" s="1"/>
  <c r="A2326" i="209" s="1"/>
  <c r="A2327" i="209" s="1"/>
  <c r="A2328" i="209" s="1"/>
  <c r="A2329" i="209" s="1"/>
  <c r="A2330" i="209" s="1"/>
  <c r="A2331" i="209" s="1"/>
  <c r="A2332" i="209" s="1"/>
  <c r="A2333" i="209" s="1"/>
  <c r="A2334" i="209" s="1"/>
  <c r="A2335" i="209" s="1"/>
  <c r="A2336" i="209" s="1"/>
  <c r="A2337" i="209" s="1"/>
  <c r="M2298" i="209"/>
  <c r="J2298" i="209"/>
  <c r="A2298" i="209"/>
  <c r="O2295" i="209"/>
  <c r="N2295" i="209"/>
  <c r="M2295" i="209"/>
  <c r="L2295" i="209"/>
  <c r="K2295" i="209"/>
  <c r="J2295" i="209"/>
  <c r="I2295" i="209"/>
  <c r="A2288" i="209"/>
  <c r="O2286" i="209"/>
  <c r="A2283" i="209"/>
  <c r="L2276" i="209"/>
  <c r="N2275" i="209"/>
  <c r="K2275" i="209"/>
  <c r="J2275" i="209"/>
  <c r="F2275" i="209"/>
  <c r="M2275" i="209" s="1"/>
  <c r="E2275" i="209"/>
  <c r="N2274" i="209"/>
  <c r="K2274" i="209"/>
  <c r="J2274" i="209"/>
  <c r="F2274" i="209"/>
  <c r="M2274" i="209" s="1"/>
  <c r="E2274" i="209"/>
  <c r="N2273" i="209"/>
  <c r="K2273" i="209"/>
  <c r="J2273" i="209"/>
  <c r="F2273" i="209"/>
  <c r="M2273" i="209" s="1"/>
  <c r="E2273" i="209"/>
  <c r="N2272" i="209"/>
  <c r="K2272" i="209"/>
  <c r="J2272" i="209"/>
  <c r="F2272" i="209"/>
  <c r="M2272" i="209" s="1"/>
  <c r="E2272" i="209"/>
  <c r="N2271" i="209"/>
  <c r="K2271" i="209"/>
  <c r="J2271" i="209"/>
  <c r="F2271" i="209"/>
  <c r="M2271" i="209" s="1"/>
  <c r="E2271" i="209"/>
  <c r="E2276" i="209" s="1"/>
  <c r="D93" i="196" s="1"/>
  <c r="N2261" i="209"/>
  <c r="M2261" i="209"/>
  <c r="L2261" i="209"/>
  <c r="F2261" i="209"/>
  <c r="E2261" i="209"/>
  <c r="M2260" i="209"/>
  <c r="K2260" i="209"/>
  <c r="K2261" i="209" s="1"/>
  <c r="J2260" i="209"/>
  <c r="N2257" i="209"/>
  <c r="L2257" i="209"/>
  <c r="J2256" i="209"/>
  <c r="F2256" i="209"/>
  <c r="M2256" i="209" s="1"/>
  <c r="E2256" i="209"/>
  <c r="J2255" i="209"/>
  <c r="F2255" i="209"/>
  <c r="M2255" i="209" s="1"/>
  <c r="E2255" i="209"/>
  <c r="J2254" i="209"/>
  <c r="F2254" i="209"/>
  <c r="M2254" i="209" s="1"/>
  <c r="E2254" i="209"/>
  <c r="J2253" i="209"/>
  <c r="F2253" i="209"/>
  <c r="M2253" i="209" s="1"/>
  <c r="E2253" i="209"/>
  <c r="J2252" i="209"/>
  <c r="F2252" i="209"/>
  <c r="M2252" i="209" s="1"/>
  <c r="E2252" i="209"/>
  <c r="J2251" i="209"/>
  <c r="F2251" i="209"/>
  <c r="M2251" i="209" s="1"/>
  <c r="E2251" i="209"/>
  <c r="J2250" i="209"/>
  <c r="F2250" i="209"/>
  <c r="M2250" i="209" s="1"/>
  <c r="E2250" i="209"/>
  <c r="J2249" i="209"/>
  <c r="F2249" i="209"/>
  <c r="M2249" i="209" s="1"/>
  <c r="E2249" i="209"/>
  <c r="J2248" i="209"/>
  <c r="F2248" i="209"/>
  <c r="M2248" i="209" s="1"/>
  <c r="E2248" i="209"/>
  <c r="J2247" i="209"/>
  <c r="F2247" i="209"/>
  <c r="M2247" i="209" s="1"/>
  <c r="E2247" i="209"/>
  <c r="J2246" i="209"/>
  <c r="F2246" i="209"/>
  <c r="M2246" i="209" s="1"/>
  <c r="E2246" i="209"/>
  <c r="J2245" i="209"/>
  <c r="F2245" i="209"/>
  <c r="M2245" i="209" s="1"/>
  <c r="E2245" i="209"/>
  <c r="J2244" i="209"/>
  <c r="F2244" i="209"/>
  <c r="M2244" i="209" s="1"/>
  <c r="E2244" i="209"/>
  <c r="J2243" i="209"/>
  <c r="F2243" i="209"/>
  <c r="M2243" i="209" s="1"/>
  <c r="E2243" i="209"/>
  <c r="A2243" i="209"/>
  <c r="A2244" i="209" s="1"/>
  <c r="A2245" i="209" s="1"/>
  <c r="A2246" i="209" s="1"/>
  <c r="A2247" i="209" s="1"/>
  <c r="A2248" i="209" s="1"/>
  <c r="A2249" i="209" s="1"/>
  <c r="A2250" i="209" s="1"/>
  <c r="A2251" i="209" s="1"/>
  <c r="A2252" i="209" s="1"/>
  <c r="A2253" i="209" s="1"/>
  <c r="A2254" i="209" s="1"/>
  <c r="A2255" i="209" s="1"/>
  <c r="A2256" i="209" s="1"/>
  <c r="A2257" i="209" s="1"/>
  <c r="A2259" i="209" s="1"/>
  <c r="A2260" i="209" s="1"/>
  <c r="A2261" i="209" s="1"/>
  <c r="A2263" i="209" s="1"/>
  <c r="A2265" i="209" s="1"/>
  <c r="A2267" i="209" s="1"/>
  <c r="A2270" i="209" s="1"/>
  <c r="A2271" i="209" s="1"/>
  <c r="A2272" i="209" s="1"/>
  <c r="A2273" i="209" s="1"/>
  <c r="A2274" i="209" s="1"/>
  <c r="A2275" i="209" s="1"/>
  <c r="A2276" i="209" s="1"/>
  <c r="A2278" i="209" s="1"/>
  <c r="O2240" i="209"/>
  <c r="N2240" i="209"/>
  <c r="M2240" i="209"/>
  <c r="L2240" i="209"/>
  <c r="K2240" i="209"/>
  <c r="J2240" i="209"/>
  <c r="I2240" i="209"/>
  <c r="A2233" i="209"/>
  <c r="O2231" i="209"/>
  <c r="A2228" i="209"/>
  <c r="L2223" i="209"/>
  <c r="J2222" i="209"/>
  <c r="F2222" i="209"/>
  <c r="M2222" i="209" s="1"/>
  <c r="E2222" i="209"/>
  <c r="J2221" i="209"/>
  <c r="F2221" i="209"/>
  <c r="M2221" i="209" s="1"/>
  <c r="E2221" i="209"/>
  <c r="J2220" i="209"/>
  <c r="F2220" i="209"/>
  <c r="M2220" i="209" s="1"/>
  <c r="E2220" i="209"/>
  <c r="J2219" i="209"/>
  <c r="F2219" i="209"/>
  <c r="M2219" i="209" s="1"/>
  <c r="E2219" i="209"/>
  <c r="J2218" i="209"/>
  <c r="F2218" i="209"/>
  <c r="M2218" i="209" s="1"/>
  <c r="E2218" i="209"/>
  <c r="J2217" i="209"/>
  <c r="F2217" i="209"/>
  <c r="M2217" i="209" s="1"/>
  <c r="E2217" i="209"/>
  <c r="J2216" i="209"/>
  <c r="F2216" i="209"/>
  <c r="M2216" i="209" s="1"/>
  <c r="E2216" i="209"/>
  <c r="J2215" i="209"/>
  <c r="F2215" i="209"/>
  <c r="M2215" i="209" s="1"/>
  <c r="E2215" i="209"/>
  <c r="J2214" i="209"/>
  <c r="F2214" i="209"/>
  <c r="M2214" i="209" s="1"/>
  <c r="E2214" i="209"/>
  <c r="J2213" i="209"/>
  <c r="N2212" i="209"/>
  <c r="J2212" i="209"/>
  <c r="J2211" i="209"/>
  <c r="F2211" i="209"/>
  <c r="M2211" i="209" s="1"/>
  <c r="E2211" i="209"/>
  <c r="J2210" i="209"/>
  <c r="F2210" i="209"/>
  <c r="M2210" i="209" s="1"/>
  <c r="E2210" i="209"/>
  <c r="N2209" i="209"/>
  <c r="J2209" i="209"/>
  <c r="F2209" i="209"/>
  <c r="M2209" i="209" s="1"/>
  <c r="J2208" i="209"/>
  <c r="F2208" i="209"/>
  <c r="M2208" i="209" s="1"/>
  <c r="E2208" i="209"/>
  <c r="J2207" i="209"/>
  <c r="F2207" i="209"/>
  <c r="M2207" i="209" s="1"/>
  <c r="E2207" i="209"/>
  <c r="J2206" i="209"/>
  <c r="F2206" i="209"/>
  <c r="M2206" i="209" s="1"/>
  <c r="E2206" i="209"/>
  <c r="J2205" i="209"/>
  <c r="F2205" i="209"/>
  <c r="M2205" i="209" s="1"/>
  <c r="E2205" i="209"/>
  <c r="N2204" i="209"/>
  <c r="J2204" i="209"/>
  <c r="J2203" i="209"/>
  <c r="F2203" i="209"/>
  <c r="M2203" i="209" s="1"/>
  <c r="E2203" i="209"/>
  <c r="M2202" i="209"/>
  <c r="K2202" i="209"/>
  <c r="J2202" i="209"/>
  <c r="F2202" i="209"/>
  <c r="E2202" i="209"/>
  <c r="J2201" i="209"/>
  <c r="F2201" i="209"/>
  <c r="M2201" i="209" s="1"/>
  <c r="E2201" i="209"/>
  <c r="J2200" i="209"/>
  <c r="F2200" i="209"/>
  <c r="M2200" i="209" s="1"/>
  <c r="E2200" i="209"/>
  <c r="J2199" i="209"/>
  <c r="F2199" i="209"/>
  <c r="M2199" i="209" s="1"/>
  <c r="E2199" i="209"/>
  <c r="J2198" i="209"/>
  <c r="F2198" i="209"/>
  <c r="M2198" i="209" s="1"/>
  <c r="E2198" i="209"/>
  <c r="J2197" i="209"/>
  <c r="F2197" i="209"/>
  <c r="M2197" i="209" s="1"/>
  <c r="E2197" i="209"/>
  <c r="J2196" i="209"/>
  <c r="F2196" i="209"/>
  <c r="M2196" i="209" s="1"/>
  <c r="E2196" i="209"/>
  <c r="J2195" i="209"/>
  <c r="F2195" i="209"/>
  <c r="M2195" i="209" s="1"/>
  <c r="E2195" i="209"/>
  <c r="J2194" i="209"/>
  <c r="F2194" i="209"/>
  <c r="M2194" i="209" s="1"/>
  <c r="E2194" i="209"/>
  <c r="J2193" i="209"/>
  <c r="F2193" i="209"/>
  <c r="M2193" i="209" s="1"/>
  <c r="E2193" i="209"/>
  <c r="N2190" i="209"/>
  <c r="L2190" i="209"/>
  <c r="K2189" i="209"/>
  <c r="J2189" i="209"/>
  <c r="F2189" i="209"/>
  <c r="E2189" i="209"/>
  <c r="K2188" i="209"/>
  <c r="J2188" i="209"/>
  <c r="F2188" i="209"/>
  <c r="M2188" i="209" s="1"/>
  <c r="E2188" i="209"/>
  <c r="M2187" i="209"/>
  <c r="J2187" i="209"/>
  <c r="M2186" i="209"/>
  <c r="J2186" i="209"/>
  <c r="M2185" i="209"/>
  <c r="K2185" i="209"/>
  <c r="J2185" i="209"/>
  <c r="M2184" i="209"/>
  <c r="J2184" i="209"/>
  <c r="A2184" i="209"/>
  <c r="A2185" i="209" s="1"/>
  <c r="A2186" i="209" s="1"/>
  <c r="A2187" i="209" s="1"/>
  <c r="A2188" i="209" s="1"/>
  <c r="A2189" i="209" s="1"/>
  <c r="A2190" i="209" s="1"/>
  <c r="A2192" i="209" s="1"/>
  <c r="A2193" i="209" s="1"/>
  <c r="A2194" i="209" s="1"/>
  <c r="A2195" i="209" s="1"/>
  <c r="A2196" i="209" s="1"/>
  <c r="A2197" i="209" s="1"/>
  <c r="A2198" i="209" s="1"/>
  <c r="A2199" i="209" s="1"/>
  <c r="A2200" i="209" s="1"/>
  <c r="A2201" i="209" s="1"/>
  <c r="A2202" i="209" s="1"/>
  <c r="A2203" i="209" s="1"/>
  <c r="A2204" i="209" s="1"/>
  <c r="A2205" i="209" s="1"/>
  <c r="A2206" i="209" s="1"/>
  <c r="A2207" i="209" s="1"/>
  <c r="A2208" i="209" s="1"/>
  <c r="A2209" i="209" s="1"/>
  <c r="A2210" i="209" s="1"/>
  <c r="A2211" i="209" s="1"/>
  <c r="A2212" i="209" s="1"/>
  <c r="A2213" i="209" s="1"/>
  <c r="A2214" i="209" s="1"/>
  <c r="A2215" i="209" s="1"/>
  <c r="A2216" i="209" s="1"/>
  <c r="A2217" i="209" s="1"/>
  <c r="A2218" i="209" s="1"/>
  <c r="A2219" i="209" s="1"/>
  <c r="A2220" i="209" s="1"/>
  <c r="A2221" i="209" s="1"/>
  <c r="A2222" i="209" s="1"/>
  <c r="A2223" i="209" s="1"/>
  <c r="O2181" i="209"/>
  <c r="N2181" i="209"/>
  <c r="M2181" i="209"/>
  <c r="L2181" i="209"/>
  <c r="K2181" i="209"/>
  <c r="J2181" i="209"/>
  <c r="I2181" i="209"/>
  <c r="A2174" i="209"/>
  <c r="O2172" i="209"/>
  <c r="A2169" i="209"/>
  <c r="L2162" i="209"/>
  <c r="N2161" i="209"/>
  <c r="K2161" i="209"/>
  <c r="J2161" i="209"/>
  <c r="F2161" i="209"/>
  <c r="M2161" i="209" s="1"/>
  <c r="E2161" i="209"/>
  <c r="N2160" i="209"/>
  <c r="K2160" i="209"/>
  <c r="J2160" i="209"/>
  <c r="F2160" i="209"/>
  <c r="M2160" i="209" s="1"/>
  <c r="E2160" i="209"/>
  <c r="N2159" i="209"/>
  <c r="K2159" i="209"/>
  <c r="J2159" i="209"/>
  <c r="F2159" i="209"/>
  <c r="M2159" i="209" s="1"/>
  <c r="E2159" i="209"/>
  <c r="N2158" i="209"/>
  <c r="K2158" i="209"/>
  <c r="J2158" i="209"/>
  <c r="F2158" i="209"/>
  <c r="M2158" i="209" s="1"/>
  <c r="E2158" i="209"/>
  <c r="N2157" i="209"/>
  <c r="K2157" i="209"/>
  <c r="J2157" i="209"/>
  <c r="F2157" i="209"/>
  <c r="M2157" i="209" s="1"/>
  <c r="E2157" i="209"/>
  <c r="N2147" i="209"/>
  <c r="M2147" i="209"/>
  <c r="L2147" i="209"/>
  <c r="F2147" i="209"/>
  <c r="E2147" i="209"/>
  <c r="M2146" i="209"/>
  <c r="K2146" i="209"/>
  <c r="K2147" i="209" s="1"/>
  <c r="J2146" i="209"/>
  <c r="N2143" i="209"/>
  <c r="L2143" i="209"/>
  <c r="J2142" i="209"/>
  <c r="F2142" i="209"/>
  <c r="M2142" i="209" s="1"/>
  <c r="E2142" i="209"/>
  <c r="M2141" i="209"/>
  <c r="J2141" i="209"/>
  <c r="F2141" i="209"/>
  <c r="E2141" i="209"/>
  <c r="J2140" i="209"/>
  <c r="F2140" i="209"/>
  <c r="M2140" i="209" s="1"/>
  <c r="E2140" i="209"/>
  <c r="J2139" i="209"/>
  <c r="F2139" i="209"/>
  <c r="M2139" i="209" s="1"/>
  <c r="E2139" i="209"/>
  <c r="J2138" i="209"/>
  <c r="F2138" i="209"/>
  <c r="M2138" i="209" s="1"/>
  <c r="E2138" i="209"/>
  <c r="J2137" i="209"/>
  <c r="F2137" i="209"/>
  <c r="M2137" i="209" s="1"/>
  <c r="E2137" i="209"/>
  <c r="J2136" i="209"/>
  <c r="F2136" i="209"/>
  <c r="M2136" i="209" s="1"/>
  <c r="E2136" i="209"/>
  <c r="J2135" i="209"/>
  <c r="F2135" i="209"/>
  <c r="M2135" i="209" s="1"/>
  <c r="E2135" i="209"/>
  <c r="J2134" i="209"/>
  <c r="F2134" i="209"/>
  <c r="M2134" i="209" s="1"/>
  <c r="E2134" i="209"/>
  <c r="J2133" i="209"/>
  <c r="F2133" i="209"/>
  <c r="M2133" i="209" s="1"/>
  <c r="E2133" i="209"/>
  <c r="J2132" i="209"/>
  <c r="F2132" i="209"/>
  <c r="M2132" i="209" s="1"/>
  <c r="E2132" i="209"/>
  <c r="J2131" i="209"/>
  <c r="F2131" i="209"/>
  <c r="M2131" i="209" s="1"/>
  <c r="E2131" i="209"/>
  <c r="J2130" i="209"/>
  <c r="F2130" i="209"/>
  <c r="M2130" i="209" s="1"/>
  <c r="E2130" i="209"/>
  <c r="J2129" i="209"/>
  <c r="F2129" i="209"/>
  <c r="M2129" i="209" s="1"/>
  <c r="E2129" i="209"/>
  <c r="A2129" i="209"/>
  <c r="A2130" i="209" s="1"/>
  <c r="A2131" i="209" s="1"/>
  <c r="A2132" i="209" s="1"/>
  <c r="A2133" i="209" s="1"/>
  <c r="A2134" i="209" s="1"/>
  <c r="A2135" i="209" s="1"/>
  <c r="A2136" i="209" s="1"/>
  <c r="A2137" i="209" s="1"/>
  <c r="A2138" i="209" s="1"/>
  <c r="A2139" i="209" s="1"/>
  <c r="A2140" i="209" s="1"/>
  <c r="A2141" i="209" s="1"/>
  <c r="A2142" i="209" s="1"/>
  <c r="A2143" i="209" s="1"/>
  <c r="A2145" i="209" s="1"/>
  <c r="A2146" i="209" s="1"/>
  <c r="A2147" i="209" s="1"/>
  <c r="A2149" i="209" s="1"/>
  <c r="A2151" i="209" s="1"/>
  <c r="A2153" i="209" s="1"/>
  <c r="A2156" i="209" s="1"/>
  <c r="A2157" i="209" s="1"/>
  <c r="A2158" i="209" s="1"/>
  <c r="A2159" i="209" s="1"/>
  <c r="A2160" i="209" s="1"/>
  <c r="A2161" i="209" s="1"/>
  <c r="A2162" i="209" s="1"/>
  <c r="A2164" i="209" s="1"/>
  <c r="O2126" i="209"/>
  <c r="N2126" i="209"/>
  <c r="M2126" i="209"/>
  <c r="L2126" i="209"/>
  <c r="K2126" i="209"/>
  <c r="J2126" i="209"/>
  <c r="I2126" i="209"/>
  <c r="A2119" i="209"/>
  <c r="O2117" i="209"/>
  <c r="A2114" i="209"/>
  <c r="L2109" i="209"/>
  <c r="J2108" i="209"/>
  <c r="F2108" i="209"/>
  <c r="M2108" i="209" s="1"/>
  <c r="E2108" i="209"/>
  <c r="J2107" i="209"/>
  <c r="F2107" i="209"/>
  <c r="M2107" i="209" s="1"/>
  <c r="E2107" i="209"/>
  <c r="J2106" i="209"/>
  <c r="F2106" i="209"/>
  <c r="M2106" i="209" s="1"/>
  <c r="E2106" i="209"/>
  <c r="J2105" i="209"/>
  <c r="F2105" i="209"/>
  <c r="M2105" i="209" s="1"/>
  <c r="E2105" i="209"/>
  <c r="J2104" i="209"/>
  <c r="F2104" i="209"/>
  <c r="M2104" i="209" s="1"/>
  <c r="E2104" i="209"/>
  <c r="J2103" i="209"/>
  <c r="F2103" i="209"/>
  <c r="M2103" i="209" s="1"/>
  <c r="E2103" i="209"/>
  <c r="J2102" i="209"/>
  <c r="F2102" i="209"/>
  <c r="M2102" i="209" s="1"/>
  <c r="E2102" i="209"/>
  <c r="J2101" i="209"/>
  <c r="F2101" i="209"/>
  <c r="M2101" i="209" s="1"/>
  <c r="E2101" i="209"/>
  <c r="J2100" i="209"/>
  <c r="F2100" i="209"/>
  <c r="M2100" i="209" s="1"/>
  <c r="E2100" i="209"/>
  <c r="J2099" i="209"/>
  <c r="J2098" i="209"/>
  <c r="J2097" i="209"/>
  <c r="F2097" i="209"/>
  <c r="M2097" i="209" s="1"/>
  <c r="E2097" i="209"/>
  <c r="J2096" i="209"/>
  <c r="F2096" i="209"/>
  <c r="M2096" i="209" s="1"/>
  <c r="E2096" i="209"/>
  <c r="N2095" i="209"/>
  <c r="J2095" i="209"/>
  <c r="J2094" i="209"/>
  <c r="F2094" i="209"/>
  <c r="M2094" i="209" s="1"/>
  <c r="E2094" i="209"/>
  <c r="J2093" i="209"/>
  <c r="F2093" i="209"/>
  <c r="M2093" i="209" s="1"/>
  <c r="E2093" i="209"/>
  <c r="N2092" i="209"/>
  <c r="J2092" i="209"/>
  <c r="J2091" i="209"/>
  <c r="F2091" i="209"/>
  <c r="M2091" i="209" s="1"/>
  <c r="E2091" i="209"/>
  <c r="N2090" i="209"/>
  <c r="J2090" i="209"/>
  <c r="J2089" i="209"/>
  <c r="F2089" i="209"/>
  <c r="M2089" i="209" s="1"/>
  <c r="E2089" i="209"/>
  <c r="K2088" i="209"/>
  <c r="J2088" i="209"/>
  <c r="F2088" i="209"/>
  <c r="M2088" i="209" s="1"/>
  <c r="E2088" i="209"/>
  <c r="J2087" i="209"/>
  <c r="F2087" i="209"/>
  <c r="M2087" i="209" s="1"/>
  <c r="E2087" i="209"/>
  <c r="J2086" i="209"/>
  <c r="F2086" i="209"/>
  <c r="M2086" i="209" s="1"/>
  <c r="E2086" i="209"/>
  <c r="J2085" i="209"/>
  <c r="F2085" i="209"/>
  <c r="M2085" i="209" s="1"/>
  <c r="E2085" i="209"/>
  <c r="J2084" i="209"/>
  <c r="F2084" i="209"/>
  <c r="M2084" i="209" s="1"/>
  <c r="E2084" i="209"/>
  <c r="J2083" i="209"/>
  <c r="F2083" i="209"/>
  <c r="M2083" i="209" s="1"/>
  <c r="E2083" i="209"/>
  <c r="J2082" i="209"/>
  <c r="F2082" i="209"/>
  <c r="M2082" i="209" s="1"/>
  <c r="E2082" i="209"/>
  <c r="J2081" i="209"/>
  <c r="F2081" i="209"/>
  <c r="M2081" i="209" s="1"/>
  <c r="E2081" i="209"/>
  <c r="J2080" i="209"/>
  <c r="F2080" i="209"/>
  <c r="M2080" i="209" s="1"/>
  <c r="E2080" i="209"/>
  <c r="J2079" i="209"/>
  <c r="F2079" i="209"/>
  <c r="E2079" i="209"/>
  <c r="N2076" i="209"/>
  <c r="L2076" i="209"/>
  <c r="K2075" i="209"/>
  <c r="J2075" i="209"/>
  <c r="F2075" i="209"/>
  <c r="M2075" i="209" s="1"/>
  <c r="E2075" i="209"/>
  <c r="K2074" i="209"/>
  <c r="J2074" i="209"/>
  <c r="F2074" i="209"/>
  <c r="M2073" i="209"/>
  <c r="J2073" i="209"/>
  <c r="M2072" i="209"/>
  <c r="J2072" i="209"/>
  <c r="M2071" i="209"/>
  <c r="K2071" i="209"/>
  <c r="J2071" i="209"/>
  <c r="M2070" i="209"/>
  <c r="J2070" i="209"/>
  <c r="A2070" i="209"/>
  <c r="A2071" i="209" s="1"/>
  <c r="A2072" i="209" s="1"/>
  <c r="A2073" i="209" s="1"/>
  <c r="A2074" i="209" s="1"/>
  <c r="A2075" i="209" s="1"/>
  <c r="A2076" i="209" s="1"/>
  <c r="A2078" i="209" s="1"/>
  <c r="A2079" i="209" s="1"/>
  <c r="A2080" i="209" s="1"/>
  <c r="A2081" i="209" s="1"/>
  <c r="A2082" i="209" s="1"/>
  <c r="A2083" i="209" s="1"/>
  <c r="A2084" i="209" s="1"/>
  <c r="A2085" i="209" s="1"/>
  <c r="A2086" i="209" s="1"/>
  <c r="A2087" i="209" s="1"/>
  <c r="A2088" i="209" s="1"/>
  <c r="A2089" i="209" s="1"/>
  <c r="A2090" i="209" s="1"/>
  <c r="A2091" i="209" s="1"/>
  <c r="A2092" i="209" s="1"/>
  <c r="A2093" i="209" s="1"/>
  <c r="A2094" i="209" s="1"/>
  <c r="A2095" i="209" s="1"/>
  <c r="A2096" i="209" s="1"/>
  <c r="A2097" i="209" s="1"/>
  <c r="A2098" i="209" s="1"/>
  <c r="A2099" i="209" s="1"/>
  <c r="A2100" i="209" s="1"/>
  <c r="A2101" i="209" s="1"/>
  <c r="A2102" i="209" s="1"/>
  <c r="A2103" i="209" s="1"/>
  <c r="A2104" i="209" s="1"/>
  <c r="A2105" i="209" s="1"/>
  <c r="A2106" i="209" s="1"/>
  <c r="A2107" i="209" s="1"/>
  <c r="A2108" i="209" s="1"/>
  <c r="A2109" i="209" s="1"/>
  <c r="O2067" i="209"/>
  <c r="N2067" i="209"/>
  <c r="M2067" i="209"/>
  <c r="L2067" i="209"/>
  <c r="K2067" i="209"/>
  <c r="J2067" i="209"/>
  <c r="I2067" i="209"/>
  <c r="A2060" i="209"/>
  <c r="O2058" i="209"/>
  <c r="A2055" i="209"/>
  <c r="L2048" i="209"/>
  <c r="N2047" i="209"/>
  <c r="K2047" i="209"/>
  <c r="J2047" i="209"/>
  <c r="F2047" i="209"/>
  <c r="M2047" i="209" s="1"/>
  <c r="E2047" i="209"/>
  <c r="N2046" i="209"/>
  <c r="K2046" i="209"/>
  <c r="J2046" i="209"/>
  <c r="F2046" i="209"/>
  <c r="M2046" i="209" s="1"/>
  <c r="E2046" i="209"/>
  <c r="N2045" i="209"/>
  <c r="K2045" i="209"/>
  <c r="J2045" i="209"/>
  <c r="F2045" i="209"/>
  <c r="M2045" i="209" s="1"/>
  <c r="E2045" i="209"/>
  <c r="N2044" i="209"/>
  <c r="K2044" i="209"/>
  <c r="J2044" i="209"/>
  <c r="F2044" i="209"/>
  <c r="M2044" i="209" s="1"/>
  <c r="E2044" i="209"/>
  <c r="N2043" i="209"/>
  <c r="K2043" i="209"/>
  <c r="J2043" i="209"/>
  <c r="F2043" i="209"/>
  <c r="M2043" i="209" s="1"/>
  <c r="E2043" i="209"/>
  <c r="N2033" i="209"/>
  <c r="L2033" i="209"/>
  <c r="F2033" i="209"/>
  <c r="E2033" i="209"/>
  <c r="M2032" i="209"/>
  <c r="M2033" i="209" s="1"/>
  <c r="K2032" i="209"/>
  <c r="K2033" i="209" s="1"/>
  <c r="J2032" i="209"/>
  <c r="N2029" i="209"/>
  <c r="L2029" i="209"/>
  <c r="M2028" i="209"/>
  <c r="J2028" i="209"/>
  <c r="F2028" i="209"/>
  <c r="E2028" i="209"/>
  <c r="J2027" i="209"/>
  <c r="F2027" i="209"/>
  <c r="M2027" i="209" s="1"/>
  <c r="E2027" i="209"/>
  <c r="J2026" i="209"/>
  <c r="F2026" i="209"/>
  <c r="M2026" i="209" s="1"/>
  <c r="E2026" i="209"/>
  <c r="J2025" i="209"/>
  <c r="F2025" i="209"/>
  <c r="M2025" i="209" s="1"/>
  <c r="E2025" i="209"/>
  <c r="M2024" i="209"/>
  <c r="J2024" i="209"/>
  <c r="F2024" i="209"/>
  <c r="E2024" i="209"/>
  <c r="J2023" i="209"/>
  <c r="F2023" i="209"/>
  <c r="M2023" i="209" s="1"/>
  <c r="E2023" i="209"/>
  <c r="J2022" i="209"/>
  <c r="F2022" i="209"/>
  <c r="M2022" i="209" s="1"/>
  <c r="E2022" i="209"/>
  <c r="J2021" i="209"/>
  <c r="F2021" i="209"/>
  <c r="M2021" i="209" s="1"/>
  <c r="E2021" i="209"/>
  <c r="J2020" i="209"/>
  <c r="F2020" i="209"/>
  <c r="M2020" i="209" s="1"/>
  <c r="E2020" i="209"/>
  <c r="J2019" i="209"/>
  <c r="F2019" i="209"/>
  <c r="M2019" i="209" s="1"/>
  <c r="E2019" i="209"/>
  <c r="J2018" i="209"/>
  <c r="F2018" i="209"/>
  <c r="M2018" i="209" s="1"/>
  <c r="E2018" i="209"/>
  <c r="J2017" i="209"/>
  <c r="F2017" i="209"/>
  <c r="M2017" i="209" s="1"/>
  <c r="E2017" i="209"/>
  <c r="J2016" i="209"/>
  <c r="F2016" i="209"/>
  <c r="E2016" i="209"/>
  <c r="J2015" i="209"/>
  <c r="F2015" i="209"/>
  <c r="M2015" i="209" s="1"/>
  <c r="E2015" i="209"/>
  <c r="A2015" i="209"/>
  <c r="A2016" i="209" s="1"/>
  <c r="A2017" i="209" s="1"/>
  <c r="A2018" i="209" s="1"/>
  <c r="A2019" i="209" s="1"/>
  <c r="A2020" i="209" s="1"/>
  <c r="A2021" i="209" s="1"/>
  <c r="A2022" i="209" s="1"/>
  <c r="A2023" i="209" s="1"/>
  <c r="A2024" i="209" s="1"/>
  <c r="A2025" i="209" s="1"/>
  <c r="A2026" i="209" s="1"/>
  <c r="A2027" i="209" s="1"/>
  <c r="A2028" i="209" s="1"/>
  <c r="A2029" i="209" s="1"/>
  <c r="A2031" i="209" s="1"/>
  <c r="A2032" i="209" s="1"/>
  <c r="A2033" i="209" s="1"/>
  <c r="A2035" i="209" s="1"/>
  <c r="A2037" i="209" s="1"/>
  <c r="A2039" i="209" s="1"/>
  <c r="A2042" i="209" s="1"/>
  <c r="A2043" i="209" s="1"/>
  <c r="A2044" i="209" s="1"/>
  <c r="A2045" i="209" s="1"/>
  <c r="A2046" i="209" s="1"/>
  <c r="A2047" i="209" s="1"/>
  <c r="A2048" i="209" s="1"/>
  <c r="A2050" i="209" s="1"/>
  <c r="O2012" i="209"/>
  <c r="N2012" i="209"/>
  <c r="M2012" i="209"/>
  <c r="L2012" i="209"/>
  <c r="K2012" i="209"/>
  <c r="J2012" i="209"/>
  <c r="I2012" i="209"/>
  <c r="A2005" i="209"/>
  <c r="O2003" i="209"/>
  <c r="A2000" i="209"/>
  <c r="L1995" i="209"/>
  <c r="J1994" i="209"/>
  <c r="F1994" i="209"/>
  <c r="M1994" i="209" s="1"/>
  <c r="E1994" i="209"/>
  <c r="J1993" i="209"/>
  <c r="F1993" i="209"/>
  <c r="M1993" i="209" s="1"/>
  <c r="E1993" i="209"/>
  <c r="J1992" i="209"/>
  <c r="F1992" i="209"/>
  <c r="M1992" i="209" s="1"/>
  <c r="E1992" i="209"/>
  <c r="J1991" i="209"/>
  <c r="F1991" i="209"/>
  <c r="M1991" i="209" s="1"/>
  <c r="E1991" i="209"/>
  <c r="J1990" i="209"/>
  <c r="F1990" i="209"/>
  <c r="M1990" i="209" s="1"/>
  <c r="E1990" i="209"/>
  <c r="J1989" i="209"/>
  <c r="F1989" i="209"/>
  <c r="M1989" i="209" s="1"/>
  <c r="E1989" i="209"/>
  <c r="J1988" i="209"/>
  <c r="F1988" i="209"/>
  <c r="M1988" i="209" s="1"/>
  <c r="E1988" i="209"/>
  <c r="J1987" i="209"/>
  <c r="F1987" i="209"/>
  <c r="M1987" i="209" s="1"/>
  <c r="E1987" i="209"/>
  <c r="J1986" i="209"/>
  <c r="F1986" i="209"/>
  <c r="M1986" i="209" s="1"/>
  <c r="E1986" i="209"/>
  <c r="N1985" i="209"/>
  <c r="J1985" i="209"/>
  <c r="N1984" i="209"/>
  <c r="J1984" i="209"/>
  <c r="J1983" i="209"/>
  <c r="F1983" i="209"/>
  <c r="M1983" i="209" s="1"/>
  <c r="E1983" i="209"/>
  <c r="J1982" i="209"/>
  <c r="F1982" i="209"/>
  <c r="M1982" i="209" s="1"/>
  <c r="E1982" i="209"/>
  <c r="N1981" i="209"/>
  <c r="J1981" i="209"/>
  <c r="J1980" i="209"/>
  <c r="F1980" i="209"/>
  <c r="M1980" i="209" s="1"/>
  <c r="E1980" i="209"/>
  <c r="J1979" i="209"/>
  <c r="F1979" i="209"/>
  <c r="M1979" i="209" s="1"/>
  <c r="E1979" i="209"/>
  <c r="J1978" i="209"/>
  <c r="J1977" i="209"/>
  <c r="F1977" i="209"/>
  <c r="E1977" i="209"/>
  <c r="N1976" i="209"/>
  <c r="J1976" i="209"/>
  <c r="J1975" i="209"/>
  <c r="F1975" i="209"/>
  <c r="M1975" i="209" s="1"/>
  <c r="E1975" i="209"/>
  <c r="K1974" i="209"/>
  <c r="J1974" i="209"/>
  <c r="F1974" i="209"/>
  <c r="M1974" i="209" s="1"/>
  <c r="E1974" i="209"/>
  <c r="J1973" i="209"/>
  <c r="F1973" i="209"/>
  <c r="M1973" i="209" s="1"/>
  <c r="E1973" i="209"/>
  <c r="J1972" i="209"/>
  <c r="F1972" i="209"/>
  <c r="M1972" i="209" s="1"/>
  <c r="E1972" i="209"/>
  <c r="J1971" i="209"/>
  <c r="F1971" i="209"/>
  <c r="M1971" i="209" s="1"/>
  <c r="E1971" i="209"/>
  <c r="J1970" i="209"/>
  <c r="F1970" i="209"/>
  <c r="M1970" i="209" s="1"/>
  <c r="E1970" i="209"/>
  <c r="J1969" i="209"/>
  <c r="F1969" i="209"/>
  <c r="M1969" i="209" s="1"/>
  <c r="E1969" i="209"/>
  <c r="J1968" i="209"/>
  <c r="F1968" i="209"/>
  <c r="M1968" i="209" s="1"/>
  <c r="E1968" i="209"/>
  <c r="J1967" i="209"/>
  <c r="F1967" i="209"/>
  <c r="M1967" i="209" s="1"/>
  <c r="E1967" i="209"/>
  <c r="J1966" i="209"/>
  <c r="F1966" i="209"/>
  <c r="M1966" i="209" s="1"/>
  <c r="E1966" i="209"/>
  <c r="J1965" i="209"/>
  <c r="F1965" i="209"/>
  <c r="M1965" i="209" s="1"/>
  <c r="E1965" i="209"/>
  <c r="N1962" i="209"/>
  <c r="L1962" i="209"/>
  <c r="L2035" i="209" s="1"/>
  <c r="L2039" i="209" s="1"/>
  <c r="L2050" i="209" s="1"/>
  <c r="M1961" i="209"/>
  <c r="K1961" i="209"/>
  <c r="J1961" i="209"/>
  <c r="F1961" i="209"/>
  <c r="E1961" i="209"/>
  <c r="K1960" i="209"/>
  <c r="J1960" i="209"/>
  <c r="F1960" i="209"/>
  <c r="F1962" i="209" s="1"/>
  <c r="E1960" i="209"/>
  <c r="M1959" i="209"/>
  <c r="J1959" i="209"/>
  <c r="M1958" i="209"/>
  <c r="J1958" i="209"/>
  <c r="M1957" i="209"/>
  <c r="K1957" i="209"/>
  <c r="J1957" i="209"/>
  <c r="M1956" i="209"/>
  <c r="J1956" i="209"/>
  <c r="A1956" i="209"/>
  <c r="A1957" i="209" s="1"/>
  <c r="A1958" i="209" s="1"/>
  <c r="A1959" i="209" s="1"/>
  <c r="A1960" i="209" s="1"/>
  <c r="A1961" i="209" s="1"/>
  <c r="A1962" i="209" s="1"/>
  <c r="A1964" i="209" s="1"/>
  <c r="A1965" i="209" s="1"/>
  <c r="A1966" i="209" s="1"/>
  <c r="A1967" i="209" s="1"/>
  <c r="A1968" i="209" s="1"/>
  <c r="A1969" i="209" s="1"/>
  <c r="A1970" i="209" s="1"/>
  <c r="A1971" i="209" s="1"/>
  <c r="A1972" i="209" s="1"/>
  <c r="A1973" i="209" s="1"/>
  <c r="A1974" i="209" s="1"/>
  <c r="A1975" i="209" s="1"/>
  <c r="A1976" i="209" s="1"/>
  <c r="A1977" i="209" s="1"/>
  <c r="A1978" i="209" s="1"/>
  <c r="A1979" i="209" s="1"/>
  <c r="A1980" i="209" s="1"/>
  <c r="A1981" i="209" s="1"/>
  <c r="A1982" i="209" s="1"/>
  <c r="A1983" i="209" s="1"/>
  <c r="A1984" i="209" s="1"/>
  <c r="A1985" i="209" s="1"/>
  <c r="A1986" i="209" s="1"/>
  <c r="A1987" i="209" s="1"/>
  <c r="A1988" i="209" s="1"/>
  <c r="A1989" i="209" s="1"/>
  <c r="A1990" i="209" s="1"/>
  <c r="A1991" i="209" s="1"/>
  <c r="A1992" i="209" s="1"/>
  <c r="A1993" i="209" s="1"/>
  <c r="A1994" i="209" s="1"/>
  <c r="A1995" i="209" s="1"/>
  <c r="O1953" i="209"/>
  <c r="N1953" i="209"/>
  <c r="M1953" i="209"/>
  <c r="L1953" i="209"/>
  <c r="K1953" i="209"/>
  <c r="J1953" i="209"/>
  <c r="I1953" i="209"/>
  <c r="A1946" i="209"/>
  <c r="O1944" i="209"/>
  <c r="A1941" i="209"/>
  <c r="L1934" i="209"/>
  <c r="J90" i="196" s="1"/>
  <c r="N1933" i="209"/>
  <c r="K1933" i="209"/>
  <c r="J1933" i="209"/>
  <c r="F1933" i="209"/>
  <c r="M1933" i="209" s="1"/>
  <c r="E1933" i="209"/>
  <c r="N1932" i="209"/>
  <c r="K1932" i="209"/>
  <c r="J1932" i="209"/>
  <c r="F1932" i="209"/>
  <c r="M1932" i="209" s="1"/>
  <c r="E1932" i="209"/>
  <c r="N1931" i="209"/>
  <c r="K1931" i="209"/>
  <c r="J1931" i="209"/>
  <c r="F1931" i="209"/>
  <c r="M1931" i="209" s="1"/>
  <c r="E1931" i="209"/>
  <c r="N1930" i="209"/>
  <c r="K1930" i="209"/>
  <c r="J1930" i="209"/>
  <c r="F1930" i="209"/>
  <c r="M1930" i="209" s="1"/>
  <c r="E1930" i="209"/>
  <c r="N1929" i="209"/>
  <c r="K1929" i="209"/>
  <c r="J1929" i="209"/>
  <c r="F1929" i="209"/>
  <c r="E1929" i="209"/>
  <c r="N1919" i="209"/>
  <c r="L1919" i="209"/>
  <c r="F1919" i="209"/>
  <c r="E1919" i="209"/>
  <c r="M1918" i="209"/>
  <c r="M1919" i="209" s="1"/>
  <c r="K1918" i="209"/>
  <c r="K1919" i="209" s="1"/>
  <c r="J1918" i="209"/>
  <c r="N1915" i="209"/>
  <c r="L1915" i="209"/>
  <c r="J1914" i="209"/>
  <c r="F1914" i="209"/>
  <c r="M1914" i="209" s="1"/>
  <c r="E1914" i="209"/>
  <c r="J1913" i="209"/>
  <c r="F1913" i="209"/>
  <c r="M1913" i="209" s="1"/>
  <c r="E1913" i="209"/>
  <c r="J1912" i="209"/>
  <c r="F1912" i="209"/>
  <c r="M1912" i="209" s="1"/>
  <c r="E1912" i="209"/>
  <c r="M1911" i="209"/>
  <c r="J1911" i="209"/>
  <c r="F1911" i="209"/>
  <c r="E1911" i="209"/>
  <c r="J1910" i="209"/>
  <c r="F1910" i="209"/>
  <c r="M1910" i="209" s="1"/>
  <c r="E1910" i="209"/>
  <c r="J1909" i="209"/>
  <c r="F1909" i="209"/>
  <c r="M1909" i="209" s="1"/>
  <c r="E1909" i="209"/>
  <c r="J1908" i="209"/>
  <c r="F1908" i="209"/>
  <c r="M1908" i="209" s="1"/>
  <c r="E1908" i="209"/>
  <c r="J1907" i="209"/>
  <c r="F1907" i="209"/>
  <c r="M1907" i="209" s="1"/>
  <c r="E1907" i="209"/>
  <c r="J1906" i="209"/>
  <c r="F1906" i="209"/>
  <c r="M1906" i="209" s="1"/>
  <c r="E1906" i="209"/>
  <c r="J1905" i="209"/>
  <c r="F1905" i="209"/>
  <c r="M1905" i="209" s="1"/>
  <c r="E1905" i="209"/>
  <c r="J1904" i="209"/>
  <c r="F1904" i="209"/>
  <c r="M1904" i="209" s="1"/>
  <c r="E1904" i="209"/>
  <c r="J1903" i="209"/>
  <c r="F1903" i="209"/>
  <c r="M1903" i="209" s="1"/>
  <c r="E1903" i="209"/>
  <c r="J1902" i="209"/>
  <c r="F1902" i="209"/>
  <c r="M1902" i="209" s="1"/>
  <c r="E1902" i="209"/>
  <c r="J1901" i="209"/>
  <c r="F1901" i="209"/>
  <c r="E1901" i="209"/>
  <c r="A1901" i="209"/>
  <c r="A1902" i="209" s="1"/>
  <c r="A1903" i="209" s="1"/>
  <c r="A1904" i="209" s="1"/>
  <c r="A1905" i="209" s="1"/>
  <c r="A1906" i="209" s="1"/>
  <c r="A1907" i="209" s="1"/>
  <c r="A1908" i="209" s="1"/>
  <c r="A1909" i="209" s="1"/>
  <c r="A1910" i="209" s="1"/>
  <c r="A1911" i="209" s="1"/>
  <c r="A1912" i="209" s="1"/>
  <c r="A1913" i="209" s="1"/>
  <c r="A1914" i="209" s="1"/>
  <c r="A1915" i="209" s="1"/>
  <c r="A1917" i="209" s="1"/>
  <c r="A1918" i="209" s="1"/>
  <c r="A1919" i="209" s="1"/>
  <c r="A1921" i="209" s="1"/>
  <c r="A1923" i="209" s="1"/>
  <c r="A1925" i="209" s="1"/>
  <c r="A1928" i="209" s="1"/>
  <c r="A1929" i="209" s="1"/>
  <c r="A1930" i="209" s="1"/>
  <c r="A1931" i="209" s="1"/>
  <c r="A1932" i="209" s="1"/>
  <c r="A1933" i="209" s="1"/>
  <c r="A1934" i="209" s="1"/>
  <c r="A1936" i="209" s="1"/>
  <c r="O1898" i="209"/>
  <c r="N1898" i="209"/>
  <c r="M1898" i="209"/>
  <c r="L1898" i="209"/>
  <c r="K1898" i="209"/>
  <c r="J1898" i="209"/>
  <c r="I1898" i="209"/>
  <c r="A1891" i="209"/>
  <c r="O1889" i="209"/>
  <c r="A1886" i="209"/>
  <c r="J1880" i="209"/>
  <c r="F1880" i="209"/>
  <c r="M1880" i="209" s="1"/>
  <c r="E1880" i="209"/>
  <c r="J1879" i="209"/>
  <c r="F1879" i="209"/>
  <c r="M1879" i="209" s="1"/>
  <c r="E1879" i="209"/>
  <c r="J1878" i="209"/>
  <c r="F1878" i="209"/>
  <c r="M1878" i="209" s="1"/>
  <c r="E1878" i="209"/>
  <c r="J1877" i="209"/>
  <c r="F1877" i="209"/>
  <c r="M1877" i="209" s="1"/>
  <c r="E1877" i="209"/>
  <c r="J1876" i="209"/>
  <c r="F1876" i="209"/>
  <c r="M1876" i="209" s="1"/>
  <c r="E1876" i="209"/>
  <c r="J1875" i="209"/>
  <c r="F1875" i="209"/>
  <c r="M1875" i="209" s="1"/>
  <c r="E1875" i="209"/>
  <c r="J1874" i="209"/>
  <c r="F1874" i="209"/>
  <c r="M1874" i="209" s="1"/>
  <c r="E1874" i="209"/>
  <c r="J1873" i="209"/>
  <c r="F1873" i="209"/>
  <c r="M1873" i="209" s="1"/>
  <c r="E1873" i="209"/>
  <c r="J1872" i="209"/>
  <c r="F1872" i="209"/>
  <c r="M1872" i="209" s="1"/>
  <c r="E1872" i="209"/>
  <c r="N1871" i="209"/>
  <c r="L1871" i="209"/>
  <c r="J1871" i="209"/>
  <c r="F1871" i="209"/>
  <c r="M1871" i="209" s="1"/>
  <c r="L1870" i="209"/>
  <c r="J1870" i="209"/>
  <c r="F1870" i="209"/>
  <c r="M1870" i="209" s="1"/>
  <c r="J1869" i="209"/>
  <c r="F1869" i="209"/>
  <c r="M1869" i="209" s="1"/>
  <c r="E1869" i="209"/>
  <c r="J1868" i="209"/>
  <c r="F1868" i="209"/>
  <c r="M1868" i="209" s="1"/>
  <c r="E1868" i="209"/>
  <c r="N1867" i="209"/>
  <c r="L1867" i="209"/>
  <c r="J1867" i="209"/>
  <c r="J1866" i="209"/>
  <c r="F1866" i="209"/>
  <c r="M1866" i="209" s="1"/>
  <c r="E1866" i="209"/>
  <c r="J1865" i="209"/>
  <c r="F1865" i="209"/>
  <c r="M1865" i="209" s="1"/>
  <c r="E1865" i="209"/>
  <c r="N1864" i="209"/>
  <c r="L1864" i="209"/>
  <c r="J1864" i="209"/>
  <c r="J1863" i="209"/>
  <c r="F1863" i="209"/>
  <c r="M1863" i="209" s="1"/>
  <c r="E1863" i="209"/>
  <c r="L1862" i="209"/>
  <c r="J1862" i="209"/>
  <c r="J1861" i="209"/>
  <c r="F1861" i="209"/>
  <c r="M1861" i="209" s="1"/>
  <c r="E1861" i="209"/>
  <c r="K1860" i="209"/>
  <c r="J1860" i="209"/>
  <c r="F1860" i="209"/>
  <c r="M1860" i="209" s="1"/>
  <c r="E1860" i="209"/>
  <c r="J1859" i="209"/>
  <c r="F1859" i="209"/>
  <c r="M1859" i="209" s="1"/>
  <c r="E1859" i="209"/>
  <c r="J1858" i="209"/>
  <c r="F1858" i="209"/>
  <c r="M1858" i="209" s="1"/>
  <c r="E1858" i="209"/>
  <c r="J1857" i="209"/>
  <c r="F1857" i="209"/>
  <c r="M1857" i="209" s="1"/>
  <c r="E1857" i="209"/>
  <c r="J1856" i="209"/>
  <c r="F1856" i="209"/>
  <c r="M1856" i="209" s="1"/>
  <c r="E1856" i="209"/>
  <c r="J1855" i="209"/>
  <c r="F1855" i="209"/>
  <c r="M1855" i="209" s="1"/>
  <c r="E1855" i="209"/>
  <c r="J1854" i="209"/>
  <c r="F1854" i="209"/>
  <c r="M1854" i="209" s="1"/>
  <c r="E1854" i="209"/>
  <c r="J1853" i="209"/>
  <c r="F1853" i="209"/>
  <c r="M1853" i="209" s="1"/>
  <c r="E1853" i="209"/>
  <c r="J1852" i="209"/>
  <c r="F1852" i="209"/>
  <c r="M1852" i="209" s="1"/>
  <c r="E1852" i="209"/>
  <c r="J1851" i="209"/>
  <c r="F1851" i="209"/>
  <c r="M1851" i="209" s="1"/>
  <c r="E1851" i="209"/>
  <c r="N1848" i="209"/>
  <c r="L1848" i="209"/>
  <c r="K1847" i="209"/>
  <c r="J1847" i="209"/>
  <c r="F1847" i="209"/>
  <c r="M1847" i="209" s="1"/>
  <c r="E1847" i="209"/>
  <c r="K1846" i="209"/>
  <c r="J1846" i="209"/>
  <c r="F1846" i="209"/>
  <c r="M1846" i="209" s="1"/>
  <c r="M1845" i="209"/>
  <c r="J1845" i="209"/>
  <c r="M1844" i="209"/>
  <c r="J1844" i="209"/>
  <c r="M1843" i="209"/>
  <c r="K1843" i="209"/>
  <c r="J1843" i="209"/>
  <c r="M1842" i="209"/>
  <c r="J1842" i="209"/>
  <c r="A1842" i="209"/>
  <c r="A1843" i="209" s="1"/>
  <c r="A1844" i="209" s="1"/>
  <c r="A1845" i="209" s="1"/>
  <c r="A1846" i="209" s="1"/>
  <c r="A1847" i="209" s="1"/>
  <c r="A1848" i="209" s="1"/>
  <c r="A1850" i="209" s="1"/>
  <c r="A1851" i="209" s="1"/>
  <c r="A1852" i="209" s="1"/>
  <c r="A1853" i="209" s="1"/>
  <c r="A1854" i="209" s="1"/>
  <c r="A1855" i="209" s="1"/>
  <c r="A1856" i="209" s="1"/>
  <c r="A1857" i="209" s="1"/>
  <c r="A1858" i="209" s="1"/>
  <c r="A1859" i="209" s="1"/>
  <c r="A1860" i="209" s="1"/>
  <c r="A1861" i="209" s="1"/>
  <c r="A1862" i="209" s="1"/>
  <c r="A1863" i="209" s="1"/>
  <c r="A1864" i="209" s="1"/>
  <c r="A1865" i="209" s="1"/>
  <c r="A1866" i="209" s="1"/>
  <c r="A1867" i="209" s="1"/>
  <c r="A1868" i="209" s="1"/>
  <c r="A1869" i="209" s="1"/>
  <c r="A1870" i="209" s="1"/>
  <c r="A1871" i="209" s="1"/>
  <c r="A1872" i="209" s="1"/>
  <c r="A1873" i="209" s="1"/>
  <c r="A1874" i="209" s="1"/>
  <c r="A1875" i="209" s="1"/>
  <c r="A1876" i="209" s="1"/>
  <c r="A1877" i="209" s="1"/>
  <c r="A1878" i="209" s="1"/>
  <c r="A1879" i="209" s="1"/>
  <c r="A1880" i="209" s="1"/>
  <c r="A1881" i="209" s="1"/>
  <c r="O1839" i="209"/>
  <c r="N1839" i="209"/>
  <c r="M1839" i="209"/>
  <c r="L1839" i="209"/>
  <c r="K1839" i="209"/>
  <c r="J1839" i="209"/>
  <c r="I1839" i="209"/>
  <c r="A1832" i="209"/>
  <c r="O1830" i="209"/>
  <c r="A1827" i="209"/>
  <c r="L1820" i="209"/>
  <c r="J89" i="196" s="1"/>
  <c r="N1819" i="209"/>
  <c r="M1819" i="209"/>
  <c r="K1819" i="209"/>
  <c r="J1819" i="209"/>
  <c r="F1819" i="209"/>
  <c r="E1819" i="209"/>
  <c r="N1818" i="209"/>
  <c r="K1818" i="209"/>
  <c r="J1818" i="209"/>
  <c r="F1818" i="209"/>
  <c r="M1818" i="209" s="1"/>
  <c r="E1818" i="209"/>
  <c r="N1817" i="209"/>
  <c r="K1817" i="209"/>
  <c r="J1817" i="209"/>
  <c r="F1817" i="209"/>
  <c r="M1817" i="209" s="1"/>
  <c r="E1817" i="209"/>
  <c r="N1816" i="209"/>
  <c r="K1816" i="209"/>
  <c r="J1816" i="209"/>
  <c r="F1816" i="209"/>
  <c r="M1816" i="209" s="1"/>
  <c r="E1816" i="209"/>
  <c r="N1815" i="209"/>
  <c r="K1815" i="209"/>
  <c r="J1815" i="209"/>
  <c r="F1815" i="209"/>
  <c r="M1815" i="209" s="1"/>
  <c r="E1815" i="209"/>
  <c r="N1805" i="209"/>
  <c r="L1805" i="209"/>
  <c r="F1805" i="209"/>
  <c r="E1805" i="209"/>
  <c r="M1804" i="209"/>
  <c r="M1805" i="209" s="1"/>
  <c r="K1804" i="209"/>
  <c r="K1805" i="209" s="1"/>
  <c r="J1804" i="209"/>
  <c r="N1801" i="209"/>
  <c r="L1801" i="209"/>
  <c r="J1800" i="209"/>
  <c r="F1800" i="209"/>
  <c r="M1800" i="209" s="1"/>
  <c r="E1800" i="209"/>
  <c r="J1799" i="209"/>
  <c r="F1799" i="209"/>
  <c r="M1799" i="209" s="1"/>
  <c r="E1799" i="209"/>
  <c r="J1798" i="209"/>
  <c r="F1798" i="209"/>
  <c r="M1798" i="209" s="1"/>
  <c r="E1798" i="209"/>
  <c r="J1797" i="209"/>
  <c r="F1797" i="209"/>
  <c r="M1797" i="209" s="1"/>
  <c r="E1797" i="209"/>
  <c r="J1796" i="209"/>
  <c r="F1796" i="209"/>
  <c r="M1796" i="209" s="1"/>
  <c r="E1796" i="209"/>
  <c r="J1795" i="209"/>
  <c r="F1795" i="209"/>
  <c r="M1795" i="209" s="1"/>
  <c r="E1795" i="209"/>
  <c r="J1794" i="209"/>
  <c r="F1794" i="209"/>
  <c r="M1794" i="209" s="1"/>
  <c r="E1794" i="209"/>
  <c r="J1793" i="209"/>
  <c r="F1793" i="209"/>
  <c r="M1793" i="209" s="1"/>
  <c r="E1793" i="209"/>
  <c r="J1792" i="209"/>
  <c r="F1792" i="209"/>
  <c r="M1792" i="209" s="1"/>
  <c r="E1792" i="209"/>
  <c r="J1791" i="209"/>
  <c r="F1791" i="209"/>
  <c r="M1791" i="209" s="1"/>
  <c r="E1791" i="209"/>
  <c r="J1790" i="209"/>
  <c r="F1790" i="209"/>
  <c r="M1790" i="209" s="1"/>
  <c r="E1790" i="209"/>
  <c r="J1789" i="209"/>
  <c r="F1789" i="209"/>
  <c r="M1789" i="209" s="1"/>
  <c r="E1789" i="209"/>
  <c r="J1788" i="209"/>
  <c r="F1788" i="209"/>
  <c r="M1788" i="209" s="1"/>
  <c r="E1788" i="209"/>
  <c r="J1787" i="209"/>
  <c r="F1787" i="209"/>
  <c r="M1787" i="209" s="1"/>
  <c r="E1787" i="209"/>
  <c r="A1787" i="209"/>
  <c r="A1788" i="209" s="1"/>
  <c r="A1789" i="209" s="1"/>
  <c r="A1790" i="209" s="1"/>
  <c r="A1791" i="209" s="1"/>
  <c r="A1792" i="209" s="1"/>
  <c r="A1793" i="209" s="1"/>
  <c r="A1794" i="209" s="1"/>
  <c r="A1795" i="209" s="1"/>
  <c r="A1796" i="209" s="1"/>
  <c r="A1797" i="209" s="1"/>
  <c r="A1798" i="209" s="1"/>
  <c r="A1799" i="209" s="1"/>
  <c r="A1800" i="209" s="1"/>
  <c r="A1801" i="209" s="1"/>
  <c r="A1803" i="209" s="1"/>
  <c r="A1804" i="209" s="1"/>
  <c r="A1805" i="209" s="1"/>
  <c r="A1807" i="209" s="1"/>
  <c r="A1809" i="209" s="1"/>
  <c r="A1811" i="209" s="1"/>
  <c r="A1814" i="209" s="1"/>
  <c r="A1815" i="209" s="1"/>
  <c r="A1816" i="209" s="1"/>
  <c r="A1817" i="209" s="1"/>
  <c r="A1818" i="209" s="1"/>
  <c r="A1819" i="209" s="1"/>
  <c r="A1820" i="209" s="1"/>
  <c r="A1822" i="209" s="1"/>
  <c r="O1784" i="209"/>
  <c r="N1784" i="209"/>
  <c r="M1784" i="209"/>
  <c r="L1784" i="209"/>
  <c r="K1784" i="209"/>
  <c r="J1784" i="209"/>
  <c r="I1784" i="209"/>
  <c r="A1777" i="209"/>
  <c r="O1775" i="209"/>
  <c r="A1772" i="209"/>
  <c r="J1766" i="209"/>
  <c r="F1766" i="209"/>
  <c r="M1766" i="209" s="1"/>
  <c r="E1766" i="209"/>
  <c r="J1765" i="209"/>
  <c r="F1765" i="209"/>
  <c r="M1765" i="209" s="1"/>
  <c r="E1765" i="209"/>
  <c r="M1764" i="209"/>
  <c r="J1764" i="209"/>
  <c r="F1764" i="209"/>
  <c r="E1764" i="209"/>
  <c r="J1763" i="209"/>
  <c r="F1763" i="209"/>
  <c r="M1763" i="209" s="1"/>
  <c r="E1763" i="209"/>
  <c r="J1762" i="209"/>
  <c r="F1762" i="209"/>
  <c r="M1762" i="209" s="1"/>
  <c r="E1762" i="209"/>
  <c r="J1761" i="209"/>
  <c r="F1761" i="209"/>
  <c r="M1761" i="209" s="1"/>
  <c r="E1761" i="209"/>
  <c r="J1760" i="209"/>
  <c r="F1760" i="209"/>
  <c r="M1760" i="209" s="1"/>
  <c r="E1760" i="209"/>
  <c r="J1759" i="209"/>
  <c r="F1759" i="209"/>
  <c r="M1759" i="209" s="1"/>
  <c r="E1759" i="209"/>
  <c r="J1758" i="209"/>
  <c r="F1758" i="209"/>
  <c r="M1758" i="209" s="1"/>
  <c r="E1758" i="209"/>
  <c r="L1757" i="209"/>
  <c r="J1757" i="209"/>
  <c r="L1756" i="209"/>
  <c r="J1756" i="209"/>
  <c r="J1755" i="209"/>
  <c r="F1755" i="209"/>
  <c r="M1755" i="209" s="1"/>
  <c r="E1755" i="209"/>
  <c r="J1754" i="209"/>
  <c r="F1754" i="209"/>
  <c r="M1754" i="209" s="1"/>
  <c r="E1754" i="209"/>
  <c r="N1753" i="209"/>
  <c r="L1753" i="209"/>
  <c r="J1753" i="209"/>
  <c r="J1752" i="209"/>
  <c r="F1752" i="209"/>
  <c r="M1752" i="209" s="1"/>
  <c r="E1752" i="209"/>
  <c r="J1751" i="209"/>
  <c r="F1751" i="209"/>
  <c r="M1751" i="209" s="1"/>
  <c r="E1751" i="209"/>
  <c r="N1750" i="209"/>
  <c r="L1750" i="209"/>
  <c r="J1750" i="209"/>
  <c r="J1749" i="209"/>
  <c r="F1749" i="209"/>
  <c r="M1749" i="209" s="1"/>
  <c r="E1749" i="209"/>
  <c r="N1748" i="209"/>
  <c r="L1748" i="209"/>
  <c r="J1748" i="209"/>
  <c r="J1747" i="209"/>
  <c r="F1747" i="209"/>
  <c r="M1747" i="209" s="1"/>
  <c r="E1747" i="209"/>
  <c r="K1746" i="209"/>
  <c r="J1746" i="209"/>
  <c r="F1746" i="209"/>
  <c r="M1746" i="209" s="1"/>
  <c r="E1746" i="209"/>
  <c r="M1745" i="209"/>
  <c r="J1745" i="209"/>
  <c r="F1745" i="209"/>
  <c r="E1745" i="209"/>
  <c r="J1744" i="209"/>
  <c r="F1744" i="209"/>
  <c r="M1744" i="209" s="1"/>
  <c r="E1744" i="209"/>
  <c r="J1743" i="209"/>
  <c r="F1743" i="209"/>
  <c r="M1743" i="209" s="1"/>
  <c r="E1743" i="209"/>
  <c r="J1742" i="209"/>
  <c r="F1742" i="209"/>
  <c r="M1742" i="209" s="1"/>
  <c r="E1742" i="209"/>
  <c r="M1741" i="209"/>
  <c r="J1741" i="209"/>
  <c r="F1741" i="209"/>
  <c r="E1741" i="209"/>
  <c r="J1740" i="209"/>
  <c r="F1740" i="209"/>
  <c r="M1740" i="209" s="1"/>
  <c r="E1740" i="209"/>
  <c r="M1739" i="209"/>
  <c r="J1739" i="209"/>
  <c r="F1739" i="209"/>
  <c r="E1739" i="209"/>
  <c r="J1738" i="209"/>
  <c r="F1738" i="209"/>
  <c r="M1738" i="209" s="1"/>
  <c r="E1738" i="209"/>
  <c r="J1737" i="209"/>
  <c r="F1737" i="209"/>
  <c r="E1737" i="209"/>
  <c r="N1734" i="209"/>
  <c r="L1734" i="209"/>
  <c r="K1733" i="209"/>
  <c r="J1733" i="209"/>
  <c r="F1733" i="209"/>
  <c r="M1733" i="209" s="1"/>
  <c r="E1733" i="209"/>
  <c r="K1732" i="209"/>
  <c r="J1732" i="209"/>
  <c r="F1732" i="209"/>
  <c r="E1732" i="209"/>
  <c r="M1731" i="209"/>
  <c r="J1731" i="209"/>
  <c r="M1730" i="209"/>
  <c r="J1730" i="209"/>
  <c r="M1729" i="209"/>
  <c r="K1729" i="209"/>
  <c r="J1729" i="209"/>
  <c r="A1729" i="209"/>
  <c r="A1730" i="209" s="1"/>
  <c r="A1731" i="209" s="1"/>
  <c r="A1732" i="209" s="1"/>
  <c r="A1733" i="209" s="1"/>
  <c r="A1734" i="209" s="1"/>
  <c r="A1736" i="209" s="1"/>
  <c r="A1737" i="209" s="1"/>
  <c r="A1738" i="209" s="1"/>
  <c r="A1739" i="209" s="1"/>
  <c r="A1740" i="209" s="1"/>
  <c r="A1741" i="209" s="1"/>
  <c r="A1742" i="209" s="1"/>
  <c r="A1743" i="209" s="1"/>
  <c r="A1744" i="209" s="1"/>
  <c r="A1745" i="209" s="1"/>
  <c r="A1746" i="209" s="1"/>
  <c r="A1747" i="209" s="1"/>
  <c r="A1748" i="209" s="1"/>
  <c r="A1749" i="209" s="1"/>
  <c r="A1750" i="209" s="1"/>
  <c r="A1751" i="209" s="1"/>
  <c r="A1752" i="209" s="1"/>
  <c r="A1753" i="209" s="1"/>
  <c r="A1754" i="209" s="1"/>
  <c r="A1755" i="209" s="1"/>
  <c r="A1756" i="209" s="1"/>
  <c r="A1757" i="209" s="1"/>
  <c r="A1758" i="209" s="1"/>
  <c r="A1759" i="209" s="1"/>
  <c r="A1760" i="209" s="1"/>
  <c r="A1761" i="209" s="1"/>
  <c r="A1762" i="209" s="1"/>
  <c r="A1763" i="209" s="1"/>
  <c r="A1764" i="209" s="1"/>
  <c r="A1765" i="209" s="1"/>
  <c r="A1766" i="209" s="1"/>
  <c r="A1767" i="209" s="1"/>
  <c r="M1728" i="209"/>
  <c r="J1728" i="209"/>
  <c r="A1728" i="209"/>
  <c r="O1725" i="209"/>
  <c r="N1725" i="209"/>
  <c r="M1725" i="209"/>
  <c r="L1725" i="209"/>
  <c r="K1725" i="209"/>
  <c r="J1725" i="209"/>
  <c r="I1725" i="209"/>
  <c r="A1718" i="209"/>
  <c r="O1716" i="209"/>
  <c r="A1713" i="209"/>
  <c r="L1706" i="209"/>
  <c r="N1705" i="209"/>
  <c r="K1705" i="209"/>
  <c r="F1705" i="209"/>
  <c r="M1705" i="209" s="1"/>
  <c r="E1705" i="209"/>
  <c r="N1704" i="209"/>
  <c r="K1704" i="209"/>
  <c r="F1704" i="209"/>
  <c r="M1704" i="209" s="1"/>
  <c r="E1704" i="209"/>
  <c r="N1703" i="209"/>
  <c r="K1703" i="209"/>
  <c r="F1703" i="209"/>
  <c r="M1703" i="209" s="1"/>
  <c r="E1703" i="209"/>
  <c r="N1702" i="209"/>
  <c r="K1702" i="209"/>
  <c r="F1702" i="209"/>
  <c r="M1702" i="209" s="1"/>
  <c r="E1702" i="209"/>
  <c r="N1701" i="209"/>
  <c r="K1701" i="209"/>
  <c r="F1701" i="209"/>
  <c r="E1701" i="209"/>
  <c r="N1691" i="209"/>
  <c r="M1691" i="209"/>
  <c r="L1691" i="209"/>
  <c r="F1691" i="209"/>
  <c r="E1691" i="209"/>
  <c r="M1690" i="209"/>
  <c r="K1690" i="209"/>
  <c r="K1691" i="209" s="1"/>
  <c r="N1687" i="209"/>
  <c r="L1687" i="209"/>
  <c r="F1686" i="209"/>
  <c r="M1686" i="209" s="1"/>
  <c r="E1686" i="209"/>
  <c r="F1685" i="209"/>
  <c r="M1685" i="209" s="1"/>
  <c r="E1685" i="209"/>
  <c r="F1684" i="209"/>
  <c r="M1684" i="209" s="1"/>
  <c r="E1684" i="209"/>
  <c r="F1683" i="209"/>
  <c r="M1683" i="209" s="1"/>
  <c r="E1683" i="209"/>
  <c r="F1682" i="209"/>
  <c r="M1682" i="209" s="1"/>
  <c r="E1682" i="209"/>
  <c r="F1681" i="209"/>
  <c r="M1681" i="209" s="1"/>
  <c r="E1681" i="209"/>
  <c r="F1680" i="209"/>
  <c r="M1680" i="209" s="1"/>
  <c r="E1680" i="209"/>
  <c r="F1679" i="209"/>
  <c r="M1679" i="209" s="1"/>
  <c r="E1679" i="209"/>
  <c r="F1678" i="209"/>
  <c r="M1678" i="209" s="1"/>
  <c r="E1678" i="209"/>
  <c r="F1677" i="209"/>
  <c r="M1677" i="209" s="1"/>
  <c r="E1677" i="209"/>
  <c r="F1676" i="209"/>
  <c r="M1676" i="209" s="1"/>
  <c r="E1676" i="209"/>
  <c r="F1675" i="209"/>
  <c r="M1675" i="209" s="1"/>
  <c r="E1675" i="209"/>
  <c r="F1674" i="209"/>
  <c r="M1674" i="209" s="1"/>
  <c r="E1674" i="209"/>
  <c r="F1673" i="209"/>
  <c r="M1673" i="209" s="1"/>
  <c r="E1673" i="209"/>
  <c r="A1673" i="209"/>
  <c r="A1674" i="209" s="1"/>
  <c r="A1675" i="209" s="1"/>
  <c r="A1676" i="209" s="1"/>
  <c r="A1677" i="209" s="1"/>
  <c r="A1678" i="209" s="1"/>
  <c r="A1679" i="209" s="1"/>
  <c r="A1680" i="209" s="1"/>
  <c r="A1681" i="209" s="1"/>
  <c r="A1682" i="209" s="1"/>
  <c r="A1683" i="209" s="1"/>
  <c r="A1684" i="209" s="1"/>
  <c r="A1685" i="209" s="1"/>
  <c r="A1686" i="209" s="1"/>
  <c r="A1687" i="209" s="1"/>
  <c r="A1689" i="209" s="1"/>
  <c r="A1690" i="209" s="1"/>
  <c r="A1691" i="209" s="1"/>
  <c r="A1693" i="209" s="1"/>
  <c r="A1695" i="209" s="1"/>
  <c r="A1697" i="209" s="1"/>
  <c r="A1700" i="209" s="1"/>
  <c r="A1701" i="209" s="1"/>
  <c r="A1702" i="209" s="1"/>
  <c r="A1703" i="209" s="1"/>
  <c r="A1704" i="209" s="1"/>
  <c r="A1705" i="209" s="1"/>
  <c r="A1706" i="209" s="1"/>
  <c r="A1708" i="209" s="1"/>
  <c r="O1670" i="209"/>
  <c r="N1670" i="209"/>
  <c r="M1670" i="209"/>
  <c r="L1670" i="209"/>
  <c r="K1670" i="209"/>
  <c r="J1670" i="209"/>
  <c r="I1670" i="209"/>
  <c r="A1663" i="209"/>
  <c r="O1661" i="209"/>
  <c r="A1658" i="209"/>
  <c r="N1653" i="209"/>
  <c r="F1652" i="209"/>
  <c r="M1652" i="209" s="1"/>
  <c r="E1652" i="209"/>
  <c r="F1651" i="209"/>
  <c r="M1651" i="209" s="1"/>
  <c r="E1651" i="209"/>
  <c r="F1650" i="209"/>
  <c r="M1650" i="209" s="1"/>
  <c r="E1650" i="209"/>
  <c r="F1649" i="209"/>
  <c r="M1649" i="209" s="1"/>
  <c r="E1649" i="209"/>
  <c r="F1648" i="209"/>
  <c r="M1648" i="209" s="1"/>
  <c r="E1648" i="209"/>
  <c r="F1647" i="209"/>
  <c r="M1647" i="209" s="1"/>
  <c r="E1647" i="209"/>
  <c r="F1646" i="209"/>
  <c r="M1646" i="209" s="1"/>
  <c r="E1646" i="209"/>
  <c r="F1645" i="209"/>
  <c r="M1645" i="209" s="1"/>
  <c r="E1645" i="209"/>
  <c r="F1644" i="209"/>
  <c r="M1644" i="209" s="1"/>
  <c r="E1644" i="209"/>
  <c r="L1643" i="209"/>
  <c r="L1642" i="209"/>
  <c r="F1641" i="209"/>
  <c r="M1641" i="209" s="1"/>
  <c r="E1641" i="209"/>
  <c r="F1640" i="209"/>
  <c r="M1640" i="209" s="1"/>
  <c r="E1640" i="209"/>
  <c r="L1639" i="209"/>
  <c r="F1639" i="209"/>
  <c r="M1639" i="209" s="1"/>
  <c r="F1638" i="209"/>
  <c r="M1638" i="209" s="1"/>
  <c r="E1638" i="209"/>
  <c r="F1637" i="209"/>
  <c r="M1637" i="209" s="1"/>
  <c r="E1637" i="209"/>
  <c r="L1636" i="209"/>
  <c r="F1635" i="209"/>
  <c r="M1635" i="209" s="1"/>
  <c r="E1635" i="209"/>
  <c r="L1634" i="209"/>
  <c r="F1633" i="209"/>
  <c r="M1633" i="209" s="1"/>
  <c r="E1633" i="209"/>
  <c r="K1632" i="209"/>
  <c r="F1632" i="209"/>
  <c r="M1632" i="209" s="1"/>
  <c r="E1632" i="209"/>
  <c r="F1631" i="209"/>
  <c r="M1631" i="209" s="1"/>
  <c r="E1631" i="209"/>
  <c r="F1630" i="209"/>
  <c r="M1630" i="209" s="1"/>
  <c r="E1630" i="209"/>
  <c r="F1629" i="209"/>
  <c r="M1629" i="209" s="1"/>
  <c r="E1629" i="209"/>
  <c r="F1628" i="209"/>
  <c r="M1628" i="209" s="1"/>
  <c r="E1628" i="209"/>
  <c r="F1627" i="209"/>
  <c r="M1627" i="209" s="1"/>
  <c r="E1627" i="209"/>
  <c r="F1626" i="209"/>
  <c r="M1626" i="209" s="1"/>
  <c r="E1626" i="209"/>
  <c r="F1625" i="209"/>
  <c r="M1625" i="209" s="1"/>
  <c r="E1625" i="209"/>
  <c r="F1624" i="209"/>
  <c r="M1624" i="209" s="1"/>
  <c r="E1624" i="209"/>
  <c r="F1623" i="209"/>
  <c r="E1623" i="209"/>
  <c r="N1620" i="209"/>
  <c r="L1620" i="209"/>
  <c r="K1619" i="209"/>
  <c r="F1619" i="209"/>
  <c r="M1619" i="209" s="1"/>
  <c r="E1619" i="209"/>
  <c r="K1618" i="209"/>
  <c r="F1618" i="209"/>
  <c r="M1618" i="209" s="1"/>
  <c r="E1618" i="209"/>
  <c r="E1620" i="209" s="1"/>
  <c r="M1617" i="209"/>
  <c r="M1616" i="209"/>
  <c r="M1615" i="209"/>
  <c r="K1615" i="209"/>
  <c r="K1620" i="209" s="1"/>
  <c r="M1614" i="209"/>
  <c r="A1614" i="209"/>
  <c r="A1615" i="209" s="1"/>
  <c r="A1616" i="209" s="1"/>
  <c r="A1617" i="209" s="1"/>
  <c r="A1618" i="209" s="1"/>
  <c r="A1619" i="209" s="1"/>
  <c r="A1620" i="209" s="1"/>
  <c r="A1622" i="209" s="1"/>
  <c r="A1623" i="209" s="1"/>
  <c r="A1624" i="209" s="1"/>
  <c r="A1625" i="209" s="1"/>
  <c r="A1626" i="209" s="1"/>
  <c r="A1627" i="209" s="1"/>
  <c r="A1628" i="209" s="1"/>
  <c r="A1629" i="209" s="1"/>
  <c r="A1630" i="209" s="1"/>
  <c r="A1631" i="209" s="1"/>
  <c r="A1632" i="209" s="1"/>
  <c r="A1633" i="209" s="1"/>
  <c r="A1634" i="209" s="1"/>
  <c r="A1635" i="209" s="1"/>
  <c r="A1636" i="209" s="1"/>
  <c r="A1637" i="209" s="1"/>
  <c r="A1638" i="209" s="1"/>
  <c r="A1639" i="209" s="1"/>
  <c r="A1640" i="209" s="1"/>
  <c r="A1641" i="209" s="1"/>
  <c r="A1642" i="209" s="1"/>
  <c r="A1643" i="209" s="1"/>
  <c r="A1644" i="209" s="1"/>
  <c r="A1645" i="209" s="1"/>
  <c r="A1646" i="209" s="1"/>
  <c r="A1647" i="209" s="1"/>
  <c r="A1648" i="209" s="1"/>
  <c r="A1649" i="209" s="1"/>
  <c r="A1650" i="209" s="1"/>
  <c r="A1651" i="209" s="1"/>
  <c r="A1652" i="209" s="1"/>
  <c r="A1653" i="209" s="1"/>
  <c r="O1611" i="209"/>
  <c r="N1611" i="209"/>
  <c r="M1611" i="209"/>
  <c r="L1611" i="209"/>
  <c r="K1611" i="209"/>
  <c r="J1611" i="209"/>
  <c r="I1611" i="209"/>
  <c r="A1604" i="209"/>
  <c r="O1602" i="209"/>
  <c r="A1599" i="209"/>
  <c r="L1592" i="209"/>
  <c r="J87" i="196" s="1"/>
  <c r="N1591" i="209"/>
  <c r="K1591" i="209"/>
  <c r="F1591" i="209"/>
  <c r="M1591" i="209" s="1"/>
  <c r="E1591" i="209"/>
  <c r="N1590" i="209"/>
  <c r="K1590" i="209"/>
  <c r="F1590" i="209"/>
  <c r="M1590" i="209" s="1"/>
  <c r="E1590" i="209"/>
  <c r="N1589" i="209"/>
  <c r="K1589" i="209"/>
  <c r="F1589" i="209"/>
  <c r="M1589" i="209" s="1"/>
  <c r="E1589" i="209"/>
  <c r="N1588" i="209"/>
  <c r="K1588" i="209"/>
  <c r="F1588" i="209"/>
  <c r="M1588" i="209" s="1"/>
  <c r="E1588" i="209"/>
  <c r="N1587" i="209"/>
  <c r="K1587" i="209"/>
  <c r="F1587" i="209"/>
  <c r="M1587" i="209" s="1"/>
  <c r="E1587" i="209"/>
  <c r="N1577" i="209"/>
  <c r="L1577" i="209"/>
  <c r="F1577" i="209"/>
  <c r="E1577" i="209"/>
  <c r="M1576" i="209"/>
  <c r="M1577" i="209" s="1"/>
  <c r="K1576" i="209"/>
  <c r="K1577" i="209" s="1"/>
  <c r="N1573" i="209"/>
  <c r="L1573" i="209"/>
  <c r="K1573" i="209"/>
  <c r="M1572" i="209"/>
  <c r="F1572" i="209"/>
  <c r="E1572" i="209"/>
  <c r="F1571" i="209"/>
  <c r="M1571" i="209" s="1"/>
  <c r="E1571" i="209"/>
  <c r="F1570" i="209"/>
  <c r="M1570" i="209" s="1"/>
  <c r="E1570" i="209"/>
  <c r="F1569" i="209"/>
  <c r="M1569" i="209" s="1"/>
  <c r="E1569" i="209"/>
  <c r="F1568" i="209"/>
  <c r="M1568" i="209" s="1"/>
  <c r="E1568" i="209"/>
  <c r="F1567" i="209"/>
  <c r="M1567" i="209" s="1"/>
  <c r="E1567" i="209"/>
  <c r="F1566" i="209"/>
  <c r="M1566" i="209" s="1"/>
  <c r="E1566" i="209"/>
  <c r="F1565" i="209"/>
  <c r="M1565" i="209" s="1"/>
  <c r="E1565" i="209"/>
  <c r="F1564" i="209"/>
  <c r="M1564" i="209" s="1"/>
  <c r="E1564" i="209"/>
  <c r="F1563" i="209"/>
  <c r="M1563" i="209" s="1"/>
  <c r="E1563" i="209"/>
  <c r="F1562" i="209"/>
  <c r="M1562" i="209" s="1"/>
  <c r="E1562" i="209"/>
  <c r="F1561" i="209"/>
  <c r="M1561" i="209" s="1"/>
  <c r="E1561" i="209"/>
  <c r="F1560" i="209"/>
  <c r="M1560" i="209" s="1"/>
  <c r="E1560" i="209"/>
  <c r="F1559" i="209"/>
  <c r="M1559" i="209" s="1"/>
  <c r="E1559" i="209"/>
  <c r="A1559" i="209"/>
  <c r="A1560" i="209" s="1"/>
  <c r="A1561" i="209" s="1"/>
  <c r="A1562" i="209" s="1"/>
  <c r="A1563" i="209" s="1"/>
  <c r="A1564" i="209" s="1"/>
  <c r="A1565" i="209" s="1"/>
  <c r="A1566" i="209" s="1"/>
  <c r="A1567" i="209" s="1"/>
  <c r="A1568" i="209" s="1"/>
  <c r="A1569" i="209" s="1"/>
  <c r="A1570" i="209" s="1"/>
  <c r="A1571" i="209" s="1"/>
  <c r="A1572" i="209" s="1"/>
  <c r="A1573" i="209" s="1"/>
  <c r="A1575" i="209" s="1"/>
  <c r="A1576" i="209" s="1"/>
  <c r="A1577" i="209" s="1"/>
  <c r="A1579" i="209" s="1"/>
  <c r="A1581" i="209" s="1"/>
  <c r="A1583" i="209" s="1"/>
  <c r="A1586" i="209" s="1"/>
  <c r="A1587" i="209" s="1"/>
  <c r="A1588" i="209" s="1"/>
  <c r="A1589" i="209" s="1"/>
  <c r="A1590" i="209" s="1"/>
  <c r="A1591" i="209" s="1"/>
  <c r="A1592" i="209" s="1"/>
  <c r="A1594" i="209" s="1"/>
  <c r="O1556" i="209"/>
  <c r="N1556" i="209"/>
  <c r="M1556" i="209"/>
  <c r="L1556" i="209"/>
  <c r="K1556" i="209"/>
  <c r="J1556" i="209"/>
  <c r="I1556" i="209"/>
  <c r="A1549" i="209"/>
  <c r="O1547" i="209"/>
  <c r="A1544" i="209"/>
  <c r="N1539" i="209"/>
  <c r="L1539" i="209"/>
  <c r="K1539" i="209"/>
  <c r="M1538" i="209"/>
  <c r="F1538" i="209"/>
  <c r="E1538" i="209"/>
  <c r="F1537" i="209"/>
  <c r="M1537" i="209" s="1"/>
  <c r="E1537" i="209"/>
  <c r="M1536" i="209"/>
  <c r="F1536" i="209"/>
  <c r="E1536" i="209"/>
  <c r="M1535" i="209"/>
  <c r="F1535" i="209"/>
  <c r="E1535" i="209"/>
  <c r="F1534" i="209"/>
  <c r="M1534" i="209" s="1"/>
  <c r="E1534" i="209"/>
  <c r="F1533" i="209"/>
  <c r="M1533" i="209" s="1"/>
  <c r="E1533" i="209"/>
  <c r="F1532" i="209"/>
  <c r="M1532" i="209" s="1"/>
  <c r="E1532" i="209"/>
  <c r="F1531" i="209"/>
  <c r="M1531" i="209" s="1"/>
  <c r="E1531" i="209"/>
  <c r="F1530" i="209"/>
  <c r="M1530" i="209" s="1"/>
  <c r="E1530" i="209"/>
  <c r="F1527" i="209"/>
  <c r="M1527" i="209" s="1"/>
  <c r="E1527" i="209"/>
  <c r="F1526" i="209"/>
  <c r="M1526" i="209" s="1"/>
  <c r="E1526" i="209"/>
  <c r="F1524" i="209"/>
  <c r="M1524" i="209" s="1"/>
  <c r="E1524" i="209"/>
  <c r="F1523" i="209"/>
  <c r="M1523" i="209" s="1"/>
  <c r="E1523" i="209"/>
  <c r="F1521" i="209"/>
  <c r="M1521" i="209" s="1"/>
  <c r="E1521" i="209"/>
  <c r="F1519" i="209"/>
  <c r="M1519" i="209" s="1"/>
  <c r="E1519" i="209"/>
  <c r="F1518" i="209"/>
  <c r="M1518" i="209" s="1"/>
  <c r="E1518" i="209"/>
  <c r="F1517" i="209"/>
  <c r="M1517" i="209" s="1"/>
  <c r="E1517" i="209"/>
  <c r="F1516" i="209"/>
  <c r="M1516" i="209" s="1"/>
  <c r="E1516" i="209"/>
  <c r="F1515" i="209"/>
  <c r="M1515" i="209" s="1"/>
  <c r="E1515" i="209"/>
  <c r="F1514" i="209"/>
  <c r="M1514" i="209" s="1"/>
  <c r="E1514" i="209"/>
  <c r="F1513" i="209"/>
  <c r="M1513" i="209" s="1"/>
  <c r="E1513" i="209"/>
  <c r="F1512" i="209"/>
  <c r="M1512" i="209" s="1"/>
  <c r="E1512" i="209"/>
  <c r="F1511" i="209"/>
  <c r="M1511" i="209" s="1"/>
  <c r="E1511" i="209"/>
  <c r="F1510" i="209"/>
  <c r="M1510" i="209" s="1"/>
  <c r="E1510" i="209"/>
  <c r="F1509" i="209"/>
  <c r="M1509" i="209" s="1"/>
  <c r="E1509" i="209"/>
  <c r="N1506" i="209"/>
  <c r="L1506" i="209"/>
  <c r="K1505" i="209"/>
  <c r="F1505" i="209"/>
  <c r="M1505" i="209" s="1"/>
  <c r="E1505" i="209"/>
  <c r="K1504" i="209"/>
  <c r="F1504" i="209"/>
  <c r="E1504" i="209"/>
  <c r="M1503" i="209"/>
  <c r="M1502" i="209"/>
  <c r="M1501" i="209"/>
  <c r="K1501" i="209"/>
  <c r="M1500" i="209"/>
  <c r="A1500" i="209"/>
  <c r="A1501" i="209" s="1"/>
  <c r="A1502" i="209" s="1"/>
  <c r="A1503" i="209" s="1"/>
  <c r="A1504" i="209" s="1"/>
  <c r="A1505" i="209" s="1"/>
  <c r="A1506" i="209" s="1"/>
  <c r="A1508" i="209" s="1"/>
  <c r="A1509" i="209" s="1"/>
  <c r="A1510" i="209" s="1"/>
  <c r="A1511" i="209" s="1"/>
  <c r="A1512" i="209" s="1"/>
  <c r="A1513" i="209" s="1"/>
  <c r="A1514" i="209" s="1"/>
  <c r="A1515" i="209" s="1"/>
  <c r="A1516" i="209" s="1"/>
  <c r="A1517" i="209" s="1"/>
  <c r="A1518" i="209" s="1"/>
  <c r="A1519" i="209" s="1"/>
  <c r="A1520" i="209" s="1"/>
  <c r="A1521" i="209" s="1"/>
  <c r="A1522" i="209" s="1"/>
  <c r="A1523" i="209" s="1"/>
  <c r="A1524" i="209" s="1"/>
  <c r="A1525" i="209" s="1"/>
  <c r="A1526" i="209" s="1"/>
  <c r="A1527" i="209" s="1"/>
  <c r="A1528" i="209" s="1"/>
  <c r="A1529" i="209" s="1"/>
  <c r="A1530" i="209" s="1"/>
  <c r="A1531" i="209" s="1"/>
  <c r="A1532" i="209" s="1"/>
  <c r="A1533" i="209" s="1"/>
  <c r="A1534" i="209" s="1"/>
  <c r="A1535" i="209" s="1"/>
  <c r="A1536" i="209" s="1"/>
  <c r="A1537" i="209" s="1"/>
  <c r="A1538" i="209" s="1"/>
  <c r="A1539" i="209" s="1"/>
  <c r="O1497" i="209"/>
  <c r="N1497" i="209"/>
  <c r="M1497" i="209"/>
  <c r="L1497" i="209"/>
  <c r="K1497" i="209"/>
  <c r="J1497" i="209"/>
  <c r="I1497" i="209"/>
  <c r="A1490" i="209"/>
  <c r="O1488" i="209"/>
  <c r="A1488" i="209"/>
  <c r="A1485" i="209"/>
  <c r="L1478" i="209"/>
  <c r="J86" i="196" s="1"/>
  <c r="N1477" i="209"/>
  <c r="K1477" i="209"/>
  <c r="F1477" i="209"/>
  <c r="M1477" i="209" s="1"/>
  <c r="E1477" i="209"/>
  <c r="N1476" i="209"/>
  <c r="K1476" i="209"/>
  <c r="F1476" i="209"/>
  <c r="M1476" i="209" s="1"/>
  <c r="E1476" i="209"/>
  <c r="N1475" i="209"/>
  <c r="K1475" i="209"/>
  <c r="F1475" i="209"/>
  <c r="M1475" i="209" s="1"/>
  <c r="E1475" i="209"/>
  <c r="N1474" i="209"/>
  <c r="K1474" i="209"/>
  <c r="F1474" i="209"/>
  <c r="M1474" i="209" s="1"/>
  <c r="E1474" i="209"/>
  <c r="N1473" i="209"/>
  <c r="K1473" i="209"/>
  <c r="F1473" i="209"/>
  <c r="M1473" i="209" s="1"/>
  <c r="E1473" i="209"/>
  <c r="N1463" i="209"/>
  <c r="L1463" i="209"/>
  <c r="F1463" i="209"/>
  <c r="E1463" i="209"/>
  <c r="M1462" i="209"/>
  <c r="M1463" i="209" s="1"/>
  <c r="K1462" i="209"/>
  <c r="K1463" i="209" s="1"/>
  <c r="N1459" i="209"/>
  <c r="L1459" i="209"/>
  <c r="K1459" i="209"/>
  <c r="F1458" i="209"/>
  <c r="M1458" i="209" s="1"/>
  <c r="E1458" i="209"/>
  <c r="F1457" i="209"/>
  <c r="E1457" i="209"/>
  <c r="F1456" i="209"/>
  <c r="E1456" i="209"/>
  <c r="F1455" i="209"/>
  <c r="E1455" i="209"/>
  <c r="F1454" i="209"/>
  <c r="E1454" i="209"/>
  <c r="F1453" i="209"/>
  <c r="E1453" i="209"/>
  <c r="F1452" i="209"/>
  <c r="E1452" i="209"/>
  <c r="F1451" i="209"/>
  <c r="E1451" i="209"/>
  <c r="F1450" i="209"/>
  <c r="E1450" i="209"/>
  <c r="F1449" i="209"/>
  <c r="E1449" i="209"/>
  <c r="F1448" i="209"/>
  <c r="E1448" i="209"/>
  <c r="F1447" i="209"/>
  <c r="E1447" i="209"/>
  <c r="F1446" i="209"/>
  <c r="E1446" i="209"/>
  <c r="F1445" i="209"/>
  <c r="E1445" i="209"/>
  <c r="A1445" i="209"/>
  <c r="A1446" i="209" s="1"/>
  <c r="A1447" i="209" s="1"/>
  <c r="A1448" i="209" s="1"/>
  <c r="A1449" i="209" s="1"/>
  <c r="A1450" i="209" s="1"/>
  <c r="A1451" i="209" s="1"/>
  <c r="A1452" i="209" s="1"/>
  <c r="A1453" i="209" s="1"/>
  <c r="A1454" i="209" s="1"/>
  <c r="A1455" i="209" s="1"/>
  <c r="A1456" i="209" s="1"/>
  <c r="A1457" i="209" s="1"/>
  <c r="A1458" i="209" s="1"/>
  <c r="A1459" i="209" s="1"/>
  <c r="A1461" i="209" s="1"/>
  <c r="A1462" i="209" s="1"/>
  <c r="A1463" i="209" s="1"/>
  <c r="A1465" i="209" s="1"/>
  <c r="A1467" i="209" s="1"/>
  <c r="A1469" i="209" s="1"/>
  <c r="A1472" i="209" s="1"/>
  <c r="A1473" i="209" s="1"/>
  <c r="A1474" i="209" s="1"/>
  <c r="A1475" i="209" s="1"/>
  <c r="A1476" i="209" s="1"/>
  <c r="A1477" i="209" s="1"/>
  <c r="A1478" i="209" s="1"/>
  <c r="A1480" i="209" s="1"/>
  <c r="O1442" i="209"/>
  <c r="N1442" i="209"/>
  <c r="M1442" i="209"/>
  <c r="L1442" i="209"/>
  <c r="K1442" i="209"/>
  <c r="J1442" i="209"/>
  <c r="I1442" i="209"/>
  <c r="A1435" i="209"/>
  <c r="O1433" i="209"/>
  <c r="A1430" i="209"/>
  <c r="N1425" i="209"/>
  <c r="L1425" i="209"/>
  <c r="K1425" i="209"/>
  <c r="F1424" i="209"/>
  <c r="E1424" i="209"/>
  <c r="F1423" i="209"/>
  <c r="E1423" i="209"/>
  <c r="F1422" i="209"/>
  <c r="E1422" i="209"/>
  <c r="F1421" i="209"/>
  <c r="E1421" i="209"/>
  <c r="F1420" i="209"/>
  <c r="E1420" i="209"/>
  <c r="F1419" i="209"/>
  <c r="E1419" i="209"/>
  <c r="F1418" i="209"/>
  <c r="E1418" i="209"/>
  <c r="F1417" i="209"/>
  <c r="E1417" i="209"/>
  <c r="F1416" i="209"/>
  <c r="E1416" i="209"/>
  <c r="F1413" i="209"/>
  <c r="E1413" i="209"/>
  <c r="F1412" i="209"/>
  <c r="E1412" i="209"/>
  <c r="F1410" i="209"/>
  <c r="E1410" i="209"/>
  <c r="F1409" i="209"/>
  <c r="E1409" i="209"/>
  <c r="F1407" i="209"/>
  <c r="E1407" i="209"/>
  <c r="F1405" i="209"/>
  <c r="E1405" i="209"/>
  <c r="F1404" i="209"/>
  <c r="E1404" i="209"/>
  <c r="F1403" i="209"/>
  <c r="E1403" i="209"/>
  <c r="F1402" i="209"/>
  <c r="E1402" i="209"/>
  <c r="F1401" i="209"/>
  <c r="E1401" i="209"/>
  <c r="F1400" i="209"/>
  <c r="E1400" i="209"/>
  <c r="F1399" i="209"/>
  <c r="E1399" i="209"/>
  <c r="F1398" i="209"/>
  <c r="E1398" i="209"/>
  <c r="F1397" i="209"/>
  <c r="E1397" i="209"/>
  <c r="F1396" i="209"/>
  <c r="E1396" i="209"/>
  <c r="F1395" i="209"/>
  <c r="E1395" i="209"/>
  <c r="N1392" i="209"/>
  <c r="L1392" i="209"/>
  <c r="K1391" i="209"/>
  <c r="F1391" i="209"/>
  <c r="E1391" i="209"/>
  <c r="K1390" i="209"/>
  <c r="F1390" i="209"/>
  <c r="M1390" i="209" s="1"/>
  <c r="E1390" i="209"/>
  <c r="M1389" i="209"/>
  <c r="M1388" i="209"/>
  <c r="M1387" i="209"/>
  <c r="K1387" i="209"/>
  <c r="M1386" i="209"/>
  <c r="A1386" i="209"/>
  <c r="A1387" i="209" s="1"/>
  <c r="A1388" i="209" s="1"/>
  <c r="A1389" i="209" s="1"/>
  <c r="A1390" i="209" s="1"/>
  <c r="A1391" i="209" s="1"/>
  <c r="A1392" i="209" s="1"/>
  <c r="A1394" i="209" s="1"/>
  <c r="A1395" i="209" s="1"/>
  <c r="A1396" i="209" s="1"/>
  <c r="A1397" i="209" s="1"/>
  <c r="A1398" i="209" s="1"/>
  <c r="A1399" i="209" s="1"/>
  <c r="A1400" i="209" s="1"/>
  <c r="A1401" i="209" s="1"/>
  <c r="A1402" i="209" s="1"/>
  <c r="A1403" i="209" s="1"/>
  <c r="A1404" i="209" s="1"/>
  <c r="A1405" i="209" s="1"/>
  <c r="A1406" i="209" s="1"/>
  <c r="A1407" i="209" s="1"/>
  <c r="A1408" i="209" s="1"/>
  <c r="A1409" i="209" s="1"/>
  <c r="A1410" i="209" s="1"/>
  <c r="A1411" i="209" s="1"/>
  <c r="A1412" i="209" s="1"/>
  <c r="A1413" i="209" s="1"/>
  <c r="A1414" i="209" s="1"/>
  <c r="A1415" i="209" s="1"/>
  <c r="A1416" i="209" s="1"/>
  <c r="A1417" i="209" s="1"/>
  <c r="A1418" i="209" s="1"/>
  <c r="A1419" i="209" s="1"/>
  <c r="A1420" i="209" s="1"/>
  <c r="A1421" i="209" s="1"/>
  <c r="A1422" i="209" s="1"/>
  <c r="A1423" i="209" s="1"/>
  <c r="A1424" i="209" s="1"/>
  <c r="A1425" i="209" s="1"/>
  <c r="O1383" i="209"/>
  <c r="N1383" i="209"/>
  <c r="M1383" i="209"/>
  <c r="L1383" i="209"/>
  <c r="K1383" i="209"/>
  <c r="J1383" i="209"/>
  <c r="I1383" i="209"/>
  <c r="A1376" i="209"/>
  <c r="O1374" i="209"/>
  <c r="A1371" i="209"/>
  <c r="L1364" i="209"/>
  <c r="N1363" i="209"/>
  <c r="K1363" i="209"/>
  <c r="F1363" i="209"/>
  <c r="M1363" i="209" s="1"/>
  <c r="E1363" i="209"/>
  <c r="N1362" i="209"/>
  <c r="K1362" i="209"/>
  <c r="F1362" i="209"/>
  <c r="M1362" i="209" s="1"/>
  <c r="E1362" i="209"/>
  <c r="N1361" i="209"/>
  <c r="K1361" i="209"/>
  <c r="F1361" i="209"/>
  <c r="M1361" i="209" s="1"/>
  <c r="E1361" i="209"/>
  <c r="N1360" i="209"/>
  <c r="K1360" i="209"/>
  <c r="F1360" i="209"/>
  <c r="M1360" i="209" s="1"/>
  <c r="E1360" i="209"/>
  <c r="N1359" i="209"/>
  <c r="N1364" i="209" s="1"/>
  <c r="L85" i="196" s="1"/>
  <c r="K1359" i="209"/>
  <c r="F1359" i="209"/>
  <c r="M1359" i="209" s="1"/>
  <c r="E1359" i="209"/>
  <c r="N1349" i="209"/>
  <c r="L1349" i="209"/>
  <c r="K1349" i="209"/>
  <c r="F1349" i="209"/>
  <c r="E1349" i="209"/>
  <c r="M1348" i="209"/>
  <c r="M1349" i="209" s="1"/>
  <c r="N1345" i="209"/>
  <c r="L1345" i="209"/>
  <c r="K1345" i="209"/>
  <c r="F1345" i="209"/>
  <c r="E1345" i="209"/>
  <c r="M1344" i="209"/>
  <c r="M1343" i="209"/>
  <c r="M1342" i="209"/>
  <c r="M1341" i="209"/>
  <c r="M1340" i="209"/>
  <c r="M1339" i="209"/>
  <c r="M1338" i="209"/>
  <c r="M1337" i="209"/>
  <c r="M1336" i="209"/>
  <c r="M1335" i="209"/>
  <c r="M1334" i="209"/>
  <c r="M1333" i="209"/>
  <c r="M1332" i="209"/>
  <c r="M1331" i="209"/>
  <c r="A1331" i="209"/>
  <c r="A1332" i="209" s="1"/>
  <c r="A1333" i="209" s="1"/>
  <c r="A1334" i="209" s="1"/>
  <c r="A1335" i="209" s="1"/>
  <c r="A1336" i="209" s="1"/>
  <c r="A1337" i="209" s="1"/>
  <c r="A1338" i="209" s="1"/>
  <c r="A1339" i="209" s="1"/>
  <c r="A1340" i="209" s="1"/>
  <c r="A1341" i="209" s="1"/>
  <c r="A1342" i="209" s="1"/>
  <c r="A1343" i="209" s="1"/>
  <c r="A1344" i="209" s="1"/>
  <c r="A1345" i="209" s="1"/>
  <c r="A1347" i="209" s="1"/>
  <c r="A1348" i="209" s="1"/>
  <c r="A1349" i="209" s="1"/>
  <c r="A1351" i="209" s="1"/>
  <c r="A1353" i="209" s="1"/>
  <c r="A1355" i="209" s="1"/>
  <c r="A1358" i="209" s="1"/>
  <c r="A1359" i="209" s="1"/>
  <c r="A1360" i="209" s="1"/>
  <c r="A1361" i="209" s="1"/>
  <c r="A1362" i="209" s="1"/>
  <c r="A1363" i="209" s="1"/>
  <c r="A1364" i="209" s="1"/>
  <c r="A1366" i="209" s="1"/>
  <c r="O1328" i="209"/>
  <c r="N1328" i="209"/>
  <c r="M1328" i="209"/>
  <c r="L1328" i="209"/>
  <c r="K1328" i="209"/>
  <c r="J1328" i="209"/>
  <c r="I1328" i="209"/>
  <c r="A1321" i="209"/>
  <c r="O1319" i="209"/>
  <c r="A1319" i="209"/>
  <c r="A1316" i="209"/>
  <c r="M1310" i="209"/>
  <c r="M1309" i="209"/>
  <c r="M1308" i="209"/>
  <c r="M1307" i="209"/>
  <c r="M1306" i="209"/>
  <c r="M1305" i="209"/>
  <c r="M1304" i="209"/>
  <c r="M1303" i="209"/>
  <c r="M1302" i="209"/>
  <c r="K1301" i="209"/>
  <c r="N1300" i="209"/>
  <c r="K1300" i="209"/>
  <c r="F1300" i="209"/>
  <c r="M1300" i="209" s="1"/>
  <c r="M1299" i="209"/>
  <c r="M1298" i="209"/>
  <c r="N1297" i="209"/>
  <c r="L1297" i="209"/>
  <c r="L1311" i="209" s="1"/>
  <c r="K1297" i="209"/>
  <c r="E1297" i="209"/>
  <c r="M1296" i="209"/>
  <c r="M1295" i="209"/>
  <c r="N1294" i="209"/>
  <c r="M1293" i="209"/>
  <c r="K1292" i="209"/>
  <c r="F1292" i="209"/>
  <c r="E1292" i="209"/>
  <c r="M1291" i="209"/>
  <c r="M1290" i="209"/>
  <c r="M1289" i="209"/>
  <c r="M1288" i="209"/>
  <c r="M1287" i="209"/>
  <c r="M1286" i="209"/>
  <c r="M1285" i="209"/>
  <c r="M1284" i="209"/>
  <c r="M1283" i="209"/>
  <c r="M1282" i="209"/>
  <c r="N1278" i="209"/>
  <c r="L1278" i="209"/>
  <c r="K1278" i="209"/>
  <c r="F1278" i="209"/>
  <c r="E1278" i="209"/>
  <c r="M1277" i="209"/>
  <c r="M1276" i="209"/>
  <c r="M1275" i="209"/>
  <c r="M1274" i="209"/>
  <c r="M1273" i="209"/>
  <c r="M1272" i="209"/>
  <c r="A1272" i="209"/>
  <c r="A1273" i="209" s="1"/>
  <c r="A1274" i="209" s="1"/>
  <c r="A1275" i="209" s="1"/>
  <c r="A1276" i="209" s="1"/>
  <c r="A1277" i="209" s="1"/>
  <c r="A1278" i="209" s="1"/>
  <c r="A1280" i="209" s="1"/>
  <c r="A1281" i="209" s="1"/>
  <c r="A1282" i="209" s="1"/>
  <c r="A1283" i="209" s="1"/>
  <c r="A1284" i="209" s="1"/>
  <c r="A1285" i="209" s="1"/>
  <c r="A1286" i="209" s="1"/>
  <c r="A1287" i="209" s="1"/>
  <c r="A1288" i="209" s="1"/>
  <c r="A1289" i="209" s="1"/>
  <c r="A1290" i="209" s="1"/>
  <c r="A1291" i="209" s="1"/>
  <c r="A1292" i="209" s="1"/>
  <c r="A1293" i="209" s="1"/>
  <c r="A1294" i="209" s="1"/>
  <c r="A1295" i="209" s="1"/>
  <c r="A1296" i="209" s="1"/>
  <c r="A1297" i="209" s="1"/>
  <c r="A1298" i="209" s="1"/>
  <c r="A1299" i="209" s="1"/>
  <c r="A1300" i="209" s="1"/>
  <c r="A1301" i="209" s="1"/>
  <c r="A1302" i="209" s="1"/>
  <c r="A1303" i="209" s="1"/>
  <c r="A1304" i="209" s="1"/>
  <c r="A1305" i="209" s="1"/>
  <c r="A1306" i="209" s="1"/>
  <c r="A1307" i="209" s="1"/>
  <c r="A1308" i="209" s="1"/>
  <c r="A1309" i="209" s="1"/>
  <c r="A1310" i="209" s="1"/>
  <c r="A1311" i="209" s="1"/>
  <c r="O1269" i="209"/>
  <c r="N1269" i="209"/>
  <c r="M1269" i="209"/>
  <c r="L1269" i="209"/>
  <c r="K1269" i="209"/>
  <c r="J1269" i="209"/>
  <c r="I1269" i="209"/>
  <c r="A1262" i="209"/>
  <c r="O1260" i="209"/>
  <c r="A1260" i="209"/>
  <c r="A1257" i="209"/>
  <c r="L1250" i="209"/>
  <c r="N1249" i="209"/>
  <c r="K1249" i="209"/>
  <c r="F1249" i="209"/>
  <c r="M1249" i="209" s="1"/>
  <c r="E1249" i="209"/>
  <c r="N1248" i="209"/>
  <c r="K1248" i="209"/>
  <c r="F1248" i="209"/>
  <c r="M1248" i="209" s="1"/>
  <c r="E1248" i="209"/>
  <c r="N1247" i="209"/>
  <c r="K1247" i="209"/>
  <c r="F1247" i="209"/>
  <c r="M1247" i="209" s="1"/>
  <c r="E1247" i="209"/>
  <c r="N1246" i="209"/>
  <c r="K1246" i="209"/>
  <c r="F1246" i="209"/>
  <c r="M1246" i="209" s="1"/>
  <c r="E1246" i="209"/>
  <c r="N1245" i="209"/>
  <c r="K1245" i="209"/>
  <c r="F1245" i="209"/>
  <c r="E1245" i="209"/>
  <c r="E1250" i="209" s="1"/>
  <c r="D84" i="196" s="1"/>
  <c r="N1235" i="209"/>
  <c r="L1235" i="209"/>
  <c r="K1235" i="209"/>
  <c r="F1235" i="209"/>
  <c r="E1235" i="209"/>
  <c r="M1234" i="209"/>
  <c r="M1235" i="209" s="1"/>
  <c r="N1231" i="209"/>
  <c r="L1231" i="209"/>
  <c r="K1231" i="209"/>
  <c r="F1231" i="209"/>
  <c r="E1231" i="209"/>
  <c r="M1230" i="209"/>
  <c r="M1229" i="209"/>
  <c r="M1228" i="209"/>
  <c r="M1227" i="209"/>
  <c r="M1226" i="209"/>
  <c r="M1225" i="209"/>
  <c r="M1224" i="209"/>
  <c r="M1223" i="209"/>
  <c r="M1222" i="209"/>
  <c r="M1221" i="209"/>
  <c r="M1220" i="209"/>
  <c r="M1219" i="209"/>
  <c r="M1218" i="209"/>
  <c r="M1217" i="209"/>
  <c r="A1217" i="209"/>
  <c r="A1218" i="209" s="1"/>
  <c r="A1219" i="209" s="1"/>
  <c r="A1220" i="209" s="1"/>
  <c r="A1221" i="209" s="1"/>
  <c r="A1222" i="209" s="1"/>
  <c r="A1223" i="209" s="1"/>
  <c r="A1224" i="209" s="1"/>
  <c r="A1225" i="209" s="1"/>
  <c r="A1226" i="209" s="1"/>
  <c r="A1227" i="209" s="1"/>
  <c r="A1228" i="209" s="1"/>
  <c r="A1229" i="209" s="1"/>
  <c r="A1230" i="209" s="1"/>
  <c r="A1231" i="209" s="1"/>
  <c r="A1233" i="209" s="1"/>
  <c r="A1234" i="209" s="1"/>
  <c r="A1235" i="209" s="1"/>
  <c r="A1237" i="209" s="1"/>
  <c r="A1239" i="209" s="1"/>
  <c r="A1241" i="209" s="1"/>
  <c r="A1244" i="209" s="1"/>
  <c r="A1245" i="209" s="1"/>
  <c r="A1246" i="209" s="1"/>
  <c r="A1247" i="209" s="1"/>
  <c r="A1248" i="209" s="1"/>
  <c r="A1249" i="209" s="1"/>
  <c r="A1250" i="209" s="1"/>
  <c r="A1252" i="209" s="1"/>
  <c r="O1214" i="209"/>
  <c r="N1214" i="209"/>
  <c r="M1214" i="209"/>
  <c r="L1214" i="209"/>
  <c r="K1214" i="209"/>
  <c r="J1214" i="209"/>
  <c r="I1214" i="209"/>
  <c r="A1207" i="209"/>
  <c r="O1205" i="209"/>
  <c r="A1202" i="209"/>
  <c r="L1197" i="209"/>
  <c r="M1196" i="209"/>
  <c r="M1195" i="209"/>
  <c r="M1194" i="209"/>
  <c r="M1193" i="209"/>
  <c r="M1192" i="209"/>
  <c r="M1191" i="209"/>
  <c r="M1190" i="209"/>
  <c r="M1189" i="209"/>
  <c r="M1188" i="209"/>
  <c r="N1187" i="209"/>
  <c r="K1187" i="209"/>
  <c r="F1187" i="209"/>
  <c r="M1187" i="209" s="1"/>
  <c r="E1187" i="209"/>
  <c r="N1186" i="209"/>
  <c r="K1186" i="209"/>
  <c r="F1186" i="209"/>
  <c r="M1186" i="209" s="1"/>
  <c r="M1185" i="209"/>
  <c r="M1184" i="209"/>
  <c r="F1183" i="209"/>
  <c r="M1183" i="209" s="1"/>
  <c r="E1183" i="209"/>
  <c r="M1182" i="209"/>
  <c r="M1181" i="209"/>
  <c r="N1180" i="209"/>
  <c r="K1180" i="209"/>
  <c r="F1180" i="209"/>
  <c r="M1180" i="209" s="1"/>
  <c r="E1180" i="209"/>
  <c r="M1179" i="209"/>
  <c r="K1178" i="209"/>
  <c r="F1178" i="209"/>
  <c r="E1178" i="209"/>
  <c r="M1177" i="209"/>
  <c r="M1176" i="209"/>
  <c r="M1175" i="209"/>
  <c r="M1174" i="209"/>
  <c r="M1173" i="209"/>
  <c r="M1172" i="209"/>
  <c r="M1171" i="209"/>
  <c r="M1170" i="209"/>
  <c r="M1169" i="209"/>
  <c r="M1168" i="209"/>
  <c r="M1167" i="209"/>
  <c r="N1164" i="209"/>
  <c r="L1164" i="209"/>
  <c r="K1164" i="209"/>
  <c r="F1164" i="209"/>
  <c r="E1164" i="209"/>
  <c r="M1163" i="209"/>
  <c r="M1162" i="209"/>
  <c r="M1161" i="209"/>
  <c r="M1160" i="209"/>
  <c r="M1159" i="209"/>
  <c r="M1158" i="209"/>
  <c r="A1158" i="209"/>
  <c r="A1159" i="209" s="1"/>
  <c r="A1160" i="209" s="1"/>
  <c r="A1161" i="209" s="1"/>
  <c r="A1162" i="209" s="1"/>
  <c r="A1163" i="209" s="1"/>
  <c r="A1164" i="209" s="1"/>
  <c r="A1166" i="209" s="1"/>
  <c r="A1167" i="209" s="1"/>
  <c r="A1168" i="209" s="1"/>
  <c r="A1169" i="209" s="1"/>
  <c r="A1170" i="209" s="1"/>
  <c r="A1171" i="209" s="1"/>
  <c r="A1172" i="209" s="1"/>
  <c r="A1173" i="209" s="1"/>
  <c r="A1174" i="209" s="1"/>
  <c r="A1175" i="209" s="1"/>
  <c r="A1176" i="209" s="1"/>
  <c r="A1177" i="209" s="1"/>
  <c r="A1178" i="209" s="1"/>
  <c r="A1179" i="209" s="1"/>
  <c r="A1180" i="209" s="1"/>
  <c r="A1181" i="209" s="1"/>
  <c r="A1182" i="209" s="1"/>
  <c r="A1183" i="209" s="1"/>
  <c r="A1184" i="209" s="1"/>
  <c r="A1185" i="209" s="1"/>
  <c r="A1186" i="209" s="1"/>
  <c r="A1187" i="209" s="1"/>
  <c r="A1188" i="209" s="1"/>
  <c r="A1189" i="209" s="1"/>
  <c r="A1190" i="209" s="1"/>
  <c r="A1191" i="209" s="1"/>
  <c r="A1192" i="209" s="1"/>
  <c r="A1193" i="209" s="1"/>
  <c r="A1194" i="209" s="1"/>
  <c r="A1195" i="209" s="1"/>
  <c r="A1196" i="209" s="1"/>
  <c r="A1197" i="209" s="1"/>
  <c r="O1155" i="209"/>
  <c r="N1155" i="209"/>
  <c r="M1155" i="209"/>
  <c r="L1155" i="209"/>
  <c r="K1155" i="209"/>
  <c r="J1155" i="209"/>
  <c r="I1155" i="209"/>
  <c r="A1148" i="209"/>
  <c r="O1146" i="209"/>
  <c r="A1143" i="209"/>
  <c r="L1136" i="209"/>
  <c r="N1135" i="209"/>
  <c r="K1135" i="209"/>
  <c r="F1135" i="209"/>
  <c r="M1135" i="209" s="1"/>
  <c r="E1135" i="209"/>
  <c r="N1134" i="209"/>
  <c r="K1134" i="209"/>
  <c r="F1134" i="209"/>
  <c r="M1134" i="209" s="1"/>
  <c r="E1134" i="209"/>
  <c r="N1133" i="209"/>
  <c r="K1133" i="209"/>
  <c r="F1133" i="209"/>
  <c r="M1133" i="209" s="1"/>
  <c r="E1133" i="209"/>
  <c r="N1132" i="209"/>
  <c r="K1132" i="209"/>
  <c r="F1132" i="209"/>
  <c r="M1132" i="209" s="1"/>
  <c r="E1132" i="209"/>
  <c r="N1131" i="209"/>
  <c r="K1131" i="209"/>
  <c r="F1131" i="209"/>
  <c r="M1131" i="209" s="1"/>
  <c r="E1131" i="209"/>
  <c r="N1121" i="209"/>
  <c r="L1121" i="209"/>
  <c r="K1121" i="209"/>
  <c r="F1121" i="209"/>
  <c r="E1121" i="209"/>
  <c r="M1120" i="209"/>
  <c r="M1121" i="209" s="1"/>
  <c r="N1117" i="209"/>
  <c r="L1117" i="209"/>
  <c r="K1117" i="209"/>
  <c r="F1117" i="209"/>
  <c r="E1117" i="209"/>
  <c r="M1116" i="209"/>
  <c r="M1115" i="209"/>
  <c r="M1114" i="209"/>
  <c r="M1113" i="209"/>
  <c r="M1112" i="209"/>
  <c r="M1111" i="209"/>
  <c r="M1110" i="209"/>
  <c r="M1109" i="209"/>
  <c r="M1108" i="209"/>
  <c r="M1107" i="209"/>
  <c r="M1106" i="209"/>
  <c r="M1105" i="209"/>
  <c r="M1104" i="209"/>
  <c r="M1103" i="209"/>
  <c r="A1103" i="209"/>
  <c r="A1104" i="209" s="1"/>
  <c r="A1105" i="209" s="1"/>
  <c r="A1106" i="209" s="1"/>
  <c r="A1107" i="209" s="1"/>
  <c r="A1108" i="209" s="1"/>
  <c r="A1109" i="209" s="1"/>
  <c r="A1110" i="209" s="1"/>
  <c r="A1111" i="209" s="1"/>
  <c r="A1112" i="209" s="1"/>
  <c r="A1113" i="209" s="1"/>
  <c r="A1114" i="209" s="1"/>
  <c r="A1115" i="209" s="1"/>
  <c r="A1116" i="209" s="1"/>
  <c r="A1117" i="209" s="1"/>
  <c r="A1119" i="209" s="1"/>
  <c r="A1120" i="209" s="1"/>
  <c r="A1121" i="209" s="1"/>
  <c r="A1123" i="209" s="1"/>
  <c r="A1125" i="209" s="1"/>
  <c r="A1127" i="209" s="1"/>
  <c r="A1130" i="209" s="1"/>
  <c r="A1131" i="209" s="1"/>
  <c r="A1132" i="209" s="1"/>
  <c r="A1133" i="209" s="1"/>
  <c r="A1134" i="209" s="1"/>
  <c r="A1135" i="209" s="1"/>
  <c r="A1136" i="209" s="1"/>
  <c r="A1138" i="209" s="1"/>
  <c r="O1100" i="209"/>
  <c r="N1100" i="209"/>
  <c r="M1100" i="209"/>
  <c r="L1100" i="209"/>
  <c r="K1100" i="209"/>
  <c r="J1100" i="209"/>
  <c r="I1100" i="209"/>
  <c r="A1093" i="209"/>
  <c r="O1091" i="209"/>
  <c r="A1088" i="209"/>
  <c r="L1083" i="209"/>
  <c r="M1082" i="209"/>
  <c r="M1081" i="209"/>
  <c r="M1080" i="209"/>
  <c r="M1079" i="209"/>
  <c r="M1078" i="209"/>
  <c r="M1077" i="209"/>
  <c r="M1076" i="209"/>
  <c r="M1075" i="209"/>
  <c r="M1074" i="209"/>
  <c r="K1073" i="209"/>
  <c r="F1073" i="209"/>
  <c r="M1073" i="209" s="1"/>
  <c r="E1073" i="209"/>
  <c r="F1072" i="209"/>
  <c r="M1072" i="209" s="1"/>
  <c r="E1072" i="209"/>
  <c r="M1071" i="209"/>
  <c r="M1070" i="209"/>
  <c r="F1069" i="209"/>
  <c r="M1069" i="209" s="1"/>
  <c r="E1069" i="209"/>
  <c r="M1068" i="209"/>
  <c r="M1067" i="209"/>
  <c r="N1066" i="209"/>
  <c r="K1066" i="209"/>
  <c r="M1065" i="209"/>
  <c r="K1064" i="209"/>
  <c r="F1064" i="209"/>
  <c r="M1064" i="209" s="1"/>
  <c r="E1064" i="209"/>
  <c r="M1063" i="209"/>
  <c r="M1062" i="209"/>
  <c r="M1061" i="209"/>
  <c r="M1060" i="209"/>
  <c r="M1059" i="209"/>
  <c r="M1058" i="209"/>
  <c r="M1057" i="209"/>
  <c r="M1056" i="209"/>
  <c r="M1055" i="209"/>
  <c r="M1054" i="209"/>
  <c r="M1053" i="209"/>
  <c r="N1050" i="209"/>
  <c r="L1050" i="209"/>
  <c r="K1050" i="209"/>
  <c r="F1050" i="209"/>
  <c r="E1050" i="209"/>
  <c r="M1049" i="209"/>
  <c r="M1048" i="209"/>
  <c r="M1047" i="209"/>
  <c r="M1046" i="209"/>
  <c r="M1045" i="209"/>
  <c r="M1044" i="209"/>
  <c r="A1044" i="209"/>
  <c r="A1045" i="209" s="1"/>
  <c r="A1046" i="209" s="1"/>
  <c r="A1047" i="209" s="1"/>
  <c r="A1048" i="209" s="1"/>
  <c r="A1049" i="209" s="1"/>
  <c r="A1050" i="209" s="1"/>
  <c r="A1052" i="209" s="1"/>
  <c r="A1053" i="209" s="1"/>
  <c r="A1054" i="209" s="1"/>
  <c r="A1055" i="209" s="1"/>
  <c r="A1056" i="209" s="1"/>
  <c r="A1057" i="209" s="1"/>
  <c r="A1058" i="209" s="1"/>
  <c r="A1059" i="209" s="1"/>
  <c r="A1060" i="209" s="1"/>
  <c r="A1061" i="209" s="1"/>
  <c r="A1062" i="209" s="1"/>
  <c r="A1063" i="209" s="1"/>
  <c r="A1064" i="209" s="1"/>
  <c r="A1065" i="209" s="1"/>
  <c r="A1066" i="209" s="1"/>
  <c r="A1067" i="209" s="1"/>
  <c r="A1068" i="209" s="1"/>
  <c r="A1069" i="209" s="1"/>
  <c r="A1070" i="209" s="1"/>
  <c r="A1071" i="209" s="1"/>
  <c r="A1072" i="209" s="1"/>
  <c r="A1073" i="209" s="1"/>
  <c r="A1074" i="209" s="1"/>
  <c r="A1075" i="209" s="1"/>
  <c r="A1076" i="209" s="1"/>
  <c r="A1077" i="209" s="1"/>
  <c r="A1078" i="209" s="1"/>
  <c r="A1079" i="209" s="1"/>
  <c r="A1080" i="209" s="1"/>
  <c r="A1081" i="209" s="1"/>
  <c r="A1082" i="209" s="1"/>
  <c r="A1083" i="209" s="1"/>
  <c r="O1041" i="209"/>
  <c r="N1041" i="209"/>
  <c r="M1041" i="209"/>
  <c r="L1041" i="209"/>
  <c r="K1041" i="209"/>
  <c r="J1041" i="209"/>
  <c r="I1041" i="209"/>
  <c r="A1034" i="209"/>
  <c r="O1032" i="209"/>
  <c r="A1029" i="209"/>
  <c r="L1022" i="209"/>
  <c r="J82" i="196" s="1"/>
  <c r="N1021" i="209"/>
  <c r="K1021" i="209"/>
  <c r="F1021" i="209"/>
  <c r="M1021" i="209" s="1"/>
  <c r="E1021" i="209"/>
  <c r="N1020" i="209"/>
  <c r="K1020" i="209"/>
  <c r="F1020" i="209"/>
  <c r="E1020" i="209"/>
  <c r="N1019" i="209"/>
  <c r="K1019" i="209"/>
  <c r="F1019" i="209"/>
  <c r="E1019" i="209"/>
  <c r="N1018" i="209"/>
  <c r="K1018" i="209"/>
  <c r="F1018" i="209"/>
  <c r="M1018" i="209" s="1"/>
  <c r="E1018" i="209"/>
  <c r="N1017" i="209"/>
  <c r="K1017" i="209"/>
  <c r="F1017" i="209"/>
  <c r="M1017" i="209" s="1"/>
  <c r="E1017" i="209"/>
  <c r="N1007" i="209"/>
  <c r="L1007" i="209"/>
  <c r="K1007" i="209"/>
  <c r="F1007" i="209"/>
  <c r="E1007" i="209"/>
  <c r="M1006" i="209"/>
  <c r="M1007" i="209" s="1"/>
  <c r="N1003" i="209"/>
  <c r="L1003" i="209"/>
  <c r="K1003" i="209"/>
  <c r="F1003" i="209"/>
  <c r="E1003" i="209"/>
  <c r="M1002" i="209"/>
  <c r="M1001" i="209"/>
  <c r="M1000" i="209"/>
  <c r="M999" i="209"/>
  <c r="M998" i="209"/>
  <c r="M997" i="209"/>
  <c r="M996" i="209"/>
  <c r="M995" i="209"/>
  <c r="M994" i="209"/>
  <c r="M993" i="209"/>
  <c r="M992" i="209"/>
  <c r="M991" i="209"/>
  <c r="M990" i="209"/>
  <c r="M989" i="209"/>
  <c r="A989" i="209"/>
  <c r="A990" i="209" s="1"/>
  <c r="A991" i="209" s="1"/>
  <c r="A992" i="209" s="1"/>
  <c r="A993" i="209" s="1"/>
  <c r="A994" i="209" s="1"/>
  <c r="A995" i="209" s="1"/>
  <c r="A996" i="209" s="1"/>
  <c r="A997" i="209" s="1"/>
  <c r="A998" i="209" s="1"/>
  <c r="A999" i="209" s="1"/>
  <c r="A1000" i="209" s="1"/>
  <c r="A1001" i="209" s="1"/>
  <c r="A1002" i="209" s="1"/>
  <c r="A1003" i="209" s="1"/>
  <c r="A1005" i="209" s="1"/>
  <c r="A1006" i="209" s="1"/>
  <c r="A1007" i="209" s="1"/>
  <c r="A1009" i="209" s="1"/>
  <c r="A1011" i="209" s="1"/>
  <c r="A1013" i="209" s="1"/>
  <c r="A1016" i="209" s="1"/>
  <c r="A1017" i="209" s="1"/>
  <c r="A1018" i="209" s="1"/>
  <c r="A1019" i="209" s="1"/>
  <c r="A1020" i="209" s="1"/>
  <c r="A1021" i="209" s="1"/>
  <c r="A1022" i="209" s="1"/>
  <c r="A1024" i="209" s="1"/>
  <c r="O986" i="209"/>
  <c r="N986" i="209"/>
  <c r="M986" i="209"/>
  <c r="L986" i="209"/>
  <c r="K986" i="209"/>
  <c r="J986" i="209"/>
  <c r="I986" i="209"/>
  <c r="A979" i="209"/>
  <c r="O977" i="209"/>
  <c r="A974" i="209"/>
  <c r="L969" i="209"/>
  <c r="M968" i="209"/>
  <c r="M967" i="209"/>
  <c r="M966" i="209"/>
  <c r="M965" i="209"/>
  <c r="M964" i="209"/>
  <c r="M963" i="209"/>
  <c r="M962" i="209"/>
  <c r="M961" i="209"/>
  <c r="M960" i="209"/>
  <c r="K959" i="209"/>
  <c r="F959" i="209"/>
  <c r="E959" i="209"/>
  <c r="N958" i="209"/>
  <c r="M957" i="209"/>
  <c r="M956" i="209"/>
  <c r="N955" i="209"/>
  <c r="K955" i="209"/>
  <c r="F955" i="209"/>
  <c r="M954" i="209"/>
  <c r="M953" i="209"/>
  <c r="N952" i="209"/>
  <c r="E952" i="209"/>
  <c r="M951" i="209"/>
  <c r="K950" i="209"/>
  <c r="F950" i="209"/>
  <c r="M950" i="209" s="1"/>
  <c r="E950" i="209"/>
  <c r="M949" i="209"/>
  <c r="M948" i="209"/>
  <c r="M947" i="209"/>
  <c r="M946" i="209"/>
  <c r="M945" i="209"/>
  <c r="M944" i="209"/>
  <c r="M943" i="209"/>
  <c r="M942" i="209"/>
  <c r="M941" i="209"/>
  <c r="M940" i="209"/>
  <c r="M939" i="209"/>
  <c r="N936" i="209"/>
  <c r="L936" i="209"/>
  <c r="K936" i="209"/>
  <c r="F936" i="209"/>
  <c r="E936" i="209"/>
  <c r="M935" i="209"/>
  <c r="M934" i="209"/>
  <c r="M933" i="209"/>
  <c r="M932" i="209"/>
  <c r="M931" i="209"/>
  <c r="M930" i="209"/>
  <c r="A930" i="209"/>
  <c r="A931" i="209" s="1"/>
  <c r="A932" i="209" s="1"/>
  <c r="A933" i="209" s="1"/>
  <c r="A934" i="209" s="1"/>
  <c r="A935" i="209" s="1"/>
  <c r="A936" i="209" s="1"/>
  <c r="A938" i="209" s="1"/>
  <c r="A939" i="209" s="1"/>
  <c r="A940" i="209" s="1"/>
  <c r="A941" i="209" s="1"/>
  <c r="A942" i="209" s="1"/>
  <c r="A943" i="209" s="1"/>
  <c r="A944" i="209" s="1"/>
  <c r="A945" i="209" s="1"/>
  <c r="A946" i="209" s="1"/>
  <c r="A947" i="209" s="1"/>
  <c r="A948" i="209" s="1"/>
  <c r="A949" i="209" s="1"/>
  <c r="A950" i="209" s="1"/>
  <c r="A951" i="209" s="1"/>
  <c r="A952" i="209" s="1"/>
  <c r="A953" i="209" s="1"/>
  <c r="A954" i="209" s="1"/>
  <c r="A955" i="209" s="1"/>
  <c r="A956" i="209" s="1"/>
  <c r="A957" i="209" s="1"/>
  <c r="A958" i="209" s="1"/>
  <c r="A959" i="209" s="1"/>
  <c r="A960" i="209" s="1"/>
  <c r="A961" i="209" s="1"/>
  <c r="A962" i="209" s="1"/>
  <c r="A963" i="209" s="1"/>
  <c r="A964" i="209" s="1"/>
  <c r="A965" i="209" s="1"/>
  <c r="A966" i="209" s="1"/>
  <c r="A967" i="209" s="1"/>
  <c r="A968" i="209" s="1"/>
  <c r="A969" i="209" s="1"/>
  <c r="O927" i="209"/>
  <c r="N927" i="209"/>
  <c r="M927" i="209"/>
  <c r="L927" i="209"/>
  <c r="K927" i="209"/>
  <c r="J927" i="209"/>
  <c r="I927" i="209"/>
  <c r="A920" i="209"/>
  <c r="O918" i="209"/>
  <c r="A915" i="209"/>
  <c r="L908" i="209"/>
  <c r="J81" i="196" s="1"/>
  <c r="N907" i="209"/>
  <c r="M907" i="209"/>
  <c r="K907" i="209"/>
  <c r="F907" i="209"/>
  <c r="E907" i="209"/>
  <c r="N906" i="209"/>
  <c r="K906" i="209"/>
  <c r="F906" i="209"/>
  <c r="M906" i="209" s="1"/>
  <c r="E906" i="209"/>
  <c r="N905" i="209"/>
  <c r="K905" i="209"/>
  <c r="F905" i="209"/>
  <c r="M905" i="209" s="1"/>
  <c r="E905" i="209"/>
  <c r="N904" i="209"/>
  <c r="K904" i="209"/>
  <c r="F904" i="209"/>
  <c r="M904" i="209" s="1"/>
  <c r="E904" i="209"/>
  <c r="N903" i="209"/>
  <c r="K903" i="209"/>
  <c r="F903" i="209"/>
  <c r="M903" i="209" s="1"/>
  <c r="E903" i="209"/>
  <c r="N893" i="209"/>
  <c r="L893" i="209"/>
  <c r="K893" i="209"/>
  <c r="F893" i="209"/>
  <c r="E893" i="209"/>
  <c r="M892" i="209"/>
  <c r="M893" i="209" s="1"/>
  <c r="N889" i="209"/>
  <c r="L889" i="209"/>
  <c r="K889" i="209"/>
  <c r="F889" i="209"/>
  <c r="E889" i="209"/>
  <c r="M888" i="209"/>
  <c r="M887" i="209"/>
  <c r="M886" i="209"/>
  <c r="M885" i="209"/>
  <c r="M884" i="209"/>
  <c r="M883" i="209"/>
  <c r="M882" i="209"/>
  <c r="M881" i="209"/>
  <c r="M880" i="209"/>
  <c r="M879" i="209"/>
  <c r="M878" i="209"/>
  <c r="M877" i="209"/>
  <c r="M876" i="209"/>
  <c r="M875" i="209"/>
  <c r="A875" i="209"/>
  <c r="A876" i="209" s="1"/>
  <c r="A877" i="209" s="1"/>
  <c r="A878" i="209" s="1"/>
  <c r="A879" i="209" s="1"/>
  <c r="A880" i="209" s="1"/>
  <c r="A881" i="209" s="1"/>
  <c r="A882" i="209" s="1"/>
  <c r="A883" i="209" s="1"/>
  <c r="A884" i="209" s="1"/>
  <c r="A885" i="209" s="1"/>
  <c r="A886" i="209" s="1"/>
  <c r="A887" i="209" s="1"/>
  <c r="A888" i="209" s="1"/>
  <c r="A889" i="209" s="1"/>
  <c r="A891" i="209" s="1"/>
  <c r="A892" i="209" s="1"/>
  <c r="A893" i="209" s="1"/>
  <c r="A895" i="209" s="1"/>
  <c r="A897" i="209" s="1"/>
  <c r="A899" i="209" s="1"/>
  <c r="A902" i="209" s="1"/>
  <c r="A903" i="209" s="1"/>
  <c r="A904" i="209" s="1"/>
  <c r="A905" i="209" s="1"/>
  <c r="A906" i="209" s="1"/>
  <c r="A907" i="209" s="1"/>
  <c r="A908" i="209" s="1"/>
  <c r="A910" i="209" s="1"/>
  <c r="O872" i="209"/>
  <c r="N872" i="209"/>
  <c r="M872" i="209"/>
  <c r="L872" i="209"/>
  <c r="K872" i="209"/>
  <c r="J872" i="209"/>
  <c r="I872" i="209"/>
  <c r="A865" i="209"/>
  <c r="O863" i="209"/>
  <c r="A863" i="209"/>
  <c r="A860" i="209"/>
  <c r="L855" i="209"/>
  <c r="M854" i="209"/>
  <c r="M853" i="209"/>
  <c r="M852" i="209"/>
  <c r="M851" i="209"/>
  <c r="M850" i="209"/>
  <c r="M849" i="209"/>
  <c r="M848" i="209"/>
  <c r="M847" i="209"/>
  <c r="M846" i="209"/>
  <c r="K845" i="209"/>
  <c r="F845" i="209"/>
  <c r="M845" i="209" s="1"/>
  <c r="E845" i="209"/>
  <c r="N844" i="209"/>
  <c r="M843" i="209"/>
  <c r="M842" i="209"/>
  <c r="N841" i="209"/>
  <c r="K841" i="209"/>
  <c r="E841" i="209"/>
  <c r="M840" i="209"/>
  <c r="M839" i="209"/>
  <c r="N838" i="209"/>
  <c r="K838" i="209"/>
  <c r="F838" i="209"/>
  <c r="M838" i="209" s="1"/>
  <c r="E838" i="209"/>
  <c r="M837" i="209"/>
  <c r="K836" i="209"/>
  <c r="F836" i="209"/>
  <c r="M836" i="209" s="1"/>
  <c r="E836" i="209"/>
  <c r="M835" i="209"/>
  <c r="M834" i="209"/>
  <c r="M833" i="209"/>
  <c r="M832" i="209"/>
  <c r="M831" i="209"/>
  <c r="M830" i="209"/>
  <c r="M829" i="209"/>
  <c r="M828" i="209"/>
  <c r="M827" i="209"/>
  <c r="M826" i="209"/>
  <c r="M825" i="209"/>
  <c r="N822" i="209"/>
  <c r="L822" i="209"/>
  <c r="K822" i="209"/>
  <c r="F822" i="209"/>
  <c r="E822" i="209"/>
  <c r="M821" i="209"/>
  <c r="M820" i="209"/>
  <c r="M819" i="209"/>
  <c r="M818" i="209"/>
  <c r="M817" i="209"/>
  <c r="M816" i="209"/>
  <c r="A816" i="209"/>
  <c r="A817" i="209" s="1"/>
  <c r="A818" i="209" s="1"/>
  <c r="A819" i="209" s="1"/>
  <c r="A820" i="209" s="1"/>
  <c r="A821" i="209" s="1"/>
  <c r="A822" i="209" s="1"/>
  <c r="A824" i="209" s="1"/>
  <c r="A825" i="209" s="1"/>
  <c r="A826" i="209" s="1"/>
  <c r="A827" i="209" s="1"/>
  <c r="A828" i="209" s="1"/>
  <c r="A829" i="209" s="1"/>
  <c r="A830" i="209" s="1"/>
  <c r="A831" i="209" s="1"/>
  <c r="A832" i="209" s="1"/>
  <c r="A833" i="209" s="1"/>
  <c r="A834" i="209" s="1"/>
  <c r="A835" i="209" s="1"/>
  <c r="A836" i="209" s="1"/>
  <c r="A837" i="209" s="1"/>
  <c r="A838" i="209" s="1"/>
  <c r="A839" i="209" s="1"/>
  <c r="A840" i="209" s="1"/>
  <c r="A841" i="209" s="1"/>
  <c r="A842" i="209" s="1"/>
  <c r="A843" i="209" s="1"/>
  <c r="A844" i="209" s="1"/>
  <c r="A845" i="209" s="1"/>
  <c r="A846" i="209" s="1"/>
  <c r="A847" i="209" s="1"/>
  <c r="A848" i="209" s="1"/>
  <c r="A849" i="209" s="1"/>
  <c r="A850" i="209" s="1"/>
  <c r="A851" i="209" s="1"/>
  <c r="A852" i="209" s="1"/>
  <c r="A853" i="209" s="1"/>
  <c r="A854" i="209" s="1"/>
  <c r="A855" i="209" s="1"/>
  <c r="O813" i="209"/>
  <c r="N813" i="209"/>
  <c r="M813" i="209"/>
  <c r="L813" i="209"/>
  <c r="K813" i="209"/>
  <c r="J813" i="209"/>
  <c r="I813" i="209"/>
  <c r="A806" i="209"/>
  <c r="O804" i="209"/>
  <c r="A801" i="209"/>
  <c r="L794" i="209"/>
  <c r="J80" i="196" s="1"/>
  <c r="N793" i="209"/>
  <c r="K793" i="209"/>
  <c r="F793" i="209"/>
  <c r="M793" i="209" s="1"/>
  <c r="E793" i="209"/>
  <c r="N792" i="209"/>
  <c r="K792" i="209"/>
  <c r="F792" i="209"/>
  <c r="M792" i="209" s="1"/>
  <c r="E792" i="209"/>
  <c r="N791" i="209"/>
  <c r="K791" i="209"/>
  <c r="F791" i="209"/>
  <c r="M791" i="209" s="1"/>
  <c r="E791" i="209"/>
  <c r="N790" i="209"/>
  <c r="K790" i="209"/>
  <c r="F790" i="209"/>
  <c r="M790" i="209" s="1"/>
  <c r="E790" i="209"/>
  <c r="N789" i="209"/>
  <c r="K789" i="209"/>
  <c r="F789" i="209"/>
  <c r="M789" i="209" s="1"/>
  <c r="E789" i="209"/>
  <c r="N779" i="209"/>
  <c r="L779" i="209"/>
  <c r="K779" i="209"/>
  <c r="F779" i="209"/>
  <c r="E779" i="209"/>
  <c r="M778" i="209"/>
  <c r="M779" i="209" s="1"/>
  <c r="N775" i="209"/>
  <c r="L775" i="209"/>
  <c r="K775" i="209"/>
  <c r="F775" i="209"/>
  <c r="E775" i="209"/>
  <c r="M774" i="209"/>
  <c r="M773" i="209"/>
  <c r="M772" i="209"/>
  <c r="M771" i="209"/>
  <c r="M770" i="209"/>
  <c r="M769" i="209"/>
  <c r="M768" i="209"/>
  <c r="M767" i="209"/>
  <c r="M766" i="209"/>
  <c r="M765" i="209"/>
  <c r="M764" i="209"/>
  <c r="M763" i="209"/>
  <c r="M762" i="209"/>
  <c r="M761" i="209"/>
  <c r="A761" i="209"/>
  <c r="A762" i="209" s="1"/>
  <c r="A763" i="209" s="1"/>
  <c r="A764" i="209" s="1"/>
  <c r="A765" i="209" s="1"/>
  <c r="A766" i="209" s="1"/>
  <c r="A767" i="209" s="1"/>
  <c r="A768" i="209" s="1"/>
  <c r="A769" i="209" s="1"/>
  <c r="A770" i="209" s="1"/>
  <c r="A771" i="209" s="1"/>
  <c r="A772" i="209" s="1"/>
  <c r="A773" i="209" s="1"/>
  <c r="A774" i="209" s="1"/>
  <c r="A775" i="209" s="1"/>
  <c r="A777" i="209" s="1"/>
  <c r="A778" i="209" s="1"/>
  <c r="A779" i="209" s="1"/>
  <c r="A781" i="209" s="1"/>
  <c r="A783" i="209" s="1"/>
  <c r="A785" i="209" s="1"/>
  <c r="A788" i="209" s="1"/>
  <c r="A789" i="209" s="1"/>
  <c r="A790" i="209" s="1"/>
  <c r="A791" i="209" s="1"/>
  <c r="A792" i="209" s="1"/>
  <c r="A793" i="209" s="1"/>
  <c r="A794" i="209" s="1"/>
  <c r="A796" i="209" s="1"/>
  <c r="O758" i="209"/>
  <c r="N758" i="209"/>
  <c r="M758" i="209"/>
  <c r="L758" i="209"/>
  <c r="K758" i="209"/>
  <c r="J758" i="209"/>
  <c r="I758" i="209"/>
  <c r="A751" i="209"/>
  <c r="O749" i="209"/>
  <c r="A749" i="209"/>
  <c r="A746" i="209"/>
  <c r="L741" i="209"/>
  <c r="M740" i="209"/>
  <c r="M739" i="209"/>
  <c r="M738" i="209"/>
  <c r="M737" i="209"/>
  <c r="M736" i="209"/>
  <c r="M735" i="209"/>
  <c r="M734" i="209"/>
  <c r="M733" i="209"/>
  <c r="M732" i="209"/>
  <c r="K731" i="209"/>
  <c r="F731" i="209"/>
  <c r="M731" i="209" s="1"/>
  <c r="E731" i="209"/>
  <c r="N730" i="209"/>
  <c r="M729" i="209"/>
  <c r="M728" i="209"/>
  <c r="M727" i="209"/>
  <c r="K727" i="209"/>
  <c r="F727" i="209"/>
  <c r="E727" i="209"/>
  <c r="M726" i="209"/>
  <c r="M725" i="209"/>
  <c r="N724" i="209"/>
  <c r="M723" i="209"/>
  <c r="F722" i="209"/>
  <c r="E722" i="209"/>
  <c r="M721" i="209"/>
  <c r="M720" i="209"/>
  <c r="M719" i="209"/>
  <c r="M718" i="209"/>
  <c r="M717" i="209"/>
  <c r="M716" i="209"/>
  <c r="M715" i="209"/>
  <c r="M714" i="209"/>
  <c r="M713" i="209"/>
  <c r="M712" i="209"/>
  <c r="M711" i="209"/>
  <c r="N708" i="209"/>
  <c r="L708" i="209"/>
  <c r="K708" i="209"/>
  <c r="F708" i="209"/>
  <c r="E708" i="209"/>
  <c r="M707" i="209"/>
  <c r="M706" i="209"/>
  <c r="M705" i="209"/>
  <c r="M704" i="209"/>
  <c r="M703" i="209"/>
  <c r="M702" i="209"/>
  <c r="A702" i="209"/>
  <c r="A703" i="209" s="1"/>
  <c r="A704" i="209" s="1"/>
  <c r="A705" i="209" s="1"/>
  <c r="A706" i="209" s="1"/>
  <c r="A707" i="209" s="1"/>
  <c r="A708" i="209" s="1"/>
  <c r="A710" i="209" s="1"/>
  <c r="A711" i="209" s="1"/>
  <c r="A712" i="209" s="1"/>
  <c r="A713" i="209" s="1"/>
  <c r="A714" i="209" s="1"/>
  <c r="A715" i="209" s="1"/>
  <c r="A716" i="209" s="1"/>
  <c r="A717" i="209" s="1"/>
  <c r="A718" i="209" s="1"/>
  <c r="A719" i="209" s="1"/>
  <c r="A720" i="209" s="1"/>
  <c r="A721" i="209" s="1"/>
  <c r="A722" i="209" s="1"/>
  <c r="A723" i="209" s="1"/>
  <c r="A724" i="209" s="1"/>
  <c r="A725" i="209" s="1"/>
  <c r="A726" i="209" s="1"/>
  <c r="A727" i="209" s="1"/>
  <c r="A728" i="209" s="1"/>
  <c r="A729" i="209" s="1"/>
  <c r="A730" i="209" s="1"/>
  <c r="A731" i="209" s="1"/>
  <c r="A732" i="209" s="1"/>
  <c r="A733" i="209" s="1"/>
  <c r="A734" i="209" s="1"/>
  <c r="A735" i="209" s="1"/>
  <c r="A736" i="209" s="1"/>
  <c r="A737" i="209" s="1"/>
  <c r="A738" i="209" s="1"/>
  <c r="A739" i="209" s="1"/>
  <c r="A740" i="209" s="1"/>
  <c r="A741" i="209" s="1"/>
  <c r="O699" i="209"/>
  <c r="N699" i="209"/>
  <c r="M699" i="209"/>
  <c r="L699" i="209"/>
  <c r="K699" i="209"/>
  <c r="J699" i="209"/>
  <c r="I699" i="209"/>
  <c r="A692" i="209"/>
  <c r="O690" i="209"/>
  <c r="A687" i="209"/>
  <c r="L680" i="209"/>
  <c r="J79" i="196" s="1"/>
  <c r="N679" i="209"/>
  <c r="K679" i="209"/>
  <c r="F679" i="209"/>
  <c r="M679" i="209" s="1"/>
  <c r="E679" i="209"/>
  <c r="N678" i="209"/>
  <c r="K678" i="209"/>
  <c r="F678" i="209"/>
  <c r="M678" i="209" s="1"/>
  <c r="N677" i="209"/>
  <c r="K677" i="209"/>
  <c r="F677" i="209"/>
  <c r="M677" i="209" s="1"/>
  <c r="E677" i="209"/>
  <c r="N676" i="209"/>
  <c r="K676" i="209"/>
  <c r="F676" i="209"/>
  <c r="M676" i="209" s="1"/>
  <c r="E676" i="209"/>
  <c r="N675" i="209"/>
  <c r="K675" i="209"/>
  <c r="F675" i="209"/>
  <c r="E675" i="209"/>
  <c r="N665" i="209"/>
  <c r="L665" i="209"/>
  <c r="K665" i="209"/>
  <c r="F665" i="209"/>
  <c r="E665" i="209"/>
  <c r="M664" i="209"/>
  <c r="M665" i="209" s="1"/>
  <c r="N661" i="209"/>
  <c r="L661" i="209"/>
  <c r="K661" i="209"/>
  <c r="F661" i="209"/>
  <c r="E661" i="209"/>
  <c r="M660" i="209"/>
  <c r="M659" i="209"/>
  <c r="M658" i="209"/>
  <c r="M657" i="209"/>
  <c r="M656" i="209"/>
  <c r="M655" i="209"/>
  <c r="M654" i="209"/>
  <c r="M653" i="209"/>
  <c r="M652" i="209"/>
  <c r="M651" i="209"/>
  <c r="M650" i="209"/>
  <c r="M649" i="209"/>
  <c r="M648" i="209"/>
  <c r="M647" i="209"/>
  <c r="A647" i="209"/>
  <c r="A648" i="209" s="1"/>
  <c r="A649" i="209" s="1"/>
  <c r="A650" i="209" s="1"/>
  <c r="A651" i="209" s="1"/>
  <c r="A652" i="209" s="1"/>
  <c r="A653" i="209" s="1"/>
  <c r="A654" i="209" s="1"/>
  <c r="A655" i="209" s="1"/>
  <c r="A656" i="209" s="1"/>
  <c r="A657" i="209" s="1"/>
  <c r="A658" i="209" s="1"/>
  <c r="A659" i="209" s="1"/>
  <c r="A660" i="209" s="1"/>
  <c r="A661" i="209" s="1"/>
  <c r="A663" i="209" s="1"/>
  <c r="A664" i="209" s="1"/>
  <c r="A665" i="209" s="1"/>
  <c r="A667" i="209" s="1"/>
  <c r="A669" i="209" s="1"/>
  <c r="A671" i="209" s="1"/>
  <c r="A674" i="209" s="1"/>
  <c r="A675" i="209" s="1"/>
  <c r="A676" i="209" s="1"/>
  <c r="A677" i="209" s="1"/>
  <c r="A678" i="209" s="1"/>
  <c r="A679" i="209" s="1"/>
  <c r="A680" i="209" s="1"/>
  <c r="A682" i="209" s="1"/>
  <c r="O644" i="209"/>
  <c r="N644" i="209"/>
  <c r="M644" i="209"/>
  <c r="L644" i="209"/>
  <c r="K644" i="209"/>
  <c r="J644" i="209"/>
  <c r="I644" i="209"/>
  <c r="A637" i="209"/>
  <c r="O635" i="209"/>
  <c r="A632" i="209"/>
  <c r="L627" i="209"/>
  <c r="M626" i="209"/>
  <c r="M625" i="209"/>
  <c r="M624" i="209"/>
  <c r="M623" i="209"/>
  <c r="M622" i="209"/>
  <c r="M621" i="209"/>
  <c r="M620" i="209"/>
  <c r="M619" i="209"/>
  <c r="M618" i="209"/>
  <c r="K617" i="209"/>
  <c r="F617" i="209"/>
  <c r="M617" i="209" s="1"/>
  <c r="E617" i="209"/>
  <c r="N616" i="209"/>
  <c r="K616" i="209"/>
  <c r="M615" i="209"/>
  <c r="M614" i="209"/>
  <c r="K613" i="209"/>
  <c r="F613" i="209"/>
  <c r="M613" i="209" s="1"/>
  <c r="E613" i="209"/>
  <c r="M612" i="209"/>
  <c r="M611" i="209"/>
  <c r="N610" i="209"/>
  <c r="E610" i="209"/>
  <c r="M609" i="209"/>
  <c r="K608" i="209"/>
  <c r="F608" i="209"/>
  <c r="M608" i="209" s="1"/>
  <c r="E608" i="209"/>
  <c r="M607" i="209"/>
  <c r="M606" i="209"/>
  <c r="M605" i="209"/>
  <c r="M604" i="209"/>
  <c r="M603" i="209"/>
  <c r="M602" i="209"/>
  <c r="M601" i="209"/>
  <c r="M600" i="209"/>
  <c r="M599" i="209"/>
  <c r="M598" i="209"/>
  <c r="M597" i="209"/>
  <c r="N594" i="209"/>
  <c r="L594" i="209"/>
  <c r="K594" i="209"/>
  <c r="F594" i="209"/>
  <c r="E594" i="209"/>
  <c r="M593" i="209"/>
  <c r="M592" i="209"/>
  <c r="M591" i="209"/>
  <c r="M590" i="209"/>
  <c r="M589" i="209"/>
  <c r="M588" i="209"/>
  <c r="A588" i="209"/>
  <c r="A589" i="209" s="1"/>
  <c r="A590" i="209" s="1"/>
  <c r="A591" i="209" s="1"/>
  <c r="A592" i="209" s="1"/>
  <c r="A593" i="209" s="1"/>
  <c r="A594" i="209" s="1"/>
  <c r="A596" i="209" s="1"/>
  <c r="A597" i="209" s="1"/>
  <c r="A598" i="209" s="1"/>
  <c r="A599" i="209" s="1"/>
  <c r="A600" i="209" s="1"/>
  <c r="A601" i="209" s="1"/>
  <c r="A602" i="209" s="1"/>
  <c r="A603" i="209" s="1"/>
  <c r="A604" i="209" s="1"/>
  <c r="A605" i="209" s="1"/>
  <c r="A606" i="209" s="1"/>
  <c r="A607" i="209" s="1"/>
  <c r="A608" i="209" s="1"/>
  <c r="A609" i="209" s="1"/>
  <c r="A610" i="209" s="1"/>
  <c r="A611" i="209" s="1"/>
  <c r="A612" i="209" s="1"/>
  <c r="A613" i="209" s="1"/>
  <c r="A614" i="209" s="1"/>
  <c r="A615" i="209" s="1"/>
  <c r="A616" i="209" s="1"/>
  <c r="A617" i="209" s="1"/>
  <c r="A618" i="209" s="1"/>
  <c r="A619" i="209" s="1"/>
  <c r="A620" i="209" s="1"/>
  <c r="A621" i="209" s="1"/>
  <c r="A622" i="209" s="1"/>
  <c r="A623" i="209" s="1"/>
  <c r="A624" i="209" s="1"/>
  <c r="A625" i="209" s="1"/>
  <c r="A626" i="209" s="1"/>
  <c r="A627" i="209" s="1"/>
  <c r="O585" i="209"/>
  <c r="N585" i="209"/>
  <c r="M585" i="209"/>
  <c r="L585" i="209"/>
  <c r="K585" i="209"/>
  <c r="J585" i="209"/>
  <c r="I585" i="209"/>
  <c r="A578" i="209"/>
  <c r="O576" i="209"/>
  <c r="A573" i="209"/>
  <c r="L566" i="209"/>
  <c r="N565" i="209"/>
  <c r="K565" i="209"/>
  <c r="F565" i="209"/>
  <c r="M565" i="209" s="1"/>
  <c r="E565" i="209"/>
  <c r="N564" i="209"/>
  <c r="K564" i="209"/>
  <c r="F564" i="209"/>
  <c r="M564" i="209" s="1"/>
  <c r="E564" i="209"/>
  <c r="N563" i="209"/>
  <c r="K563" i="209"/>
  <c r="F563" i="209"/>
  <c r="M563" i="209" s="1"/>
  <c r="E563" i="209"/>
  <c r="N562" i="209"/>
  <c r="K562" i="209"/>
  <c r="F562" i="209"/>
  <c r="M562" i="209" s="1"/>
  <c r="E562" i="209"/>
  <c r="N561" i="209"/>
  <c r="K561" i="209"/>
  <c r="F561" i="209"/>
  <c r="E561" i="209"/>
  <c r="N551" i="209"/>
  <c r="L551" i="209"/>
  <c r="K551" i="209"/>
  <c r="F551" i="209"/>
  <c r="E551" i="209"/>
  <c r="M550" i="209"/>
  <c r="M551" i="209" s="1"/>
  <c r="N547" i="209"/>
  <c r="L547" i="209"/>
  <c r="K547" i="209"/>
  <c r="F547" i="209"/>
  <c r="E547" i="209"/>
  <c r="M546" i="209"/>
  <c r="M545" i="209"/>
  <c r="M544" i="209"/>
  <c r="M543" i="209"/>
  <c r="M542" i="209"/>
  <c r="M541" i="209"/>
  <c r="M540" i="209"/>
  <c r="M539" i="209"/>
  <c r="M538" i="209"/>
  <c r="M537" i="209"/>
  <c r="M536" i="209"/>
  <c r="M535" i="209"/>
  <c r="M534" i="209"/>
  <c r="M533" i="209"/>
  <c r="A533" i="209"/>
  <c r="A534" i="209" s="1"/>
  <c r="A535" i="209" s="1"/>
  <c r="A536" i="209" s="1"/>
  <c r="A537" i="209" s="1"/>
  <c r="A538" i="209" s="1"/>
  <c r="A539" i="209" s="1"/>
  <c r="A540" i="209" s="1"/>
  <c r="A541" i="209" s="1"/>
  <c r="A542" i="209" s="1"/>
  <c r="A543" i="209" s="1"/>
  <c r="A544" i="209" s="1"/>
  <c r="A545" i="209" s="1"/>
  <c r="A546" i="209" s="1"/>
  <c r="A547" i="209" s="1"/>
  <c r="A549" i="209" s="1"/>
  <c r="A550" i="209" s="1"/>
  <c r="A551" i="209" s="1"/>
  <c r="A553" i="209" s="1"/>
  <c r="A555" i="209" s="1"/>
  <c r="A557" i="209" s="1"/>
  <c r="A560" i="209" s="1"/>
  <c r="A561" i="209" s="1"/>
  <c r="A562" i="209" s="1"/>
  <c r="A563" i="209" s="1"/>
  <c r="A564" i="209" s="1"/>
  <c r="A565" i="209" s="1"/>
  <c r="A566" i="209" s="1"/>
  <c r="A568" i="209" s="1"/>
  <c r="O530" i="209"/>
  <c r="N530" i="209"/>
  <c r="M530" i="209"/>
  <c r="L530" i="209"/>
  <c r="K530" i="209"/>
  <c r="J530" i="209"/>
  <c r="I530" i="209"/>
  <c r="A523" i="209"/>
  <c r="O521" i="209"/>
  <c r="A518" i="209"/>
  <c r="L513" i="209"/>
  <c r="M512" i="209"/>
  <c r="M511" i="209"/>
  <c r="M510" i="209"/>
  <c r="M509" i="209"/>
  <c r="M508" i="209"/>
  <c r="M507" i="209"/>
  <c r="M506" i="209"/>
  <c r="M505" i="209"/>
  <c r="M504" i="209"/>
  <c r="K503" i="209"/>
  <c r="F503" i="209"/>
  <c r="M503" i="209" s="1"/>
  <c r="E503" i="209"/>
  <c r="N502" i="209"/>
  <c r="M501" i="209"/>
  <c r="M500" i="209"/>
  <c r="K499" i="209"/>
  <c r="F499" i="209"/>
  <c r="M499" i="209" s="1"/>
  <c r="E499" i="209"/>
  <c r="M498" i="209"/>
  <c r="M497" i="209"/>
  <c r="N496" i="209"/>
  <c r="K496" i="209"/>
  <c r="M495" i="209"/>
  <c r="N494" i="209"/>
  <c r="F494" i="209"/>
  <c r="M494" i="209" s="1"/>
  <c r="E494" i="209"/>
  <c r="M493" i="209"/>
  <c r="M492" i="209"/>
  <c r="M491" i="209"/>
  <c r="M490" i="209"/>
  <c r="M489" i="209"/>
  <c r="M488" i="209"/>
  <c r="M487" i="209"/>
  <c r="M486" i="209"/>
  <c r="M485" i="209"/>
  <c r="M484" i="209"/>
  <c r="M483" i="209"/>
  <c r="N480" i="209"/>
  <c r="L480" i="209"/>
  <c r="K480" i="209"/>
  <c r="F480" i="209"/>
  <c r="E480" i="209"/>
  <c r="M479" i="209"/>
  <c r="M478" i="209"/>
  <c r="M477" i="209"/>
  <c r="M476" i="209"/>
  <c r="M475" i="209"/>
  <c r="A475" i="209"/>
  <c r="A476" i="209" s="1"/>
  <c r="A477" i="209" s="1"/>
  <c r="A478" i="209" s="1"/>
  <c r="A479" i="209" s="1"/>
  <c r="A480" i="209" s="1"/>
  <c r="A482" i="209" s="1"/>
  <c r="A483" i="209" s="1"/>
  <c r="A484" i="209" s="1"/>
  <c r="A485" i="209" s="1"/>
  <c r="A486" i="209" s="1"/>
  <c r="A487" i="209" s="1"/>
  <c r="A488" i="209" s="1"/>
  <c r="A489" i="209" s="1"/>
  <c r="A490" i="209" s="1"/>
  <c r="A491" i="209" s="1"/>
  <c r="A492" i="209" s="1"/>
  <c r="A493" i="209" s="1"/>
  <c r="A494" i="209" s="1"/>
  <c r="A495" i="209" s="1"/>
  <c r="A496" i="209" s="1"/>
  <c r="A497" i="209" s="1"/>
  <c r="A498" i="209" s="1"/>
  <c r="A499" i="209" s="1"/>
  <c r="A500" i="209" s="1"/>
  <c r="A501" i="209" s="1"/>
  <c r="A502" i="209" s="1"/>
  <c r="A503" i="209" s="1"/>
  <c r="A504" i="209" s="1"/>
  <c r="A505" i="209" s="1"/>
  <c r="A506" i="209" s="1"/>
  <c r="A507" i="209" s="1"/>
  <c r="A508" i="209" s="1"/>
  <c r="A509" i="209" s="1"/>
  <c r="A510" i="209" s="1"/>
  <c r="A511" i="209" s="1"/>
  <c r="A512" i="209" s="1"/>
  <c r="A513" i="209" s="1"/>
  <c r="M474" i="209"/>
  <c r="A474" i="209"/>
  <c r="O471" i="209"/>
  <c r="N471" i="209"/>
  <c r="M471" i="209"/>
  <c r="L471" i="209"/>
  <c r="K471" i="209"/>
  <c r="J471" i="209"/>
  <c r="I471" i="209"/>
  <c r="A464" i="209"/>
  <c r="O462" i="209"/>
  <c r="A459" i="209"/>
  <c r="L452" i="209"/>
  <c r="N451" i="209"/>
  <c r="K451" i="209"/>
  <c r="F451" i="209"/>
  <c r="M451" i="209" s="1"/>
  <c r="E451" i="209"/>
  <c r="N450" i="209"/>
  <c r="M450" i="209"/>
  <c r="K450" i="209"/>
  <c r="F450" i="209"/>
  <c r="E450" i="209"/>
  <c r="N449" i="209"/>
  <c r="K449" i="209"/>
  <c r="F449" i="209"/>
  <c r="M449" i="209" s="1"/>
  <c r="E449" i="209"/>
  <c r="N448" i="209"/>
  <c r="K448" i="209"/>
  <c r="F448" i="209"/>
  <c r="E448" i="209"/>
  <c r="N447" i="209"/>
  <c r="K447" i="209"/>
  <c r="F447" i="209"/>
  <c r="M447" i="209" s="1"/>
  <c r="E447" i="209"/>
  <c r="N437" i="209"/>
  <c r="M437" i="209"/>
  <c r="L437" i="209"/>
  <c r="K437" i="209"/>
  <c r="F437" i="209"/>
  <c r="E437" i="209"/>
  <c r="N433" i="209"/>
  <c r="L433" i="209"/>
  <c r="K433" i="209"/>
  <c r="F433" i="209"/>
  <c r="E433" i="209"/>
  <c r="M432" i="209"/>
  <c r="M431" i="209"/>
  <c r="M430" i="209"/>
  <c r="M429" i="209"/>
  <c r="M428" i="209"/>
  <c r="M427" i="209"/>
  <c r="M426" i="209"/>
  <c r="M425" i="209"/>
  <c r="M424" i="209"/>
  <c r="M423" i="209"/>
  <c r="M422" i="209"/>
  <c r="M421" i="209"/>
  <c r="M420" i="209"/>
  <c r="M419" i="209"/>
  <c r="A419" i="209"/>
  <c r="A420" i="209" s="1"/>
  <c r="A421" i="209" s="1"/>
  <c r="A422" i="209" s="1"/>
  <c r="A423" i="209" s="1"/>
  <c r="A424" i="209" s="1"/>
  <c r="A425" i="209" s="1"/>
  <c r="A426" i="209" s="1"/>
  <c r="A427" i="209" s="1"/>
  <c r="A428" i="209" s="1"/>
  <c r="A429" i="209" s="1"/>
  <c r="A430" i="209" s="1"/>
  <c r="A431" i="209" s="1"/>
  <c r="A432" i="209" s="1"/>
  <c r="A433" i="209" s="1"/>
  <c r="A435" i="209" s="1"/>
  <c r="A436" i="209" s="1"/>
  <c r="A437" i="209" s="1"/>
  <c r="A439" i="209" s="1"/>
  <c r="A441" i="209" s="1"/>
  <c r="A443" i="209" s="1"/>
  <c r="A446" i="209" s="1"/>
  <c r="A447" i="209" s="1"/>
  <c r="A448" i="209" s="1"/>
  <c r="A449" i="209" s="1"/>
  <c r="A450" i="209" s="1"/>
  <c r="A451" i="209" s="1"/>
  <c r="A452" i="209" s="1"/>
  <c r="A454" i="209" s="1"/>
  <c r="O416" i="209"/>
  <c r="N416" i="209"/>
  <c r="M416" i="209"/>
  <c r="L416" i="209"/>
  <c r="K416" i="209"/>
  <c r="J416" i="209"/>
  <c r="I416" i="209"/>
  <c r="A409" i="209"/>
  <c r="O407" i="209"/>
  <c r="A404" i="209"/>
  <c r="L399" i="209"/>
  <c r="M398" i="209"/>
  <c r="M397" i="209"/>
  <c r="M396" i="209"/>
  <c r="M395" i="209"/>
  <c r="M394" i="209"/>
  <c r="M393" i="209"/>
  <c r="M392" i="209"/>
  <c r="M391" i="209"/>
  <c r="M390" i="209"/>
  <c r="K389" i="209"/>
  <c r="F389" i="209"/>
  <c r="M389" i="209" s="1"/>
  <c r="E389" i="209"/>
  <c r="N388" i="209"/>
  <c r="M387" i="209"/>
  <c r="M386" i="209"/>
  <c r="K385" i="209"/>
  <c r="F385" i="209"/>
  <c r="M384" i="209"/>
  <c r="M383" i="209"/>
  <c r="N382" i="209"/>
  <c r="K382" i="209"/>
  <c r="F382" i="209"/>
  <c r="M382" i="209" s="1"/>
  <c r="M381" i="209"/>
  <c r="K380" i="209"/>
  <c r="F380" i="209"/>
  <c r="M380" i="209" s="1"/>
  <c r="E380" i="209"/>
  <c r="M379" i="209"/>
  <c r="M378" i="209"/>
  <c r="M377" i="209"/>
  <c r="M376" i="209"/>
  <c r="M375" i="209"/>
  <c r="M374" i="209"/>
  <c r="M373" i="209"/>
  <c r="M372" i="209"/>
  <c r="M371" i="209"/>
  <c r="M370" i="209"/>
  <c r="M369" i="209"/>
  <c r="N366" i="209"/>
  <c r="L366" i="209"/>
  <c r="K366" i="209"/>
  <c r="F366" i="209"/>
  <c r="E366" i="209"/>
  <c r="M365" i="209"/>
  <c r="M364" i="209"/>
  <c r="M363" i="209"/>
  <c r="M362" i="209"/>
  <c r="M361" i="209"/>
  <c r="M360" i="209"/>
  <c r="A360" i="209"/>
  <c r="A361" i="209" s="1"/>
  <c r="A362" i="209" s="1"/>
  <c r="A363" i="209" s="1"/>
  <c r="A364" i="209" s="1"/>
  <c r="A365" i="209" s="1"/>
  <c r="A366" i="209" s="1"/>
  <c r="A368" i="209" s="1"/>
  <c r="A369" i="209" s="1"/>
  <c r="A370" i="209" s="1"/>
  <c r="A371" i="209" s="1"/>
  <c r="A372" i="209" s="1"/>
  <c r="A373" i="209" s="1"/>
  <c r="A374" i="209" s="1"/>
  <c r="A375" i="209" s="1"/>
  <c r="A376" i="209" s="1"/>
  <c r="A377" i="209" s="1"/>
  <c r="A378" i="209" s="1"/>
  <c r="A379" i="209" s="1"/>
  <c r="A380" i="209" s="1"/>
  <c r="A381" i="209" s="1"/>
  <c r="A382" i="209" s="1"/>
  <c r="A383" i="209" s="1"/>
  <c r="A384" i="209" s="1"/>
  <c r="A385" i="209" s="1"/>
  <c r="A386" i="209" s="1"/>
  <c r="A387" i="209" s="1"/>
  <c r="A388" i="209" s="1"/>
  <c r="A389" i="209" s="1"/>
  <c r="A390" i="209" s="1"/>
  <c r="A391" i="209" s="1"/>
  <c r="A392" i="209" s="1"/>
  <c r="A393" i="209" s="1"/>
  <c r="A394" i="209" s="1"/>
  <c r="A395" i="209" s="1"/>
  <c r="A396" i="209" s="1"/>
  <c r="A397" i="209" s="1"/>
  <c r="A398" i="209" s="1"/>
  <c r="A399" i="209" s="1"/>
  <c r="O357" i="209"/>
  <c r="N357" i="209"/>
  <c r="M357" i="209"/>
  <c r="L357" i="209"/>
  <c r="K357" i="209"/>
  <c r="J357" i="209"/>
  <c r="I357" i="209"/>
  <c r="A350" i="209"/>
  <c r="O348" i="209"/>
  <c r="A348" i="209"/>
  <c r="A345" i="209"/>
  <c r="L338" i="209"/>
  <c r="J76" i="196" s="1"/>
  <c r="N337" i="209"/>
  <c r="K337" i="209"/>
  <c r="F337" i="209"/>
  <c r="M337" i="209" s="1"/>
  <c r="E337" i="209"/>
  <c r="N336" i="209"/>
  <c r="K336" i="209"/>
  <c r="F336" i="209"/>
  <c r="M336" i="209" s="1"/>
  <c r="E336" i="209"/>
  <c r="N335" i="209"/>
  <c r="K335" i="209"/>
  <c r="F335" i="209"/>
  <c r="M335" i="209" s="1"/>
  <c r="E335" i="209"/>
  <c r="N334" i="209"/>
  <c r="K334" i="209"/>
  <c r="F334" i="209"/>
  <c r="M334" i="209" s="1"/>
  <c r="E334" i="209"/>
  <c r="N333" i="209"/>
  <c r="M333" i="209"/>
  <c r="K333" i="209"/>
  <c r="F333" i="209"/>
  <c r="E333" i="209"/>
  <c r="N323" i="209"/>
  <c r="L323" i="209"/>
  <c r="K323" i="209"/>
  <c r="F323" i="209"/>
  <c r="E323" i="209"/>
  <c r="M322" i="209"/>
  <c r="M323" i="209" s="1"/>
  <c r="N319" i="209"/>
  <c r="L319" i="209"/>
  <c r="K319" i="209"/>
  <c r="F319" i="209"/>
  <c r="E319" i="209"/>
  <c r="M318" i="209"/>
  <c r="D318" i="209"/>
  <c r="G318" i="209" s="1"/>
  <c r="D432" i="209" s="1"/>
  <c r="G432" i="209" s="1"/>
  <c r="D546" i="209" s="1"/>
  <c r="G546" i="209" s="1"/>
  <c r="D660" i="209" s="1"/>
  <c r="G660" i="209" s="1"/>
  <c r="D774" i="209" s="1"/>
  <c r="G774" i="209" s="1"/>
  <c r="D888" i="209" s="1"/>
  <c r="G888" i="209" s="1"/>
  <c r="D1002" i="209" s="1"/>
  <c r="M317" i="209"/>
  <c r="M316" i="209"/>
  <c r="M315" i="209"/>
  <c r="M314" i="209"/>
  <c r="M313" i="209"/>
  <c r="M312" i="209"/>
  <c r="M311" i="209"/>
  <c r="M310" i="209"/>
  <c r="M309" i="209"/>
  <c r="M308" i="209"/>
  <c r="M307" i="209"/>
  <c r="M306" i="209"/>
  <c r="M305" i="209"/>
  <c r="A305" i="209"/>
  <c r="A306" i="209" s="1"/>
  <c r="A307" i="209" s="1"/>
  <c r="A308" i="209" s="1"/>
  <c r="A309" i="209" s="1"/>
  <c r="A310" i="209" s="1"/>
  <c r="A311" i="209" s="1"/>
  <c r="A312" i="209" s="1"/>
  <c r="A313" i="209" s="1"/>
  <c r="A314" i="209" s="1"/>
  <c r="A315" i="209" s="1"/>
  <c r="A316" i="209" s="1"/>
  <c r="A317" i="209" s="1"/>
  <c r="A318" i="209" s="1"/>
  <c r="A319" i="209" s="1"/>
  <c r="A321" i="209" s="1"/>
  <c r="A322" i="209" s="1"/>
  <c r="A323" i="209" s="1"/>
  <c r="A325" i="209" s="1"/>
  <c r="A327" i="209" s="1"/>
  <c r="A329" i="209" s="1"/>
  <c r="A332" i="209" s="1"/>
  <c r="A333" i="209" s="1"/>
  <c r="A334" i="209" s="1"/>
  <c r="A335" i="209" s="1"/>
  <c r="A336" i="209" s="1"/>
  <c r="A337" i="209" s="1"/>
  <c r="A338" i="209" s="1"/>
  <c r="A340" i="209" s="1"/>
  <c r="O302" i="209"/>
  <c r="N302" i="209"/>
  <c r="M302" i="209"/>
  <c r="L302" i="209"/>
  <c r="K302" i="209"/>
  <c r="J302" i="209"/>
  <c r="I302" i="209"/>
  <c r="A295" i="209"/>
  <c r="O293" i="209"/>
  <c r="A290" i="209"/>
  <c r="L285" i="209"/>
  <c r="M284" i="209"/>
  <c r="M283" i="209"/>
  <c r="M282" i="209"/>
  <c r="M281" i="209"/>
  <c r="M280" i="209"/>
  <c r="M279" i="209"/>
  <c r="M278" i="209"/>
  <c r="M277" i="209"/>
  <c r="M276" i="209"/>
  <c r="K275" i="209"/>
  <c r="F275" i="209"/>
  <c r="M275" i="209" s="1"/>
  <c r="E275" i="209"/>
  <c r="M273" i="209"/>
  <c r="M272" i="209"/>
  <c r="K271" i="209"/>
  <c r="E271" i="209"/>
  <c r="M270" i="209"/>
  <c r="M269" i="209"/>
  <c r="N268" i="209"/>
  <c r="F268" i="209"/>
  <c r="M268" i="209" s="1"/>
  <c r="E268" i="209"/>
  <c r="M267" i="209"/>
  <c r="K266" i="209"/>
  <c r="F266" i="209"/>
  <c r="E266" i="209"/>
  <c r="M265" i="209"/>
  <c r="M264" i="209"/>
  <c r="M263" i="209"/>
  <c r="M262" i="209"/>
  <c r="M261" i="209"/>
  <c r="M260" i="209"/>
  <c r="M259" i="209"/>
  <c r="M258" i="209"/>
  <c r="M257" i="209"/>
  <c r="M256" i="209"/>
  <c r="M255" i="209"/>
  <c r="N252" i="209"/>
  <c r="L252" i="209"/>
  <c r="K252" i="209"/>
  <c r="F252" i="209"/>
  <c r="E252" i="209"/>
  <c r="M251" i="209"/>
  <c r="M250" i="209"/>
  <c r="M249" i="209"/>
  <c r="M248" i="209"/>
  <c r="M247" i="209"/>
  <c r="A247" i="209"/>
  <c r="A248" i="209" s="1"/>
  <c r="A249" i="209" s="1"/>
  <c r="A250" i="209" s="1"/>
  <c r="A251" i="209" s="1"/>
  <c r="A252" i="209" s="1"/>
  <c r="A254" i="209" s="1"/>
  <c r="A255" i="209" s="1"/>
  <c r="A256" i="209" s="1"/>
  <c r="A257" i="209" s="1"/>
  <c r="A258" i="209" s="1"/>
  <c r="A259" i="209" s="1"/>
  <c r="A260" i="209" s="1"/>
  <c r="A261" i="209" s="1"/>
  <c r="A262" i="209" s="1"/>
  <c r="A263" i="209" s="1"/>
  <c r="A264" i="209" s="1"/>
  <c r="A265" i="209" s="1"/>
  <c r="A266" i="209" s="1"/>
  <c r="A267" i="209" s="1"/>
  <c r="A268" i="209" s="1"/>
  <c r="A269" i="209" s="1"/>
  <c r="A270" i="209" s="1"/>
  <c r="A271" i="209" s="1"/>
  <c r="A272" i="209" s="1"/>
  <c r="A273" i="209" s="1"/>
  <c r="A274" i="209" s="1"/>
  <c r="A275" i="209" s="1"/>
  <c r="A276" i="209" s="1"/>
  <c r="A277" i="209" s="1"/>
  <c r="A278" i="209" s="1"/>
  <c r="A279" i="209" s="1"/>
  <c r="A280" i="209" s="1"/>
  <c r="A281" i="209" s="1"/>
  <c r="A282" i="209" s="1"/>
  <c r="A283" i="209" s="1"/>
  <c r="A284" i="209" s="1"/>
  <c r="A285" i="209" s="1"/>
  <c r="M246" i="209"/>
  <c r="A246" i="209"/>
  <c r="O243" i="209"/>
  <c r="N243" i="209"/>
  <c r="M243" i="209"/>
  <c r="L243" i="209"/>
  <c r="K243" i="209"/>
  <c r="J243" i="209"/>
  <c r="I243" i="209"/>
  <c r="A236" i="209"/>
  <c r="O234" i="209"/>
  <c r="A231" i="209"/>
  <c r="L224" i="209"/>
  <c r="N223" i="209"/>
  <c r="K223" i="209"/>
  <c r="F223" i="209"/>
  <c r="M223" i="209" s="1"/>
  <c r="E223" i="209"/>
  <c r="N222" i="209"/>
  <c r="M222" i="209"/>
  <c r="K222" i="209"/>
  <c r="F222" i="209"/>
  <c r="E222" i="209"/>
  <c r="N221" i="209"/>
  <c r="K221" i="209"/>
  <c r="F221" i="209"/>
  <c r="M221" i="209" s="1"/>
  <c r="E221" i="209"/>
  <c r="N220" i="209"/>
  <c r="K220" i="209"/>
  <c r="F220" i="209"/>
  <c r="E220" i="209"/>
  <c r="N219" i="209"/>
  <c r="K219" i="209"/>
  <c r="F219" i="209"/>
  <c r="M219" i="209" s="1"/>
  <c r="E219" i="209"/>
  <c r="N213" i="209"/>
  <c r="N209" i="209"/>
  <c r="L209" i="209"/>
  <c r="K209" i="209"/>
  <c r="F209" i="209"/>
  <c r="E209" i="209"/>
  <c r="M208" i="209"/>
  <c r="M209" i="209" s="1"/>
  <c r="N205" i="209"/>
  <c r="L205" i="209"/>
  <c r="K205" i="209"/>
  <c r="F205" i="209"/>
  <c r="E205" i="209"/>
  <c r="M204" i="209"/>
  <c r="M203" i="209"/>
  <c r="M202" i="209"/>
  <c r="M201" i="209"/>
  <c r="M200" i="209"/>
  <c r="M199" i="209"/>
  <c r="M198" i="209"/>
  <c r="M197" i="209"/>
  <c r="M196" i="209"/>
  <c r="M195" i="209"/>
  <c r="M194" i="209"/>
  <c r="M193" i="209"/>
  <c r="M192" i="209"/>
  <c r="M191" i="209"/>
  <c r="A191" i="209"/>
  <c r="A192" i="209" s="1"/>
  <c r="A193" i="209" s="1"/>
  <c r="A194" i="209" s="1"/>
  <c r="A195" i="209" s="1"/>
  <c r="A196" i="209" s="1"/>
  <c r="A197" i="209" s="1"/>
  <c r="A198" i="209" s="1"/>
  <c r="A199" i="209" s="1"/>
  <c r="A200" i="209" s="1"/>
  <c r="A201" i="209" s="1"/>
  <c r="A202" i="209" s="1"/>
  <c r="A203" i="209" s="1"/>
  <c r="A204" i="209" s="1"/>
  <c r="A205" i="209" s="1"/>
  <c r="A207" i="209" s="1"/>
  <c r="A208" i="209" s="1"/>
  <c r="A209" i="209" s="1"/>
  <c r="A211" i="209" s="1"/>
  <c r="A213" i="209" s="1"/>
  <c r="A215" i="209" s="1"/>
  <c r="A218" i="209" s="1"/>
  <c r="A219" i="209" s="1"/>
  <c r="A220" i="209" s="1"/>
  <c r="A221" i="209" s="1"/>
  <c r="A222" i="209" s="1"/>
  <c r="A223" i="209" s="1"/>
  <c r="A224" i="209" s="1"/>
  <c r="A226" i="209" s="1"/>
  <c r="O188" i="209"/>
  <c r="N188" i="209"/>
  <c r="M188" i="209"/>
  <c r="L188" i="209"/>
  <c r="K188" i="209"/>
  <c r="J188" i="209"/>
  <c r="I188" i="209"/>
  <c r="A181" i="209"/>
  <c r="O179" i="209"/>
  <c r="A176" i="209"/>
  <c r="L171" i="209"/>
  <c r="M170" i="209"/>
  <c r="M169" i="209"/>
  <c r="M168" i="209"/>
  <c r="M167" i="209"/>
  <c r="M166" i="209"/>
  <c r="M165" i="209"/>
  <c r="M164" i="209"/>
  <c r="M163" i="209"/>
  <c r="M162" i="209"/>
  <c r="N161" i="209"/>
  <c r="K161" i="209"/>
  <c r="F161" i="209"/>
  <c r="M161" i="209" s="1"/>
  <c r="E161" i="209"/>
  <c r="K160" i="209"/>
  <c r="F160" i="209"/>
  <c r="M160" i="209" s="1"/>
  <c r="E160" i="209"/>
  <c r="M159" i="209"/>
  <c r="M158" i="209"/>
  <c r="K157" i="209"/>
  <c r="F157" i="209"/>
  <c r="M157" i="209" s="1"/>
  <c r="E157" i="209"/>
  <c r="M156" i="209"/>
  <c r="M155" i="209"/>
  <c r="N154" i="209"/>
  <c r="M153" i="209"/>
  <c r="N152" i="209"/>
  <c r="M151" i="209"/>
  <c r="M150" i="209"/>
  <c r="M149" i="209"/>
  <c r="M148" i="209"/>
  <c r="M147" i="209"/>
  <c r="M146" i="209"/>
  <c r="M145" i="209"/>
  <c r="M144" i="209"/>
  <c r="M143" i="209"/>
  <c r="M142" i="209"/>
  <c r="M141" i="209"/>
  <c r="N138" i="209"/>
  <c r="L138" i="209"/>
  <c r="K138" i="209"/>
  <c r="F138" i="209"/>
  <c r="E138" i="209"/>
  <c r="M137" i="209"/>
  <c r="M136" i="209"/>
  <c r="M135" i="209"/>
  <c r="M134" i="209"/>
  <c r="M133" i="209"/>
  <c r="M132" i="209"/>
  <c r="A132" i="209"/>
  <c r="A133" i="209" s="1"/>
  <c r="A134" i="209" s="1"/>
  <c r="A135" i="209" s="1"/>
  <c r="A136" i="209" s="1"/>
  <c r="A137" i="209" s="1"/>
  <c r="A138" i="209" s="1"/>
  <c r="A140" i="209" s="1"/>
  <c r="A141" i="209" s="1"/>
  <c r="A142" i="209" s="1"/>
  <c r="A143" i="209" s="1"/>
  <c r="A144" i="209" s="1"/>
  <c r="A145" i="209" s="1"/>
  <c r="A146" i="209" s="1"/>
  <c r="A147" i="209" s="1"/>
  <c r="A148" i="209" s="1"/>
  <c r="A149" i="209" s="1"/>
  <c r="A150" i="209" s="1"/>
  <c r="A151" i="209" s="1"/>
  <c r="A152" i="209" s="1"/>
  <c r="A153" i="209" s="1"/>
  <c r="A154" i="209" s="1"/>
  <c r="A155" i="209" s="1"/>
  <c r="A156" i="209" s="1"/>
  <c r="A157" i="209" s="1"/>
  <c r="A158" i="209" s="1"/>
  <c r="A159" i="209" s="1"/>
  <c r="A160" i="209" s="1"/>
  <c r="A161" i="209" s="1"/>
  <c r="A162" i="209" s="1"/>
  <c r="A163" i="209" s="1"/>
  <c r="A164" i="209" s="1"/>
  <c r="A165" i="209" s="1"/>
  <c r="A166" i="209" s="1"/>
  <c r="A167" i="209" s="1"/>
  <c r="A168" i="209" s="1"/>
  <c r="A169" i="209" s="1"/>
  <c r="A170" i="209" s="1"/>
  <c r="A171" i="209" s="1"/>
  <c r="O129" i="209"/>
  <c r="N129" i="209"/>
  <c r="M129" i="209"/>
  <c r="L129" i="209"/>
  <c r="K129" i="209"/>
  <c r="J129" i="209"/>
  <c r="I129" i="209"/>
  <c r="A122" i="209"/>
  <c r="O120" i="209"/>
  <c r="A117" i="209"/>
  <c r="L110" i="209"/>
  <c r="J74" i="196" s="1"/>
  <c r="D110" i="209"/>
  <c r="C74" i="196" s="1"/>
  <c r="N109" i="209"/>
  <c r="K109" i="209"/>
  <c r="I109" i="209"/>
  <c r="F109" i="209"/>
  <c r="M109" i="209" s="1"/>
  <c r="E109" i="209"/>
  <c r="G109" i="209" s="1"/>
  <c r="D223" i="209" s="1"/>
  <c r="N108" i="209"/>
  <c r="K108" i="209"/>
  <c r="I108" i="209"/>
  <c r="F108" i="209"/>
  <c r="M108" i="209" s="1"/>
  <c r="E108" i="209"/>
  <c r="G108" i="209" s="1"/>
  <c r="D222" i="209" s="1"/>
  <c r="G222" i="209" s="1"/>
  <c r="D336" i="209" s="1"/>
  <c r="G336" i="209" s="1"/>
  <c r="D450" i="209" s="1"/>
  <c r="G450" i="209" s="1"/>
  <c r="D564" i="209" s="1"/>
  <c r="G564" i="209" s="1"/>
  <c r="D678" i="209" s="1"/>
  <c r="G678" i="209" s="1"/>
  <c r="D792" i="209" s="1"/>
  <c r="N107" i="209"/>
  <c r="K107" i="209"/>
  <c r="I107" i="209"/>
  <c r="F107" i="209"/>
  <c r="E107" i="209"/>
  <c r="N106" i="209"/>
  <c r="K106" i="209"/>
  <c r="I106" i="209"/>
  <c r="F106" i="209"/>
  <c r="M106" i="209" s="1"/>
  <c r="E106" i="209"/>
  <c r="N105" i="209"/>
  <c r="K105" i="209"/>
  <c r="I105" i="209"/>
  <c r="F105" i="209"/>
  <c r="E105" i="209"/>
  <c r="G105" i="209" s="1"/>
  <c r="O99" i="209"/>
  <c r="I213" i="209" s="1"/>
  <c r="N95" i="209"/>
  <c r="L95" i="209"/>
  <c r="K95" i="209"/>
  <c r="I95" i="209"/>
  <c r="F95" i="209"/>
  <c r="E95" i="209"/>
  <c r="D95" i="209"/>
  <c r="M94" i="209"/>
  <c r="O94" i="209" s="1"/>
  <c r="G94" i="209"/>
  <c r="G95" i="209" s="1"/>
  <c r="N91" i="209"/>
  <c r="L91" i="209"/>
  <c r="K91" i="209"/>
  <c r="I91" i="209"/>
  <c r="F91" i="209"/>
  <c r="E91" i="209"/>
  <c r="D91" i="209"/>
  <c r="M90" i="209"/>
  <c r="O90" i="209" s="1"/>
  <c r="I204" i="209" s="1"/>
  <c r="G90" i="209"/>
  <c r="D204" i="209" s="1"/>
  <c r="G204" i="209" s="1"/>
  <c r="M89" i="209"/>
  <c r="O89" i="209" s="1"/>
  <c r="I203" i="209" s="1"/>
  <c r="O203" i="209" s="1"/>
  <c r="I317" i="209" s="1"/>
  <c r="O317" i="209" s="1"/>
  <c r="I431" i="209" s="1"/>
  <c r="O431" i="209" s="1"/>
  <c r="I545" i="209" s="1"/>
  <c r="G89" i="209"/>
  <c r="D203" i="209" s="1"/>
  <c r="G203" i="209" s="1"/>
  <c r="D317" i="209" s="1"/>
  <c r="G317" i="209" s="1"/>
  <c r="D431" i="209" s="1"/>
  <c r="G431" i="209" s="1"/>
  <c r="D545" i="209" s="1"/>
  <c r="G545" i="209" s="1"/>
  <c r="D659" i="209" s="1"/>
  <c r="G659" i="209" s="1"/>
  <c r="D773" i="209" s="1"/>
  <c r="G773" i="209" s="1"/>
  <c r="D887" i="209" s="1"/>
  <c r="G887" i="209" s="1"/>
  <c r="D1001" i="209" s="1"/>
  <c r="M88" i="209"/>
  <c r="O88" i="209" s="1"/>
  <c r="I202" i="209" s="1"/>
  <c r="O202" i="209" s="1"/>
  <c r="I316" i="209" s="1"/>
  <c r="G88" i="209"/>
  <c r="D202" i="209" s="1"/>
  <c r="G202" i="209" s="1"/>
  <c r="D316" i="209" s="1"/>
  <c r="G316" i="209" s="1"/>
  <c r="D430" i="209" s="1"/>
  <c r="G430" i="209" s="1"/>
  <c r="D544" i="209" s="1"/>
  <c r="G544" i="209" s="1"/>
  <c r="D658" i="209" s="1"/>
  <c r="G658" i="209" s="1"/>
  <c r="D772" i="209" s="1"/>
  <c r="G772" i="209" s="1"/>
  <c r="D886" i="209" s="1"/>
  <c r="G886" i="209" s="1"/>
  <c r="D1000" i="209" s="1"/>
  <c r="D86" i="7" s="1"/>
  <c r="M87" i="209"/>
  <c r="O87" i="209" s="1"/>
  <c r="I201" i="209" s="1"/>
  <c r="O201" i="209" s="1"/>
  <c r="I315" i="209" s="1"/>
  <c r="O315" i="209" s="1"/>
  <c r="I429" i="209" s="1"/>
  <c r="O429" i="209" s="1"/>
  <c r="I543" i="209" s="1"/>
  <c r="G87" i="209"/>
  <c r="D201" i="209" s="1"/>
  <c r="G201" i="209" s="1"/>
  <c r="D315" i="209" s="1"/>
  <c r="G315" i="209" s="1"/>
  <c r="D429" i="209" s="1"/>
  <c r="G429" i="209" s="1"/>
  <c r="D543" i="209" s="1"/>
  <c r="G543" i="209" s="1"/>
  <c r="D657" i="209" s="1"/>
  <c r="G657" i="209" s="1"/>
  <c r="D771" i="209" s="1"/>
  <c r="G771" i="209" s="1"/>
  <c r="D885" i="209" s="1"/>
  <c r="G885" i="209" s="1"/>
  <c r="D999" i="209" s="1"/>
  <c r="M86" i="209"/>
  <c r="O86" i="209" s="1"/>
  <c r="I200" i="209" s="1"/>
  <c r="O200" i="209" s="1"/>
  <c r="I314" i="209" s="1"/>
  <c r="O314" i="209" s="1"/>
  <c r="I428" i="209" s="1"/>
  <c r="G86" i="209"/>
  <c r="D200" i="209" s="1"/>
  <c r="G200" i="209" s="1"/>
  <c r="D314" i="209" s="1"/>
  <c r="G314" i="209" s="1"/>
  <c r="D428" i="209" s="1"/>
  <c r="G428" i="209" s="1"/>
  <c r="D542" i="209" s="1"/>
  <c r="G542" i="209" s="1"/>
  <c r="D656" i="209" s="1"/>
  <c r="G656" i="209" s="1"/>
  <c r="D770" i="209" s="1"/>
  <c r="G770" i="209" s="1"/>
  <c r="D884" i="209" s="1"/>
  <c r="G884" i="209" s="1"/>
  <c r="D998" i="209" s="1"/>
  <c r="O85" i="209"/>
  <c r="I199" i="209" s="1"/>
  <c r="M85" i="209"/>
  <c r="G85" i="209"/>
  <c r="D199" i="209" s="1"/>
  <c r="G199" i="209" s="1"/>
  <c r="D313" i="209" s="1"/>
  <c r="G313" i="209" s="1"/>
  <c r="D427" i="209" s="1"/>
  <c r="G427" i="209" s="1"/>
  <c r="D541" i="209" s="1"/>
  <c r="G541" i="209" s="1"/>
  <c r="D655" i="209" s="1"/>
  <c r="G655" i="209" s="1"/>
  <c r="D769" i="209" s="1"/>
  <c r="G769" i="209" s="1"/>
  <c r="D883" i="209" s="1"/>
  <c r="G883" i="209" s="1"/>
  <c r="D997" i="209" s="1"/>
  <c r="M84" i="209"/>
  <c r="O84" i="209" s="1"/>
  <c r="I198" i="209" s="1"/>
  <c r="G84" i="209"/>
  <c r="D198" i="209" s="1"/>
  <c r="G198" i="209" s="1"/>
  <c r="D312" i="209" s="1"/>
  <c r="G312" i="209" s="1"/>
  <c r="D426" i="209" s="1"/>
  <c r="G426" i="209" s="1"/>
  <c r="D540" i="209" s="1"/>
  <c r="G540" i="209" s="1"/>
  <c r="D654" i="209" s="1"/>
  <c r="G654" i="209" s="1"/>
  <c r="D768" i="209" s="1"/>
  <c r="G768" i="209" s="1"/>
  <c r="D882" i="209" s="1"/>
  <c r="G882" i="209" s="1"/>
  <c r="D996" i="209" s="1"/>
  <c r="D82" i="7" s="1"/>
  <c r="M83" i="209"/>
  <c r="O83" i="209" s="1"/>
  <c r="I197" i="209" s="1"/>
  <c r="O197" i="209" s="1"/>
  <c r="I311" i="209" s="1"/>
  <c r="O311" i="209" s="1"/>
  <c r="I425" i="209" s="1"/>
  <c r="O425" i="209" s="1"/>
  <c r="I539" i="209" s="1"/>
  <c r="O539" i="209" s="1"/>
  <c r="I653" i="209" s="1"/>
  <c r="O653" i="209" s="1"/>
  <c r="I767" i="209" s="1"/>
  <c r="O767" i="209" s="1"/>
  <c r="I881" i="209" s="1"/>
  <c r="O881" i="209" s="1"/>
  <c r="I995" i="209" s="1"/>
  <c r="O995" i="209" s="1"/>
  <c r="G83" i="209"/>
  <c r="D197" i="209" s="1"/>
  <c r="G197" i="209" s="1"/>
  <c r="D311" i="209" s="1"/>
  <c r="G311" i="209" s="1"/>
  <c r="D425" i="209" s="1"/>
  <c r="G425" i="209" s="1"/>
  <c r="D539" i="209" s="1"/>
  <c r="G539" i="209" s="1"/>
  <c r="D653" i="209" s="1"/>
  <c r="G653" i="209" s="1"/>
  <c r="D767" i="209" s="1"/>
  <c r="G767" i="209" s="1"/>
  <c r="D881" i="209" s="1"/>
  <c r="G881" i="209" s="1"/>
  <c r="D995" i="209" s="1"/>
  <c r="M82" i="209"/>
  <c r="O82" i="209" s="1"/>
  <c r="I196" i="209" s="1"/>
  <c r="G82" i="209"/>
  <c r="D196" i="209" s="1"/>
  <c r="G196" i="209" s="1"/>
  <c r="D310" i="209" s="1"/>
  <c r="G310" i="209" s="1"/>
  <c r="D424" i="209" s="1"/>
  <c r="G424" i="209" s="1"/>
  <c r="D538" i="209" s="1"/>
  <c r="G538" i="209" s="1"/>
  <c r="D652" i="209" s="1"/>
  <c r="G652" i="209" s="1"/>
  <c r="D766" i="209" s="1"/>
  <c r="G766" i="209" s="1"/>
  <c r="D880" i="209" s="1"/>
  <c r="G880" i="209" s="1"/>
  <c r="D994" i="209" s="1"/>
  <c r="M81" i="209"/>
  <c r="O81" i="209" s="1"/>
  <c r="I195" i="209" s="1"/>
  <c r="G81" i="209"/>
  <c r="D195" i="209" s="1"/>
  <c r="G195" i="209" s="1"/>
  <c r="D309" i="209" s="1"/>
  <c r="G309" i="209" s="1"/>
  <c r="D423" i="209" s="1"/>
  <c r="G423" i="209" s="1"/>
  <c r="D537" i="209" s="1"/>
  <c r="G537" i="209" s="1"/>
  <c r="D651" i="209" s="1"/>
  <c r="G651" i="209" s="1"/>
  <c r="D765" i="209" s="1"/>
  <c r="G765" i="209" s="1"/>
  <c r="D879" i="209" s="1"/>
  <c r="G879" i="209" s="1"/>
  <c r="D993" i="209" s="1"/>
  <c r="M80" i="209"/>
  <c r="O80" i="209" s="1"/>
  <c r="I194" i="209" s="1"/>
  <c r="O194" i="209" s="1"/>
  <c r="I308" i="209" s="1"/>
  <c r="O308" i="209" s="1"/>
  <c r="I422" i="209" s="1"/>
  <c r="G80" i="209"/>
  <c r="D194" i="209" s="1"/>
  <c r="G194" i="209" s="1"/>
  <c r="D308" i="209" s="1"/>
  <c r="G308" i="209" s="1"/>
  <c r="D422" i="209" s="1"/>
  <c r="G422" i="209" s="1"/>
  <c r="D536" i="209" s="1"/>
  <c r="G536" i="209" s="1"/>
  <c r="D650" i="209" s="1"/>
  <c r="G650" i="209" s="1"/>
  <c r="D764" i="209" s="1"/>
  <c r="G764" i="209" s="1"/>
  <c r="D878" i="209" s="1"/>
  <c r="G878" i="209" s="1"/>
  <c r="D992" i="209" s="1"/>
  <c r="D78" i="7" s="1"/>
  <c r="M79" i="209"/>
  <c r="O79" i="209" s="1"/>
  <c r="I193" i="209" s="1"/>
  <c r="G79" i="209"/>
  <c r="D193" i="209" s="1"/>
  <c r="G193" i="209" s="1"/>
  <c r="D307" i="209" s="1"/>
  <c r="G307" i="209" s="1"/>
  <c r="D421" i="209" s="1"/>
  <c r="G421" i="209" s="1"/>
  <c r="D535" i="209" s="1"/>
  <c r="G535" i="209" s="1"/>
  <c r="D649" i="209" s="1"/>
  <c r="G649" i="209" s="1"/>
  <c r="D763" i="209" s="1"/>
  <c r="G763" i="209" s="1"/>
  <c r="D877" i="209" s="1"/>
  <c r="G877" i="209" s="1"/>
  <c r="D991" i="209" s="1"/>
  <c r="A79" i="209"/>
  <c r="A80" i="209" s="1"/>
  <c r="A81" i="209" s="1"/>
  <c r="A82" i="209" s="1"/>
  <c r="A83" i="209" s="1"/>
  <c r="A84" i="209" s="1"/>
  <c r="A85" i="209" s="1"/>
  <c r="A86" i="209" s="1"/>
  <c r="A87" i="209" s="1"/>
  <c r="A88" i="209" s="1"/>
  <c r="A89" i="209" s="1"/>
  <c r="A90" i="209" s="1"/>
  <c r="A91" i="209" s="1"/>
  <c r="A93" i="209" s="1"/>
  <c r="A94" i="209" s="1"/>
  <c r="A95" i="209" s="1"/>
  <c r="A97" i="209" s="1"/>
  <c r="A99" i="209" s="1"/>
  <c r="A101" i="209" s="1"/>
  <c r="A104" i="209" s="1"/>
  <c r="A105" i="209" s="1"/>
  <c r="A106" i="209" s="1"/>
  <c r="A107" i="209" s="1"/>
  <c r="A108" i="209" s="1"/>
  <c r="A109" i="209" s="1"/>
  <c r="A110" i="209" s="1"/>
  <c r="A112" i="209" s="1"/>
  <c r="M78" i="209"/>
  <c r="G78" i="209"/>
  <c r="D192" i="209" s="1"/>
  <c r="G192" i="209" s="1"/>
  <c r="D306" i="209" s="1"/>
  <c r="G306" i="209" s="1"/>
  <c r="D420" i="209" s="1"/>
  <c r="G420" i="209" s="1"/>
  <c r="D534" i="209" s="1"/>
  <c r="G534" i="209" s="1"/>
  <c r="D648" i="209" s="1"/>
  <c r="G648" i="209" s="1"/>
  <c r="D762" i="209" s="1"/>
  <c r="G762" i="209" s="1"/>
  <c r="D876" i="209" s="1"/>
  <c r="G876" i="209" s="1"/>
  <c r="D990" i="209" s="1"/>
  <c r="M77" i="209"/>
  <c r="O77" i="209" s="1"/>
  <c r="I191" i="209" s="1"/>
  <c r="G77" i="209"/>
  <c r="D191" i="209" s="1"/>
  <c r="G191" i="209" s="1"/>
  <c r="A77" i="209"/>
  <c r="A78" i="209" s="1"/>
  <c r="O74" i="209"/>
  <c r="N74" i="209"/>
  <c r="M74" i="209"/>
  <c r="L74" i="209"/>
  <c r="K74" i="209"/>
  <c r="J74" i="209"/>
  <c r="I74" i="209"/>
  <c r="I70" i="209"/>
  <c r="G70" i="209"/>
  <c r="O70" i="209" s="1"/>
  <c r="A67" i="209"/>
  <c r="O65" i="209"/>
  <c r="A62" i="209"/>
  <c r="L57" i="209"/>
  <c r="M56" i="209"/>
  <c r="O56" i="209" s="1"/>
  <c r="I170" i="209" s="1"/>
  <c r="O170" i="209" s="1"/>
  <c r="I284" i="209" s="1"/>
  <c r="O284" i="209" s="1"/>
  <c r="I398" i="209" s="1"/>
  <c r="O398" i="209" s="1"/>
  <c r="I512" i="209" s="1"/>
  <c r="G56" i="209"/>
  <c r="D170" i="209" s="1"/>
  <c r="G170" i="209" s="1"/>
  <c r="D284" i="209" s="1"/>
  <c r="G284" i="209" s="1"/>
  <c r="D398" i="209" s="1"/>
  <c r="G398" i="209" s="1"/>
  <c r="D512" i="209" s="1"/>
  <c r="G512" i="209" s="1"/>
  <c r="D626" i="209" s="1"/>
  <c r="G626" i="209" s="1"/>
  <c r="D740" i="209" s="1"/>
  <c r="G740" i="209" s="1"/>
  <c r="D854" i="209" s="1"/>
  <c r="G854" i="209" s="1"/>
  <c r="D968" i="209" s="1"/>
  <c r="O55" i="209"/>
  <c r="I169" i="209" s="1"/>
  <c r="O169" i="209" s="1"/>
  <c r="I283" i="209" s="1"/>
  <c r="M55" i="209"/>
  <c r="G55" i="209"/>
  <c r="D169" i="209" s="1"/>
  <c r="G169" i="209" s="1"/>
  <c r="D283" i="209" s="1"/>
  <c r="G283" i="209" s="1"/>
  <c r="D397" i="209" s="1"/>
  <c r="G397" i="209" s="1"/>
  <c r="D511" i="209" s="1"/>
  <c r="G511" i="209" s="1"/>
  <c r="D625" i="209" s="1"/>
  <c r="G625" i="209" s="1"/>
  <c r="D739" i="209" s="1"/>
  <c r="G739" i="209" s="1"/>
  <c r="D853" i="209" s="1"/>
  <c r="G853" i="209" s="1"/>
  <c r="D967" i="209" s="1"/>
  <c r="M54" i="209"/>
  <c r="O54" i="209" s="1"/>
  <c r="I168" i="209" s="1"/>
  <c r="O168" i="209" s="1"/>
  <c r="I282" i="209" s="1"/>
  <c r="G54" i="209"/>
  <c r="D168" i="209" s="1"/>
  <c r="G168" i="209" s="1"/>
  <c r="D282" i="209" s="1"/>
  <c r="G282" i="209" s="1"/>
  <c r="D396" i="209" s="1"/>
  <c r="G396" i="209" s="1"/>
  <c r="D510" i="209" s="1"/>
  <c r="G510" i="209" s="1"/>
  <c r="D624" i="209" s="1"/>
  <c r="G624" i="209" s="1"/>
  <c r="D738" i="209" s="1"/>
  <c r="G738" i="209" s="1"/>
  <c r="D852" i="209" s="1"/>
  <c r="G852" i="209" s="1"/>
  <c r="D966" i="209" s="1"/>
  <c r="M53" i="209"/>
  <c r="O53" i="209" s="1"/>
  <c r="I167" i="209" s="1"/>
  <c r="G53" i="209"/>
  <c r="D167" i="209" s="1"/>
  <c r="G167" i="209" s="1"/>
  <c r="D281" i="209" s="1"/>
  <c r="G281" i="209" s="1"/>
  <c r="D395" i="209" s="1"/>
  <c r="G395" i="209" s="1"/>
  <c r="D509" i="209" s="1"/>
  <c r="G509" i="209" s="1"/>
  <c r="D623" i="209" s="1"/>
  <c r="G623" i="209" s="1"/>
  <c r="D737" i="209" s="1"/>
  <c r="G737" i="209" s="1"/>
  <c r="D851" i="209" s="1"/>
  <c r="G851" i="209" s="1"/>
  <c r="D965" i="209" s="1"/>
  <c r="M52" i="209"/>
  <c r="O52" i="209" s="1"/>
  <c r="I166" i="209" s="1"/>
  <c r="O166" i="209" s="1"/>
  <c r="I280" i="209" s="1"/>
  <c r="O280" i="209" s="1"/>
  <c r="I394" i="209" s="1"/>
  <c r="G52" i="209"/>
  <c r="D166" i="209" s="1"/>
  <c r="G166" i="209" s="1"/>
  <c r="D280" i="209" s="1"/>
  <c r="G280" i="209" s="1"/>
  <c r="D394" i="209" s="1"/>
  <c r="G394" i="209" s="1"/>
  <c r="D508" i="209" s="1"/>
  <c r="G508" i="209" s="1"/>
  <c r="D622" i="209" s="1"/>
  <c r="G622" i="209" s="1"/>
  <c r="D736" i="209" s="1"/>
  <c r="G736" i="209" s="1"/>
  <c r="D850" i="209" s="1"/>
  <c r="G850" i="209" s="1"/>
  <c r="D964" i="209" s="1"/>
  <c r="M51" i="209"/>
  <c r="O51" i="209" s="1"/>
  <c r="I165" i="209" s="1"/>
  <c r="O165" i="209" s="1"/>
  <c r="I279" i="209" s="1"/>
  <c r="O279" i="209" s="1"/>
  <c r="I393" i="209" s="1"/>
  <c r="O393" i="209" s="1"/>
  <c r="I507" i="209" s="1"/>
  <c r="O507" i="209" s="1"/>
  <c r="I621" i="209" s="1"/>
  <c r="O621" i="209" s="1"/>
  <c r="I735" i="209" s="1"/>
  <c r="O735" i="209" s="1"/>
  <c r="I849" i="209" s="1"/>
  <c r="O849" i="209" s="1"/>
  <c r="I963" i="209" s="1"/>
  <c r="O963" i="209" s="1"/>
  <c r="G51" i="209"/>
  <c r="D165" i="209" s="1"/>
  <c r="G165" i="209" s="1"/>
  <c r="D279" i="209" s="1"/>
  <c r="G279" i="209" s="1"/>
  <c r="D393" i="209" s="1"/>
  <c r="G393" i="209" s="1"/>
  <c r="D507" i="209" s="1"/>
  <c r="G507" i="209" s="1"/>
  <c r="D621" i="209" s="1"/>
  <c r="G621" i="209" s="1"/>
  <c r="D735" i="209" s="1"/>
  <c r="G735" i="209" s="1"/>
  <c r="D849" i="209" s="1"/>
  <c r="G849" i="209" s="1"/>
  <c r="D963" i="209" s="1"/>
  <c r="M50" i="209"/>
  <c r="O50" i="209" s="1"/>
  <c r="I164" i="209" s="1"/>
  <c r="O164" i="209" s="1"/>
  <c r="I278" i="209" s="1"/>
  <c r="O278" i="209" s="1"/>
  <c r="I392" i="209" s="1"/>
  <c r="G50" i="209"/>
  <c r="D164" i="209" s="1"/>
  <c r="G164" i="209" s="1"/>
  <c r="D278" i="209" s="1"/>
  <c r="G278" i="209" s="1"/>
  <c r="D392" i="209" s="1"/>
  <c r="G392" i="209" s="1"/>
  <c r="D506" i="209" s="1"/>
  <c r="G506" i="209" s="1"/>
  <c r="D620" i="209" s="1"/>
  <c r="G620" i="209" s="1"/>
  <c r="D734" i="209" s="1"/>
  <c r="G734" i="209" s="1"/>
  <c r="D848" i="209" s="1"/>
  <c r="G848" i="209" s="1"/>
  <c r="D962" i="209" s="1"/>
  <c r="M49" i="209"/>
  <c r="O49" i="209" s="1"/>
  <c r="I163" i="209" s="1"/>
  <c r="O163" i="209" s="1"/>
  <c r="I277" i="209" s="1"/>
  <c r="G49" i="209"/>
  <c r="D163" i="209" s="1"/>
  <c r="G163" i="209" s="1"/>
  <c r="D277" i="209" s="1"/>
  <c r="G277" i="209" s="1"/>
  <c r="D391" i="209" s="1"/>
  <c r="G391" i="209" s="1"/>
  <c r="D505" i="209" s="1"/>
  <c r="G505" i="209" s="1"/>
  <c r="D619" i="209" s="1"/>
  <c r="G619" i="209" s="1"/>
  <c r="D733" i="209" s="1"/>
  <c r="G733" i="209" s="1"/>
  <c r="D847" i="209" s="1"/>
  <c r="G847" i="209" s="1"/>
  <c r="D961" i="209" s="1"/>
  <c r="M48" i="209"/>
  <c r="O48" i="209" s="1"/>
  <c r="I162" i="209" s="1"/>
  <c r="O162" i="209" s="1"/>
  <c r="I276" i="209" s="1"/>
  <c r="G48" i="209"/>
  <c r="D162" i="209" s="1"/>
  <c r="G162" i="209" s="1"/>
  <c r="D276" i="209" s="1"/>
  <c r="G276" i="209" s="1"/>
  <c r="D390" i="209" s="1"/>
  <c r="G390" i="209" s="1"/>
  <c r="D504" i="209" s="1"/>
  <c r="G504" i="209" s="1"/>
  <c r="D618" i="209" s="1"/>
  <c r="G618" i="209" s="1"/>
  <c r="D732" i="209" s="1"/>
  <c r="G732" i="209" s="1"/>
  <c r="D846" i="209" s="1"/>
  <c r="G846" i="209" s="1"/>
  <c r="D960" i="209" s="1"/>
  <c r="I47" i="209"/>
  <c r="F47" i="209"/>
  <c r="M47" i="209" s="1"/>
  <c r="E47" i="209"/>
  <c r="I46" i="209"/>
  <c r="E46" i="209"/>
  <c r="M45" i="209"/>
  <c r="O45" i="209" s="1"/>
  <c r="I159" i="209" s="1"/>
  <c r="O159" i="209" s="1"/>
  <c r="I273" i="209" s="1"/>
  <c r="O273" i="209" s="1"/>
  <c r="I387" i="209" s="1"/>
  <c r="O387" i="209" s="1"/>
  <c r="I501" i="209" s="1"/>
  <c r="O501" i="209" s="1"/>
  <c r="I615" i="209" s="1"/>
  <c r="G45" i="209"/>
  <c r="D159" i="209" s="1"/>
  <c r="G159" i="209" s="1"/>
  <c r="D273" i="209" s="1"/>
  <c r="G273" i="209" s="1"/>
  <c r="D387" i="209" s="1"/>
  <c r="G387" i="209" s="1"/>
  <c r="D501" i="209" s="1"/>
  <c r="G501" i="209" s="1"/>
  <c r="D615" i="209" s="1"/>
  <c r="G615" i="209" s="1"/>
  <c r="D729" i="209" s="1"/>
  <c r="G729" i="209" s="1"/>
  <c r="D843" i="209" s="1"/>
  <c r="G843" i="209" s="1"/>
  <c r="D957" i="209" s="1"/>
  <c r="M44" i="209"/>
  <c r="O44" i="209" s="1"/>
  <c r="I158" i="209" s="1"/>
  <c r="O158" i="209" s="1"/>
  <c r="I272" i="209" s="1"/>
  <c r="O272" i="209" s="1"/>
  <c r="I386" i="209" s="1"/>
  <c r="O386" i="209" s="1"/>
  <c r="I500" i="209" s="1"/>
  <c r="O500" i="209" s="1"/>
  <c r="I614" i="209" s="1"/>
  <c r="O614" i="209" s="1"/>
  <c r="I728" i="209" s="1"/>
  <c r="O728" i="209" s="1"/>
  <c r="I842" i="209" s="1"/>
  <c r="O842" i="209" s="1"/>
  <c r="I956" i="209" s="1"/>
  <c r="O956" i="209" s="1"/>
  <c r="G44" i="209"/>
  <c r="D158" i="209" s="1"/>
  <c r="G158" i="209" s="1"/>
  <c r="D272" i="209" s="1"/>
  <c r="G272" i="209" s="1"/>
  <c r="D386" i="209" s="1"/>
  <c r="G386" i="209" s="1"/>
  <c r="D500" i="209" s="1"/>
  <c r="G500" i="209" s="1"/>
  <c r="D614" i="209" s="1"/>
  <c r="G614" i="209" s="1"/>
  <c r="D728" i="209" s="1"/>
  <c r="G728" i="209" s="1"/>
  <c r="D842" i="209" s="1"/>
  <c r="G842" i="209" s="1"/>
  <c r="D956" i="209" s="1"/>
  <c r="K43" i="209"/>
  <c r="D43" i="209"/>
  <c r="M42" i="209"/>
  <c r="O42" i="209" s="1"/>
  <c r="I156" i="209" s="1"/>
  <c r="G42" i="209"/>
  <c r="D156" i="209" s="1"/>
  <c r="G156" i="209" s="1"/>
  <c r="D270" i="209" s="1"/>
  <c r="G270" i="209" s="1"/>
  <c r="D384" i="209" s="1"/>
  <c r="G384" i="209" s="1"/>
  <c r="D498" i="209" s="1"/>
  <c r="G498" i="209" s="1"/>
  <c r="D612" i="209" s="1"/>
  <c r="G612" i="209" s="1"/>
  <c r="D726" i="209" s="1"/>
  <c r="G726" i="209" s="1"/>
  <c r="D840" i="209" s="1"/>
  <c r="G840" i="209" s="1"/>
  <c r="D954" i="209" s="1"/>
  <c r="O41" i="209"/>
  <c r="I155" i="209" s="1"/>
  <c r="M41" i="209"/>
  <c r="G41" i="209"/>
  <c r="D155" i="209" s="1"/>
  <c r="G155" i="209" s="1"/>
  <c r="D269" i="209" s="1"/>
  <c r="G269" i="209" s="1"/>
  <c r="D383" i="209" s="1"/>
  <c r="G383" i="209" s="1"/>
  <c r="D497" i="209" s="1"/>
  <c r="G497" i="209" s="1"/>
  <c r="D611" i="209" s="1"/>
  <c r="G611" i="209" s="1"/>
  <c r="D725" i="209" s="1"/>
  <c r="G725" i="209" s="1"/>
  <c r="D839" i="209" s="1"/>
  <c r="G839" i="209" s="1"/>
  <c r="D953" i="209" s="1"/>
  <c r="K40" i="209"/>
  <c r="I40" i="209"/>
  <c r="D40" i="209"/>
  <c r="O39" i="209"/>
  <c r="I153" i="209" s="1"/>
  <c r="M39" i="209"/>
  <c r="G39" i="209"/>
  <c r="D153" i="209" s="1"/>
  <c r="G153" i="209" s="1"/>
  <c r="D267" i="209" s="1"/>
  <c r="G267" i="209" s="1"/>
  <c r="D381" i="209" s="1"/>
  <c r="G381" i="209" s="1"/>
  <c r="D495" i="209" s="1"/>
  <c r="G495" i="209" s="1"/>
  <c r="D609" i="209" s="1"/>
  <c r="G609" i="209" s="1"/>
  <c r="D723" i="209" s="1"/>
  <c r="G723" i="209" s="1"/>
  <c r="D837" i="209" s="1"/>
  <c r="G837" i="209" s="1"/>
  <c r="D951" i="209" s="1"/>
  <c r="N38" i="209"/>
  <c r="K38" i="209"/>
  <c r="I38" i="209"/>
  <c r="F38" i="209"/>
  <c r="D38" i="209"/>
  <c r="M37" i="209"/>
  <c r="O37" i="209" s="1"/>
  <c r="I151" i="209" s="1"/>
  <c r="O151" i="209" s="1"/>
  <c r="I265" i="209" s="1"/>
  <c r="G37" i="209"/>
  <c r="D151" i="209" s="1"/>
  <c r="G151" i="209" s="1"/>
  <c r="D265" i="209" s="1"/>
  <c r="G265" i="209" s="1"/>
  <c r="D379" i="209" s="1"/>
  <c r="G379" i="209" s="1"/>
  <c r="D493" i="209" s="1"/>
  <c r="G493" i="209" s="1"/>
  <c r="D607" i="209" s="1"/>
  <c r="G607" i="209" s="1"/>
  <c r="D721" i="209" s="1"/>
  <c r="G721" i="209" s="1"/>
  <c r="D835" i="209" s="1"/>
  <c r="G835" i="209" s="1"/>
  <c r="D949" i="209" s="1"/>
  <c r="O36" i="209"/>
  <c r="I150" i="209" s="1"/>
  <c r="O150" i="209" s="1"/>
  <c r="I264" i="209" s="1"/>
  <c r="O264" i="209" s="1"/>
  <c r="I378" i="209" s="1"/>
  <c r="O378" i="209" s="1"/>
  <c r="I492" i="209" s="1"/>
  <c r="O492" i="209" s="1"/>
  <c r="I606" i="209" s="1"/>
  <c r="O606" i="209" s="1"/>
  <c r="I720" i="209" s="1"/>
  <c r="O720" i="209" s="1"/>
  <c r="I834" i="209" s="1"/>
  <c r="O834" i="209" s="1"/>
  <c r="I948" i="209" s="1"/>
  <c r="O948" i="209" s="1"/>
  <c r="M36" i="209"/>
  <c r="G36" i="209"/>
  <c r="D150" i="209" s="1"/>
  <c r="G150" i="209" s="1"/>
  <c r="D264" i="209" s="1"/>
  <c r="G264" i="209" s="1"/>
  <c r="D378" i="209" s="1"/>
  <c r="G378" i="209" s="1"/>
  <c r="D492" i="209" s="1"/>
  <c r="G492" i="209" s="1"/>
  <c r="D606" i="209" s="1"/>
  <c r="G606" i="209" s="1"/>
  <c r="D720" i="209" s="1"/>
  <c r="G720" i="209" s="1"/>
  <c r="D834" i="209" s="1"/>
  <c r="G834" i="209" s="1"/>
  <c r="D948" i="209" s="1"/>
  <c r="M35" i="209"/>
  <c r="O35" i="209" s="1"/>
  <c r="I149" i="209" s="1"/>
  <c r="G35" i="209"/>
  <c r="D149" i="209" s="1"/>
  <c r="G149" i="209" s="1"/>
  <c r="D263" i="209" s="1"/>
  <c r="G263" i="209" s="1"/>
  <c r="D377" i="209" s="1"/>
  <c r="G377" i="209" s="1"/>
  <c r="D491" i="209" s="1"/>
  <c r="G491" i="209" s="1"/>
  <c r="D605" i="209" s="1"/>
  <c r="G605" i="209" s="1"/>
  <c r="D719" i="209" s="1"/>
  <c r="G719" i="209" s="1"/>
  <c r="D833" i="209" s="1"/>
  <c r="G833" i="209" s="1"/>
  <c r="D947" i="209" s="1"/>
  <c r="M34" i="209"/>
  <c r="O34" i="209" s="1"/>
  <c r="I148" i="209" s="1"/>
  <c r="G34" i="209"/>
  <c r="D148" i="209" s="1"/>
  <c r="G148" i="209" s="1"/>
  <c r="D262" i="209" s="1"/>
  <c r="G262" i="209" s="1"/>
  <c r="D376" i="209" s="1"/>
  <c r="G376" i="209" s="1"/>
  <c r="D490" i="209" s="1"/>
  <c r="G490" i="209" s="1"/>
  <c r="D604" i="209" s="1"/>
  <c r="G604" i="209" s="1"/>
  <c r="D718" i="209" s="1"/>
  <c r="G718" i="209" s="1"/>
  <c r="D832" i="209" s="1"/>
  <c r="G832" i="209" s="1"/>
  <c r="D946" i="209" s="1"/>
  <c r="M33" i="209"/>
  <c r="O33" i="209" s="1"/>
  <c r="I147" i="209" s="1"/>
  <c r="O147" i="209" s="1"/>
  <c r="I261" i="209" s="1"/>
  <c r="O261" i="209" s="1"/>
  <c r="I375" i="209" s="1"/>
  <c r="O375" i="209" s="1"/>
  <c r="I489" i="209" s="1"/>
  <c r="O489" i="209" s="1"/>
  <c r="I603" i="209" s="1"/>
  <c r="O603" i="209" s="1"/>
  <c r="I717" i="209" s="1"/>
  <c r="O717" i="209" s="1"/>
  <c r="I831" i="209" s="1"/>
  <c r="O831" i="209" s="1"/>
  <c r="I945" i="209" s="1"/>
  <c r="O945" i="209" s="1"/>
  <c r="G33" i="209"/>
  <c r="D147" i="209" s="1"/>
  <c r="G147" i="209" s="1"/>
  <c r="D261" i="209" s="1"/>
  <c r="G261" i="209" s="1"/>
  <c r="D375" i="209" s="1"/>
  <c r="G375" i="209" s="1"/>
  <c r="D489" i="209" s="1"/>
  <c r="G489" i="209" s="1"/>
  <c r="D603" i="209" s="1"/>
  <c r="G603" i="209" s="1"/>
  <c r="D717" i="209" s="1"/>
  <c r="G717" i="209" s="1"/>
  <c r="D831" i="209" s="1"/>
  <c r="G831" i="209" s="1"/>
  <c r="D945" i="209" s="1"/>
  <c r="M32" i="209"/>
  <c r="O32" i="209" s="1"/>
  <c r="I146" i="209" s="1"/>
  <c r="G32" i="209"/>
  <c r="D146" i="209" s="1"/>
  <c r="G146" i="209" s="1"/>
  <c r="D260" i="209" s="1"/>
  <c r="G260" i="209" s="1"/>
  <c r="D374" i="209" s="1"/>
  <c r="G374" i="209" s="1"/>
  <c r="D488" i="209" s="1"/>
  <c r="G488" i="209" s="1"/>
  <c r="D602" i="209" s="1"/>
  <c r="G602" i="209" s="1"/>
  <c r="D716" i="209" s="1"/>
  <c r="G716" i="209" s="1"/>
  <c r="D830" i="209" s="1"/>
  <c r="G830" i="209" s="1"/>
  <c r="D944" i="209" s="1"/>
  <c r="M31" i="209"/>
  <c r="O31" i="209" s="1"/>
  <c r="I145" i="209" s="1"/>
  <c r="G31" i="209"/>
  <c r="D145" i="209" s="1"/>
  <c r="G145" i="209" s="1"/>
  <c r="D259" i="209" s="1"/>
  <c r="G259" i="209" s="1"/>
  <c r="D373" i="209" s="1"/>
  <c r="G373" i="209" s="1"/>
  <c r="D487" i="209" s="1"/>
  <c r="G487" i="209" s="1"/>
  <c r="D601" i="209" s="1"/>
  <c r="G601" i="209" s="1"/>
  <c r="D715" i="209" s="1"/>
  <c r="G715" i="209" s="1"/>
  <c r="D829" i="209" s="1"/>
  <c r="G829" i="209" s="1"/>
  <c r="D943" i="209" s="1"/>
  <c r="M30" i="209"/>
  <c r="O30" i="209" s="1"/>
  <c r="I144" i="209" s="1"/>
  <c r="O144" i="209" s="1"/>
  <c r="I258" i="209" s="1"/>
  <c r="O258" i="209" s="1"/>
  <c r="I372" i="209" s="1"/>
  <c r="O372" i="209" s="1"/>
  <c r="I486" i="209" s="1"/>
  <c r="O486" i="209" s="1"/>
  <c r="I600" i="209" s="1"/>
  <c r="O600" i="209" s="1"/>
  <c r="I714" i="209" s="1"/>
  <c r="O714" i="209" s="1"/>
  <c r="I828" i="209" s="1"/>
  <c r="O828" i="209" s="1"/>
  <c r="I942" i="209" s="1"/>
  <c r="O942" i="209" s="1"/>
  <c r="G30" i="209"/>
  <c r="D144" i="209" s="1"/>
  <c r="G144" i="209" s="1"/>
  <c r="D258" i="209" s="1"/>
  <c r="G258" i="209" s="1"/>
  <c r="D372" i="209" s="1"/>
  <c r="G372" i="209" s="1"/>
  <c r="D486" i="209" s="1"/>
  <c r="G486" i="209" s="1"/>
  <c r="D600" i="209" s="1"/>
  <c r="G600" i="209" s="1"/>
  <c r="D714" i="209" s="1"/>
  <c r="G714" i="209" s="1"/>
  <c r="D828" i="209" s="1"/>
  <c r="G828" i="209" s="1"/>
  <c r="D942" i="209" s="1"/>
  <c r="M29" i="209"/>
  <c r="O29" i="209" s="1"/>
  <c r="I143" i="209" s="1"/>
  <c r="G29" i="209"/>
  <c r="D143" i="209" s="1"/>
  <c r="G143" i="209" s="1"/>
  <c r="D257" i="209" s="1"/>
  <c r="G257" i="209" s="1"/>
  <c r="D371" i="209" s="1"/>
  <c r="G371" i="209" s="1"/>
  <c r="D485" i="209" s="1"/>
  <c r="G485" i="209" s="1"/>
  <c r="D599" i="209" s="1"/>
  <c r="G599" i="209" s="1"/>
  <c r="D713" i="209" s="1"/>
  <c r="G713" i="209" s="1"/>
  <c r="D827" i="209" s="1"/>
  <c r="G827" i="209" s="1"/>
  <c r="D941" i="209" s="1"/>
  <c r="O28" i="209"/>
  <c r="I142" i="209" s="1"/>
  <c r="O142" i="209" s="1"/>
  <c r="I256" i="209" s="1"/>
  <c r="O256" i="209" s="1"/>
  <c r="I370" i="209" s="1"/>
  <c r="O370" i="209" s="1"/>
  <c r="I484" i="209" s="1"/>
  <c r="G28" i="209"/>
  <c r="D142" i="209" s="1"/>
  <c r="G142" i="209" s="1"/>
  <c r="D256" i="209" s="1"/>
  <c r="G256" i="209" s="1"/>
  <c r="D370" i="209" s="1"/>
  <c r="G370" i="209" s="1"/>
  <c r="D484" i="209" s="1"/>
  <c r="G484" i="209" s="1"/>
  <c r="D598" i="209" s="1"/>
  <c r="G598" i="209" s="1"/>
  <c r="D712" i="209" s="1"/>
  <c r="G712" i="209" s="1"/>
  <c r="D826" i="209" s="1"/>
  <c r="G826" i="209" s="1"/>
  <c r="D940" i="209" s="1"/>
  <c r="O27" i="209"/>
  <c r="M27" i="209"/>
  <c r="G27" i="209"/>
  <c r="D141" i="209" s="1"/>
  <c r="N24" i="209"/>
  <c r="L24" i="209"/>
  <c r="K24" i="209"/>
  <c r="I24" i="209"/>
  <c r="F24" i="209"/>
  <c r="E24" i="209"/>
  <c r="D24" i="209"/>
  <c r="M23" i="209"/>
  <c r="O23" i="209" s="1"/>
  <c r="I137" i="209" s="1"/>
  <c r="O137" i="209" s="1"/>
  <c r="I251" i="209" s="1"/>
  <c r="O251" i="209" s="1"/>
  <c r="I365" i="209" s="1"/>
  <c r="G23" i="209"/>
  <c r="D137" i="209" s="1"/>
  <c r="G137" i="209" s="1"/>
  <c r="D251" i="209" s="1"/>
  <c r="G251" i="209" s="1"/>
  <c r="D365" i="209" s="1"/>
  <c r="G365" i="209" s="1"/>
  <c r="D479" i="209" s="1"/>
  <c r="G479" i="209" s="1"/>
  <c r="D593" i="209" s="1"/>
  <c r="G593" i="209" s="1"/>
  <c r="D707" i="209" s="1"/>
  <c r="G707" i="209" s="1"/>
  <c r="D821" i="209" s="1"/>
  <c r="G821" i="209" s="1"/>
  <c r="D935" i="209" s="1"/>
  <c r="M22" i="209"/>
  <c r="O22" i="209" s="1"/>
  <c r="I136" i="209" s="1"/>
  <c r="G22" i="209"/>
  <c r="D136" i="209" s="1"/>
  <c r="G136" i="209" s="1"/>
  <c r="D250" i="209" s="1"/>
  <c r="G250" i="209" s="1"/>
  <c r="D364" i="209" s="1"/>
  <c r="G364" i="209" s="1"/>
  <c r="D478" i="209" s="1"/>
  <c r="G478" i="209" s="1"/>
  <c r="D592" i="209" s="1"/>
  <c r="G592" i="209" s="1"/>
  <c r="D706" i="209" s="1"/>
  <c r="G706" i="209" s="1"/>
  <c r="D820" i="209" s="1"/>
  <c r="G820" i="209" s="1"/>
  <c r="D934" i="209" s="1"/>
  <c r="O21" i="209"/>
  <c r="I135" i="209" s="1"/>
  <c r="O135" i="209" s="1"/>
  <c r="I249" i="209" s="1"/>
  <c r="O249" i="209" s="1"/>
  <c r="I363" i="209" s="1"/>
  <c r="M21" i="209"/>
  <c r="G21" i="209"/>
  <c r="D135" i="209" s="1"/>
  <c r="G135" i="209" s="1"/>
  <c r="D249" i="209" s="1"/>
  <c r="G249" i="209" s="1"/>
  <c r="D363" i="209" s="1"/>
  <c r="G363" i="209" s="1"/>
  <c r="D477" i="209" s="1"/>
  <c r="G477" i="209" s="1"/>
  <c r="D591" i="209" s="1"/>
  <c r="G591" i="209" s="1"/>
  <c r="D705" i="209" s="1"/>
  <c r="G705" i="209" s="1"/>
  <c r="D819" i="209" s="1"/>
  <c r="G819" i="209" s="1"/>
  <c r="D933" i="209" s="1"/>
  <c r="M20" i="209"/>
  <c r="O20" i="209" s="1"/>
  <c r="I134" i="209" s="1"/>
  <c r="O134" i="209" s="1"/>
  <c r="I248" i="209" s="1"/>
  <c r="O248" i="209" s="1"/>
  <c r="I362" i="209" s="1"/>
  <c r="G20" i="209"/>
  <c r="D134" i="209" s="1"/>
  <c r="G134" i="209" s="1"/>
  <c r="D248" i="209" s="1"/>
  <c r="G248" i="209" s="1"/>
  <c r="D362" i="209" s="1"/>
  <c r="G362" i="209" s="1"/>
  <c r="D476" i="209" s="1"/>
  <c r="G476" i="209" s="1"/>
  <c r="D590" i="209" s="1"/>
  <c r="G590" i="209" s="1"/>
  <c r="D704" i="209" s="1"/>
  <c r="G704" i="209" s="1"/>
  <c r="D818" i="209" s="1"/>
  <c r="G818" i="209" s="1"/>
  <c r="D932" i="209" s="1"/>
  <c r="O19" i="209"/>
  <c r="I133" i="209" s="1"/>
  <c r="O133" i="209" s="1"/>
  <c r="I247" i="209" s="1"/>
  <c r="M19" i="209"/>
  <c r="G19" i="209"/>
  <c r="M18" i="209"/>
  <c r="O18" i="209" s="1"/>
  <c r="G18" i="209"/>
  <c r="D132" i="209" s="1"/>
  <c r="A18" i="209"/>
  <c r="A19" i="209" s="1"/>
  <c r="A20" i="209" s="1"/>
  <c r="A21" i="209" s="1"/>
  <c r="A22" i="209" s="1"/>
  <c r="A23" i="209" s="1"/>
  <c r="A24" i="209" s="1"/>
  <c r="A26" i="209" s="1"/>
  <c r="A27" i="209" s="1"/>
  <c r="A28" i="209" s="1"/>
  <c r="A29" i="209" s="1"/>
  <c r="A30" i="209" s="1"/>
  <c r="A31" i="209" s="1"/>
  <c r="A32" i="209" s="1"/>
  <c r="A33" i="209" s="1"/>
  <c r="A34" i="209" s="1"/>
  <c r="A35" i="209" s="1"/>
  <c r="A36" i="209" s="1"/>
  <c r="A37" i="209" s="1"/>
  <c r="A38" i="209" s="1"/>
  <c r="A39" i="209" s="1"/>
  <c r="A40" i="209" s="1"/>
  <c r="A41" i="209" s="1"/>
  <c r="A42" i="209" s="1"/>
  <c r="A43" i="209" s="1"/>
  <c r="A44" i="209" s="1"/>
  <c r="A45" i="209" s="1"/>
  <c r="A46" i="209" s="1"/>
  <c r="A47" i="209" s="1"/>
  <c r="A48" i="209" s="1"/>
  <c r="A49" i="209" s="1"/>
  <c r="A50" i="209" s="1"/>
  <c r="A51" i="209" s="1"/>
  <c r="A52" i="209" s="1"/>
  <c r="A53" i="209" s="1"/>
  <c r="A54" i="209" s="1"/>
  <c r="A55" i="209" s="1"/>
  <c r="A56" i="209" s="1"/>
  <c r="A57" i="209" s="1"/>
  <c r="O15" i="209"/>
  <c r="N15" i="209"/>
  <c r="M15" i="209"/>
  <c r="L15" i="209"/>
  <c r="K15" i="209"/>
  <c r="J15" i="209"/>
  <c r="I15" i="209"/>
  <c r="I11" i="209"/>
  <c r="G11" i="209"/>
  <c r="O11" i="209" s="1"/>
  <c r="O8" i="209"/>
  <c r="O236" i="209" s="1"/>
  <c r="A7" i="209"/>
  <c r="A2401" i="209" s="1"/>
  <c r="A576" i="209"/>
  <c r="A4" i="209"/>
  <c r="A574" i="209" s="1"/>
  <c r="A2" i="209"/>
  <c r="A973" i="209" s="1"/>
  <c r="A1" i="209"/>
  <c r="A1998" i="209" s="1"/>
  <c r="A171" i="196"/>
  <c r="A170" i="196"/>
  <c r="A169" i="196"/>
  <c r="A168" i="196"/>
  <c r="A167" i="196"/>
  <c r="A166" i="196"/>
  <c r="A165" i="196"/>
  <c r="A164" i="196"/>
  <c r="A163" i="196"/>
  <c r="A162" i="196"/>
  <c r="A161" i="196"/>
  <c r="A160" i="196"/>
  <c r="A159" i="196"/>
  <c r="A158" i="196"/>
  <c r="A157" i="196"/>
  <c r="A156" i="196"/>
  <c r="A155" i="196"/>
  <c r="A154" i="196"/>
  <c r="A153" i="196"/>
  <c r="A152" i="196"/>
  <c r="A151" i="196"/>
  <c r="A150" i="196"/>
  <c r="A149" i="196"/>
  <c r="A148" i="196"/>
  <c r="A147" i="196"/>
  <c r="A146" i="196"/>
  <c r="A145" i="196"/>
  <c r="A144" i="196"/>
  <c r="A143" i="196"/>
  <c r="A142" i="196"/>
  <c r="A141" i="196"/>
  <c r="A140" i="196"/>
  <c r="A139" i="196"/>
  <c r="A138" i="196"/>
  <c r="A137" i="196"/>
  <c r="A136" i="196"/>
  <c r="A135" i="196"/>
  <c r="A134" i="196"/>
  <c r="A133" i="196"/>
  <c r="A132" i="196"/>
  <c r="A131" i="196"/>
  <c r="M128" i="196"/>
  <c r="L128" i="196"/>
  <c r="K128" i="196"/>
  <c r="J128" i="196"/>
  <c r="I128" i="196"/>
  <c r="H128" i="196"/>
  <c r="A122" i="196"/>
  <c r="N120" i="196"/>
  <c r="A117" i="196"/>
  <c r="A114" i="196"/>
  <c r="A113" i="196"/>
  <c r="A112" i="196"/>
  <c r="A111" i="196"/>
  <c r="A110" i="196"/>
  <c r="J109" i="196"/>
  <c r="A109" i="196"/>
  <c r="A108" i="196"/>
  <c r="A107" i="196"/>
  <c r="J106" i="196"/>
  <c r="A106" i="196"/>
  <c r="J105" i="196"/>
  <c r="A105" i="196"/>
  <c r="A104" i="196"/>
  <c r="J103" i="196"/>
  <c r="A103" i="196"/>
  <c r="A102" i="196"/>
  <c r="A101" i="196"/>
  <c r="J100" i="196"/>
  <c r="A100" i="196"/>
  <c r="A99" i="196"/>
  <c r="J98" i="196"/>
  <c r="A98" i="196"/>
  <c r="A97" i="196"/>
  <c r="J96" i="196"/>
  <c r="A96" i="196"/>
  <c r="A95" i="196"/>
  <c r="J94" i="196"/>
  <c r="A94" i="196"/>
  <c r="J93" i="196"/>
  <c r="A93" i="196"/>
  <c r="J92" i="196"/>
  <c r="A92" i="196"/>
  <c r="J91" i="196"/>
  <c r="A91" i="196"/>
  <c r="A90" i="196"/>
  <c r="A89" i="196"/>
  <c r="J88" i="196"/>
  <c r="A88" i="196"/>
  <c r="A87" i="196"/>
  <c r="A86" i="196"/>
  <c r="J85" i="196"/>
  <c r="A85" i="196"/>
  <c r="J84" i="196"/>
  <c r="A84" i="196"/>
  <c r="J83" i="196"/>
  <c r="A83" i="196"/>
  <c r="A82" i="196"/>
  <c r="A81" i="196"/>
  <c r="A80" i="196"/>
  <c r="A79" i="196"/>
  <c r="J78" i="196"/>
  <c r="A78" i="196"/>
  <c r="J77" i="196"/>
  <c r="A77" i="196"/>
  <c r="A76" i="196"/>
  <c r="J75" i="196"/>
  <c r="A75" i="196"/>
  <c r="A74" i="196"/>
  <c r="M71" i="196"/>
  <c r="L71" i="196"/>
  <c r="K71" i="196"/>
  <c r="J71" i="196"/>
  <c r="I71" i="196"/>
  <c r="H71" i="196"/>
  <c r="A65" i="196"/>
  <c r="N63" i="196"/>
  <c r="A60" i="196"/>
  <c r="A57" i="196"/>
  <c r="A56" i="196"/>
  <c r="A55" i="196"/>
  <c r="A54" i="196"/>
  <c r="A53" i="196"/>
  <c r="A52" i="196"/>
  <c r="A51" i="196"/>
  <c r="A50" i="196"/>
  <c r="A49" i="196"/>
  <c r="A48" i="196"/>
  <c r="A47" i="196"/>
  <c r="A46" i="196"/>
  <c r="A45" i="196"/>
  <c r="A44" i="196"/>
  <c r="A43" i="196"/>
  <c r="A42" i="196"/>
  <c r="A41" i="196"/>
  <c r="A40" i="196"/>
  <c r="A39" i="196"/>
  <c r="A38" i="196"/>
  <c r="A37" i="196"/>
  <c r="A36" i="196"/>
  <c r="A35" i="196"/>
  <c r="A34" i="196"/>
  <c r="A33" i="196"/>
  <c r="A32" i="196"/>
  <c r="A31" i="196"/>
  <c r="A30" i="196"/>
  <c r="A29" i="196"/>
  <c r="A28" i="196"/>
  <c r="A27" i="196"/>
  <c r="A26" i="196"/>
  <c r="A25" i="196"/>
  <c r="A24" i="196"/>
  <c r="A23" i="196"/>
  <c r="A22" i="196"/>
  <c r="A21" i="196"/>
  <c r="A20" i="196"/>
  <c r="A19" i="196"/>
  <c r="A18" i="196"/>
  <c r="A17" i="196"/>
  <c r="M14" i="196"/>
  <c r="L14" i="196"/>
  <c r="K14" i="196"/>
  <c r="J14" i="196"/>
  <c r="I14" i="196"/>
  <c r="H14" i="196"/>
  <c r="N8" i="196"/>
  <c r="N65" i="196" s="1"/>
  <c r="A7" i="196"/>
  <c r="A120" i="196"/>
  <c r="A4" i="196"/>
  <c r="A61" i="196" s="1"/>
  <c r="A2" i="196"/>
  <c r="A59" i="196" s="1"/>
  <c r="A1" i="196"/>
  <c r="Q98" i="44"/>
  <c r="I102" i="130" s="1"/>
  <c r="Q96" i="44"/>
  <c r="I100" i="130" s="1"/>
  <c r="Q95" i="44"/>
  <c r="I99" i="130" s="1"/>
  <c r="Q94" i="44"/>
  <c r="I98" i="130" s="1"/>
  <c r="A90" i="44"/>
  <c r="A86" i="44"/>
  <c r="A71" i="44"/>
  <c r="A72" i="44" s="1"/>
  <c r="A73" i="44" s="1"/>
  <c r="A74" i="44" s="1"/>
  <c r="A75" i="44" s="1"/>
  <c r="A76" i="44" s="1"/>
  <c r="A77" i="44" s="1"/>
  <c r="A78" i="44" s="1"/>
  <c r="A79" i="44" s="1"/>
  <c r="A80" i="44" s="1"/>
  <c r="A81" i="44" s="1"/>
  <c r="A82" i="44" s="1"/>
  <c r="A83" i="44" s="1"/>
  <c r="A84" i="44" s="1"/>
  <c r="A85" i="44" s="1"/>
  <c r="A87" i="44" s="1"/>
  <c r="A88" i="44" s="1"/>
  <c r="A89" i="44" s="1"/>
  <c r="A91" i="44" s="1"/>
  <c r="A93" i="44" s="1"/>
  <c r="A94" i="44" s="1"/>
  <c r="A95" i="44" s="1"/>
  <c r="A96" i="44" s="1"/>
  <c r="A97" i="44" s="1"/>
  <c r="A98" i="44" s="1"/>
  <c r="A99" i="44" s="1"/>
  <c r="A101" i="44" s="1"/>
  <c r="P66" i="44"/>
  <c r="O66" i="44"/>
  <c r="N66" i="44"/>
  <c r="M66" i="44"/>
  <c r="L66" i="44"/>
  <c r="K66" i="44"/>
  <c r="J66" i="44"/>
  <c r="I66" i="44"/>
  <c r="H66" i="44"/>
  <c r="G66" i="44"/>
  <c r="F66" i="44"/>
  <c r="E66" i="44"/>
  <c r="D66" i="44"/>
  <c r="A63" i="44"/>
  <c r="A62" i="44"/>
  <c r="Q61" i="44"/>
  <c r="A58" i="44"/>
  <c r="A57"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Q8" i="44"/>
  <c r="Q63" i="44" s="1"/>
  <c r="A8" i="44"/>
  <c r="A4" i="44"/>
  <c r="A60" i="44" s="1"/>
  <c r="A2" i="44"/>
  <c r="A1" i="44"/>
  <c r="A90" i="27"/>
  <c r="A86" i="27"/>
  <c r="A74" i="27"/>
  <c r="A75" i="27" s="1"/>
  <c r="A76" i="27" s="1"/>
  <c r="A77" i="27" s="1"/>
  <c r="A78" i="27" s="1"/>
  <c r="A79" i="27" s="1"/>
  <c r="A80" i="27" s="1"/>
  <c r="A81" i="27" s="1"/>
  <c r="A82" i="27" s="1"/>
  <c r="A83" i="27" s="1"/>
  <c r="A84" i="27" s="1"/>
  <c r="A85" i="27" s="1"/>
  <c r="A87" i="27" s="1"/>
  <c r="A88" i="27" s="1"/>
  <c r="A89" i="27" s="1"/>
  <c r="A91" i="27" s="1"/>
  <c r="A93" i="27" s="1"/>
  <c r="A94" i="27" s="1"/>
  <c r="A95" i="27" s="1"/>
  <c r="A96" i="27" s="1"/>
  <c r="A97" i="27" s="1"/>
  <c r="A98" i="27" s="1"/>
  <c r="A99" i="27" s="1"/>
  <c r="A101" i="27" s="1"/>
  <c r="A71" i="27"/>
  <c r="A72" i="27" s="1"/>
  <c r="A73" i="27" s="1"/>
  <c r="O66" i="27"/>
  <c r="N66" i="27"/>
  <c r="M66" i="27"/>
  <c r="L66" i="27"/>
  <c r="K66" i="27"/>
  <c r="J66" i="27"/>
  <c r="I66" i="27"/>
  <c r="H66" i="27"/>
  <c r="G66" i="27"/>
  <c r="F66" i="27"/>
  <c r="E66" i="27"/>
  <c r="D66" i="27"/>
  <c r="O63" i="27"/>
  <c r="A63" i="27"/>
  <c r="O61"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O8" i="27"/>
  <c r="A8" i="27"/>
  <c r="A4" i="27"/>
  <c r="A60" i="27" s="1"/>
  <c r="A2" i="27"/>
  <c r="A1" i="27"/>
  <c r="G86" i="47"/>
  <c r="D85" i="47"/>
  <c r="F85" i="47" s="1"/>
  <c r="H85" i="47" s="1"/>
  <c r="D83" i="47"/>
  <c r="F83" i="47" s="1"/>
  <c r="H83" i="47" s="1"/>
  <c r="D82" i="47"/>
  <c r="F82" i="47" s="1"/>
  <c r="H82" i="47" s="1"/>
  <c r="D81" i="47"/>
  <c r="A78" i="47"/>
  <c r="A80" i="47" s="1"/>
  <c r="A81" i="47" s="1"/>
  <c r="A82" i="47" s="1"/>
  <c r="A83" i="47" s="1"/>
  <c r="A84" i="47" s="1"/>
  <c r="A85" i="47" s="1"/>
  <c r="A86" i="47" s="1"/>
  <c r="A88" i="47" s="1"/>
  <c r="A77" i="47"/>
  <c r="A76" i="47"/>
  <c r="A75" i="47"/>
  <c r="A74" i="47"/>
  <c r="A73" i="47"/>
  <c r="G72" i="47"/>
  <c r="A72" i="47"/>
  <c r="A71" i="47"/>
  <c r="A70" i="47"/>
  <c r="A69" i="47"/>
  <c r="A68" i="47"/>
  <c r="A67" i="47"/>
  <c r="A66" i="47"/>
  <c r="A65" i="47"/>
  <c r="A64" i="47"/>
  <c r="A63" i="47"/>
  <c r="A62" i="47"/>
  <c r="A61" i="47"/>
  <c r="A60" i="47"/>
  <c r="A59" i="47"/>
  <c r="A58" i="47"/>
  <c r="A57" i="47"/>
  <c r="A56" i="47"/>
  <c r="G55"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G22" i="47"/>
  <c r="A22" i="47"/>
  <c r="A21" i="47"/>
  <c r="A20" i="47"/>
  <c r="A19" i="47"/>
  <c r="A18" i="47"/>
  <c r="A17" i="47"/>
  <c r="A16" i="47"/>
  <c r="A15" i="47"/>
  <c r="I8" i="47"/>
  <c r="A7" i="47"/>
  <c r="A4" i="47"/>
  <c r="A2" i="47"/>
  <c r="A1" i="47"/>
  <c r="G86" i="3"/>
  <c r="A78" i="3"/>
  <c r="A80" i="3" s="1"/>
  <c r="A81" i="3" s="1"/>
  <c r="A82" i="3" s="1"/>
  <c r="A83" i="3" s="1"/>
  <c r="A84" i="3" s="1"/>
  <c r="A85" i="3" s="1"/>
  <c r="A86" i="3" s="1"/>
  <c r="A88" i="3" s="1"/>
  <c r="A77" i="3"/>
  <c r="G76" i="3"/>
  <c r="G78" i="3" s="1"/>
  <c r="A76" i="3"/>
  <c r="A75" i="3"/>
  <c r="A74" i="3"/>
  <c r="A73" i="3"/>
  <c r="G72" i="3"/>
  <c r="A72" i="3"/>
  <c r="A71" i="3"/>
  <c r="A70" i="3"/>
  <c r="A69" i="3"/>
  <c r="A68" i="3"/>
  <c r="A67" i="3"/>
  <c r="A66" i="3"/>
  <c r="A65" i="3"/>
  <c r="A64" i="3"/>
  <c r="A63" i="3"/>
  <c r="A62" i="3"/>
  <c r="A61" i="3"/>
  <c r="A60" i="3"/>
  <c r="A59" i="3"/>
  <c r="A58" i="3"/>
  <c r="A57" i="3"/>
  <c r="A56" i="3"/>
  <c r="G55"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G22" i="3"/>
  <c r="A22" i="3"/>
  <c r="A21" i="3"/>
  <c r="A20" i="3"/>
  <c r="A19" i="3"/>
  <c r="A18" i="3"/>
  <c r="A17" i="3"/>
  <c r="A16" i="3"/>
  <c r="A15" i="3"/>
  <c r="H8" i="3"/>
  <c r="A7" i="3"/>
  <c r="A4" i="3"/>
  <c r="A2" i="3"/>
  <c r="A1" i="3"/>
  <c r="A37" i="46"/>
  <c r="A36" i="46"/>
  <c r="A38" i="46" s="1"/>
  <c r="H34" i="46"/>
  <c r="H38" i="46" s="1"/>
  <c r="A34" i="46"/>
  <c r="A33" i="46"/>
  <c r="A32" i="46"/>
  <c r="A31" i="46"/>
  <c r="G30" i="46"/>
  <c r="I30" i="46" s="1"/>
  <c r="A30" i="46"/>
  <c r="A29" i="46"/>
  <c r="A28" i="46"/>
  <c r="A27" i="46"/>
  <c r="A26" i="46"/>
  <c r="A25" i="46"/>
  <c r="G24" i="46"/>
  <c r="I24" i="46" s="1"/>
  <c r="A24" i="46"/>
  <c r="A23" i="46"/>
  <c r="G22" i="46"/>
  <c r="I22" i="46" s="1"/>
  <c r="A22" i="46"/>
  <c r="A21" i="46"/>
  <c r="G20" i="46"/>
  <c r="G23" i="120" s="1"/>
  <c r="A20" i="46"/>
  <c r="A19" i="46"/>
  <c r="A18" i="46"/>
  <c r="J9" i="46"/>
  <c r="A8" i="46"/>
  <c r="A4" i="46"/>
  <c r="A2" i="46"/>
  <c r="A1" i="46"/>
  <c r="H33" i="2"/>
  <c r="H37" i="2" s="1"/>
  <c r="A33" i="2"/>
  <c r="A35" i="2" s="1"/>
  <c r="A37" i="2" s="1"/>
  <c r="A32" i="2"/>
  <c r="A31" i="2"/>
  <c r="A30" i="2"/>
  <c r="G29" i="2"/>
  <c r="I29" i="2" s="1"/>
  <c r="A29" i="2"/>
  <c r="A28" i="2"/>
  <c r="A27" i="2"/>
  <c r="A26" i="2"/>
  <c r="A25" i="2"/>
  <c r="A24" i="2"/>
  <c r="G23" i="2"/>
  <c r="I23" i="2" s="1"/>
  <c r="A23" i="2"/>
  <c r="A22" i="2"/>
  <c r="G21" i="2"/>
  <c r="I21" i="2" s="1"/>
  <c r="A21" i="2"/>
  <c r="A20" i="2"/>
  <c r="G19" i="2"/>
  <c r="I19" i="2" s="1"/>
  <c r="H23" i="120" s="1"/>
  <c r="A19" i="2"/>
  <c r="A18" i="2"/>
  <c r="A17" i="2"/>
  <c r="I8" i="2"/>
  <c r="A7" i="2"/>
  <c r="A4" i="2"/>
  <c r="A2" i="2"/>
  <c r="A1" i="2"/>
  <c r="K39" i="45"/>
  <c r="J39" i="45"/>
  <c r="G37" i="45"/>
  <c r="J36" i="45"/>
  <c r="H35" i="45"/>
  <c r="H37" i="45" s="1"/>
  <c r="G35" i="45"/>
  <c r="A32" i="45"/>
  <c r="A31" i="45"/>
  <c r="A37" i="45" s="1"/>
  <c r="A39" i="45" s="1"/>
  <c r="A41" i="45" s="1"/>
  <c r="A30" i="45"/>
  <c r="E29" i="45"/>
  <c r="K29" i="45" s="1"/>
  <c r="D29" i="45"/>
  <c r="J29" i="45" s="1"/>
  <c r="A29" i="45"/>
  <c r="A28" i="45"/>
  <c r="A27" i="45"/>
  <c r="A26" i="45"/>
  <c r="A25" i="45"/>
  <c r="A24" i="45"/>
  <c r="K23" i="45"/>
  <c r="J23" i="45"/>
  <c r="A23" i="45"/>
  <c r="A22" i="45"/>
  <c r="K21" i="45"/>
  <c r="J21" i="45"/>
  <c r="A21" i="45"/>
  <c r="A20" i="45"/>
  <c r="A19" i="45"/>
  <c r="H16" i="45"/>
  <c r="G16" i="45"/>
  <c r="E16" i="45"/>
  <c r="D16" i="45"/>
  <c r="K8" i="45"/>
  <c r="A7" i="45"/>
  <c r="A4" i="45"/>
  <c r="A2" i="45"/>
  <c r="A1" i="45"/>
  <c r="H34" i="1"/>
  <c r="J33" i="1"/>
  <c r="H32" i="1"/>
  <c r="F30" i="1"/>
  <c r="A29" i="1"/>
  <c r="A28" i="1"/>
  <c r="A34" i="1" s="1"/>
  <c r="A36" i="1" s="1"/>
  <c r="A38" i="1" s="1"/>
  <c r="A27" i="1"/>
  <c r="F26" i="1"/>
  <c r="J26" i="1" s="1"/>
  <c r="A26" i="1"/>
  <c r="A25" i="1"/>
  <c r="A24" i="1"/>
  <c r="A23" i="1"/>
  <c r="A22" i="1"/>
  <c r="A21" i="1"/>
  <c r="A20" i="1"/>
  <c r="A19" i="1"/>
  <c r="A18" i="1"/>
  <c r="A17" i="1"/>
  <c r="A16" i="1"/>
  <c r="H13" i="1"/>
  <c r="F13" i="1"/>
  <c r="J8" i="1"/>
  <c r="A4" i="1"/>
  <c r="A2" i="1"/>
  <c r="A1" i="1"/>
  <c r="C13" i="39"/>
  <c r="C11" i="39"/>
  <c r="A9" i="39"/>
  <c r="A7" i="39"/>
  <c r="A38" i="64"/>
  <c r="A37" i="64"/>
  <c r="A36" i="64"/>
  <c r="A35" i="64"/>
  <c r="A34" i="64"/>
  <c r="A33" i="64"/>
  <c r="A32" i="64"/>
  <c r="A31" i="64"/>
  <c r="A30" i="64"/>
  <c r="A29" i="64"/>
  <c r="A28" i="64"/>
  <c r="A27" i="64"/>
  <c r="A26" i="64"/>
  <c r="A25" i="64"/>
  <c r="A24" i="64"/>
  <c r="A23" i="64"/>
  <c r="A22" i="64"/>
  <c r="A21" i="64"/>
  <c r="A20" i="64"/>
  <c r="A19" i="64"/>
  <c r="A18" i="64"/>
  <c r="F11" i="64"/>
  <c r="C15" i="65"/>
  <c r="C13" i="65"/>
  <c r="A9" i="65"/>
  <c r="A7" i="65"/>
  <c r="L35" i="215"/>
  <c r="L33" i="215"/>
  <c r="J31" i="215"/>
  <c r="L31" i="215" s="1"/>
  <c r="J27" i="215"/>
  <c r="L27" i="215" s="1"/>
  <c r="J23" i="215"/>
  <c r="J19" i="215"/>
  <c r="L19" i="215" s="1"/>
  <c r="B16" i="215"/>
  <c r="B17" i="215" s="1"/>
  <c r="B18" i="215" s="1"/>
  <c r="B19" i="215" s="1"/>
  <c r="B20" i="215" s="1"/>
  <c r="B21" i="215" s="1"/>
  <c r="B22" i="215" s="1"/>
  <c r="B23" i="215" s="1"/>
  <c r="B24" i="215" s="1"/>
  <c r="B25" i="215" s="1"/>
  <c r="B26" i="215" s="1"/>
  <c r="B27" i="215" s="1"/>
  <c r="B28" i="215" s="1"/>
  <c r="B29" i="215" s="1"/>
  <c r="B30" i="215" s="1"/>
  <c r="B31" i="215" s="1"/>
  <c r="B33" i="215" s="1"/>
  <c r="B34" i="215" s="1"/>
  <c r="B35" i="215" s="1"/>
  <c r="J15" i="215"/>
  <c r="B13" i="215"/>
  <c r="B14" i="215" s="1"/>
  <c r="B15" i="215" s="1"/>
  <c r="A3" i="215"/>
  <c r="A2" i="215"/>
  <c r="A1" i="215"/>
  <c r="K122" i="191"/>
  <c r="I122" i="191"/>
  <c r="O121" i="191"/>
  <c r="N121" i="191"/>
  <c r="M121" i="191"/>
  <c r="L121" i="191"/>
  <c r="K121" i="191"/>
  <c r="J121" i="191"/>
  <c r="I121" i="191"/>
  <c r="H121" i="191"/>
  <c r="G121" i="191"/>
  <c r="F121" i="191"/>
  <c r="E121" i="191"/>
  <c r="D121" i="191"/>
  <c r="O120" i="191"/>
  <c r="N120" i="191"/>
  <c r="M120" i="191"/>
  <c r="L120" i="191"/>
  <c r="K120" i="191"/>
  <c r="J120" i="191"/>
  <c r="I120" i="191"/>
  <c r="H120" i="191"/>
  <c r="G120" i="191"/>
  <c r="F120" i="191"/>
  <c r="E120" i="191"/>
  <c r="D120" i="191"/>
  <c r="O119" i="191"/>
  <c r="N119" i="191"/>
  <c r="M119" i="191"/>
  <c r="M122" i="191" s="1"/>
  <c r="L119" i="191"/>
  <c r="K119" i="191"/>
  <c r="J119" i="191"/>
  <c r="I119" i="191"/>
  <c r="H119" i="191"/>
  <c r="G119" i="191"/>
  <c r="F119" i="191"/>
  <c r="E119" i="191"/>
  <c r="D119" i="191"/>
  <c r="O118" i="191"/>
  <c r="N118" i="191"/>
  <c r="M118" i="191"/>
  <c r="L118" i="191"/>
  <c r="K118" i="191"/>
  <c r="J118" i="191"/>
  <c r="I118" i="191"/>
  <c r="H118" i="191"/>
  <c r="G118" i="191"/>
  <c r="F118" i="191"/>
  <c r="E118" i="191"/>
  <c r="E122" i="191" s="1"/>
  <c r="D118" i="191"/>
  <c r="O117" i="191"/>
  <c r="O122" i="191" s="1"/>
  <c r="N117" i="191"/>
  <c r="M117" i="191"/>
  <c r="L117" i="191"/>
  <c r="K117" i="191"/>
  <c r="J117" i="191"/>
  <c r="I117" i="191"/>
  <c r="H117" i="191"/>
  <c r="G117" i="191"/>
  <c r="G122" i="191" s="1"/>
  <c r="F117" i="191"/>
  <c r="F122" i="191" s="1"/>
  <c r="E117" i="191"/>
  <c r="D117" i="191"/>
  <c r="O113" i="191"/>
  <c r="N113" i="191"/>
  <c r="M113" i="191"/>
  <c r="L113" i="191"/>
  <c r="K113" i="191"/>
  <c r="J113" i="191"/>
  <c r="I113" i="191"/>
  <c r="H113" i="191"/>
  <c r="G113" i="191"/>
  <c r="F113" i="191"/>
  <c r="E113" i="191"/>
  <c r="D113" i="191"/>
  <c r="O104" i="191"/>
  <c r="N104" i="191"/>
  <c r="M104" i="191"/>
  <c r="L104" i="191"/>
  <c r="K104" i="191"/>
  <c r="J104" i="191"/>
  <c r="I104" i="191"/>
  <c r="H104" i="191"/>
  <c r="G104" i="191"/>
  <c r="F104" i="191"/>
  <c r="E104" i="191"/>
  <c r="D104" i="191"/>
  <c r="D94" i="191"/>
  <c r="E94" i="191" s="1"/>
  <c r="F94" i="191" s="1"/>
  <c r="G94" i="191" s="1"/>
  <c r="H94" i="191" s="1"/>
  <c r="I94" i="191" s="1"/>
  <c r="J94" i="191" s="1"/>
  <c r="K94" i="191" s="1"/>
  <c r="L94" i="191" s="1"/>
  <c r="M94" i="191" s="1"/>
  <c r="N94" i="191" s="1"/>
  <c r="O94" i="191" s="1"/>
  <c r="P94" i="191" s="1"/>
  <c r="Q94" i="191" s="1"/>
  <c r="H81" i="191"/>
  <c r="O80" i="191"/>
  <c r="N80" i="191"/>
  <c r="M80" i="191"/>
  <c r="L80" i="191"/>
  <c r="K80" i="191"/>
  <c r="J80" i="191"/>
  <c r="I80" i="191"/>
  <c r="H80" i="191"/>
  <c r="G80" i="191"/>
  <c r="F80" i="191"/>
  <c r="E80" i="191"/>
  <c r="D80" i="191"/>
  <c r="O79" i="191"/>
  <c r="N79" i="191"/>
  <c r="M79" i="191"/>
  <c r="L79" i="191"/>
  <c r="L81" i="191" s="1"/>
  <c r="K79" i="191"/>
  <c r="J79" i="191"/>
  <c r="I79" i="191"/>
  <c r="H79" i="191"/>
  <c r="G79" i="191"/>
  <c r="F79" i="191"/>
  <c r="E79" i="191"/>
  <c r="D79" i="191"/>
  <c r="O78" i="191"/>
  <c r="N78" i="191"/>
  <c r="M78" i="191"/>
  <c r="L78" i="191"/>
  <c r="K78" i="191"/>
  <c r="J78" i="191"/>
  <c r="I78" i="191"/>
  <c r="H78" i="191"/>
  <c r="G78" i="191"/>
  <c r="F78" i="191"/>
  <c r="E78" i="191"/>
  <c r="D78" i="191"/>
  <c r="O77" i="191"/>
  <c r="N77" i="191"/>
  <c r="N81" i="191" s="1"/>
  <c r="M77" i="191"/>
  <c r="L77" i="191"/>
  <c r="K77" i="191"/>
  <c r="J77" i="191"/>
  <c r="J81" i="191" s="1"/>
  <c r="I77" i="191"/>
  <c r="H77" i="191"/>
  <c r="G77" i="191"/>
  <c r="F77" i="191"/>
  <c r="E77" i="191"/>
  <c r="D77" i="191"/>
  <c r="O76" i="191"/>
  <c r="N76" i="191"/>
  <c r="M76" i="191"/>
  <c r="M81" i="191" s="1"/>
  <c r="L76" i="191"/>
  <c r="K76" i="191"/>
  <c r="J76" i="191"/>
  <c r="I76" i="191"/>
  <c r="H76" i="191"/>
  <c r="G76" i="191"/>
  <c r="F76" i="191"/>
  <c r="F81" i="191" s="1"/>
  <c r="E76" i="191"/>
  <c r="D76" i="191"/>
  <c r="D81" i="191" s="1"/>
  <c r="O72" i="191"/>
  <c r="N72" i="191"/>
  <c r="M72" i="191"/>
  <c r="L72" i="191"/>
  <c r="K72" i="191"/>
  <c r="J72" i="191"/>
  <c r="I72" i="191"/>
  <c r="H72" i="191"/>
  <c r="G72" i="191"/>
  <c r="F72" i="191"/>
  <c r="E72" i="191"/>
  <c r="D72" i="191"/>
  <c r="O63" i="191"/>
  <c r="N63" i="191"/>
  <c r="M63" i="191"/>
  <c r="L63" i="191"/>
  <c r="K63" i="191"/>
  <c r="J63" i="191"/>
  <c r="I63" i="191"/>
  <c r="H63" i="191"/>
  <c r="G63" i="191"/>
  <c r="F63" i="191"/>
  <c r="E63" i="191"/>
  <c r="D63" i="191"/>
  <c r="C62" i="191"/>
  <c r="P62" i="191" s="1"/>
  <c r="C103" i="191" s="1"/>
  <c r="P103" i="191" s="1"/>
  <c r="C61" i="191"/>
  <c r="P61" i="191" s="1"/>
  <c r="C102" i="191" s="1"/>
  <c r="P102" i="191" s="1"/>
  <c r="C39" i="191"/>
  <c r="C38" i="191"/>
  <c r="O37" i="191"/>
  <c r="N37" i="191"/>
  <c r="M37" i="191"/>
  <c r="L37" i="191"/>
  <c r="K37" i="191"/>
  <c r="J37" i="191"/>
  <c r="I37" i="191"/>
  <c r="H37" i="191"/>
  <c r="G37" i="191"/>
  <c r="F37" i="191"/>
  <c r="E37" i="191"/>
  <c r="D37" i="191"/>
  <c r="P37" i="191" s="1"/>
  <c r="C80" i="191" s="1"/>
  <c r="O36" i="191"/>
  <c r="N36" i="191"/>
  <c r="M36" i="191"/>
  <c r="L36" i="191"/>
  <c r="K36" i="191"/>
  <c r="J36" i="191"/>
  <c r="I36" i="191"/>
  <c r="H36" i="191"/>
  <c r="G36" i="191"/>
  <c r="F36" i="191"/>
  <c r="E36" i="191"/>
  <c r="D36" i="191"/>
  <c r="O35" i="191"/>
  <c r="N35" i="191"/>
  <c r="M35" i="191"/>
  <c r="L35" i="191"/>
  <c r="K35" i="191"/>
  <c r="J35" i="191"/>
  <c r="I35" i="191"/>
  <c r="H35" i="191"/>
  <c r="G35" i="191"/>
  <c r="F35" i="191"/>
  <c r="E35" i="191"/>
  <c r="D35" i="191"/>
  <c r="O34" i="191"/>
  <c r="N34" i="191"/>
  <c r="M34" i="191"/>
  <c r="L34" i="191"/>
  <c r="K34" i="191"/>
  <c r="J34" i="191"/>
  <c r="I34" i="191"/>
  <c r="H34" i="191"/>
  <c r="G34" i="191"/>
  <c r="F34" i="191"/>
  <c r="E34" i="191"/>
  <c r="D34" i="191"/>
  <c r="P34" i="191" s="1"/>
  <c r="C77" i="191" s="1"/>
  <c r="O33" i="191"/>
  <c r="N33" i="191"/>
  <c r="M33" i="191"/>
  <c r="M38" i="191" s="1"/>
  <c r="L33" i="191"/>
  <c r="K33" i="191"/>
  <c r="J33" i="191"/>
  <c r="I33" i="191"/>
  <c r="I38" i="191" s="1"/>
  <c r="H33" i="191"/>
  <c r="G33" i="191"/>
  <c r="F33" i="191"/>
  <c r="E33" i="191"/>
  <c r="D33" i="191"/>
  <c r="P33" i="191" s="1"/>
  <c r="C76" i="191" s="1"/>
  <c r="O29" i="191"/>
  <c r="N29" i="191"/>
  <c r="M29" i="191"/>
  <c r="L29" i="191"/>
  <c r="K29" i="191"/>
  <c r="J29" i="191"/>
  <c r="I29" i="191"/>
  <c r="H29" i="191"/>
  <c r="G29" i="191"/>
  <c r="F29" i="191"/>
  <c r="E29" i="191"/>
  <c r="D29" i="191"/>
  <c r="C29" i="191"/>
  <c r="C30" i="191" s="1"/>
  <c r="P28" i="191"/>
  <c r="C71" i="191" s="1"/>
  <c r="P71" i="191" s="1"/>
  <c r="C112" i="191" s="1"/>
  <c r="P112" i="191" s="1"/>
  <c r="P27" i="191"/>
  <c r="C70" i="191" s="1"/>
  <c r="P70" i="191" s="1"/>
  <c r="C111" i="191" s="1"/>
  <c r="P111" i="191" s="1"/>
  <c r="P26" i="191"/>
  <c r="C69" i="191" s="1"/>
  <c r="P69" i="191" s="1"/>
  <c r="C110" i="191" s="1"/>
  <c r="P110" i="191" s="1"/>
  <c r="P25" i="191"/>
  <c r="P24" i="191"/>
  <c r="C67" i="191" s="1"/>
  <c r="O20" i="191"/>
  <c r="N20" i="191"/>
  <c r="M20" i="191"/>
  <c r="L20" i="191"/>
  <c r="K20" i="191"/>
  <c r="J20" i="191"/>
  <c r="I20" i="191"/>
  <c r="H20" i="191"/>
  <c r="G20" i="191"/>
  <c r="F20" i="191"/>
  <c r="E20" i="191"/>
  <c r="D20" i="191"/>
  <c r="C20" i="191"/>
  <c r="C21" i="191" s="1"/>
  <c r="P19" i="191"/>
  <c r="P18" i="191"/>
  <c r="P17" i="191"/>
  <c r="C60" i="191" s="1"/>
  <c r="P60" i="191" s="1"/>
  <c r="C101" i="191" s="1"/>
  <c r="P101" i="191" s="1"/>
  <c r="P16" i="191"/>
  <c r="C59" i="191" s="1"/>
  <c r="P59" i="191" s="1"/>
  <c r="C100" i="191" s="1"/>
  <c r="P100" i="191" s="1"/>
  <c r="P15" i="191"/>
  <c r="D10" i="191"/>
  <c r="E10" i="191" s="1"/>
  <c r="F10" i="191" s="1"/>
  <c r="G10" i="191" s="1"/>
  <c r="H10" i="191" s="1"/>
  <c r="I10" i="191" s="1"/>
  <c r="J10" i="191" s="1"/>
  <c r="K10" i="191" s="1"/>
  <c r="L10" i="191" s="1"/>
  <c r="M10" i="191" s="1"/>
  <c r="N10" i="191" s="1"/>
  <c r="O10" i="191" s="1"/>
  <c r="P10" i="191" s="1"/>
  <c r="Q10" i="191" s="1"/>
  <c r="C53" i="191" s="1"/>
  <c r="D53" i="191" s="1"/>
  <c r="E53" i="191" s="1"/>
  <c r="F53" i="191" s="1"/>
  <c r="G53" i="191" s="1"/>
  <c r="H53" i="191" s="1"/>
  <c r="I53" i="191" s="1"/>
  <c r="J53" i="191" s="1"/>
  <c r="K53" i="191" s="1"/>
  <c r="L53" i="191" s="1"/>
  <c r="M53" i="191" s="1"/>
  <c r="N53" i="191" s="1"/>
  <c r="O53" i="191" s="1"/>
  <c r="P53" i="191" s="1"/>
  <c r="Q53" i="191" s="1"/>
  <c r="AW103" i="190"/>
  <c r="AV103" i="190"/>
  <c r="AU103" i="190"/>
  <c r="AT103" i="190"/>
  <c r="AS103" i="190"/>
  <c r="AR103" i="190"/>
  <c r="AQ103" i="190"/>
  <c r="AP103" i="190"/>
  <c r="AO103" i="190"/>
  <c r="AN103" i="190"/>
  <c r="AM103" i="190"/>
  <c r="AL103" i="190"/>
  <c r="AK103" i="190"/>
  <c r="AJ103" i="190"/>
  <c r="AI103" i="190"/>
  <c r="AH103" i="190"/>
  <c r="AG103" i="190"/>
  <c r="AF103" i="190"/>
  <c r="AE103" i="190"/>
  <c r="AD103" i="190"/>
  <c r="AC103" i="190"/>
  <c r="AB103" i="190"/>
  <c r="AA103" i="190"/>
  <c r="Z103" i="190"/>
  <c r="Y103" i="190"/>
  <c r="X103" i="190"/>
  <c r="W103" i="190"/>
  <c r="V103" i="190"/>
  <c r="U103" i="190"/>
  <c r="T103" i="190"/>
  <c r="S103" i="190"/>
  <c r="R103" i="190"/>
  <c r="Q103" i="190"/>
  <c r="P103" i="190"/>
  <c r="O103" i="190"/>
  <c r="N103" i="190"/>
  <c r="M103" i="190"/>
  <c r="L103" i="190"/>
  <c r="K103" i="190"/>
  <c r="J103" i="190"/>
  <c r="I103" i="190"/>
  <c r="H103" i="190"/>
  <c r="G103" i="190"/>
  <c r="F103" i="190"/>
  <c r="E103" i="190"/>
  <c r="D103" i="190"/>
  <c r="AW102" i="190"/>
  <c r="AV102" i="190"/>
  <c r="AU102" i="190"/>
  <c r="AT102" i="190"/>
  <c r="AS102" i="190"/>
  <c r="AR102" i="190"/>
  <c r="AQ102" i="190"/>
  <c r="AP102" i="190"/>
  <c r="AO102" i="190"/>
  <c r="AN102" i="190"/>
  <c r="AM102" i="190"/>
  <c r="AL102" i="190"/>
  <c r="AK102" i="190"/>
  <c r="AJ102" i="190"/>
  <c r="AI102" i="190"/>
  <c r="AH102" i="190"/>
  <c r="AG102" i="190"/>
  <c r="AF102" i="190"/>
  <c r="AE102" i="190"/>
  <c r="AD102" i="190"/>
  <c r="AC102" i="190"/>
  <c r="AB102" i="190"/>
  <c r="AA102" i="190"/>
  <c r="Z102" i="190"/>
  <c r="Y102" i="190"/>
  <c r="X102" i="190"/>
  <c r="W102" i="190"/>
  <c r="V102" i="190"/>
  <c r="U102" i="190"/>
  <c r="T102" i="190"/>
  <c r="S102" i="190"/>
  <c r="R102" i="190"/>
  <c r="Q102" i="190"/>
  <c r="P102" i="190"/>
  <c r="O102" i="190"/>
  <c r="N102" i="190"/>
  <c r="M102" i="190"/>
  <c r="L102" i="190"/>
  <c r="K102" i="190"/>
  <c r="J102" i="190"/>
  <c r="I102" i="190"/>
  <c r="H102" i="190"/>
  <c r="G102" i="190"/>
  <c r="F102" i="190"/>
  <c r="E102" i="190"/>
  <c r="D102" i="190"/>
  <c r="AW101" i="190"/>
  <c r="AV101" i="190"/>
  <c r="AU101" i="190"/>
  <c r="AT101" i="190"/>
  <c r="AS101" i="190"/>
  <c r="AR101" i="190"/>
  <c r="AQ101" i="190"/>
  <c r="AP101" i="190"/>
  <c r="AO101" i="190"/>
  <c r="AN101" i="190"/>
  <c r="AM101" i="190"/>
  <c r="AL101" i="190"/>
  <c r="AK101" i="190"/>
  <c r="AJ101" i="190"/>
  <c r="AI101" i="190"/>
  <c r="AH101" i="190"/>
  <c r="AG101" i="190"/>
  <c r="AF101" i="190"/>
  <c r="AE101" i="190"/>
  <c r="AD101" i="190"/>
  <c r="AC101" i="190"/>
  <c r="AB101" i="190"/>
  <c r="AA101" i="190"/>
  <c r="Z101" i="190"/>
  <c r="Y101" i="190"/>
  <c r="X101" i="190"/>
  <c r="W101" i="190"/>
  <c r="V101" i="190"/>
  <c r="U101" i="190"/>
  <c r="T101" i="190"/>
  <c r="S101" i="190"/>
  <c r="R101" i="190"/>
  <c r="Q101" i="190"/>
  <c r="P101" i="190"/>
  <c r="O101" i="190"/>
  <c r="N101" i="190"/>
  <c r="M101" i="190"/>
  <c r="L101" i="190"/>
  <c r="K101" i="190"/>
  <c r="J101" i="190"/>
  <c r="I101" i="190"/>
  <c r="H101" i="190"/>
  <c r="G101" i="190"/>
  <c r="F101" i="190"/>
  <c r="E101" i="190"/>
  <c r="D101" i="190"/>
  <c r="AW100" i="190"/>
  <c r="AV100" i="190"/>
  <c r="AU100" i="190"/>
  <c r="AT100" i="190"/>
  <c r="AS100" i="190"/>
  <c r="AR100" i="190"/>
  <c r="AQ100" i="190"/>
  <c r="AP100" i="190"/>
  <c r="AO100" i="190"/>
  <c r="AN100" i="190"/>
  <c r="AM100" i="190"/>
  <c r="AL100" i="190"/>
  <c r="AK100" i="190"/>
  <c r="AJ100" i="190"/>
  <c r="AI100" i="190"/>
  <c r="AH100" i="190"/>
  <c r="AH104" i="190" s="1"/>
  <c r="AG100" i="190"/>
  <c r="AF100" i="190"/>
  <c r="AE100" i="190"/>
  <c r="AD100" i="190"/>
  <c r="AC100" i="190"/>
  <c r="AB100" i="190"/>
  <c r="AA100" i="190"/>
  <c r="Z100" i="190"/>
  <c r="Y100" i="190"/>
  <c r="X100" i="190"/>
  <c r="W100" i="190"/>
  <c r="V100" i="190"/>
  <c r="U100" i="190"/>
  <c r="T100" i="190"/>
  <c r="S100" i="190"/>
  <c r="R100" i="190"/>
  <c r="Q100" i="190"/>
  <c r="P100" i="190"/>
  <c r="P104" i="190" s="1"/>
  <c r="O100" i="190"/>
  <c r="N100" i="190"/>
  <c r="N104" i="190" s="1"/>
  <c r="M100" i="190"/>
  <c r="L100" i="190"/>
  <c r="K100" i="190"/>
  <c r="J100" i="190"/>
  <c r="I100" i="190"/>
  <c r="H100" i="190"/>
  <c r="G100" i="190"/>
  <c r="F100" i="190"/>
  <c r="E100" i="190"/>
  <c r="D100" i="190"/>
  <c r="AW99" i="190"/>
  <c r="AV99" i="190"/>
  <c r="AU99" i="190"/>
  <c r="AT99" i="190"/>
  <c r="AS99" i="190"/>
  <c r="AR99" i="190"/>
  <c r="AQ99" i="190"/>
  <c r="AP99" i="190"/>
  <c r="AO99" i="190"/>
  <c r="AN99" i="190"/>
  <c r="AM99" i="190"/>
  <c r="AL99" i="190"/>
  <c r="AK99" i="190"/>
  <c r="AK104" i="190" s="1"/>
  <c r="AJ99" i="190"/>
  <c r="AI99" i="190"/>
  <c r="AH99" i="190"/>
  <c r="AG99" i="190"/>
  <c r="AF99" i="190"/>
  <c r="AE99" i="190"/>
  <c r="AD99" i="190"/>
  <c r="AC99" i="190"/>
  <c r="AB99" i="190"/>
  <c r="AA99" i="190"/>
  <c r="Z99" i="190"/>
  <c r="Y99" i="190"/>
  <c r="X99" i="190"/>
  <c r="W99" i="190"/>
  <c r="V99" i="190"/>
  <c r="U99" i="190"/>
  <c r="T99" i="190"/>
  <c r="S99" i="190"/>
  <c r="R99" i="190"/>
  <c r="Q99" i="190"/>
  <c r="Q104" i="190" s="1"/>
  <c r="P99" i="190"/>
  <c r="O99" i="190"/>
  <c r="N99" i="190"/>
  <c r="M99" i="190"/>
  <c r="L99" i="190"/>
  <c r="K99" i="190"/>
  <c r="K104" i="190" s="1"/>
  <c r="J99" i="190"/>
  <c r="I99" i="190"/>
  <c r="H99" i="190"/>
  <c r="G99" i="190"/>
  <c r="F99" i="190"/>
  <c r="E99" i="190"/>
  <c r="D99" i="190"/>
  <c r="BL93" i="190"/>
  <c r="BC93" i="190"/>
  <c r="AH93" i="190"/>
  <c r="X93" i="190"/>
  <c r="D93" i="190"/>
  <c r="BL92" i="190"/>
  <c r="BG92" i="190"/>
  <c r="BG93" i="190" s="1"/>
  <c r="BC92" i="190"/>
  <c r="AW92" i="190"/>
  <c r="AW93" i="190" s="1"/>
  <c r="AR92" i="190"/>
  <c r="AR93" i="190" s="1"/>
  <c r="AM92" i="190"/>
  <c r="AM93" i="190" s="1"/>
  <c r="AH92" i="190"/>
  <c r="AC92" i="190"/>
  <c r="AC93" i="190" s="1"/>
  <c r="X92" i="190"/>
  <c r="S92" i="190"/>
  <c r="S93" i="190" s="1"/>
  <c r="N92" i="190"/>
  <c r="N93" i="190" s="1"/>
  <c r="I92" i="190"/>
  <c r="I93" i="190" s="1"/>
  <c r="D92" i="190"/>
  <c r="BN82" i="190"/>
  <c r="AT82" i="190"/>
  <c r="AL82" i="190"/>
  <c r="BZ80" i="190"/>
  <c r="BY80" i="190"/>
  <c r="BX80" i="190"/>
  <c r="BU80" i="190"/>
  <c r="BT80" i="190"/>
  <c r="BS80" i="190"/>
  <c r="BP80" i="190"/>
  <c r="BO80" i="190"/>
  <c r="BN80" i="190"/>
  <c r="BK80" i="190"/>
  <c r="BJ80" i="190"/>
  <c r="BI80" i="190"/>
  <c r="BF80" i="190"/>
  <c r="BF82" i="190" s="1"/>
  <c r="BE80" i="190"/>
  <c r="BD80" i="190"/>
  <c r="BA80" i="190"/>
  <c r="AZ80" i="190"/>
  <c r="AY80" i="190"/>
  <c r="AV80" i="190"/>
  <c r="AU80" i="190"/>
  <c r="AT80" i="190"/>
  <c r="AQ80" i="190"/>
  <c r="AP80" i="190"/>
  <c r="AO80" i="190"/>
  <c r="AL80" i="190"/>
  <c r="AK80" i="190"/>
  <c r="AJ80" i="190"/>
  <c r="AG80" i="190"/>
  <c r="AF80" i="190"/>
  <c r="AE80" i="190"/>
  <c r="AB80" i="190"/>
  <c r="AA80" i="190"/>
  <c r="Z80" i="190"/>
  <c r="W80" i="190"/>
  <c r="V80" i="190"/>
  <c r="U80" i="190"/>
  <c r="R80" i="190"/>
  <c r="Q80" i="190"/>
  <c r="P80" i="190"/>
  <c r="M80" i="190"/>
  <c r="L80" i="190"/>
  <c r="K80" i="190"/>
  <c r="H80" i="190"/>
  <c r="G80" i="190"/>
  <c r="F80" i="190"/>
  <c r="D80" i="190"/>
  <c r="E79" i="190"/>
  <c r="I79" i="190" s="1"/>
  <c r="BZ77" i="190"/>
  <c r="BY77" i="190"/>
  <c r="BX77" i="190"/>
  <c r="BU77" i="190"/>
  <c r="BT77" i="190"/>
  <c r="BS77" i="190"/>
  <c r="BP77" i="190"/>
  <c r="BO77" i="190"/>
  <c r="BN77" i="190"/>
  <c r="BK77" i="190"/>
  <c r="BJ77" i="190"/>
  <c r="BI77" i="190"/>
  <c r="BF77" i="190"/>
  <c r="BE77" i="190"/>
  <c r="BD77" i="190"/>
  <c r="BA77" i="190"/>
  <c r="AZ77" i="190"/>
  <c r="AY77" i="190"/>
  <c r="AV77" i="190"/>
  <c r="AU77" i="190"/>
  <c r="AT77" i="190"/>
  <c r="AQ77" i="190"/>
  <c r="AP77" i="190"/>
  <c r="AO77" i="190"/>
  <c r="AL77" i="190"/>
  <c r="AK77" i="190"/>
  <c r="AJ77" i="190"/>
  <c r="AG77" i="190"/>
  <c r="AF77" i="190"/>
  <c r="AE77" i="190"/>
  <c r="AB77" i="190"/>
  <c r="AA77" i="190"/>
  <c r="Z77" i="190"/>
  <c r="W77" i="190"/>
  <c r="V77" i="190"/>
  <c r="U77" i="190"/>
  <c r="R77" i="190"/>
  <c r="Q77" i="190"/>
  <c r="P77" i="190"/>
  <c r="M77" i="190"/>
  <c r="L77" i="190"/>
  <c r="K77" i="190"/>
  <c r="I77" i="190"/>
  <c r="H77" i="190"/>
  <c r="G77" i="190"/>
  <c r="F77" i="190"/>
  <c r="E77" i="190"/>
  <c r="D77" i="190"/>
  <c r="J76" i="190"/>
  <c r="N76" i="190" s="1"/>
  <c r="O76" i="190" s="1"/>
  <c r="S76" i="190" s="1"/>
  <c r="T76" i="190" s="1"/>
  <c r="X76" i="190" s="1"/>
  <c r="Y76" i="190" s="1"/>
  <c r="AC76" i="190" s="1"/>
  <c r="AD76" i="190" s="1"/>
  <c r="AH76" i="190" s="1"/>
  <c r="AI76" i="190" s="1"/>
  <c r="AM76" i="190" s="1"/>
  <c r="AN76" i="190" s="1"/>
  <c r="AR76" i="190" s="1"/>
  <c r="AS76" i="190" s="1"/>
  <c r="AW76" i="190" s="1"/>
  <c r="AX76" i="190" s="1"/>
  <c r="BB76" i="190" s="1"/>
  <c r="BC76" i="190" s="1"/>
  <c r="BG76" i="190" s="1"/>
  <c r="BH76" i="190" s="1"/>
  <c r="BL76" i="190" s="1"/>
  <c r="BM76" i="190" s="1"/>
  <c r="BQ76" i="190" s="1"/>
  <c r="BR76" i="190" s="1"/>
  <c r="BV76" i="190" s="1"/>
  <c r="I76" i="190"/>
  <c r="J75" i="190"/>
  <c r="J77" i="190" s="1"/>
  <c r="I75" i="190"/>
  <c r="BZ73" i="190"/>
  <c r="BZ82" i="190" s="1"/>
  <c r="BY73" i="190"/>
  <c r="BX73" i="190"/>
  <c r="BX82" i="190" s="1"/>
  <c r="BU73" i="190"/>
  <c r="BT73" i="190"/>
  <c r="BT82" i="190" s="1"/>
  <c r="BS73" i="190"/>
  <c r="BP73" i="190"/>
  <c r="BO73" i="190"/>
  <c r="BO82" i="190" s="1"/>
  <c r="BN73" i="190"/>
  <c r="BK73" i="190"/>
  <c r="BK82" i="190" s="1"/>
  <c r="BJ73" i="190"/>
  <c r="BJ82" i="190" s="1"/>
  <c r="BI73" i="190"/>
  <c r="BI82" i="190" s="1"/>
  <c r="BF73" i="190"/>
  <c r="BE73" i="190"/>
  <c r="BD73" i="190"/>
  <c r="BA73" i="190"/>
  <c r="AZ73" i="190"/>
  <c r="AZ82" i="190" s="1"/>
  <c r="AY73" i="190"/>
  <c r="AV73" i="190"/>
  <c r="AV82" i="190" s="1"/>
  <c r="AU73" i="190"/>
  <c r="AT73" i="190"/>
  <c r="AQ73" i="190"/>
  <c r="AP73" i="190"/>
  <c r="AP82" i="190" s="1"/>
  <c r="AO73" i="190"/>
  <c r="AL73" i="190"/>
  <c r="AK73" i="190"/>
  <c r="AJ73" i="190"/>
  <c r="AG73" i="190"/>
  <c r="AG82" i="190" s="1"/>
  <c r="AF73" i="190"/>
  <c r="AE73" i="190"/>
  <c r="AE82" i="190" s="1"/>
  <c r="AB73" i="190"/>
  <c r="AA73" i="190"/>
  <c r="AA82" i="190" s="1"/>
  <c r="Z73" i="190"/>
  <c r="Z82" i="190" s="1"/>
  <c r="W73" i="190"/>
  <c r="V73" i="190"/>
  <c r="V82" i="190" s="1"/>
  <c r="U73" i="190"/>
  <c r="R73" i="190"/>
  <c r="R82" i="190" s="1"/>
  <c r="Q73" i="190"/>
  <c r="P73" i="190"/>
  <c r="P82" i="190" s="1"/>
  <c r="M73" i="190"/>
  <c r="L73" i="190"/>
  <c r="K73" i="190"/>
  <c r="H73" i="190"/>
  <c r="G73" i="190"/>
  <c r="G82" i="190" s="1"/>
  <c r="F73" i="190"/>
  <c r="F82" i="190" s="1"/>
  <c r="E73" i="190"/>
  <c r="D73" i="190"/>
  <c r="D82" i="190" s="1"/>
  <c r="I72" i="190"/>
  <c r="J72" i="190" s="1"/>
  <c r="N72" i="190" s="1"/>
  <c r="O72" i="190" s="1"/>
  <c r="S72" i="190" s="1"/>
  <c r="T72" i="190" s="1"/>
  <c r="X72" i="190" s="1"/>
  <c r="Y72" i="190" s="1"/>
  <c r="AC72" i="190" s="1"/>
  <c r="AD72" i="190" s="1"/>
  <c r="AH72" i="190" s="1"/>
  <c r="AI72" i="190" s="1"/>
  <c r="AM72" i="190" s="1"/>
  <c r="AN72" i="190" s="1"/>
  <c r="AR72" i="190" s="1"/>
  <c r="AS72" i="190" s="1"/>
  <c r="AW72" i="190" s="1"/>
  <c r="AX72" i="190" s="1"/>
  <c r="BB72" i="190" s="1"/>
  <c r="BC72" i="190" s="1"/>
  <c r="BG72" i="190" s="1"/>
  <c r="BH72" i="190" s="1"/>
  <c r="BL72" i="190" s="1"/>
  <c r="BM72" i="190" s="1"/>
  <c r="BQ72" i="190" s="1"/>
  <c r="BR72" i="190" s="1"/>
  <c r="BV72" i="190" s="1"/>
  <c r="BB71" i="190"/>
  <c r="BC71" i="190" s="1"/>
  <c r="BG71" i="190" s="1"/>
  <c r="BH71" i="190" s="1"/>
  <c r="BL71" i="190" s="1"/>
  <c r="BM71" i="190" s="1"/>
  <c r="BQ71" i="190" s="1"/>
  <c r="BR71" i="190" s="1"/>
  <c r="BV71" i="190" s="1"/>
  <c r="J71" i="190"/>
  <c r="N71" i="190" s="1"/>
  <c r="O71" i="190" s="1"/>
  <c r="S71" i="190" s="1"/>
  <c r="T71" i="190" s="1"/>
  <c r="X71" i="190" s="1"/>
  <c r="Y71" i="190" s="1"/>
  <c r="AC71" i="190" s="1"/>
  <c r="AD71" i="190" s="1"/>
  <c r="AH71" i="190" s="1"/>
  <c r="AI71" i="190" s="1"/>
  <c r="AM71" i="190" s="1"/>
  <c r="AN71" i="190" s="1"/>
  <c r="AR71" i="190" s="1"/>
  <c r="AS71" i="190" s="1"/>
  <c r="AW71" i="190" s="1"/>
  <c r="I71" i="190"/>
  <c r="J70" i="190"/>
  <c r="N70" i="190" s="1"/>
  <c r="O70" i="190" s="1"/>
  <c r="S70" i="190" s="1"/>
  <c r="T70" i="190" s="1"/>
  <c r="X70" i="190" s="1"/>
  <c r="Y70" i="190" s="1"/>
  <c r="AC70" i="190" s="1"/>
  <c r="AD70" i="190" s="1"/>
  <c r="AH70" i="190" s="1"/>
  <c r="AI70" i="190" s="1"/>
  <c r="AM70" i="190" s="1"/>
  <c r="AN70" i="190" s="1"/>
  <c r="AR70" i="190" s="1"/>
  <c r="AS70" i="190" s="1"/>
  <c r="AW70" i="190" s="1"/>
  <c r="AX70" i="190" s="1"/>
  <c r="BB70" i="190" s="1"/>
  <c r="BC70" i="190" s="1"/>
  <c r="BG70" i="190" s="1"/>
  <c r="BH70" i="190" s="1"/>
  <c r="BL70" i="190" s="1"/>
  <c r="BM70" i="190" s="1"/>
  <c r="BQ70" i="190" s="1"/>
  <c r="BR70" i="190" s="1"/>
  <c r="BV70" i="190" s="1"/>
  <c r="I70" i="190"/>
  <c r="I69" i="190"/>
  <c r="J69" i="190" s="1"/>
  <c r="N69" i="190" s="1"/>
  <c r="O69" i="190" s="1"/>
  <c r="S69" i="190" s="1"/>
  <c r="T69" i="190" s="1"/>
  <c r="X69" i="190" s="1"/>
  <c r="Y69" i="190" s="1"/>
  <c r="AC69" i="190" s="1"/>
  <c r="AD69" i="190" s="1"/>
  <c r="AH69" i="190" s="1"/>
  <c r="AI69" i="190" s="1"/>
  <c r="AM69" i="190" s="1"/>
  <c r="AN69" i="190" s="1"/>
  <c r="AR69" i="190" s="1"/>
  <c r="AS69" i="190" s="1"/>
  <c r="AW69" i="190" s="1"/>
  <c r="AX69" i="190" s="1"/>
  <c r="BB69" i="190" s="1"/>
  <c r="BC69" i="190" s="1"/>
  <c r="BG69" i="190" s="1"/>
  <c r="BH69" i="190" s="1"/>
  <c r="BL69" i="190" s="1"/>
  <c r="BM69" i="190" s="1"/>
  <c r="BQ69" i="190" s="1"/>
  <c r="BR69" i="190" s="1"/>
  <c r="BV69" i="190" s="1"/>
  <c r="I68" i="190"/>
  <c r="J68" i="190" s="1"/>
  <c r="N68" i="190" s="1"/>
  <c r="O68" i="190" s="1"/>
  <c r="S68" i="190" s="1"/>
  <c r="T68" i="190" s="1"/>
  <c r="X68" i="190" s="1"/>
  <c r="Y68" i="190" s="1"/>
  <c r="AC68" i="190" s="1"/>
  <c r="AD68" i="190" s="1"/>
  <c r="AH68" i="190" s="1"/>
  <c r="AI68" i="190" s="1"/>
  <c r="AM68" i="190" s="1"/>
  <c r="AN68" i="190" s="1"/>
  <c r="AR68" i="190" s="1"/>
  <c r="AS68" i="190" s="1"/>
  <c r="AW68" i="190" s="1"/>
  <c r="AX68" i="190" s="1"/>
  <c r="BB68" i="190" s="1"/>
  <c r="BC68" i="190" s="1"/>
  <c r="BG68" i="190" s="1"/>
  <c r="BH68" i="190" s="1"/>
  <c r="BL68" i="190" s="1"/>
  <c r="BM68" i="190" s="1"/>
  <c r="BQ68" i="190" s="1"/>
  <c r="BR68" i="190" s="1"/>
  <c r="BV68" i="190" s="1"/>
  <c r="I67" i="190"/>
  <c r="GH62" i="190"/>
  <c r="GG62" i="190"/>
  <c r="GF62" i="190"/>
  <c r="GC62" i="190"/>
  <c r="GB62" i="190"/>
  <c r="GA62" i="190"/>
  <c r="FX62" i="190"/>
  <c r="FW62" i="190"/>
  <c r="FV62" i="190"/>
  <c r="FS62" i="190"/>
  <c r="FR62" i="190"/>
  <c r="FQ62" i="190"/>
  <c r="FN62" i="190"/>
  <c r="FM62" i="190"/>
  <c r="FL62" i="190"/>
  <c r="FI62" i="190"/>
  <c r="FH62" i="190"/>
  <c r="FG62" i="190"/>
  <c r="FD62" i="190"/>
  <c r="FC62" i="190"/>
  <c r="FB62" i="190"/>
  <c r="EY62" i="190"/>
  <c r="EX62" i="190"/>
  <c r="EW62" i="190"/>
  <c r="ET62" i="190"/>
  <c r="ES62" i="190"/>
  <c r="ER62" i="190"/>
  <c r="EO62" i="190"/>
  <c r="EN62" i="190"/>
  <c r="EM62" i="190"/>
  <c r="EJ62" i="190"/>
  <c r="EI62" i="190"/>
  <c r="EH62" i="190"/>
  <c r="EE62" i="190"/>
  <c r="ED62" i="190"/>
  <c r="EC62" i="190"/>
  <c r="DZ62" i="190"/>
  <c r="DY62" i="190"/>
  <c r="DX62" i="190"/>
  <c r="DU62" i="190"/>
  <c r="DT62" i="190"/>
  <c r="DS62" i="190"/>
  <c r="DP62" i="190"/>
  <c r="DO62" i="190"/>
  <c r="DN62" i="190"/>
  <c r="DK62" i="190"/>
  <c r="DJ62" i="190"/>
  <c r="DI62" i="190"/>
  <c r="DF62" i="190"/>
  <c r="DE62" i="190"/>
  <c r="DD62" i="190"/>
  <c r="DA62" i="190"/>
  <c r="CZ62" i="190"/>
  <c r="CY62" i="190"/>
  <c r="CV62" i="190"/>
  <c r="CU62" i="190"/>
  <c r="CT62" i="190"/>
  <c r="CQ62" i="190"/>
  <c r="CP62" i="190"/>
  <c r="CO62" i="190"/>
  <c r="CL62" i="190"/>
  <c r="CK62" i="190"/>
  <c r="CJ62" i="190"/>
  <c r="CG62" i="190"/>
  <c r="CF62" i="190"/>
  <c r="CE62" i="190"/>
  <c r="BZ62" i="190"/>
  <c r="BY62" i="190"/>
  <c r="BX62" i="190"/>
  <c r="BU62" i="190"/>
  <c r="BT62" i="190"/>
  <c r="BS62" i="190"/>
  <c r="BP62" i="190"/>
  <c r="BO62" i="190"/>
  <c r="BN62" i="190"/>
  <c r="BL62" i="190"/>
  <c r="BK62" i="190"/>
  <c r="BJ62" i="190"/>
  <c r="BI62" i="190"/>
  <c r="BH62" i="190"/>
  <c r="BG62" i="190"/>
  <c r="BF62" i="190"/>
  <c r="BE62" i="190"/>
  <c r="BD62" i="190"/>
  <c r="BC62" i="190"/>
  <c r="BB62" i="190"/>
  <c r="BA62" i="190"/>
  <c r="AZ62" i="190"/>
  <c r="AY62" i="190"/>
  <c r="AX62" i="190"/>
  <c r="AW62" i="190"/>
  <c r="AV62" i="190"/>
  <c r="AU62" i="190"/>
  <c r="AT62" i="190"/>
  <c r="AS62" i="190"/>
  <c r="AR62" i="190"/>
  <c r="AQ62" i="190"/>
  <c r="AP62" i="190"/>
  <c r="AO62" i="190"/>
  <c r="AN62" i="190"/>
  <c r="AM62" i="190"/>
  <c r="AL62" i="190"/>
  <c r="AK62" i="190"/>
  <c r="AJ62" i="190"/>
  <c r="AI62" i="190"/>
  <c r="AH62" i="190"/>
  <c r="AG62" i="190"/>
  <c r="AF62" i="190"/>
  <c r="AE62" i="190"/>
  <c r="AD62" i="190"/>
  <c r="AC62" i="190"/>
  <c r="AB62" i="190"/>
  <c r="AA62" i="190"/>
  <c r="Z62" i="190"/>
  <c r="Y62" i="190"/>
  <c r="X62" i="190"/>
  <c r="W62" i="190"/>
  <c r="V62" i="190"/>
  <c r="U62" i="190"/>
  <c r="T62" i="190"/>
  <c r="S62" i="190"/>
  <c r="R62" i="190"/>
  <c r="Q62" i="190"/>
  <c r="P62" i="190"/>
  <c r="O62" i="190"/>
  <c r="N62" i="190"/>
  <c r="M62" i="190"/>
  <c r="L62" i="190"/>
  <c r="K62" i="190"/>
  <c r="J62" i="190"/>
  <c r="I62" i="190"/>
  <c r="H62" i="190"/>
  <c r="G62" i="190"/>
  <c r="F62" i="190"/>
  <c r="E62" i="190"/>
  <c r="D62" i="190"/>
  <c r="BM61" i="190"/>
  <c r="BQ61" i="190" s="1"/>
  <c r="V61" i="190"/>
  <c r="GH60" i="190"/>
  <c r="GG60" i="190"/>
  <c r="GF60" i="190"/>
  <c r="GC60" i="190"/>
  <c r="GB60" i="190"/>
  <c r="GA60" i="190"/>
  <c r="FX60" i="190"/>
  <c r="FW60" i="190"/>
  <c r="FV60" i="190"/>
  <c r="FS60" i="190"/>
  <c r="FR60" i="190"/>
  <c r="FQ60" i="190"/>
  <c r="FN60" i="190"/>
  <c r="FM60" i="190"/>
  <c r="FL60" i="190"/>
  <c r="FI60" i="190"/>
  <c r="FH60" i="190"/>
  <c r="FG60" i="190"/>
  <c r="FD60" i="190"/>
  <c r="FC60" i="190"/>
  <c r="FB60" i="190"/>
  <c r="EY60" i="190"/>
  <c r="EX60" i="190"/>
  <c r="EW60" i="190"/>
  <c r="ET60" i="190"/>
  <c r="ES60" i="190"/>
  <c r="ER60" i="190"/>
  <c r="EO60" i="190"/>
  <c r="EN60" i="190"/>
  <c r="EM60" i="190"/>
  <c r="EJ60" i="190"/>
  <c r="EI60" i="190"/>
  <c r="EH60" i="190"/>
  <c r="EE60" i="190"/>
  <c r="ED60" i="190"/>
  <c r="EC60" i="190"/>
  <c r="DZ60" i="190"/>
  <c r="DY60" i="190"/>
  <c r="DX60" i="190"/>
  <c r="DU60" i="190"/>
  <c r="DT60" i="190"/>
  <c r="DS60" i="190"/>
  <c r="DP60" i="190"/>
  <c r="DO60" i="190"/>
  <c r="DN60" i="190"/>
  <c r="DK60" i="190"/>
  <c r="DJ60" i="190"/>
  <c r="DI60" i="190"/>
  <c r="DF60" i="190"/>
  <c r="DE60" i="190"/>
  <c r="DD60" i="190"/>
  <c r="DA60" i="190"/>
  <c r="CZ60" i="190"/>
  <c r="CY60" i="190"/>
  <c r="CV60" i="190"/>
  <c r="CU60" i="190"/>
  <c r="CT60" i="190"/>
  <c r="CQ60" i="190"/>
  <c r="CP60" i="190"/>
  <c r="CO60" i="190"/>
  <c r="CL60" i="190"/>
  <c r="CK60" i="190"/>
  <c r="CJ60" i="190"/>
  <c r="CG60" i="190"/>
  <c r="CF60" i="190"/>
  <c r="CE60" i="190"/>
  <c r="BZ60" i="190"/>
  <c r="BY60" i="190"/>
  <c r="BX60" i="190"/>
  <c r="BU60" i="190"/>
  <c r="BT60" i="190"/>
  <c r="BS60" i="190"/>
  <c r="BP60" i="190"/>
  <c r="BO60" i="190"/>
  <c r="BN60" i="190"/>
  <c r="BL60" i="190"/>
  <c r="BK60" i="190"/>
  <c r="BJ60" i="190"/>
  <c r="BI60" i="190"/>
  <c r="BH60" i="190"/>
  <c r="BG60" i="190"/>
  <c r="BF60" i="190"/>
  <c r="BE60" i="190"/>
  <c r="BD60" i="190"/>
  <c r="BC60" i="190"/>
  <c r="BB60" i="190"/>
  <c r="BA60" i="190"/>
  <c r="AZ60" i="190"/>
  <c r="AY60" i="190"/>
  <c r="AX60" i="190"/>
  <c r="AW60" i="190"/>
  <c r="AV60" i="190"/>
  <c r="AU60" i="190"/>
  <c r="AT60" i="190"/>
  <c r="AS60" i="190"/>
  <c r="AR60" i="190"/>
  <c r="AQ60" i="190"/>
  <c r="AP60" i="190"/>
  <c r="AO60" i="190"/>
  <c r="AN60" i="190"/>
  <c r="AM60" i="190"/>
  <c r="AL60" i="190"/>
  <c r="AK60" i="190"/>
  <c r="AJ60" i="190"/>
  <c r="AI60" i="190"/>
  <c r="AH60" i="190"/>
  <c r="AG60" i="190"/>
  <c r="AF60" i="190"/>
  <c r="AE60" i="190"/>
  <c r="AD60" i="190"/>
  <c r="AC60" i="190"/>
  <c r="AB60" i="190"/>
  <c r="AA60" i="190"/>
  <c r="Z60" i="190"/>
  <c r="Y60" i="190"/>
  <c r="X60" i="190"/>
  <c r="W60" i="190"/>
  <c r="V60" i="190"/>
  <c r="U60" i="190"/>
  <c r="T60" i="190"/>
  <c r="S60" i="190"/>
  <c r="R60" i="190"/>
  <c r="Q60" i="190"/>
  <c r="P60" i="190"/>
  <c r="O60" i="190"/>
  <c r="N60" i="190"/>
  <c r="M60" i="190"/>
  <c r="L60" i="190"/>
  <c r="K60" i="190"/>
  <c r="J60" i="190"/>
  <c r="I60" i="190"/>
  <c r="H60" i="190"/>
  <c r="G60" i="190"/>
  <c r="F60" i="190"/>
  <c r="E60" i="190"/>
  <c r="D60" i="190"/>
  <c r="BM59" i="190"/>
  <c r="BQ59" i="190" s="1"/>
  <c r="BR59" i="190" s="1"/>
  <c r="BV59" i="190" s="1"/>
  <c r="BM58" i="190"/>
  <c r="BQ58" i="190" s="1"/>
  <c r="BR58" i="190" s="1"/>
  <c r="BV58" i="190" s="1"/>
  <c r="BM57" i="190"/>
  <c r="BQ57" i="190" s="1"/>
  <c r="BR57" i="190" s="1"/>
  <c r="BV57" i="190" s="1"/>
  <c r="BQ56" i="190"/>
  <c r="BR56" i="190" s="1"/>
  <c r="BV56" i="190" s="1"/>
  <c r="BM56" i="190"/>
  <c r="BM55" i="190"/>
  <c r="BQ55" i="190" s="1"/>
  <c r="BR55" i="190" s="1"/>
  <c r="BV55" i="190" s="1"/>
  <c r="CD54" i="190"/>
  <c r="CH54" i="190" s="1"/>
  <c r="CI54" i="190" s="1"/>
  <c r="CM54" i="190" s="1"/>
  <c r="CN54" i="190" s="1"/>
  <c r="CR54" i="190" s="1"/>
  <c r="CS54" i="190" s="1"/>
  <c r="CW54" i="190" s="1"/>
  <c r="CX54" i="190" s="1"/>
  <c r="DB54" i="190" s="1"/>
  <c r="DC54" i="190" s="1"/>
  <c r="DG54" i="190" s="1"/>
  <c r="DH54" i="190" s="1"/>
  <c r="DL54" i="190" s="1"/>
  <c r="DM54" i="190" s="1"/>
  <c r="DQ54" i="190" s="1"/>
  <c r="DR54" i="190" s="1"/>
  <c r="DV54" i="190" s="1"/>
  <c r="DW54" i="190" s="1"/>
  <c r="EA54" i="190" s="1"/>
  <c r="EB54" i="190" s="1"/>
  <c r="EF54" i="190" s="1"/>
  <c r="EG54" i="190" s="1"/>
  <c r="EK54" i="190" s="1"/>
  <c r="EL54" i="190" s="1"/>
  <c r="EP54" i="190" s="1"/>
  <c r="EQ54" i="190" s="1"/>
  <c r="EU54" i="190" s="1"/>
  <c r="EV54" i="190" s="1"/>
  <c r="EZ54" i="190" s="1"/>
  <c r="FA54" i="190" s="1"/>
  <c r="FE54" i="190" s="1"/>
  <c r="FF54" i="190" s="1"/>
  <c r="FJ54" i="190" s="1"/>
  <c r="FK54" i="190" s="1"/>
  <c r="FO54" i="190" s="1"/>
  <c r="FP54" i="190" s="1"/>
  <c r="FT54" i="190" s="1"/>
  <c r="FU54" i="190" s="1"/>
  <c r="FY54" i="190" s="1"/>
  <c r="FZ54" i="190" s="1"/>
  <c r="GD54" i="190" s="1"/>
  <c r="GE54" i="190" s="1"/>
  <c r="GI54" i="190" s="1"/>
  <c r="CA54" i="190"/>
  <c r="BM53" i="190"/>
  <c r="BQ53" i="190" s="1"/>
  <c r="BR53" i="190" s="1"/>
  <c r="BV53" i="190" s="1"/>
  <c r="BM52" i="190"/>
  <c r="BQ52" i="190" s="1"/>
  <c r="BR52" i="190" s="1"/>
  <c r="BV52" i="190" s="1"/>
  <c r="BM51" i="190"/>
  <c r="BQ51" i="190" s="1"/>
  <c r="BR51" i="190" s="1"/>
  <c r="BV51" i="190" s="1"/>
  <c r="BM50" i="190"/>
  <c r="BQ50" i="190" s="1"/>
  <c r="BR50" i="190" s="1"/>
  <c r="BV50" i="190" s="1"/>
  <c r="BM49" i="190"/>
  <c r="BQ49" i="190" s="1"/>
  <c r="BR49" i="190" s="1"/>
  <c r="BV49" i="190" s="1"/>
  <c r="BM48" i="190"/>
  <c r="BQ48" i="190" s="1"/>
  <c r="BR48" i="190" s="1"/>
  <c r="BV48" i="190" s="1"/>
  <c r="BM47" i="190"/>
  <c r="BQ47" i="190" s="1"/>
  <c r="BR47" i="190" s="1"/>
  <c r="BV47" i="190" s="1"/>
  <c r="BM46" i="190"/>
  <c r="BQ46" i="190" s="1"/>
  <c r="GH45" i="190"/>
  <c r="GF45" i="190"/>
  <c r="GC45" i="190"/>
  <c r="GB45" i="190"/>
  <c r="FX45" i="190"/>
  <c r="FV45" i="190"/>
  <c r="FS45" i="190"/>
  <c r="FN45" i="190"/>
  <c r="FL45" i="190"/>
  <c r="FI45" i="190"/>
  <c r="FH45" i="190"/>
  <c r="FD45" i="190"/>
  <c r="EY45" i="190"/>
  <c r="EX45" i="190"/>
  <c r="ET45" i="190"/>
  <c r="ER45" i="190"/>
  <c r="EO45" i="190"/>
  <c r="EN45" i="190"/>
  <c r="EJ45" i="190"/>
  <c r="EH45" i="190"/>
  <c r="EE45" i="190"/>
  <c r="DZ45" i="190"/>
  <c r="DY45" i="190"/>
  <c r="DX45" i="190"/>
  <c r="DU45" i="190"/>
  <c r="DT45" i="190"/>
  <c r="DS45" i="190"/>
  <c r="DP45" i="190"/>
  <c r="DO45" i="190"/>
  <c r="DN45" i="190"/>
  <c r="DK45" i="190"/>
  <c r="DJ45" i="190"/>
  <c r="DI45" i="190"/>
  <c r="DF45" i="190"/>
  <c r="DE45" i="190"/>
  <c r="DD45" i="190"/>
  <c r="DA45" i="190"/>
  <c r="CZ45" i="190"/>
  <c r="CY45" i="190"/>
  <c r="CV45" i="190"/>
  <c r="CU45" i="190"/>
  <c r="CT45" i="190"/>
  <c r="CQ45" i="190"/>
  <c r="CP45" i="190"/>
  <c r="CO45" i="190"/>
  <c r="CL45" i="190"/>
  <c r="CK45" i="190"/>
  <c r="CJ45" i="190"/>
  <c r="CG45" i="190"/>
  <c r="CF45" i="190"/>
  <c r="CE45" i="190"/>
  <c r="BZ45" i="190"/>
  <c r="BY45" i="190"/>
  <c r="BX45" i="190"/>
  <c r="BU45" i="190"/>
  <c r="BT45" i="190"/>
  <c r="BS45" i="190"/>
  <c r="BP45" i="190"/>
  <c r="BO45" i="190"/>
  <c r="BN45" i="190"/>
  <c r="BL45" i="190"/>
  <c r="BK45" i="190"/>
  <c r="BJ45" i="190"/>
  <c r="BI45" i="190"/>
  <c r="BH45" i="190"/>
  <c r="BG45" i="190"/>
  <c r="BF45" i="190"/>
  <c r="BE45" i="190"/>
  <c r="BD45" i="190"/>
  <c r="BC45" i="190"/>
  <c r="BB45" i="190"/>
  <c r="BA45" i="190"/>
  <c r="AZ45" i="190"/>
  <c r="AY45" i="190"/>
  <c r="AX45" i="190"/>
  <c r="AW45" i="190"/>
  <c r="AV45" i="190"/>
  <c r="AU45" i="190"/>
  <c r="AT45" i="190"/>
  <c r="AS45" i="190"/>
  <c r="AR45" i="190"/>
  <c r="AQ45" i="190"/>
  <c r="AP45" i="190"/>
  <c r="AO45" i="190"/>
  <c r="AN45" i="190"/>
  <c r="AM45" i="190"/>
  <c r="AL45" i="190"/>
  <c r="AK45" i="190"/>
  <c r="AJ45" i="190"/>
  <c r="AI45" i="190"/>
  <c r="AH45" i="190"/>
  <c r="AG45" i="190"/>
  <c r="AF45" i="190"/>
  <c r="AE45" i="190"/>
  <c r="AD45" i="190"/>
  <c r="AC45" i="190"/>
  <c r="AB45" i="190"/>
  <c r="AA45" i="190"/>
  <c r="Z45" i="190"/>
  <c r="Y45" i="190"/>
  <c r="X45" i="190"/>
  <c r="W45" i="190"/>
  <c r="V45" i="190"/>
  <c r="U45" i="190"/>
  <c r="T45" i="190"/>
  <c r="S45" i="190"/>
  <c r="R45" i="190"/>
  <c r="Q45" i="190"/>
  <c r="P45" i="190"/>
  <c r="O45" i="190"/>
  <c r="N45" i="190"/>
  <c r="M45" i="190"/>
  <c r="L45" i="190"/>
  <c r="K45" i="190"/>
  <c r="J45" i="190"/>
  <c r="I45" i="190"/>
  <c r="H45" i="190"/>
  <c r="G45" i="190"/>
  <c r="F45" i="190"/>
  <c r="E45" i="190"/>
  <c r="D45" i="190"/>
  <c r="BM44" i="190"/>
  <c r="BQ44" i="190" s="1"/>
  <c r="BR44" i="190" s="1"/>
  <c r="BV44" i="190" s="1"/>
  <c r="BM43" i="190"/>
  <c r="BQ43" i="190" s="1"/>
  <c r="BR43" i="190" s="1"/>
  <c r="BV43" i="190" s="1"/>
  <c r="BM42" i="190"/>
  <c r="BQ42" i="190" s="1"/>
  <c r="BR42" i="190" s="1"/>
  <c r="BV42" i="190" s="1"/>
  <c r="BM41" i="190"/>
  <c r="BQ41" i="190" s="1"/>
  <c r="BR41" i="190" s="1"/>
  <c r="BV41" i="190" s="1"/>
  <c r="BM40" i="190"/>
  <c r="BQ40" i="190" s="1"/>
  <c r="BR40" i="190" s="1"/>
  <c r="BV40" i="190" s="1"/>
  <c r="BM39" i="190"/>
  <c r="BQ39" i="190" s="1"/>
  <c r="BR39" i="190" s="1"/>
  <c r="BV39" i="190" s="1"/>
  <c r="BM38" i="190"/>
  <c r="BQ38" i="190" s="1"/>
  <c r="BR38" i="190" s="1"/>
  <c r="BV38" i="190" s="1"/>
  <c r="BM37" i="190"/>
  <c r="BQ37" i="190" s="1"/>
  <c r="BR37" i="190" s="1"/>
  <c r="BV37" i="190" s="1"/>
  <c r="BM36" i="190"/>
  <c r="BQ36" i="190" s="1"/>
  <c r="BR36" i="190" s="1"/>
  <c r="BV36" i="190" s="1"/>
  <c r="BM35" i="190"/>
  <c r="BQ35" i="190" s="1"/>
  <c r="BR35" i="190" s="1"/>
  <c r="BV35" i="190" s="1"/>
  <c r="BM34" i="190"/>
  <c r="BQ34" i="190" s="1"/>
  <c r="BR34" i="190" s="1"/>
  <c r="BV34" i="190" s="1"/>
  <c r="BM33" i="190"/>
  <c r="BQ33" i="190" s="1"/>
  <c r="BR33" i="190" s="1"/>
  <c r="BV33" i="190" s="1"/>
  <c r="BM32" i="190"/>
  <c r="BQ32" i="190" s="1"/>
  <c r="BR32" i="190" s="1"/>
  <c r="BV32" i="190" s="1"/>
  <c r="GG31" i="190"/>
  <c r="GF31" i="190"/>
  <c r="GB31" i="190"/>
  <c r="GA31" i="190"/>
  <c r="FW31" i="190"/>
  <c r="FV31" i="190"/>
  <c r="FR31" i="190"/>
  <c r="FR45" i="190" s="1"/>
  <c r="FQ31" i="190"/>
  <c r="FM31" i="190"/>
  <c r="FL31" i="190"/>
  <c r="FH31" i="190"/>
  <c r="FG31" i="190"/>
  <c r="FC31" i="190"/>
  <c r="FB31" i="190"/>
  <c r="EX31" i="190"/>
  <c r="EW31" i="190"/>
  <c r="ES31" i="190"/>
  <c r="ER31" i="190"/>
  <c r="EN31" i="190"/>
  <c r="EM31" i="190"/>
  <c r="EI31" i="190"/>
  <c r="EH31" i="190"/>
  <c r="ED31" i="190"/>
  <c r="ED45" i="190" s="1"/>
  <c r="EC31" i="190"/>
  <c r="BM31" i="190"/>
  <c r="BQ31" i="190" s="1"/>
  <c r="BR31" i="190" s="1"/>
  <c r="BV31" i="190" s="1"/>
  <c r="BM30" i="190"/>
  <c r="BQ30" i="190" s="1"/>
  <c r="BR30" i="190" s="1"/>
  <c r="BV30" i="190" s="1"/>
  <c r="BM29" i="190"/>
  <c r="BQ29" i="190" s="1"/>
  <c r="BR29" i="190" s="1"/>
  <c r="BV29" i="190" s="1"/>
  <c r="BM28" i="190"/>
  <c r="BQ28" i="190" s="1"/>
  <c r="BR28" i="190" s="1"/>
  <c r="BV28" i="190" s="1"/>
  <c r="V28" i="190"/>
  <c r="BM27" i="190"/>
  <c r="BQ27" i="190" s="1"/>
  <c r="BR27" i="190" s="1"/>
  <c r="BV27" i="190" s="1"/>
  <c r="GG26" i="190"/>
  <c r="GG45" i="190" s="1"/>
  <c r="GF26" i="190"/>
  <c r="GB26" i="190"/>
  <c r="GA26" i="190"/>
  <c r="GA45" i="190" s="1"/>
  <c r="FW26" i="190"/>
  <c r="FW45" i="190" s="1"/>
  <c r="FV26" i="190"/>
  <c r="FR26" i="190"/>
  <c r="FQ26" i="190"/>
  <c r="FQ45" i="190" s="1"/>
  <c r="FM26" i="190"/>
  <c r="FM45" i="190" s="1"/>
  <c r="FL26" i="190"/>
  <c r="FH26" i="190"/>
  <c r="FG26" i="190"/>
  <c r="FG45" i="190" s="1"/>
  <c r="FC26" i="190"/>
  <c r="FC45" i="190" s="1"/>
  <c r="FB26" i="190"/>
  <c r="FB45" i="190" s="1"/>
  <c r="EX26" i="190"/>
  <c r="EW26" i="190"/>
  <c r="EW45" i="190" s="1"/>
  <c r="ES26" i="190"/>
  <c r="ES45" i="190" s="1"/>
  <c r="ER26" i="190"/>
  <c r="EN26" i="190"/>
  <c r="EM26" i="190"/>
  <c r="EM45" i="190" s="1"/>
  <c r="EI26" i="190"/>
  <c r="EI45" i="190" s="1"/>
  <c r="EH26" i="190"/>
  <c r="ED26" i="190"/>
  <c r="EC26" i="190"/>
  <c r="EC45" i="190" s="1"/>
  <c r="BM26" i="190"/>
  <c r="BQ26" i="190" s="1"/>
  <c r="BR26" i="190" s="1"/>
  <c r="BV26" i="190" s="1"/>
  <c r="BQ25" i="190"/>
  <c r="BR25" i="190" s="1"/>
  <c r="BV25" i="190" s="1"/>
  <c r="BM25" i="190"/>
  <c r="BQ24" i="190"/>
  <c r="BR24" i="190" s="1"/>
  <c r="BV24" i="190" s="1"/>
  <c r="BM24" i="190"/>
  <c r="BQ23" i="190"/>
  <c r="BR23" i="190" s="1"/>
  <c r="BV23" i="190" s="1"/>
  <c r="BM23" i="190"/>
  <c r="BQ22" i="190"/>
  <c r="BR22" i="190" s="1"/>
  <c r="BV22" i="190" s="1"/>
  <c r="BM22" i="190"/>
  <c r="BM21" i="190"/>
  <c r="BQ21" i="190" s="1"/>
  <c r="BR21" i="190" s="1"/>
  <c r="BV21" i="190" s="1"/>
  <c r="BM20" i="190"/>
  <c r="BQ20" i="190" s="1"/>
  <c r="BR20" i="190" s="1"/>
  <c r="BV20" i="190" s="1"/>
  <c r="BM19" i="190"/>
  <c r="BQ19" i="190" s="1"/>
  <c r="BR19" i="190" s="1"/>
  <c r="BV19" i="190" s="1"/>
  <c r="BM18" i="190"/>
  <c r="BQ18" i="190" s="1"/>
  <c r="BR18" i="190" s="1"/>
  <c r="BV18" i="190" s="1"/>
  <c r="BM17" i="190"/>
  <c r="BQ17" i="190" s="1"/>
  <c r="BR17" i="190" s="1"/>
  <c r="BV17" i="190" s="1"/>
  <c r="BM16" i="190"/>
  <c r="BQ16" i="190" s="1"/>
  <c r="BR16" i="190" s="1"/>
  <c r="BV16" i="190" s="1"/>
  <c r="BQ15" i="190"/>
  <c r="BR15" i="190" s="1"/>
  <c r="BM15" i="190"/>
  <c r="GH14" i="190"/>
  <c r="GG14" i="190"/>
  <c r="GF14" i="190"/>
  <c r="GC14" i="190"/>
  <c r="GB14" i="190"/>
  <c r="GA14" i="190"/>
  <c r="FX14" i="190"/>
  <c r="FW14" i="190"/>
  <c r="FV14" i="190"/>
  <c r="FS14" i="190"/>
  <c r="FR14" i="190"/>
  <c r="FQ14" i="190"/>
  <c r="FN14" i="190"/>
  <c r="FM14" i="190"/>
  <c r="FL14" i="190"/>
  <c r="FI14" i="190"/>
  <c r="FH14" i="190"/>
  <c r="FG14" i="190"/>
  <c r="FD14" i="190"/>
  <c r="FC14" i="190"/>
  <c r="FB14" i="190"/>
  <c r="EY14" i="190"/>
  <c r="EX14" i="190"/>
  <c r="EW14" i="190"/>
  <c r="ET14" i="190"/>
  <c r="ES14" i="190"/>
  <c r="ER14" i="190"/>
  <c r="EO14" i="190"/>
  <c r="EN14" i="190"/>
  <c r="EM14" i="190"/>
  <c r="EJ14" i="190"/>
  <c r="EI14" i="190"/>
  <c r="EH14" i="190"/>
  <c r="EE14" i="190"/>
  <c r="ED14" i="190"/>
  <c r="EC14" i="190"/>
  <c r="DZ14" i="190"/>
  <c r="DY14" i="190"/>
  <c r="DX14" i="190"/>
  <c r="DU14" i="190"/>
  <c r="DT14" i="190"/>
  <c r="DS14" i="190"/>
  <c r="DP14" i="190"/>
  <c r="DO14" i="190"/>
  <c r="DN14" i="190"/>
  <c r="DK14" i="190"/>
  <c r="DJ14" i="190"/>
  <c r="DI14" i="190"/>
  <c r="DF14" i="190"/>
  <c r="DE14" i="190"/>
  <c r="DD14" i="190"/>
  <c r="DA14" i="190"/>
  <c r="CZ14" i="190"/>
  <c r="CY14" i="190"/>
  <c r="CV14" i="190"/>
  <c r="CU14" i="190"/>
  <c r="CT14" i="190"/>
  <c r="CQ14" i="190"/>
  <c r="CP14" i="190"/>
  <c r="CO14" i="190"/>
  <c r="CL14" i="190"/>
  <c r="CK14" i="190"/>
  <c r="CJ14" i="190"/>
  <c r="CG14" i="190"/>
  <c r="CF14" i="190"/>
  <c r="CE14" i="190"/>
  <c r="BZ14" i="190"/>
  <c r="BY14" i="190"/>
  <c r="BX14" i="190"/>
  <c r="BU14" i="190"/>
  <c r="BT14" i="190"/>
  <c r="BS14" i="190"/>
  <c r="BP14" i="190"/>
  <c r="BO14" i="190"/>
  <c r="BN14" i="190"/>
  <c r="BM14" i="190"/>
  <c r="BL14" i="190"/>
  <c r="BK14" i="190"/>
  <c r="BJ14" i="190"/>
  <c r="BI14" i="190"/>
  <c r="BH14" i="190"/>
  <c r="BG14" i="190"/>
  <c r="BF14" i="190"/>
  <c r="BE14" i="190"/>
  <c r="BD14" i="190"/>
  <c r="BC14" i="190"/>
  <c r="BB14" i="190"/>
  <c r="BA14" i="190"/>
  <c r="AZ14" i="190"/>
  <c r="AY14" i="190"/>
  <c r="AX14" i="190"/>
  <c r="AW14" i="190"/>
  <c r="AV14" i="190"/>
  <c r="AU14" i="190"/>
  <c r="AT14" i="190"/>
  <c r="AS14" i="190"/>
  <c r="AR14" i="190"/>
  <c r="AQ14" i="190"/>
  <c r="AP14" i="190"/>
  <c r="AO14" i="190"/>
  <c r="AN14" i="190"/>
  <c r="AM14" i="190"/>
  <c r="AL14" i="190"/>
  <c r="AK14" i="190"/>
  <c r="AJ14" i="190"/>
  <c r="AI14" i="190"/>
  <c r="AH14" i="190"/>
  <c r="AG14" i="190"/>
  <c r="AF14" i="190"/>
  <c r="AE14" i="190"/>
  <c r="AD14" i="190"/>
  <c r="AC14" i="190"/>
  <c r="AB14" i="190"/>
  <c r="AA14" i="190"/>
  <c r="Z14" i="190"/>
  <c r="Y14" i="190"/>
  <c r="X14" i="190"/>
  <c r="W14" i="190"/>
  <c r="V14" i="190"/>
  <c r="U14" i="190"/>
  <c r="T14" i="190"/>
  <c r="S14" i="190"/>
  <c r="R14" i="190"/>
  <c r="Q14" i="190"/>
  <c r="P14" i="190"/>
  <c r="O14" i="190"/>
  <c r="N14" i="190"/>
  <c r="M14" i="190"/>
  <c r="L14" i="190"/>
  <c r="K14" i="190"/>
  <c r="J14" i="190"/>
  <c r="I14" i="190"/>
  <c r="H14" i="190"/>
  <c r="G14" i="190"/>
  <c r="F14" i="190"/>
  <c r="E14" i="190"/>
  <c r="BM13" i="190"/>
  <c r="BQ13" i="190" s="1"/>
  <c r="GH12" i="190"/>
  <c r="GC12" i="190"/>
  <c r="FX12" i="190"/>
  <c r="FV12" i="190"/>
  <c r="FV63" i="190" s="1"/>
  <c r="FV66" i="190" s="1"/>
  <c r="FS12" i="190"/>
  <c r="FN12" i="190"/>
  <c r="FI12" i="190"/>
  <c r="FD12" i="190"/>
  <c r="EY12" i="190"/>
  <c r="EX12" i="190"/>
  <c r="EX63" i="190" s="1"/>
  <c r="EX66" i="190" s="1"/>
  <c r="ET12" i="190"/>
  <c r="EO12" i="190"/>
  <c r="EJ12" i="190"/>
  <c r="EE12" i="190"/>
  <c r="EE63" i="190" s="1"/>
  <c r="DZ12" i="190"/>
  <c r="DX12" i="190"/>
  <c r="DU12" i="190"/>
  <c r="DP12" i="190"/>
  <c r="DK12" i="190"/>
  <c r="DF12" i="190"/>
  <c r="DF63" i="190" s="1"/>
  <c r="DA12" i="190"/>
  <c r="CV12" i="190"/>
  <c r="CT12" i="190"/>
  <c r="CT63" i="190" s="1"/>
  <c r="CQ12" i="190"/>
  <c r="CL12" i="190"/>
  <c r="CL63" i="190" s="1"/>
  <c r="CJ12" i="190"/>
  <c r="CG12" i="190"/>
  <c r="BZ12" i="190"/>
  <c r="BY12" i="190"/>
  <c r="BX12" i="190"/>
  <c r="BX63" i="190" s="1"/>
  <c r="BU12" i="190"/>
  <c r="BU63" i="190" s="1"/>
  <c r="BP12" i="190"/>
  <c r="BN12" i="190"/>
  <c r="BL12" i="190"/>
  <c r="BK12" i="190"/>
  <c r="BJ12" i="190"/>
  <c r="BI12" i="190"/>
  <c r="BI63" i="190" s="1"/>
  <c r="BH12" i="190"/>
  <c r="BG12" i="190"/>
  <c r="BG63" i="190" s="1"/>
  <c r="BF12" i="190"/>
  <c r="BE12" i="190"/>
  <c r="BE63" i="190" s="1"/>
  <c r="BD12" i="190"/>
  <c r="BC12" i="190"/>
  <c r="BC63" i="190" s="1"/>
  <c r="BB12" i="190"/>
  <c r="BA12" i="190"/>
  <c r="AZ12" i="190"/>
  <c r="AZ63" i="190" s="1"/>
  <c r="AY12" i="190"/>
  <c r="AX12" i="190"/>
  <c r="AW12" i="190"/>
  <c r="AV12" i="190"/>
  <c r="AV63" i="190" s="1"/>
  <c r="AU12" i="190"/>
  <c r="AT12" i="190"/>
  <c r="AS12" i="190"/>
  <c r="AR12" i="190"/>
  <c r="AQ12" i="190"/>
  <c r="AP12" i="190"/>
  <c r="AO12" i="190"/>
  <c r="AO63" i="190" s="1"/>
  <c r="AN12" i="190"/>
  <c r="AM12" i="190"/>
  <c r="AM63" i="190" s="1"/>
  <c r="AL12" i="190"/>
  <c r="AK12" i="190"/>
  <c r="AK63" i="190" s="1"/>
  <c r="AJ12" i="190"/>
  <c r="AI12" i="190"/>
  <c r="AI63" i="190" s="1"/>
  <c r="AH12" i="190"/>
  <c r="AG12" i="190"/>
  <c r="AF12" i="190"/>
  <c r="AF63" i="190" s="1"/>
  <c r="AE12" i="190"/>
  <c r="AE63" i="190" s="1"/>
  <c r="AE85" i="190" s="1"/>
  <c r="AD12" i="190"/>
  <c r="AC12" i="190"/>
  <c r="AB12" i="190"/>
  <c r="AB63" i="190" s="1"/>
  <c r="AA12" i="190"/>
  <c r="Z12" i="190"/>
  <c r="Y12" i="190"/>
  <c r="X12" i="190"/>
  <c r="W12" i="190"/>
  <c r="V12" i="190"/>
  <c r="U12" i="190"/>
  <c r="U63" i="190" s="1"/>
  <c r="T12" i="190"/>
  <c r="S12" i="190"/>
  <c r="S63" i="190" s="1"/>
  <c r="R12" i="190"/>
  <c r="Q12" i="190"/>
  <c r="Q63" i="190" s="1"/>
  <c r="P12" i="190"/>
  <c r="O12" i="190"/>
  <c r="O63" i="190" s="1"/>
  <c r="N12" i="190"/>
  <c r="M12" i="190"/>
  <c r="L12" i="190"/>
  <c r="L63" i="190" s="1"/>
  <c r="K12" i="190"/>
  <c r="K63" i="190" s="1"/>
  <c r="J12" i="190"/>
  <c r="I12" i="190"/>
  <c r="H12" i="190"/>
  <c r="H63" i="190" s="1"/>
  <c r="G12" i="190"/>
  <c r="F12" i="190"/>
  <c r="E12" i="190"/>
  <c r="D12" i="190"/>
  <c r="GG11" i="190"/>
  <c r="GF11" i="190"/>
  <c r="GB11" i="190"/>
  <c r="GA11" i="190"/>
  <c r="FW11" i="190"/>
  <c r="FV11" i="190"/>
  <c r="FR11" i="190"/>
  <c r="FQ11" i="190"/>
  <c r="FM11" i="190"/>
  <c r="FL11" i="190"/>
  <c r="FH11" i="190"/>
  <c r="FG11" i="190"/>
  <c r="FC11" i="190"/>
  <c r="FB11" i="190"/>
  <c r="FB12" i="190" s="1"/>
  <c r="EX11" i="190"/>
  <c r="EW11" i="190"/>
  <c r="ES11" i="190"/>
  <c r="ER11" i="190"/>
  <c r="EN11" i="190"/>
  <c r="EM11" i="190"/>
  <c r="EI11" i="190"/>
  <c r="EH11" i="190"/>
  <c r="ED11" i="190"/>
  <c r="EC11" i="190"/>
  <c r="DY11" i="190"/>
  <c r="DX11" i="190"/>
  <c r="DT11" i="190"/>
  <c r="DS11" i="190"/>
  <c r="DO11" i="190"/>
  <c r="DN11" i="190"/>
  <c r="DJ11" i="190"/>
  <c r="DJ12" i="190" s="1"/>
  <c r="DI11" i="190"/>
  <c r="DE11" i="190"/>
  <c r="DD11" i="190"/>
  <c r="DD12" i="190" s="1"/>
  <c r="CZ11" i="190"/>
  <c r="CY11" i="190"/>
  <c r="CU11" i="190"/>
  <c r="CT11" i="190"/>
  <c r="CP11" i="190"/>
  <c r="CO11" i="190"/>
  <c r="CK11" i="190"/>
  <c r="CJ11" i="190"/>
  <c r="CF11" i="190"/>
  <c r="CE11" i="190"/>
  <c r="BT11" i="190"/>
  <c r="BS11" i="190"/>
  <c r="BO11" i="190"/>
  <c r="BN11" i="190"/>
  <c r="BM11" i="190"/>
  <c r="BQ11" i="190" s="1"/>
  <c r="BR11" i="190" s="1"/>
  <c r="BV11" i="190" s="1"/>
  <c r="GG10" i="190"/>
  <c r="GF10" i="190"/>
  <c r="GF12" i="190" s="1"/>
  <c r="GB10" i="190"/>
  <c r="GB12" i="190" s="1"/>
  <c r="GA10" i="190"/>
  <c r="GA12" i="190" s="1"/>
  <c r="FW10" i="190"/>
  <c r="FV10" i="190"/>
  <c r="FR10" i="190"/>
  <c r="FQ10" i="190"/>
  <c r="FM10" i="190"/>
  <c r="FL10" i="190"/>
  <c r="FL12" i="190" s="1"/>
  <c r="FH10" i="190"/>
  <c r="FG10" i="190"/>
  <c r="FG12" i="190" s="1"/>
  <c r="FC10" i="190"/>
  <c r="FB10" i="190"/>
  <c r="EX10" i="190"/>
  <c r="EW10" i="190"/>
  <c r="EW12" i="190" s="1"/>
  <c r="ES10" i="190"/>
  <c r="ER10" i="190"/>
  <c r="ER12" i="190" s="1"/>
  <c r="EN10" i="190"/>
  <c r="EM10" i="190"/>
  <c r="EM12" i="190" s="1"/>
  <c r="EM63" i="190" s="1"/>
  <c r="EM66" i="190" s="1"/>
  <c r="EI10" i="190"/>
  <c r="EH10" i="190"/>
  <c r="EH12" i="190" s="1"/>
  <c r="ED10" i="190"/>
  <c r="ED12" i="190" s="1"/>
  <c r="EC10" i="190"/>
  <c r="EC12" i="190" s="1"/>
  <c r="DY10" i="190"/>
  <c r="DY12" i="190" s="1"/>
  <c r="DX10" i="190"/>
  <c r="DT10" i="190"/>
  <c r="DS10" i="190"/>
  <c r="DO10" i="190"/>
  <c r="DN10" i="190"/>
  <c r="DN12" i="190" s="1"/>
  <c r="DJ10" i="190"/>
  <c r="DI10" i="190"/>
  <c r="DI12" i="190" s="1"/>
  <c r="DE10" i="190"/>
  <c r="DD10" i="190"/>
  <c r="CZ10" i="190"/>
  <c r="CZ12" i="190" s="1"/>
  <c r="CY10" i="190"/>
  <c r="CY12" i="190" s="1"/>
  <c r="CY63" i="190" s="1"/>
  <c r="CU10" i="190"/>
  <c r="CU12" i="190" s="1"/>
  <c r="CU63" i="190" s="1"/>
  <c r="CT10" i="190"/>
  <c r="CP10" i="190"/>
  <c r="CO10" i="190"/>
  <c r="CO12" i="190" s="1"/>
  <c r="CO63" i="190" s="1"/>
  <c r="CK10" i="190"/>
  <c r="CJ10" i="190"/>
  <c r="CF10" i="190"/>
  <c r="CF12" i="190" s="1"/>
  <c r="CE10" i="190"/>
  <c r="CE12" i="190" s="1"/>
  <c r="BT10" i="190"/>
  <c r="BS10" i="190"/>
  <c r="BO10" i="190"/>
  <c r="BN10" i="190"/>
  <c r="BM10" i="190"/>
  <c r="BQ10" i="190" s="1"/>
  <c r="BR10" i="190" s="1"/>
  <c r="BM9" i="190"/>
  <c r="BQ9" i="190" s="1"/>
  <c r="BR9" i="190" s="1"/>
  <c r="BV9" i="190" s="1"/>
  <c r="BM8" i="190"/>
  <c r="BQ8" i="190" s="1"/>
  <c r="BR8" i="190" s="1"/>
  <c r="BV8" i="190" s="1"/>
  <c r="FC7" i="190"/>
  <c r="FC12" i="190" s="1"/>
  <c r="BQ7" i="190"/>
  <c r="BR7" i="190" s="1"/>
  <c r="BV7" i="190" s="1"/>
  <c r="BM7" i="190"/>
  <c r="BQ6" i="190"/>
  <c r="BM6" i="190"/>
  <c r="GI2" i="190"/>
  <c r="GH2" i="190"/>
  <c r="GG2" i="190"/>
  <c r="GF2" i="190"/>
  <c r="GD2" i="190"/>
  <c r="GC2" i="190"/>
  <c r="GB2" i="190"/>
  <c r="GA2" i="190"/>
  <c r="FY2" i="190"/>
  <c r="FX2" i="190"/>
  <c r="FW2" i="190"/>
  <c r="FV2" i="190"/>
  <c r="FT2" i="190"/>
  <c r="FS2" i="190"/>
  <c r="FR2" i="190"/>
  <c r="FQ2" i="190"/>
  <c r="FO2" i="190"/>
  <c r="FN2" i="190"/>
  <c r="FM2" i="190"/>
  <c r="FL2" i="190"/>
  <c r="FJ2" i="190"/>
  <c r="FI2" i="190"/>
  <c r="FH2" i="190"/>
  <c r="FG2" i="190"/>
  <c r="FE2" i="190"/>
  <c r="FD2" i="190"/>
  <c r="FC2" i="190"/>
  <c r="FB2" i="190"/>
  <c r="EZ2" i="190"/>
  <c r="EY2" i="190"/>
  <c r="EX2" i="190"/>
  <c r="EW2" i="190"/>
  <c r="EU2" i="190"/>
  <c r="ET2" i="190"/>
  <c r="ES2" i="190"/>
  <c r="ER2" i="190"/>
  <c r="EP2" i="190"/>
  <c r="EO2" i="190"/>
  <c r="EN2" i="190"/>
  <c r="EM2" i="190"/>
  <c r="EK2" i="190"/>
  <c r="EJ2" i="190"/>
  <c r="EI2" i="190"/>
  <c r="EH2" i="190"/>
  <c r="EF2" i="190"/>
  <c r="EE2" i="190"/>
  <c r="ED2" i="190"/>
  <c r="EC2" i="190"/>
  <c r="EA2" i="190"/>
  <c r="DZ2" i="190"/>
  <c r="DY2" i="190"/>
  <c r="DX2" i="190"/>
  <c r="DV2" i="190"/>
  <c r="DU2" i="190"/>
  <c r="DT2" i="190"/>
  <c r="DS2" i="190"/>
  <c r="DQ2" i="190"/>
  <c r="DP2" i="190"/>
  <c r="DO2" i="190"/>
  <c r="DN2" i="190"/>
  <c r="DL2" i="190"/>
  <c r="DK2" i="190"/>
  <c r="DJ2" i="190"/>
  <c r="DI2" i="190"/>
  <c r="DG2" i="190"/>
  <c r="DF2" i="190"/>
  <c r="DE2" i="190"/>
  <c r="DD2" i="190"/>
  <c r="DB2" i="190"/>
  <c r="DA2" i="190"/>
  <c r="CZ2" i="190"/>
  <c r="CY2" i="190"/>
  <c r="CW2" i="190"/>
  <c r="CV2" i="190"/>
  <c r="CU2" i="190"/>
  <c r="CT2" i="190"/>
  <c r="CR2" i="190"/>
  <c r="CQ2" i="190"/>
  <c r="CP2" i="190"/>
  <c r="CO2" i="190"/>
  <c r="CM2" i="190"/>
  <c r="CL2" i="190"/>
  <c r="CK2" i="190"/>
  <c r="CJ2" i="190"/>
  <c r="CH2" i="190"/>
  <c r="CG2" i="190"/>
  <c r="CF2" i="190"/>
  <c r="CE2" i="190"/>
  <c r="B78" i="150"/>
  <c r="B76" i="150"/>
  <c r="B75" i="150"/>
  <c r="S10" i="120" s="1"/>
  <c r="S52" i="120" s="1"/>
  <c r="S101" i="120" s="1"/>
  <c r="S157" i="120" s="1"/>
  <c r="B74" i="150"/>
  <c r="S11" i="120" s="1"/>
  <c r="S53" i="120" s="1"/>
  <c r="S102" i="120" s="1"/>
  <c r="S158" i="120" s="1"/>
  <c r="B73" i="150"/>
  <c r="S9" i="120" s="1"/>
  <c r="S51" i="120" s="1"/>
  <c r="S100" i="120" s="1"/>
  <c r="S156" i="120" s="1"/>
  <c r="B69" i="150"/>
  <c r="L9" i="108" s="1"/>
  <c r="B66" i="150"/>
  <c r="B65" i="150"/>
  <c r="B64" i="150"/>
  <c r="B63" i="150"/>
  <c r="B60" i="150"/>
  <c r="B59" i="150"/>
  <c r="B58" i="150"/>
  <c r="B57" i="150"/>
  <c r="B54" i="150"/>
  <c r="B53" i="150"/>
  <c r="B71" i="150" s="1"/>
  <c r="B52" i="150"/>
  <c r="B50" i="150"/>
  <c r="B51" i="150" s="1"/>
  <c r="B49" i="150"/>
  <c r="B45" i="150"/>
  <c r="B46" i="150" s="1"/>
  <c r="B16" i="150"/>
  <c r="B9" i="150"/>
  <c r="K86" i="213"/>
  <c r="K69" i="213"/>
  <c r="K126" i="213"/>
  <c r="K85" i="213"/>
  <c r="K107" i="213"/>
  <c r="K76" i="213"/>
  <c r="K87" i="213"/>
  <c r="K90" i="213"/>
  <c r="K100" i="213"/>
  <c r="K97" i="213"/>
  <c r="K75" i="213"/>
  <c r="K89" i="213"/>
  <c r="K96" i="213"/>
  <c r="K81" i="213"/>
  <c r="K129" i="213"/>
  <c r="K92" i="213"/>
  <c r="K88" i="213"/>
  <c r="K78" i="213"/>
  <c r="K74" i="213"/>
  <c r="K70" i="213"/>
  <c r="K80" i="213"/>
  <c r="K128" i="213"/>
  <c r="K125" i="213"/>
  <c r="K106" i="213"/>
  <c r="K84" i="213"/>
  <c r="K103" i="213"/>
  <c r="K99" i="213"/>
  <c r="K102" i="213"/>
  <c r="K93" i="213"/>
  <c r="K72" i="213"/>
  <c r="K91" i="213"/>
  <c r="K83" i="213"/>
  <c r="K105" i="213"/>
  <c r="K95" i="213"/>
  <c r="K79" i="213"/>
  <c r="K71" i="213"/>
  <c r="K104" i="213"/>
  <c r="K82" i="213"/>
  <c r="K77" i="213"/>
  <c r="K73" i="213"/>
  <c r="K68" i="213"/>
  <c r="K127" i="213"/>
  <c r="K94" i="213"/>
  <c r="G201" i="149" l="1"/>
  <c r="M34" i="69"/>
  <c r="J29" i="108"/>
  <c r="H121" i="73"/>
  <c r="J20" i="108"/>
  <c r="J26" i="109"/>
  <c r="I134" i="73"/>
  <c r="M134" i="73"/>
  <c r="J17" i="109"/>
  <c r="E134" i="73"/>
  <c r="J21" i="108"/>
  <c r="J19" i="109"/>
  <c r="J53" i="109" s="1"/>
  <c r="O121" i="73"/>
  <c r="D21" i="213"/>
  <c r="I21" i="109"/>
  <c r="D22" i="213"/>
  <c r="I20" i="109"/>
  <c r="I54" i="109" s="1"/>
  <c r="D117" i="72"/>
  <c r="L130" i="72"/>
  <c r="N130" i="72"/>
  <c r="G117" i="72"/>
  <c r="J130" i="72"/>
  <c r="K32" i="109"/>
  <c r="G231" i="149"/>
  <c r="G233" i="149" s="1"/>
  <c r="G206" i="149"/>
  <c r="I195" i="149"/>
  <c r="G220" i="149"/>
  <c r="I233" i="149"/>
  <c r="G225" i="149"/>
  <c r="G212" i="149"/>
  <c r="E133" i="149"/>
  <c r="E152" i="149"/>
  <c r="I152" i="149"/>
  <c r="I53" i="149"/>
  <c r="H57" i="49"/>
  <c r="H58" i="49" s="1"/>
  <c r="H59" i="49" s="1"/>
  <c r="H60" i="49" s="1"/>
  <c r="H61" i="49" s="1"/>
  <c r="H62" i="49" s="1"/>
  <c r="H63" i="49" s="1"/>
  <c r="H64" i="49" s="1"/>
  <c r="H65" i="49" s="1"/>
  <c r="H66" i="49" s="1"/>
  <c r="H67" i="49" s="1"/>
  <c r="H68" i="49" s="1"/>
  <c r="H69" i="49" s="1"/>
  <c r="H55" i="49"/>
  <c r="I18" i="49"/>
  <c r="A43" i="49"/>
  <c r="A44" i="49" s="1"/>
  <c r="A45" i="49" s="1"/>
  <c r="A46" i="49" s="1"/>
  <c r="A47" i="49" s="1"/>
  <c r="A48" i="49" s="1"/>
  <c r="A49" i="49" s="1"/>
  <c r="A50" i="49" s="1"/>
  <c r="A51" i="49" s="1"/>
  <c r="A52" i="49" s="1"/>
  <c r="A53" i="49" s="1"/>
  <c r="A54" i="49" s="1"/>
  <c r="A55" i="49" s="1"/>
  <c r="A57" i="49" s="1"/>
  <c r="A58" i="49" s="1"/>
  <c r="A59" i="49" s="1"/>
  <c r="A60" i="49" s="1"/>
  <c r="A61" i="49" s="1"/>
  <c r="A62" i="49" s="1"/>
  <c r="A63" i="49" s="1"/>
  <c r="A64" i="49" s="1"/>
  <c r="A65" i="49" s="1"/>
  <c r="A66" i="49" s="1"/>
  <c r="A67" i="49" s="1"/>
  <c r="A68" i="49" s="1"/>
  <c r="A69" i="49" s="1"/>
  <c r="A71" i="49" s="1"/>
  <c r="A72" i="49" s="1"/>
  <c r="D40" i="167"/>
  <c r="I83" i="47"/>
  <c r="I81" i="47"/>
  <c r="I85" i="47"/>
  <c r="G28" i="141"/>
  <c r="G39" i="141" s="1"/>
  <c r="I28" i="141"/>
  <c r="G23" i="94"/>
  <c r="I23" i="140"/>
  <c r="G26" i="139"/>
  <c r="G45" i="139" s="1"/>
  <c r="I25" i="90"/>
  <c r="I34" i="229"/>
  <c r="K54" i="227"/>
  <c r="K89" i="87"/>
  <c r="A50" i="120"/>
  <c r="P39" i="120"/>
  <c r="Q39" i="120"/>
  <c r="R39" i="120"/>
  <c r="A149" i="120"/>
  <c r="J39" i="120"/>
  <c r="M80" i="120"/>
  <c r="M82" i="120" s="1"/>
  <c r="M116" i="120"/>
  <c r="Q117" i="120"/>
  <c r="Q80" i="120"/>
  <c r="Q82" i="120" s="1"/>
  <c r="Q167" i="120"/>
  <c r="Q116" i="120"/>
  <c r="O39" i="120"/>
  <c r="P116" i="120"/>
  <c r="O167" i="120"/>
  <c r="N80" i="120"/>
  <c r="N82" i="120" s="1"/>
  <c r="L37" i="177"/>
  <c r="K19" i="179" s="1"/>
  <c r="J33" i="176"/>
  <c r="F35" i="176" s="1"/>
  <c r="M25" i="112"/>
  <c r="F29" i="207" s="1"/>
  <c r="F49" i="207" s="1"/>
  <c r="F69" i="207" s="1"/>
  <c r="F104" i="207" s="1"/>
  <c r="F124" i="207" s="1"/>
  <c r="E33" i="110"/>
  <c r="F33" i="110"/>
  <c r="E48" i="109"/>
  <c r="K36" i="110"/>
  <c r="H32" i="108"/>
  <c r="H40" i="108" s="1"/>
  <c r="H43" i="108" s="1"/>
  <c r="F32" i="108"/>
  <c r="F40" i="108" s="1"/>
  <c r="F43" i="108" s="1"/>
  <c r="L40" i="108"/>
  <c r="L43" i="108" s="1"/>
  <c r="I34" i="149"/>
  <c r="F15" i="212"/>
  <c r="F17" i="212" s="1"/>
  <c r="R49" i="78" s="1"/>
  <c r="R51" i="78" s="1"/>
  <c r="I53" i="221"/>
  <c r="T48" i="76"/>
  <c r="J53" i="157"/>
  <c r="L53" i="157"/>
  <c r="G53" i="157"/>
  <c r="G112" i="149"/>
  <c r="G144" i="149"/>
  <c r="E53" i="149"/>
  <c r="I114" i="149"/>
  <c r="G139" i="149"/>
  <c r="G51" i="149"/>
  <c r="E195" i="149"/>
  <c r="G26" i="149"/>
  <c r="I133" i="149"/>
  <c r="G187" i="149"/>
  <c r="G59" i="149"/>
  <c r="E72" i="149"/>
  <c r="E114" i="149"/>
  <c r="I72" i="149"/>
  <c r="G193" i="149"/>
  <c r="E233" i="149"/>
  <c r="G64" i="149"/>
  <c r="G150" i="149"/>
  <c r="G40" i="149"/>
  <c r="G106" i="149"/>
  <c r="G131" i="149"/>
  <c r="G133" i="149" s="1"/>
  <c r="G70" i="149"/>
  <c r="E214" i="149"/>
  <c r="I214" i="149"/>
  <c r="G182" i="149"/>
  <c r="F51" i="153"/>
  <c r="L58" i="153"/>
  <c r="F100" i="153"/>
  <c r="F23" i="153" s="1"/>
  <c r="F32" i="207" s="1"/>
  <c r="F52" i="207" s="1"/>
  <c r="F72" i="207" s="1"/>
  <c r="F107" i="207" s="1"/>
  <c r="F127" i="207" s="1"/>
  <c r="F31" i="153"/>
  <c r="H92" i="153"/>
  <c r="K52" i="153"/>
  <c r="D55" i="153"/>
  <c r="J55" i="153"/>
  <c r="K55" i="153"/>
  <c r="L52" i="153"/>
  <c r="F30" i="153"/>
  <c r="F148" i="153"/>
  <c r="F24" i="153" s="1"/>
  <c r="F33" i="207" s="1"/>
  <c r="F53" i="207" s="1"/>
  <c r="F73" i="207" s="1"/>
  <c r="F108" i="207" s="1"/>
  <c r="F128" i="207" s="1"/>
  <c r="L100" i="153"/>
  <c r="L23" i="153" s="1"/>
  <c r="L148" i="153"/>
  <c r="L24" i="153" s="1"/>
  <c r="K31" i="153"/>
  <c r="K40" i="153"/>
  <c r="D47" i="153"/>
  <c r="J47" i="153"/>
  <c r="F56" i="153"/>
  <c r="D25" i="165"/>
  <c r="R29" i="78"/>
  <c r="R31" i="78" s="1"/>
  <c r="G106" i="195" s="1"/>
  <c r="R94" i="195"/>
  <c r="H12" i="217"/>
  <c r="G47" i="217"/>
  <c r="H47" i="217" s="1"/>
  <c r="J53" i="221"/>
  <c r="K53" i="221"/>
  <c r="X63" i="76"/>
  <c r="X64" i="76" s="1"/>
  <c r="O27" i="157"/>
  <c r="X22" i="76" s="1"/>
  <c r="K53" i="157"/>
  <c r="M53" i="157"/>
  <c r="X128" i="76"/>
  <c r="X129" i="76" s="1"/>
  <c r="X75" i="76"/>
  <c r="X76" i="76" s="1"/>
  <c r="O51" i="157"/>
  <c r="X81" i="76"/>
  <c r="X82" i="76" s="1"/>
  <c r="X16" i="76"/>
  <c r="X17" i="76" s="1"/>
  <c r="C53" i="157"/>
  <c r="X29" i="76"/>
  <c r="X30" i="76" s="1"/>
  <c r="X31" i="76" s="1"/>
  <c r="T55" i="76"/>
  <c r="T61" i="76"/>
  <c r="T67" i="76" s="1"/>
  <c r="T73" i="76" s="1"/>
  <c r="T79" i="76" s="1"/>
  <c r="T99" i="76" s="1"/>
  <c r="T107" i="76" s="1"/>
  <c r="T113" i="76" s="1"/>
  <c r="T120" i="76" s="1"/>
  <c r="T126" i="76" s="1"/>
  <c r="T132" i="76" s="1"/>
  <c r="X134" i="76"/>
  <c r="X135" i="76" s="1"/>
  <c r="T34" i="76"/>
  <c r="X101" i="76"/>
  <c r="X102" i="76" s="1"/>
  <c r="X56" i="76"/>
  <c r="X57" i="76" s="1"/>
  <c r="X69" i="76"/>
  <c r="X70" i="76" s="1"/>
  <c r="T21" i="76"/>
  <c r="F27" i="223"/>
  <c r="A108" i="195"/>
  <c r="M33" i="195"/>
  <c r="M46" i="195" s="1"/>
  <c r="K33" i="195"/>
  <c r="K46" i="195" s="1"/>
  <c r="P33" i="195"/>
  <c r="P46" i="195" s="1"/>
  <c r="N33" i="195"/>
  <c r="N130" i="213"/>
  <c r="L33" i="213"/>
  <c r="L46" i="213" s="1"/>
  <c r="N101" i="213"/>
  <c r="J144" i="213"/>
  <c r="K33" i="213"/>
  <c r="K46" i="213" s="1"/>
  <c r="A57" i="213"/>
  <c r="N98" i="213"/>
  <c r="G27" i="223"/>
  <c r="I27" i="223"/>
  <c r="O21" i="218"/>
  <c r="D27" i="223"/>
  <c r="H12" i="195"/>
  <c r="G61" i="195"/>
  <c r="G119" i="195" s="1"/>
  <c r="O33" i="195"/>
  <c r="O46" i="195" s="1"/>
  <c r="F61" i="195"/>
  <c r="F119" i="195" s="1"/>
  <c r="P20" i="75"/>
  <c r="J33" i="195"/>
  <c r="J46" i="195" s="1"/>
  <c r="G33" i="195"/>
  <c r="G46" i="195" s="1"/>
  <c r="I33" i="195"/>
  <c r="I46" i="195" s="1"/>
  <c r="L33" i="195"/>
  <c r="L46" i="195" s="1"/>
  <c r="Q21" i="219"/>
  <c r="P21" i="75"/>
  <c r="P27" i="75"/>
  <c r="G44" i="213"/>
  <c r="E144" i="213"/>
  <c r="M41" i="69"/>
  <c r="D121" i="73"/>
  <c r="D28" i="195"/>
  <c r="G121" i="73"/>
  <c r="I121" i="73"/>
  <c r="O134" i="73"/>
  <c r="P132" i="73"/>
  <c r="J36" i="108" s="1"/>
  <c r="P119" i="73"/>
  <c r="J41" i="108" s="1"/>
  <c r="E35" i="69"/>
  <c r="I35" i="69" s="1"/>
  <c r="D32" i="154" s="1"/>
  <c r="F32" i="154" s="1"/>
  <c r="G32" i="154" s="1"/>
  <c r="D30" i="70"/>
  <c r="F30" i="70" s="1"/>
  <c r="D29" i="213" s="1"/>
  <c r="D124" i="70"/>
  <c r="F124" i="70" s="1"/>
  <c r="D100" i="213" s="1"/>
  <c r="F117" i="72"/>
  <c r="O130" i="72"/>
  <c r="D129" i="70"/>
  <c r="F129" i="70" s="1"/>
  <c r="D97" i="70"/>
  <c r="F97" i="70" s="1"/>
  <c r="D82" i="213" s="1"/>
  <c r="I130" i="72"/>
  <c r="D98" i="70"/>
  <c r="F98" i="70" s="1"/>
  <c r="D83" i="213" s="1"/>
  <c r="D130" i="70"/>
  <c r="F130" i="70" s="1"/>
  <c r="D103" i="213" s="1"/>
  <c r="D51" i="70"/>
  <c r="D103" i="70"/>
  <c r="F103" i="70" s="1"/>
  <c r="D88" i="213" s="1"/>
  <c r="H88" i="213" s="1"/>
  <c r="N117" i="72"/>
  <c r="D108" i="70"/>
  <c r="F108" i="70" s="1"/>
  <c r="D90" i="213" s="1"/>
  <c r="D138" i="70"/>
  <c r="F138" i="70" s="1"/>
  <c r="D128" i="213" s="1"/>
  <c r="D63" i="70"/>
  <c r="F63" i="70" s="1"/>
  <c r="D40" i="213" s="1"/>
  <c r="D149" i="70"/>
  <c r="F149" i="70" s="1"/>
  <c r="H81" i="120"/>
  <c r="D74" i="70"/>
  <c r="F74" i="70" s="1"/>
  <c r="D75" i="213" s="1"/>
  <c r="D78" i="70"/>
  <c r="F78" i="70" s="1"/>
  <c r="D79" i="213" s="1"/>
  <c r="H79" i="213" s="1"/>
  <c r="E41" i="69"/>
  <c r="E30" i="68" s="1"/>
  <c r="P122" i="72"/>
  <c r="I37" i="108" s="1"/>
  <c r="E34" i="69"/>
  <c r="D123" i="70"/>
  <c r="F123" i="70" s="1"/>
  <c r="D99" i="213" s="1"/>
  <c r="D57" i="71"/>
  <c r="G74" i="120"/>
  <c r="D20" i="195"/>
  <c r="T26" i="75" s="1"/>
  <c r="M35" i="69"/>
  <c r="Q35" i="69" s="1"/>
  <c r="D32" i="155" s="1"/>
  <c r="F32" i="155" s="1"/>
  <c r="G32" i="155" s="1"/>
  <c r="A25" i="70"/>
  <c r="A26" i="70" s="1"/>
  <c r="A27" i="70" s="1"/>
  <c r="A28" i="70" s="1"/>
  <c r="A29" i="70" s="1"/>
  <c r="A30" i="70" s="1"/>
  <c r="A31" i="70" s="1"/>
  <c r="A34" i="70" s="1"/>
  <c r="A36" i="70" s="1"/>
  <c r="A37" i="70" s="1"/>
  <c r="A38" i="70" s="1"/>
  <c r="A39" i="70" s="1"/>
  <c r="A41" i="70" s="1"/>
  <c r="A42" i="70" s="1"/>
  <c r="A43" i="70" s="1"/>
  <c r="A46" i="70" s="1"/>
  <c r="A47" i="70" s="1"/>
  <c r="A48" i="70" s="1"/>
  <c r="A22" i="70"/>
  <c r="A24" i="70" s="1"/>
  <c r="H73" i="120"/>
  <c r="L2605" i="209"/>
  <c r="L2609" i="209" s="1"/>
  <c r="L2620" i="209" s="1"/>
  <c r="J34" i="196"/>
  <c r="J148" i="196" s="1"/>
  <c r="L1579" i="209"/>
  <c r="L1583" i="209" s="1"/>
  <c r="L1594" i="209" s="1"/>
  <c r="L1465" i="209"/>
  <c r="L1469" i="209" s="1"/>
  <c r="J29" i="196" s="1"/>
  <c r="H197" i="171"/>
  <c r="G24" i="171"/>
  <c r="L24" i="171"/>
  <c r="I148" i="171"/>
  <c r="I195" i="171" s="1"/>
  <c r="J148" i="171"/>
  <c r="J195" i="171" s="1"/>
  <c r="I32" i="171"/>
  <c r="I40" i="171"/>
  <c r="H39" i="171"/>
  <c r="H40" i="171" s="1"/>
  <c r="C17" i="206"/>
  <c r="J32" i="171"/>
  <c r="J40" i="171"/>
  <c r="F114" i="171"/>
  <c r="S24" i="171"/>
  <c r="R32" i="171"/>
  <c r="L32" i="171"/>
  <c r="L40" i="171"/>
  <c r="P24" i="171"/>
  <c r="U24" i="171"/>
  <c r="Q24" i="171"/>
  <c r="I24" i="171"/>
  <c r="D32" i="206"/>
  <c r="F32" i="206" s="1"/>
  <c r="T32" i="171"/>
  <c r="T40" i="171"/>
  <c r="U40" i="171"/>
  <c r="W195" i="171"/>
  <c r="V32" i="171"/>
  <c r="F170" i="171"/>
  <c r="W32" i="171"/>
  <c r="D34" i="45" s="1"/>
  <c r="W40" i="171"/>
  <c r="F27" i="171"/>
  <c r="R148" i="171"/>
  <c r="R195" i="171" s="1"/>
  <c r="F189" i="171"/>
  <c r="S42" i="171"/>
  <c r="J24" i="171"/>
  <c r="G148" i="171"/>
  <c r="G195" i="171" s="1"/>
  <c r="F20" i="171"/>
  <c r="M104" i="171"/>
  <c r="F29" i="171"/>
  <c r="V24" i="170"/>
  <c r="W32" i="170"/>
  <c r="F31" i="1" s="1"/>
  <c r="J31" i="1" s="1"/>
  <c r="J32" i="1" s="1"/>
  <c r="H189" i="170"/>
  <c r="H190" i="170" s="1"/>
  <c r="F171" i="170"/>
  <c r="F184" i="170"/>
  <c r="H168" i="170"/>
  <c r="F85" i="170"/>
  <c r="X36" i="170"/>
  <c r="Y36" i="170" s="1"/>
  <c r="F19" i="170"/>
  <c r="F24" i="170" s="1"/>
  <c r="G40" i="170"/>
  <c r="L40" i="170"/>
  <c r="G24" i="170"/>
  <c r="G32" i="170"/>
  <c r="K148" i="170"/>
  <c r="K196" i="170" s="1"/>
  <c r="F109" i="170"/>
  <c r="H114" i="170"/>
  <c r="D24" i="170"/>
  <c r="I40" i="170"/>
  <c r="L148" i="170"/>
  <c r="L196" i="170" s="1"/>
  <c r="I32" i="170"/>
  <c r="I42" i="170" s="1"/>
  <c r="F27" i="170"/>
  <c r="J24" i="170"/>
  <c r="K24" i="170"/>
  <c r="K32" i="170"/>
  <c r="L24" i="170"/>
  <c r="L32" i="170"/>
  <c r="S148" i="170"/>
  <c r="S196" i="170" s="1"/>
  <c r="S24" i="170"/>
  <c r="P32" i="170"/>
  <c r="Q40" i="170"/>
  <c r="V40" i="170"/>
  <c r="F35" i="170"/>
  <c r="P24" i="170"/>
  <c r="R40" i="170"/>
  <c r="U148" i="170"/>
  <c r="U196" i="170" s="1"/>
  <c r="F37" i="170"/>
  <c r="G148" i="170"/>
  <c r="G196" i="170" s="1"/>
  <c r="Q24" i="170"/>
  <c r="R32" i="170"/>
  <c r="S40" i="170"/>
  <c r="V196" i="170"/>
  <c r="J196" i="170"/>
  <c r="R24" i="170"/>
  <c r="W148" i="170"/>
  <c r="T32" i="170"/>
  <c r="U40" i="170"/>
  <c r="I19" i="49"/>
  <c r="K17" i="155"/>
  <c r="H22" i="37"/>
  <c r="N42" i="37"/>
  <c r="J100" i="48"/>
  <c r="J112" i="48" s="1"/>
  <c r="J114" i="48" s="1"/>
  <c r="G95" i="7"/>
  <c r="Q37" i="211"/>
  <c r="ES12" i="190"/>
  <c r="ES63" i="190" s="1"/>
  <c r="ES66" i="190" s="1"/>
  <c r="K4014" i="209"/>
  <c r="CP12" i="190"/>
  <c r="CP63" i="190" s="1"/>
  <c r="BT12" i="190"/>
  <c r="BT63" i="190" s="1"/>
  <c r="BT85" i="190" s="1"/>
  <c r="E2418" i="209"/>
  <c r="E3786" i="209"/>
  <c r="EN12" i="190"/>
  <c r="EN63" i="190" s="1"/>
  <c r="EN66" i="190" s="1"/>
  <c r="DE12" i="190"/>
  <c r="DE63" i="190" s="1"/>
  <c r="E3900" i="209"/>
  <c r="Q56" i="211"/>
  <c r="FH12" i="190"/>
  <c r="E2076" i="209"/>
  <c r="Q26" i="211"/>
  <c r="BV10" i="190"/>
  <c r="DO12" i="190"/>
  <c r="DO63" i="190" s="1"/>
  <c r="FM12" i="190"/>
  <c r="FM63" i="190" s="1"/>
  <c r="FM66" i="190" s="1"/>
  <c r="DS12" i="190"/>
  <c r="DS63" i="190" s="1"/>
  <c r="FQ12" i="190"/>
  <c r="FQ63" i="190" s="1"/>
  <c r="FQ66" i="190" s="1"/>
  <c r="BO12" i="190"/>
  <c r="BO63" i="190" s="1"/>
  <c r="BO85" i="190" s="1"/>
  <c r="DT12" i="190"/>
  <c r="DT63" i="190" s="1"/>
  <c r="FR12" i="190"/>
  <c r="BS12" i="190"/>
  <c r="K3216" i="209"/>
  <c r="FW12" i="190"/>
  <c r="CK12" i="190"/>
  <c r="EI12" i="190"/>
  <c r="GG12" i="190"/>
  <c r="M1189" i="210"/>
  <c r="L1653" i="209"/>
  <c r="F2618" i="209"/>
  <c r="E96" i="196" s="1"/>
  <c r="E733" i="210"/>
  <c r="E1757" i="209" s="1"/>
  <c r="E779" i="210"/>
  <c r="E1871" i="209" s="1"/>
  <c r="M813" i="210"/>
  <c r="E3302" i="209"/>
  <c r="D102" i="196" s="1"/>
  <c r="E591" i="210"/>
  <c r="E1414" i="209" s="1"/>
  <c r="E633" i="210"/>
  <c r="E1525" i="209" s="1"/>
  <c r="M733" i="210"/>
  <c r="M779" i="210"/>
  <c r="E867" i="210"/>
  <c r="E2098" i="209" s="1"/>
  <c r="E901" i="210"/>
  <c r="E2204" i="209" s="1"/>
  <c r="E955" i="210"/>
  <c r="E2323" i="209" s="1"/>
  <c r="E997" i="210"/>
  <c r="E2434" i="209" s="1"/>
  <c r="M1361" i="210"/>
  <c r="M1449" i="210"/>
  <c r="M1461" i="210"/>
  <c r="D47" i="209"/>
  <c r="M23" i="210"/>
  <c r="O30" i="210"/>
  <c r="M43" i="210"/>
  <c r="M115" i="210"/>
  <c r="M391" i="210"/>
  <c r="E641" i="210"/>
  <c r="E1529" i="209" s="1"/>
  <c r="E825" i="210"/>
  <c r="E1985" i="209" s="1"/>
  <c r="M1277" i="210"/>
  <c r="M1587" i="210"/>
  <c r="E2048" i="209"/>
  <c r="D91" i="196" s="1"/>
  <c r="F3074" i="209"/>
  <c r="E100" i="196" s="1"/>
  <c r="G76" i="210"/>
  <c r="M89" i="210"/>
  <c r="E583" i="210"/>
  <c r="E1408" i="209" s="1"/>
  <c r="E1085" i="210"/>
  <c r="E2660" i="209" s="1"/>
  <c r="N855" i="209"/>
  <c r="N895" i="209" s="1"/>
  <c r="N899" i="209" s="1"/>
  <c r="M299" i="210"/>
  <c r="M633" i="210"/>
  <c r="E683" i="210"/>
  <c r="E1642" i="209" s="1"/>
  <c r="M725" i="210"/>
  <c r="M867" i="210"/>
  <c r="M901" i="210"/>
  <c r="N3986" i="209"/>
  <c r="L108" i="196" s="1"/>
  <c r="M38" i="210"/>
  <c r="M39" i="210" s="1"/>
  <c r="M683" i="210"/>
  <c r="E717" i="210"/>
  <c r="E1748" i="209" s="1"/>
  <c r="E771" i="210"/>
  <c r="E1867" i="209" s="1"/>
  <c r="E913" i="210"/>
  <c r="E2212" i="209" s="1"/>
  <c r="E1051" i="210"/>
  <c r="E2554" i="209" s="1"/>
  <c r="N2223" i="209"/>
  <c r="E2504" i="209"/>
  <c r="D95" i="196" s="1"/>
  <c r="M771" i="210"/>
  <c r="M805" i="210"/>
  <c r="M1051" i="210"/>
  <c r="M1223" i="210"/>
  <c r="M575" i="210"/>
  <c r="M897" i="210"/>
  <c r="F1009" i="210"/>
  <c r="F2441" i="209" s="1"/>
  <c r="M2441" i="209" s="1"/>
  <c r="N1706" i="209"/>
  <c r="L88" i="196" s="1"/>
  <c r="N2451" i="209"/>
  <c r="O20" i="210"/>
  <c r="I66" i="210" s="1"/>
  <c r="E675" i="210"/>
  <c r="E1636" i="209" s="1"/>
  <c r="M904" i="210"/>
  <c r="M1043" i="210"/>
  <c r="M1557" i="210"/>
  <c r="O26" i="210"/>
  <c r="E1001" i="210"/>
  <c r="E2437" i="209" s="1"/>
  <c r="M1465" i="210"/>
  <c r="M1503" i="210"/>
  <c r="M1097" i="210"/>
  <c r="K855" i="209"/>
  <c r="E110" i="209"/>
  <c r="D74" i="196" s="1"/>
  <c r="E338" i="209"/>
  <c r="D76" i="196" s="1"/>
  <c r="K1197" i="209"/>
  <c r="K1237" i="209" s="1"/>
  <c r="K1241" i="209" s="1"/>
  <c r="K1252" i="209" s="1"/>
  <c r="G34" i="210"/>
  <c r="M720" i="210"/>
  <c r="M959" i="210"/>
  <c r="M1127" i="210"/>
  <c r="M1173" i="210"/>
  <c r="E629" i="210"/>
  <c r="E1522" i="209" s="1"/>
  <c r="E855" i="210"/>
  <c r="E2090" i="209" s="1"/>
  <c r="M993" i="210"/>
  <c r="N513" i="209"/>
  <c r="N553" i="209" s="1"/>
  <c r="N557" i="209" s="1"/>
  <c r="M1506" i="210"/>
  <c r="O34" i="210"/>
  <c r="E579" i="210"/>
  <c r="E1406" i="209" s="1"/>
  <c r="F917" i="210"/>
  <c r="F2213" i="209" s="1"/>
  <c r="M2213" i="209" s="1"/>
  <c r="M1227" i="210"/>
  <c r="M1285" i="210"/>
  <c r="M1273" i="210"/>
  <c r="M486" i="210"/>
  <c r="M487" i="210" s="1"/>
  <c r="M579" i="210"/>
  <c r="M629" i="210"/>
  <c r="M821" i="210"/>
  <c r="G31" i="210"/>
  <c r="K627" i="209"/>
  <c r="N1592" i="209"/>
  <c r="L87" i="196" s="1"/>
  <c r="M302" i="210"/>
  <c r="M303" i="210" s="1"/>
  <c r="M583" i="210"/>
  <c r="E813" i="210"/>
  <c r="E1978" i="209" s="1"/>
  <c r="M909" i="210"/>
  <c r="E1093" i="210"/>
  <c r="E2665" i="209" s="1"/>
  <c r="M1265" i="210"/>
  <c r="M1323" i="210"/>
  <c r="L2833" i="209"/>
  <c r="L2837" i="209" s="1"/>
  <c r="F18" i="214"/>
  <c r="K38" i="191"/>
  <c r="P35" i="191"/>
  <c r="C78" i="191" s="1"/>
  <c r="P78" i="191" s="1"/>
  <c r="C119" i="191" s="1"/>
  <c r="P119" i="191" s="1"/>
  <c r="H122" i="191"/>
  <c r="L38" i="191"/>
  <c r="P80" i="191"/>
  <c r="C121" i="191" s="1"/>
  <c r="P121" i="191" s="1"/>
  <c r="J38" i="191"/>
  <c r="R113" i="191"/>
  <c r="L122" i="191"/>
  <c r="E81" i="191"/>
  <c r="P77" i="191"/>
  <c r="C118" i="191" s="1"/>
  <c r="P118" i="191" s="1"/>
  <c r="N122" i="191"/>
  <c r="D21" i="191"/>
  <c r="E21" i="191" s="1"/>
  <c r="F21" i="191" s="1"/>
  <c r="G21" i="191" s="1"/>
  <c r="H21" i="191" s="1"/>
  <c r="I21" i="191" s="1"/>
  <c r="J21" i="191" s="1"/>
  <c r="K21" i="191" s="1"/>
  <c r="L21" i="191" s="1"/>
  <c r="G81" i="191"/>
  <c r="N38" i="191"/>
  <c r="G38" i="191"/>
  <c r="I81" i="191"/>
  <c r="P36" i="191"/>
  <c r="C79" i="191" s="1"/>
  <c r="P79" i="191" s="1"/>
  <c r="C120" i="191" s="1"/>
  <c r="P120" i="191" s="1"/>
  <c r="K81" i="191"/>
  <c r="R104" i="191"/>
  <c r="E38" i="191"/>
  <c r="J122" i="191"/>
  <c r="O81" i="191"/>
  <c r="P21" i="191"/>
  <c r="P30" i="191"/>
  <c r="C58" i="191"/>
  <c r="P58" i="191" s="1"/>
  <c r="D122" i="191"/>
  <c r="D38" i="191"/>
  <c r="D39" i="191" s="1"/>
  <c r="H38" i="191"/>
  <c r="O38" i="191"/>
  <c r="AJ104" i="190"/>
  <c r="M1055" i="210"/>
  <c r="BM12" i="190"/>
  <c r="EW63" i="190"/>
  <c r="EW66" i="190" s="1"/>
  <c r="FN63" i="190"/>
  <c r="AB82" i="190"/>
  <c r="W104" i="190"/>
  <c r="AQ104" i="190"/>
  <c r="M641" i="210"/>
  <c r="M1010" i="210"/>
  <c r="CZ63" i="190"/>
  <c r="T63" i="190"/>
  <c r="AN63" i="190"/>
  <c r="BH63" i="190"/>
  <c r="DJ63" i="190"/>
  <c r="FS63" i="190"/>
  <c r="DD63" i="190"/>
  <c r="ER63" i="190"/>
  <c r="ER66" i="190" s="1"/>
  <c r="R104" i="190"/>
  <c r="AL104" i="190"/>
  <c r="F683" i="210"/>
  <c r="F1642" i="209" s="1"/>
  <c r="M1642" i="209" s="1"/>
  <c r="E775" i="210"/>
  <c r="E1870" i="209" s="1"/>
  <c r="E809" i="210"/>
  <c r="E1976" i="209" s="1"/>
  <c r="M918" i="210"/>
  <c r="M917" i="210" s="1"/>
  <c r="F1097" i="210"/>
  <c r="F2668" i="209" s="1"/>
  <c r="M2668" i="209" s="1"/>
  <c r="DK63" i="190"/>
  <c r="J63" i="190"/>
  <c r="AD63" i="190"/>
  <c r="AX63" i="190"/>
  <c r="AF82" i="190"/>
  <c r="E104" i="190"/>
  <c r="Y104" i="190"/>
  <c r="AS104" i="190"/>
  <c r="E1055" i="210"/>
  <c r="E2555" i="209" s="1"/>
  <c r="DN63" i="190"/>
  <c r="T104" i="190"/>
  <c r="AN104" i="190"/>
  <c r="F955" i="210"/>
  <c r="F2323" i="209" s="1"/>
  <c r="M2323" i="209" s="1"/>
  <c r="DI63" i="190"/>
  <c r="FG63" i="190"/>
  <c r="FG66" i="190" s="1"/>
  <c r="W63" i="190"/>
  <c r="AQ63" i="190"/>
  <c r="BK63" i="190"/>
  <c r="BK85" i="190" s="1"/>
  <c r="GC63" i="190"/>
  <c r="BM45" i="190"/>
  <c r="AJ82" i="190"/>
  <c r="BP82" i="190"/>
  <c r="G104" i="190"/>
  <c r="AA104" i="190"/>
  <c r="AU104" i="190"/>
  <c r="F733" i="210"/>
  <c r="F1757" i="209" s="1"/>
  <c r="M1757" i="209" s="1"/>
  <c r="FH63" i="190"/>
  <c r="FH66" i="190" s="1"/>
  <c r="D63" i="190"/>
  <c r="X63" i="190"/>
  <c r="AR63" i="190"/>
  <c r="BL63" i="190"/>
  <c r="DU63" i="190"/>
  <c r="BZ63" i="190"/>
  <c r="BZ85" i="190" s="1"/>
  <c r="FD63" i="190"/>
  <c r="AK82" i="190"/>
  <c r="BS82" i="190"/>
  <c r="V104" i="190"/>
  <c r="AP104" i="190"/>
  <c r="F767" i="210"/>
  <c r="F1864" i="209" s="1"/>
  <c r="M1864" i="209" s="1"/>
  <c r="F809" i="210"/>
  <c r="F1976" i="209" s="1"/>
  <c r="M1976" i="209" s="1"/>
  <c r="E947" i="210"/>
  <c r="E2318" i="209" s="1"/>
  <c r="M1009" i="210"/>
  <c r="E63" i="190"/>
  <c r="Y63" i="190"/>
  <c r="AS63" i="190"/>
  <c r="GH63" i="190"/>
  <c r="N63" i="190"/>
  <c r="AH63" i="190"/>
  <c r="BB63" i="190"/>
  <c r="I104" i="190"/>
  <c r="AC104" i="190"/>
  <c r="AW104" i="190"/>
  <c r="F1055" i="210"/>
  <c r="F2555" i="209" s="1"/>
  <c r="M2555" i="209" s="1"/>
  <c r="M1093" i="210"/>
  <c r="BP63" i="190"/>
  <c r="DZ63" i="190"/>
  <c r="AO82" i="190"/>
  <c r="AO85" i="190" s="1"/>
  <c r="BU82" i="190"/>
  <c r="D104" i="190"/>
  <c r="X104" i="190"/>
  <c r="AR104" i="190"/>
  <c r="G63" i="190"/>
  <c r="AA63" i="190"/>
  <c r="AA85" i="190" s="1"/>
  <c r="AU63" i="190"/>
  <c r="BU85" i="190"/>
  <c r="FL63" i="190"/>
  <c r="FL66" i="190" s="1"/>
  <c r="H82" i="190"/>
  <c r="H85" i="190" s="1"/>
  <c r="AE104" i="190"/>
  <c r="AV85" i="190"/>
  <c r="BX85" i="190"/>
  <c r="EH63" i="190"/>
  <c r="EH66" i="190" s="1"/>
  <c r="CJ63" i="190"/>
  <c r="DP63" i="190"/>
  <c r="K82" i="190"/>
  <c r="AQ82" i="190"/>
  <c r="BY82" i="190"/>
  <c r="F104" i="190"/>
  <c r="Z104" i="190"/>
  <c r="AT104" i="190"/>
  <c r="F81" i="7"/>
  <c r="BS63" i="190"/>
  <c r="BS85" i="190" s="1"/>
  <c r="I63" i="190"/>
  <c r="AC63" i="190"/>
  <c r="AW63" i="190"/>
  <c r="BY63" i="190"/>
  <c r="R63" i="190"/>
  <c r="R85" i="190" s="1"/>
  <c r="AL63" i="190"/>
  <c r="AL85" i="190" s="1"/>
  <c r="BF63" i="190"/>
  <c r="BF85" i="190" s="1"/>
  <c r="L82" i="190"/>
  <c r="M104" i="190"/>
  <c r="AG104" i="190"/>
  <c r="G139" i="207"/>
  <c r="DY63" i="190"/>
  <c r="FW63" i="190"/>
  <c r="FW66" i="190" s="1"/>
  <c r="EO63" i="190"/>
  <c r="M82" i="190"/>
  <c r="AU82" i="190"/>
  <c r="H104" i="190"/>
  <c r="AB104" i="190"/>
  <c r="AV104" i="190"/>
  <c r="F813" i="210"/>
  <c r="F1978" i="209" s="1"/>
  <c r="M1978" i="209" s="1"/>
  <c r="F821" i="210"/>
  <c r="F1984" i="209" s="1"/>
  <c r="M1984" i="209" s="1"/>
  <c r="E679" i="210"/>
  <c r="E1639" i="209" s="1"/>
  <c r="CE63" i="190"/>
  <c r="EC63" i="190"/>
  <c r="EC66" i="190" s="1"/>
  <c r="GA63" i="190"/>
  <c r="GA66" i="190" s="1"/>
  <c r="K85" i="190"/>
  <c r="AY63" i="190"/>
  <c r="CG63" i="190"/>
  <c r="FX63" i="190"/>
  <c r="I73" i="190"/>
  <c r="I82" i="190" s="1"/>
  <c r="I85" i="190" s="1"/>
  <c r="O104" i="190"/>
  <c r="AI104" i="190"/>
  <c r="CF63" i="190"/>
  <c r="GB63" i="190"/>
  <c r="GB66" i="190" s="1"/>
  <c r="AF85" i="190"/>
  <c r="ET63" i="190"/>
  <c r="DX63" i="190"/>
  <c r="J67" i="190"/>
  <c r="N67" i="190" s="1"/>
  <c r="O67" i="190" s="1"/>
  <c r="Q82" i="190"/>
  <c r="AY82" i="190"/>
  <c r="J104" i="190"/>
  <c r="AD104" i="190"/>
  <c r="M825" i="210"/>
  <c r="E951" i="210"/>
  <c r="E2320" i="209" s="1"/>
  <c r="M63" i="190"/>
  <c r="AG63" i="190"/>
  <c r="BA63" i="190"/>
  <c r="V63" i="190"/>
  <c r="V85" i="190" s="1"/>
  <c r="AP63" i="190"/>
  <c r="AP85" i="190" s="1"/>
  <c r="BJ63" i="190"/>
  <c r="BJ85" i="190" s="1"/>
  <c r="CK63" i="190"/>
  <c r="EI63" i="190"/>
  <c r="EI66" i="190" s="1"/>
  <c r="GG63" i="190"/>
  <c r="GG66" i="190" s="1"/>
  <c r="CQ63" i="190"/>
  <c r="EY63" i="190"/>
  <c r="GF63" i="190"/>
  <c r="GF66" i="190" s="1"/>
  <c r="U82" i="190"/>
  <c r="U85" i="190" s="1"/>
  <c r="BA82" i="190"/>
  <c r="L104" i="190"/>
  <c r="AF104" i="190"/>
  <c r="M721" i="210"/>
  <c r="F825" i="210"/>
  <c r="F1985" i="209" s="1"/>
  <c r="M1985" i="209" s="1"/>
  <c r="M955" i="210"/>
  <c r="BD82" i="190"/>
  <c r="S104" i="190"/>
  <c r="AM104" i="190"/>
  <c r="P63" i="190"/>
  <c r="AJ63" i="190"/>
  <c r="AJ85" i="190" s="1"/>
  <c r="BD63" i="190"/>
  <c r="BD85" i="190" s="1"/>
  <c r="BN63" i="190"/>
  <c r="BN85" i="190" s="1"/>
  <c r="CV63" i="190"/>
  <c r="W82" i="190"/>
  <c r="BE82" i="190"/>
  <c r="Q85" i="190"/>
  <c r="AK85" i="190"/>
  <c r="BE85" i="190"/>
  <c r="DA63" i="190"/>
  <c r="FI63" i="190"/>
  <c r="F63" i="190"/>
  <c r="F85" i="190" s="1"/>
  <c r="Z63" i="190"/>
  <c r="Z85" i="190" s="1"/>
  <c r="AT63" i="190"/>
  <c r="AT85" i="190" s="1"/>
  <c r="EJ63" i="190"/>
  <c r="U104" i="190"/>
  <c r="AO104" i="190"/>
  <c r="M595" i="210"/>
  <c r="E817" i="210"/>
  <c r="E1981" i="209" s="1"/>
  <c r="F1043" i="210"/>
  <c r="F2548" i="209" s="1"/>
  <c r="M2548" i="209" s="1"/>
  <c r="D125" i="209"/>
  <c r="M252" i="209"/>
  <c r="M338" i="209"/>
  <c r="K76" i="196" s="1"/>
  <c r="K3672" i="209"/>
  <c r="L439" i="209"/>
  <c r="L443" i="209" s="1"/>
  <c r="K1311" i="209"/>
  <c r="K1351" i="209" s="1"/>
  <c r="K1355" i="209" s="1"/>
  <c r="I28" i="196" s="1"/>
  <c r="E2390" i="209"/>
  <c r="D94" i="196" s="1"/>
  <c r="E2874" i="209"/>
  <c r="J2882" i="209"/>
  <c r="J2996" i="209" s="1"/>
  <c r="J3110" i="209" s="1"/>
  <c r="J3224" i="209" s="1"/>
  <c r="J3338" i="209" s="1"/>
  <c r="J3452" i="209" s="1"/>
  <c r="J3566" i="209" s="1"/>
  <c r="J3680" i="209" s="1"/>
  <c r="J3794" i="209" s="1"/>
  <c r="J3908" i="209" s="1"/>
  <c r="J4022" i="209" s="1"/>
  <c r="A139" i="210"/>
  <c r="J1030" i="210"/>
  <c r="O283" i="209"/>
  <c r="I397" i="209" s="1"/>
  <c r="O397" i="209" s="1"/>
  <c r="I511" i="209" s="1"/>
  <c r="O511" i="209" s="1"/>
  <c r="I625" i="209" s="1"/>
  <c r="O625" i="209" s="1"/>
  <c r="I739" i="209" s="1"/>
  <c r="O739" i="209" s="1"/>
  <c r="I853" i="209" s="1"/>
  <c r="O853" i="209" s="1"/>
  <c r="I967" i="209" s="1"/>
  <c r="O967" i="209" s="1"/>
  <c r="K3558" i="209"/>
  <c r="A185" i="210"/>
  <c r="G47" i="209"/>
  <c r="D161" i="209" s="1"/>
  <c r="G161" i="209" s="1"/>
  <c r="D275" i="209" s="1"/>
  <c r="G275" i="209" s="1"/>
  <c r="D389" i="209" s="1"/>
  <c r="G389" i="209" s="1"/>
  <c r="D503" i="209" s="1"/>
  <c r="G503" i="209" s="1"/>
  <c r="D617" i="209" s="1"/>
  <c r="G617" i="209" s="1"/>
  <c r="D731" i="209" s="1"/>
  <c r="G731" i="209" s="1"/>
  <c r="D845" i="209" s="1"/>
  <c r="G845" i="209" s="1"/>
  <c r="D959" i="209" s="1"/>
  <c r="N969" i="209"/>
  <c r="K1962" i="209"/>
  <c r="N2337" i="209"/>
  <c r="E2646" i="209"/>
  <c r="E3416" i="209"/>
  <c r="D103" i="196" s="1"/>
  <c r="A186" i="210"/>
  <c r="F16" i="214"/>
  <c r="O362" i="209"/>
  <c r="I476" i="209" s="1"/>
  <c r="O476" i="209" s="1"/>
  <c r="I590" i="209" s="1"/>
  <c r="O590" i="209" s="1"/>
  <c r="I704" i="209" s="1"/>
  <c r="O704" i="209" s="1"/>
  <c r="I818" i="209" s="1"/>
  <c r="O818" i="209" s="1"/>
  <c r="I932" i="209" s="1"/>
  <c r="O484" i="209"/>
  <c r="I598" i="209" s="1"/>
  <c r="O598" i="209" s="1"/>
  <c r="I712" i="209" s="1"/>
  <c r="O712" i="209" s="1"/>
  <c r="I826" i="209" s="1"/>
  <c r="O826" i="209" s="1"/>
  <c r="I940" i="209" s="1"/>
  <c r="O940" i="209" s="1"/>
  <c r="I1054" i="209" s="1"/>
  <c r="O1054" i="209" s="1"/>
  <c r="O265" i="209"/>
  <c r="I379" i="209" s="1"/>
  <c r="O379" i="209" s="1"/>
  <c r="I493" i="209" s="1"/>
  <c r="O493" i="209" s="1"/>
  <c r="I607" i="209" s="1"/>
  <c r="O607" i="209" s="1"/>
  <c r="I721" i="209" s="1"/>
  <c r="O721" i="209" s="1"/>
  <c r="I835" i="209" s="1"/>
  <c r="O835" i="209" s="1"/>
  <c r="I949" i="209" s="1"/>
  <c r="O949" i="209" s="1"/>
  <c r="E36" i="42" s="1"/>
  <c r="O156" i="209"/>
  <c r="I270" i="209" s="1"/>
  <c r="O270" i="209" s="1"/>
  <c r="I384" i="209" s="1"/>
  <c r="O384" i="209" s="1"/>
  <c r="I498" i="209" s="1"/>
  <c r="O498" i="209" s="1"/>
  <c r="I612" i="209" s="1"/>
  <c r="O612" i="209" s="1"/>
  <c r="I726" i="209" s="1"/>
  <c r="O726" i="209" s="1"/>
  <c r="I840" i="209" s="1"/>
  <c r="O840" i="209" s="1"/>
  <c r="I954" i="209" s="1"/>
  <c r="O954" i="209" s="1"/>
  <c r="I1068" i="209" s="1"/>
  <c r="O1068" i="209" s="1"/>
  <c r="G792" i="209"/>
  <c r="D906" i="209" s="1"/>
  <c r="G906" i="209" s="1"/>
  <c r="D1020" i="209" s="1"/>
  <c r="D101" i="7" s="1"/>
  <c r="E513" i="209"/>
  <c r="G38" i="209"/>
  <c r="D152" i="209" s="1"/>
  <c r="G152" i="209" s="1"/>
  <c r="D266" i="209" s="1"/>
  <c r="G266" i="209" s="1"/>
  <c r="D380" i="209" s="1"/>
  <c r="G380" i="209" s="1"/>
  <c r="D494" i="209" s="1"/>
  <c r="G494" i="209" s="1"/>
  <c r="D608" i="209" s="1"/>
  <c r="G608" i="209" s="1"/>
  <c r="D722" i="209" s="1"/>
  <c r="G722" i="209" s="1"/>
  <c r="D836" i="209" s="1"/>
  <c r="G836" i="209" s="1"/>
  <c r="D950" i="209" s="1"/>
  <c r="G43" i="209"/>
  <c r="D157" i="209" s="1"/>
  <c r="G157" i="209" s="1"/>
  <c r="D271" i="209" s="1"/>
  <c r="G271" i="209" s="1"/>
  <c r="D385" i="209" s="1"/>
  <c r="G385" i="209" s="1"/>
  <c r="D499" i="209" s="1"/>
  <c r="G499" i="209" s="1"/>
  <c r="D613" i="209" s="1"/>
  <c r="G613" i="209" s="1"/>
  <c r="D727" i="209" s="1"/>
  <c r="G727" i="209" s="1"/>
  <c r="D841" i="209" s="1"/>
  <c r="G841" i="209" s="1"/>
  <c r="D955" i="209" s="1"/>
  <c r="O543" i="209"/>
  <c r="I657" i="209" s="1"/>
  <c r="O657" i="209" s="1"/>
  <c r="I771" i="209" s="1"/>
  <c r="O771" i="209" s="1"/>
  <c r="I885" i="209" s="1"/>
  <c r="O885" i="209" s="1"/>
  <c r="I999" i="209" s="1"/>
  <c r="O999" i="209" s="1"/>
  <c r="K1392" i="209"/>
  <c r="K1465" i="209" s="1"/>
  <c r="K1469" i="209" s="1"/>
  <c r="I29" i="196" s="1"/>
  <c r="E41" i="7"/>
  <c r="L2149" i="209"/>
  <c r="L2153" i="209" s="1"/>
  <c r="L2164" i="209" s="1"/>
  <c r="L2491" i="209"/>
  <c r="L2495" i="209" s="1"/>
  <c r="L2506" i="209" s="1"/>
  <c r="N3416" i="209"/>
  <c r="L103" i="196" s="1"/>
  <c r="A278" i="210"/>
  <c r="A323" i="210"/>
  <c r="A370" i="210"/>
  <c r="A461" i="210"/>
  <c r="A553" i="210"/>
  <c r="O143" i="209"/>
  <c r="I257" i="209" s="1"/>
  <c r="O257" i="209" s="1"/>
  <c r="I371" i="209" s="1"/>
  <c r="O371" i="209" s="1"/>
  <c r="I485" i="209" s="1"/>
  <c r="O485" i="209" s="1"/>
  <c r="I599" i="209" s="1"/>
  <c r="O599" i="209" s="1"/>
  <c r="I713" i="209" s="1"/>
  <c r="A61" i="209"/>
  <c r="L1009" i="209"/>
  <c r="L1013" i="209" s="1"/>
  <c r="J25" i="196" s="1"/>
  <c r="F1506" i="209"/>
  <c r="F2760" i="209"/>
  <c r="F3786" i="209"/>
  <c r="A415" i="210"/>
  <c r="A462" i="210"/>
  <c r="A507" i="210"/>
  <c r="O363" i="209"/>
  <c r="I477" i="209" s="1"/>
  <c r="O477" i="209" s="1"/>
  <c r="I591" i="209" s="1"/>
  <c r="O591" i="209" s="1"/>
  <c r="I705" i="209" s="1"/>
  <c r="O705" i="209" s="1"/>
  <c r="I819" i="209" s="1"/>
  <c r="O819" i="209" s="1"/>
  <c r="I933" i="209" s="1"/>
  <c r="O933" i="209" s="1"/>
  <c r="E19" i="42" s="1"/>
  <c r="O193" i="209"/>
  <c r="I307" i="209" s="1"/>
  <c r="O307" i="209" s="1"/>
  <c r="I421" i="209" s="1"/>
  <c r="O421" i="209" s="1"/>
  <c r="I535" i="209" s="1"/>
  <c r="O535" i="209" s="1"/>
  <c r="I649" i="209" s="1"/>
  <c r="O649" i="209" s="1"/>
  <c r="I763" i="209" s="1"/>
  <c r="O763" i="209" s="1"/>
  <c r="I877" i="209" s="1"/>
  <c r="O877" i="209" s="1"/>
  <c r="I991" i="209" s="1"/>
  <c r="O991" i="209" s="1"/>
  <c r="E75" i="42" s="1"/>
  <c r="O316" i="209"/>
  <c r="I430" i="209" s="1"/>
  <c r="E452" i="209"/>
  <c r="D77" i="196" s="1"/>
  <c r="K680" i="209"/>
  <c r="I79" i="196" s="1"/>
  <c r="L781" i="209"/>
  <c r="L785" i="209" s="1"/>
  <c r="E1478" i="209"/>
  <c r="D86" i="196" s="1"/>
  <c r="K3330" i="209"/>
  <c r="A630" i="209"/>
  <c r="N680" i="209"/>
  <c r="L79" i="196" s="1"/>
  <c r="E1506" i="209"/>
  <c r="E1592" i="209"/>
  <c r="D87" i="196" s="1"/>
  <c r="F2793" i="209"/>
  <c r="E100" i="130"/>
  <c r="A922" i="210"/>
  <c r="A1243" i="210"/>
  <c r="A66" i="209"/>
  <c r="O422" i="209"/>
  <c r="I536" i="209" s="1"/>
  <c r="O545" i="209"/>
  <c r="I659" i="209" s="1"/>
  <c r="O659" i="209" s="1"/>
  <c r="I773" i="209" s="1"/>
  <c r="O773" i="209" s="1"/>
  <c r="I887" i="209" s="1"/>
  <c r="O887" i="209" s="1"/>
  <c r="I1001" i="209" s="1"/>
  <c r="O1001" i="209" s="1"/>
  <c r="I1115" i="209" s="1"/>
  <c r="O1115" i="209" s="1"/>
  <c r="M138" i="209"/>
  <c r="K224" i="209"/>
  <c r="I75" i="196" s="1"/>
  <c r="A864" i="209"/>
  <c r="K1734" i="209"/>
  <c r="M2418" i="209"/>
  <c r="M2774" i="209"/>
  <c r="F3477" i="209"/>
  <c r="F3558" i="209"/>
  <c r="M3784" i="209"/>
  <c r="M3786" i="209" s="1"/>
  <c r="A48" i="210"/>
  <c r="A1014" i="210"/>
  <c r="O181" i="209"/>
  <c r="L325" i="209"/>
  <c r="L329" i="209" s="1"/>
  <c r="J19" i="196" s="1"/>
  <c r="F855" i="209"/>
  <c r="N1083" i="209"/>
  <c r="N1123" i="209" s="1"/>
  <c r="N1127" i="209" s="1"/>
  <c r="N1478" i="209"/>
  <c r="L86" i="196" s="1"/>
  <c r="F1934" i="209"/>
  <c r="E90" i="196" s="1"/>
  <c r="E2618" i="209"/>
  <c r="D96" i="196" s="1"/>
  <c r="E3530" i="209"/>
  <c r="D104" i="196" s="1"/>
  <c r="A1198" i="210"/>
  <c r="O145" i="209"/>
  <c r="I259" i="209" s="1"/>
  <c r="O259" i="209" s="1"/>
  <c r="I373" i="209" s="1"/>
  <c r="O373" i="209" s="1"/>
  <c r="I487" i="209" s="1"/>
  <c r="O487" i="209" s="1"/>
  <c r="I601" i="209" s="1"/>
  <c r="O601" i="209" s="1"/>
  <c r="I715" i="209" s="1"/>
  <c r="O715" i="209" s="1"/>
  <c r="I829" i="209" s="1"/>
  <c r="O829" i="209" s="1"/>
  <c r="I943" i="209" s="1"/>
  <c r="O943" i="209" s="1"/>
  <c r="E30" i="42" s="1"/>
  <c r="O392" i="209"/>
  <c r="I506" i="209" s="1"/>
  <c r="O506" i="209" s="1"/>
  <c r="I620" i="209" s="1"/>
  <c r="O620" i="209" s="1"/>
  <c r="I734" i="209" s="1"/>
  <c r="O734" i="209" s="1"/>
  <c r="I848" i="209" s="1"/>
  <c r="O848" i="209" s="1"/>
  <c r="I962" i="209" s="1"/>
  <c r="O962" i="209" s="1"/>
  <c r="I1076" i="209" s="1"/>
  <c r="O1076" i="209" s="1"/>
  <c r="O204" i="209"/>
  <c r="I318" i="209" s="1"/>
  <c r="O318" i="209" s="1"/>
  <c r="I432" i="209" s="1"/>
  <c r="O432" i="209" s="1"/>
  <c r="I546" i="209" s="1"/>
  <c r="O546" i="209" s="1"/>
  <c r="I660" i="209" s="1"/>
  <c r="O660" i="209" s="1"/>
  <c r="I774" i="209" s="1"/>
  <c r="O774" i="209" s="1"/>
  <c r="I888" i="209" s="1"/>
  <c r="O888" i="209" s="1"/>
  <c r="I1002" i="209" s="1"/>
  <c r="O1002" i="209" s="1"/>
  <c r="K2418" i="209"/>
  <c r="F3249" i="209"/>
  <c r="M3283" i="209"/>
  <c r="M3530" i="209"/>
  <c r="K104" i="196" s="1"/>
  <c r="A1427" i="210"/>
  <c r="F19" i="214"/>
  <c r="M366" i="209"/>
  <c r="E627" i="209"/>
  <c r="E667" i="209" s="1"/>
  <c r="E671" i="209" s="1"/>
  <c r="D22" i="196" s="1"/>
  <c r="F1620" i="209"/>
  <c r="K2532" i="209"/>
  <c r="E2960" i="209"/>
  <c r="D99" i="196" s="1"/>
  <c r="O146" i="209"/>
  <c r="I260" i="209" s="1"/>
  <c r="O260" i="209" s="1"/>
  <c r="I374" i="209" s="1"/>
  <c r="O374" i="209" s="1"/>
  <c r="I488" i="209" s="1"/>
  <c r="O488" i="209" s="1"/>
  <c r="I602" i="209" s="1"/>
  <c r="O602" i="209" s="1"/>
  <c r="I716" i="209" s="1"/>
  <c r="O716" i="209" s="1"/>
  <c r="I830" i="209" s="1"/>
  <c r="O830" i="209" s="1"/>
  <c r="I944" i="209" s="1"/>
  <c r="O944" i="209" s="1"/>
  <c r="E31" i="42" s="1"/>
  <c r="E1197" i="209"/>
  <c r="L1351" i="209"/>
  <c r="L1355" i="209" s="1"/>
  <c r="L1366" i="209" s="1"/>
  <c r="M1364" i="209"/>
  <c r="K85" i="196" s="1"/>
  <c r="F23" i="7"/>
  <c r="L1693" i="209"/>
  <c r="L1697" i="209" s="1"/>
  <c r="L1708" i="209" s="1"/>
  <c r="F1848" i="209"/>
  <c r="N1934" i="209"/>
  <c r="L90" i="196" s="1"/>
  <c r="K3444" i="209"/>
  <c r="M151" i="170"/>
  <c r="G40" i="209"/>
  <c r="D154" i="209" s="1"/>
  <c r="G154" i="209" s="1"/>
  <c r="D268" i="209" s="1"/>
  <c r="G268" i="209" s="1"/>
  <c r="D382" i="209" s="1"/>
  <c r="G382" i="209" s="1"/>
  <c r="D496" i="209" s="1"/>
  <c r="G496" i="209" s="1"/>
  <c r="D610" i="209" s="1"/>
  <c r="G610" i="209" s="1"/>
  <c r="D724" i="209" s="1"/>
  <c r="G724" i="209" s="1"/>
  <c r="D838" i="209" s="1"/>
  <c r="G838" i="209" s="1"/>
  <c r="D952" i="209" s="1"/>
  <c r="D40" i="7" s="1"/>
  <c r="E794" i="209"/>
  <c r="D80" i="196" s="1"/>
  <c r="K1022" i="209"/>
  <c r="I82" i="196" s="1"/>
  <c r="N1693" i="209"/>
  <c r="N1697" i="209" s="1"/>
  <c r="L31" i="196" s="1"/>
  <c r="L145" i="196" s="1"/>
  <c r="N2504" i="209"/>
  <c r="L95" i="196" s="1"/>
  <c r="A968" i="210"/>
  <c r="F25" i="214"/>
  <c r="K399" i="209"/>
  <c r="N1197" i="209"/>
  <c r="E48" i="7"/>
  <c r="N1881" i="209"/>
  <c r="N3188" i="209"/>
  <c r="L101" i="196" s="1"/>
  <c r="A599" i="210"/>
  <c r="J708" i="210"/>
  <c r="O148" i="209"/>
  <c r="I262" i="209" s="1"/>
  <c r="O262" i="209" s="1"/>
  <c r="I376" i="209" s="1"/>
  <c r="O376" i="209" s="1"/>
  <c r="I490" i="209" s="1"/>
  <c r="O490" i="209" s="1"/>
  <c r="I604" i="209" s="1"/>
  <c r="O604" i="209" s="1"/>
  <c r="I718" i="209" s="1"/>
  <c r="O718" i="209" s="1"/>
  <c r="I832" i="209" s="1"/>
  <c r="O832" i="209" s="1"/>
  <c r="I946" i="209" s="1"/>
  <c r="O946" i="209" s="1"/>
  <c r="E33" i="42" s="1"/>
  <c r="O167" i="209"/>
  <c r="I281" i="209" s="1"/>
  <c r="E566" i="209"/>
  <c r="N794" i="209"/>
  <c r="L80" i="196" s="1"/>
  <c r="A1428" i="209"/>
  <c r="N2732" i="209"/>
  <c r="L97" i="196" s="1"/>
  <c r="E3672" i="209"/>
  <c r="A113" i="213"/>
  <c r="L97" i="209"/>
  <c r="L101" i="209" s="1"/>
  <c r="J17" i="196" s="1"/>
  <c r="J131" i="196" s="1"/>
  <c r="L211" i="209"/>
  <c r="L215" i="209" s="1"/>
  <c r="L226" i="209" s="1"/>
  <c r="A289" i="209"/>
  <c r="M1820" i="209"/>
  <c r="K89" i="196" s="1"/>
  <c r="A93" i="210"/>
  <c r="O282" i="209"/>
  <c r="I396" i="209" s="1"/>
  <c r="O396" i="209" s="1"/>
  <c r="I510" i="209" s="1"/>
  <c r="O510" i="209" s="1"/>
  <c r="I624" i="209" s="1"/>
  <c r="O624" i="209" s="1"/>
  <c r="I738" i="209" s="1"/>
  <c r="O738" i="209" s="1"/>
  <c r="I852" i="209" s="1"/>
  <c r="O852" i="209" s="1"/>
  <c r="I966" i="209" s="1"/>
  <c r="O966" i="209" s="1"/>
  <c r="A516" i="209"/>
  <c r="M889" i="209"/>
  <c r="F2190" i="209"/>
  <c r="E3705" i="209"/>
  <c r="E3933" i="209"/>
  <c r="E3973" i="209" s="1"/>
  <c r="E3977" i="209" s="1"/>
  <c r="A94" i="210"/>
  <c r="A99" i="120"/>
  <c r="L454" i="209"/>
  <c r="J20" i="196"/>
  <c r="F2833" i="209"/>
  <c r="F2837" i="209" s="1"/>
  <c r="E41" i="196" s="1"/>
  <c r="L2848" i="209"/>
  <c r="J41" i="196"/>
  <c r="J155" i="196" s="1"/>
  <c r="O109" i="209"/>
  <c r="I223" i="209" s="1"/>
  <c r="O223" i="209" s="1"/>
  <c r="I337" i="209" s="1"/>
  <c r="O337" i="209" s="1"/>
  <c r="I451" i="209" s="1"/>
  <c r="O451" i="209" s="1"/>
  <c r="I565" i="209" s="1"/>
  <c r="O565" i="209" s="1"/>
  <c r="I679" i="209" s="1"/>
  <c r="O679" i="209" s="1"/>
  <c r="I793" i="209" s="1"/>
  <c r="O793" i="209" s="1"/>
  <c r="I907" i="209" s="1"/>
  <c r="O907" i="209" s="1"/>
  <c r="I1021" i="209" s="1"/>
  <c r="O1021" i="209" s="1"/>
  <c r="E104" i="42" s="1"/>
  <c r="M319" i="209"/>
  <c r="N452" i="209"/>
  <c r="L77" i="196" s="1"/>
  <c r="N566" i="209"/>
  <c r="L78" i="196" s="1"/>
  <c r="A572" i="209"/>
  <c r="N741" i="209"/>
  <c r="L1123" i="209"/>
  <c r="L1127" i="209" s="1"/>
  <c r="E52" i="7"/>
  <c r="F82" i="7"/>
  <c r="L1881" i="209"/>
  <c r="M1929" i="209"/>
  <c r="N2390" i="209"/>
  <c r="L94" i="196" s="1"/>
  <c r="M3556" i="209"/>
  <c r="M3558" i="209" s="1"/>
  <c r="J710" i="210"/>
  <c r="O394" i="209"/>
  <c r="I508" i="209" s="1"/>
  <c r="O508" i="209" s="1"/>
  <c r="I622" i="209" s="1"/>
  <c r="O622" i="209" s="1"/>
  <c r="I736" i="209" s="1"/>
  <c r="O736" i="209" s="1"/>
  <c r="I850" i="209" s="1"/>
  <c r="O850" i="209" s="1"/>
  <c r="I964" i="209" s="1"/>
  <c r="O964" i="209" s="1"/>
  <c r="O213" i="209"/>
  <c r="I327" i="209" s="1"/>
  <c r="O327" i="209" s="1"/>
  <c r="I441" i="209" s="1"/>
  <c r="O441" i="209" s="1"/>
  <c r="I555" i="209" s="1"/>
  <c r="O555" i="209" s="1"/>
  <c r="I669" i="209" s="1"/>
  <c r="O669" i="209" s="1"/>
  <c r="I783" i="209" s="1"/>
  <c r="O783" i="209" s="1"/>
  <c r="I897" i="209" s="1"/>
  <c r="O897" i="209" s="1"/>
  <c r="I1011" i="209" s="1"/>
  <c r="O1011" i="209" s="1"/>
  <c r="L553" i="209"/>
  <c r="L557" i="209" s="1"/>
  <c r="L667" i="209"/>
  <c r="L671" i="209" s="1"/>
  <c r="A688" i="209"/>
  <c r="A802" i="209"/>
  <c r="E31" i="7"/>
  <c r="E1881" i="209"/>
  <c r="E1921" i="209" s="1"/>
  <c r="E1925" i="209" s="1"/>
  <c r="E1915" i="209"/>
  <c r="E3363" i="209"/>
  <c r="E3558" i="209"/>
  <c r="E3591" i="209"/>
  <c r="J802" i="210"/>
  <c r="E22" i="214"/>
  <c r="O247" i="209"/>
  <c r="I361" i="209" s="1"/>
  <c r="O361" i="209" s="1"/>
  <c r="I475" i="209" s="1"/>
  <c r="O475" i="209" s="1"/>
  <c r="I589" i="209" s="1"/>
  <c r="O589" i="209" s="1"/>
  <c r="I703" i="209" s="1"/>
  <c r="O703" i="209" s="1"/>
  <c r="I817" i="209" s="1"/>
  <c r="O817" i="209" s="1"/>
  <c r="I931" i="209" s="1"/>
  <c r="O931" i="209" s="1"/>
  <c r="E171" i="209"/>
  <c r="K794" i="209"/>
  <c r="I80" i="196" s="1"/>
  <c r="K908" i="209"/>
  <c r="I81" i="196" s="1"/>
  <c r="N1009" i="209"/>
  <c r="N1013" i="209" s="1"/>
  <c r="L25" i="196" s="1"/>
  <c r="M1117" i="209"/>
  <c r="F83" i="7"/>
  <c r="K1820" i="209"/>
  <c r="I89" i="196" s="1"/>
  <c r="M2048" i="209"/>
  <c r="K91" i="196" s="1"/>
  <c r="F2162" i="209"/>
  <c r="E92" i="196" s="1"/>
  <c r="M3672" i="209"/>
  <c r="J139" i="196"/>
  <c r="E285" i="209"/>
  <c r="K452" i="209"/>
  <c r="I77" i="196" s="1"/>
  <c r="M1278" i="209"/>
  <c r="K2504" i="209"/>
  <c r="I95" i="196" s="1"/>
  <c r="J2958" i="209"/>
  <c r="J3072" i="209" s="1"/>
  <c r="J3186" i="209" s="1"/>
  <c r="J3300" i="209" s="1"/>
  <c r="J3414" i="209" s="1"/>
  <c r="J3528" i="209" s="1"/>
  <c r="J3642" i="209" s="1"/>
  <c r="J3756" i="209" s="1"/>
  <c r="J3870" i="209" s="1"/>
  <c r="J3984" i="209" s="1"/>
  <c r="J4098" i="209" s="1"/>
  <c r="M3739" i="209"/>
  <c r="E3986" i="209"/>
  <c r="D108" i="196" s="1"/>
  <c r="J680" i="210"/>
  <c r="J894" i="210"/>
  <c r="O932" i="209"/>
  <c r="O155" i="209"/>
  <c r="I269" i="209" s="1"/>
  <c r="O269" i="209" s="1"/>
  <c r="I383" i="209" s="1"/>
  <c r="O383" i="209" s="1"/>
  <c r="I497" i="209" s="1"/>
  <c r="O497" i="209" s="1"/>
  <c r="I611" i="209" s="1"/>
  <c r="O611" i="209" s="1"/>
  <c r="I725" i="209" s="1"/>
  <c r="O725" i="209" s="1"/>
  <c r="I839" i="209" s="1"/>
  <c r="O839" i="209" s="1"/>
  <c r="I953" i="209" s="1"/>
  <c r="O953" i="209" s="1"/>
  <c r="E40" i="42" s="1"/>
  <c r="O196" i="209"/>
  <c r="I310" i="209" s="1"/>
  <c r="O310" i="209" s="1"/>
  <c r="I424" i="209" s="1"/>
  <c r="O424" i="209" s="1"/>
  <c r="I538" i="209" s="1"/>
  <c r="O538" i="209" s="1"/>
  <c r="I652" i="209" s="1"/>
  <c r="O652" i="209" s="1"/>
  <c r="I766" i="209" s="1"/>
  <c r="O766" i="209" s="1"/>
  <c r="I880" i="209" s="1"/>
  <c r="O880" i="209" s="1"/>
  <c r="I994" i="209" s="1"/>
  <c r="O994" i="209" s="1"/>
  <c r="M171" i="209"/>
  <c r="K171" i="209"/>
  <c r="F224" i="209"/>
  <c r="E75" i="196" s="1"/>
  <c r="A229" i="209"/>
  <c r="F285" i="209"/>
  <c r="M1164" i="209"/>
  <c r="K1364" i="209"/>
  <c r="I85" i="196" s="1"/>
  <c r="E1687" i="209"/>
  <c r="K2076" i="209"/>
  <c r="K2732" i="209"/>
  <c r="I97" i="196" s="1"/>
  <c r="D20" i="214"/>
  <c r="F20" i="214" s="1"/>
  <c r="E3135" i="209"/>
  <c r="E3175" i="209" s="1"/>
  <c r="E3179" i="209" s="1"/>
  <c r="D44" i="196" s="1"/>
  <c r="N3591" i="209"/>
  <c r="N3631" i="209" s="1"/>
  <c r="N3635" i="209" s="1"/>
  <c r="J986" i="210"/>
  <c r="K110" i="209"/>
  <c r="I74" i="196" s="1"/>
  <c r="N171" i="209"/>
  <c r="M433" i="209"/>
  <c r="M1003" i="209"/>
  <c r="E1311" i="209"/>
  <c r="N1995" i="209"/>
  <c r="E2029" i="209"/>
  <c r="N2048" i="209"/>
  <c r="L91" i="196" s="1"/>
  <c r="F2874" i="209"/>
  <c r="M3055" i="209"/>
  <c r="K3102" i="209"/>
  <c r="A116" i="196"/>
  <c r="O713" i="209"/>
  <c r="I827" i="209" s="1"/>
  <c r="O827" i="209" s="1"/>
  <c r="I941" i="209" s="1"/>
  <c r="O941" i="209" s="1"/>
  <c r="E28" i="42" s="1"/>
  <c r="N110" i="209"/>
  <c r="L74" i="196" s="1"/>
  <c r="G223" i="209"/>
  <c r="D337" i="209" s="1"/>
  <c r="G337" i="209" s="1"/>
  <c r="D451" i="209" s="1"/>
  <c r="G451" i="209" s="1"/>
  <c r="D565" i="209" s="1"/>
  <c r="G565" i="209" s="1"/>
  <c r="D679" i="209" s="1"/>
  <c r="G679" i="209" s="1"/>
  <c r="D793" i="209" s="1"/>
  <c r="G793" i="209" s="1"/>
  <c r="D907" i="209" s="1"/>
  <c r="G907" i="209" s="1"/>
  <c r="D1021" i="209" s="1"/>
  <c r="F325" i="209"/>
  <c r="F329" i="209" s="1"/>
  <c r="M266" i="209"/>
  <c r="M285" i="209" s="1"/>
  <c r="M325" i="209" s="1"/>
  <c r="M329" i="209" s="1"/>
  <c r="F1311" i="209"/>
  <c r="F1351" i="209" s="1"/>
  <c r="F1355" i="209" s="1"/>
  <c r="E28" i="196" s="1"/>
  <c r="E44" i="7"/>
  <c r="F2029" i="209"/>
  <c r="A2113" i="209"/>
  <c r="M3230" i="209"/>
  <c r="M4047" i="209"/>
  <c r="J856" i="210"/>
  <c r="A63" i="196"/>
  <c r="A118" i="196"/>
  <c r="E57" i="209"/>
  <c r="E97" i="209" s="1"/>
  <c r="E101" i="209" s="1"/>
  <c r="K285" i="209"/>
  <c r="K325" i="209" s="1"/>
  <c r="K329" i="209" s="1"/>
  <c r="M775" i="209"/>
  <c r="F969" i="209"/>
  <c r="E101" i="7"/>
  <c r="M1292" i="209"/>
  <c r="E56" i="7"/>
  <c r="M1504" i="209"/>
  <c r="M1620" i="209"/>
  <c r="E1934" i="209"/>
  <c r="D90" i="196" s="1"/>
  <c r="A1942" i="209"/>
  <c r="D34" i="214"/>
  <c r="F34" i="214" s="1"/>
  <c r="E102" i="130"/>
  <c r="K2874" i="209"/>
  <c r="N3872" i="209"/>
  <c r="L107" i="196" s="1"/>
  <c r="O136" i="209"/>
  <c r="I250" i="209" s="1"/>
  <c r="O250" i="209" s="1"/>
  <c r="I364" i="209" s="1"/>
  <c r="O364" i="209" s="1"/>
  <c r="I478" i="209" s="1"/>
  <c r="O478" i="209" s="1"/>
  <c r="I592" i="209" s="1"/>
  <c r="O592" i="209" s="1"/>
  <c r="I706" i="209" s="1"/>
  <c r="O706" i="209" s="1"/>
  <c r="I820" i="209" s="1"/>
  <c r="O820" i="209" s="1"/>
  <c r="I934" i="209" s="1"/>
  <c r="O934" i="209" s="1"/>
  <c r="F57" i="209"/>
  <c r="F97" i="209" s="1"/>
  <c r="F101" i="209" s="1"/>
  <c r="E17" i="196" s="1"/>
  <c r="G91" i="209"/>
  <c r="O198" i="209"/>
  <c r="I312" i="209" s="1"/>
  <c r="O312" i="209" s="1"/>
  <c r="I426" i="209" s="1"/>
  <c r="O426" i="209" s="1"/>
  <c r="I540" i="209" s="1"/>
  <c r="O540" i="209" s="1"/>
  <c r="I654" i="209" s="1"/>
  <c r="O654" i="209" s="1"/>
  <c r="I768" i="209" s="1"/>
  <c r="O768" i="209" s="1"/>
  <c r="I882" i="209" s="1"/>
  <c r="O882" i="209" s="1"/>
  <c r="I996" i="209" s="1"/>
  <c r="O996" i="209" s="1"/>
  <c r="I1110" i="209" s="1"/>
  <c r="O1110" i="209" s="1"/>
  <c r="O106" i="209"/>
  <c r="I220" i="209" s="1"/>
  <c r="N285" i="209"/>
  <c r="A291" i="209"/>
  <c r="E741" i="209"/>
  <c r="K969" i="209"/>
  <c r="K1009" i="209" s="1"/>
  <c r="K1013" i="209" s="1"/>
  <c r="G992" i="209"/>
  <c r="F1083" i="209"/>
  <c r="F1123" i="209" s="1"/>
  <c r="F1127" i="209" s="1"/>
  <c r="E1136" i="209"/>
  <c r="D83" i="196" s="1"/>
  <c r="K1250" i="209"/>
  <c r="I84" i="196" s="1"/>
  <c r="E35" i="7"/>
  <c r="E1962" i="209"/>
  <c r="K2048" i="209"/>
  <c r="I91" i="196" s="1"/>
  <c r="F2646" i="209"/>
  <c r="E2907" i="209"/>
  <c r="N3074" i="209"/>
  <c r="L100" i="196" s="1"/>
  <c r="E3249" i="209"/>
  <c r="E3477" i="209"/>
  <c r="E3517" i="209" s="1"/>
  <c r="E3521" i="209" s="1"/>
  <c r="J35" i="196"/>
  <c r="I57" i="209"/>
  <c r="I97" i="209" s="1"/>
  <c r="I101" i="209" s="1"/>
  <c r="H17" i="196" s="1"/>
  <c r="D208" i="209"/>
  <c r="G208" i="209" s="1"/>
  <c r="F399" i="209"/>
  <c r="M936" i="209"/>
  <c r="M1050" i="209"/>
  <c r="M1391" i="209"/>
  <c r="M1392" i="209" s="1"/>
  <c r="N1767" i="209"/>
  <c r="N1807" i="209" s="1"/>
  <c r="N1811" i="209" s="1"/>
  <c r="L32" i="196" s="1"/>
  <c r="M2759" i="209"/>
  <c r="N3135" i="209"/>
  <c r="N3175" i="209" s="1"/>
  <c r="N3179" i="209" s="1"/>
  <c r="E3745" i="209"/>
  <c r="E3749" i="209" s="1"/>
  <c r="N3819" i="209"/>
  <c r="N3859" i="209" s="1"/>
  <c r="N3863" i="209" s="1"/>
  <c r="N122" i="196"/>
  <c r="O276" i="209"/>
  <c r="I390" i="209" s="1"/>
  <c r="O390" i="209" s="1"/>
  <c r="I504" i="209" s="1"/>
  <c r="O504" i="209" s="1"/>
  <c r="I618" i="209" s="1"/>
  <c r="O618" i="209" s="1"/>
  <c r="I732" i="209" s="1"/>
  <c r="O732" i="209" s="1"/>
  <c r="I846" i="209" s="1"/>
  <c r="O846" i="209" s="1"/>
  <c r="I960" i="209" s="1"/>
  <c r="O960" i="209" s="1"/>
  <c r="E47" i="42" s="1"/>
  <c r="O512" i="209"/>
  <c r="I626" i="209" s="1"/>
  <c r="O626" i="209" s="1"/>
  <c r="I740" i="209" s="1"/>
  <c r="O740" i="209" s="1"/>
  <c r="I854" i="209" s="1"/>
  <c r="O854" i="209" s="1"/>
  <c r="I968" i="209" s="1"/>
  <c r="O968" i="209" s="1"/>
  <c r="E55" i="42" s="1"/>
  <c r="M480" i="209"/>
  <c r="K513" i="209"/>
  <c r="L1480" i="209"/>
  <c r="K1506" i="209"/>
  <c r="K1579" i="209" s="1"/>
  <c r="K1583" i="209" s="1"/>
  <c r="E1706" i="209"/>
  <c r="D88" i="196" s="1"/>
  <c r="F1801" i="209"/>
  <c r="K1848" i="209"/>
  <c r="K1934" i="209"/>
  <c r="I90" i="196" s="1"/>
  <c r="N2565" i="209"/>
  <c r="E2793" i="209"/>
  <c r="E47" i="130"/>
  <c r="N2846" i="209"/>
  <c r="L98" i="196" s="1"/>
  <c r="K3786" i="209"/>
  <c r="N3933" i="209"/>
  <c r="M4100" i="209"/>
  <c r="K109" i="196" s="1"/>
  <c r="J948" i="210"/>
  <c r="O365" i="209"/>
  <c r="I479" i="209" s="1"/>
  <c r="O479" i="209" s="1"/>
  <c r="I593" i="209" s="1"/>
  <c r="O593" i="209" s="1"/>
  <c r="I707" i="209" s="1"/>
  <c r="O707" i="209" s="1"/>
  <c r="I821" i="209" s="1"/>
  <c r="O821" i="209" s="1"/>
  <c r="I935" i="209" s="1"/>
  <c r="O935" i="209" s="1"/>
  <c r="O199" i="209"/>
  <c r="I313" i="209" s="1"/>
  <c r="O313" i="209" s="1"/>
  <c r="I427" i="209" s="1"/>
  <c r="O427" i="209" s="1"/>
  <c r="I541" i="209" s="1"/>
  <c r="O541" i="209" s="1"/>
  <c r="I655" i="209" s="1"/>
  <c r="O655" i="209" s="1"/>
  <c r="I769" i="209" s="1"/>
  <c r="O769" i="209" s="1"/>
  <c r="I883" i="209" s="1"/>
  <c r="O883" i="209" s="1"/>
  <c r="I997" i="209" s="1"/>
  <c r="O997" i="209" s="1"/>
  <c r="I1111" i="209" s="1"/>
  <c r="O1111" i="209" s="1"/>
  <c r="A174" i="209"/>
  <c r="K338" i="209"/>
  <c r="I76" i="196" s="1"/>
  <c r="M594" i="209"/>
  <c r="M708" i="209"/>
  <c r="M822" i="209"/>
  <c r="L895" i="209"/>
  <c r="L899" i="209" s="1"/>
  <c r="A972" i="209"/>
  <c r="N1136" i="209"/>
  <c r="L83" i="196" s="1"/>
  <c r="A1142" i="209"/>
  <c r="N1465" i="209"/>
  <c r="N1469" i="209" s="1"/>
  <c r="F78" i="7"/>
  <c r="M1592" i="209"/>
  <c r="K87" i="196" s="1"/>
  <c r="A1714" i="209"/>
  <c r="F2304" i="209"/>
  <c r="F2485" i="209"/>
  <c r="N2907" i="209"/>
  <c r="N2947" i="209" s="1"/>
  <c r="N2951" i="209" s="1"/>
  <c r="E2988" i="209"/>
  <c r="J756" i="210"/>
  <c r="J1078" i="210"/>
  <c r="G78" i="47"/>
  <c r="G88" i="47" s="1"/>
  <c r="E46" i="7"/>
  <c r="K1706" i="209"/>
  <c r="I88" i="196" s="1"/>
  <c r="E1820" i="209"/>
  <c r="D89" i="196" s="1"/>
  <c r="N2276" i="209"/>
  <c r="L93" i="196" s="1"/>
  <c r="F2599" i="209"/>
  <c r="N2960" i="209"/>
  <c r="L99" i="196" s="1"/>
  <c r="J940" i="210"/>
  <c r="O428" i="209"/>
  <c r="I542" i="209" s="1"/>
  <c r="O542" i="209" s="1"/>
  <c r="I656" i="209" s="1"/>
  <c r="O656" i="209" s="1"/>
  <c r="I770" i="209" s="1"/>
  <c r="O770" i="209" s="1"/>
  <c r="I884" i="209" s="1"/>
  <c r="O884" i="209" s="1"/>
  <c r="I998" i="209" s="1"/>
  <c r="O998" i="209" s="1"/>
  <c r="I1112" i="209" s="1"/>
  <c r="O1112" i="209" s="1"/>
  <c r="A116" i="209"/>
  <c r="A405" i="209"/>
  <c r="F627" i="209"/>
  <c r="F667" i="209" s="1"/>
  <c r="F671" i="209" s="1"/>
  <c r="E22" i="196" s="1"/>
  <c r="E855" i="209"/>
  <c r="E969" i="209"/>
  <c r="E1009" i="209" s="1"/>
  <c r="E1013" i="209" s="1"/>
  <c r="D25" i="196" s="1"/>
  <c r="E1083" i="209"/>
  <c r="L1237" i="209"/>
  <c r="L1241" i="209" s="1"/>
  <c r="N1579" i="209"/>
  <c r="N1583" i="209" s="1"/>
  <c r="E1734" i="209"/>
  <c r="E1801" i="209"/>
  <c r="M1848" i="209"/>
  <c r="K2646" i="209"/>
  <c r="N2793" i="209"/>
  <c r="N2833" i="209" s="1"/>
  <c r="N2837" i="209" s="1"/>
  <c r="M2941" i="209"/>
  <c r="F3530" i="209"/>
  <c r="E104" i="196" s="1"/>
  <c r="E4014" i="209"/>
  <c r="I82" i="47"/>
  <c r="O153" i="209"/>
  <c r="I267" i="209" s="1"/>
  <c r="O267" i="209" s="1"/>
  <c r="I381" i="209" s="1"/>
  <c r="O381" i="209" s="1"/>
  <c r="I495" i="209" s="1"/>
  <c r="O495" i="209" s="1"/>
  <c r="I609" i="209" s="1"/>
  <c r="O609" i="209" s="1"/>
  <c r="I723" i="209" s="1"/>
  <c r="O723" i="209" s="1"/>
  <c r="I837" i="209" s="1"/>
  <c r="O837" i="209" s="1"/>
  <c r="I951" i="209" s="1"/>
  <c r="O951" i="209" s="1"/>
  <c r="A63" i="209"/>
  <c r="F439" i="209"/>
  <c r="F443" i="209" s="1"/>
  <c r="E908" i="209"/>
  <c r="D81" i="196" s="1"/>
  <c r="A978" i="209"/>
  <c r="N1237" i="209"/>
  <c r="N1241" i="209" s="1"/>
  <c r="F1734" i="209"/>
  <c r="E2162" i="209"/>
  <c r="D92" i="196" s="1"/>
  <c r="L2263" i="209"/>
  <c r="L2267" i="209" s="1"/>
  <c r="L2377" i="209"/>
  <c r="L2381" i="209" s="1"/>
  <c r="E2485" i="209"/>
  <c r="D17" i="214"/>
  <c r="F17" i="214" s="1"/>
  <c r="N3302" i="209"/>
  <c r="L102" i="196" s="1"/>
  <c r="J758" i="210"/>
  <c r="G95" i="130"/>
  <c r="G105" i="130" s="1"/>
  <c r="M2162" i="209"/>
  <c r="K92" i="196" s="1"/>
  <c r="N2263" i="209"/>
  <c r="N2267" i="209" s="1"/>
  <c r="E2732" i="209"/>
  <c r="D97" i="196" s="1"/>
  <c r="E3074" i="209"/>
  <c r="D100" i="196" s="1"/>
  <c r="F3986" i="209"/>
  <c r="E108" i="196" s="1"/>
  <c r="N4100" i="209"/>
  <c r="L109" i="196" s="1"/>
  <c r="J143" i="196"/>
  <c r="O615" i="209"/>
  <c r="I729" i="209" s="1"/>
  <c r="O729" i="209" s="1"/>
  <c r="I843" i="209" s="1"/>
  <c r="O843" i="209" s="1"/>
  <c r="I957" i="209" s="1"/>
  <c r="O957" i="209" s="1"/>
  <c r="I1071" i="209" s="1"/>
  <c r="O1071" i="209" s="1"/>
  <c r="O149" i="209"/>
  <c r="I263" i="209" s="1"/>
  <c r="O263" i="209" s="1"/>
  <c r="I377" i="209" s="1"/>
  <c r="O377" i="209" s="1"/>
  <c r="I491" i="209" s="1"/>
  <c r="O491" i="209" s="1"/>
  <c r="I605" i="209" s="1"/>
  <c r="O605" i="209" s="1"/>
  <c r="I719" i="209" s="1"/>
  <c r="O719" i="209" s="1"/>
  <c r="I833" i="209" s="1"/>
  <c r="O833" i="209" s="1"/>
  <c r="I947" i="209" s="1"/>
  <c r="O947" i="209" s="1"/>
  <c r="I1061" i="209" s="1"/>
  <c r="O1061" i="209" s="1"/>
  <c r="F566" i="209"/>
  <c r="E78" i="196" s="1"/>
  <c r="N627" i="209"/>
  <c r="N667" i="209" s="1"/>
  <c r="N671" i="209" s="1"/>
  <c r="E1123" i="209"/>
  <c r="E1127" i="209" s="1"/>
  <c r="F3363" i="209"/>
  <c r="N3644" i="209"/>
  <c r="L105" i="196" s="1"/>
  <c r="M3981" i="209"/>
  <c r="J942" i="210"/>
  <c r="F26" i="214"/>
  <c r="E553" i="209"/>
  <c r="E557" i="209" s="1"/>
  <c r="D21" i="196" s="1"/>
  <c r="K566" i="209"/>
  <c r="I78" i="196" s="1"/>
  <c r="M2257" i="209"/>
  <c r="M2276" i="209"/>
  <c r="K93" i="196" s="1"/>
  <c r="M3074" i="209"/>
  <c r="K100" i="196" s="1"/>
  <c r="E3758" i="209"/>
  <c r="D106" i="196" s="1"/>
  <c r="J1040" i="210"/>
  <c r="J30" i="196"/>
  <c r="J144" i="196" s="1"/>
  <c r="J39" i="196"/>
  <c r="J153" i="196" s="1"/>
  <c r="O536" i="209"/>
  <c r="I650" i="209" s="1"/>
  <c r="O650" i="209" s="1"/>
  <c r="I764" i="209" s="1"/>
  <c r="O764" i="209" s="1"/>
  <c r="I878" i="209" s="1"/>
  <c r="O878" i="209" s="1"/>
  <c r="I992" i="209" s="1"/>
  <c r="O992" i="209" s="1"/>
  <c r="E76" i="42" s="1"/>
  <c r="O430" i="209"/>
  <c r="I544" i="209" s="1"/>
  <c r="O544" i="209" s="1"/>
  <c r="I658" i="209" s="1"/>
  <c r="N211" i="209"/>
  <c r="N215" i="209" s="1"/>
  <c r="L18" i="196" s="1"/>
  <c r="A522" i="209"/>
  <c r="M561" i="209"/>
  <c r="E680" i="209"/>
  <c r="D79" i="196" s="1"/>
  <c r="A686" i="209"/>
  <c r="K741" i="209"/>
  <c r="K781" i="209" s="1"/>
  <c r="K785" i="209" s="1"/>
  <c r="F895" i="209"/>
  <c r="F899" i="209" s="1"/>
  <c r="N908" i="209"/>
  <c r="L81" i="196" s="1"/>
  <c r="N1250" i="209"/>
  <c r="L84" i="196" s="1"/>
  <c r="N1708" i="209"/>
  <c r="A1773" i="209"/>
  <c r="K2190" i="209"/>
  <c r="K2988" i="209"/>
  <c r="M3102" i="209"/>
  <c r="F3188" i="209"/>
  <c r="E101" i="196" s="1"/>
  <c r="N3363" i="209"/>
  <c r="N3403" i="209" s="1"/>
  <c r="N3407" i="209" s="1"/>
  <c r="J810" i="210"/>
  <c r="M129" i="213"/>
  <c r="M90" i="213"/>
  <c r="M75" i="213"/>
  <c r="M87" i="213"/>
  <c r="M76" i="213"/>
  <c r="N76" i="213" s="1"/>
  <c r="M85" i="213"/>
  <c r="N85" i="213" s="1"/>
  <c r="M127" i="213"/>
  <c r="P127" i="213" s="1"/>
  <c r="M82" i="213"/>
  <c r="N82" i="213" s="1"/>
  <c r="M104" i="213"/>
  <c r="N104" i="213" s="1"/>
  <c r="M71" i="213"/>
  <c r="M79" i="213"/>
  <c r="M95" i="213"/>
  <c r="M105" i="213"/>
  <c r="N105" i="213" s="1"/>
  <c r="M72" i="213"/>
  <c r="M93" i="213"/>
  <c r="M84" i="213"/>
  <c r="M92" i="213"/>
  <c r="M70" i="213"/>
  <c r="M74" i="213"/>
  <c r="M78" i="213"/>
  <c r="M81" i="213"/>
  <c r="M89" i="213"/>
  <c r="M97" i="213"/>
  <c r="M103" i="213"/>
  <c r="N103" i="213" s="1"/>
  <c r="M107" i="213"/>
  <c r="N107" i="213" s="1"/>
  <c r="M126" i="213"/>
  <c r="N126" i="213" s="1"/>
  <c r="M69" i="213"/>
  <c r="N69" i="213" s="1"/>
  <c r="M86" i="213"/>
  <c r="N86" i="213" s="1"/>
  <c r="M94" i="213"/>
  <c r="M68" i="213"/>
  <c r="K23" i="69" s="1"/>
  <c r="K133" i="213"/>
  <c r="K144" i="213" s="1"/>
  <c r="K146" i="213" s="1"/>
  <c r="M73" i="213"/>
  <c r="M77" i="213"/>
  <c r="M83" i="213"/>
  <c r="M91" i="213"/>
  <c r="M102" i="213"/>
  <c r="N102" i="213" s="1"/>
  <c r="M106" i="213"/>
  <c r="N106" i="213" s="1"/>
  <c r="M125" i="213"/>
  <c r="M128" i="213"/>
  <c r="M80" i="213"/>
  <c r="M88" i="213"/>
  <c r="M96" i="213"/>
  <c r="M99" i="213"/>
  <c r="M100" i="213"/>
  <c r="L9" i="109"/>
  <c r="L9" i="110"/>
  <c r="BW41" i="190"/>
  <c r="CA41" i="190" s="1"/>
  <c r="CD41" i="190"/>
  <c r="CH41" i="190" s="1"/>
  <c r="CI41" i="190" s="1"/>
  <c r="CM41" i="190" s="1"/>
  <c r="CN41" i="190" s="1"/>
  <c r="CR41" i="190" s="1"/>
  <c r="CS41" i="190" s="1"/>
  <c r="CW41" i="190" s="1"/>
  <c r="CX41" i="190" s="1"/>
  <c r="DB41" i="190" s="1"/>
  <c r="DC41" i="190" s="1"/>
  <c r="DG41" i="190" s="1"/>
  <c r="DH41" i="190" s="1"/>
  <c r="DL41" i="190" s="1"/>
  <c r="DM41" i="190" s="1"/>
  <c r="DQ41" i="190" s="1"/>
  <c r="DR41" i="190" s="1"/>
  <c r="DV41" i="190" s="1"/>
  <c r="DW41" i="190" s="1"/>
  <c r="EA41" i="190" s="1"/>
  <c r="EB41" i="190" s="1"/>
  <c r="EF41" i="190" s="1"/>
  <c r="EG41" i="190" s="1"/>
  <c r="EK41" i="190" s="1"/>
  <c r="EL41" i="190" s="1"/>
  <c r="EP41" i="190" s="1"/>
  <c r="EQ41" i="190" s="1"/>
  <c r="EU41" i="190" s="1"/>
  <c r="EV41" i="190" s="1"/>
  <c r="EZ41" i="190" s="1"/>
  <c r="FA41" i="190" s="1"/>
  <c r="FE41" i="190" s="1"/>
  <c r="FF41" i="190" s="1"/>
  <c r="FJ41" i="190" s="1"/>
  <c r="FK41" i="190" s="1"/>
  <c r="FO41" i="190" s="1"/>
  <c r="FP41" i="190" s="1"/>
  <c r="FT41" i="190" s="1"/>
  <c r="FU41" i="190" s="1"/>
  <c r="FY41" i="190" s="1"/>
  <c r="FZ41" i="190" s="1"/>
  <c r="GD41" i="190" s="1"/>
  <c r="GE41" i="190" s="1"/>
  <c r="GI41" i="190" s="1"/>
  <c r="BW49" i="190"/>
  <c r="CA49" i="190" s="1"/>
  <c r="CD49" i="190"/>
  <c r="CH49" i="190" s="1"/>
  <c r="CI49" i="190" s="1"/>
  <c r="CM49" i="190" s="1"/>
  <c r="CN49" i="190" s="1"/>
  <c r="CR49" i="190" s="1"/>
  <c r="CS49" i="190" s="1"/>
  <c r="CW49" i="190" s="1"/>
  <c r="CX49" i="190" s="1"/>
  <c r="DB49" i="190" s="1"/>
  <c r="DC49" i="190" s="1"/>
  <c r="DG49" i="190" s="1"/>
  <c r="DH49" i="190" s="1"/>
  <c r="DL49" i="190" s="1"/>
  <c r="DM49" i="190" s="1"/>
  <c r="DQ49" i="190" s="1"/>
  <c r="DR49" i="190" s="1"/>
  <c r="DV49" i="190" s="1"/>
  <c r="DW49" i="190" s="1"/>
  <c r="EA49" i="190" s="1"/>
  <c r="EB49" i="190" s="1"/>
  <c r="EF49" i="190" s="1"/>
  <c r="EG49" i="190" s="1"/>
  <c r="EK49" i="190" s="1"/>
  <c r="EL49" i="190" s="1"/>
  <c r="EP49" i="190" s="1"/>
  <c r="EQ49" i="190" s="1"/>
  <c r="EU49" i="190" s="1"/>
  <c r="EV49" i="190" s="1"/>
  <c r="EZ49" i="190" s="1"/>
  <c r="FA49" i="190" s="1"/>
  <c r="FE49" i="190" s="1"/>
  <c r="FF49" i="190" s="1"/>
  <c r="FJ49" i="190" s="1"/>
  <c r="FK49" i="190" s="1"/>
  <c r="FO49" i="190" s="1"/>
  <c r="FP49" i="190" s="1"/>
  <c r="FT49" i="190" s="1"/>
  <c r="FU49" i="190" s="1"/>
  <c r="FY49" i="190" s="1"/>
  <c r="FZ49" i="190" s="1"/>
  <c r="GD49" i="190" s="1"/>
  <c r="GE49" i="190" s="1"/>
  <c r="GI49" i="190" s="1"/>
  <c r="CD16" i="190"/>
  <c r="CH16" i="190" s="1"/>
  <c r="CI16" i="190" s="1"/>
  <c r="CM16" i="190" s="1"/>
  <c r="CN16" i="190" s="1"/>
  <c r="CR16" i="190" s="1"/>
  <c r="CS16" i="190" s="1"/>
  <c r="CW16" i="190" s="1"/>
  <c r="CX16" i="190" s="1"/>
  <c r="DB16" i="190" s="1"/>
  <c r="DC16" i="190" s="1"/>
  <c r="DG16" i="190" s="1"/>
  <c r="DH16" i="190" s="1"/>
  <c r="DL16" i="190" s="1"/>
  <c r="DM16" i="190" s="1"/>
  <c r="DQ16" i="190" s="1"/>
  <c r="DR16" i="190" s="1"/>
  <c r="DV16" i="190" s="1"/>
  <c r="DW16" i="190" s="1"/>
  <c r="EA16" i="190" s="1"/>
  <c r="EB16" i="190" s="1"/>
  <c r="EF16" i="190" s="1"/>
  <c r="EG16" i="190" s="1"/>
  <c r="EK16" i="190" s="1"/>
  <c r="EL16" i="190" s="1"/>
  <c r="EP16" i="190" s="1"/>
  <c r="EQ16" i="190" s="1"/>
  <c r="EU16" i="190" s="1"/>
  <c r="EV16" i="190" s="1"/>
  <c r="EZ16" i="190" s="1"/>
  <c r="FA16" i="190" s="1"/>
  <c r="FE16" i="190" s="1"/>
  <c r="FF16" i="190" s="1"/>
  <c r="FJ16" i="190" s="1"/>
  <c r="FK16" i="190" s="1"/>
  <c r="FO16" i="190" s="1"/>
  <c r="FP16" i="190" s="1"/>
  <c r="FT16" i="190" s="1"/>
  <c r="FU16" i="190" s="1"/>
  <c r="FY16" i="190" s="1"/>
  <c r="FZ16" i="190" s="1"/>
  <c r="GD16" i="190" s="1"/>
  <c r="GE16" i="190" s="1"/>
  <c r="GI16" i="190" s="1"/>
  <c r="BW16" i="190"/>
  <c r="CA16" i="190" s="1"/>
  <c r="CD28" i="190"/>
  <c r="CH28" i="190" s="1"/>
  <c r="CI28" i="190" s="1"/>
  <c r="CM28" i="190" s="1"/>
  <c r="CN28" i="190" s="1"/>
  <c r="CR28" i="190" s="1"/>
  <c r="CS28" i="190" s="1"/>
  <c r="CW28" i="190" s="1"/>
  <c r="CX28" i="190" s="1"/>
  <c r="DB28" i="190" s="1"/>
  <c r="DC28" i="190" s="1"/>
  <c r="DG28" i="190" s="1"/>
  <c r="DH28" i="190" s="1"/>
  <c r="DL28" i="190" s="1"/>
  <c r="DM28" i="190" s="1"/>
  <c r="DQ28" i="190" s="1"/>
  <c r="DR28" i="190" s="1"/>
  <c r="DV28" i="190" s="1"/>
  <c r="DW28" i="190" s="1"/>
  <c r="EA28" i="190" s="1"/>
  <c r="EB28" i="190" s="1"/>
  <c r="EF28" i="190" s="1"/>
  <c r="EG28" i="190" s="1"/>
  <c r="EK28" i="190" s="1"/>
  <c r="EL28" i="190" s="1"/>
  <c r="EP28" i="190" s="1"/>
  <c r="EQ28" i="190" s="1"/>
  <c r="EU28" i="190" s="1"/>
  <c r="EV28" i="190" s="1"/>
  <c r="EZ28" i="190" s="1"/>
  <c r="FA28" i="190" s="1"/>
  <c r="FE28" i="190" s="1"/>
  <c r="FF28" i="190" s="1"/>
  <c r="FJ28" i="190" s="1"/>
  <c r="FK28" i="190" s="1"/>
  <c r="FO28" i="190" s="1"/>
  <c r="FP28" i="190" s="1"/>
  <c r="FT28" i="190" s="1"/>
  <c r="FU28" i="190" s="1"/>
  <c r="FY28" i="190" s="1"/>
  <c r="FZ28" i="190" s="1"/>
  <c r="GD28" i="190" s="1"/>
  <c r="GE28" i="190" s="1"/>
  <c r="GI28" i="190" s="1"/>
  <c r="BW28" i="190"/>
  <c r="CA28" i="190" s="1"/>
  <c r="CD36" i="190"/>
  <c r="CH36" i="190" s="1"/>
  <c r="CI36" i="190" s="1"/>
  <c r="CM36" i="190" s="1"/>
  <c r="CN36" i="190" s="1"/>
  <c r="CR36" i="190" s="1"/>
  <c r="CS36" i="190" s="1"/>
  <c r="CW36" i="190" s="1"/>
  <c r="CX36" i="190" s="1"/>
  <c r="DB36" i="190" s="1"/>
  <c r="DC36" i="190" s="1"/>
  <c r="DG36" i="190" s="1"/>
  <c r="DH36" i="190" s="1"/>
  <c r="DL36" i="190" s="1"/>
  <c r="DM36" i="190" s="1"/>
  <c r="DQ36" i="190" s="1"/>
  <c r="DR36" i="190" s="1"/>
  <c r="DV36" i="190" s="1"/>
  <c r="DW36" i="190" s="1"/>
  <c r="EA36" i="190" s="1"/>
  <c r="EB36" i="190" s="1"/>
  <c r="EF36" i="190" s="1"/>
  <c r="EG36" i="190" s="1"/>
  <c r="EK36" i="190" s="1"/>
  <c r="EL36" i="190" s="1"/>
  <c r="EP36" i="190" s="1"/>
  <c r="EQ36" i="190" s="1"/>
  <c r="EU36" i="190" s="1"/>
  <c r="EV36" i="190" s="1"/>
  <c r="EZ36" i="190" s="1"/>
  <c r="FA36" i="190" s="1"/>
  <c r="FE36" i="190" s="1"/>
  <c r="FF36" i="190" s="1"/>
  <c r="FJ36" i="190" s="1"/>
  <c r="FK36" i="190" s="1"/>
  <c r="FO36" i="190" s="1"/>
  <c r="FP36" i="190" s="1"/>
  <c r="FT36" i="190" s="1"/>
  <c r="FU36" i="190" s="1"/>
  <c r="FY36" i="190" s="1"/>
  <c r="FZ36" i="190" s="1"/>
  <c r="GD36" i="190" s="1"/>
  <c r="GE36" i="190" s="1"/>
  <c r="GI36" i="190" s="1"/>
  <c r="BW36" i="190"/>
  <c r="CA36" i="190" s="1"/>
  <c r="CD56" i="190"/>
  <c r="CH56" i="190" s="1"/>
  <c r="CI56" i="190" s="1"/>
  <c r="CM56" i="190" s="1"/>
  <c r="CN56" i="190" s="1"/>
  <c r="CR56" i="190" s="1"/>
  <c r="CS56" i="190" s="1"/>
  <c r="CW56" i="190" s="1"/>
  <c r="CX56" i="190" s="1"/>
  <c r="DB56" i="190" s="1"/>
  <c r="DC56" i="190" s="1"/>
  <c r="DG56" i="190" s="1"/>
  <c r="DH56" i="190" s="1"/>
  <c r="DL56" i="190" s="1"/>
  <c r="DM56" i="190" s="1"/>
  <c r="DQ56" i="190" s="1"/>
  <c r="DR56" i="190" s="1"/>
  <c r="DV56" i="190" s="1"/>
  <c r="DW56" i="190" s="1"/>
  <c r="EA56" i="190" s="1"/>
  <c r="EB56" i="190" s="1"/>
  <c r="EF56" i="190" s="1"/>
  <c r="EG56" i="190" s="1"/>
  <c r="EK56" i="190" s="1"/>
  <c r="EL56" i="190" s="1"/>
  <c r="EP56" i="190" s="1"/>
  <c r="EQ56" i="190" s="1"/>
  <c r="EU56" i="190" s="1"/>
  <c r="EV56" i="190" s="1"/>
  <c r="EZ56" i="190" s="1"/>
  <c r="FA56" i="190" s="1"/>
  <c r="FE56" i="190" s="1"/>
  <c r="FF56" i="190" s="1"/>
  <c r="FJ56" i="190" s="1"/>
  <c r="FK56" i="190" s="1"/>
  <c r="FO56" i="190" s="1"/>
  <c r="FP56" i="190" s="1"/>
  <c r="FT56" i="190" s="1"/>
  <c r="FU56" i="190" s="1"/>
  <c r="FY56" i="190" s="1"/>
  <c r="FZ56" i="190" s="1"/>
  <c r="GD56" i="190" s="1"/>
  <c r="GE56" i="190" s="1"/>
  <c r="GI56" i="190" s="1"/>
  <c r="BW56" i="190"/>
  <c r="CA56" i="190" s="1"/>
  <c r="BQ62" i="190"/>
  <c r="BR61" i="190"/>
  <c r="P67" i="191"/>
  <c r="BW9" i="190"/>
  <c r="CA9" i="190" s="1"/>
  <c r="CD9" i="190"/>
  <c r="CH9" i="190" s="1"/>
  <c r="CI9" i="190" s="1"/>
  <c r="CM9" i="190" s="1"/>
  <c r="CN9" i="190" s="1"/>
  <c r="CR9" i="190" s="1"/>
  <c r="CS9" i="190" s="1"/>
  <c r="CW9" i="190" s="1"/>
  <c r="CX9" i="190" s="1"/>
  <c r="DB9" i="190" s="1"/>
  <c r="DC9" i="190" s="1"/>
  <c r="DG9" i="190" s="1"/>
  <c r="DH9" i="190" s="1"/>
  <c r="DL9" i="190" s="1"/>
  <c r="DM9" i="190" s="1"/>
  <c r="DQ9" i="190" s="1"/>
  <c r="DR9" i="190" s="1"/>
  <c r="DV9" i="190" s="1"/>
  <c r="DW9" i="190" s="1"/>
  <c r="EA9" i="190" s="1"/>
  <c r="EB9" i="190" s="1"/>
  <c r="EF9" i="190" s="1"/>
  <c r="EG9" i="190" s="1"/>
  <c r="EK9" i="190" s="1"/>
  <c r="EL9" i="190" s="1"/>
  <c r="EP9" i="190" s="1"/>
  <c r="EQ9" i="190" s="1"/>
  <c r="EU9" i="190" s="1"/>
  <c r="EV9" i="190" s="1"/>
  <c r="EZ9" i="190" s="1"/>
  <c r="FA9" i="190" s="1"/>
  <c r="FE9" i="190" s="1"/>
  <c r="FF9" i="190" s="1"/>
  <c r="FJ9" i="190" s="1"/>
  <c r="FK9" i="190" s="1"/>
  <c r="FO9" i="190" s="1"/>
  <c r="FP9" i="190" s="1"/>
  <c r="FT9" i="190" s="1"/>
  <c r="FU9" i="190" s="1"/>
  <c r="FY9" i="190" s="1"/>
  <c r="FZ9" i="190" s="1"/>
  <c r="GD9" i="190" s="1"/>
  <c r="GE9" i="190" s="1"/>
  <c r="GI9" i="190" s="1"/>
  <c r="CD39" i="190"/>
  <c r="CH39" i="190" s="1"/>
  <c r="CI39" i="190" s="1"/>
  <c r="CM39" i="190" s="1"/>
  <c r="CN39" i="190" s="1"/>
  <c r="CR39" i="190" s="1"/>
  <c r="CS39" i="190" s="1"/>
  <c r="CW39" i="190" s="1"/>
  <c r="CX39" i="190" s="1"/>
  <c r="DB39" i="190" s="1"/>
  <c r="DC39" i="190" s="1"/>
  <c r="DG39" i="190" s="1"/>
  <c r="DH39" i="190" s="1"/>
  <c r="DL39" i="190" s="1"/>
  <c r="DM39" i="190" s="1"/>
  <c r="DQ39" i="190" s="1"/>
  <c r="DR39" i="190" s="1"/>
  <c r="DV39" i="190" s="1"/>
  <c r="DW39" i="190" s="1"/>
  <c r="EA39" i="190" s="1"/>
  <c r="EB39" i="190" s="1"/>
  <c r="EF39" i="190" s="1"/>
  <c r="EG39" i="190" s="1"/>
  <c r="EK39" i="190" s="1"/>
  <c r="EL39" i="190" s="1"/>
  <c r="EP39" i="190" s="1"/>
  <c r="EQ39" i="190" s="1"/>
  <c r="EU39" i="190" s="1"/>
  <c r="EV39" i="190" s="1"/>
  <c r="EZ39" i="190" s="1"/>
  <c r="FA39" i="190" s="1"/>
  <c r="FE39" i="190" s="1"/>
  <c r="FF39" i="190" s="1"/>
  <c r="FJ39" i="190" s="1"/>
  <c r="FK39" i="190" s="1"/>
  <c r="FO39" i="190" s="1"/>
  <c r="FP39" i="190" s="1"/>
  <c r="FT39" i="190" s="1"/>
  <c r="FU39" i="190" s="1"/>
  <c r="FY39" i="190" s="1"/>
  <c r="FZ39" i="190" s="1"/>
  <c r="GD39" i="190" s="1"/>
  <c r="GE39" i="190" s="1"/>
  <c r="GI39" i="190" s="1"/>
  <c r="BW39" i="190"/>
  <c r="CA39" i="190" s="1"/>
  <c r="BW47" i="190"/>
  <c r="CA47" i="190" s="1"/>
  <c r="CD47" i="190"/>
  <c r="CH47" i="190" s="1"/>
  <c r="CI47" i="190" s="1"/>
  <c r="CM47" i="190" s="1"/>
  <c r="CN47" i="190" s="1"/>
  <c r="CR47" i="190" s="1"/>
  <c r="CS47" i="190" s="1"/>
  <c r="CW47" i="190" s="1"/>
  <c r="CX47" i="190" s="1"/>
  <c r="DB47" i="190" s="1"/>
  <c r="DC47" i="190" s="1"/>
  <c r="DG47" i="190" s="1"/>
  <c r="DH47" i="190" s="1"/>
  <c r="DL47" i="190" s="1"/>
  <c r="DM47" i="190" s="1"/>
  <c r="DQ47" i="190" s="1"/>
  <c r="DR47" i="190" s="1"/>
  <c r="DV47" i="190" s="1"/>
  <c r="DW47" i="190" s="1"/>
  <c r="EA47" i="190" s="1"/>
  <c r="EB47" i="190" s="1"/>
  <c r="EF47" i="190" s="1"/>
  <c r="EG47" i="190" s="1"/>
  <c r="EK47" i="190" s="1"/>
  <c r="EL47" i="190" s="1"/>
  <c r="EP47" i="190" s="1"/>
  <c r="EQ47" i="190" s="1"/>
  <c r="EU47" i="190" s="1"/>
  <c r="EV47" i="190" s="1"/>
  <c r="EZ47" i="190" s="1"/>
  <c r="FA47" i="190" s="1"/>
  <c r="FE47" i="190" s="1"/>
  <c r="FF47" i="190" s="1"/>
  <c r="FJ47" i="190" s="1"/>
  <c r="FK47" i="190" s="1"/>
  <c r="FO47" i="190" s="1"/>
  <c r="FP47" i="190" s="1"/>
  <c r="FT47" i="190" s="1"/>
  <c r="FU47" i="190" s="1"/>
  <c r="FY47" i="190" s="1"/>
  <c r="FZ47" i="190" s="1"/>
  <c r="GD47" i="190" s="1"/>
  <c r="GE47" i="190" s="1"/>
  <c r="GI47" i="190" s="1"/>
  <c r="K126" i="195"/>
  <c r="D30" i="191"/>
  <c r="P117" i="213"/>
  <c r="P9" i="213"/>
  <c r="R58" i="195"/>
  <c r="P58" i="213"/>
  <c r="R9" i="195"/>
  <c r="R116" i="195"/>
  <c r="CD24" i="190"/>
  <c r="CH24" i="190" s="1"/>
  <c r="CI24" i="190" s="1"/>
  <c r="CM24" i="190" s="1"/>
  <c r="CN24" i="190" s="1"/>
  <c r="CR24" i="190" s="1"/>
  <c r="CS24" i="190" s="1"/>
  <c r="CW24" i="190" s="1"/>
  <c r="CX24" i="190" s="1"/>
  <c r="DB24" i="190" s="1"/>
  <c r="DC24" i="190" s="1"/>
  <c r="DG24" i="190" s="1"/>
  <c r="DH24" i="190" s="1"/>
  <c r="DL24" i="190" s="1"/>
  <c r="DM24" i="190" s="1"/>
  <c r="DQ24" i="190" s="1"/>
  <c r="DR24" i="190" s="1"/>
  <c r="DV24" i="190" s="1"/>
  <c r="DW24" i="190" s="1"/>
  <c r="EA24" i="190" s="1"/>
  <c r="EB24" i="190" s="1"/>
  <c r="EF24" i="190" s="1"/>
  <c r="EG24" i="190" s="1"/>
  <c r="EK24" i="190" s="1"/>
  <c r="EL24" i="190" s="1"/>
  <c r="EP24" i="190" s="1"/>
  <c r="EQ24" i="190" s="1"/>
  <c r="EU24" i="190" s="1"/>
  <c r="EV24" i="190" s="1"/>
  <c r="EZ24" i="190" s="1"/>
  <c r="FA24" i="190" s="1"/>
  <c r="FE24" i="190" s="1"/>
  <c r="FF24" i="190" s="1"/>
  <c r="FJ24" i="190" s="1"/>
  <c r="FK24" i="190" s="1"/>
  <c r="FO24" i="190" s="1"/>
  <c r="FP24" i="190" s="1"/>
  <c r="FT24" i="190" s="1"/>
  <c r="FU24" i="190" s="1"/>
  <c r="FY24" i="190" s="1"/>
  <c r="FZ24" i="190" s="1"/>
  <c r="GD24" i="190" s="1"/>
  <c r="GE24" i="190" s="1"/>
  <c r="GI24" i="190" s="1"/>
  <c r="BW24" i="190"/>
  <c r="CA24" i="190" s="1"/>
  <c r="CD44" i="190"/>
  <c r="CH44" i="190" s="1"/>
  <c r="CI44" i="190" s="1"/>
  <c r="CM44" i="190" s="1"/>
  <c r="CN44" i="190" s="1"/>
  <c r="CR44" i="190" s="1"/>
  <c r="CS44" i="190" s="1"/>
  <c r="CW44" i="190" s="1"/>
  <c r="CX44" i="190" s="1"/>
  <c r="DB44" i="190" s="1"/>
  <c r="DC44" i="190" s="1"/>
  <c r="DG44" i="190" s="1"/>
  <c r="DH44" i="190" s="1"/>
  <c r="DL44" i="190" s="1"/>
  <c r="DM44" i="190" s="1"/>
  <c r="DQ44" i="190" s="1"/>
  <c r="DR44" i="190" s="1"/>
  <c r="DV44" i="190" s="1"/>
  <c r="DW44" i="190" s="1"/>
  <c r="EA44" i="190" s="1"/>
  <c r="EB44" i="190" s="1"/>
  <c r="EF44" i="190" s="1"/>
  <c r="EG44" i="190" s="1"/>
  <c r="EK44" i="190" s="1"/>
  <c r="EL44" i="190" s="1"/>
  <c r="EP44" i="190" s="1"/>
  <c r="EQ44" i="190" s="1"/>
  <c r="EU44" i="190" s="1"/>
  <c r="EV44" i="190" s="1"/>
  <c r="EZ44" i="190" s="1"/>
  <c r="FA44" i="190" s="1"/>
  <c r="FE44" i="190" s="1"/>
  <c r="FF44" i="190" s="1"/>
  <c r="FJ44" i="190" s="1"/>
  <c r="FK44" i="190" s="1"/>
  <c r="FO44" i="190" s="1"/>
  <c r="FP44" i="190" s="1"/>
  <c r="FT44" i="190" s="1"/>
  <c r="FU44" i="190" s="1"/>
  <c r="FY44" i="190" s="1"/>
  <c r="FZ44" i="190" s="1"/>
  <c r="GD44" i="190" s="1"/>
  <c r="GE44" i="190" s="1"/>
  <c r="GI44" i="190" s="1"/>
  <c r="BW44" i="190"/>
  <c r="CA44" i="190" s="1"/>
  <c r="CD52" i="190"/>
  <c r="CH52" i="190" s="1"/>
  <c r="CI52" i="190" s="1"/>
  <c r="CM52" i="190" s="1"/>
  <c r="CN52" i="190" s="1"/>
  <c r="CR52" i="190" s="1"/>
  <c r="CS52" i="190" s="1"/>
  <c r="CW52" i="190" s="1"/>
  <c r="CX52" i="190" s="1"/>
  <c r="DB52" i="190" s="1"/>
  <c r="DC52" i="190" s="1"/>
  <c r="DG52" i="190" s="1"/>
  <c r="DH52" i="190" s="1"/>
  <c r="DL52" i="190" s="1"/>
  <c r="DM52" i="190" s="1"/>
  <c r="DQ52" i="190" s="1"/>
  <c r="DR52" i="190" s="1"/>
  <c r="DV52" i="190" s="1"/>
  <c r="DW52" i="190" s="1"/>
  <c r="EA52" i="190" s="1"/>
  <c r="EB52" i="190" s="1"/>
  <c r="EF52" i="190" s="1"/>
  <c r="EG52" i="190" s="1"/>
  <c r="EK52" i="190" s="1"/>
  <c r="EL52" i="190" s="1"/>
  <c r="EP52" i="190" s="1"/>
  <c r="EQ52" i="190" s="1"/>
  <c r="EU52" i="190" s="1"/>
  <c r="EV52" i="190" s="1"/>
  <c r="EZ52" i="190" s="1"/>
  <c r="FA52" i="190" s="1"/>
  <c r="FE52" i="190" s="1"/>
  <c r="FF52" i="190" s="1"/>
  <c r="FJ52" i="190" s="1"/>
  <c r="FK52" i="190" s="1"/>
  <c r="FO52" i="190" s="1"/>
  <c r="FP52" i="190" s="1"/>
  <c r="FT52" i="190" s="1"/>
  <c r="FU52" i="190" s="1"/>
  <c r="FY52" i="190" s="1"/>
  <c r="FZ52" i="190" s="1"/>
  <c r="GD52" i="190" s="1"/>
  <c r="GE52" i="190" s="1"/>
  <c r="GI52" i="190" s="1"/>
  <c r="BW52" i="190"/>
  <c r="CA52" i="190" s="1"/>
  <c r="I80" i="190"/>
  <c r="J79" i="190"/>
  <c r="AG85" i="190"/>
  <c r="CD31" i="190"/>
  <c r="CH31" i="190" s="1"/>
  <c r="CI31" i="190" s="1"/>
  <c r="CM31" i="190" s="1"/>
  <c r="CN31" i="190" s="1"/>
  <c r="CR31" i="190" s="1"/>
  <c r="CS31" i="190" s="1"/>
  <c r="CW31" i="190" s="1"/>
  <c r="CX31" i="190" s="1"/>
  <c r="DB31" i="190" s="1"/>
  <c r="DC31" i="190" s="1"/>
  <c r="DG31" i="190" s="1"/>
  <c r="DH31" i="190" s="1"/>
  <c r="DL31" i="190" s="1"/>
  <c r="DM31" i="190" s="1"/>
  <c r="DQ31" i="190" s="1"/>
  <c r="DR31" i="190" s="1"/>
  <c r="DV31" i="190" s="1"/>
  <c r="DW31" i="190" s="1"/>
  <c r="EA31" i="190" s="1"/>
  <c r="EB31" i="190" s="1"/>
  <c r="EF31" i="190" s="1"/>
  <c r="EG31" i="190" s="1"/>
  <c r="EK31" i="190" s="1"/>
  <c r="EL31" i="190" s="1"/>
  <c r="EP31" i="190" s="1"/>
  <c r="EQ31" i="190" s="1"/>
  <c r="EU31" i="190" s="1"/>
  <c r="EV31" i="190" s="1"/>
  <c r="EZ31" i="190" s="1"/>
  <c r="FA31" i="190" s="1"/>
  <c r="FE31" i="190" s="1"/>
  <c r="FF31" i="190" s="1"/>
  <c r="FJ31" i="190" s="1"/>
  <c r="FK31" i="190" s="1"/>
  <c r="FO31" i="190" s="1"/>
  <c r="FP31" i="190" s="1"/>
  <c r="FT31" i="190" s="1"/>
  <c r="FU31" i="190" s="1"/>
  <c r="FY31" i="190" s="1"/>
  <c r="FZ31" i="190" s="1"/>
  <c r="GD31" i="190" s="1"/>
  <c r="GE31" i="190" s="1"/>
  <c r="GI31" i="190" s="1"/>
  <c r="BW31" i="190"/>
  <c r="CA31" i="190" s="1"/>
  <c r="CD71" i="190"/>
  <c r="BW71" i="190"/>
  <c r="CA71" i="190" s="1"/>
  <c r="CD10" i="190"/>
  <c r="CH10" i="190" s="1"/>
  <c r="CI10" i="190" s="1"/>
  <c r="CM10" i="190" s="1"/>
  <c r="CN10" i="190" s="1"/>
  <c r="CR10" i="190" s="1"/>
  <c r="CS10" i="190" s="1"/>
  <c r="CW10" i="190" s="1"/>
  <c r="CX10" i="190" s="1"/>
  <c r="DB10" i="190" s="1"/>
  <c r="DC10" i="190" s="1"/>
  <c r="DG10" i="190" s="1"/>
  <c r="DH10" i="190" s="1"/>
  <c r="DL10" i="190" s="1"/>
  <c r="DM10" i="190" s="1"/>
  <c r="DQ10" i="190" s="1"/>
  <c r="DR10" i="190" s="1"/>
  <c r="DV10" i="190" s="1"/>
  <c r="DW10" i="190" s="1"/>
  <c r="EA10" i="190" s="1"/>
  <c r="EB10" i="190" s="1"/>
  <c r="EF10" i="190" s="1"/>
  <c r="EG10" i="190" s="1"/>
  <c r="EK10" i="190" s="1"/>
  <c r="EL10" i="190" s="1"/>
  <c r="EP10" i="190" s="1"/>
  <c r="EQ10" i="190" s="1"/>
  <c r="EU10" i="190" s="1"/>
  <c r="EV10" i="190" s="1"/>
  <c r="EZ10" i="190" s="1"/>
  <c r="FA10" i="190" s="1"/>
  <c r="FE10" i="190" s="1"/>
  <c r="FF10" i="190" s="1"/>
  <c r="FJ10" i="190" s="1"/>
  <c r="FK10" i="190" s="1"/>
  <c r="FO10" i="190" s="1"/>
  <c r="FP10" i="190" s="1"/>
  <c r="FT10" i="190" s="1"/>
  <c r="FU10" i="190" s="1"/>
  <c r="FY10" i="190" s="1"/>
  <c r="FZ10" i="190" s="1"/>
  <c r="GD10" i="190" s="1"/>
  <c r="GE10" i="190" s="1"/>
  <c r="GI10" i="190" s="1"/>
  <c r="BW10" i="190"/>
  <c r="CA10" i="190" s="1"/>
  <c r="BP85" i="190"/>
  <c r="BQ14" i="190"/>
  <c r="BR13" i="190"/>
  <c r="CD18" i="190"/>
  <c r="CH18" i="190" s="1"/>
  <c r="CI18" i="190" s="1"/>
  <c r="CM18" i="190" s="1"/>
  <c r="CN18" i="190" s="1"/>
  <c r="CR18" i="190" s="1"/>
  <c r="CS18" i="190" s="1"/>
  <c r="CW18" i="190" s="1"/>
  <c r="CX18" i="190" s="1"/>
  <c r="DB18" i="190" s="1"/>
  <c r="DC18" i="190" s="1"/>
  <c r="DG18" i="190" s="1"/>
  <c r="DH18" i="190" s="1"/>
  <c r="DL18" i="190" s="1"/>
  <c r="DM18" i="190" s="1"/>
  <c r="DQ18" i="190" s="1"/>
  <c r="DR18" i="190" s="1"/>
  <c r="DV18" i="190" s="1"/>
  <c r="DW18" i="190" s="1"/>
  <c r="EA18" i="190" s="1"/>
  <c r="EB18" i="190" s="1"/>
  <c r="EF18" i="190" s="1"/>
  <c r="EG18" i="190" s="1"/>
  <c r="EK18" i="190" s="1"/>
  <c r="EL18" i="190" s="1"/>
  <c r="EP18" i="190" s="1"/>
  <c r="EQ18" i="190" s="1"/>
  <c r="EU18" i="190" s="1"/>
  <c r="EV18" i="190" s="1"/>
  <c r="EZ18" i="190" s="1"/>
  <c r="FA18" i="190" s="1"/>
  <c r="FE18" i="190" s="1"/>
  <c r="FF18" i="190" s="1"/>
  <c r="FJ18" i="190" s="1"/>
  <c r="FK18" i="190" s="1"/>
  <c r="FO18" i="190" s="1"/>
  <c r="FP18" i="190" s="1"/>
  <c r="FT18" i="190" s="1"/>
  <c r="FU18" i="190" s="1"/>
  <c r="FY18" i="190" s="1"/>
  <c r="FZ18" i="190" s="1"/>
  <c r="GD18" i="190" s="1"/>
  <c r="GE18" i="190" s="1"/>
  <c r="GI18" i="190" s="1"/>
  <c r="BW18" i="190"/>
  <c r="CA18" i="190" s="1"/>
  <c r="CD22" i="190"/>
  <c r="CH22" i="190" s="1"/>
  <c r="CI22" i="190" s="1"/>
  <c r="CM22" i="190" s="1"/>
  <c r="CN22" i="190" s="1"/>
  <c r="CR22" i="190" s="1"/>
  <c r="CS22" i="190" s="1"/>
  <c r="CW22" i="190" s="1"/>
  <c r="CX22" i="190" s="1"/>
  <c r="DB22" i="190" s="1"/>
  <c r="DC22" i="190" s="1"/>
  <c r="DG22" i="190" s="1"/>
  <c r="DH22" i="190" s="1"/>
  <c r="DL22" i="190" s="1"/>
  <c r="DM22" i="190" s="1"/>
  <c r="DQ22" i="190" s="1"/>
  <c r="DR22" i="190" s="1"/>
  <c r="DV22" i="190" s="1"/>
  <c r="DW22" i="190" s="1"/>
  <c r="EA22" i="190" s="1"/>
  <c r="EB22" i="190" s="1"/>
  <c r="EF22" i="190" s="1"/>
  <c r="EG22" i="190" s="1"/>
  <c r="EK22" i="190" s="1"/>
  <c r="EL22" i="190" s="1"/>
  <c r="EP22" i="190" s="1"/>
  <c r="EQ22" i="190" s="1"/>
  <c r="EU22" i="190" s="1"/>
  <c r="EV22" i="190" s="1"/>
  <c r="EZ22" i="190" s="1"/>
  <c r="FA22" i="190" s="1"/>
  <c r="FE22" i="190" s="1"/>
  <c r="FF22" i="190" s="1"/>
  <c r="FJ22" i="190" s="1"/>
  <c r="FK22" i="190" s="1"/>
  <c r="FO22" i="190" s="1"/>
  <c r="FP22" i="190" s="1"/>
  <c r="FT22" i="190" s="1"/>
  <c r="FU22" i="190" s="1"/>
  <c r="FY22" i="190" s="1"/>
  <c r="FZ22" i="190" s="1"/>
  <c r="GD22" i="190" s="1"/>
  <c r="GE22" i="190" s="1"/>
  <c r="GI22" i="190" s="1"/>
  <c r="BW22" i="190"/>
  <c r="CA22" i="190" s="1"/>
  <c r="CD26" i="190"/>
  <c r="CH26" i="190" s="1"/>
  <c r="CI26" i="190" s="1"/>
  <c r="CM26" i="190" s="1"/>
  <c r="CN26" i="190" s="1"/>
  <c r="CR26" i="190" s="1"/>
  <c r="CS26" i="190" s="1"/>
  <c r="CW26" i="190" s="1"/>
  <c r="CX26" i="190" s="1"/>
  <c r="DB26" i="190" s="1"/>
  <c r="DC26" i="190" s="1"/>
  <c r="DG26" i="190" s="1"/>
  <c r="DH26" i="190" s="1"/>
  <c r="DL26" i="190" s="1"/>
  <c r="DM26" i="190" s="1"/>
  <c r="DQ26" i="190" s="1"/>
  <c r="DR26" i="190" s="1"/>
  <c r="DV26" i="190" s="1"/>
  <c r="DW26" i="190" s="1"/>
  <c r="EA26" i="190" s="1"/>
  <c r="EB26" i="190" s="1"/>
  <c r="EF26" i="190" s="1"/>
  <c r="EG26" i="190" s="1"/>
  <c r="EK26" i="190" s="1"/>
  <c r="EL26" i="190" s="1"/>
  <c r="EP26" i="190" s="1"/>
  <c r="EQ26" i="190" s="1"/>
  <c r="EU26" i="190" s="1"/>
  <c r="EV26" i="190" s="1"/>
  <c r="EZ26" i="190" s="1"/>
  <c r="FA26" i="190" s="1"/>
  <c r="FE26" i="190" s="1"/>
  <c r="FF26" i="190" s="1"/>
  <c r="FJ26" i="190" s="1"/>
  <c r="FK26" i="190" s="1"/>
  <c r="FO26" i="190" s="1"/>
  <c r="FP26" i="190" s="1"/>
  <c r="FT26" i="190" s="1"/>
  <c r="FU26" i="190" s="1"/>
  <c r="FY26" i="190" s="1"/>
  <c r="FZ26" i="190" s="1"/>
  <c r="GD26" i="190" s="1"/>
  <c r="GE26" i="190" s="1"/>
  <c r="GI26" i="190" s="1"/>
  <c r="BW26" i="190"/>
  <c r="CA26" i="190" s="1"/>
  <c r="CD32" i="190"/>
  <c r="CH32" i="190" s="1"/>
  <c r="CI32" i="190" s="1"/>
  <c r="CM32" i="190" s="1"/>
  <c r="CN32" i="190" s="1"/>
  <c r="CR32" i="190" s="1"/>
  <c r="CS32" i="190" s="1"/>
  <c r="CW32" i="190" s="1"/>
  <c r="CX32" i="190" s="1"/>
  <c r="DB32" i="190" s="1"/>
  <c r="DC32" i="190" s="1"/>
  <c r="DG32" i="190" s="1"/>
  <c r="DH32" i="190" s="1"/>
  <c r="DL32" i="190" s="1"/>
  <c r="DM32" i="190" s="1"/>
  <c r="DQ32" i="190" s="1"/>
  <c r="DR32" i="190" s="1"/>
  <c r="DV32" i="190" s="1"/>
  <c r="DW32" i="190" s="1"/>
  <c r="EA32" i="190" s="1"/>
  <c r="EB32" i="190" s="1"/>
  <c r="EF32" i="190" s="1"/>
  <c r="EG32" i="190" s="1"/>
  <c r="EK32" i="190" s="1"/>
  <c r="EL32" i="190" s="1"/>
  <c r="EP32" i="190" s="1"/>
  <c r="EQ32" i="190" s="1"/>
  <c r="EU32" i="190" s="1"/>
  <c r="EV32" i="190" s="1"/>
  <c r="EZ32" i="190" s="1"/>
  <c r="FA32" i="190" s="1"/>
  <c r="FE32" i="190" s="1"/>
  <c r="FF32" i="190" s="1"/>
  <c r="FJ32" i="190" s="1"/>
  <c r="FK32" i="190" s="1"/>
  <c r="FO32" i="190" s="1"/>
  <c r="FP32" i="190" s="1"/>
  <c r="FT32" i="190" s="1"/>
  <c r="FU32" i="190" s="1"/>
  <c r="FY32" i="190" s="1"/>
  <c r="FZ32" i="190" s="1"/>
  <c r="GD32" i="190" s="1"/>
  <c r="GE32" i="190" s="1"/>
  <c r="GI32" i="190" s="1"/>
  <c r="BW32" i="190"/>
  <c r="CA32" i="190" s="1"/>
  <c r="BW40" i="190"/>
  <c r="CA40" i="190" s="1"/>
  <c r="CD40" i="190"/>
  <c r="CH40" i="190" s="1"/>
  <c r="CI40" i="190" s="1"/>
  <c r="CM40" i="190" s="1"/>
  <c r="CN40" i="190" s="1"/>
  <c r="CR40" i="190" s="1"/>
  <c r="CS40" i="190" s="1"/>
  <c r="CW40" i="190" s="1"/>
  <c r="CX40" i="190" s="1"/>
  <c r="DB40" i="190" s="1"/>
  <c r="DC40" i="190" s="1"/>
  <c r="DG40" i="190" s="1"/>
  <c r="DH40" i="190" s="1"/>
  <c r="DL40" i="190" s="1"/>
  <c r="DM40" i="190" s="1"/>
  <c r="DQ40" i="190" s="1"/>
  <c r="DR40" i="190" s="1"/>
  <c r="DV40" i="190" s="1"/>
  <c r="DW40" i="190" s="1"/>
  <c r="EA40" i="190" s="1"/>
  <c r="EB40" i="190" s="1"/>
  <c r="EF40" i="190" s="1"/>
  <c r="EG40" i="190" s="1"/>
  <c r="EK40" i="190" s="1"/>
  <c r="EL40" i="190" s="1"/>
  <c r="EP40" i="190" s="1"/>
  <c r="EQ40" i="190" s="1"/>
  <c r="EU40" i="190" s="1"/>
  <c r="EV40" i="190" s="1"/>
  <c r="EZ40" i="190" s="1"/>
  <c r="FA40" i="190" s="1"/>
  <c r="FE40" i="190" s="1"/>
  <c r="FF40" i="190" s="1"/>
  <c r="FJ40" i="190" s="1"/>
  <c r="FK40" i="190" s="1"/>
  <c r="FO40" i="190" s="1"/>
  <c r="FP40" i="190" s="1"/>
  <c r="FT40" i="190" s="1"/>
  <c r="FU40" i="190" s="1"/>
  <c r="FY40" i="190" s="1"/>
  <c r="FZ40" i="190" s="1"/>
  <c r="GD40" i="190" s="1"/>
  <c r="GE40" i="190" s="1"/>
  <c r="GI40" i="190" s="1"/>
  <c r="CD48" i="190"/>
  <c r="CH48" i="190" s="1"/>
  <c r="CI48" i="190" s="1"/>
  <c r="CM48" i="190" s="1"/>
  <c r="CN48" i="190" s="1"/>
  <c r="CR48" i="190" s="1"/>
  <c r="CS48" i="190" s="1"/>
  <c r="CW48" i="190" s="1"/>
  <c r="CX48" i="190" s="1"/>
  <c r="DB48" i="190" s="1"/>
  <c r="DC48" i="190" s="1"/>
  <c r="DG48" i="190" s="1"/>
  <c r="DH48" i="190" s="1"/>
  <c r="DL48" i="190" s="1"/>
  <c r="DM48" i="190" s="1"/>
  <c r="DQ48" i="190" s="1"/>
  <c r="DR48" i="190" s="1"/>
  <c r="DV48" i="190" s="1"/>
  <c r="DW48" i="190" s="1"/>
  <c r="EA48" i="190" s="1"/>
  <c r="EB48" i="190" s="1"/>
  <c r="EF48" i="190" s="1"/>
  <c r="EG48" i="190" s="1"/>
  <c r="EK48" i="190" s="1"/>
  <c r="EL48" i="190" s="1"/>
  <c r="EP48" i="190" s="1"/>
  <c r="EQ48" i="190" s="1"/>
  <c r="EU48" i="190" s="1"/>
  <c r="EV48" i="190" s="1"/>
  <c r="EZ48" i="190" s="1"/>
  <c r="FA48" i="190" s="1"/>
  <c r="FE48" i="190" s="1"/>
  <c r="FF48" i="190" s="1"/>
  <c r="FJ48" i="190" s="1"/>
  <c r="FK48" i="190" s="1"/>
  <c r="FO48" i="190" s="1"/>
  <c r="FP48" i="190" s="1"/>
  <c r="FT48" i="190" s="1"/>
  <c r="FU48" i="190" s="1"/>
  <c r="FY48" i="190" s="1"/>
  <c r="FZ48" i="190" s="1"/>
  <c r="GD48" i="190" s="1"/>
  <c r="GE48" i="190" s="1"/>
  <c r="GI48" i="190" s="1"/>
  <c r="BW48" i="190"/>
  <c r="CA48" i="190" s="1"/>
  <c r="CD58" i="190"/>
  <c r="CH58" i="190" s="1"/>
  <c r="CI58" i="190" s="1"/>
  <c r="CM58" i="190" s="1"/>
  <c r="CN58" i="190" s="1"/>
  <c r="CR58" i="190" s="1"/>
  <c r="CS58" i="190" s="1"/>
  <c r="CW58" i="190" s="1"/>
  <c r="CX58" i="190" s="1"/>
  <c r="DB58" i="190" s="1"/>
  <c r="DC58" i="190" s="1"/>
  <c r="DG58" i="190" s="1"/>
  <c r="DH58" i="190" s="1"/>
  <c r="DL58" i="190" s="1"/>
  <c r="DM58" i="190" s="1"/>
  <c r="DQ58" i="190" s="1"/>
  <c r="DR58" i="190" s="1"/>
  <c r="DV58" i="190" s="1"/>
  <c r="DW58" i="190" s="1"/>
  <c r="EA58" i="190" s="1"/>
  <c r="EB58" i="190" s="1"/>
  <c r="EF58" i="190" s="1"/>
  <c r="EG58" i="190" s="1"/>
  <c r="EK58" i="190" s="1"/>
  <c r="EL58" i="190" s="1"/>
  <c r="EP58" i="190" s="1"/>
  <c r="EQ58" i="190" s="1"/>
  <c r="EU58" i="190" s="1"/>
  <c r="EV58" i="190" s="1"/>
  <c r="EZ58" i="190" s="1"/>
  <c r="FA58" i="190" s="1"/>
  <c r="FE58" i="190" s="1"/>
  <c r="FF58" i="190" s="1"/>
  <c r="FJ58" i="190" s="1"/>
  <c r="FK58" i="190" s="1"/>
  <c r="FO58" i="190" s="1"/>
  <c r="FP58" i="190" s="1"/>
  <c r="FT58" i="190" s="1"/>
  <c r="FU58" i="190" s="1"/>
  <c r="FY58" i="190" s="1"/>
  <c r="FZ58" i="190" s="1"/>
  <c r="GD58" i="190" s="1"/>
  <c r="GE58" i="190" s="1"/>
  <c r="GI58" i="190" s="1"/>
  <c r="BW58" i="190"/>
  <c r="CA58" i="190" s="1"/>
  <c r="BW68" i="190"/>
  <c r="CA68" i="190" s="1"/>
  <c r="CD68" i="190"/>
  <c r="CD72" i="190"/>
  <c r="BW72" i="190"/>
  <c r="CA72" i="190" s="1"/>
  <c r="BQ12" i="190"/>
  <c r="ED63" i="190"/>
  <c r="ED66" i="190" s="1"/>
  <c r="FR63" i="190"/>
  <c r="FR66" i="190" s="1"/>
  <c r="D85" i="190"/>
  <c r="L85" i="190"/>
  <c r="AB85" i="190"/>
  <c r="AZ85" i="190"/>
  <c r="BV15" i="190"/>
  <c r="BR45" i="190"/>
  <c r="BW19" i="190"/>
  <c r="CA19" i="190" s="1"/>
  <c r="CD19" i="190"/>
  <c r="CH19" i="190" s="1"/>
  <c r="CI19" i="190" s="1"/>
  <c r="CM19" i="190" s="1"/>
  <c r="CN19" i="190" s="1"/>
  <c r="CR19" i="190" s="1"/>
  <c r="CS19" i="190" s="1"/>
  <c r="CW19" i="190" s="1"/>
  <c r="CX19" i="190" s="1"/>
  <c r="DB19" i="190" s="1"/>
  <c r="DC19" i="190" s="1"/>
  <c r="DG19" i="190" s="1"/>
  <c r="DH19" i="190" s="1"/>
  <c r="DL19" i="190" s="1"/>
  <c r="DM19" i="190" s="1"/>
  <c r="DQ19" i="190" s="1"/>
  <c r="DR19" i="190" s="1"/>
  <c r="DV19" i="190" s="1"/>
  <c r="DW19" i="190" s="1"/>
  <c r="EA19" i="190" s="1"/>
  <c r="EB19" i="190" s="1"/>
  <c r="EF19" i="190" s="1"/>
  <c r="EG19" i="190" s="1"/>
  <c r="EK19" i="190" s="1"/>
  <c r="EL19" i="190" s="1"/>
  <c r="EP19" i="190" s="1"/>
  <c r="EQ19" i="190" s="1"/>
  <c r="EU19" i="190" s="1"/>
  <c r="EV19" i="190" s="1"/>
  <c r="EZ19" i="190" s="1"/>
  <c r="FA19" i="190" s="1"/>
  <c r="FE19" i="190" s="1"/>
  <c r="FF19" i="190" s="1"/>
  <c r="FJ19" i="190" s="1"/>
  <c r="FK19" i="190" s="1"/>
  <c r="FO19" i="190" s="1"/>
  <c r="FP19" i="190" s="1"/>
  <c r="FT19" i="190" s="1"/>
  <c r="FU19" i="190" s="1"/>
  <c r="FY19" i="190" s="1"/>
  <c r="FZ19" i="190" s="1"/>
  <c r="GD19" i="190" s="1"/>
  <c r="GE19" i="190" s="1"/>
  <c r="GI19" i="190" s="1"/>
  <c r="BW23" i="190"/>
  <c r="CA23" i="190" s="1"/>
  <c r="CD23" i="190"/>
  <c r="CH23" i="190" s="1"/>
  <c r="CI23" i="190" s="1"/>
  <c r="CM23" i="190" s="1"/>
  <c r="CN23" i="190" s="1"/>
  <c r="CR23" i="190" s="1"/>
  <c r="CS23" i="190" s="1"/>
  <c r="CW23" i="190" s="1"/>
  <c r="CX23" i="190" s="1"/>
  <c r="DB23" i="190" s="1"/>
  <c r="DC23" i="190" s="1"/>
  <c r="DG23" i="190" s="1"/>
  <c r="DH23" i="190" s="1"/>
  <c r="DL23" i="190" s="1"/>
  <c r="DM23" i="190" s="1"/>
  <c r="DQ23" i="190" s="1"/>
  <c r="DR23" i="190" s="1"/>
  <c r="DV23" i="190" s="1"/>
  <c r="DW23" i="190" s="1"/>
  <c r="EA23" i="190" s="1"/>
  <c r="EB23" i="190" s="1"/>
  <c r="EF23" i="190" s="1"/>
  <c r="EG23" i="190" s="1"/>
  <c r="EK23" i="190" s="1"/>
  <c r="EL23" i="190" s="1"/>
  <c r="EP23" i="190" s="1"/>
  <c r="EQ23" i="190" s="1"/>
  <c r="EU23" i="190" s="1"/>
  <c r="EV23" i="190" s="1"/>
  <c r="EZ23" i="190" s="1"/>
  <c r="FA23" i="190" s="1"/>
  <c r="FE23" i="190" s="1"/>
  <c r="FF23" i="190" s="1"/>
  <c r="FJ23" i="190" s="1"/>
  <c r="FK23" i="190" s="1"/>
  <c r="FO23" i="190" s="1"/>
  <c r="FP23" i="190" s="1"/>
  <c r="FT23" i="190" s="1"/>
  <c r="FU23" i="190" s="1"/>
  <c r="FY23" i="190" s="1"/>
  <c r="FZ23" i="190" s="1"/>
  <c r="GD23" i="190" s="1"/>
  <c r="GE23" i="190" s="1"/>
  <c r="GI23" i="190" s="1"/>
  <c r="BW27" i="190"/>
  <c r="CA27" i="190" s="1"/>
  <c r="CD27" i="190"/>
  <c r="CH27" i="190" s="1"/>
  <c r="CI27" i="190" s="1"/>
  <c r="CM27" i="190" s="1"/>
  <c r="CN27" i="190" s="1"/>
  <c r="CR27" i="190" s="1"/>
  <c r="CS27" i="190" s="1"/>
  <c r="CW27" i="190" s="1"/>
  <c r="CX27" i="190" s="1"/>
  <c r="DB27" i="190" s="1"/>
  <c r="DC27" i="190" s="1"/>
  <c r="DG27" i="190" s="1"/>
  <c r="DH27" i="190" s="1"/>
  <c r="DL27" i="190" s="1"/>
  <c r="DM27" i="190" s="1"/>
  <c r="DQ27" i="190" s="1"/>
  <c r="DR27" i="190" s="1"/>
  <c r="DV27" i="190" s="1"/>
  <c r="DW27" i="190" s="1"/>
  <c r="EA27" i="190" s="1"/>
  <c r="EB27" i="190" s="1"/>
  <c r="EF27" i="190" s="1"/>
  <c r="EG27" i="190" s="1"/>
  <c r="EK27" i="190" s="1"/>
  <c r="EL27" i="190" s="1"/>
  <c r="EP27" i="190" s="1"/>
  <c r="EQ27" i="190" s="1"/>
  <c r="EU27" i="190" s="1"/>
  <c r="EV27" i="190" s="1"/>
  <c r="EZ27" i="190" s="1"/>
  <c r="FA27" i="190" s="1"/>
  <c r="FE27" i="190" s="1"/>
  <c r="FF27" i="190" s="1"/>
  <c r="FJ27" i="190" s="1"/>
  <c r="FK27" i="190" s="1"/>
  <c r="FO27" i="190" s="1"/>
  <c r="FP27" i="190" s="1"/>
  <c r="FT27" i="190" s="1"/>
  <c r="FU27" i="190" s="1"/>
  <c r="FY27" i="190" s="1"/>
  <c r="FZ27" i="190" s="1"/>
  <c r="GD27" i="190" s="1"/>
  <c r="GE27" i="190" s="1"/>
  <c r="GI27" i="190" s="1"/>
  <c r="CD34" i="190"/>
  <c r="CH34" i="190" s="1"/>
  <c r="CI34" i="190" s="1"/>
  <c r="CM34" i="190" s="1"/>
  <c r="CN34" i="190" s="1"/>
  <c r="CR34" i="190" s="1"/>
  <c r="CS34" i="190" s="1"/>
  <c r="CW34" i="190" s="1"/>
  <c r="CX34" i="190" s="1"/>
  <c r="DB34" i="190" s="1"/>
  <c r="DC34" i="190" s="1"/>
  <c r="DG34" i="190" s="1"/>
  <c r="DH34" i="190" s="1"/>
  <c r="DL34" i="190" s="1"/>
  <c r="DM34" i="190" s="1"/>
  <c r="DQ34" i="190" s="1"/>
  <c r="DR34" i="190" s="1"/>
  <c r="DV34" i="190" s="1"/>
  <c r="DW34" i="190" s="1"/>
  <c r="EA34" i="190" s="1"/>
  <c r="EB34" i="190" s="1"/>
  <c r="EF34" i="190" s="1"/>
  <c r="EG34" i="190" s="1"/>
  <c r="EK34" i="190" s="1"/>
  <c r="EL34" i="190" s="1"/>
  <c r="EP34" i="190" s="1"/>
  <c r="EQ34" i="190" s="1"/>
  <c r="EU34" i="190" s="1"/>
  <c r="EV34" i="190" s="1"/>
  <c r="EZ34" i="190" s="1"/>
  <c r="FA34" i="190" s="1"/>
  <c r="FE34" i="190" s="1"/>
  <c r="FF34" i="190" s="1"/>
  <c r="FJ34" i="190" s="1"/>
  <c r="FK34" i="190" s="1"/>
  <c r="FO34" i="190" s="1"/>
  <c r="FP34" i="190" s="1"/>
  <c r="FT34" i="190" s="1"/>
  <c r="FU34" i="190" s="1"/>
  <c r="FY34" i="190" s="1"/>
  <c r="FZ34" i="190" s="1"/>
  <c r="GD34" i="190" s="1"/>
  <c r="GE34" i="190" s="1"/>
  <c r="GI34" i="190" s="1"/>
  <c r="BW34" i="190"/>
  <c r="CA34" i="190" s="1"/>
  <c r="BW42" i="190"/>
  <c r="CA42" i="190" s="1"/>
  <c r="CD42" i="190"/>
  <c r="CH42" i="190" s="1"/>
  <c r="CI42" i="190" s="1"/>
  <c r="CM42" i="190" s="1"/>
  <c r="CN42" i="190" s="1"/>
  <c r="CR42" i="190" s="1"/>
  <c r="CS42" i="190" s="1"/>
  <c r="CW42" i="190" s="1"/>
  <c r="CX42" i="190" s="1"/>
  <c r="DB42" i="190" s="1"/>
  <c r="DC42" i="190" s="1"/>
  <c r="DG42" i="190" s="1"/>
  <c r="DH42" i="190" s="1"/>
  <c r="DL42" i="190" s="1"/>
  <c r="DM42" i="190" s="1"/>
  <c r="DQ42" i="190" s="1"/>
  <c r="DR42" i="190" s="1"/>
  <c r="DV42" i="190" s="1"/>
  <c r="DW42" i="190" s="1"/>
  <c r="EA42" i="190" s="1"/>
  <c r="EB42" i="190" s="1"/>
  <c r="EF42" i="190" s="1"/>
  <c r="EG42" i="190" s="1"/>
  <c r="EK42" i="190" s="1"/>
  <c r="EL42" i="190" s="1"/>
  <c r="EP42" i="190" s="1"/>
  <c r="EQ42" i="190" s="1"/>
  <c r="EU42" i="190" s="1"/>
  <c r="EV42" i="190" s="1"/>
  <c r="EZ42" i="190" s="1"/>
  <c r="FA42" i="190" s="1"/>
  <c r="FE42" i="190" s="1"/>
  <c r="FF42" i="190" s="1"/>
  <c r="FJ42" i="190" s="1"/>
  <c r="FK42" i="190" s="1"/>
  <c r="FO42" i="190" s="1"/>
  <c r="FP42" i="190" s="1"/>
  <c r="FT42" i="190" s="1"/>
  <c r="FU42" i="190" s="1"/>
  <c r="FY42" i="190" s="1"/>
  <c r="FZ42" i="190" s="1"/>
  <c r="GD42" i="190" s="1"/>
  <c r="GE42" i="190" s="1"/>
  <c r="GI42" i="190" s="1"/>
  <c r="CD50" i="190"/>
  <c r="CH50" i="190" s="1"/>
  <c r="CI50" i="190" s="1"/>
  <c r="CM50" i="190" s="1"/>
  <c r="CN50" i="190" s="1"/>
  <c r="CR50" i="190" s="1"/>
  <c r="CS50" i="190" s="1"/>
  <c r="CW50" i="190" s="1"/>
  <c r="CX50" i="190" s="1"/>
  <c r="DB50" i="190" s="1"/>
  <c r="DC50" i="190" s="1"/>
  <c r="DG50" i="190" s="1"/>
  <c r="DH50" i="190" s="1"/>
  <c r="DL50" i="190" s="1"/>
  <c r="DM50" i="190" s="1"/>
  <c r="DQ50" i="190" s="1"/>
  <c r="DR50" i="190" s="1"/>
  <c r="DV50" i="190" s="1"/>
  <c r="DW50" i="190" s="1"/>
  <c r="EA50" i="190" s="1"/>
  <c r="EB50" i="190" s="1"/>
  <c r="EF50" i="190" s="1"/>
  <c r="EG50" i="190" s="1"/>
  <c r="EK50" i="190" s="1"/>
  <c r="EL50" i="190" s="1"/>
  <c r="EP50" i="190" s="1"/>
  <c r="EQ50" i="190" s="1"/>
  <c r="EU50" i="190" s="1"/>
  <c r="EV50" i="190" s="1"/>
  <c r="EZ50" i="190" s="1"/>
  <c r="FA50" i="190" s="1"/>
  <c r="FE50" i="190" s="1"/>
  <c r="FF50" i="190" s="1"/>
  <c r="FJ50" i="190" s="1"/>
  <c r="FK50" i="190" s="1"/>
  <c r="FO50" i="190" s="1"/>
  <c r="FP50" i="190" s="1"/>
  <c r="FT50" i="190" s="1"/>
  <c r="FU50" i="190" s="1"/>
  <c r="FY50" i="190" s="1"/>
  <c r="FZ50" i="190" s="1"/>
  <c r="GD50" i="190" s="1"/>
  <c r="GE50" i="190" s="1"/>
  <c r="GI50" i="190" s="1"/>
  <c r="BW50" i="190"/>
  <c r="CA50" i="190" s="1"/>
  <c r="CD55" i="190"/>
  <c r="CH55" i="190" s="1"/>
  <c r="CI55" i="190" s="1"/>
  <c r="CM55" i="190" s="1"/>
  <c r="CN55" i="190" s="1"/>
  <c r="CR55" i="190" s="1"/>
  <c r="CS55" i="190" s="1"/>
  <c r="CW55" i="190" s="1"/>
  <c r="CX55" i="190" s="1"/>
  <c r="DB55" i="190" s="1"/>
  <c r="DC55" i="190" s="1"/>
  <c r="DG55" i="190" s="1"/>
  <c r="DH55" i="190" s="1"/>
  <c r="DL55" i="190" s="1"/>
  <c r="DM55" i="190" s="1"/>
  <c r="DQ55" i="190" s="1"/>
  <c r="DR55" i="190" s="1"/>
  <c r="DV55" i="190" s="1"/>
  <c r="DW55" i="190" s="1"/>
  <c r="EA55" i="190" s="1"/>
  <c r="EB55" i="190" s="1"/>
  <c r="EF55" i="190" s="1"/>
  <c r="EG55" i="190" s="1"/>
  <c r="EK55" i="190" s="1"/>
  <c r="EL55" i="190" s="1"/>
  <c r="EP55" i="190" s="1"/>
  <c r="EQ55" i="190" s="1"/>
  <c r="EU55" i="190" s="1"/>
  <c r="EV55" i="190" s="1"/>
  <c r="EZ55" i="190" s="1"/>
  <c r="FA55" i="190" s="1"/>
  <c r="FE55" i="190" s="1"/>
  <c r="FF55" i="190" s="1"/>
  <c r="FJ55" i="190" s="1"/>
  <c r="FK55" i="190" s="1"/>
  <c r="FO55" i="190" s="1"/>
  <c r="FP55" i="190" s="1"/>
  <c r="FT55" i="190" s="1"/>
  <c r="FU55" i="190" s="1"/>
  <c r="FY55" i="190" s="1"/>
  <c r="FZ55" i="190" s="1"/>
  <c r="GD55" i="190" s="1"/>
  <c r="GE55" i="190" s="1"/>
  <c r="GI55" i="190" s="1"/>
  <c r="BW55" i="190"/>
  <c r="CA55" i="190" s="1"/>
  <c r="CD59" i="190"/>
  <c r="CH59" i="190" s="1"/>
  <c r="CI59" i="190" s="1"/>
  <c r="CM59" i="190" s="1"/>
  <c r="CN59" i="190" s="1"/>
  <c r="CR59" i="190" s="1"/>
  <c r="CS59" i="190" s="1"/>
  <c r="CW59" i="190" s="1"/>
  <c r="CX59" i="190" s="1"/>
  <c r="DB59" i="190" s="1"/>
  <c r="DC59" i="190" s="1"/>
  <c r="DG59" i="190" s="1"/>
  <c r="DH59" i="190" s="1"/>
  <c r="DL59" i="190" s="1"/>
  <c r="DM59" i="190" s="1"/>
  <c r="DQ59" i="190" s="1"/>
  <c r="DR59" i="190" s="1"/>
  <c r="DV59" i="190" s="1"/>
  <c r="DW59" i="190" s="1"/>
  <c r="EA59" i="190" s="1"/>
  <c r="EB59" i="190" s="1"/>
  <c r="EF59" i="190" s="1"/>
  <c r="EG59" i="190" s="1"/>
  <c r="EK59" i="190" s="1"/>
  <c r="EL59" i="190" s="1"/>
  <c r="EP59" i="190" s="1"/>
  <c r="EQ59" i="190" s="1"/>
  <c r="EU59" i="190" s="1"/>
  <c r="EV59" i="190" s="1"/>
  <c r="EZ59" i="190" s="1"/>
  <c r="FA59" i="190" s="1"/>
  <c r="FE59" i="190" s="1"/>
  <c r="FF59" i="190" s="1"/>
  <c r="FJ59" i="190" s="1"/>
  <c r="FK59" i="190" s="1"/>
  <c r="FO59" i="190" s="1"/>
  <c r="FP59" i="190" s="1"/>
  <c r="FT59" i="190" s="1"/>
  <c r="FU59" i="190" s="1"/>
  <c r="FY59" i="190" s="1"/>
  <c r="FZ59" i="190" s="1"/>
  <c r="GD59" i="190" s="1"/>
  <c r="GE59" i="190" s="1"/>
  <c r="GI59" i="190" s="1"/>
  <c r="BW59" i="190"/>
  <c r="CA59" i="190" s="1"/>
  <c r="CD69" i="190"/>
  <c r="BW69" i="190"/>
  <c r="CA69" i="190" s="1"/>
  <c r="P76" i="191"/>
  <c r="C82" i="191"/>
  <c r="BI85" i="190"/>
  <c r="CD35" i="190"/>
  <c r="CH35" i="190" s="1"/>
  <c r="CI35" i="190" s="1"/>
  <c r="CM35" i="190" s="1"/>
  <c r="CN35" i="190" s="1"/>
  <c r="CR35" i="190" s="1"/>
  <c r="CS35" i="190" s="1"/>
  <c r="CW35" i="190" s="1"/>
  <c r="CX35" i="190" s="1"/>
  <c r="DB35" i="190" s="1"/>
  <c r="DC35" i="190" s="1"/>
  <c r="DG35" i="190" s="1"/>
  <c r="DH35" i="190" s="1"/>
  <c r="DL35" i="190" s="1"/>
  <c r="DM35" i="190" s="1"/>
  <c r="DQ35" i="190" s="1"/>
  <c r="DR35" i="190" s="1"/>
  <c r="DV35" i="190" s="1"/>
  <c r="DW35" i="190" s="1"/>
  <c r="EA35" i="190" s="1"/>
  <c r="EB35" i="190" s="1"/>
  <c r="EF35" i="190" s="1"/>
  <c r="EG35" i="190" s="1"/>
  <c r="EK35" i="190" s="1"/>
  <c r="EL35" i="190" s="1"/>
  <c r="EP35" i="190" s="1"/>
  <c r="EQ35" i="190" s="1"/>
  <c r="EU35" i="190" s="1"/>
  <c r="EV35" i="190" s="1"/>
  <c r="EZ35" i="190" s="1"/>
  <c r="FA35" i="190" s="1"/>
  <c r="FE35" i="190" s="1"/>
  <c r="FF35" i="190" s="1"/>
  <c r="FJ35" i="190" s="1"/>
  <c r="FK35" i="190" s="1"/>
  <c r="FO35" i="190" s="1"/>
  <c r="FP35" i="190" s="1"/>
  <c r="FT35" i="190" s="1"/>
  <c r="FU35" i="190" s="1"/>
  <c r="FY35" i="190" s="1"/>
  <c r="FZ35" i="190" s="1"/>
  <c r="GD35" i="190" s="1"/>
  <c r="GE35" i="190" s="1"/>
  <c r="GI35" i="190" s="1"/>
  <c r="BW35" i="190"/>
  <c r="CA35" i="190" s="1"/>
  <c r="CD43" i="190"/>
  <c r="CH43" i="190" s="1"/>
  <c r="CI43" i="190" s="1"/>
  <c r="CM43" i="190" s="1"/>
  <c r="CN43" i="190" s="1"/>
  <c r="CR43" i="190" s="1"/>
  <c r="CS43" i="190" s="1"/>
  <c r="CW43" i="190" s="1"/>
  <c r="CX43" i="190" s="1"/>
  <c r="DB43" i="190" s="1"/>
  <c r="DC43" i="190" s="1"/>
  <c r="DG43" i="190" s="1"/>
  <c r="DH43" i="190" s="1"/>
  <c r="DL43" i="190" s="1"/>
  <c r="DM43" i="190" s="1"/>
  <c r="DQ43" i="190" s="1"/>
  <c r="DR43" i="190" s="1"/>
  <c r="DV43" i="190" s="1"/>
  <c r="DW43" i="190" s="1"/>
  <c r="EA43" i="190" s="1"/>
  <c r="EB43" i="190" s="1"/>
  <c r="EF43" i="190" s="1"/>
  <c r="EG43" i="190" s="1"/>
  <c r="EK43" i="190" s="1"/>
  <c r="EL43" i="190" s="1"/>
  <c r="EP43" i="190" s="1"/>
  <c r="EQ43" i="190" s="1"/>
  <c r="EU43" i="190" s="1"/>
  <c r="EV43" i="190" s="1"/>
  <c r="EZ43" i="190" s="1"/>
  <c r="FA43" i="190" s="1"/>
  <c r="FE43" i="190" s="1"/>
  <c r="FF43" i="190" s="1"/>
  <c r="FJ43" i="190" s="1"/>
  <c r="FK43" i="190" s="1"/>
  <c r="FO43" i="190" s="1"/>
  <c r="FP43" i="190" s="1"/>
  <c r="FT43" i="190" s="1"/>
  <c r="FU43" i="190" s="1"/>
  <c r="FY43" i="190" s="1"/>
  <c r="FZ43" i="190" s="1"/>
  <c r="GD43" i="190" s="1"/>
  <c r="GE43" i="190" s="1"/>
  <c r="GI43" i="190" s="1"/>
  <c r="BW43" i="190"/>
  <c r="CA43" i="190" s="1"/>
  <c r="CD51" i="190"/>
  <c r="CH51" i="190" s="1"/>
  <c r="CI51" i="190" s="1"/>
  <c r="CM51" i="190" s="1"/>
  <c r="CN51" i="190" s="1"/>
  <c r="CR51" i="190" s="1"/>
  <c r="CS51" i="190" s="1"/>
  <c r="CW51" i="190" s="1"/>
  <c r="CX51" i="190" s="1"/>
  <c r="DB51" i="190" s="1"/>
  <c r="DC51" i="190" s="1"/>
  <c r="DG51" i="190" s="1"/>
  <c r="DH51" i="190" s="1"/>
  <c r="DL51" i="190" s="1"/>
  <c r="DM51" i="190" s="1"/>
  <c r="DQ51" i="190" s="1"/>
  <c r="DR51" i="190" s="1"/>
  <c r="DV51" i="190" s="1"/>
  <c r="DW51" i="190" s="1"/>
  <c r="EA51" i="190" s="1"/>
  <c r="EB51" i="190" s="1"/>
  <c r="EF51" i="190" s="1"/>
  <c r="EG51" i="190" s="1"/>
  <c r="EK51" i="190" s="1"/>
  <c r="EL51" i="190" s="1"/>
  <c r="EP51" i="190" s="1"/>
  <c r="EQ51" i="190" s="1"/>
  <c r="EU51" i="190" s="1"/>
  <c r="EV51" i="190" s="1"/>
  <c r="EZ51" i="190" s="1"/>
  <c r="FA51" i="190" s="1"/>
  <c r="FE51" i="190" s="1"/>
  <c r="FF51" i="190" s="1"/>
  <c r="FJ51" i="190" s="1"/>
  <c r="FK51" i="190" s="1"/>
  <c r="FO51" i="190" s="1"/>
  <c r="FP51" i="190" s="1"/>
  <c r="FT51" i="190" s="1"/>
  <c r="FU51" i="190" s="1"/>
  <c r="FY51" i="190" s="1"/>
  <c r="FZ51" i="190" s="1"/>
  <c r="GD51" i="190" s="1"/>
  <c r="GE51" i="190" s="1"/>
  <c r="GI51" i="190" s="1"/>
  <c r="BW51" i="190"/>
  <c r="CA51" i="190" s="1"/>
  <c r="BW76" i="190"/>
  <c r="CA76" i="190" s="1"/>
  <c r="CD76" i="190"/>
  <c r="E30" i="191"/>
  <c r="F30" i="191" s="1"/>
  <c r="BW33" i="190"/>
  <c r="CA33" i="190" s="1"/>
  <c r="CD33" i="190"/>
  <c r="CH33" i="190" s="1"/>
  <c r="CI33" i="190" s="1"/>
  <c r="CM33" i="190" s="1"/>
  <c r="CN33" i="190" s="1"/>
  <c r="CR33" i="190" s="1"/>
  <c r="CS33" i="190" s="1"/>
  <c r="CW33" i="190" s="1"/>
  <c r="CX33" i="190" s="1"/>
  <c r="DB33" i="190" s="1"/>
  <c r="DC33" i="190" s="1"/>
  <c r="DG33" i="190" s="1"/>
  <c r="DH33" i="190" s="1"/>
  <c r="DL33" i="190" s="1"/>
  <c r="DM33" i="190" s="1"/>
  <c r="DQ33" i="190" s="1"/>
  <c r="DR33" i="190" s="1"/>
  <c r="DV33" i="190" s="1"/>
  <c r="DW33" i="190" s="1"/>
  <c r="EA33" i="190" s="1"/>
  <c r="EB33" i="190" s="1"/>
  <c r="EF33" i="190" s="1"/>
  <c r="EG33" i="190" s="1"/>
  <c r="EK33" i="190" s="1"/>
  <c r="EL33" i="190" s="1"/>
  <c r="EP33" i="190" s="1"/>
  <c r="EQ33" i="190" s="1"/>
  <c r="EU33" i="190" s="1"/>
  <c r="EV33" i="190" s="1"/>
  <c r="EZ33" i="190" s="1"/>
  <c r="FA33" i="190" s="1"/>
  <c r="FE33" i="190" s="1"/>
  <c r="FF33" i="190" s="1"/>
  <c r="FJ33" i="190" s="1"/>
  <c r="FK33" i="190" s="1"/>
  <c r="FO33" i="190" s="1"/>
  <c r="FP33" i="190" s="1"/>
  <c r="FT33" i="190" s="1"/>
  <c r="FU33" i="190" s="1"/>
  <c r="FY33" i="190" s="1"/>
  <c r="FZ33" i="190" s="1"/>
  <c r="GD33" i="190" s="1"/>
  <c r="GE33" i="190" s="1"/>
  <c r="GI33" i="190" s="1"/>
  <c r="CD7" i="190"/>
  <c r="CH7" i="190" s="1"/>
  <c r="CI7" i="190" s="1"/>
  <c r="CM7" i="190" s="1"/>
  <c r="CN7" i="190" s="1"/>
  <c r="CR7" i="190" s="1"/>
  <c r="CS7" i="190" s="1"/>
  <c r="CW7" i="190" s="1"/>
  <c r="CX7" i="190" s="1"/>
  <c r="DB7" i="190" s="1"/>
  <c r="DC7" i="190" s="1"/>
  <c r="DG7" i="190" s="1"/>
  <c r="DH7" i="190" s="1"/>
  <c r="DL7" i="190" s="1"/>
  <c r="DM7" i="190" s="1"/>
  <c r="DQ7" i="190" s="1"/>
  <c r="DR7" i="190" s="1"/>
  <c r="DV7" i="190" s="1"/>
  <c r="DW7" i="190" s="1"/>
  <c r="EA7" i="190" s="1"/>
  <c r="EB7" i="190" s="1"/>
  <c r="EF7" i="190" s="1"/>
  <c r="EG7" i="190" s="1"/>
  <c r="EK7" i="190" s="1"/>
  <c r="EL7" i="190" s="1"/>
  <c r="EP7" i="190" s="1"/>
  <c r="EQ7" i="190" s="1"/>
  <c r="EU7" i="190" s="1"/>
  <c r="EV7" i="190" s="1"/>
  <c r="EZ7" i="190" s="1"/>
  <c r="FA7" i="190" s="1"/>
  <c r="FE7" i="190" s="1"/>
  <c r="FF7" i="190" s="1"/>
  <c r="FJ7" i="190" s="1"/>
  <c r="FK7" i="190" s="1"/>
  <c r="FO7" i="190" s="1"/>
  <c r="FP7" i="190" s="1"/>
  <c r="FT7" i="190" s="1"/>
  <c r="FU7" i="190" s="1"/>
  <c r="FY7" i="190" s="1"/>
  <c r="FZ7" i="190" s="1"/>
  <c r="GD7" i="190" s="1"/>
  <c r="GE7" i="190" s="1"/>
  <c r="GI7" i="190" s="1"/>
  <c r="BW7" i="190"/>
  <c r="CA7" i="190" s="1"/>
  <c r="CD20" i="190"/>
  <c r="CH20" i="190" s="1"/>
  <c r="CI20" i="190" s="1"/>
  <c r="CM20" i="190" s="1"/>
  <c r="CN20" i="190" s="1"/>
  <c r="CR20" i="190" s="1"/>
  <c r="CS20" i="190" s="1"/>
  <c r="CW20" i="190" s="1"/>
  <c r="CX20" i="190" s="1"/>
  <c r="DB20" i="190" s="1"/>
  <c r="DC20" i="190" s="1"/>
  <c r="DG20" i="190" s="1"/>
  <c r="DH20" i="190" s="1"/>
  <c r="DL20" i="190" s="1"/>
  <c r="DM20" i="190" s="1"/>
  <c r="DQ20" i="190" s="1"/>
  <c r="DR20" i="190" s="1"/>
  <c r="DV20" i="190" s="1"/>
  <c r="DW20" i="190" s="1"/>
  <c r="EA20" i="190" s="1"/>
  <c r="EB20" i="190" s="1"/>
  <c r="EF20" i="190" s="1"/>
  <c r="EG20" i="190" s="1"/>
  <c r="EK20" i="190" s="1"/>
  <c r="EL20" i="190" s="1"/>
  <c r="EP20" i="190" s="1"/>
  <c r="EQ20" i="190" s="1"/>
  <c r="EU20" i="190" s="1"/>
  <c r="EV20" i="190" s="1"/>
  <c r="EZ20" i="190" s="1"/>
  <c r="FA20" i="190" s="1"/>
  <c r="FE20" i="190" s="1"/>
  <c r="FF20" i="190" s="1"/>
  <c r="FJ20" i="190" s="1"/>
  <c r="FK20" i="190" s="1"/>
  <c r="FO20" i="190" s="1"/>
  <c r="FP20" i="190" s="1"/>
  <c r="FT20" i="190" s="1"/>
  <c r="FU20" i="190" s="1"/>
  <c r="FY20" i="190" s="1"/>
  <c r="FZ20" i="190" s="1"/>
  <c r="GD20" i="190" s="1"/>
  <c r="GE20" i="190" s="1"/>
  <c r="GI20" i="190" s="1"/>
  <c r="BW20" i="190"/>
  <c r="CA20" i="190" s="1"/>
  <c r="CD70" i="190"/>
  <c r="BW70" i="190"/>
  <c r="CA70" i="190" s="1"/>
  <c r="FC63" i="190"/>
  <c r="FC66" i="190" s="1"/>
  <c r="G85" i="190"/>
  <c r="AU85" i="190"/>
  <c r="FB63" i="190"/>
  <c r="FB66" i="190" s="1"/>
  <c r="BW29" i="190"/>
  <c r="CA29" i="190" s="1"/>
  <c r="CD29" i="190"/>
  <c r="CH29" i="190" s="1"/>
  <c r="CI29" i="190" s="1"/>
  <c r="CM29" i="190" s="1"/>
  <c r="CN29" i="190" s="1"/>
  <c r="CR29" i="190" s="1"/>
  <c r="CS29" i="190" s="1"/>
  <c r="CW29" i="190" s="1"/>
  <c r="CX29" i="190" s="1"/>
  <c r="DB29" i="190" s="1"/>
  <c r="DC29" i="190" s="1"/>
  <c r="DG29" i="190" s="1"/>
  <c r="DH29" i="190" s="1"/>
  <c r="DL29" i="190" s="1"/>
  <c r="DM29" i="190" s="1"/>
  <c r="DQ29" i="190" s="1"/>
  <c r="DR29" i="190" s="1"/>
  <c r="DV29" i="190" s="1"/>
  <c r="DW29" i="190" s="1"/>
  <c r="EA29" i="190" s="1"/>
  <c r="EB29" i="190" s="1"/>
  <c r="EF29" i="190" s="1"/>
  <c r="EG29" i="190" s="1"/>
  <c r="EK29" i="190" s="1"/>
  <c r="EL29" i="190" s="1"/>
  <c r="EP29" i="190" s="1"/>
  <c r="EQ29" i="190" s="1"/>
  <c r="EU29" i="190" s="1"/>
  <c r="EV29" i="190" s="1"/>
  <c r="EZ29" i="190" s="1"/>
  <c r="FA29" i="190" s="1"/>
  <c r="FE29" i="190" s="1"/>
  <c r="FF29" i="190" s="1"/>
  <c r="FJ29" i="190" s="1"/>
  <c r="FK29" i="190" s="1"/>
  <c r="FO29" i="190" s="1"/>
  <c r="FP29" i="190" s="1"/>
  <c r="FT29" i="190" s="1"/>
  <c r="FU29" i="190" s="1"/>
  <c r="FY29" i="190" s="1"/>
  <c r="FZ29" i="190" s="1"/>
  <c r="GD29" i="190" s="1"/>
  <c r="GE29" i="190" s="1"/>
  <c r="GI29" i="190" s="1"/>
  <c r="BW37" i="190"/>
  <c r="CA37" i="190" s="1"/>
  <c r="CD37" i="190"/>
  <c r="CH37" i="190" s="1"/>
  <c r="CI37" i="190" s="1"/>
  <c r="CM37" i="190" s="1"/>
  <c r="CN37" i="190" s="1"/>
  <c r="CR37" i="190" s="1"/>
  <c r="CS37" i="190" s="1"/>
  <c r="CW37" i="190" s="1"/>
  <c r="CX37" i="190" s="1"/>
  <c r="DB37" i="190" s="1"/>
  <c r="DC37" i="190" s="1"/>
  <c r="DG37" i="190" s="1"/>
  <c r="DH37" i="190" s="1"/>
  <c r="DL37" i="190" s="1"/>
  <c r="DM37" i="190" s="1"/>
  <c r="DQ37" i="190" s="1"/>
  <c r="DR37" i="190" s="1"/>
  <c r="DV37" i="190" s="1"/>
  <c r="DW37" i="190" s="1"/>
  <c r="EA37" i="190" s="1"/>
  <c r="EB37" i="190" s="1"/>
  <c r="EF37" i="190" s="1"/>
  <c r="EG37" i="190" s="1"/>
  <c r="EK37" i="190" s="1"/>
  <c r="EL37" i="190" s="1"/>
  <c r="EP37" i="190" s="1"/>
  <c r="EQ37" i="190" s="1"/>
  <c r="EU37" i="190" s="1"/>
  <c r="EV37" i="190" s="1"/>
  <c r="EZ37" i="190" s="1"/>
  <c r="FA37" i="190" s="1"/>
  <c r="FE37" i="190" s="1"/>
  <c r="FF37" i="190" s="1"/>
  <c r="FJ37" i="190" s="1"/>
  <c r="FK37" i="190" s="1"/>
  <c r="FO37" i="190" s="1"/>
  <c r="FP37" i="190" s="1"/>
  <c r="FT37" i="190" s="1"/>
  <c r="FU37" i="190" s="1"/>
  <c r="FY37" i="190" s="1"/>
  <c r="FZ37" i="190" s="1"/>
  <c r="GD37" i="190" s="1"/>
  <c r="GE37" i="190" s="1"/>
  <c r="GI37" i="190" s="1"/>
  <c r="BW53" i="190"/>
  <c r="CA53" i="190" s="1"/>
  <c r="CD53" i="190"/>
  <c r="CH53" i="190" s="1"/>
  <c r="CI53" i="190" s="1"/>
  <c r="CM53" i="190" s="1"/>
  <c r="CN53" i="190" s="1"/>
  <c r="CR53" i="190" s="1"/>
  <c r="CS53" i="190" s="1"/>
  <c r="CW53" i="190" s="1"/>
  <c r="CX53" i="190" s="1"/>
  <c r="DB53" i="190" s="1"/>
  <c r="DC53" i="190" s="1"/>
  <c r="DG53" i="190" s="1"/>
  <c r="DH53" i="190" s="1"/>
  <c r="DL53" i="190" s="1"/>
  <c r="DM53" i="190" s="1"/>
  <c r="DQ53" i="190" s="1"/>
  <c r="DR53" i="190" s="1"/>
  <c r="DV53" i="190" s="1"/>
  <c r="DW53" i="190" s="1"/>
  <c r="EA53" i="190" s="1"/>
  <c r="EB53" i="190" s="1"/>
  <c r="EF53" i="190" s="1"/>
  <c r="EG53" i="190" s="1"/>
  <c r="EK53" i="190" s="1"/>
  <c r="EL53" i="190" s="1"/>
  <c r="EP53" i="190" s="1"/>
  <c r="EQ53" i="190" s="1"/>
  <c r="EU53" i="190" s="1"/>
  <c r="EV53" i="190" s="1"/>
  <c r="EZ53" i="190" s="1"/>
  <c r="FA53" i="190" s="1"/>
  <c r="FE53" i="190" s="1"/>
  <c r="FF53" i="190" s="1"/>
  <c r="FJ53" i="190" s="1"/>
  <c r="FK53" i="190" s="1"/>
  <c r="FO53" i="190" s="1"/>
  <c r="FP53" i="190" s="1"/>
  <c r="FT53" i="190" s="1"/>
  <c r="FU53" i="190" s="1"/>
  <c r="FY53" i="190" s="1"/>
  <c r="FZ53" i="190" s="1"/>
  <c r="GD53" i="190" s="1"/>
  <c r="GE53" i="190" s="1"/>
  <c r="GI53" i="190" s="1"/>
  <c r="G30" i="191"/>
  <c r="H30" i="191" s="1"/>
  <c r="I30" i="191" s="1"/>
  <c r="J30" i="191" s="1"/>
  <c r="K30" i="191" s="1"/>
  <c r="L30" i="191" s="1"/>
  <c r="M30" i="191" s="1"/>
  <c r="N30" i="191" s="1"/>
  <c r="O30" i="191" s="1"/>
  <c r="P64" i="191"/>
  <c r="C99" i="191"/>
  <c r="R122" i="191"/>
  <c r="BW11" i="190"/>
  <c r="CA11" i="190" s="1"/>
  <c r="CD11" i="190"/>
  <c r="CH11" i="190" s="1"/>
  <c r="CI11" i="190" s="1"/>
  <c r="CM11" i="190" s="1"/>
  <c r="CN11" i="190" s="1"/>
  <c r="CR11" i="190" s="1"/>
  <c r="CS11" i="190" s="1"/>
  <c r="CW11" i="190" s="1"/>
  <c r="CX11" i="190" s="1"/>
  <c r="DB11" i="190" s="1"/>
  <c r="DC11" i="190" s="1"/>
  <c r="DG11" i="190" s="1"/>
  <c r="DH11" i="190" s="1"/>
  <c r="DL11" i="190" s="1"/>
  <c r="DM11" i="190" s="1"/>
  <c r="DQ11" i="190" s="1"/>
  <c r="DR11" i="190" s="1"/>
  <c r="DV11" i="190" s="1"/>
  <c r="DW11" i="190" s="1"/>
  <c r="EA11" i="190" s="1"/>
  <c r="EB11" i="190" s="1"/>
  <c r="EF11" i="190" s="1"/>
  <c r="EG11" i="190" s="1"/>
  <c r="EK11" i="190" s="1"/>
  <c r="EL11" i="190" s="1"/>
  <c r="EP11" i="190" s="1"/>
  <c r="EQ11" i="190" s="1"/>
  <c r="EU11" i="190" s="1"/>
  <c r="EV11" i="190" s="1"/>
  <c r="EZ11" i="190" s="1"/>
  <c r="FA11" i="190" s="1"/>
  <c r="FE11" i="190" s="1"/>
  <c r="FF11" i="190" s="1"/>
  <c r="FJ11" i="190" s="1"/>
  <c r="FK11" i="190" s="1"/>
  <c r="FO11" i="190" s="1"/>
  <c r="FP11" i="190" s="1"/>
  <c r="FT11" i="190" s="1"/>
  <c r="FU11" i="190" s="1"/>
  <c r="FY11" i="190" s="1"/>
  <c r="FZ11" i="190" s="1"/>
  <c r="GD11" i="190" s="1"/>
  <c r="GE11" i="190" s="1"/>
  <c r="GI11" i="190" s="1"/>
  <c r="CD8" i="190"/>
  <c r="CH8" i="190" s="1"/>
  <c r="CI8" i="190" s="1"/>
  <c r="CM8" i="190" s="1"/>
  <c r="CN8" i="190" s="1"/>
  <c r="CR8" i="190" s="1"/>
  <c r="CS8" i="190" s="1"/>
  <c r="CW8" i="190" s="1"/>
  <c r="CX8" i="190" s="1"/>
  <c r="DB8" i="190" s="1"/>
  <c r="DC8" i="190" s="1"/>
  <c r="DG8" i="190" s="1"/>
  <c r="DH8" i="190" s="1"/>
  <c r="DL8" i="190" s="1"/>
  <c r="DM8" i="190" s="1"/>
  <c r="DQ8" i="190" s="1"/>
  <c r="DR8" i="190" s="1"/>
  <c r="DV8" i="190" s="1"/>
  <c r="DW8" i="190" s="1"/>
  <c r="EA8" i="190" s="1"/>
  <c r="EB8" i="190" s="1"/>
  <c r="EF8" i="190" s="1"/>
  <c r="EG8" i="190" s="1"/>
  <c r="EK8" i="190" s="1"/>
  <c r="EL8" i="190" s="1"/>
  <c r="EP8" i="190" s="1"/>
  <c r="EQ8" i="190" s="1"/>
  <c r="EU8" i="190" s="1"/>
  <c r="EV8" i="190" s="1"/>
  <c r="EZ8" i="190" s="1"/>
  <c r="FA8" i="190" s="1"/>
  <c r="FE8" i="190" s="1"/>
  <c r="FF8" i="190" s="1"/>
  <c r="FJ8" i="190" s="1"/>
  <c r="FK8" i="190" s="1"/>
  <c r="FO8" i="190" s="1"/>
  <c r="FP8" i="190" s="1"/>
  <c r="FT8" i="190" s="1"/>
  <c r="FU8" i="190" s="1"/>
  <c r="FY8" i="190" s="1"/>
  <c r="FZ8" i="190" s="1"/>
  <c r="GD8" i="190" s="1"/>
  <c r="GE8" i="190" s="1"/>
  <c r="GI8" i="190" s="1"/>
  <c r="BW8" i="190"/>
  <c r="CA8" i="190" s="1"/>
  <c r="P85" i="190"/>
  <c r="EA84" i="190"/>
  <c r="EA91" i="190" s="1"/>
  <c r="GI84" i="190"/>
  <c r="GI97" i="190" s="1"/>
  <c r="CD17" i="190"/>
  <c r="CH17" i="190" s="1"/>
  <c r="CI17" i="190" s="1"/>
  <c r="CM17" i="190" s="1"/>
  <c r="CN17" i="190" s="1"/>
  <c r="CR17" i="190" s="1"/>
  <c r="CS17" i="190" s="1"/>
  <c r="CW17" i="190" s="1"/>
  <c r="CX17" i="190" s="1"/>
  <c r="DB17" i="190" s="1"/>
  <c r="DC17" i="190" s="1"/>
  <c r="DG17" i="190" s="1"/>
  <c r="DH17" i="190" s="1"/>
  <c r="DL17" i="190" s="1"/>
  <c r="DM17" i="190" s="1"/>
  <c r="DQ17" i="190" s="1"/>
  <c r="DR17" i="190" s="1"/>
  <c r="DV17" i="190" s="1"/>
  <c r="DW17" i="190" s="1"/>
  <c r="EA17" i="190" s="1"/>
  <c r="EB17" i="190" s="1"/>
  <c r="EF17" i="190" s="1"/>
  <c r="EG17" i="190" s="1"/>
  <c r="EK17" i="190" s="1"/>
  <c r="EL17" i="190" s="1"/>
  <c r="EP17" i="190" s="1"/>
  <c r="EQ17" i="190" s="1"/>
  <c r="EU17" i="190" s="1"/>
  <c r="EV17" i="190" s="1"/>
  <c r="EZ17" i="190" s="1"/>
  <c r="FA17" i="190" s="1"/>
  <c r="FE17" i="190" s="1"/>
  <c r="FF17" i="190" s="1"/>
  <c r="FJ17" i="190" s="1"/>
  <c r="FK17" i="190" s="1"/>
  <c r="FO17" i="190" s="1"/>
  <c r="FP17" i="190" s="1"/>
  <c r="FT17" i="190" s="1"/>
  <c r="FU17" i="190" s="1"/>
  <c r="FY17" i="190" s="1"/>
  <c r="FZ17" i="190" s="1"/>
  <c r="GD17" i="190" s="1"/>
  <c r="GE17" i="190" s="1"/>
  <c r="GI17" i="190" s="1"/>
  <c r="BW17" i="190"/>
  <c r="CA17" i="190" s="1"/>
  <c r="CD21" i="190"/>
  <c r="CH21" i="190" s="1"/>
  <c r="CI21" i="190" s="1"/>
  <c r="CM21" i="190" s="1"/>
  <c r="CN21" i="190" s="1"/>
  <c r="CR21" i="190" s="1"/>
  <c r="CS21" i="190" s="1"/>
  <c r="CW21" i="190" s="1"/>
  <c r="CX21" i="190" s="1"/>
  <c r="DB21" i="190" s="1"/>
  <c r="DC21" i="190" s="1"/>
  <c r="DG21" i="190" s="1"/>
  <c r="DH21" i="190" s="1"/>
  <c r="DL21" i="190" s="1"/>
  <c r="DM21" i="190" s="1"/>
  <c r="DQ21" i="190" s="1"/>
  <c r="DR21" i="190" s="1"/>
  <c r="DV21" i="190" s="1"/>
  <c r="DW21" i="190" s="1"/>
  <c r="EA21" i="190" s="1"/>
  <c r="EB21" i="190" s="1"/>
  <c r="EF21" i="190" s="1"/>
  <c r="EG21" i="190" s="1"/>
  <c r="EK21" i="190" s="1"/>
  <c r="EL21" i="190" s="1"/>
  <c r="EP21" i="190" s="1"/>
  <c r="EQ21" i="190" s="1"/>
  <c r="EU21" i="190" s="1"/>
  <c r="EV21" i="190" s="1"/>
  <c r="EZ21" i="190" s="1"/>
  <c r="FA21" i="190" s="1"/>
  <c r="FE21" i="190" s="1"/>
  <c r="FF21" i="190" s="1"/>
  <c r="FJ21" i="190" s="1"/>
  <c r="FK21" i="190" s="1"/>
  <c r="FO21" i="190" s="1"/>
  <c r="FP21" i="190" s="1"/>
  <c r="FT21" i="190" s="1"/>
  <c r="FU21" i="190" s="1"/>
  <c r="FY21" i="190" s="1"/>
  <c r="FZ21" i="190" s="1"/>
  <c r="GD21" i="190" s="1"/>
  <c r="GE21" i="190" s="1"/>
  <c r="GI21" i="190" s="1"/>
  <c r="BW21" i="190"/>
  <c r="CA21" i="190" s="1"/>
  <c r="CD25" i="190"/>
  <c r="CH25" i="190" s="1"/>
  <c r="CI25" i="190" s="1"/>
  <c r="CM25" i="190" s="1"/>
  <c r="CN25" i="190" s="1"/>
  <c r="CR25" i="190" s="1"/>
  <c r="CS25" i="190" s="1"/>
  <c r="CW25" i="190" s="1"/>
  <c r="CX25" i="190" s="1"/>
  <c r="DB25" i="190" s="1"/>
  <c r="DC25" i="190" s="1"/>
  <c r="DG25" i="190" s="1"/>
  <c r="DH25" i="190" s="1"/>
  <c r="DL25" i="190" s="1"/>
  <c r="DM25" i="190" s="1"/>
  <c r="DQ25" i="190" s="1"/>
  <c r="DR25" i="190" s="1"/>
  <c r="DV25" i="190" s="1"/>
  <c r="DW25" i="190" s="1"/>
  <c r="EA25" i="190" s="1"/>
  <c r="EB25" i="190" s="1"/>
  <c r="EF25" i="190" s="1"/>
  <c r="EG25" i="190" s="1"/>
  <c r="EK25" i="190" s="1"/>
  <c r="EL25" i="190" s="1"/>
  <c r="EP25" i="190" s="1"/>
  <c r="EQ25" i="190" s="1"/>
  <c r="EU25" i="190" s="1"/>
  <c r="EV25" i="190" s="1"/>
  <c r="EZ25" i="190" s="1"/>
  <c r="FA25" i="190" s="1"/>
  <c r="FE25" i="190" s="1"/>
  <c r="FF25" i="190" s="1"/>
  <c r="FJ25" i="190" s="1"/>
  <c r="FK25" i="190" s="1"/>
  <c r="FO25" i="190" s="1"/>
  <c r="FP25" i="190" s="1"/>
  <c r="FT25" i="190" s="1"/>
  <c r="FU25" i="190" s="1"/>
  <c r="FY25" i="190" s="1"/>
  <c r="FZ25" i="190" s="1"/>
  <c r="GD25" i="190" s="1"/>
  <c r="GE25" i="190" s="1"/>
  <c r="GI25" i="190" s="1"/>
  <c r="BW25" i="190"/>
  <c r="CA25" i="190" s="1"/>
  <c r="CD30" i="190"/>
  <c r="CH30" i="190" s="1"/>
  <c r="CI30" i="190" s="1"/>
  <c r="CM30" i="190" s="1"/>
  <c r="CN30" i="190" s="1"/>
  <c r="CR30" i="190" s="1"/>
  <c r="CS30" i="190" s="1"/>
  <c r="CW30" i="190" s="1"/>
  <c r="CX30" i="190" s="1"/>
  <c r="DB30" i="190" s="1"/>
  <c r="DC30" i="190" s="1"/>
  <c r="DG30" i="190" s="1"/>
  <c r="DH30" i="190" s="1"/>
  <c r="DL30" i="190" s="1"/>
  <c r="DM30" i="190" s="1"/>
  <c r="DQ30" i="190" s="1"/>
  <c r="DR30" i="190" s="1"/>
  <c r="DV30" i="190" s="1"/>
  <c r="DW30" i="190" s="1"/>
  <c r="EA30" i="190" s="1"/>
  <c r="EB30" i="190" s="1"/>
  <c r="EF30" i="190" s="1"/>
  <c r="EG30" i="190" s="1"/>
  <c r="EK30" i="190" s="1"/>
  <c r="EL30" i="190" s="1"/>
  <c r="EP30" i="190" s="1"/>
  <c r="EQ30" i="190" s="1"/>
  <c r="EU30" i="190" s="1"/>
  <c r="EV30" i="190" s="1"/>
  <c r="EZ30" i="190" s="1"/>
  <c r="FA30" i="190" s="1"/>
  <c r="FE30" i="190" s="1"/>
  <c r="FF30" i="190" s="1"/>
  <c r="FJ30" i="190" s="1"/>
  <c r="FK30" i="190" s="1"/>
  <c r="FO30" i="190" s="1"/>
  <c r="FP30" i="190" s="1"/>
  <c r="FT30" i="190" s="1"/>
  <c r="FU30" i="190" s="1"/>
  <c r="FY30" i="190" s="1"/>
  <c r="FZ30" i="190" s="1"/>
  <c r="GD30" i="190" s="1"/>
  <c r="GE30" i="190" s="1"/>
  <c r="GI30" i="190" s="1"/>
  <c r="BW30" i="190"/>
  <c r="CA30" i="190" s="1"/>
  <c r="CD38" i="190"/>
  <c r="CH38" i="190" s="1"/>
  <c r="CI38" i="190" s="1"/>
  <c r="CM38" i="190" s="1"/>
  <c r="CN38" i="190" s="1"/>
  <c r="CR38" i="190" s="1"/>
  <c r="CS38" i="190" s="1"/>
  <c r="CW38" i="190" s="1"/>
  <c r="CX38" i="190" s="1"/>
  <c r="DB38" i="190" s="1"/>
  <c r="DC38" i="190" s="1"/>
  <c r="DG38" i="190" s="1"/>
  <c r="DH38" i="190" s="1"/>
  <c r="DL38" i="190" s="1"/>
  <c r="DM38" i="190" s="1"/>
  <c r="DQ38" i="190" s="1"/>
  <c r="DR38" i="190" s="1"/>
  <c r="DV38" i="190" s="1"/>
  <c r="DW38" i="190" s="1"/>
  <c r="EA38" i="190" s="1"/>
  <c r="EB38" i="190" s="1"/>
  <c r="EF38" i="190" s="1"/>
  <c r="EG38" i="190" s="1"/>
  <c r="EK38" i="190" s="1"/>
  <c r="EL38" i="190" s="1"/>
  <c r="EP38" i="190" s="1"/>
  <c r="EQ38" i="190" s="1"/>
  <c r="EU38" i="190" s="1"/>
  <c r="EV38" i="190" s="1"/>
  <c r="EZ38" i="190" s="1"/>
  <c r="FA38" i="190" s="1"/>
  <c r="FE38" i="190" s="1"/>
  <c r="FF38" i="190" s="1"/>
  <c r="FJ38" i="190" s="1"/>
  <c r="FK38" i="190" s="1"/>
  <c r="FO38" i="190" s="1"/>
  <c r="FP38" i="190" s="1"/>
  <c r="FT38" i="190" s="1"/>
  <c r="FU38" i="190" s="1"/>
  <c r="FY38" i="190" s="1"/>
  <c r="FZ38" i="190" s="1"/>
  <c r="GD38" i="190" s="1"/>
  <c r="GE38" i="190" s="1"/>
  <c r="GI38" i="190" s="1"/>
  <c r="BW38" i="190"/>
  <c r="CA38" i="190" s="1"/>
  <c r="BR46" i="190"/>
  <c r="BQ60" i="190"/>
  <c r="BW57" i="190"/>
  <c r="CA57" i="190" s="1"/>
  <c r="CD57" i="190"/>
  <c r="CH57" i="190" s="1"/>
  <c r="CI57" i="190" s="1"/>
  <c r="CM57" i="190" s="1"/>
  <c r="CN57" i="190" s="1"/>
  <c r="CR57" i="190" s="1"/>
  <c r="CS57" i="190" s="1"/>
  <c r="CW57" i="190" s="1"/>
  <c r="CX57" i="190" s="1"/>
  <c r="DB57" i="190" s="1"/>
  <c r="DC57" i="190" s="1"/>
  <c r="DG57" i="190" s="1"/>
  <c r="DH57" i="190" s="1"/>
  <c r="DL57" i="190" s="1"/>
  <c r="DM57" i="190" s="1"/>
  <c r="DQ57" i="190" s="1"/>
  <c r="DR57" i="190" s="1"/>
  <c r="DV57" i="190" s="1"/>
  <c r="DW57" i="190" s="1"/>
  <c r="EA57" i="190" s="1"/>
  <c r="EB57" i="190" s="1"/>
  <c r="EF57" i="190" s="1"/>
  <c r="EG57" i="190" s="1"/>
  <c r="EK57" i="190" s="1"/>
  <c r="EL57" i="190" s="1"/>
  <c r="EP57" i="190" s="1"/>
  <c r="EQ57" i="190" s="1"/>
  <c r="EU57" i="190" s="1"/>
  <c r="EV57" i="190" s="1"/>
  <c r="EZ57" i="190" s="1"/>
  <c r="FA57" i="190" s="1"/>
  <c r="FE57" i="190" s="1"/>
  <c r="FF57" i="190" s="1"/>
  <c r="FJ57" i="190" s="1"/>
  <c r="FK57" i="190" s="1"/>
  <c r="FO57" i="190" s="1"/>
  <c r="FP57" i="190" s="1"/>
  <c r="FT57" i="190" s="1"/>
  <c r="FU57" i="190" s="1"/>
  <c r="FY57" i="190" s="1"/>
  <c r="FZ57" i="190" s="1"/>
  <c r="GD57" i="190" s="1"/>
  <c r="GE57" i="190" s="1"/>
  <c r="GI57" i="190" s="1"/>
  <c r="N73" i="190"/>
  <c r="F38" i="191"/>
  <c r="I171" i="149"/>
  <c r="M10" i="101"/>
  <c r="I90" i="149"/>
  <c r="I9" i="106"/>
  <c r="I10" i="149"/>
  <c r="A4" i="110"/>
  <c r="A4" i="120"/>
  <c r="A4" i="108"/>
  <c r="A4" i="141"/>
  <c r="A4" i="230"/>
  <c r="A4" i="109"/>
  <c r="A4" i="149"/>
  <c r="A4" i="239"/>
  <c r="A4" i="234"/>
  <c r="A4" i="229"/>
  <c r="A4" i="101"/>
  <c r="A4" i="238"/>
  <c r="A4" i="233"/>
  <c r="A4" i="139"/>
  <c r="A4" i="236"/>
  <c r="A4" i="94"/>
  <c r="A4" i="140"/>
  <c r="A4" i="232"/>
  <c r="A4" i="237"/>
  <c r="A4" i="231"/>
  <c r="A4" i="88"/>
  <c r="A4" i="90"/>
  <c r="A4" i="86"/>
  <c r="A78" i="153"/>
  <c r="A4" i="227"/>
  <c r="A156" i="153"/>
  <c r="A4" i="87"/>
  <c r="A4" i="226"/>
  <c r="A4" i="153"/>
  <c r="A4" i="228"/>
  <c r="A4" i="235"/>
  <c r="A4" i="225"/>
  <c r="A4" i="68"/>
  <c r="A4" i="69"/>
  <c r="BM60" i="190"/>
  <c r="BM63" i="190" s="1"/>
  <c r="F8" i="163"/>
  <c r="F8" i="186"/>
  <c r="F8" i="166"/>
  <c r="F8" i="203"/>
  <c r="D8" i="165"/>
  <c r="I8" i="187"/>
  <c r="R8" i="78"/>
  <c r="R60" i="78" s="1"/>
  <c r="F8" i="201"/>
  <c r="L3" i="215"/>
  <c r="S159" i="120"/>
  <c r="S54" i="120"/>
  <c r="S103" i="120"/>
  <c r="S12" i="120"/>
  <c r="C64" i="191"/>
  <c r="D64" i="191" s="1"/>
  <c r="E64" i="191" s="1"/>
  <c r="F64" i="191" s="1"/>
  <c r="G64" i="191" s="1"/>
  <c r="H64" i="191" s="1"/>
  <c r="I64" i="191" s="1"/>
  <c r="J64" i="191" s="1"/>
  <c r="K64" i="191" s="1"/>
  <c r="L64" i="191" s="1"/>
  <c r="M64" i="191" s="1"/>
  <c r="N64" i="191" s="1"/>
  <c r="O64" i="191" s="1"/>
  <c r="A5" i="149"/>
  <c r="A5" i="120"/>
  <c r="A5" i="109"/>
  <c r="A85" i="207"/>
  <c r="A5" i="110"/>
  <c r="A5" i="239"/>
  <c r="A5" i="234"/>
  <c r="A5" i="229"/>
  <c r="A5" i="88"/>
  <c r="A5" i="226"/>
  <c r="A5" i="237"/>
  <c r="A5" i="235"/>
  <c r="A5" i="101"/>
  <c r="A5" i="236"/>
  <c r="A5" i="94"/>
  <c r="A5" i="140"/>
  <c r="A5" i="232"/>
  <c r="A5" i="228"/>
  <c r="A5" i="90"/>
  <c r="A5" i="108"/>
  <c r="A5" i="86"/>
  <c r="A79" i="153"/>
  <c r="A5" i="238"/>
  <c r="A5" i="227"/>
  <c r="A157" i="153"/>
  <c r="A5" i="87"/>
  <c r="A4" i="207"/>
  <c r="A5" i="139"/>
  <c r="A5" i="230"/>
  <c r="A5" i="141"/>
  <c r="A5" i="153"/>
  <c r="A5" i="233"/>
  <c r="A5" i="231"/>
  <c r="A5" i="225"/>
  <c r="A5" i="68"/>
  <c r="A5" i="69"/>
  <c r="F8" i="212"/>
  <c r="BQ45" i="190"/>
  <c r="P39" i="191"/>
  <c r="C68" i="191"/>
  <c r="P68" i="191" s="1"/>
  <c r="C109" i="191" s="1"/>
  <c r="P109" i="191" s="1"/>
  <c r="G9" i="207"/>
  <c r="J8" i="167"/>
  <c r="J8" i="224"/>
  <c r="H8" i="206"/>
  <c r="L8" i="171"/>
  <c r="Y8" i="171"/>
  <c r="Y8" i="170"/>
  <c r="L8" i="170"/>
  <c r="BR6" i="190"/>
  <c r="BM62" i="190"/>
  <c r="F16" i="200"/>
  <c r="D23" i="7"/>
  <c r="G935" i="209"/>
  <c r="P76" i="73"/>
  <c r="P8" i="73"/>
  <c r="G8" i="71"/>
  <c r="G91" i="71" s="1"/>
  <c r="P8" i="72"/>
  <c r="P72" i="72" s="1"/>
  <c r="Q10" i="68"/>
  <c r="G8" i="70"/>
  <c r="G88" i="70" s="1"/>
  <c r="Q9" i="69"/>
  <c r="I9" i="237"/>
  <c r="I9" i="235"/>
  <c r="I9" i="231"/>
  <c r="K10" i="87"/>
  <c r="I9" i="238"/>
  <c r="I9" i="233"/>
  <c r="I9" i="139"/>
  <c r="I9" i="141"/>
  <c r="K10" i="230"/>
  <c r="H9" i="239"/>
  <c r="I9" i="140"/>
  <c r="I9" i="236"/>
  <c r="K10" i="229"/>
  <c r="I9" i="94"/>
  <c r="K10" i="226"/>
  <c r="I9" i="234"/>
  <c r="K10" i="228"/>
  <c r="K10" i="225"/>
  <c r="I9" i="232"/>
  <c r="K10" i="227"/>
  <c r="K10" i="86"/>
  <c r="K10" i="90"/>
  <c r="K10" i="88"/>
  <c r="J73" i="190"/>
  <c r="E80" i="190"/>
  <c r="E82" i="190" s="1"/>
  <c r="E85" i="190" s="1"/>
  <c r="I10" i="231"/>
  <c r="K11" i="87"/>
  <c r="I10" i="233"/>
  <c r="I10" i="139"/>
  <c r="I10" i="94"/>
  <c r="I10" i="140"/>
  <c r="K11" i="229"/>
  <c r="I10" i="235"/>
  <c r="K11" i="225"/>
  <c r="I10" i="141"/>
  <c r="K11" i="227"/>
  <c r="I10" i="237"/>
  <c r="K11" i="86"/>
  <c r="K11" i="88"/>
  <c r="K11" i="90"/>
  <c r="N75" i="190"/>
  <c r="L23" i="215"/>
  <c r="G88" i="3"/>
  <c r="F32" i="1"/>
  <c r="F34" i="1" s="1"/>
  <c r="I20" i="46"/>
  <c r="L34" i="215"/>
  <c r="D81" i="7"/>
  <c r="G995" i="209"/>
  <c r="E20" i="196"/>
  <c r="D44" i="7"/>
  <c r="G956" i="209"/>
  <c r="J30" i="1"/>
  <c r="J34" i="1" s="1"/>
  <c r="F81" i="47"/>
  <c r="D21" i="7"/>
  <c r="H21" i="7" s="1"/>
  <c r="G933" i="209"/>
  <c r="D87" i="7"/>
  <c r="G1001" i="209"/>
  <c r="D80" i="7"/>
  <c r="G994" i="209"/>
  <c r="D88" i="7"/>
  <c r="G1002" i="209"/>
  <c r="E79" i="42"/>
  <c r="I1109" i="209"/>
  <c r="O1109" i="209" s="1"/>
  <c r="D41" i="7"/>
  <c r="G953" i="209"/>
  <c r="E44" i="42"/>
  <c r="O78" i="209"/>
  <c r="I192" i="209" s="1"/>
  <c r="O192" i="209" s="1"/>
  <c r="I306" i="209" s="1"/>
  <c r="O306" i="209" s="1"/>
  <c r="I420" i="209" s="1"/>
  <c r="O420" i="209" s="1"/>
  <c r="I534" i="209" s="1"/>
  <c r="O534" i="209" s="1"/>
  <c r="I648" i="209" s="1"/>
  <c r="O648" i="209" s="1"/>
  <c r="I762" i="209" s="1"/>
  <c r="O762" i="209" s="1"/>
  <c r="I876" i="209" s="1"/>
  <c r="O876" i="209" s="1"/>
  <c r="I990" i="209" s="1"/>
  <c r="O990" i="209" s="1"/>
  <c r="M91" i="209"/>
  <c r="E83" i="42"/>
  <c r="I1113" i="209"/>
  <c r="O1113" i="209" s="1"/>
  <c r="D33" i="7"/>
  <c r="G945" i="209"/>
  <c r="D37" i="7"/>
  <c r="G949" i="209"/>
  <c r="D79" i="7"/>
  <c r="G993" i="209"/>
  <c r="M547" i="209"/>
  <c r="D42" i="7"/>
  <c r="G954" i="209"/>
  <c r="D36" i="7"/>
  <c r="G948" i="209"/>
  <c r="D39" i="7"/>
  <c r="G951" i="209"/>
  <c r="D78" i="196"/>
  <c r="D135" i="196" s="1"/>
  <c r="D54" i="7"/>
  <c r="G966" i="209"/>
  <c r="N568" i="209"/>
  <c r="L21" i="196"/>
  <c r="L135" i="196" s="1"/>
  <c r="D22" i="7"/>
  <c r="G934" i="209"/>
  <c r="D43" i="7"/>
  <c r="G955" i="209"/>
  <c r="I205" i="209"/>
  <c r="O191" i="209"/>
  <c r="D85" i="7"/>
  <c r="G999" i="209"/>
  <c r="I1135" i="209"/>
  <c r="O1135" i="209" s="1"/>
  <c r="E43" i="42"/>
  <c r="I1070" i="209"/>
  <c r="O1070" i="209" s="1"/>
  <c r="D83" i="7"/>
  <c r="G997" i="209"/>
  <c r="E18" i="42"/>
  <c r="I1046" i="209"/>
  <c r="O1046" i="209" s="1"/>
  <c r="E21" i="42"/>
  <c r="I1049" i="209"/>
  <c r="O1049" i="209" s="1"/>
  <c r="E32" i="42"/>
  <c r="I1059" i="209"/>
  <c r="O1059" i="209" s="1"/>
  <c r="E35" i="42"/>
  <c r="I1062" i="209"/>
  <c r="O1062" i="209" s="1"/>
  <c r="D49" i="7"/>
  <c r="G961" i="209"/>
  <c r="D76" i="7"/>
  <c r="G990" i="209"/>
  <c r="D51" i="7"/>
  <c r="G963" i="209"/>
  <c r="D55" i="7"/>
  <c r="G967" i="209"/>
  <c r="D34" i="7"/>
  <c r="G946" i="209"/>
  <c r="M448" i="209"/>
  <c r="M452" i="209" s="1"/>
  <c r="K77" i="196" s="1"/>
  <c r="F452" i="209"/>
  <c r="E77" i="196" s="1"/>
  <c r="D45" i="7"/>
  <c r="G957" i="209"/>
  <c r="G132" i="209"/>
  <c r="I141" i="209"/>
  <c r="D31" i="7"/>
  <c r="G943" i="209"/>
  <c r="D53" i="7"/>
  <c r="G965" i="209"/>
  <c r="D52" i="7"/>
  <c r="G964" i="209"/>
  <c r="D47" i="7"/>
  <c r="G959" i="209"/>
  <c r="D35" i="7"/>
  <c r="G947" i="209"/>
  <c r="D48" i="7"/>
  <c r="G960" i="209"/>
  <c r="D38" i="7"/>
  <c r="G950" i="209"/>
  <c r="E38" i="42"/>
  <c r="I1065" i="209"/>
  <c r="O1065" i="209" s="1"/>
  <c r="D29" i="7"/>
  <c r="G941" i="209"/>
  <c r="L24" i="196"/>
  <c r="E51" i="42"/>
  <c r="I1078" i="209"/>
  <c r="O1078" i="209" s="1"/>
  <c r="M107" i="209"/>
  <c r="O107" i="209" s="1"/>
  <c r="I221" i="209" s="1"/>
  <c r="O221" i="209" s="1"/>
  <c r="I335" i="209" s="1"/>
  <c r="O335" i="209" s="1"/>
  <c r="I449" i="209" s="1"/>
  <c r="O449" i="209" s="1"/>
  <c r="I563" i="209" s="1"/>
  <c r="O563" i="209" s="1"/>
  <c r="I677" i="209" s="1"/>
  <c r="O677" i="209" s="1"/>
  <c r="I791" i="209" s="1"/>
  <c r="O791" i="209" s="1"/>
  <c r="I905" i="209" s="1"/>
  <c r="O905" i="209" s="1"/>
  <c r="I1019" i="209" s="1"/>
  <c r="G107" i="209"/>
  <c r="D221" i="209" s="1"/>
  <c r="G221" i="209" s="1"/>
  <c r="D335" i="209" s="1"/>
  <c r="G335" i="209" s="1"/>
  <c r="D449" i="209" s="1"/>
  <c r="G449" i="209" s="1"/>
  <c r="D563" i="209" s="1"/>
  <c r="G563" i="209" s="1"/>
  <c r="D677" i="209" s="1"/>
  <c r="G677" i="209" s="1"/>
  <c r="D791" i="209" s="1"/>
  <c r="G791" i="209" s="1"/>
  <c r="D905" i="209" s="1"/>
  <c r="G905" i="209" s="1"/>
  <c r="D1019" i="209" s="1"/>
  <c r="D305" i="209"/>
  <c r="G205" i="209"/>
  <c r="D30" i="7"/>
  <c r="G942" i="209"/>
  <c r="G996" i="209"/>
  <c r="A58" i="196"/>
  <c r="A115" i="196"/>
  <c r="D50" i="7"/>
  <c r="G962" i="209"/>
  <c r="E95" i="42"/>
  <c r="I1125" i="209"/>
  <c r="O1125" i="209" s="1"/>
  <c r="E27" i="42"/>
  <c r="O277" i="209"/>
  <c r="I391" i="209" s="1"/>
  <c r="O391" i="209" s="1"/>
  <c r="I505" i="209" s="1"/>
  <c r="O505" i="209" s="1"/>
  <c r="I619" i="209" s="1"/>
  <c r="O619" i="209" s="1"/>
  <c r="I733" i="209" s="1"/>
  <c r="O733" i="209" s="1"/>
  <c r="I847" i="209" s="1"/>
  <c r="O847" i="209" s="1"/>
  <c r="I961" i="209" s="1"/>
  <c r="O961" i="209" s="1"/>
  <c r="I1105" i="209"/>
  <c r="O1105" i="209" s="1"/>
  <c r="L568" i="209"/>
  <c r="J21" i="196"/>
  <c r="J135" i="196" s="1"/>
  <c r="G952" i="209"/>
  <c r="M661" i="209"/>
  <c r="D20" i="7"/>
  <c r="H20" i="7" s="1"/>
  <c r="G932" i="209"/>
  <c r="E29" i="42"/>
  <c r="I1056" i="209"/>
  <c r="O1056" i="209" s="1"/>
  <c r="E41" i="42"/>
  <c r="D84" i="7"/>
  <c r="G998" i="209"/>
  <c r="E26" i="196"/>
  <c r="G24" i="209"/>
  <c r="D133" i="209"/>
  <c r="G133" i="209" s="1"/>
  <c r="D247" i="209" s="1"/>
  <c r="G247" i="209" s="1"/>
  <c r="D361" i="209" s="1"/>
  <c r="G361" i="209" s="1"/>
  <c r="D475" i="209" s="1"/>
  <c r="G475" i="209" s="1"/>
  <c r="D589" i="209" s="1"/>
  <c r="G589" i="209" s="1"/>
  <c r="D703" i="209" s="1"/>
  <c r="G703" i="209" s="1"/>
  <c r="D817" i="209" s="1"/>
  <c r="G817" i="209" s="1"/>
  <c r="D931" i="209" s="1"/>
  <c r="D77" i="7"/>
  <c r="G991" i="209"/>
  <c r="O658" i="209"/>
  <c r="I772" i="209" s="1"/>
  <c r="O772" i="209" s="1"/>
  <c r="I886" i="209" s="1"/>
  <c r="O886" i="209" s="1"/>
  <c r="I1000" i="209" s="1"/>
  <c r="O1000" i="209" s="1"/>
  <c r="E19" i="196"/>
  <c r="D32" i="7"/>
  <c r="G944" i="209"/>
  <c r="M1977" i="209"/>
  <c r="E20" i="42"/>
  <c r="I1048" i="209"/>
  <c r="O1048" i="209" s="1"/>
  <c r="E78" i="42"/>
  <c r="I1108" i="209"/>
  <c r="O1108" i="209" s="1"/>
  <c r="E81" i="42"/>
  <c r="D219" i="209"/>
  <c r="D102" i="7"/>
  <c r="G1021" i="209"/>
  <c r="J22" i="196"/>
  <c r="J136" i="196" s="1"/>
  <c r="L682" i="209"/>
  <c r="E24" i="196"/>
  <c r="M958" i="209"/>
  <c r="F29" i="7"/>
  <c r="M1397" i="209"/>
  <c r="F33" i="7"/>
  <c r="M1401" i="209"/>
  <c r="F37" i="7"/>
  <c r="M1405" i="209"/>
  <c r="F41" i="7"/>
  <c r="M1409" i="209"/>
  <c r="E17" i="42"/>
  <c r="I1045" i="209"/>
  <c r="O1045" i="209" s="1"/>
  <c r="M205" i="209"/>
  <c r="M211" i="209" s="1"/>
  <c r="M215" i="209" s="1"/>
  <c r="D28" i="7"/>
  <c r="G940" i="209"/>
  <c r="L910" i="209"/>
  <c r="J24" i="196"/>
  <c r="J138" i="196" s="1"/>
  <c r="I27" i="196"/>
  <c r="E50" i="42"/>
  <c r="I1077" i="209"/>
  <c r="O1077" i="209" s="1"/>
  <c r="E85" i="42"/>
  <c r="J18" i="196"/>
  <c r="J132" i="196" s="1"/>
  <c r="N224" i="209"/>
  <c r="L75" i="196" s="1"/>
  <c r="L132" i="196" s="1"/>
  <c r="D56" i="7"/>
  <c r="G968" i="209"/>
  <c r="L796" i="209"/>
  <c r="J23" i="196"/>
  <c r="J137" i="196" s="1"/>
  <c r="G1000" i="209"/>
  <c r="M1311" i="209"/>
  <c r="J149" i="196"/>
  <c r="O24" i="209"/>
  <c r="O43" i="209"/>
  <c r="I157" i="209" s="1"/>
  <c r="O157" i="209" s="1"/>
  <c r="I271" i="209" s="1"/>
  <c r="O271" i="209" s="1"/>
  <c r="I385" i="209" s="1"/>
  <c r="I208" i="209"/>
  <c r="O95" i="209"/>
  <c r="M95" i="209"/>
  <c r="G106" i="209"/>
  <c r="D220" i="209" s="1"/>
  <c r="G220" i="209" s="1"/>
  <c r="D334" i="209" s="1"/>
  <c r="G334" i="209" s="1"/>
  <c r="D448" i="209" s="1"/>
  <c r="G448" i="209" s="1"/>
  <c r="D562" i="209" s="1"/>
  <c r="G562" i="209" s="1"/>
  <c r="D676" i="209" s="1"/>
  <c r="G676" i="209" s="1"/>
  <c r="D790" i="209" s="1"/>
  <c r="G790" i="209" s="1"/>
  <c r="D904" i="209" s="1"/>
  <c r="G904" i="209" s="1"/>
  <c r="D1018" i="209" s="1"/>
  <c r="K211" i="209"/>
  <c r="K215" i="209" s="1"/>
  <c r="E325" i="209"/>
  <c r="E329" i="209" s="1"/>
  <c r="K439" i="209"/>
  <c r="K443" i="209" s="1"/>
  <c r="N399" i="209"/>
  <c r="N439" i="209" s="1"/>
  <c r="N443" i="209" s="1"/>
  <c r="O637" i="209"/>
  <c r="N781" i="209"/>
  <c r="N785" i="209" s="1"/>
  <c r="E781" i="209"/>
  <c r="E785" i="209" s="1"/>
  <c r="F794" i="209"/>
  <c r="E80" i="196" s="1"/>
  <c r="M908" i="209"/>
  <c r="K81" i="196" s="1"/>
  <c r="O979" i="209"/>
  <c r="F45" i="7"/>
  <c r="M1413" i="209"/>
  <c r="N57" i="209"/>
  <c r="N97" i="209" s="1"/>
  <c r="N101" i="209" s="1"/>
  <c r="O40" i="209"/>
  <c r="I154" i="209" s="1"/>
  <c r="O154" i="209" s="1"/>
  <c r="I268" i="209" s="1"/>
  <c r="O268" i="209" s="1"/>
  <c r="I382" i="209" s="1"/>
  <c r="O382" i="209" s="1"/>
  <c r="I496" i="209" s="1"/>
  <c r="O496" i="209" s="1"/>
  <c r="I610" i="209" s="1"/>
  <c r="O610" i="209" s="1"/>
  <c r="I724" i="209" s="1"/>
  <c r="O724" i="209" s="1"/>
  <c r="I838" i="209" s="1"/>
  <c r="O838" i="209" s="1"/>
  <c r="I952" i="209" s="1"/>
  <c r="O952" i="209" s="1"/>
  <c r="F110" i="209"/>
  <c r="E74" i="196" s="1"/>
  <c r="F74" i="196" s="1"/>
  <c r="M105" i="209"/>
  <c r="O105" i="209" s="1"/>
  <c r="L340" i="209"/>
  <c r="E895" i="209"/>
  <c r="E899" i="209" s="1"/>
  <c r="M855" i="209"/>
  <c r="M895" i="209" s="1"/>
  <c r="M899" i="209" s="1"/>
  <c r="F908" i="209"/>
  <c r="E81" i="196" s="1"/>
  <c r="M1231" i="209"/>
  <c r="I30" i="196"/>
  <c r="A121" i="196"/>
  <c r="A64" i="196"/>
  <c r="O3998" i="209"/>
  <c r="O3943" i="209"/>
  <c r="O3770" i="209"/>
  <c r="O4057" i="209"/>
  <c r="O3884" i="209"/>
  <c r="O3487" i="209"/>
  <c r="O3200" i="209"/>
  <c r="O3829" i="209"/>
  <c r="O3601" i="209"/>
  <c r="O3428" i="209"/>
  <c r="O3314" i="209"/>
  <c r="O3542" i="209"/>
  <c r="O3656" i="209"/>
  <c r="O3145" i="209"/>
  <c r="O2972" i="209"/>
  <c r="O3373" i="209"/>
  <c r="O3259" i="209"/>
  <c r="O3086" i="209"/>
  <c r="O2858" i="209"/>
  <c r="O2461" i="209"/>
  <c r="O2917" i="209"/>
  <c r="O2575" i="209"/>
  <c r="O3031" i="209"/>
  <c r="O2288" i="209"/>
  <c r="O2803" i="209"/>
  <c r="O2744" i="209"/>
  <c r="O2402" i="209"/>
  <c r="O2516" i="209"/>
  <c r="O3715" i="209"/>
  <c r="O2689" i="209"/>
  <c r="O2347" i="209"/>
  <c r="O2630" i="209"/>
  <c r="O1946" i="209"/>
  <c r="O1777" i="209"/>
  <c r="O1718" i="209"/>
  <c r="O1663" i="209"/>
  <c r="O1207" i="209"/>
  <c r="O2060" i="209"/>
  <c r="O1490" i="209"/>
  <c r="O1262" i="209"/>
  <c r="O2174" i="209"/>
  <c r="O1321" i="209"/>
  <c r="O1549" i="209"/>
  <c r="O1376" i="209"/>
  <c r="O1891" i="209"/>
  <c r="O1832" i="209"/>
  <c r="O2119" i="209"/>
  <c r="O2233" i="209"/>
  <c r="O1604" i="209"/>
  <c r="O1148" i="209"/>
  <c r="O692" i="209"/>
  <c r="O295" i="209"/>
  <c r="O67" i="209"/>
  <c r="O1435" i="209"/>
  <c r="O1034" i="209"/>
  <c r="O751" i="209"/>
  <c r="O350" i="209"/>
  <c r="O2005" i="209"/>
  <c r="O806" i="209"/>
  <c r="O409" i="209"/>
  <c r="O865" i="209"/>
  <c r="O920" i="209"/>
  <c r="O464" i="209"/>
  <c r="O578" i="209"/>
  <c r="O122" i="209"/>
  <c r="O195" i="209"/>
  <c r="I309" i="209" s="1"/>
  <c r="O309" i="209" s="1"/>
  <c r="I423" i="209" s="1"/>
  <c r="O423" i="209" s="1"/>
  <c r="I537" i="209" s="1"/>
  <c r="O537" i="209" s="1"/>
  <c r="I651" i="209" s="1"/>
  <c r="O651" i="209" s="1"/>
  <c r="I765" i="209" s="1"/>
  <c r="O765" i="209" s="1"/>
  <c r="I879" i="209" s="1"/>
  <c r="O879" i="209" s="1"/>
  <c r="I993" i="209" s="1"/>
  <c r="O993" i="209" s="1"/>
  <c r="I110" i="209"/>
  <c r="H74" i="196" s="1"/>
  <c r="J133" i="196"/>
  <c r="E399" i="209"/>
  <c r="E439" i="209" s="1"/>
  <c r="E443" i="209" s="1"/>
  <c r="M513" i="209"/>
  <c r="M553" i="209" s="1"/>
  <c r="M557" i="209" s="1"/>
  <c r="K667" i="209"/>
  <c r="K671" i="209" s="1"/>
  <c r="M794" i="209"/>
  <c r="K80" i="196" s="1"/>
  <c r="M1136" i="209"/>
  <c r="K83" i="196" s="1"/>
  <c r="N1480" i="209"/>
  <c r="L29" i="196"/>
  <c r="L143" i="196" s="1"/>
  <c r="F30" i="7"/>
  <c r="M1398" i="209"/>
  <c r="F34" i="7"/>
  <c r="M1402" i="209"/>
  <c r="F42" i="7"/>
  <c r="M1410" i="209"/>
  <c r="E1573" i="209"/>
  <c r="M2079" i="209"/>
  <c r="K2162" i="209"/>
  <c r="I92" i="196" s="1"/>
  <c r="M566" i="209"/>
  <c r="K78" i="196" s="1"/>
  <c r="M627" i="209"/>
  <c r="M667" i="209" s="1"/>
  <c r="M671" i="209" s="1"/>
  <c r="G141" i="209"/>
  <c r="I125" i="209"/>
  <c r="G125" i="209"/>
  <c r="D184" i="209"/>
  <c r="I184" i="209" s="1"/>
  <c r="N325" i="209"/>
  <c r="N329" i="209" s="1"/>
  <c r="N338" i="209"/>
  <c r="L76" i="196" s="1"/>
  <c r="M675" i="209"/>
  <c r="M680" i="209" s="1"/>
  <c r="K79" i="196" s="1"/>
  <c r="F680" i="209"/>
  <c r="E79" i="196" s="1"/>
  <c r="K895" i="209"/>
  <c r="K899" i="209" s="1"/>
  <c r="M955" i="209"/>
  <c r="M959" i="209"/>
  <c r="E2190" i="209"/>
  <c r="J134" i="196"/>
  <c r="I142" i="196"/>
  <c r="O108" i="209"/>
  <c r="I222" i="209" s="1"/>
  <c r="O222" i="209" s="1"/>
  <c r="I336" i="209" s="1"/>
  <c r="O336" i="209" s="1"/>
  <c r="I450" i="209" s="1"/>
  <c r="O450" i="209" s="1"/>
  <c r="I564" i="209" s="1"/>
  <c r="O564" i="209" s="1"/>
  <c r="I678" i="209" s="1"/>
  <c r="O678" i="209" s="1"/>
  <c r="I792" i="209" s="1"/>
  <c r="O792" i="209" s="1"/>
  <c r="I906" i="209" s="1"/>
  <c r="O906" i="209" s="1"/>
  <c r="I1020" i="209" s="1"/>
  <c r="I132" i="209"/>
  <c r="E211" i="209"/>
  <c r="E215" i="209" s="1"/>
  <c r="O281" i="209"/>
  <c r="I395" i="209" s="1"/>
  <c r="O395" i="209" s="1"/>
  <c r="I509" i="209" s="1"/>
  <c r="O509" i="209" s="1"/>
  <c r="I623" i="209" s="1"/>
  <c r="O623" i="209" s="1"/>
  <c r="I737" i="209" s="1"/>
  <c r="O737" i="209" s="1"/>
  <c r="I851" i="209" s="1"/>
  <c r="O851" i="209" s="1"/>
  <c r="I965" i="209" s="1"/>
  <c r="O965" i="209" s="1"/>
  <c r="F171" i="209"/>
  <c r="F211" i="209" s="1"/>
  <c r="F215" i="209" s="1"/>
  <c r="G209" i="209"/>
  <c r="D322" i="209"/>
  <c r="E224" i="209"/>
  <c r="D75" i="196" s="1"/>
  <c r="K553" i="209"/>
  <c r="K557" i="209" s="1"/>
  <c r="F513" i="209"/>
  <c r="F553" i="209" s="1"/>
  <c r="F557" i="209" s="1"/>
  <c r="O523" i="209"/>
  <c r="F741" i="209"/>
  <c r="F781" i="209" s="1"/>
  <c r="F785" i="209" s="1"/>
  <c r="M722" i="209"/>
  <c r="M741" i="209" s="1"/>
  <c r="M781" i="209" s="1"/>
  <c r="M785" i="209" s="1"/>
  <c r="O1093" i="209"/>
  <c r="M1801" i="209"/>
  <c r="M38" i="209"/>
  <c r="O38" i="209" s="1"/>
  <c r="A115" i="209"/>
  <c r="A175" i="209"/>
  <c r="D205" i="209"/>
  <c r="M220" i="209"/>
  <c r="O220" i="209" s="1"/>
  <c r="I334" i="209" s="1"/>
  <c r="O334" i="209" s="1"/>
  <c r="I448" i="209" s="1"/>
  <c r="A230" i="209"/>
  <c r="A346" i="209"/>
  <c r="M385" i="209"/>
  <c r="M399" i="209" s="1"/>
  <c r="M439" i="209" s="1"/>
  <c r="M443" i="209" s="1"/>
  <c r="A407" i="209"/>
  <c r="A463" i="209"/>
  <c r="A571" i="209"/>
  <c r="A631" i="209"/>
  <c r="A747" i="209"/>
  <c r="A804" i="209"/>
  <c r="A919" i="209"/>
  <c r="A1027" i="209"/>
  <c r="A1258" i="209"/>
  <c r="N1351" i="209"/>
  <c r="N1355" i="209" s="1"/>
  <c r="F50" i="7"/>
  <c r="M1418" i="209"/>
  <c r="F54" i="7"/>
  <c r="M1422" i="209"/>
  <c r="K1478" i="209"/>
  <c r="I86" i="196" s="1"/>
  <c r="I143" i="196" s="1"/>
  <c r="M1687" i="209"/>
  <c r="M1934" i="209"/>
  <c r="K90" i="196" s="1"/>
  <c r="N2162" i="209"/>
  <c r="L92" i="196" s="1"/>
  <c r="A3991" i="209"/>
  <c r="A3936" i="209"/>
  <c r="A3763" i="209"/>
  <c r="A4050" i="209"/>
  <c r="A3877" i="209"/>
  <c r="A3480" i="209"/>
  <c r="A3193" i="209"/>
  <c r="A3708" i="209"/>
  <c r="A3594" i="209"/>
  <c r="A3421" i="209"/>
  <c r="A3307" i="209"/>
  <c r="A3535" i="209"/>
  <c r="A3649" i="209"/>
  <c r="A3822" i="209"/>
  <c r="A3138" i="209"/>
  <c r="A2965" i="209"/>
  <c r="A3366" i="209"/>
  <c r="A3252" i="209"/>
  <c r="A3079" i="209"/>
  <c r="A3024" i="209"/>
  <c r="A2454" i="209"/>
  <c r="A2796" i="209"/>
  <c r="A2737" i="209"/>
  <c r="A2568" i="209"/>
  <c r="A2281" i="209"/>
  <c r="A2395" i="209"/>
  <c r="A2509" i="209"/>
  <c r="A2851" i="209"/>
  <c r="A2340" i="209"/>
  <c r="A1939" i="209"/>
  <c r="A1770" i="209"/>
  <c r="A1711" i="209"/>
  <c r="A1656" i="209"/>
  <c r="A1200" i="209"/>
  <c r="A2053" i="209"/>
  <c r="A1483" i="209"/>
  <c r="A1255" i="209"/>
  <c r="A2167" i="209"/>
  <c r="A1314" i="209"/>
  <c r="A1542" i="209"/>
  <c r="A1369" i="209"/>
  <c r="A2623" i="209"/>
  <c r="A1884" i="209"/>
  <c r="A1825" i="209"/>
  <c r="A2682" i="209"/>
  <c r="A2112" i="209"/>
  <c r="A2910" i="209"/>
  <c r="A2226" i="209"/>
  <c r="A1597" i="209"/>
  <c r="A1141" i="209"/>
  <c r="M24" i="209"/>
  <c r="A177" i="209"/>
  <c r="D209" i="209"/>
  <c r="A232" i="209"/>
  <c r="A293" i="209"/>
  <c r="F338" i="209"/>
  <c r="E76" i="196" s="1"/>
  <c r="A408" i="209"/>
  <c r="A457" i="209"/>
  <c r="A517" i="209"/>
  <c r="A633" i="209"/>
  <c r="A690" i="209"/>
  <c r="A805" i="209"/>
  <c r="A913" i="209"/>
  <c r="A1086" i="209"/>
  <c r="A1203" i="209"/>
  <c r="E1364" i="209"/>
  <c r="D85" i="196" s="1"/>
  <c r="F51" i="7"/>
  <c r="M1419" i="209"/>
  <c r="F55" i="7"/>
  <c r="M1423" i="209"/>
  <c r="A1659" i="209"/>
  <c r="F1687" i="209"/>
  <c r="M1701" i="209"/>
  <c r="M1706" i="209" s="1"/>
  <c r="K88" i="196" s="1"/>
  <c r="F1706" i="209"/>
  <c r="E88" i="196" s="1"/>
  <c r="M1901" i="209"/>
  <c r="M1915" i="209" s="1"/>
  <c r="F1915" i="209"/>
  <c r="A2058" i="209"/>
  <c r="A3709" i="209"/>
  <c r="A4051" i="209"/>
  <c r="A3878" i="209"/>
  <c r="A3992" i="209"/>
  <c r="A3595" i="209"/>
  <c r="A3422" i="209"/>
  <c r="A3308" i="209"/>
  <c r="A3536" i="209"/>
  <c r="A3650" i="209"/>
  <c r="A2911" i="209"/>
  <c r="A2683" i="209"/>
  <c r="A3764" i="209"/>
  <c r="A3367" i="209"/>
  <c r="A3253" i="209"/>
  <c r="A3080" i="209"/>
  <c r="A3937" i="209"/>
  <c r="A3481" i="209"/>
  <c r="A3194" i="209"/>
  <c r="A2797" i="209"/>
  <c r="A2738" i="209"/>
  <c r="A2569" i="209"/>
  <c r="A2966" i="209"/>
  <c r="A2282" i="209"/>
  <c r="A2396" i="209"/>
  <c r="A2510" i="209"/>
  <c r="A2624" i="209"/>
  <c r="A2341" i="209"/>
  <c r="A3823" i="209"/>
  <c r="A3025" i="209"/>
  <c r="A2455" i="209"/>
  <c r="A2054" i="209"/>
  <c r="A1484" i="209"/>
  <c r="A1256" i="209"/>
  <c r="A2168" i="209"/>
  <c r="A1315" i="209"/>
  <c r="A3139" i="209"/>
  <c r="A1543" i="209"/>
  <c r="A1370" i="209"/>
  <c r="A2852" i="209"/>
  <c r="A1885" i="209"/>
  <c r="A1826" i="209"/>
  <c r="A1999" i="209"/>
  <c r="A1429" i="209"/>
  <c r="A1028" i="209"/>
  <c r="A2227" i="209"/>
  <c r="A1598" i="209"/>
  <c r="A1940" i="209"/>
  <c r="A1771" i="209"/>
  <c r="A1712" i="209"/>
  <c r="A1657" i="209"/>
  <c r="A1201" i="209"/>
  <c r="A118" i="209"/>
  <c r="A234" i="209"/>
  <c r="A349" i="209"/>
  <c r="A458" i="209"/>
  <c r="A635" i="209"/>
  <c r="A750" i="209"/>
  <c r="A858" i="209"/>
  <c r="A914" i="209"/>
  <c r="A1033" i="209"/>
  <c r="M1083" i="209"/>
  <c r="M1123" i="209" s="1"/>
  <c r="M1127" i="209" s="1"/>
  <c r="A1087" i="209"/>
  <c r="E1237" i="209"/>
  <c r="E1241" i="209" s="1"/>
  <c r="F1197" i="209"/>
  <c r="F1237" i="209" s="1"/>
  <c r="F1241" i="209" s="1"/>
  <c r="M1178" i="209"/>
  <c r="M1197" i="209" s="1"/>
  <c r="M1237" i="209" s="1"/>
  <c r="M1241" i="209" s="1"/>
  <c r="E1351" i="209"/>
  <c r="E1355" i="209" s="1"/>
  <c r="F27" i="7"/>
  <c r="M1395" i="209"/>
  <c r="F31" i="7"/>
  <c r="M1399" i="209"/>
  <c r="F35" i="7"/>
  <c r="M1403" i="209"/>
  <c r="F39" i="7"/>
  <c r="M1407" i="209"/>
  <c r="M1506" i="209"/>
  <c r="A1548" i="209"/>
  <c r="L1921" i="209"/>
  <c r="L1925" i="209" s="1"/>
  <c r="M2074" i="209"/>
  <c r="M2076" i="209" s="1"/>
  <c r="F2076" i="209"/>
  <c r="A3711" i="209"/>
  <c r="A3825" i="209"/>
  <c r="A3939" i="209"/>
  <c r="A3766" i="209"/>
  <c r="A3652" i="209"/>
  <c r="A3994" i="209"/>
  <c r="A2913" i="209"/>
  <c r="A3141" i="209"/>
  <c r="A2968" i="209"/>
  <c r="A3880" i="209"/>
  <c r="A3369" i="209"/>
  <c r="A3255" i="209"/>
  <c r="A3597" i="209"/>
  <c r="A3424" i="209"/>
  <c r="A3310" i="209"/>
  <c r="A4053" i="209"/>
  <c r="A3538" i="209"/>
  <c r="A2398" i="209"/>
  <c r="A2512" i="209"/>
  <c r="A2626" i="209"/>
  <c r="A3082" i="209"/>
  <c r="A2854" i="209"/>
  <c r="A2685" i="209"/>
  <c r="A3196" i="209"/>
  <c r="A2343" i="209"/>
  <c r="A2799" i="209"/>
  <c r="A2740" i="209"/>
  <c r="A2571" i="209"/>
  <c r="A2284" i="209"/>
  <c r="A1545" i="209"/>
  <c r="A1372" i="209"/>
  <c r="A2457" i="209"/>
  <c r="A1887" i="209"/>
  <c r="A1828" i="209"/>
  <c r="A2001" i="209"/>
  <c r="A1431" i="209"/>
  <c r="A1030" i="209"/>
  <c r="A3027" i="209"/>
  <c r="A2115" i="209"/>
  <c r="A1089" i="209"/>
  <c r="A2229" i="209"/>
  <c r="A1600" i="209"/>
  <c r="A1144" i="209"/>
  <c r="A3483" i="209"/>
  <c r="A2056" i="209"/>
  <c r="A1486" i="209"/>
  <c r="A2170" i="209"/>
  <c r="A1317" i="209"/>
  <c r="A294" i="209"/>
  <c r="A402" i="209"/>
  <c r="A519" i="209"/>
  <c r="A691" i="209"/>
  <c r="A799" i="209"/>
  <c r="A859" i="209"/>
  <c r="A975" i="209"/>
  <c r="K1366" i="209"/>
  <c r="A1375" i="209"/>
  <c r="F48" i="7"/>
  <c r="M1416" i="209"/>
  <c r="F52" i="7"/>
  <c r="M1420" i="209"/>
  <c r="F56" i="7"/>
  <c r="M1424" i="209"/>
  <c r="M1478" i="209"/>
  <c r="K86" i="196" s="1"/>
  <c r="N1921" i="209"/>
  <c r="N1925" i="209" s="1"/>
  <c r="E2143" i="209"/>
  <c r="A3713" i="209"/>
  <c r="A3827" i="209"/>
  <c r="A3941" i="209"/>
  <c r="A3768" i="209"/>
  <c r="A4055" i="209"/>
  <c r="A3882" i="209"/>
  <c r="A3996" i="209"/>
  <c r="A2915" i="209"/>
  <c r="A3029" i="209"/>
  <c r="A2856" i="209"/>
  <c r="A2801" i="209"/>
  <c r="A2742" i="209"/>
  <c r="A3371" i="209"/>
  <c r="A3257" i="209"/>
  <c r="A3084" i="209"/>
  <c r="A3485" i="209"/>
  <c r="A3198" i="209"/>
  <c r="A3540" i="209"/>
  <c r="A3654" i="209"/>
  <c r="A2514" i="209"/>
  <c r="A2628" i="209"/>
  <c r="A2687" i="209"/>
  <c r="A3426" i="209"/>
  <c r="A3143" i="209"/>
  <c r="A2345" i="209"/>
  <c r="A3599" i="209"/>
  <c r="A2459" i="209"/>
  <c r="A2286" i="209"/>
  <c r="A3312" i="209"/>
  <c r="A2970" i="209"/>
  <c r="A2400" i="209"/>
  <c r="A1889" i="209"/>
  <c r="A1830" i="209"/>
  <c r="A2003" i="209"/>
  <c r="A1433" i="209"/>
  <c r="A1032" i="209"/>
  <c r="A2117" i="209"/>
  <c r="A1091" i="209"/>
  <c r="A2231" i="209"/>
  <c r="A1602" i="209"/>
  <c r="A1146" i="209"/>
  <c r="A1944" i="209"/>
  <c r="A1775" i="209"/>
  <c r="A1716" i="209"/>
  <c r="A1661" i="209"/>
  <c r="A1205" i="209"/>
  <c r="A2172" i="209"/>
  <c r="A1547" i="209"/>
  <c r="A1374" i="209"/>
  <c r="A180" i="209"/>
  <c r="A235" i="209"/>
  <c r="A343" i="209"/>
  <c r="A403" i="209"/>
  <c r="A460" i="209"/>
  <c r="A521" i="209"/>
  <c r="A636" i="209"/>
  <c r="A744" i="209"/>
  <c r="A800" i="209"/>
  <c r="A916" i="209"/>
  <c r="F1009" i="209"/>
  <c r="F1013" i="209" s="1"/>
  <c r="A977" i="209"/>
  <c r="N1022" i="209"/>
  <c r="L82" i="196" s="1"/>
  <c r="L139" i="196" s="1"/>
  <c r="E100" i="7"/>
  <c r="K1083" i="209"/>
  <c r="K1123" i="209" s="1"/>
  <c r="K1127" i="209" s="1"/>
  <c r="M1245" i="209"/>
  <c r="M1250" i="209" s="1"/>
  <c r="K84" i="196" s="1"/>
  <c r="F1250" i="209"/>
  <c r="E84" i="196" s="1"/>
  <c r="F28" i="7"/>
  <c r="M1396" i="209"/>
  <c r="F32" i="7"/>
  <c r="M1400" i="209"/>
  <c r="F36" i="7"/>
  <c r="M1404" i="209"/>
  <c r="F44" i="7"/>
  <c r="M1412" i="209"/>
  <c r="L1767" i="209"/>
  <c r="L1807" i="209" s="1"/>
  <c r="L1811" i="209" s="1"/>
  <c r="N1820" i="209"/>
  <c r="L89" i="196" s="1"/>
  <c r="N2035" i="209"/>
  <c r="N2039" i="209" s="1"/>
  <c r="N2109" i="209"/>
  <c r="N2149" i="209" s="1"/>
  <c r="N2153" i="209" s="1"/>
  <c r="M2143" i="209"/>
  <c r="A3942" i="209"/>
  <c r="A3769" i="209"/>
  <c r="A4056" i="209"/>
  <c r="A3883" i="209"/>
  <c r="A3997" i="209"/>
  <c r="A3714" i="209"/>
  <c r="A3828" i="209"/>
  <c r="A3655" i="209"/>
  <c r="A3144" i="209"/>
  <c r="A2971" i="209"/>
  <c r="A3372" i="209"/>
  <c r="A3258" i="209"/>
  <c r="A3085" i="209"/>
  <c r="A3486" i="209"/>
  <c r="A3600" i="209"/>
  <c r="A3427" i="209"/>
  <c r="A3313" i="209"/>
  <c r="A3541" i="209"/>
  <c r="A2916" i="209"/>
  <c r="A2688" i="209"/>
  <c r="A3030" i="209"/>
  <c r="A2857" i="209"/>
  <c r="A2802" i="209"/>
  <c r="A2743" i="209"/>
  <c r="A2346" i="209"/>
  <c r="A3199" i="209"/>
  <c r="A2460" i="209"/>
  <c r="A2574" i="209"/>
  <c r="A2515" i="209"/>
  <c r="A2629" i="209"/>
  <c r="A2118" i="209"/>
  <c r="A1092" i="209"/>
  <c r="A2232" i="209"/>
  <c r="A1603" i="209"/>
  <c r="A1147" i="209"/>
  <c r="A1945" i="209"/>
  <c r="A1776" i="209"/>
  <c r="A1717" i="209"/>
  <c r="A1662" i="209"/>
  <c r="A1206" i="209"/>
  <c r="A2287" i="209"/>
  <c r="A2059" i="209"/>
  <c r="A1489" i="209"/>
  <c r="A1261" i="209"/>
  <c r="A2173" i="209"/>
  <c r="A1320" i="209"/>
  <c r="A1890" i="209"/>
  <c r="A1831" i="209"/>
  <c r="A2004" i="209"/>
  <c r="A1434" i="209"/>
  <c r="A60" i="209"/>
  <c r="A121" i="209"/>
  <c r="A288" i="209"/>
  <c r="A344" i="209"/>
  <c r="A462" i="209"/>
  <c r="A577" i="209"/>
  <c r="A685" i="209"/>
  <c r="A745" i="209"/>
  <c r="A861" i="209"/>
  <c r="A918" i="209"/>
  <c r="F100" i="7"/>
  <c r="M1019" i="209"/>
  <c r="K1136" i="209"/>
  <c r="I83" i="196" s="1"/>
  <c r="M1345" i="209"/>
  <c r="F49" i="7"/>
  <c r="M1417" i="209"/>
  <c r="F53" i="7"/>
  <c r="M1421" i="209"/>
  <c r="M1573" i="209"/>
  <c r="K1592" i="209"/>
  <c r="E1995" i="209"/>
  <c r="E2035" i="209" s="1"/>
  <c r="E2039" i="209" s="1"/>
  <c r="E2109" i="209"/>
  <c r="F2143" i="209"/>
  <c r="E75" i="7"/>
  <c r="E76" i="7"/>
  <c r="E77" i="7"/>
  <c r="E78" i="7"/>
  <c r="H78" i="7" s="1"/>
  <c r="E79" i="7"/>
  <c r="E80" i="7"/>
  <c r="E81" i="7"/>
  <c r="E82" i="7"/>
  <c r="H82" i="7" s="1"/>
  <c r="E83" i="7"/>
  <c r="E84" i="7"/>
  <c r="E85" i="7"/>
  <c r="E86" i="7"/>
  <c r="E87" i="7"/>
  <c r="E88" i="7"/>
  <c r="E1459" i="209"/>
  <c r="M1732" i="209"/>
  <c r="M1734" i="209" s="1"/>
  <c r="F1820" i="209"/>
  <c r="E89" i="196" s="1"/>
  <c r="M1960" i="209"/>
  <c r="M1962" i="209" s="1"/>
  <c r="M2016" i="209"/>
  <c r="M2029" i="209" s="1"/>
  <c r="M2189" i="209"/>
  <c r="M2190" i="209" s="1"/>
  <c r="K2276" i="209"/>
  <c r="I93" i="196" s="1"/>
  <c r="F2504" i="209"/>
  <c r="E95" i="196" s="1"/>
  <c r="M2532" i="209"/>
  <c r="M3299" i="209"/>
  <c r="M3302" i="209" s="1"/>
  <c r="K102" i="196" s="1"/>
  <c r="F3302" i="209"/>
  <c r="E102" i="196" s="1"/>
  <c r="F1364" i="209"/>
  <c r="E85" i="196" s="1"/>
  <c r="E27" i="7"/>
  <c r="E28" i="7"/>
  <c r="E29" i="7"/>
  <c r="E30" i="7"/>
  <c r="E32" i="7"/>
  <c r="E33" i="7"/>
  <c r="E34" i="7"/>
  <c r="E36" i="7"/>
  <c r="E37" i="7"/>
  <c r="E39" i="7"/>
  <c r="E42" i="7"/>
  <c r="E45" i="7"/>
  <c r="E49" i="7"/>
  <c r="E50" i="7"/>
  <c r="E51" i="7"/>
  <c r="E53" i="7"/>
  <c r="E54" i="7"/>
  <c r="E55" i="7"/>
  <c r="F75" i="7"/>
  <c r="F76" i="7"/>
  <c r="F77" i="7"/>
  <c r="F79" i="7"/>
  <c r="F80" i="7"/>
  <c r="F84" i="7"/>
  <c r="F85" i="7"/>
  <c r="F86" i="7"/>
  <c r="F87" i="7"/>
  <c r="F88" i="7"/>
  <c r="F1459" i="209"/>
  <c r="M1623" i="209"/>
  <c r="F2257" i="209"/>
  <c r="F2276" i="209"/>
  <c r="E93" i="196" s="1"/>
  <c r="F101" i="7"/>
  <c r="E22" i="7"/>
  <c r="F1478" i="209"/>
  <c r="E86" i="196" s="1"/>
  <c r="F1573" i="209"/>
  <c r="F2048" i="209"/>
  <c r="E91" i="196" s="1"/>
  <c r="E98" i="7"/>
  <c r="E102" i="7"/>
  <c r="F22" i="7"/>
  <c r="F24" i="7" s="1"/>
  <c r="E23" i="7"/>
  <c r="M1445" i="209"/>
  <c r="M1446" i="209"/>
  <c r="M1447" i="209"/>
  <c r="M1448" i="209"/>
  <c r="M1449" i="209"/>
  <c r="M1450" i="209"/>
  <c r="M1451" i="209"/>
  <c r="M1452" i="209"/>
  <c r="M1453" i="209"/>
  <c r="M1454" i="209"/>
  <c r="M1455" i="209"/>
  <c r="M1456" i="209"/>
  <c r="M1457" i="209"/>
  <c r="N2377" i="209"/>
  <c r="N2381" i="209" s="1"/>
  <c r="E2371" i="209"/>
  <c r="N2491" i="209"/>
  <c r="N2495" i="209" s="1"/>
  <c r="M2504" i="209"/>
  <c r="K95" i="196" s="1"/>
  <c r="N2605" i="209"/>
  <c r="N2609" i="209" s="1"/>
  <c r="N2618" i="209"/>
  <c r="L96" i="196" s="1"/>
  <c r="F98" i="7"/>
  <c r="F102" i="7"/>
  <c r="F1136" i="209"/>
  <c r="E83" i="196" s="1"/>
  <c r="E1392" i="209"/>
  <c r="F1592" i="209"/>
  <c r="E87" i="196" s="1"/>
  <c r="M2371" i="209"/>
  <c r="E2451" i="209"/>
  <c r="E2491" i="209" s="1"/>
  <c r="E2495" i="209" s="1"/>
  <c r="L2719" i="209"/>
  <c r="L2723" i="209" s="1"/>
  <c r="L3041" i="209"/>
  <c r="L2941" i="209"/>
  <c r="L2947" i="209" s="1"/>
  <c r="L2951" i="209" s="1"/>
  <c r="M3249" i="209"/>
  <c r="E99" i="7"/>
  <c r="E1022" i="209"/>
  <c r="D82" i="196" s="1"/>
  <c r="F1392" i="209"/>
  <c r="E2257" i="209"/>
  <c r="M2485" i="209"/>
  <c r="E2599" i="209"/>
  <c r="M2646" i="209"/>
  <c r="J2883" i="209"/>
  <c r="J2997" i="209" s="1"/>
  <c r="J3111" i="209" s="1"/>
  <c r="J3225" i="209" s="1"/>
  <c r="J3339" i="209" s="1"/>
  <c r="J3453" i="209" s="1"/>
  <c r="J3567" i="209" s="1"/>
  <c r="J3681" i="209" s="1"/>
  <c r="J3795" i="209" s="1"/>
  <c r="J3909" i="209" s="1"/>
  <c r="J4023" i="209" s="1"/>
  <c r="J2770" i="209"/>
  <c r="J2884" i="209" s="1"/>
  <c r="J2998" i="209" s="1"/>
  <c r="J3112" i="209" s="1"/>
  <c r="J3226" i="209" s="1"/>
  <c r="J3340" i="209" s="1"/>
  <c r="J3454" i="209" s="1"/>
  <c r="J3568" i="209" s="1"/>
  <c r="J3682" i="209" s="1"/>
  <c r="J3796" i="209" s="1"/>
  <c r="J3910" i="209" s="1"/>
  <c r="J4024" i="209" s="1"/>
  <c r="M3363" i="209"/>
  <c r="F99" i="7"/>
  <c r="M1020" i="209"/>
  <c r="F1022" i="209"/>
  <c r="E82" i="196" s="1"/>
  <c r="M1737" i="209"/>
  <c r="M2385" i="209"/>
  <c r="M2390" i="209" s="1"/>
  <c r="K94" i="196" s="1"/>
  <c r="F2390" i="209"/>
  <c r="E94" i="196" s="1"/>
  <c r="F2907" i="209"/>
  <c r="F2947" i="209" s="1"/>
  <c r="F2951" i="209" s="1"/>
  <c r="M2896" i="209"/>
  <c r="M2907" i="209" s="1"/>
  <c r="M2303" i="209"/>
  <c r="M2304" i="209" s="1"/>
  <c r="M2760" i="209"/>
  <c r="M2827" i="209"/>
  <c r="E66" i="214"/>
  <c r="F66" i="214" s="1"/>
  <c r="M2956" i="209"/>
  <c r="M2960" i="209" s="1"/>
  <c r="K99" i="196" s="1"/>
  <c r="F2960" i="209"/>
  <c r="E99" i="196" s="1"/>
  <c r="N3021" i="209"/>
  <c r="N3061" i="209" s="1"/>
  <c r="N3065" i="209" s="1"/>
  <c r="L3049" i="209"/>
  <c r="L3163" i="209" s="1"/>
  <c r="L3277" i="209" s="1"/>
  <c r="L3391" i="209" s="1"/>
  <c r="L3505" i="209" s="1"/>
  <c r="L3619" i="209" s="1"/>
  <c r="L3733" i="209" s="1"/>
  <c r="L3847" i="209" s="1"/>
  <c r="L3961" i="209" s="1"/>
  <c r="L4075" i="209" s="1"/>
  <c r="E3188" i="209"/>
  <c r="D101" i="196" s="1"/>
  <c r="F3216" i="209"/>
  <c r="F3289" i="209" s="1"/>
  <c r="F3293" i="209" s="1"/>
  <c r="M3691" i="209"/>
  <c r="F3705" i="209"/>
  <c r="F2371" i="209"/>
  <c r="N2679" i="209"/>
  <c r="N2719" i="209" s="1"/>
  <c r="N2723" i="209" s="1"/>
  <c r="F2732" i="209"/>
  <c r="E97" i="196" s="1"/>
  <c r="M2728" i="209"/>
  <c r="M2732" i="209" s="1"/>
  <c r="K97" i="196" s="1"/>
  <c r="F43" i="130"/>
  <c r="M2779" i="209"/>
  <c r="E2947" i="209"/>
  <c r="E2951" i="209" s="1"/>
  <c r="L3051" i="209"/>
  <c r="L3165" i="209" s="1"/>
  <c r="L3279" i="209" s="1"/>
  <c r="L3393" i="209" s="1"/>
  <c r="L3507" i="209" s="1"/>
  <c r="L3621" i="209" s="1"/>
  <c r="L3735" i="209" s="1"/>
  <c r="L3849" i="209" s="1"/>
  <c r="L3963" i="209" s="1"/>
  <c r="L4077" i="209" s="1"/>
  <c r="E3631" i="209"/>
  <c r="E3635" i="209" s="1"/>
  <c r="F3591" i="209"/>
  <c r="F3631" i="209" s="1"/>
  <c r="F3635" i="209" s="1"/>
  <c r="M3625" i="209"/>
  <c r="N3477" i="209"/>
  <c r="N3517" i="209" s="1"/>
  <c r="N3521" i="209" s="1"/>
  <c r="F2532" i="209"/>
  <c r="M2535" i="209"/>
  <c r="J1132" i="210"/>
  <c r="J1178" i="210" s="1"/>
  <c r="J1224" i="210" s="1"/>
  <c r="J1270" i="210" s="1"/>
  <c r="J1316" i="210" s="1"/>
  <c r="J1362" i="210" s="1"/>
  <c r="J1408" i="210" s="1"/>
  <c r="J1168" i="210"/>
  <c r="J1214" i="210" s="1"/>
  <c r="J1260" i="210" s="1"/>
  <c r="J1306" i="210" s="1"/>
  <c r="J1352" i="210" s="1"/>
  <c r="J1398" i="210" s="1"/>
  <c r="J1444" i="210" s="1"/>
  <c r="M2874" i="209"/>
  <c r="F3021" i="209"/>
  <c r="F3061" i="209" s="1"/>
  <c r="F3065" i="209" s="1"/>
  <c r="E3403" i="209"/>
  <c r="E3407" i="209" s="1"/>
  <c r="N3530" i="209"/>
  <c r="L104" i="196" s="1"/>
  <c r="E3644" i="209"/>
  <c r="D105" i="196" s="1"/>
  <c r="F2418" i="209"/>
  <c r="M2421" i="209"/>
  <c r="M2586" i="209"/>
  <c r="M2599" i="209" s="1"/>
  <c r="E2713" i="209"/>
  <c r="K2760" i="209"/>
  <c r="J2955" i="209"/>
  <c r="J3069" i="209" s="1"/>
  <c r="J3183" i="209" s="1"/>
  <c r="J3297" i="209" s="1"/>
  <c r="J3411" i="209" s="1"/>
  <c r="J3525" i="209" s="1"/>
  <c r="J3639" i="209" s="1"/>
  <c r="J3753" i="209" s="1"/>
  <c r="J3867" i="209" s="1"/>
  <c r="J3981" i="209" s="1"/>
  <c r="J4095" i="209" s="1"/>
  <c r="M2986" i="209"/>
  <c r="M2988" i="209" s="1"/>
  <c r="M3021" i="209"/>
  <c r="M3116" i="209"/>
  <c r="M3135" i="209" s="1"/>
  <c r="F3135" i="209"/>
  <c r="M3169" i="209"/>
  <c r="M3639" i="209"/>
  <c r="M3644" i="209" s="1"/>
  <c r="K105" i="196" s="1"/>
  <c r="F3644" i="209"/>
  <c r="E105" i="196" s="1"/>
  <c r="F2713" i="209"/>
  <c r="M2699" i="209"/>
  <c r="M2713" i="209" s="1"/>
  <c r="F46" i="130"/>
  <c r="M2782" i="209"/>
  <c r="D75" i="214"/>
  <c r="K2831" i="209"/>
  <c r="E3021" i="209"/>
  <c r="E3061" i="209" s="1"/>
  <c r="E3065" i="209" s="1"/>
  <c r="L3048" i="209"/>
  <c r="N3289" i="209"/>
  <c r="N3293" i="209" s="1"/>
  <c r="E3819" i="209"/>
  <c r="E3859" i="209" s="1"/>
  <c r="E3863" i="209" s="1"/>
  <c r="M3853" i="209"/>
  <c r="D84" i="210"/>
  <c r="G84" i="210" s="1"/>
  <c r="G67" i="210"/>
  <c r="D113" i="210" s="1"/>
  <c r="E22" i="130"/>
  <c r="E2760" i="209"/>
  <c r="E2833" i="209" s="1"/>
  <c r="E2837" i="209" s="1"/>
  <c r="J2842" i="209"/>
  <c r="J2777" i="209"/>
  <c r="J2891" i="209" s="1"/>
  <c r="J3005" i="209" s="1"/>
  <c r="J3119" i="209" s="1"/>
  <c r="J3233" i="209" s="1"/>
  <c r="J3347" i="209" s="1"/>
  <c r="J3461" i="209" s="1"/>
  <c r="J3575" i="209" s="1"/>
  <c r="J3689" i="209" s="1"/>
  <c r="J3803" i="209" s="1"/>
  <c r="J3917" i="209" s="1"/>
  <c r="J4031" i="209" s="1"/>
  <c r="E99" i="130"/>
  <c r="E2846" i="209"/>
  <c r="D98" i="196" s="1"/>
  <c r="M3397" i="209"/>
  <c r="M3413" i="209"/>
  <c r="M3416" i="209" s="1"/>
  <c r="K103" i="196" s="1"/>
  <c r="F3416" i="209"/>
  <c r="E103" i="196" s="1"/>
  <c r="M3442" i="209"/>
  <c r="M3444" i="209" s="1"/>
  <c r="F3444" i="209"/>
  <c r="F3517" i="209" s="1"/>
  <c r="F3521" i="209" s="1"/>
  <c r="M3511" i="209"/>
  <c r="A1338" i="210"/>
  <c r="A1568" i="210"/>
  <c r="A1246" i="210"/>
  <c r="A1522" i="210"/>
  <c r="A1430" i="210"/>
  <c r="A1476" i="210"/>
  <c r="A1016" i="210"/>
  <c r="A832" i="210"/>
  <c r="A648" i="210"/>
  <c r="A1614" i="210"/>
  <c r="A1384" i="210"/>
  <c r="A970" i="210"/>
  <c r="A924" i="210"/>
  <c r="A694" i="210"/>
  <c r="A464" i="210"/>
  <c r="A372" i="210"/>
  <c r="A280" i="210"/>
  <c r="A188" i="210"/>
  <c r="A96" i="210"/>
  <c r="A50" i="210"/>
  <c r="A1154" i="210"/>
  <c r="A1108" i="210"/>
  <c r="A740" i="210"/>
  <c r="A602" i="210"/>
  <c r="A510" i="210"/>
  <c r="A418" i="210"/>
  <c r="A326" i="210"/>
  <c r="A234" i="210"/>
  <c r="A142" i="210"/>
  <c r="A1200" i="210"/>
  <c r="A878" i="210"/>
  <c r="A1292" i="210"/>
  <c r="A1062" i="210"/>
  <c r="A556" i="210"/>
  <c r="A786" i="210"/>
  <c r="F99" i="130"/>
  <c r="F2846" i="209"/>
  <c r="M2842" i="209"/>
  <c r="M2846" i="209" s="1"/>
  <c r="K98" i="196" s="1"/>
  <c r="J2890" i="209"/>
  <c r="J3004" i="209" s="1"/>
  <c r="J3118" i="209" s="1"/>
  <c r="J3232" i="209" s="1"/>
  <c r="J3346" i="209" s="1"/>
  <c r="J3460" i="209" s="1"/>
  <c r="J3574" i="209" s="1"/>
  <c r="J3688" i="209" s="1"/>
  <c r="J3802" i="209" s="1"/>
  <c r="J3916" i="209" s="1"/>
  <c r="J4030" i="209" s="1"/>
  <c r="L3047" i="209"/>
  <c r="L3161" i="209" s="1"/>
  <c r="L3275" i="209" s="1"/>
  <c r="L3389" i="209" s="1"/>
  <c r="L3503" i="209" s="1"/>
  <c r="L3617" i="209" s="1"/>
  <c r="L3731" i="209" s="1"/>
  <c r="L3845" i="209" s="1"/>
  <c r="L3959" i="209" s="1"/>
  <c r="L4073" i="209" s="1"/>
  <c r="M3183" i="209"/>
  <c r="M3188" i="209" s="1"/>
  <c r="K101" i="196" s="1"/>
  <c r="E3289" i="209"/>
  <c r="E3293" i="209" s="1"/>
  <c r="F23" i="130"/>
  <c r="F40" i="130"/>
  <c r="F98" i="130"/>
  <c r="E101" i="130"/>
  <c r="J2957" i="209"/>
  <c r="J3071" i="209" s="1"/>
  <c r="J3185" i="209" s="1"/>
  <c r="J3299" i="209" s="1"/>
  <c r="J3413" i="209" s="1"/>
  <c r="J3527" i="209" s="1"/>
  <c r="J3641" i="209" s="1"/>
  <c r="J3755" i="209" s="1"/>
  <c r="J3869" i="209" s="1"/>
  <c r="J3983" i="209" s="1"/>
  <c r="J4097" i="209" s="1"/>
  <c r="F3102" i="209"/>
  <c r="M3214" i="209"/>
  <c r="M3216" i="209" s="1"/>
  <c r="M3325" i="209"/>
  <c r="M3330" i="209" s="1"/>
  <c r="M3403" i="209" s="1"/>
  <c r="M3407" i="209" s="1"/>
  <c r="M3460" i="209"/>
  <c r="M3477" i="209" s="1"/>
  <c r="M3871" i="209"/>
  <c r="M3872" i="209" s="1"/>
  <c r="K107" i="196" s="1"/>
  <c r="F3872" i="209"/>
  <c r="E107" i="196" s="1"/>
  <c r="M3967" i="209"/>
  <c r="N4047" i="209"/>
  <c r="N4087" i="209" s="1"/>
  <c r="N4091" i="209" s="1"/>
  <c r="M943" i="210"/>
  <c r="M946" i="210"/>
  <c r="E43" i="130"/>
  <c r="E46" i="130"/>
  <c r="J1170" i="210"/>
  <c r="J1216" i="210" s="1"/>
  <c r="J1262" i="210" s="1"/>
  <c r="J1308" i="210" s="1"/>
  <c r="J1354" i="210" s="1"/>
  <c r="J1400" i="210" s="1"/>
  <c r="J1446" i="210" s="1"/>
  <c r="J1492" i="210" s="1"/>
  <c r="J1140" i="210"/>
  <c r="J1186" i="210" s="1"/>
  <c r="J1232" i="210" s="1"/>
  <c r="J1278" i="210" s="1"/>
  <c r="J1324" i="210" s="1"/>
  <c r="J1370" i="210" s="1"/>
  <c r="J1416" i="210" s="1"/>
  <c r="J1462" i="210" s="1"/>
  <c r="F101" i="130"/>
  <c r="E62" i="214"/>
  <c r="E63" i="214"/>
  <c r="F63" i="214" s="1"/>
  <c r="F3672" i="209"/>
  <c r="N3758" i="209"/>
  <c r="L106" i="196" s="1"/>
  <c r="M3819" i="209"/>
  <c r="E3872" i="209"/>
  <c r="D107" i="196" s="1"/>
  <c r="M3900" i="209"/>
  <c r="O35" i="210"/>
  <c r="O36" i="210" s="1"/>
  <c r="I82" i="210" s="1"/>
  <c r="G65" i="210"/>
  <c r="D111" i="210" s="1"/>
  <c r="M207" i="210"/>
  <c r="M532" i="210"/>
  <c r="M533" i="210" s="1"/>
  <c r="M529" i="210"/>
  <c r="M592" i="210"/>
  <c r="M591" i="210" s="1"/>
  <c r="F591" i="210"/>
  <c r="F1414" i="209" s="1"/>
  <c r="M1414" i="209" s="1"/>
  <c r="D21" i="214"/>
  <c r="F21" i="214" s="1"/>
  <c r="F47" i="130"/>
  <c r="J2789" i="209"/>
  <c r="J1171" i="210"/>
  <c r="J1217" i="210" s="1"/>
  <c r="J1263" i="210" s="1"/>
  <c r="J1309" i="210" s="1"/>
  <c r="J1355" i="210" s="1"/>
  <c r="J1401" i="210" s="1"/>
  <c r="J1447" i="210" s="1"/>
  <c r="J1493" i="210" s="1"/>
  <c r="J1144" i="210"/>
  <c r="J1190" i="210" s="1"/>
  <c r="J1236" i="210" s="1"/>
  <c r="J1282" i="210" s="1"/>
  <c r="J1328" i="210" s="1"/>
  <c r="J1374" i="210" s="1"/>
  <c r="J1420" i="210" s="1"/>
  <c r="J1466" i="210" s="1"/>
  <c r="F102" i="130"/>
  <c r="E67" i="214"/>
  <c r="M3572" i="209"/>
  <c r="M3591" i="209" s="1"/>
  <c r="M3914" i="209"/>
  <c r="M3933" i="209" s="1"/>
  <c r="F3933" i="209"/>
  <c r="F4014" i="209"/>
  <c r="M4012" i="209"/>
  <c r="M4014" i="209" s="1"/>
  <c r="E4047" i="209"/>
  <c r="E4087" i="209" s="1"/>
  <c r="E4091" i="209" s="1"/>
  <c r="M948" i="210"/>
  <c r="M947" i="210" s="1"/>
  <c r="F947" i="210"/>
  <c r="F2318" i="209" s="1"/>
  <c r="M2318" i="209" s="1"/>
  <c r="M3705" i="209"/>
  <c r="M3745" i="209" s="1"/>
  <c r="M3749" i="209" s="1"/>
  <c r="O65" i="210"/>
  <c r="I111" i="210" s="1"/>
  <c r="I76" i="210"/>
  <c r="O76" i="210" s="1"/>
  <c r="F22" i="130"/>
  <c r="E38" i="130"/>
  <c r="F100" i="130"/>
  <c r="E59" i="214"/>
  <c r="E69" i="214"/>
  <c r="J2959" i="209"/>
  <c r="J3073" i="209" s="1"/>
  <c r="J3187" i="209" s="1"/>
  <c r="J3301" i="209" s="1"/>
  <c r="J3415" i="209" s="1"/>
  <c r="J3529" i="209" s="1"/>
  <c r="J3643" i="209" s="1"/>
  <c r="J3757" i="209" s="1"/>
  <c r="J3871" i="209" s="1"/>
  <c r="J3985" i="209" s="1"/>
  <c r="J4099" i="209" s="1"/>
  <c r="F3758" i="209"/>
  <c r="E106" i="196" s="1"/>
  <c r="F3819" i="209"/>
  <c r="F3859" i="209" s="1"/>
  <c r="F3863" i="209" s="1"/>
  <c r="N3973" i="209"/>
  <c r="N3977" i="209" s="1"/>
  <c r="M4081" i="209"/>
  <c r="E23" i="130"/>
  <c r="F38" i="130"/>
  <c r="E40" i="130"/>
  <c r="E98" i="130"/>
  <c r="J1172" i="210"/>
  <c r="J1218" i="210" s="1"/>
  <c r="J1264" i="210" s="1"/>
  <c r="J1310" i="210" s="1"/>
  <c r="J1356" i="210" s="1"/>
  <c r="J1402" i="210" s="1"/>
  <c r="J1448" i="210" s="1"/>
  <c r="J1494" i="210" s="1"/>
  <c r="J1148" i="210"/>
  <c r="J1194" i="210" s="1"/>
  <c r="J1240" i="210" s="1"/>
  <c r="J1286" i="210" s="1"/>
  <c r="J1332" i="210" s="1"/>
  <c r="J1378" i="210" s="1"/>
  <c r="J1424" i="210" s="1"/>
  <c r="J1470" i="210" s="1"/>
  <c r="E60" i="214"/>
  <c r="E70" i="214"/>
  <c r="L3044" i="209"/>
  <c r="L3054" i="209"/>
  <c r="L3168" i="209" s="1"/>
  <c r="L3282" i="209" s="1"/>
  <c r="L3396" i="209" s="1"/>
  <c r="L3510" i="209" s="1"/>
  <c r="L3624" i="209" s="1"/>
  <c r="L3738" i="209" s="1"/>
  <c r="L3852" i="209" s="1"/>
  <c r="L3966" i="209" s="1"/>
  <c r="L4080" i="209" s="1"/>
  <c r="F3330" i="209"/>
  <c r="F3403" i="209" s="1"/>
  <c r="F3407" i="209" s="1"/>
  <c r="N3705" i="209"/>
  <c r="N3745" i="209" s="1"/>
  <c r="N3749" i="209" s="1"/>
  <c r="M3986" i="209"/>
  <c r="K108" i="196" s="1"/>
  <c r="O28" i="210"/>
  <c r="I74" i="210" s="1"/>
  <c r="M621" i="210"/>
  <c r="M624" i="210"/>
  <c r="M625" i="210" s="1"/>
  <c r="F3900" i="209"/>
  <c r="F4047" i="209"/>
  <c r="E4100" i="209"/>
  <c r="D109" i="196" s="1"/>
  <c r="O27" i="210"/>
  <c r="G30" i="210"/>
  <c r="G32" i="210" s="1"/>
  <c r="D78" i="210" s="1"/>
  <c r="D77" i="210" s="1"/>
  <c r="G77" i="210" s="1"/>
  <c r="G78" i="210" s="1"/>
  <c r="D124" i="210" s="1"/>
  <c r="O38" i="210"/>
  <c r="K39" i="210"/>
  <c r="D72" i="210"/>
  <c r="G72" i="210" s="1"/>
  <c r="G64" i="210"/>
  <c r="D69" i="210"/>
  <c r="D80" i="210"/>
  <c r="G80" i="210" s="1"/>
  <c r="M164" i="210"/>
  <c r="M165" i="210" s="1"/>
  <c r="M161" i="210"/>
  <c r="E595" i="210"/>
  <c r="E1415" i="209" s="1"/>
  <c r="M680" i="210"/>
  <c r="M679" i="210" s="1"/>
  <c r="E687" i="210"/>
  <c r="E1643" i="209" s="1"/>
  <c r="M989" i="210"/>
  <c r="M1000" i="210"/>
  <c r="M997" i="210"/>
  <c r="M1048" i="210"/>
  <c r="M1047" i="210" s="1"/>
  <c r="F1047" i="210"/>
  <c r="F2551" i="209" s="1"/>
  <c r="M2551" i="209" s="1"/>
  <c r="M1403" i="210"/>
  <c r="F4100" i="209"/>
  <c r="E109" i="196" s="1"/>
  <c r="I64" i="210"/>
  <c r="O68" i="210"/>
  <c r="I114" i="210" s="1"/>
  <c r="I88" i="210"/>
  <c r="O88" i="210" s="1"/>
  <c r="O31" i="210"/>
  <c r="O32" i="210" s="1"/>
  <c r="I78" i="210" s="1"/>
  <c r="M69" i="210"/>
  <c r="J754" i="210"/>
  <c r="M764" i="210"/>
  <c r="M763" i="210" s="1"/>
  <c r="F763" i="210"/>
  <c r="F1862" i="209" s="1"/>
  <c r="M1102" i="210"/>
  <c r="M1101" i="210" s="1"/>
  <c r="F1101" i="210"/>
  <c r="F2669" i="209" s="1"/>
  <c r="M2669" i="209" s="1"/>
  <c r="M3753" i="209"/>
  <c r="M3758" i="209" s="1"/>
  <c r="K106" i="196" s="1"/>
  <c r="G27" i="210"/>
  <c r="D39" i="210"/>
  <c r="G42" i="210"/>
  <c r="G44" i="210" s="1"/>
  <c r="D90" i="210" s="1"/>
  <c r="D89" i="210" s="1"/>
  <c r="G89" i="210" s="1"/>
  <c r="G68" i="210"/>
  <c r="D114" i="210" s="1"/>
  <c r="D88" i="210"/>
  <c r="G88" i="210" s="1"/>
  <c r="F587" i="210"/>
  <c r="F1411" i="209" s="1"/>
  <c r="M1411" i="209" s="1"/>
  <c r="M914" i="210"/>
  <c r="M913" i="210" s="1"/>
  <c r="F913" i="210"/>
  <c r="F2212" i="209" s="1"/>
  <c r="M2212" i="209" s="1"/>
  <c r="M2223" i="209" s="1"/>
  <c r="M1314" i="210"/>
  <c r="M1315" i="210" s="1"/>
  <c r="M1311" i="210"/>
  <c r="I84" i="210"/>
  <c r="O84" i="210" s="1"/>
  <c r="O67" i="210"/>
  <c r="I113" i="210" s="1"/>
  <c r="M440" i="210"/>
  <c r="M441" i="210" s="1"/>
  <c r="M437" i="210"/>
  <c r="J984" i="210"/>
  <c r="J800" i="210"/>
  <c r="J1076" i="210"/>
  <c r="J846" i="210"/>
  <c r="J892" i="210"/>
  <c r="J1080" i="210"/>
  <c r="J896" i="210"/>
  <c r="J712" i="210"/>
  <c r="J850" i="210"/>
  <c r="J1034" i="210"/>
  <c r="J988" i="210"/>
  <c r="J688" i="210"/>
  <c r="E671" i="210"/>
  <c r="E1634" i="209" s="1"/>
  <c r="O11" i="210"/>
  <c r="D57" i="210"/>
  <c r="G35" i="210"/>
  <c r="G36" i="210" s="1"/>
  <c r="D82" i="210" s="1"/>
  <c r="M348" i="210"/>
  <c r="M349" i="210" s="1"/>
  <c r="M345" i="210"/>
  <c r="M588" i="210"/>
  <c r="M587" i="210" s="1"/>
  <c r="M671" i="210"/>
  <c r="M818" i="210"/>
  <c r="M817" i="210" s="1"/>
  <c r="F817" i="210"/>
  <c r="F1981" i="209" s="1"/>
  <c r="M1981" i="209" s="1"/>
  <c r="M860" i="210"/>
  <c r="M859" i="210" s="1"/>
  <c r="F859" i="210"/>
  <c r="F2092" i="209" s="1"/>
  <c r="M2092" i="209" s="1"/>
  <c r="M951" i="210"/>
  <c r="D126" i="210"/>
  <c r="G126" i="210" s="1"/>
  <c r="G112" i="210"/>
  <c r="D158" i="210" s="1"/>
  <c r="G26" i="210"/>
  <c r="O42" i="210"/>
  <c r="K43" i="210"/>
  <c r="M256" i="210"/>
  <c r="M257" i="210" s="1"/>
  <c r="M253" i="210"/>
  <c r="M776" i="210"/>
  <c r="M775" i="210" s="1"/>
  <c r="F637" i="210"/>
  <c r="F1528" i="209" s="1"/>
  <c r="F641" i="210"/>
  <c r="F1529" i="209" s="1"/>
  <c r="M1529" i="209" s="1"/>
  <c r="J941" i="210"/>
  <c r="J757" i="210"/>
  <c r="J684" i="210"/>
  <c r="J895" i="210"/>
  <c r="J711" i="210"/>
  <c r="J987" i="210"/>
  <c r="J803" i="210"/>
  <c r="E721" i="210"/>
  <c r="E1750" i="209" s="1"/>
  <c r="E40" i="7" s="1"/>
  <c r="M809" i="210"/>
  <c r="A875" i="210"/>
  <c r="J1033" i="210"/>
  <c r="E1039" i="210"/>
  <c r="E2546" i="209" s="1"/>
  <c r="M1090" i="210"/>
  <c r="M1089" i="210" s="1"/>
  <c r="A1290" i="210"/>
  <c r="M1331" i="210"/>
  <c r="A47" i="210"/>
  <c r="E625" i="210"/>
  <c r="E1520" i="209" s="1"/>
  <c r="E38" i="7" s="1"/>
  <c r="J1094" i="210"/>
  <c r="J1048" i="210"/>
  <c r="J956" i="210"/>
  <c r="J772" i="210"/>
  <c r="E725" i="210"/>
  <c r="E1753" i="209" s="1"/>
  <c r="A784" i="210"/>
  <c r="M855" i="210"/>
  <c r="M863" i="210"/>
  <c r="M906" i="210"/>
  <c r="M905" i="210" s="1"/>
  <c r="M1039" i="210"/>
  <c r="M1130" i="210"/>
  <c r="M1131" i="210" s="1"/>
  <c r="A1611" i="210"/>
  <c r="A1289" i="210"/>
  <c r="A1197" i="210"/>
  <c r="A1473" i="210"/>
  <c r="A1381" i="210"/>
  <c r="A1059" i="210"/>
  <c r="A1519" i="210"/>
  <c r="A1105" i="210"/>
  <c r="A967" i="210"/>
  <c r="A783" i="210"/>
  <c r="A1565" i="210"/>
  <c r="A921" i="210"/>
  <c r="A737" i="210"/>
  <c r="A1013" i="210"/>
  <c r="A829" i="210"/>
  <c r="A645" i="210"/>
  <c r="A554" i="210"/>
  <c r="J1077" i="210"/>
  <c r="J893" i="210"/>
  <c r="J709" i="210"/>
  <c r="J1031" i="210"/>
  <c r="J847" i="210"/>
  <c r="J939" i="210"/>
  <c r="J755" i="210"/>
  <c r="J676" i="210"/>
  <c r="M676" i="210"/>
  <c r="M675" i="210" s="1"/>
  <c r="F675" i="210"/>
  <c r="F1636" i="209" s="1"/>
  <c r="M1636" i="209" s="1"/>
  <c r="M872" i="210"/>
  <c r="M871" i="210" s="1"/>
  <c r="F871" i="210"/>
  <c r="F2099" i="209" s="1"/>
  <c r="M2099" i="209" s="1"/>
  <c r="E963" i="210"/>
  <c r="E2327" i="209" s="1"/>
  <c r="E2337" i="209" s="1"/>
  <c r="E2377" i="209" s="1"/>
  <c r="E2381" i="209" s="1"/>
  <c r="M1005" i="210"/>
  <c r="J1079" i="210"/>
  <c r="M1219" i="210"/>
  <c r="M1365" i="210"/>
  <c r="A1520" i="210"/>
  <c r="A1428" i="210"/>
  <c r="A1336" i="210"/>
  <c r="A1566" i="210"/>
  <c r="A1152" i="210"/>
  <c r="A1612" i="210"/>
  <c r="A1382" i="210"/>
  <c r="A1244" i="210"/>
  <c r="A1060" i="210"/>
  <c r="A876" i="210"/>
  <c r="A692" i="210"/>
  <c r="A646" i="210"/>
  <c r="J902" i="210"/>
  <c r="J718" i="210"/>
  <c r="M767" i="210"/>
  <c r="A830" i="210"/>
  <c r="E909" i="210"/>
  <c r="E2209" i="209" s="1"/>
  <c r="E2223" i="209" s="1"/>
  <c r="M963" i="210"/>
  <c r="M1002" i="210"/>
  <c r="F1001" i="210"/>
  <c r="F2437" i="209" s="1"/>
  <c r="M2437" i="209" s="1"/>
  <c r="J1086" i="210"/>
  <c r="A140" i="210"/>
  <c r="A232" i="210"/>
  <c r="A324" i="210"/>
  <c r="A416" i="210"/>
  <c r="A508" i="210"/>
  <c r="A600" i="210"/>
  <c r="M667" i="210"/>
  <c r="M688" i="210"/>
  <c r="M687" i="210" s="1"/>
  <c r="F687" i="210"/>
  <c r="F1643" i="209" s="1"/>
  <c r="M1643" i="209" s="1"/>
  <c r="M730" i="210"/>
  <c r="M729" i="210" s="1"/>
  <c r="F729" i="210"/>
  <c r="F1756" i="209" s="1"/>
  <c r="M1756" i="209" s="1"/>
  <c r="A738" i="210"/>
  <c r="M759" i="210"/>
  <c r="J764" i="210"/>
  <c r="J801" i="210"/>
  <c r="J864" i="210"/>
  <c r="A1106" i="210"/>
  <c r="M1135" i="210"/>
  <c r="A1151" i="210"/>
  <c r="E1043" i="210"/>
  <c r="E2548" i="209" s="1"/>
  <c r="M1086" i="210"/>
  <c r="M1085" i="210" s="1"/>
  <c r="F1085" i="210"/>
  <c r="F2660" i="209" s="1"/>
  <c r="M2660" i="209" s="1"/>
  <c r="J848" i="210"/>
  <c r="E1097" i="210"/>
  <c r="E2668" i="209" s="1"/>
  <c r="E2679" i="209" s="1"/>
  <c r="M1193" i="210"/>
  <c r="M1235" i="210"/>
  <c r="M1377" i="210"/>
  <c r="F725" i="210"/>
  <c r="F1753" i="209" s="1"/>
  <c r="M1753" i="209" s="1"/>
  <c r="M851" i="210"/>
  <c r="F963" i="210"/>
  <c r="F2327" i="209" s="1"/>
  <c r="M2327" i="209" s="1"/>
  <c r="M1035" i="210"/>
  <c r="F1039" i="210"/>
  <c r="F2546" i="209" s="1"/>
  <c r="M1177" i="210"/>
  <c r="M1406" i="210"/>
  <c r="M1407" i="210" s="1"/>
  <c r="M1319" i="210"/>
  <c r="M1419" i="210"/>
  <c r="M1499" i="210"/>
  <c r="E55" i="214"/>
  <c r="M1081" i="210"/>
  <c r="M1636" i="210"/>
  <c r="M1637" i="210" s="1"/>
  <c r="M1633" i="210"/>
  <c r="M1507" i="210"/>
  <c r="Q30" i="211"/>
  <c r="E24" i="7"/>
  <c r="M1553" i="210"/>
  <c r="M1595" i="210"/>
  <c r="F89" i="130"/>
  <c r="M1357" i="210"/>
  <c r="M1549" i="210"/>
  <c r="M1591" i="210"/>
  <c r="M1511" i="210"/>
  <c r="F18" i="34"/>
  <c r="I20" i="22" s="1"/>
  <c r="L20" i="22" s="1"/>
  <c r="X45" i="170"/>
  <c r="M46" i="170"/>
  <c r="I196" i="170"/>
  <c r="M175" i="170"/>
  <c r="M176" i="170" s="1"/>
  <c r="M177" i="170" s="1"/>
  <c r="M178" i="170" s="1"/>
  <c r="M179" i="170" s="1"/>
  <c r="M180" i="170" s="1"/>
  <c r="M181" i="170" s="1"/>
  <c r="M182" i="170" s="1"/>
  <c r="X174" i="170"/>
  <c r="F29" i="170"/>
  <c r="F32" i="170" s="1"/>
  <c r="F146" i="170"/>
  <c r="F148" i="170" s="1"/>
  <c r="F196" i="170" s="1"/>
  <c r="E89" i="130"/>
  <c r="D35" i="19"/>
  <c r="D36" i="19" s="1"/>
  <c r="D37" i="19" s="1"/>
  <c r="D38" i="19" s="1"/>
  <c r="D39" i="19" s="1"/>
  <c r="D40" i="19" s="1"/>
  <c r="D41" i="19" s="1"/>
  <c r="D42" i="19" s="1"/>
  <c r="D43" i="19" s="1"/>
  <c r="D44" i="19" s="1"/>
  <c r="D45" i="19" s="1"/>
  <c r="D46" i="19" s="1"/>
  <c r="H42" i="37"/>
  <c r="H53" i="37" s="1"/>
  <c r="J17" i="154"/>
  <c r="K17" i="154" s="1"/>
  <c r="H18" i="154"/>
  <c r="J18" i="155"/>
  <c r="H19" i="155"/>
  <c r="X31" i="170"/>
  <c r="Y31" i="170" s="1"/>
  <c r="Q42" i="170"/>
  <c r="T196" i="170"/>
  <c r="G42" i="170"/>
  <c r="G195" i="170" s="1"/>
  <c r="X167" i="170"/>
  <c r="D21" i="154"/>
  <c r="F21" i="154" s="1"/>
  <c r="G21" i="154" s="1"/>
  <c r="X19" i="170"/>
  <c r="T42" i="170"/>
  <c r="X37" i="170"/>
  <c r="Y37" i="170" s="1"/>
  <c r="D96" i="70"/>
  <c r="X20" i="170"/>
  <c r="Y20" i="170" s="1"/>
  <c r="X21" i="170"/>
  <c r="Y21" i="170" s="1"/>
  <c r="X23" i="170"/>
  <c r="Y23" i="170" s="1"/>
  <c r="J40" i="170"/>
  <c r="J42" i="170" s="1"/>
  <c r="J195" i="170" s="1"/>
  <c r="U42" i="170"/>
  <c r="U195" i="170" s="1"/>
  <c r="K195" i="170"/>
  <c r="C18" i="49"/>
  <c r="D32" i="170"/>
  <c r="L42" i="170"/>
  <c r="L195" i="170" s="1"/>
  <c r="V42" i="170"/>
  <c r="W196" i="170"/>
  <c r="M104" i="170"/>
  <c r="X103" i="170"/>
  <c r="N53" i="37"/>
  <c r="D23" i="49"/>
  <c r="K42" i="170"/>
  <c r="A106" i="170"/>
  <c r="A108" i="170" s="1"/>
  <c r="A109" i="170" s="1"/>
  <c r="A110" i="170" s="1"/>
  <c r="A111" i="170" s="1"/>
  <c r="A112" i="170" s="1"/>
  <c r="A113" i="170" s="1"/>
  <c r="A114" i="170" s="1"/>
  <c r="A115" i="170" s="1"/>
  <c r="A116" i="170" s="1"/>
  <c r="A117" i="170" s="1"/>
  <c r="A118" i="170" s="1"/>
  <c r="A119" i="170" s="1"/>
  <c r="A120" i="170" s="1"/>
  <c r="A121" i="170" s="1"/>
  <c r="A122" i="170" s="1"/>
  <c r="A123" i="170" s="1"/>
  <c r="A124" i="170" s="1"/>
  <c r="A125" i="170" s="1"/>
  <c r="A126" i="170" s="1"/>
  <c r="A127" i="170" s="1"/>
  <c r="A128" i="170" s="1"/>
  <c r="A129" i="170" s="1"/>
  <c r="A130" i="170" s="1"/>
  <c r="A131" i="170" s="1"/>
  <c r="A132" i="170" s="1"/>
  <c r="A133" i="170" s="1"/>
  <c r="A134" i="170" s="1"/>
  <c r="A135" i="170" s="1"/>
  <c r="A136" i="170" s="1"/>
  <c r="A137" i="170" s="1"/>
  <c r="A138" i="170" s="1"/>
  <c r="A139" i="170" s="1"/>
  <c r="A140" i="170" s="1"/>
  <c r="A141" i="170" s="1"/>
  <c r="A142" i="170" s="1"/>
  <c r="A143" i="170" s="1"/>
  <c r="A144" i="170" s="1"/>
  <c r="A145" i="170" s="1"/>
  <c r="A146" i="170" s="1"/>
  <c r="A147" i="170" s="1"/>
  <c r="A148" i="170" s="1"/>
  <c r="A107" i="170"/>
  <c r="X27" i="170"/>
  <c r="S32" i="170"/>
  <c r="X28" i="170"/>
  <c r="Y28" i="170" s="1"/>
  <c r="X29" i="170"/>
  <c r="Y29" i="170" s="1"/>
  <c r="X30" i="170"/>
  <c r="Y30" i="170" s="1"/>
  <c r="U32" i="171"/>
  <c r="U42" i="171" s="1"/>
  <c r="A2" i="222"/>
  <c r="F21" i="49"/>
  <c r="P148" i="170"/>
  <c r="P196" i="170" s="1"/>
  <c r="F178" i="170"/>
  <c r="H193" i="170"/>
  <c r="F194" i="170"/>
  <c r="G42" i="171"/>
  <c r="H177" i="171"/>
  <c r="R42" i="170"/>
  <c r="R195" i="170" s="1"/>
  <c r="Q148" i="170"/>
  <c r="Q196" i="170" s="1"/>
  <c r="Q195" i="170" s="1"/>
  <c r="X169" i="170"/>
  <c r="Y169" i="170" s="1"/>
  <c r="M20" i="171"/>
  <c r="M21" i="171" s="1"/>
  <c r="M22" i="171" s="1"/>
  <c r="M23" i="171" s="1"/>
  <c r="M24" i="171" s="1"/>
  <c r="M25" i="171" s="1"/>
  <c r="M26" i="171" s="1"/>
  <c r="M27" i="171" s="1"/>
  <c r="M28" i="171" s="1"/>
  <c r="X19" i="171"/>
  <c r="D27" i="71"/>
  <c r="F19" i="71"/>
  <c r="J18" i="109" s="1"/>
  <c r="J52" i="109" s="1"/>
  <c r="D147" i="71"/>
  <c r="F145" i="71"/>
  <c r="D128" i="195" s="1"/>
  <c r="I42" i="171"/>
  <c r="T42" i="171"/>
  <c r="D40" i="206"/>
  <c r="F40" i="206" s="1"/>
  <c r="H127" i="213"/>
  <c r="T112" i="75"/>
  <c r="R42" i="195"/>
  <c r="D18" i="70"/>
  <c r="F18" i="70" s="1"/>
  <c r="A150" i="171"/>
  <c r="M150" i="171" s="1"/>
  <c r="A87" i="171"/>
  <c r="M87" i="171" s="1"/>
  <c r="A1" i="171"/>
  <c r="M1" i="171" s="1"/>
  <c r="H32" i="170"/>
  <c r="H170" i="170"/>
  <c r="X170" i="170" s="1"/>
  <c r="Y170" i="170" s="1"/>
  <c r="H184" i="170"/>
  <c r="J42" i="171"/>
  <c r="U148" i="171"/>
  <c r="U195" i="171" s="1"/>
  <c r="X38" i="170"/>
  <c r="Y38" i="170" s="1"/>
  <c r="M153" i="170"/>
  <c r="X21" i="171"/>
  <c r="Y21" i="171" s="1"/>
  <c r="X23" i="171"/>
  <c r="Y23" i="171" s="1"/>
  <c r="H80" i="213"/>
  <c r="P80" i="213"/>
  <c r="F42" i="70"/>
  <c r="D44" i="70"/>
  <c r="A1" i="155"/>
  <c r="A2" i="171"/>
  <c r="M2" i="171" s="1"/>
  <c r="A151" i="171"/>
  <c r="M151" i="171" s="1"/>
  <c r="A88" i="171"/>
  <c r="M88" i="171" s="1"/>
  <c r="D40" i="170"/>
  <c r="D42" i="170" s="1"/>
  <c r="W40" i="170"/>
  <c r="W42" i="170" s="1"/>
  <c r="V195" i="170"/>
  <c r="X168" i="170"/>
  <c r="Y168" i="170" s="1"/>
  <c r="L42" i="171"/>
  <c r="C15" i="206"/>
  <c r="C19" i="206" s="1"/>
  <c r="C28" i="206"/>
  <c r="H97" i="213"/>
  <c r="P97" i="213"/>
  <c r="P128" i="72"/>
  <c r="D130" i="72"/>
  <c r="M2" i="170"/>
  <c r="P40" i="170"/>
  <c r="P42" i="170" s="1"/>
  <c r="X35" i="170"/>
  <c r="D196" i="170"/>
  <c r="F109" i="171"/>
  <c r="F183" i="171"/>
  <c r="T69" i="75"/>
  <c r="H30" i="213"/>
  <c r="H96" i="213"/>
  <c r="P96" i="213"/>
  <c r="H105" i="213"/>
  <c r="P105" i="213"/>
  <c r="F57" i="71"/>
  <c r="D39" i="70"/>
  <c r="F38" i="70"/>
  <c r="F39" i="70" s="1"/>
  <c r="D135" i="70"/>
  <c r="F135" i="70" s="1"/>
  <c r="D125" i="213" s="1"/>
  <c r="K117" i="72"/>
  <c r="K130" i="72"/>
  <c r="X27" i="171"/>
  <c r="F85" i="171"/>
  <c r="F36" i="171"/>
  <c r="H188" i="171"/>
  <c r="D38" i="206"/>
  <c r="F38" i="206" s="1"/>
  <c r="D32" i="70"/>
  <c r="D110" i="70"/>
  <c r="F110" i="70" s="1"/>
  <c r="D92" i="213" s="1"/>
  <c r="H101" i="213"/>
  <c r="P101" i="213"/>
  <c r="F14" i="186"/>
  <c r="D37" i="195"/>
  <c r="F69" i="71"/>
  <c r="F158" i="71"/>
  <c r="G73" i="120" s="1"/>
  <c r="M42" i="69"/>
  <c r="D17" i="70"/>
  <c r="T118" i="75"/>
  <c r="H43" i="213"/>
  <c r="D24" i="171"/>
  <c r="W24" i="171"/>
  <c r="D33" i="45" s="1"/>
  <c r="R40" i="171"/>
  <c r="K148" i="171"/>
  <c r="K195" i="171" s="1"/>
  <c r="F51" i="70"/>
  <c r="F56" i="70" s="1"/>
  <c r="D67" i="213" s="1"/>
  <c r="D56" i="70"/>
  <c r="E22" i="69" s="1"/>
  <c r="H93" i="213"/>
  <c r="P93" i="213"/>
  <c r="F118" i="71"/>
  <c r="D122" i="71"/>
  <c r="L138" i="213"/>
  <c r="M138" i="213" s="1"/>
  <c r="P138" i="213" s="1"/>
  <c r="R137" i="195"/>
  <c r="K32" i="171"/>
  <c r="M105" i="171"/>
  <c r="X104" i="171"/>
  <c r="H20" i="171"/>
  <c r="H114" i="171"/>
  <c r="H148" i="171" s="1"/>
  <c r="F37" i="171"/>
  <c r="D33" i="206"/>
  <c r="F33" i="206" s="1"/>
  <c r="H74" i="213"/>
  <c r="P74" i="213"/>
  <c r="H83" i="213"/>
  <c r="P83" i="213"/>
  <c r="P148" i="171"/>
  <c r="P195" i="171" s="1"/>
  <c r="F146" i="171"/>
  <c r="F22" i="171"/>
  <c r="F24" i="171" s="1"/>
  <c r="E25" i="68"/>
  <c r="I21" i="108"/>
  <c r="D26" i="213"/>
  <c r="F32" i="70"/>
  <c r="T103" i="75"/>
  <c r="H40" i="213"/>
  <c r="T68" i="75"/>
  <c r="R30" i="195"/>
  <c r="D138" i="195"/>
  <c r="M36" i="69"/>
  <c r="Q36" i="69" s="1"/>
  <c r="D99" i="70"/>
  <c r="F99" i="70" s="1"/>
  <c r="D84" i="213" s="1"/>
  <c r="D142" i="70"/>
  <c r="H109" i="72"/>
  <c r="P109" i="72"/>
  <c r="E117" i="72"/>
  <c r="P115" i="72"/>
  <c r="I41" i="108" s="1"/>
  <c r="R24" i="171"/>
  <c r="H32" i="171"/>
  <c r="K40" i="171"/>
  <c r="K42" i="171" s="1"/>
  <c r="H167" i="171"/>
  <c r="H170" i="171" s="1"/>
  <c r="D35" i="206"/>
  <c r="F35" i="206" s="1"/>
  <c r="P70" i="213"/>
  <c r="H70" i="213"/>
  <c r="H75" i="213"/>
  <c r="P75" i="213"/>
  <c r="H104" i="213"/>
  <c r="T102" i="75"/>
  <c r="R40" i="195"/>
  <c r="T117" i="75"/>
  <c r="R43" i="195"/>
  <c r="F15" i="203"/>
  <c r="D134" i="195"/>
  <c r="M31" i="69"/>
  <c r="D64" i="70"/>
  <c r="F64" i="70" s="1"/>
  <c r="D68" i="213" s="1"/>
  <c r="D100" i="70"/>
  <c r="F100" i="70" s="1"/>
  <c r="D85" i="213" s="1"/>
  <c r="F130" i="72"/>
  <c r="H175" i="170"/>
  <c r="D32" i="171"/>
  <c r="D42" i="171" s="1"/>
  <c r="Q32" i="171"/>
  <c r="Q42" i="171" s="1"/>
  <c r="V40" i="171"/>
  <c r="V42" i="171" s="1"/>
  <c r="D148" i="171"/>
  <c r="D195" i="171" s="1"/>
  <c r="M167" i="171"/>
  <c r="M168" i="171" s="1"/>
  <c r="X166" i="171"/>
  <c r="D36" i="206"/>
  <c r="F36" i="206" s="1"/>
  <c r="I19" i="109"/>
  <c r="I53" i="109" s="1"/>
  <c r="D20" i="213"/>
  <c r="T113" i="75"/>
  <c r="H42" i="213"/>
  <c r="P100" i="213"/>
  <c r="H100" i="213"/>
  <c r="H138" i="213"/>
  <c r="F154" i="70"/>
  <c r="H74" i="120" s="1"/>
  <c r="H75" i="120" s="1"/>
  <c r="D21" i="195"/>
  <c r="T56" i="75"/>
  <c r="R28" i="195"/>
  <c r="D37" i="71"/>
  <c r="D69" i="71"/>
  <c r="D134" i="70"/>
  <c r="F134" i="70" s="1"/>
  <c r="D107" i="213" s="1"/>
  <c r="H106" i="213"/>
  <c r="P106" i="213"/>
  <c r="H128" i="213"/>
  <c r="P128" i="213"/>
  <c r="H139" i="213"/>
  <c r="F15" i="199"/>
  <c r="F17" i="199" s="1"/>
  <c r="R14" i="78" s="1"/>
  <c r="R16" i="78" s="1"/>
  <c r="E26" i="195" s="1"/>
  <c r="D26" i="195"/>
  <c r="F37" i="71"/>
  <c r="D70" i="195"/>
  <c r="R70" i="195" s="1"/>
  <c r="F49" i="71"/>
  <c r="F125" i="71"/>
  <c r="D129" i="71"/>
  <c r="D60" i="70"/>
  <c r="D75" i="70"/>
  <c r="F75" i="70" s="1"/>
  <c r="D76" i="213" s="1"/>
  <c r="D107" i="70"/>
  <c r="E42" i="69"/>
  <c r="E31" i="68" s="1"/>
  <c r="E32" i="68" s="1"/>
  <c r="E130" i="72"/>
  <c r="M130" i="72"/>
  <c r="P32" i="171"/>
  <c r="P42" i="171" s="1"/>
  <c r="L148" i="171"/>
  <c r="L195" i="171" s="1"/>
  <c r="V148" i="171"/>
  <c r="V195" i="171" s="1"/>
  <c r="H181" i="171"/>
  <c r="S30" i="218"/>
  <c r="S29" i="218" s="1"/>
  <c r="D71" i="70"/>
  <c r="D119" i="70"/>
  <c r="D126" i="70"/>
  <c r="I28" i="108"/>
  <c r="D135" i="213"/>
  <c r="E31" i="69"/>
  <c r="D49" i="71"/>
  <c r="T92" i="75"/>
  <c r="R38" i="195"/>
  <c r="D67" i="195"/>
  <c r="M23" i="69"/>
  <c r="D81" i="71"/>
  <c r="F72" i="71"/>
  <c r="D107" i="71"/>
  <c r="F107" i="71"/>
  <c r="I104" i="195"/>
  <c r="J50" i="167"/>
  <c r="D136" i="195"/>
  <c r="D61" i="70"/>
  <c r="F61" i="70" s="1"/>
  <c r="D38" i="213" s="1"/>
  <c r="D76" i="70"/>
  <c r="F76" i="70" s="1"/>
  <c r="D77" i="213" s="1"/>
  <c r="T51" i="75"/>
  <c r="H27" i="213"/>
  <c r="T63" i="75"/>
  <c r="H29" i="213"/>
  <c r="T108" i="75"/>
  <c r="H41" i="213"/>
  <c r="H73" i="213"/>
  <c r="P73" i="213"/>
  <c r="H82" i="213"/>
  <c r="H86" i="213"/>
  <c r="P86" i="213"/>
  <c r="H90" i="213"/>
  <c r="P90" i="213"/>
  <c r="D94" i="213"/>
  <c r="F119" i="70"/>
  <c r="E27" i="69" s="1"/>
  <c r="I27" i="69" s="1"/>
  <c r="D98" i="213"/>
  <c r="F126" i="70"/>
  <c r="E28" i="69" s="1"/>
  <c r="I28" i="69" s="1"/>
  <c r="D102" i="213"/>
  <c r="D18" i="195"/>
  <c r="J54" i="109"/>
  <c r="D22" i="195"/>
  <c r="D45" i="71"/>
  <c r="F43" i="71"/>
  <c r="F132" i="71"/>
  <c r="D142" i="71"/>
  <c r="F35" i="171"/>
  <c r="F40" i="171" s="1"/>
  <c r="S35" i="218"/>
  <c r="S34" i="218" s="1"/>
  <c r="H22" i="213"/>
  <c r="T39" i="75" s="1"/>
  <c r="I20" i="108"/>
  <c r="D28" i="213"/>
  <c r="H87" i="213"/>
  <c r="P87" i="213"/>
  <c r="H91" i="213"/>
  <c r="P91" i="213"/>
  <c r="H95" i="213"/>
  <c r="P95" i="213"/>
  <c r="P99" i="213"/>
  <c r="H99" i="213"/>
  <c r="P103" i="213"/>
  <c r="H103" i="213"/>
  <c r="I29" i="108"/>
  <c r="D137" i="213"/>
  <c r="T50" i="75"/>
  <c r="R27" i="195"/>
  <c r="T62" i="75"/>
  <c r="R29" i="195"/>
  <c r="T97" i="75"/>
  <c r="R39" i="195"/>
  <c r="R41" i="195"/>
  <c r="T107" i="75"/>
  <c r="F110" i="71"/>
  <c r="D115" i="71"/>
  <c r="H78" i="120"/>
  <c r="H79" i="120"/>
  <c r="F47" i="70"/>
  <c r="F48" i="70" s="1"/>
  <c r="D71" i="213" s="1"/>
  <c r="D62" i="70"/>
  <c r="F62" i="70" s="1"/>
  <c r="D39" i="213" s="1"/>
  <c r="D77" i="70"/>
  <c r="F77" i="70" s="1"/>
  <c r="D78" i="213" s="1"/>
  <c r="D136" i="70"/>
  <c r="F136" i="70" s="1"/>
  <c r="D126" i="213" s="1"/>
  <c r="D143" i="70"/>
  <c r="F143" i="70" s="1"/>
  <c r="D130" i="213" s="1"/>
  <c r="E24" i="101"/>
  <c r="N87" i="213"/>
  <c r="D134" i="73"/>
  <c r="G18" i="213"/>
  <c r="N75" i="213"/>
  <c r="N100" i="213"/>
  <c r="F25" i="173"/>
  <c r="F25" i="186"/>
  <c r="F29" i="186" s="1"/>
  <c r="R39" i="78" s="1"/>
  <c r="R41" i="78" s="1"/>
  <c r="L121" i="73"/>
  <c r="L134" i="73"/>
  <c r="N70" i="213"/>
  <c r="J134" i="73"/>
  <c r="F121" i="73"/>
  <c r="F134" i="73"/>
  <c r="N121" i="73"/>
  <c r="N134" i="73"/>
  <c r="E121" i="73"/>
  <c r="M121" i="73"/>
  <c r="N84" i="213"/>
  <c r="G132" i="195"/>
  <c r="G143" i="195" s="1"/>
  <c r="G145" i="195" s="1"/>
  <c r="I24" i="101"/>
  <c r="M24" i="101"/>
  <c r="H134" i="73"/>
  <c r="P126" i="73"/>
  <c r="J37" i="108" s="1"/>
  <c r="N71" i="213"/>
  <c r="N79" i="213"/>
  <c r="N95" i="213"/>
  <c r="A57" i="195"/>
  <c r="A115" i="195"/>
  <c r="E21" i="213"/>
  <c r="G21" i="213" s="1"/>
  <c r="H21" i="213" s="1"/>
  <c r="T33" i="75" s="1"/>
  <c r="N92" i="213"/>
  <c r="S42" i="218"/>
  <c r="J25" i="223"/>
  <c r="K134" i="73"/>
  <c r="A109" i="213"/>
  <c r="A50" i="213"/>
  <c r="N99" i="213"/>
  <c r="A110" i="213"/>
  <c r="A51" i="213"/>
  <c r="N90" i="213"/>
  <c r="N129" i="213"/>
  <c r="N46" i="195"/>
  <c r="L55" i="153"/>
  <c r="L47" i="153"/>
  <c r="N74" i="213"/>
  <c r="N78" i="213"/>
  <c r="N81" i="213"/>
  <c r="N89" i="213"/>
  <c r="N97" i="213"/>
  <c r="I12" i="195"/>
  <c r="H61" i="195"/>
  <c r="H119" i="195" s="1"/>
  <c r="J21" i="223"/>
  <c r="J27" i="223" s="1"/>
  <c r="P62" i="75"/>
  <c r="P26" i="75"/>
  <c r="P50" i="75"/>
  <c r="P32" i="75"/>
  <c r="P68" i="75"/>
  <c r="P87" i="75" s="1"/>
  <c r="P45" i="75"/>
  <c r="F21" i="163"/>
  <c r="R66" i="78" s="1"/>
  <c r="R68" i="78" s="1"/>
  <c r="J124" i="195" s="1"/>
  <c r="N68" i="213"/>
  <c r="Q44" i="195"/>
  <c r="O21" i="69" s="1"/>
  <c r="N73" i="213"/>
  <c r="N77" i="213"/>
  <c r="N83" i="213"/>
  <c r="N91" i="213"/>
  <c r="N125" i="213"/>
  <c r="N128" i="213"/>
  <c r="O51" i="221"/>
  <c r="X34" i="76"/>
  <c r="X36" i="76" s="1"/>
  <c r="X37" i="76" s="1"/>
  <c r="F15" i="166"/>
  <c r="F17" i="166" s="1"/>
  <c r="X113" i="76"/>
  <c r="X115" i="76" s="1"/>
  <c r="X116" i="76" s="1"/>
  <c r="D59" i="153"/>
  <c r="D48" i="153"/>
  <c r="D53" i="153" s="1"/>
  <c r="D61" i="153" s="1"/>
  <c r="P113" i="73"/>
  <c r="N67" i="213"/>
  <c r="N80" i="213"/>
  <c r="N88" i="213"/>
  <c r="N96" i="213"/>
  <c r="A51" i="195"/>
  <c r="A109" i="195"/>
  <c r="O30" i="218"/>
  <c r="O20" i="218"/>
  <c r="O25" i="218"/>
  <c r="P56" i="75"/>
  <c r="N72" i="213"/>
  <c r="N93" i="213"/>
  <c r="J59" i="153"/>
  <c r="J48" i="153"/>
  <c r="J53" i="153" s="1"/>
  <c r="A54" i="195"/>
  <c r="O31" i="218"/>
  <c r="X50" i="76"/>
  <c r="X51" i="76" s="1"/>
  <c r="F53" i="157"/>
  <c r="N53" i="157"/>
  <c r="G53" i="221"/>
  <c r="K59" i="153"/>
  <c r="K48" i="153"/>
  <c r="K53" i="153" s="1"/>
  <c r="H100" i="153"/>
  <c r="H23" i="153" s="1"/>
  <c r="O26" i="218"/>
  <c r="O27" i="221"/>
  <c r="I23" i="106"/>
  <c r="G19" i="106"/>
  <c r="G23" i="106" s="1"/>
  <c r="F16" i="186"/>
  <c r="P39" i="75"/>
  <c r="P46" i="75" s="1"/>
  <c r="P51" i="75" s="1"/>
  <c r="P57" i="75" s="1"/>
  <c r="P63" i="75" s="1"/>
  <c r="P69" i="75"/>
  <c r="P88" i="75" s="1"/>
  <c r="T49" i="76"/>
  <c r="T22" i="76"/>
  <c r="T62" i="76"/>
  <c r="T68" i="76" s="1"/>
  <c r="T74" i="76" s="1"/>
  <c r="T80" i="76" s="1"/>
  <c r="T100" i="76" s="1"/>
  <c r="T108" i="76" s="1"/>
  <c r="T114" i="76" s="1"/>
  <c r="T121" i="76" s="1"/>
  <c r="T127" i="76" s="1"/>
  <c r="T133" i="76" s="1"/>
  <c r="T35" i="76"/>
  <c r="X122" i="76"/>
  <c r="X123" i="76" s="1"/>
  <c r="O53" i="157"/>
  <c r="X43" i="76"/>
  <c r="X44" i="76" s="1"/>
  <c r="H172" i="153"/>
  <c r="H49" i="153" s="1"/>
  <c r="F49" i="153"/>
  <c r="H177" i="153"/>
  <c r="H52" i="153" s="1"/>
  <c r="F52" i="153"/>
  <c r="T42" i="76"/>
  <c r="X109" i="76"/>
  <c r="X110" i="76" s="1"/>
  <c r="F40" i="153"/>
  <c r="H175" i="153"/>
  <c r="H40" i="153" s="1"/>
  <c r="T28" i="76"/>
  <c r="T54" i="76"/>
  <c r="E20" i="101"/>
  <c r="E22" i="101" s="1"/>
  <c r="F47" i="153"/>
  <c r="F57" i="153"/>
  <c r="H182" i="153"/>
  <c r="H57" i="153" s="1"/>
  <c r="M20" i="101"/>
  <c r="I20" i="101"/>
  <c r="G33" i="207"/>
  <c r="G53" i="207" s="1"/>
  <c r="G73" i="207" s="1"/>
  <c r="G108" i="207" s="1"/>
  <c r="G128" i="207" s="1"/>
  <c r="F55" i="153"/>
  <c r="H148" i="153"/>
  <c r="H24" i="153" s="1"/>
  <c r="H58" i="153"/>
  <c r="K100" i="153"/>
  <c r="F139" i="207"/>
  <c r="I26" i="139"/>
  <c r="I45" i="139" s="1"/>
  <c r="G55" i="225"/>
  <c r="G51" i="225"/>
  <c r="G47" i="225"/>
  <c r="G54" i="225"/>
  <c r="G46" i="225"/>
  <c r="G37" i="226"/>
  <c r="G33" i="226"/>
  <c r="I35" i="230"/>
  <c r="I32" i="90"/>
  <c r="I36" i="90" s="1"/>
  <c r="G52" i="225"/>
  <c r="G42" i="227"/>
  <c r="G38" i="227"/>
  <c r="G34" i="227"/>
  <c r="G30" i="227"/>
  <c r="G37" i="227"/>
  <c r="K25" i="90"/>
  <c r="K32" i="90"/>
  <c r="R116" i="120"/>
  <c r="R80" i="120"/>
  <c r="R82" i="120" s="1"/>
  <c r="R117" i="120"/>
  <c r="I36" i="110"/>
  <c r="I33" i="110"/>
  <c r="F38" i="110"/>
  <c r="K116" i="120"/>
  <c r="K167" i="120"/>
  <c r="K80" i="120"/>
  <c r="K82" i="120" s="1"/>
  <c r="K168" i="120"/>
  <c r="S116" i="120"/>
  <c r="S80" i="120"/>
  <c r="S82" i="120" s="1"/>
  <c r="S117" i="120"/>
  <c r="R167" i="120"/>
  <c r="G32" i="149"/>
  <c r="G34" i="149" s="1"/>
  <c r="L168" i="120"/>
  <c r="R168" i="120"/>
  <c r="A82" i="149"/>
  <c r="G48" i="109"/>
  <c r="J33" i="110"/>
  <c r="G18" i="138"/>
  <c r="G25" i="179"/>
  <c r="I17" i="179" s="1"/>
  <c r="I117" i="120"/>
  <c r="I80" i="120"/>
  <c r="I82" i="120" s="1"/>
  <c r="I116" i="120"/>
  <c r="I167" i="120"/>
  <c r="I168" i="120"/>
  <c r="J166" i="120"/>
  <c r="D33" i="110"/>
  <c r="L33" i="110"/>
  <c r="L36" i="110"/>
  <c r="N168" i="120"/>
  <c r="N167" i="120"/>
  <c r="J116" i="120"/>
  <c r="J117" i="120"/>
  <c r="J167" i="120"/>
  <c r="J168" i="120"/>
  <c r="M166" i="120"/>
  <c r="N116" i="120"/>
  <c r="N166" i="120"/>
  <c r="O168" i="120"/>
  <c r="O116" i="120"/>
  <c r="O80" i="120"/>
  <c r="O82" i="120" s="1"/>
  <c r="N119" i="120"/>
  <c r="N131" i="120"/>
  <c r="E34" i="149"/>
  <c r="J48" i="109"/>
  <c r="G33" i="110"/>
  <c r="A92" i="120"/>
  <c r="A43" i="120"/>
  <c r="A162" i="149"/>
  <c r="K48" i="109"/>
  <c r="H33" i="110"/>
  <c r="M167" i="120"/>
  <c r="M117" i="120"/>
  <c r="H67" i="120"/>
  <c r="A148" i="120"/>
  <c r="L167" i="120"/>
  <c r="L80" i="120"/>
  <c r="L82" i="120" s="1"/>
  <c r="L117" i="120"/>
  <c r="P168" i="120"/>
  <c r="M168" i="120"/>
  <c r="L116" i="120"/>
  <c r="Q168" i="120"/>
  <c r="P80" i="120"/>
  <c r="P82" i="120" s="1"/>
  <c r="P167" i="120"/>
  <c r="J30" i="109" l="1"/>
  <c r="J58" i="109"/>
  <c r="M21" i="69"/>
  <c r="J25" i="108"/>
  <c r="D42" i="154"/>
  <c r="I36" i="108"/>
  <c r="I38" i="108" s="1"/>
  <c r="P88" i="213"/>
  <c r="P79" i="213"/>
  <c r="G195" i="149"/>
  <c r="G214" i="149"/>
  <c r="G152" i="149"/>
  <c r="G114" i="149"/>
  <c r="G53" i="149"/>
  <c r="I20" i="49"/>
  <c r="G1020" i="209"/>
  <c r="G75" i="120"/>
  <c r="Q166" i="120"/>
  <c r="I106" i="195"/>
  <c r="D18" i="155"/>
  <c r="F18" i="155" s="1"/>
  <c r="G18" i="155" s="1"/>
  <c r="K18" i="155" s="1"/>
  <c r="G72" i="149"/>
  <c r="K61" i="153"/>
  <c r="J61" i="153"/>
  <c r="M133" i="213"/>
  <c r="K26" i="69"/>
  <c r="K25" i="69"/>
  <c r="K27" i="69"/>
  <c r="K28" i="69"/>
  <c r="P82" i="213"/>
  <c r="N127" i="213"/>
  <c r="S37" i="218"/>
  <c r="K24" i="101"/>
  <c r="P121" i="73"/>
  <c r="J38" i="108"/>
  <c r="D42" i="155"/>
  <c r="F42" i="155" s="1"/>
  <c r="G42" i="155" s="1"/>
  <c r="S32" i="218"/>
  <c r="T119" i="75"/>
  <c r="T120" i="75" s="1"/>
  <c r="D139" i="70"/>
  <c r="A50" i="70"/>
  <c r="A51" i="70" s="1"/>
  <c r="A52" i="70" s="1"/>
  <c r="A53" i="70" s="1"/>
  <c r="A54" i="70" s="1"/>
  <c r="A55" i="70" s="1"/>
  <c r="A56" i="70" s="1"/>
  <c r="A58" i="70" s="1"/>
  <c r="A59" i="70" s="1"/>
  <c r="A60" i="70" s="1"/>
  <c r="A61" i="70" s="1"/>
  <c r="A62" i="70" s="1"/>
  <c r="A63" i="70" s="1"/>
  <c r="A64" i="70" s="1"/>
  <c r="A65" i="70" s="1"/>
  <c r="A66" i="70" s="1"/>
  <c r="A67" i="70" s="1"/>
  <c r="A68" i="70" s="1"/>
  <c r="A70" i="70" s="1"/>
  <c r="A71" i="70" s="1"/>
  <c r="A72" i="70" s="1"/>
  <c r="A73" i="70" s="1"/>
  <c r="A74" i="70" s="1"/>
  <c r="A75" i="70" s="1"/>
  <c r="A76" i="70" s="1"/>
  <c r="A77" i="70" s="1"/>
  <c r="A78" i="70" s="1"/>
  <c r="A79" i="70" s="1"/>
  <c r="A80" i="70" s="1"/>
  <c r="F139" i="70"/>
  <c r="E49" i="42"/>
  <c r="I1055" i="209"/>
  <c r="O1055" i="209" s="1"/>
  <c r="I1058" i="209"/>
  <c r="O1058" i="209" s="1"/>
  <c r="E80" i="42"/>
  <c r="E54" i="42"/>
  <c r="I1081" i="209"/>
  <c r="O1081" i="209" s="1"/>
  <c r="E53" i="42"/>
  <c r="I1080" i="209"/>
  <c r="O1080" i="209" s="1"/>
  <c r="F53" i="42" s="1"/>
  <c r="I1074" i="209"/>
  <c r="O1074" i="209" s="1"/>
  <c r="I1067" i="209"/>
  <c r="O1067" i="209" s="1"/>
  <c r="I1181" i="209" s="1"/>
  <c r="O1181" i="209" s="1"/>
  <c r="I1082" i="209"/>
  <c r="O1082" i="209" s="1"/>
  <c r="I1060" i="209"/>
  <c r="O1060" i="209" s="1"/>
  <c r="F33" i="42" s="1"/>
  <c r="I1063" i="209"/>
  <c r="O1063" i="209" s="1"/>
  <c r="F36" i="42" s="1"/>
  <c r="F32" i="171"/>
  <c r="F42" i="171" s="1"/>
  <c r="J34" i="45"/>
  <c r="J35" i="45" s="1"/>
  <c r="D35" i="45"/>
  <c r="X175" i="170"/>
  <c r="Y175" i="170" s="1"/>
  <c r="W195" i="170"/>
  <c r="H22" i="170"/>
  <c r="F40" i="170"/>
  <c r="F42" i="170" s="1"/>
  <c r="S42" i="170"/>
  <c r="S195" i="170" s="1"/>
  <c r="T195" i="170"/>
  <c r="I195" i="170"/>
  <c r="D195" i="170"/>
  <c r="F22" i="214"/>
  <c r="D22" i="214"/>
  <c r="O23" i="210"/>
  <c r="E112" i="209"/>
  <c r="D17" i="196"/>
  <c r="D131" i="196" s="1"/>
  <c r="I141" i="196"/>
  <c r="O66" i="210"/>
  <c r="I112" i="210" s="1"/>
  <c r="I80" i="210"/>
  <c r="O80" i="210" s="1"/>
  <c r="M969" i="209"/>
  <c r="M1009" i="209" s="1"/>
  <c r="M1013" i="209" s="1"/>
  <c r="I81" i="210"/>
  <c r="O81" i="210" s="1"/>
  <c r="O82" i="210" s="1"/>
  <c r="I128" i="210" s="1"/>
  <c r="M2679" i="209"/>
  <c r="I77" i="210"/>
  <c r="O77" i="210" s="1"/>
  <c r="D81" i="210"/>
  <c r="G81" i="210" s="1"/>
  <c r="E57" i="130"/>
  <c r="G28" i="210"/>
  <c r="D74" i="210" s="1"/>
  <c r="L138" i="196"/>
  <c r="J38" i="196"/>
  <c r="J152" i="196" s="1"/>
  <c r="J28" i="196"/>
  <c r="J142" i="196" s="1"/>
  <c r="I1047" i="209"/>
  <c r="O1047" i="209" s="1"/>
  <c r="E82" i="42"/>
  <c r="I1106" i="209"/>
  <c r="O1106" i="209" s="1"/>
  <c r="I1057" i="209"/>
  <c r="O1057" i="209" s="1"/>
  <c r="L112" i="209"/>
  <c r="N94" i="213"/>
  <c r="P104" i="213"/>
  <c r="E39" i="191"/>
  <c r="F39" i="191" s="1"/>
  <c r="G39" i="191" s="1"/>
  <c r="H39" i="191" s="1"/>
  <c r="I39" i="191" s="1"/>
  <c r="J39" i="191" s="1"/>
  <c r="K39" i="191" s="1"/>
  <c r="L39" i="191" s="1"/>
  <c r="M39" i="191" s="1"/>
  <c r="N39" i="191" s="1"/>
  <c r="O39" i="191" s="1"/>
  <c r="BA85" i="190"/>
  <c r="AY85" i="190"/>
  <c r="GI66" i="190"/>
  <c r="M85" i="190"/>
  <c r="BY85" i="190"/>
  <c r="AQ85" i="190"/>
  <c r="W85" i="190"/>
  <c r="D51" i="196"/>
  <c r="D165" i="196" s="1"/>
  <c r="E3988" i="209"/>
  <c r="L26" i="196"/>
  <c r="L140" i="196" s="1"/>
  <c r="N1138" i="209"/>
  <c r="M3631" i="209"/>
  <c r="M3635" i="209" s="1"/>
  <c r="M3646" i="209" s="1"/>
  <c r="E2149" i="209"/>
  <c r="E2153" i="209" s="1"/>
  <c r="J31" i="196"/>
  <c r="J145" i="196" s="1"/>
  <c r="O91" i="209"/>
  <c r="F24" i="130"/>
  <c r="E47" i="7"/>
  <c r="E57" i="7" s="1"/>
  <c r="E34" i="42"/>
  <c r="E142" i="196"/>
  <c r="D158" i="196"/>
  <c r="E1425" i="209"/>
  <c r="L1024" i="209"/>
  <c r="M3289" i="209"/>
  <c r="M3293" i="209" s="1"/>
  <c r="L146" i="196"/>
  <c r="O448" i="209"/>
  <c r="I562" i="209" s="1"/>
  <c r="O562" i="209" s="1"/>
  <c r="I676" i="209" s="1"/>
  <c r="O676" i="209" s="1"/>
  <c r="I790" i="209" s="1"/>
  <c r="O790" i="209" s="1"/>
  <c r="I904" i="209" s="1"/>
  <c r="O904" i="209" s="1"/>
  <c r="I1018" i="209" s="1"/>
  <c r="O1018" i="209" s="1"/>
  <c r="E101" i="42" s="1"/>
  <c r="M4087" i="209"/>
  <c r="M4091" i="209" s="1"/>
  <c r="M4102" i="209" s="1"/>
  <c r="E43" i="7"/>
  <c r="M3061" i="209"/>
  <c r="M3065" i="209" s="1"/>
  <c r="N3190" i="209"/>
  <c r="L44" i="196"/>
  <c r="L158" i="196" s="1"/>
  <c r="N2962" i="209"/>
  <c r="L42" i="196"/>
  <c r="L156" i="196" s="1"/>
  <c r="N682" i="209"/>
  <c r="L22" i="196"/>
  <c r="L136" i="196" s="1"/>
  <c r="K1024" i="209"/>
  <c r="I25" i="196"/>
  <c r="E1936" i="209"/>
  <c r="D33" i="196"/>
  <c r="D147" i="196" s="1"/>
  <c r="N2848" i="209"/>
  <c r="L41" i="196"/>
  <c r="L155" i="196" s="1"/>
  <c r="K796" i="209"/>
  <c r="I23" i="196"/>
  <c r="I137" i="196" s="1"/>
  <c r="L50" i="196"/>
  <c r="L164" i="196" s="1"/>
  <c r="N3874" i="209"/>
  <c r="M2337" i="209"/>
  <c r="F682" i="209"/>
  <c r="N910" i="209"/>
  <c r="K340" i="209"/>
  <c r="I19" i="196"/>
  <c r="I133" i="196" s="1"/>
  <c r="L1138" i="209"/>
  <c r="J26" i="196"/>
  <c r="J140" i="196" s="1"/>
  <c r="E103" i="130"/>
  <c r="F1138" i="209"/>
  <c r="N2278" i="209"/>
  <c r="L36" i="196"/>
  <c r="L150" i="196" s="1"/>
  <c r="F57" i="130"/>
  <c r="F4087" i="209"/>
  <c r="F4091" i="209" s="1"/>
  <c r="E24" i="130"/>
  <c r="M3859" i="209"/>
  <c r="M3863" i="209" s="1"/>
  <c r="F103" i="7"/>
  <c r="O1019" i="209"/>
  <c r="E3190" i="209"/>
  <c r="H51" i="7"/>
  <c r="E1653" i="209"/>
  <c r="E1693" i="209" s="1"/>
  <c r="E1697" i="209" s="1"/>
  <c r="E1708" i="209" s="1"/>
  <c r="F3745" i="209"/>
  <c r="F3749" i="209" s="1"/>
  <c r="F3973" i="209"/>
  <c r="F3977" i="209" s="1"/>
  <c r="L2392" i="209"/>
  <c r="J37" i="196"/>
  <c r="J151" i="196" s="1"/>
  <c r="N1594" i="209"/>
  <c r="L30" i="196"/>
  <c r="L144" i="196" s="1"/>
  <c r="E3760" i="209"/>
  <c r="D49" i="196"/>
  <c r="D163" i="196" s="1"/>
  <c r="E1138" i="209"/>
  <c r="D26" i="196"/>
  <c r="D140" i="196" s="1"/>
  <c r="L2278" i="209"/>
  <c r="J36" i="196"/>
  <c r="J150" i="196" s="1"/>
  <c r="L1252" i="209"/>
  <c r="J27" i="196"/>
  <c r="J141" i="196" s="1"/>
  <c r="J910" i="210"/>
  <c r="J818" i="210"/>
  <c r="J726" i="210"/>
  <c r="J1002" i="210"/>
  <c r="H79" i="7"/>
  <c r="H41" i="7"/>
  <c r="E2565" i="209"/>
  <c r="E2605" i="209" s="1"/>
  <c r="E2609" i="209" s="1"/>
  <c r="E2620" i="209" s="1"/>
  <c r="F2223" i="209"/>
  <c r="F2263" i="209" s="1"/>
  <c r="F2267" i="209" s="1"/>
  <c r="F2278" i="209" s="1"/>
  <c r="N1024" i="209"/>
  <c r="D1106" i="209"/>
  <c r="G1106" i="209" s="1"/>
  <c r="D74" i="27"/>
  <c r="N1252" i="209"/>
  <c r="L27" i="196"/>
  <c r="L141" i="196" s="1"/>
  <c r="M2793" i="209"/>
  <c r="M3175" i="209"/>
  <c r="M3179" i="209" s="1"/>
  <c r="D136" i="196"/>
  <c r="M1995" i="209"/>
  <c r="M2035" i="209" s="1"/>
  <c r="M2039" i="209" s="1"/>
  <c r="E568" i="209"/>
  <c r="E682" i="209"/>
  <c r="M17" i="179"/>
  <c r="G62" i="120"/>
  <c r="G67" i="120" s="1"/>
  <c r="G26" i="138"/>
  <c r="I18" i="138" s="1"/>
  <c r="F59" i="153"/>
  <c r="F48" i="153"/>
  <c r="F53" i="153" s="1"/>
  <c r="I19" i="179"/>
  <c r="M19" i="179" s="1"/>
  <c r="G20" i="101"/>
  <c r="H71" i="213"/>
  <c r="P71" i="213"/>
  <c r="T109" i="75"/>
  <c r="T45" i="75"/>
  <c r="D31" i="195"/>
  <c r="T32" i="75"/>
  <c r="T34" i="75" s="1"/>
  <c r="F148" i="171"/>
  <c r="F195" i="171" s="1"/>
  <c r="E3418" i="209"/>
  <c r="D46" i="196"/>
  <c r="D160" i="196" s="1"/>
  <c r="M1252" i="209"/>
  <c r="K27" i="196"/>
  <c r="K141" i="196" s="1"/>
  <c r="O166" i="120"/>
  <c r="G25" i="106"/>
  <c r="G27" i="106" s="1"/>
  <c r="L166" i="120"/>
  <c r="K20" i="101"/>
  <c r="P107" i="75"/>
  <c r="P97" i="75"/>
  <c r="P112" i="75"/>
  <c r="P102" i="75"/>
  <c r="P92" i="75"/>
  <c r="P117" i="75"/>
  <c r="T93" i="75"/>
  <c r="T94" i="75" s="1"/>
  <c r="H38" i="213"/>
  <c r="Q26" i="195"/>
  <c r="Q31" i="195" s="1"/>
  <c r="E31" i="195"/>
  <c r="E33" i="195" s="1"/>
  <c r="E46" i="195" s="1"/>
  <c r="E145" i="195" s="1"/>
  <c r="J1090" i="210"/>
  <c r="J998" i="210"/>
  <c r="J814" i="210"/>
  <c r="J952" i="210"/>
  <c r="J768" i="210"/>
  <c r="J1044" i="210"/>
  <c r="J860" i="210"/>
  <c r="J906" i="210"/>
  <c r="J722" i="210"/>
  <c r="L3158" i="209"/>
  <c r="L3272" i="209" s="1"/>
  <c r="L3386" i="209" s="1"/>
  <c r="L3500" i="209" s="1"/>
  <c r="L3614" i="209" s="1"/>
  <c r="L3728" i="209" s="1"/>
  <c r="L3842" i="209" s="1"/>
  <c r="L3956" i="209" s="1"/>
  <c r="L4070" i="209" s="1"/>
  <c r="E61" i="214"/>
  <c r="M3973" i="209"/>
  <c r="M3977" i="209" s="1"/>
  <c r="F3076" i="209"/>
  <c r="E43" i="196"/>
  <c r="E157" i="196" s="1"/>
  <c r="L2962" i="209"/>
  <c r="J42" i="196"/>
  <c r="J156" i="196" s="1"/>
  <c r="N2392" i="209"/>
  <c r="L37" i="196"/>
  <c r="L151" i="196" s="1"/>
  <c r="I87" i="196"/>
  <c r="I114" i="196" s="1"/>
  <c r="K1594" i="209"/>
  <c r="K1138" i="209"/>
  <c r="I26" i="196"/>
  <c r="I140" i="196" s="1"/>
  <c r="N2164" i="209"/>
  <c r="L35" i="196"/>
  <c r="L149" i="196" s="1"/>
  <c r="F1252" i="209"/>
  <c r="E27" i="196"/>
  <c r="E141" i="196" s="1"/>
  <c r="F796" i="209"/>
  <c r="E23" i="196"/>
  <c r="E137" i="196" s="1"/>
  <c r="M682" i="209"/>
  <c r="K22" i="196"/>
  <c r="K136" i="196" s="1"/>
  <c r="D68" i="195"/>
  <c r="R68" i="195" s="1"/>
  <c r="F45" i="71"/>
  <c r="P98" i="213"/>
  <c r="H98" i="213"/>
  <c r="H117" i="72"/>
  <c r="P117" i="72" s="1"/>
  <c r="H130" i="72"/>
  <c r="P130" i="72" s="1"/>
  <c r="D44" i="154" s="1"/>
  <c r="F44" i="154" s="1"/>
  <c r="G44" i="154" s="1"/>
  <c r="R138" i="195"/>
  <c r="L139" i="213"/>
  <c r="M139" i="213" s="1"/>
  <c r="T46" i="75"/>
  <c r="H26" i="213"/>
  <c r="D31" i="213"/>
  <c r="D37" i="45"/>
  <c r="J33" i="45"/>
  <c r="J37" i="45" s="1"/>
  <c r="Y27" i="171"/>
  <c r="D66" i="195"/>
  <c r="M22" i="69"/>
  <c r="Q22" i="69" s="1"/>
  <c r="D19" i="195"/>
  <c r="F27" i="71"/>
  <c r="F23" i="49"/>
  <c r="F25" i="49" s="1"/>
  <c r="F27" i="49" s="1"/>
  <c r="F29" i="49" s="1"/>
  <c r="F31" i="49" s="1"/>
  <c r="F33" i="49" s="1"/>
  <c r="F35" i="49" s="1"/>
  <c r="F37" i="49" s="1"/>
  <c r="F39" i="49" s="1"/>
  <c r="F41" i="49" s="1"/>
  <c r="I21" i="49"/>
  <c r="I22" i="49" s="1"/>
  <c r="Y174" i="170"/>
  <c r="M1862" i="209"/>
  <c r="M1881" i="209" s="1"/>
  <c r="M1921" i="209" s="1"/>
  <c r="M1925" i="209" s="1"/>
  <c r="F38" i="7"/>
  <c r="H38" i="7" s="1"/>
  <c r="F1881" i="209"/>
  <c r="F1921" i="209" s="1"/>
  <c r="F1925" i="209" s="1"/>
  <c r="O64" i="210"/>
  <c r="I69" i="210"/>
  <c r="I72" i="210"/>
  <c r="O72" i="210" s="1"/>
  <c r="H86" i="7"/>
  <c r="M1022" i="209"/>
  <c r="K82" i="196" s="1"/>
  <c r="E36" i="196"/>
  <c r="E150" i="196" s="1"/>
  <c r="N112" i="209"/>
  <c r="L17" i="196"/>
  <c r="L131" i="196" s="1"/>
  <c r="I23" i="179"/>
  <c r="M23" i="179" s="1"/>
  <c r="I21" i="179"/>
  <c r="M21" i="179" s="1"/>
  <c r="L59" i="153"/>
  <c r="L48" i="153"/>
  <c r="L53" i="153" s="1"/>
  <c r="E24" i="68"/>
  <c r="D112" i="70"/>
  <c r="F107" i="70"/>
  <c r="F142" i="70"/>
  <c r="D129" i="213" s="1"/>
  <c r="D144" i="70"/>
  <c r="F144" i="70" s="1"/>
  <c r="E29" i="69" s="1"/>
  <c r="I29" i="69" s="1"/>
  <c r="H92" i="213"/>
  <c r="P92" i="213"/>
  <c r="G28" i="206"/>
  <c r="H28" i="206" s="1"/>
  <c r="D29" i="206"/>
  <c r="F96" i="70"/>
  <c r="D104" i="70"/>
  <c r="M3874" i="209"/>
  <c r="K50" i="196"/>
  <c r="K164" i="196" s="1"/>
  <c r="E98" i="196"/>
  <c r="E155" i="196" s="1"/>
  <c r="F2848" i="209"/>
  <c r="M3517" i="209"/>
  <c r="M3521" i="209" s="1"/>
  <c r="K25" i="196"/>
  <c r="K18" i="196"/>
  <c r="S131" i="120"/>
  <c r="S119" i="120"/>
  <c r="K36" i="90"/>
  <c r="M22" i="101"/>
  <c r="I22" i="101"/>
  <c r="G22" i="101" s="1"/>
  <c r="O53" i="221"/>
  <c r="X21" i="76"/>
  <c r="X23" i="76" s="1"/>
  <c r="F21" i="155"/>
  <c r="G21" i="155" s="1"/>
  <c r="G23" i="213"/>
  <c r="P130" i="213"/>
  <c r="H130" i="213"/>
  <c r="T38" i="75"/>
  <c r="T40" i="75" s="1"/>
  <c r="H94" i="213"/>
  <c r="P94" i="213"/>
  <c r="D71" i="195"/>
  <c r="F81" i="71"/>
  <c r="M25" i="69" s="1"/>
  <c r="U21" i="219"/>
  <c r="H183" i="171"/>
  <c r="H195" i="171" s="1"/>
  <c r="U14" i="77"/>
  <c r="Y35" i="170"/>
  <c r="Y45" i="170"/>
  <c r="M2546" i="209"/>
  <c r="F2565" i="209"/>
  <c r="E2392" i="209"/>
  <c r="D37" i="196"/>
  <c r="D151" i="196" s="1"/>
  <c r="F3874" i="209"/>
  <c r="E50" i="196"/>
  <c r="E164" i="196" s="1"/>
  <c r="K52" i="196"/>
  <c r="K166" i="196" s="1"/>
  <c r="N2734" i="209"/>
  <c r="L40" i="196"/>
  <c r="L154" i="196" s="1"/>
  <c r="E2506" i="209"/>
  <c r="D38" i="196"/>
  <c r="D152" i="196" s="1"/>
  <c r="M1138" i="209"/>
  <c r="K26" i="196"/>
  <c r="K140" i="196" s="1"/>
  <c r="K24" i="196"/>
  <c r="K138" i="196" s="1"/>
  <c r="M910" i="209"/>
  <c r="J12" i="195"/>
  <c r="I61" i="195"/>
  <c r="I119" i="195" s="1"/>
  <c r="I25" i="106"/>
  <c r="I27" i="106"/>
  <c r="H55" i="153"/>
  <c r="H47" i="153"/>
  <c r="E26" i="101"/>
  <c r="R44" i="78"/>
  <c r="R46" i="78" s="1"/>
  <c r="E23" i="213"/>
  <c r="D88" i="195"/>
  <c r="R88" i="195" s="1"/>
  <c r="F115" i="71"/>
  <c r="M26" i="69" s="1"/>
  <c r="T64" i="75"/>
  <c r="S41" i="218"/>
  <c r="S40" i="218" s="1"/>
  <c r="D139" i="195"/>
  <c r="U20" i="77" s="1"/>
  <c r="M169" i="171"/>
  <c r="X168" i="171"/>
  <c r="Y168" i="171" s="1"/>
  <c r="H85" i="213"/>
  <c r="P85" i="213"/>
  <c r="W42" i="171"/>
  <c r="Y103" i="170"/>
  <c r="F195" i="170"/>
  <c r="G39" i="210"/>
  <c r="G40" i="210" s="1"/>
  <c r="D86" i="210" s="1"/>
  <c r="D85" i="210" s="1"/>
  <c r="G85" i="210" s="1"/>
  <c r="G86" i="210" s="1"/>
  <c r="D132" i="210" s="1"/>
  <c r="D131" i="210" s="1"/>
  <c r="G131" i="210" s="1"/>
  <c r="D46" i="209"/>
  <c r="F4102" i="209"/>
  <c r="E52" i="196"/>
  <c r="E166" i="196" s="1"/>
  <c r="M3304" i="209"/>
  <c r="K45" i="196"/>
  <c r="K159" i="196" s="1"/>
  <c r="N3418" i="209"/>
  <c r="L46" i="196"/>
  <c r="L160" i="196" s="1"/>
  <c r="M3190" i="209"/>
  <c r="K44" i="196"/>
  <c r="K158" i="196" s="1"/>
  <c r="I152" i="209"/>
  <c r="O152" i="209" s="1"/>
  <c r="I266" i="209" s="1"/>
  <c r="O266" i="209" s="1"/>
  <c r="I380" i="209" s="1"/>
  <c r="O380" i="209" s="1"/>
  <c r="I494" i="209" s="1"/>
  <c r="O494" i="209" s="1"/>
  <c r="I608" i="209" s="1"/>
  <c r="O608" i="209" s="1"/>
  <c r="I722" i="209" s="1"/>
  <c r="O722" i="209" s="1"/>
  <c r="I836" i="209" s="1"/>
  <c r="O836" i="209" s="1"/>
  <c r="I950" i="209" s="1"/>
  <c r="O950" i="209" s="1"/>
  <c r="M796" i="209"/>
  <c r="K23" i="196"/>
  <c r="K137" i="196" s="1"/>
  <c r="P113" i="75"/>
  <c r="P103" i="75"/>
  <c r="P93" i="75"/>
  <c r="P108" i="75"/>
  <c r="P118" i="75"/>
  <c r="P98" i="75"/>
  <c r="P134" i="73"/>
  <c r="D44" i="155" s="1"/>
  <c r="F44" i="155" s="1"/>
  <c r="G44" i="155" s="1"/>
  <c r="H78" i="213"/>
  <c r="P78" i="213"/>
  <c r="T14" i="75"/>
  <c r="D172" i="210"/>
  <c r="G172" i="210" s="1"/>
  <c r="G158" i="210"/>
  <c r="D204" i="210" s="1"/>
  <c r="F3175" i="209"/>
  <c r="F3179" i="209" s="1"/>
  <c r="L3162" i="209"/>
  <c r="L3276" i="209" s="1"/>
  <c r="L3390" i="209" s="1"/>
  <c r="L3504" i="209" s="1"/>
  <c r="L3618" i="209" s="1"/>
  <c r="L3732" i="209" s="1"/>
  <c r="L3846" i="209" s="1"/>
  <c r="L3960" i="209" s="1"/>
  <c r="L4074" i="209" s="1"/>
  <c r="E2719" i="209"/>
  <c r="E2723" i="209" s="1"/>
  <c r="M454" i="209"/>
  <c r="K20" i="196"/>
  <c r="K134" i="196" s="1"/>
  <c r="M21" i="191"/>
  <c r="N21" i="191" s="1"/>
  <c r="O21" i="191" s="1"/>
  <c r="J119" i="120"/>
  <c r="J131" i="120"/>
  <c r="K150" i="153"/>
  <c r="L150" i="153" s="1"/>
  <c r="K23" i="153"/>
  <c r="P166" i="120"/>
  <c r="M119" i="120"/>
  <c r="M131" i="120"/>
  <c r="I166" i="120"/>
  <c r="K166" i="120"/>
  <c r="R166" i="120"/>
  <c r="F27" i="166"/>
  <c r="R19" i="78"/>
  <c r="R21" i="78" s="1"/>
  <c r="J132" i="195"/>
  <c r="J143" i="195" s="1"/>
  <c r="J145" i="195" s="1"/>
  <c r="Q124" i="195"/>
  <c r="E28" i="213"/>
  <c r="G24" i="101"/>
  <c r="T98" i="75"/>
  <c r="T99" i="75" s="1"/>
  <c r="H39" i="213"/>
  <c r="T52" i="75"/>
  <c r="D101" i="195"/>
  <c r="F142" i="71"/>
  <c r="I105" i="195"/>
  <c r="I132" i="195" s="1"/>
  <c r="I143" i="195" s="1"/>
  <c r="I145" i="195" s="1"/>
  <c r="Q104" i="195"/>
  <c r="R104" i="195" s="1"/>
  <c r="M1528" i="209"/>
  <c r="M1539" i="209" s="1"/>
  <c r="F1539" i="209"/>
  <c r="F1579" i="209" s="1"/>
  <c r="F1583" i="209" s="1"/>
  <c r="N4102" i="209"/>
  <c r="L52" i="196"/>
  <c r="L166" i="196" s="1"/>
  <c r="E3076" i="209"/>
  <c r="D43" i="196"/>
  <c r="D157" i="196" s="1"/>
  <c r="N3532" i="209"/>
  <c r="L47" i="196"/>
  <c r="L161" i="196" s="1"/>
  <c r="F2962" i="209"/>
  <c r="E42" i="196"/>
  <c r="E156" i="196" s="1"/>
  <c r="E2164" i="209"/>
  <c r="D35" i="196"/>
  <c r="D149" i="196" s="1"/>
  <c r="F568" i="209"/>
  <c r="E21" i="196"/>
  <c r="E135" i="196" s="1"/>
  <c r="E226" i="209"/>
  <c r="D18" i="196"/>
  <c r="D132" i="196" s="1"/>
  <c r="E2263" i="209"/>
  <c r="E2267" i="209" s="1"/>
  <c r="M568" i="209"/>
  <c r="K21" i="196"/>
  <c r="K135" i="196" s="1"/>
  <c r="N454" i="209"/>
  <c r="L20" i="196"/>
  <c r="L134" i="196" s="1"/>
  <c r="O385" i="209"/>
  <c r="I499" i="209" s="1"/>
  <c r="O499" i="209" s="1"/>
  <c r="I613" i="209" s="1"/>
  <c r="O613" i="209" s="1"/>
  <c r="I727" i="209" s="1"/>
  <c r="O727" i="209" s="1"/>
  <c r="I841" i="209" s="1"/>
  <c r="O841" i="209" s="1"/>
  <c r="I955" i="209" s="1"/>
  <c r="O955" i="209" s="1"/>
  <c r="D1082" i="209"/>
  <c r="G1082" i="209" s="1"/>
  <c r="D54" i="27"/>
  <c r="F50" i="42"/>
  <c r="I1191" i="209"/>
  <c r="O1191" i="209" s="1"/>
  <c r="F17" i="42"/>
  <c r="I1159" i="209"/>
  <c r="O1159" i="209" s="1"/>
  <c r="F78" i="42"/>
  <c r="I1222" i="209"/>
  <c r="O1222" i="209" s="1"/>
  <c r="E86" i="42"/>
  <c r="I1116" i="209"/>
  <c r="O1116" i="209" s="1"/>
  <c r="E102" i="42"/>
  <c r="I1133" i="209"/>
  <c r="O1133" i="209" s="1"/>
  <c r="D1078" i="209"/>
  <c r="G1078" i="209" s="1"/>
  <c r="D50" i="27"/>
  <c r="O141" i="209"/>
  <c r="D1048" i="209"/>
  <c r="G1048" i="209" s="1"/>
  <c r="D20" i="27"/>
  <c r="D1047" i="209"/>
  <c r="G1047" i="209" s="1"/>
  <c r="D19" i="27"/>
  <c r="D1070" i="209"/>
  <c r="G1070" i="209" s="1"/>
  <c r="D42" i="27"/>
  <c r="D1109" i="209"/>
  <c r="G1109" i="209" s="1"/>
  <c r="D77" i="27"/>
  <c r="F30" i="42"/>
  <c r="I1171" i="209"/>
  <c r="O1171" i="209" s="1"/>
  <c r="S67" i="190"/>
  <c r="O73" i="190"/>
  <c r="BV61" i="190"/>
  <c r="BR62" i="190"/>
  <c r="H68" i="213"/>
  <c r="P68" i="213"/>
  <c r="I22" i="69"/>
  <c r="I18" i="109"/>
  <c r="I52" i="109" s="1"/>
  <c r="D19" i="213"/>
  <c r="S20" i="218" s="1"/>
  <c r="D39" i="71"/>
  <c r="G128" i="210"/>
  <c r="D174" i="210" s="1"/>
  <c r="D173" i="210" s="1"/>
  <c r="G173" i="210" s="1"/>
  <c r="O39" i="210"/>
  <c r="O40" i="210" s="1"/>
  <c r="I86" i="210" s="1"/>
  <c r="I85" i="210" s="1"/>
  <c r="O85" i="210" s="1"/>
  <c r="O86" i="210" s="1"/>
  <c r="I132" i="210" s="1"/>
  <c r="K46" i="209"/>
  <c r="J1539" i="210"/>
  <c r="J1512" i="210"/>
  <c r="E3304" i="209"/>
  <c r="D45" i="196"/>
  <c r="D159" i="196" s="1"/>
  <c r="G113" i="210"/>
  <c r="D159" i="210" s="1"/>
  <c r="D130" i="210"/>
  <c r="G130" i="210" s="1"/>
  <c r="F3304" i="209"/>
  <c r="E45" i="196"/>
  <c r="E159" i="196" s="1"/>
  <c r="F2451" i="209"/>
  <c r="F2491" i="209" s="1"/>
  <c r="F2495" i="209" s="1"/>
  <c r="E89" i="7"/>
  <c r="E1252" i="209"/>
  <c r="D27" i="196"/>
  <c r="D141" i="196" s="1"/>
  <c r="K568" i="209"/>
  <c r="I21" i="196"/>
  <c r="I135" i="196" s="1"/>
  <c r="I138" i="209"/>
  <c r="O132" i="209"/>
  <c r="K910" i="209"/>
  <c r="I24" i="196"/>
  <c r="I138" i="196" s="1"/>
  <c r="N340" i="209"/>
  <c r="L19" i="196"/>
  <c r="L133" i="196" s="1"/>
  <c r="E39" i="42"/>
  <c r="I1066" i="209"/>
  <c r="O1066" i="209" s="1"/>
  <c r="I139" i="196"/>
  <c r="K454" i="209"/>
  <c r="I20" i="196"/>
  <c r="I134" i="196" s="1"/>
  <c r="H56" i="7"/>
  <c r="M224" i="209"/>
  <c r="K75" i="196" s="1"/>
  <c r="D1058" i="209"/>
  <c r="G1058" i="209" s="1"/>
  <c r="D30" i="27"/>
  <c r="H131" i="196"/>
  <c r="D1046" i="209"/>
  <c r="G1046" i="209" s="1"/>
  <c r="D18" i="27"/>
  <c r="F75" i="42"/>
  <c r="I1219" i="209"/>
  <c r="O1219" i="209" s="1"/>
  <c r="D1110" i="209"/>
  <c r="G1110" i="209" s="1"/>
  <c r="D78" i="27"/>
  <c r="F54" i="42"/>
  <c r="I1195" i="209"/>
  <c r="O1195" i="209" s="1"/>
  <c r="D1055" i="209"/>
  <c r="G1055" i="209" s="1"/>
  <c r="D27" i="27"/>
  <c r="D1074" i="209"/>
  <c r="G1074" i="209" s="1"/>
  <c r="D46" i="27"/>
  <c r="H52" i="7"/>
  <c r="D1104" i="209"/>
  <c r="G1104" i="209" s="1"/>
  <c r="D72" i="27"/>
  <c r="F21" i="42"/>
  <c r="I1163" i="209"/>
  <c r="O1163" i="209" s="1"/>
  <c r="D139" i="196"/>
  <c r="D1113" i="209"/>
  <c r="G1113" i="209" s="1"/>
  <c r="D81" i="27"/>
  <c r="H22" i="7"/>
  <c r="D1063" i="209"/>
  <c r="G1063" i="209" s="1"/>
  <c r="D35" i="27"/>
  <c r="F79" i="42"/>
  <c r="I1223" i="209"/>
  <c r="O1223" i="209" s="1"/>
  <c r="H44" i="7"/>
  <c r="H81" i="7"/>
  <c r="A95" i="120"/>
  <c r="A46" i="120"/>
  <c r="A151" i="120"/>
  <c r="C117" i="191"/>
  <c r="P82" i="191"/>
  <c r="BQ63" i="190"/>
  <c r="U27" i="219"/>
  <c r="D140" i="213"/>
  <c r="D142" i="213" s="1"/>
  <c r="H102" i="213"/>
  <c r="P102" i="213"/>
  <c r="H77" i="213"/>
  <c r="P77" i="213"/>
  <c r="D97" i="195"/>
  <c r="R97" i="195" s="1"/>
  <c r="F129" i="71"/>
  <c r="M28" i="69" s="1"/>
  <c r="P107" i="213"/>
  <c r="H107" i="213"/>
  <c r="S25" i="218"/>
  <c r="H20" i="213"/>
  <c r="T27" i="75" s="1"/>
  <c r="T28" i="75" s="1"/>
  <c r="H84" i="213"/>
  <c r="P84" i="213"/>
  <c r="T70" i="75"/>
  <c r="N138" i="213"/>
  <c r="K35" i="69"/>
  <c r="H67" i="213"/>
  <c r="P67" i="213"/>
  <c r="Q21" i="69"/>
  <c r="M22" i="68" s="1"/>
  <c r="F42" i="154"/>
  <c r="G42" i="154" s="1"/>
  <c r="H39" i="170"/>
  <c r="H194" i="170"/>
  <c r="D25" i="49"/>
  <c r="X176" i="170"/>
  <c r="Y176" i="170" s="1"/>
  <c r="F95" i="130"/>
  <c r="I73" i="210"/>
  <c r="O73" i="210" s="1"/>
  <c r="J2903" i="209"/>
  <c r="J3017" i="209" s="1"/>
  <c r="J3131" i="209" s="1"/>
  <c r="J3245" i="209" s="1"/>
  <c r="J3359" i="209" s="1"/>
  <c r="J3473" i="209" s="1"/>
  <c r="J3587" i="209" s="1"/>
  <c r="J3701" i="209" s="1"/>
  <c r="J3815" i="209" s="1"/>
  <c r="J3929" i="209" s="1"/>
  <c r="J4043" i="209" s="1"/>
  <c r="J2790" i="209"/>
  <c r="E4102" i="209"/>
  <c r="D52" i="196"/>
  <c r="D166" i="196" s="1"/>
  <c r="E71" i="214"/>
  <c r="F3532" i="209"/>
  <c r="E47" i="196"/>
  <c r="E161" i="196" s="1"/>
  <c r="M2451" i="209"/>
  <c r="M2491" i="209" s="1"/>
  <c r="M2495" i="209" s="1"/>
  <c r="M3760" i="209"/>
  <c r="K49" i="196"/>
  <c r="K163" i="196" s="1"/>
  <c r="E103" i="7"/>
  <c r="N2050" i="209"/>
  <c r="L34" i="196"/>
  <c r="L148" i="196" s="1"/>
  <c r="L1936" i="209"/>
  <c r="J33" i="196"/>
  <c r="J147" i="196" s="1"/>
  <c r="L1822" i="209"/>
  <c r="J32" i="196"/>
  <c r="J146" i="196" s="1"/>
  <c r="E1539" i="209"/>
  <c r="E1579" i="209" s="1"/>
  <c r="E1583" i="209" s="1"/>
  <c r="O1020" i="209"/>
  <c r="E2050" i="209"/>
  <c r="D34" i="196"/>
  <c r="D148" i="196" s="1"/>
  <c r="I219" i="209"/>
  <c r="O110" i="209"/>
  <c r="E340" i="209"/>
  <c r="D19" i="196"/>
  <c r="D133" i="196" s="1"/>
  <c r="F47" i="42"/>
  <c r="I1188" i="209"/>
  <c r="O1188" i="209" s="1"/>
  <c r="D1135" i="209"/>
  <c r="G1135" i="209" s="1"/>
  <c r="D98" i="27"/>
  <c r="E131" i="196"/>
  <c r="H32" i="7"/>
  <c r="I112" i="209"/>
  <c r="D1076" i="209"/>
  <c r="G1076" i="209" s="1"/>
  <c r="D48" i="27"/>
  <c r="D1056" i="209"/>
  <c r="G1056" i="209" s="1"/>
  <c r="D28" i="27"/>
  <c r="H29" i="7"/>
  <c r="H48" i="7"/>
  <c r="D1079" i="209"/>
  <c r="G1079" i="209" s="1"/>
  <c r="D51" i="27"/>
  <c r="D1060" i="209"/>
  <c r="G1060" i="209" s="1"/>
  <c r="D32" i="27"/>
  <c r="H76" i="7"/>
  <c r="E1024" i="209"/>
  <c r="H85" i="7"/>
  <c r="H37" i="7"/>
  <c r="E74" i="42"/>
  <c r="I1104" i="209"/>
  <c r="O1104" i="209" s="1"/>
  <c r="D1108" i="209"/>
  <c r="G1108" i="209" s="1"/>
  <c r="D76" i="27"/>
  <c r="H81" i="47"/>
  <c r="F82" i="42"/>
  <c r="I1226" i="209"/>
  <c r="O1226" i="209" s="1"/>
  <c r="D82" i="191"/>
  <c r="E82" i="191" s="1"/>
  <c r="F82" i="191" s="1"/>
  <c r="G82" i="191" s="1"/>
  <c r="H82" i="191" s="1"/>
  <c r="I82" i="191" s="1"/>
  <c r="J82" i="191" s="1"/>
  <c r="K82" i="191" s="1"/>
  <c r="L82" i="191" s="1"/>
  <c r="M82" i="191" s="1"/>
  <c r="N82" i="191" s="1"/>
  <c r="O82" i="191" s="1"/>
  <c r="F17" i="70"/>
  <c r="D22" i="70"/>
  <c r="D34" i="70" s="1"/>
  <c r="D44" i="195"/>
  <c r="T87" i="75"/>
  <c r="R37" i="195"/>
  <c r="R44" i="195" s="1"/>
  <c r="H189" i="171"/>
  <c r="H125" i="213"/>
  <c r="P125" i="213"/>
  <c r="Y19" i="171"/>
  <c r="F40" i="167"/>
  <c r="F42" i="167" s="1"/>
  <c r="F44" i="167" s="1"/>
  <c r="J46" i="167" s="1"/>
  <c r="I43" i="49"/>
  <c r="C41" i="49"/>
  <c r="N3988" i="209"/>
  <c r="L51" i="196"/>
  <c r="L165" i="196" s="1"/>
  <c r="J1508" i="210"/>
  <c r="J1538" i="210"/>
  <c r="M3076" i="209"/>
  <c r="K43" i="196"/>
  <c r="K157" i="196" s="1"/>
  <c r="D76" i="214"/>
  <c r="F75" i="214"/>
  <c r="F76" i="214" s="1"/>
  <c r="M2947" i="209"/>
  <c r="M2951" i="209" s="1"/>
  <c r="M2833" i="209"/>
  <c r="M2837" i="209" s="1"/>
  <c r="F2337" i="209"/>
  <c r="F2377" i="209" s="1"/>
  <c r="F2381" i="209" s="1"/>
  <c r="N1936" i="209"/>
  <c r="L33" i="196"/>
  <c r="L147" i="196" s="1"/>
  <c r="F1366" i="209"/>
  <c r="N1822" i="209"/>
  <c r="O125" i="209"/>
  <c r="G184" i="209"/>
  <c r="E77" i="42"/>
  <c r="I1107" i="209"/>
  <c r="O1107" i="209" s="1"/>
  <c r="E910" i="209"/>
  <c r="D24" i="196"/>
  <c r="D138" i="196" s="1"/>
  <c r="K226" i="209"/>
  <c r="I18" i="196"/>
  <c r="I132" i="196" s="1"/>
  <c r="D1054" i="209"/>
  <c r="G1054" i="209" s="1"/>
  <c r="D26" i="27"/>
  <c r="H102" i="7"/>
  <c r="F112" i="209"/>
  <c r="E133" i="196"/>
  <c r="E84" i="42"/>
  <c r="I1114" i="209"/>
  <c r="O1114" i="209" s="1"/>
  <c r="D19" i="7"/>
  <c r="H19" i="7" s="1"/>
  <c r="G931" i="209"/>
  <c r="D1112" i="209"/>
  <c r="G1112" i="209" s="1"/>
  <c r="D80" i="27"/>
  <c r="H50" i="7"/>
  <c r="H30" i="7"/>
  <c r="F51" i="42"/>
  <c r="I1192" i="209"/>
  <c r="O1192" i="209" s="1"/>
  <c r="F38" i="42"/>
  <c r="I1179" i="209"/>
  <c r="O1179" i="209" s="1"/>
  <c r="D1061" i="209"/>
  <c r="G1061" i="209" s="1"/>
  <c r="D33" i="27"/>
  <c r="H53" i="7"/>
  <c r="H34" i="7"/>
  <c r="D1075" i="209"/>
  <c r="G1075" i="209" s="1"/>
  <c r="D47" i="27"/>
  <c r="F18" i="42"/>
  <c r="I1160" i="209"/>
  <c r="O1160" i="209" s="1"/>
  <c r="D1111" i="209"/>
  <c r="G1111" i="209" s="1"/>
  <c r="D79" i="27"/>
  <c r="F76" i="42"/>
  <c r="I1220" i="209"/>
  <c r="O1220" i="209" s="1"/>
  <c r="D1065" i="209"/>
  <c r="G1065" i="209" s="1"/>
  <c r="D37" i="27"/>
  <c r="D1059" i="209"/>
  <c r="G1059" i="209" s="1"/>
  <c r="D31" i="27"/>
  <c r="F44" i="42"/>
  <c r="I1185" i="209"/>
  <c r="O1185" i="209" s="1"/>
  <c r="D1116" i="209"/>
  <c r="G1116" i="209" s="1"/>
  <c r="D84" i="27"/>
  <c r="H80" i="7"/>
  <c r="BV6" i="190"/>
  <c r="BR12" i="190"/>
  <c r="X177" i="170"/>
  <c r="Y177" i="170" s="1"/>
  <c r="BR14" i="190"/>
  <c r="BV13" i="190"/>
  <c r="H76" i="213"/>
  <c r="P76" i="213"/>
  <c r="T104" i="75"/>
  <c r="Y104" i="171"/>
  <c r="F18" i="186"/>
  <c r="F22" i="186" s="1"/>
  <c r="D69" i="213"/>
  <c r="F44" i="70"/>
  <c r="E24" i="69" s="1"/>
  <c r="I24" i="69" s="1"/>
  <c r="X181" i="170"/>
  <c r="M29" i="171"/>
  <c r="X28" i="171"/>
  <c r="Y28" i="171" s="1"/>
  <c r="Y19" i="170"/>
  <c r="H171" i="170"/>
  <c r="D48" i="19"/>
  <c r="D18" i="54" s="1"/>
  <c r="M1001" i="210"/>
  <c r="J1098" i="210"/>
  <c r="J1052" i="210"/>
  <c r="J868" i="210"/>
  <c r="J1006" i="210"/>
  <c r="J822" i="210"/>
  <c r="J914" i="210"/>
  <c r="J730" i="210"/>
  <c r="J776" i="210"/>
  <c r="J960" i="210"/>
  <c r="G57" i="210"/>
  <c r="I57" i="210"/>
  <c r="J1540" i="210"/>
  <c r="J1516" i="210"/>
  <c r="E3874" i="209"/>
  <c r="D50" i="196"/>
  <c r="D164" i="196" s="1"/>
  <c r="J1454" i="210"/>
  <c r="J1490" i="210"/>
  <c r="N3076" i="209"/>
  <c r="L43" i="196"/>
  <c r="L157" i="196" s="1"/>
  <c r="L3055" i="209"/>
  <c r="L3061" i="209" s="1"/>
  <c r="L3065" i="209" s="1"/>
  <c r="L3155" i="209"/>
  <c r="E1465" i="209"/>
  <c r="E1469" i="209" s="1"/>
  <c r="N2620" i="209"/>
  <c r="L39" i="196"/>
  <c r="L153" i="196" s="1"/>
  <c r="M1653" i="209"/>
  <c r="M1693" i="209" s="1"/>
  <c r="M1697" i="209" s="1"/>
  <c r="M1425" i="209"/>
  <c r="L28" i="196"/>
  <c r="L142" i="196" s="1"/>
  <c r="N1366" i="209"/>
  <c r="G322" i="209"/>
  <c r="D323" i="209"/>
  <c r="M57" i="209"/>
  <c r="M97" i="209" s="1"/>
  <c r="M101" i="209" s="1"/>
  <c r="K1480" i="209"/>
  <c r="I22" i="196"/>
  <c r="I136" i="196" s="1"/>
  <c r="K682" i="209"/>
  <c r="D99" i="7"/>
  <c r="H99" i="7" s="1"/>
  <c r="G1018" i="209"/>
  <c r="M1351" i="209"/>
  <c r="M1355" i="209" s="1"/>
  <c r="H28" i="7"/>
  <c r="F46" i="7"/>
  <c r="G219" i="209"/>
  <c r="D224" i="209"/>
  <c r="C75" i="196" s="1"/>
  <c r="F75" i="196" s="1"/>
  <c r="F20" i="42"/>
  <c r="I1162" i="209"/>
  <c r="O1162" i="209" s="1"/>
  <c r="F340" i="209"/>
  <c r="D1105" i="209"/>
  <c r="G1105" i="209" s="1"/>
  <c r="D73" i="27"/>
  <c r="H84" i="7"/>
  <c r="D1066" i="209"/>
  <c r="G1066" i="209" s="1"/>
  <c r="D38" i="27"/>
  <c r="E48" i="42"/>
  <c r="I1075" i="209"/>
  <c r="O1075" i="209" s="1"/>
  <c r="H35" i="7"/>
  <c r="D138" i="209"/>
  <c r="H49" i="7"/>
  <c r="H83" i="7"/>
  <c r="D1080" i="209"/>
  <c r="G1080" i="209" s="1"/>
  <c r="D52" i="27"/>
  <c r="H39" i="7"/>
  <c r="D1068" i="209"/>
  <c r="G1068" i="209" s="1"/>
  <c r="D40" i="27"/>
  <c r="H33" i="7"/>
  <c r="H88" i="7"/>
  <c r="D1115" i="209"/>
  <c r="G1115" i="209" s="1"/>
  <c r="D83" i="27"/>
  <c r="F49" i="42"/>
  <c r="I1190" i="209"/>
  <c r="O1190" i="209" s="1"/>
  <c r="F28" i="42"/>
  <c r="I1169" i="209"/>
  <c r="O1169" i="209" s="1"/>
  <c r="L157" i="170"/>
  <c r="L94" i="170"/>
  <c r="A96" i="120"/>
  <c r="A47" i="120"/>
  <c r="A152" i="120"/>
  <c r="A165" i="149"/>
  <c r="A84" i="149"/>
  <c r="C105" i="191"/>
  <c r="P99" i="191"/>
  <c r="P105" i="191" s="1"/>
  <c r="K29" i="69"/>
  <c r="H126" i="213"/>
  <c r="P126" i="213"/>
  <c r="F71" i="70"/>
  <c r="D80" i="70"/>
  <c r="D68" i="70"/>
  <c r="F60" i="70"/>
  <c r="Y166" i="171"/>
  <c r="H22" i="171"/>
  <c r="X167" i="171"/>
  <c r="Y167" i="171" s="1"/>
  <c r="M106" i="171"/>
  <c r="X105" i="171"/>
  <c r="Y105" i="171" s="1"/>
  <c r="D93" i="195"/>
  <c r="R93" i="195" s="1"/>
  <c r="F122" i="71"/>
  <c r="M27" i="69" s="1"/>
  <c r="R42" i="171"/>
  <c r="J23" i="109"/>
  <c r="J32" i="109" s="1"/>
  <c r="J51" i="109"/>
  <c r="D66" i="213"/>
  <c r="E23" i="69"/>
  <c r="T114" i="75"/>
  <c r="H178" i="170"/>
  <c r="P195" i="170"/>
  <c r="C20" i="49"/>
  <c r="Y167" i="170"/>
  <c r="Y171" i="170" s="1"/>
  <c r="X171" i="170"/>
  <c r="H20" i="155"/>
  <c r="J19" i="155"/>
  <c r="K19" i="155" s="1"/>
  <c r="E95" i="130"/>
  <c r="O43" i="210"/>
  <c r="O44" i="210" s="1"/>
  <c r="I90" i="210" s="1"/>
  <c r="I89" i="210" s="1"/>
  <c r="O89" i="210" s="1"/>
  <c r="O90" i="210" s="1"/>
  <c r="I136" i="210" s="1"/>
  <c r="I135" i="210" s="1"/>
  <c r="O135" i="210" s="1"/>
  <c r="K47" i="209"/>
  <c r="O47" i="209" s="1"/>
  <c r="I161" i="209" s="1"/>
  <c r="O161" i="209" s="1"/>
  <c r="I275" i="209" s="1"/>
  <c r="O275" i="209" s="1"/>
  <c r="I389" i="209" s="1"/>
  <c r="O389" i="209" s="1"/>
  <c r="I503" i="209" s="1"/>
  <c r="O503" i="209" s="1"/>
  <c r="I617" i="209" s="1"/>
  <c r="O617" i="209" s="1"/>
  <c r="I731" i="209" s="1"/>
  <c r="O731" i="209" s="1"/>
  <c r="I845" i="209" s="1"/>
  <c r="O845" i="209" s="1"/>
  <c r="I959" i="209" s="1"/>
  <c r="O959" i="209" s="1"/>
  <c r="G90" i="210"/>
  <c r="D136" i="210" s="1"/>
  <c r="G82" i="210"/>
  <c r="D128" i="210" s="1"/>
  <c r="D127" i="210" s="1"/>
  <c r="G127" i="210" s="1"/>
  <c r="N3760" i="209"/>
  <c r="L49" i="196"/>
  <c r="L163" i="196" s="1"/>
  <c r="O78" i="210"/>
  <c r="I124" i="210" s="1"/>
  <c r="F103" i="130"/>
  <c r="F105" i="130" s="1"/>
  <c r="E64" i="214"/>
  <c r="J1123" i="210"/>
  <c r="J2956" i="209"/>
  <c r="J3070" i="209" s="1"/>
  <c r="J3184" i="209" s="1"/>
  <c r="J3298" i="209" s="1"/>
  <c r="J3412" i="209" s="1"/>
  <c r="J3526" i="209" s="1"/>
  <c r="J3640" i="209" s="1"/>
  <c r="J3754" i="209" s="1"/>
  <c r="J3868" i="209" s="1"/>
  <c r="J3982" i="209" s="1"/>
  <c r="J4096" i="209" s="1"/>
  <c r="N3646" i="209"/>
  <c r="L48" i="196"/>
  <c r="L162" i="196" s="1"/>
  <c r="E68" i="214"/>
  <c r="M2377" i="209"/>
  <c r="M2381" i="209" s="1"/>
  <c r="M2719" i="209"/>
  <c r="M2723" i="209" s="1"/>
  <c r="F1767" i="209"/>
  <c r="F1807" i="209" s="1"/>
  <c r="F1811" i="209" s="1"/>
  <c r="E1767" i="209"/>
  <c r="E1807" i="209" s="1"/>
  <c r="E1811" i="209" s="1"/>
  <c r="M1579" i="209"/>
  <c r="M1583" i="209" s="1"/>
  <c r="F40" i="7"/>
  <c r="H40" i="7" s="1"/>
  <c r="F47" i="7"/>
  <c r="F2109" i="209"/>
  <c r="F2149" i="209" s="1"/>
  <c r="F2153" i="209" s="1"/>
  <c r="E796" i="209"/>
  <c r="D23" i="196"/>
  <c r="D137" i="196" s="1"/>
  <c r="D1114" i="209"/>
  <c r="G1114" i="209" s="1"/>
  <c r="D82" i="27"/>
  <c r="F85" i="42"/>
  <c r="I1229" i="209"/>
  <c r="O1229" i="209" s="1"/>
  <c r="E138" i="196"/>
  <c r="G110" i="209"/>
  <c r="F1995" i="209"/>
  <c r="F2035" i="209" s="1"/>
  <c r="F2039" i="209" s="1"/>
  <c r="D1134" i="209"/>
  <c r="G1134" i="209" s="1"/>
  <c r="D97" i="27"/>
  <c r="H77" i="7"/>
  <c r="F41" i="42"/>
  <c r="I1182" i="209"/>
  <c r="O1182" i="209" s="1"/>
  <c r="F27" i="42"/>
  <c r="I1168" i="209"/>
  <c r="O1168" i="209" s="1"/>
  <c r="D1064" i="209"/>
  <c r="G1064" i="209" s="1"/>
  <c r="D36" i="27"/>
  <c r="D1073" i="209"/>
  <c r="G1073" i="209" s="1"/>
  <c r="D45" i="27"/>
  <c r="D246" i="209"/>
  <c r="G138" i="209"/>
  <c r="D1081" i="209"/>
  <c r="G1081" i="209" s="1"/>
  <c r="D53" i="27"/>
  <c r="F35" i="42"/>
  <c r="I1176" i="209"/>
  <c r="O1176" i="209" s="1"/>
  <c r="F43" i="42"/>
  <c r="I1184" i="209"/>
  <c r="O1184" i="209" s="1"/>
  <c r="I305" i="209"/>
  <c r="O205" i="209"/>
  <c r="H54" i="7"/>
  <c r="D1062" i="209"/>
  <c r="G1062" i="209" s="1"/>
  <c r="D34" i="27"/>
  <c r="H42" i="7"/>
  <c r="F83" i="42"/>
  <c r="I1227" i="209"/>
  <c r="O1227" i="209" s="1"/>
  <c r="H87" i="7"/>
  <c r="N77" i="190"/>
  <c r="O75" i="190"/>
  <c r="Y157" i="170"/>
  <c r="Y94" i="170"/>
  <c r="A85" i="149"/>
  <c r="A166" i="149"/>
  <c r="BV46" i="190"/>
  <c r="BR60" i="190"/>
  <c r="N79" i="190"/>
  <c r="J80" i="190"/>
  <c r="K24" i="69"/>
  <c r="I130" i="210"/>
  <c r="O130" i="210" s="1"/>
  <c r="O113" i="210"/>
  <c r="I159" i="210" s="1"/>
  <c r="D134" i="210"/>
  <c r="G134" i="210" s="1"/>
  <c r="G114" i="210"/>
  <c r="D160" i="210" s="1"/>
  <c r="I134" i="210"/>
  <c r="O134" i="210" s="1"/>
  <c r="O114" i="210"/>
  <c r="I160" i="210" s="1"/>
  <c r="F3418" i="209"/>
  <c r="E46" i="196"/>
  <c r="E160" i="196" s="1"/>
  <c r="O111" i="210"/>
  <c r="I157" i="210" s="1"/>
  <c r="I122" i="210"/>
  <c r="O122" i="210" s="1"/>
  <c r="D122" i="210"/>
  <c r="G122" i="210" s="1"/>
  <c r="G111" i="210"/>
  <c r="D157" i="210" s="1"/>
  <c r="F3760" i="209"/>
  <c r="E49" i="196"/>
  <c r="E163" i="196" s="1"/>
  <c r="E2848" i="209"/>
  <c r="D41" i="196"/>
  <c r="D155" i="196" s="1"/>
  <c r="M2565" i="209"/>
  <c r="M2605" i="209" s="1"/>
  <c r="M2609" i="209" s="1"/>
  <c r="E3646" i="209"/>
  <c r="D48" i="196"/>
  <c r="D162" i="196" s="1"/>
  <c r="E2962" i="209"/>
  <c r="D42" i="196"/>
  <c r="D156" i="196" s="1"/>
  <c r="M1767" i="209"/>
  <c r="M1807" i="209" s="1"/>
  <c r="M1811" i="209" s="1"/>
  <c r="N2506" i="209"/>
  <c r="L38" i="196"/>
  <c r="L152" i="196" s="1"/>
  <c r="M1459" i="209"/>
  <c r="M2263" i="209"/>
  <c r="M2267" i="209" s="1"/>
  <c r="F1425" i="209"/>
  <c r="F1465" i="209" s="1"/>
  <c r="F1469" i="209" s="1"/>
  <c r="F1024" i="209"/>
  <c r="E25" i="196"/>
  <c r="E139" i="196" s="1"/>
  <c r="E1366" i="209"/>
  <c r="D28" i="196"/>
  <c r="D142" i="196" s="1"/>
  <c r="E18" i="196"/>
  <c r="E132" i="196" s="1"/>
  <c r="F226" i="209"/>
  <c r="D255" i="209"/>
  <c r="M2109" i="209"/>
  <c r="M2149" i="209" s="1"/>
  <c r="M2153" i="209" s="1"/>
  <c r="N226" i="209"/>
  <c r="N796" i="209"/>
  <c r="L23" i="196"/>
  <c r="L137" i="196" s="1"/>
  <c r="F910" i="209"/>
  <c r="F81" i="42"/>
  <c r="I1225" i="209"/>
  <c r="O1225" i="209" s="1"/>
  <c r="H101" i="7"/>
  <c r="F1653" i="209"/>
  <c r="F1693" i="209" s="1"/>
  <c r="F1697" i="209" s="1"/>
  <c r="G305" i="209"/>
  <c r="D319" i="209"/>
  <c r="D1057" i="209"/>
  <c r="G1057" i="209" s="1"/>
  <c r="D29" i="27"/>
  <c r="D1071" i="209"/>
  <c r="G1071" i="209" s="1"/>
  <c r="D43" i="27"/>
  <c r="H55" i="7"/>
  <c r="H36" i="7"/>
  <c r="I1174" i="209"/>
  <c r="O1174" i="209" s="1"/>
  <c r="E134" i="196"/>
  <c r="J82" i="190"/>
  <c r="J85" i="190" s="1"/>
  <c r="F34" i="42"/>
  <c r="I1175" i="209"/>
  <c r="O1175" i="209" s="1"/>
  <c r="D1049" i="209"/>
  <c r="G1049" i="209" s="1"/>
  <c r="D21" i="27"/>
  <c r="Y157" i="171"/>
  <c r="Y94" i="171"/>
  <c r="Q64" i="191"/>
  <c r="P73" i="191"/>
  <c r="C108" i="191"/>
  <c r="F147" i="71"/>
  <c r="J27" i="108" s="1"/>
  <c r="D149" i="71"/>
  <c r="X32" i="170"/>
  <c r="Y27" i="170"/>
  <c r="Y32" i="170" s="1"/>
  <c r="X104" i="170"/>
  <c r="Y104" i="170" s="1"/>
  <c r="M105" i="170"/>
  <c r="H19" i="154"/>
  <c r="J18" i="154"/>
  <c r="K18" i="154" s="1"/>
  <c r="M183" i="170"/>
  <c r="X182" i="170"/>
  <c r="Y182" i="170" s="1"/>
  <c r="M47" i="170"/>
  <c r="X46" i="170"/>
  <c r="Y46" i="170" s="1"/>
  <c r="D73" i="210"/>
  <c r="G73" i="210" s="1"/>
  <c r="G74" i="210" s="1"/>
  <c r="D120" i="210" s="1"/>
  <c r="J1102" i="210"/>
  <c r="J1010" i="210"/>
  <c r="J826" i="210"/>
  <c r="J964" i="210"/>
  <c r="J1056" i="210"/>
  <c r="J872" i="210"/>
  <c r="J780" i="210"/>
  <c r="J734" i="210"/>
  <c r="J918" i="210"/>
  <c r="D110" i="210"/>
  <c r="G69" i="210"/>
  <c r="F3988" i="209"/>
  <c r="E51" i="196"/>
  <c r="E165" i="196" s="1"/>
  <c r="F3646" i="209"/>
  <c r="E48" i="196"/>
  <c r="E162" i="196" s="1"/>
  <c r="M3418" i="209"/>
  <c r="K46" i="196"/>
  <c r="K160" i="196" s="1"/>
  <c r="N3304" i="209"/>
  <c r="L45" i="196"/>
  <c r="L159" i="196" s="1"/>
  <c r="F2605" i="209"/>
  <c r="F2609" i="209" s="1"/>
  <c r="E3532" i="209"/>
  <c r="D47" i="196"/>
  <c r="D161" i="196" s="1"/>
  <c r="L2734" i="209"/>
  <c r="J40" i="196"/>
  <c r="J154" i="196" s="1"/>
  <c r="F2679" i="209"/>
  <c r="F2719" i="209" s="1"/>
  <c r="F2723" i="209" s="1"/>
  <c r="F89" i="7"/>
  <c r="E52" i="42"/>
  <c r="I1079" i="209"/>
  <c r="O1079" i="209" s="1"/>
  <c r="F43" i="7"/>
  <c r="H43" i="7" s="1"/>
  <c r="D20" i="196"/>
  <c r="D134" i="196" s="1"/>
  <c r="E454" i="209"/>
  <c r="M110" i="209"/>
  <c r="K74" i="196" s="1"/>
  <c r="M74" i="196" s="1"/>
  <c r="I209" i="209"/>
  <c r="O208" i="209"/>
  <c r="E136" i="196"/>
  <c r="F31" i="42"/>
  <c r="I1172" i="209"/>
  <c r="O1172" i="209" s="1"/>
  <c r="F40" i="42"/>
  <c r="E140" i="196"/>
  <c r="F29" i="42"/>
  <c r="I1170" i="209"/>
  <c r="O1170" i="209" s="1"/>
  <c r="F95" i="42"/>
  <c r="I1239" i="209"/>
  <c r="O1239" i="209" s="1"/>
  <c r="D100" i="7"/>
  <c r="H100" i="7" s="1"/>
  <c r="G1019" i="209"/>
  <c r="F19" i="42"/>
  <c r="I1161" i="209"/>
  <c r="O1161" i="209" s="1"/>
  <c r="F55" i="42"/>
  <c r="I1196" i="209"/>
  <c r="O1196" i="209" s="1"/>
  <c r="K19" i="196"/>
  <c r="K133" i="196" s="1"/>
  <c r="M340" i="209"/>
  <c r="H31" i="7"/>
  <c r="H45" i="7"/>
  <c r="D1077" i="209"/>
  <c r="G1077" i="209" s="1"/>
  <c r="D49" i="27"/>
  <c r="F32" i="42"/>
  <c r="I1173" i="209"/>
  <c r="O1173" i="209" s="1"/>
  <c r="F104" i="42"/>
  <c r="I1249" i="209"/>
  <c r="O1249" i="209" s="1"/>
  <c r="D1069" i="209"/>
  <c r="G1069" i="209" s="1"/>
  <c r="D41" i="27"/>
  <c r="D1107" i="209"/>
  <c r="G1107" i="209" s="1"/>
  <c r="D75" i="27"/>
  <c r="F80" i="42"/>
  <c r="I1224" i="209"/>
  <c r="O1224" i="209" s="1"/>
  <c r="D1067" i="209"/>
  <c r="G1067" i="209" s="1"/>
  <c r="D39" i="27"/>
  <c r="F454" i="209"/>
  <c r="H23" i="7"/>
  <c r="L157" i="171"/>
  <c r="L94" i="171"/>
  <c r="BW15" i="190"/>
  <c r="CD15" i="190"/>
  <c r="BV45" i="190"/>
  <c r="Q30" i="191"/>
  <c r="C73" i="191"/>
  <c r="F39" i="71" l="1"/>
  <c r="J19" i="108"/>
  <c r="J22" i="108" s="1"/>
  <c r="M24" i="69"/>
  <c r="J26" i="108"/>
  <c r="J30" i="108" s="1"/>
  <c r="J43" i="213"/>
  <c r="M43" i="213" s="1"/>
  <c r="Q131" i="120"/>
  <c r="Q119" i="120"/>
  <c r="F61" i="153"/>
  <c r="L61" i="153"/>
  <c r="K22" i="101"/>
  <c r="T47" i="75"/>
  <c r="J32" i="108"/>
  <c r="J40" i="108" s="1"/>
  <c r="J43" i="108" s="1"/>
  <c r="S43" i="218"/>
  <c r="D141" i="195"/>
  <c r="I1177" i="209"/>
  <c r="O1177" i="209" s="1"/>
  <c r="I1194" i="209"/>
  <c r="O1194" i="209" s="1"/>
  <c r="X22" i="170"/>
  <c r="H24" i="170"/>
  <c r="I23" i="49"/>
  <c r="K48" i="196"/>
  <c r="K162" i="196" s="1"/>
  <c r="D135" i="210"/>
  <c r="G135" i="210" s="1"/>
  <c r="I126" i="210"/>
  <c r="O126" i="210" s="1"/>
  <c r="O112" i="210"/>
  <c r="I158" i="210" s="1"/>
  <c r="D39" i="196"/>
  <c r="D153" i="196" s="1"/>
  <c r="E105" i="130"/>
  <c r="I1132" i="209"/>
  <c r="O1132" i="209" s="1"/>
  <c r="E95" i="7"/>
  <c r="D31" i="196"/>
  <c r="D145" i="196" s="1"/>
  <c r="H47" i="7"/>
  <c r="E105" i="7"/>
  <c r="M2050" i="209"/>
  <c r="K34" i="196"/>
  <c r="K148" i="196" s="1"/>
  <c r="D1220" i="209"/>
  <c r="G1220" i="209" s="1"/>
  <c r="E74" i="27"/>
  <c r="F57" i="7"/>
  <c r="J39" i="213"/>
  <c r="M39" i="213" s="1"/>
  <c r="T100" i="75"/>
  <c r="K35" i="196"/>
  <c r="K149" i="196" s="1"/>
  <c r="M2164" i="209"/>
  <c r="M2620" i="209"/>
  <c r="K39" i="196"/>
  <c r="K153" i="196" s="1"/>
  <c r="F2164" i="209"/>
  <c r="E35" i="196"/>
  <c r="E149" i="196" s="1"/>
  <c r="T29" i="75"/>
  <c r="J20" i="213"/>
  <c r="M20" i="213" s="1"/>
  <c r="F1480" i="209"/>
  <c r="E29" i="196"/>
  <c r="E143" i="196" s="1"/>
  <c r="M1822" i="209"/>
  <c r="K32" i="196"/>
  <c r="K146" i="196" s="1"/>
  <c r="I168" i="210"/>
  <c r="O168" i="210" s="1"/>
  <c r="O157" i="210"/>
  <c r="I203" i="210" s="1"/>
  <c r="F2050" i="209"/>
  <c r="E34" i="196"/>
  <c r="E148" i="196" s="1"/>
  <c r="D72" i="213"/>
  <c r="F80" i="70"/>
  <c r="M1708" i="209"/>
  <c r="K31" i="196"/>
  <c r="K145" i="196" s="1"/>
  <c r="D118" i="210"/>
  <c r="G118" i="210" s="1"/>
  <c r="G110" i="210"/>
  <c r="D115" i="210"/>
  <c r="P108" i="191"/>
  <c r="P114" i="191" s="1"/>
  <c r="C114" i="191"/>
  <c r="G33" i="42"/>
  <c r="I1288" i="209"/>
  <c r="O1288" i="209" s="1"/>
  <c r="D180" i="210"/>
  <c r="G180" i="210" s="1"/>
  <c r="G160" i="210"/>
  <c r="D206" i="210" s="1"/>
  <c r="BV60" i="190"/>
  <c r="CD46" i="190"/>
  <c r="BW46" i="190"/>
  <c r="D1187" i="209"/>
  <c r="G1187" i="209" s="1"/>
  <c r="E45" i="27"/>
  <c r="M1594" i="209"/>
  <c r="K30" i="196"/>
  <c r="K144" i="196" s="1"/>
  <c r="C22" i="49"/>
  <c r="I24" i="49"/>
  <c r="D37" i="213"/>
  <c r="F68" i="70"/>
  <c r="G28" i="42"/>
  <c r="I1283" i="209"/>
  <c r="O1283" i="209" s="1"/>
  <c r="D1194" i="209"/>
  <c r="G1194" i="209" s="1"/>
  <c r="E52" i="27"/>
  <c r="L3076" i="209"/>
  <c r="J43" i="196"/>
  <c r="J157" i="196" s="1"/>
  <c r="J1586" i="210"/>
  <c r="J1562" i="210"/>
  <c r="BW6" i="190"/>
  <c r="BV12" i="190"/>
  <c r="CD6" i="190"/>
  <c r="M2848" i="209"/>
  <c r="K41" i="196"/>
  <c r="K155" i="196" s="1"/>
  <c r="D1133" i="209"/>
  <c r="G1133" i="209" s="1"/>
  <c r="D96" i="27"/>
  <c r="I131" i="210"/>
  <c r="O131" i="210" s="1"/>
  <c r="O132" i="210" s="1"/>
  <c r="I178" i="210" s="1"/>
  <c r="H20" i="154"/>
  <c r="J19" i="154"/>
  <c r="K19" i="154" s="1"/>
  <c r="G34" i="42"/>
  <c r="I1289" i="209"/>
  <c r="O1289" i="209" s="1"/>
  <c r="G255" i="209"/>
  <c r="M2278" i="209"/>
  <c r="K36" i="196"/>
  <c r="K150" i="196" s="1"/>
  <c r="G136" i="210"/>
  <c r="D182" i="210" s="1"/>
  <c r="D181" i="210" s="1"/>
  <c r="G181" i="210" s="1"/>
  <c r="G35" i="42"/>
  <c r="I1290" i="209"/>
  <c r="O1290" i="209" s="1"/>
  <c r="D1228" i="209"/>
  <c r="G1228" i="209" s="1"/>
  <c r="E82" i="27"/>
  <c r="E1822" i="209"/>
  <c r="D32" i="196"/>
  <c r="D146" i="196" s="1"/>
  <c r="J1169" i="210"/>
  <c r="J1215" i="210" s="1"/>
  <c r="J1261" i="210" s="1"/>
  <c r="J1307" i="210" s="1"/>
  <c r="J1353" i="210" s="1"/>
  <c r="J1399" i="210" s="1"/>
  <c r="J1445" i="210" s="1"/>
  <c r="J1136" i="210"/>
  <c r="J1182" i="210" s="1"/>
  <c r="J1228" i="210" s="1"/>
  <c r="J1274" i="210" s="1"/>
  <c r="J1320" i="210" s="1"/>
  <c r="J1366" i="210" s="1"/>
  <c r="J1412" i="210" s="1"/>
  <c r="D1229" i="209"/>
  <c r="G1229" i="209" s="1"/>
  <c r="E83" i="27"/>
  <c r="I144" i="196"/>
  <c r="D1225" i="209"/>
  <c r="G1225" i="209" s="1"/>
  <c r="E79" i="27"/>
  <c r="D1175" i="209"/>
  <c r="G1175" i="209" s="1"/>
  <c r="E33" i="27"/>
  <c r="D1226" i="209"/>
  <c r="G1226" i="209" s="1"/>
  <c r="E80" i="27"/>
  <c r="O184" i="209"/>
  <c r="D239" i="209"/>
  <c r="M2962" i="209"/>
  <c r="K42" i="196"/>
  <c r="K156" i="196" s="1"/>
  <c r="F74" i="42"/>
  <c r="I1218" i="209"/>
  <c r="O1218" i="209" s="1"/>
  <c r="D1174" i="209"/>
  <c r="G1174" i="209" s="1"/>
  <c r="E32" i="27"/>
  <c r="D1190" i="209"/>
  <c r="G1190" i="209" s="1"/>
  <c r="E48" i="27"/>
  <c r="J2904" i="209"/>
  <c r="J3018" i="209" s="1"/>
  <c r="J3132" i="209" s="1"/>
  <c r="J3246" i="209" s="1"/>
  <c r="J3360" i="209" s="1"/>
  <c r="J3474" i="209" s="1"/>
  <c r="J3588" i="209" s="1"/>
  <c r="J3702" i="209" s="1"/>
  <c r="J3816" i="209" s="1"/>
  <c r="J3930" i="209" s="1"/>
  <c r="J4044" i="209" s="1"/>
  <c r="J2791" i="209"/>
  <c r="J2905" i="209" s="1"/>
  <c r="J3019" i="209" s="1"/>
  <c r="J3133" i="209" s="1"/>
  <c r="J3247" i="209" s="1"/>
  <c r="J3361" i="209" s="1"/>
  <c r="J3475" i="209" s="1"/>
  <c r="J3589" i="209" s="1"/>
  <c r="J3703" i="209" s="1"/>
  <c r="J3817" i="209" s="1"/>
  <c r="J3931" i="209" s="1"/>
  <c r="J4045" i="209" s="1"/>
  <c r="Q22" i="68"/>
  <c r="D16" i="155"/>
  <c r="F16" i="155" s="1"/>
  <c r="G16" i="155" s="1"/>
  <c r="K16" i="155" s="1"/>
  <c r="N43" i="213"/>
  <c r="P43" i="213"/>
  <c r="D1177" i="209"/>
  <c r="G1177" i="209" s="1"/>
  <c r="E35" i="27"/>
  <c r="O46" i="209"/>
  <c r="K57" i="209"/>
  <c r="K97" i="209" s="1"/>
  <c r="K101" i="209" s="1"/>
  <c r="Q82" i="191"/>
  <c r="D1184" i="209"/>
  <c r="G1184" i="209" s="1"/>
  <c r="E42" i="27"/>
  <c r="G17" i="42"/>
  <c r="I1273" i="209"/>
  <c r="O1273" i="209" s="1"/>
  <c r="T53" i="75"/>
  <c r="J27" i="213"/>
  <c r="M27" i="213" s="1"/>
  <c r="E65" i="214"/>
  <c r="K12" i="195"/>
  <c r="J61" i="195"/>
  <c r="J119" i="195" s="1"/>
  <c r="M1024" i="209"/>
  <c r="O69" i="210"/>
  <c r="I110" i="210"/>
  <c r="N139" i="213"/>
  <c r="K36" i="69"/>
  <c r="P139" i="213"/>
  <c r="L119" i="120"/>
  <c r="L131" i="120"/>
  <c r="I22" i="138"/>
  <c r="I20" i="138"/>
  <c r="I24" i="138"/>
  <c r="G132" i="210"/>
  <c r="D178" i="210" s="1"/>
  <c r="BW45" i="190"/>
  <c r="CA15" i="190"/>
  <c r="CA45" i="190" s="1"/>
  <c r="D1221" i="209"/>
  <c r="G1221" i="209" s="1"/>
  <c r="E75" i="27"/>
  <c r="D1163" i="209"/>
  <c r="G1163" i="209" s="1"/>
  <c r="E21" i="27"/>
  <c r="G157" i="210"/>
  <c r="D203" i="210" s="1"/>
  <c r="D168" i="210"/>
  <c r="G168" i="210" s="1"/>
  <c r="Q73" i="191"/>
  <c r="D73" i="191"/>
  <c r="E73" i="191" s="1"/>
  <c r="F73" i="191" s="1"/>
  <c r="G73" i="191" s="1"/>
  <c r="H73" i="191" s="1"/>
  <c r="I73" i="191" s="1"/>
  <c r="J73" i="191" s="1"/>
  <c r="K73" i="191" s="1"/>
  <c r="L73" i="191" s="1"/>
  <c r="M73" i="191" s="1"/>
  <c r="N73" i="191" s="1"/>
  <c r="O73" i="191" s="1"/>
  <c r="D1183" i="209"/>
  <c r="G1183" i="209" s="1"/>
  <c r="E41" i="27"/>
  <c r="G31" i="42"/>
  <c r="I1286" i="209"/>
  <c r="O1286" i="209" s="1"/>
  <c r="M107" i="170"/>
  <c r="X107" i="170" s="1"/>
  <c r="Y107" i="170" s="1"/>
  <c r="M106" i="170"/>
  <c r="X105" i="170"/>
  <c r="Y105" i="170" s="1"/>
  <c r="G53" i="42"/>
  <c r="I1308" i="209"/>
  <c r="O1308" i="209" s="1"/>
  <c r="I176" i="210"/>
  <c r="O176" i="210" s="1"/>
  <c r="O159" i="210"/>
  <c r="I205" i="210" s="1"/>
  <c r="D1178" i="209"/>
  <c r="G1178" i="209" s="1"/>
  <c r="E36" i="27"/>
  <c r="D1248" i="209"/>
  <c r="G1248" i="209" s="1"/>
  <c r="E97" i="27"/>
  <c r="F1822" i="209"/>
  <c r="E32" i="196"/>
  <c r="E146" i="196" s="1"/>
  <c r="X106" i="171"/>
  <c r="M107" i="171"/>
  <c r="D105" i="191"/>
  <c r="E105" i="191" s="1"/>
  <c r="F105" i="191" s="1"/>
  <c r="G105" i="191" s="1"/>
  <c r="H105" i="191" s="1"/>
  <c r="I105" i="191" s="1"/>
  <c r="J105" i="191" s="1"/>
  <c r="K105" i="191" s="1"/>
  <c r="L105" i="191" s="1"/>
  <c r="M105" i="191" s="1"/>
  <c r="N105" i="191" s="1"/>
  <c r="O105" i="191" s="1"/>
  <c r="D1180" i="209"/>
  <c r="G1180" i="209" s="1"/>
  <c r="E38" i="27"/>
  <c r="M1465" i="209"/>
  <c r="M1469" i="209" s="1"/>
  <c r="D103" i="210"/>
  <c r="O57" i="210"/>
  <c r="D1173" i="209"/>
  <c r="G1173" i="209" s="1"/>
  <c r="E31" i="27"/>
  <c r="G18" i="42"/>
  <c r="I1274" i="209"/>
  <c r="O1274" i="209" s="1"/>
  <c r="G38" i="42"/>
  <c r="I1293" i="209"/>
  <c r="O1293" i="209" s="1"/>
  <c r="D1045" i="209"/>
  <c r="G1045" i="209" s="1"/>
  <c r="D17" i="27"/>
  <c r="D1168" i="209"/>
  <c r="G1168" i="209" s="1"/>
  <c r="E26" i="27"/>
  <c r="F2506" i="209"/>
  <c r="E38" i="196"/>
  <c r="E152" i="196" s="1"/>
  <c r="I17" i="109"/>
  <c r="D18" i="213"/>
  <c r="F22" i="70"/>
  <c r="G82" i="42"/>
  <c r="I1340" i="209"/>
  <c r="O1340" i="209" s="1"/>
  <c r="M2506" i="209"/>
  <c r="K38" i="196"/>
  <c r="K152" i="196" s="1"/>
  <c r="X39" i="170"/>
  <c r="H40" i="170"/>
  <c r="H42" i="170" s="1"/>
  <c r="D1218" i="209"/>
  <c r="G1218" i="209" s="1"/>
  <c r="E72" i="27"/>
  <c r="D1192" i="209"/>
  <c r="G1192" i="209" s="1"/>
  <c r="E50" i="27"/>
  <c r="F91" i="195"/>
  <c r="D26" i="155"/>
  <c r="F26" i="155" s="1"/>
  <c r="G26" i="155" s="1"/>
  <c r="Q39" i="191"/>
  <c r="F1936" i="209"/>
  <c r="E33" i="196"/>
  <c r="E147" i="196" s="1"/>
  <c r="F101" i="42"/>
  <c r="I1246" i="209"/>
  <c r="O1246" i="209" s="1"/>
  <c r="M3988" i="209"/>
  <c r="K51" i="196"/>
  <c r="K165" i="196" s="1"/>
  <c r="T95" i="75"/>
  <c r="J38" i="213"/>
  <c r="M38" i="213" s="1"/>
  <c r="T35" i="75"/>
  <c r="J21" i="213"/>
  <c r="M21" i="213" s="1"/>
  <c r="I26" i="138"/>
  <c r="L18" i="138"/>
  <c r="M18" i="138"/>
  <c r="M2734" i="209"/>
  <c r="K40" i="196"/>
  <c r="K154" i="196" s="1"/>
  <c r="J1500" i="210"/>
  <c r="J1536" i="210"/>
  <c r="F102" i="42"/>
  <c r="I1247" i="209"/>
  <c r="O1247" i="209" s="1"/>
  <c r="F3190" i="209"/>
  <c r="E44" i="196"/>
  <c r="E158" i="196" s="1"/>
  <c r="E46" i="42"/>
  <c r="I1073" i="209"/>
  <c r="O1073" i="209" s="1"/>
  <c r="H21" i="155"/>
  <c r="J20" i="155"/>
  <c r="K20" i="155" s="1"/>
  <c r="T115" i="75"/>
  <c r="J42" i="213"/>
  <c r="M42" i="213" s="1"/>
  <c r="G49" i="42"/>
  <c r="I1304" i="209"/>
  <c r="O1304" i="209" s="1"/>
  <c r="G36" i="42"/>
  <c r="I1291" i="209"/>
  <c r="O1291" i="209" s="1"/>
  <c r="Y181" i="170"/>
  <c r="BV14" i="190"/>
  <c r="BW13" i="190"/>
  <c r="CD13" i="190"/>
  <c r="D1179" i="209"/>
  <c r="G1179" i="209" s="1"/>
  <c r="E37" i="27"/>
  <c r="G51" i="42"/>
  <c r="I1306" i="209"/>
  <c r="O1306" i="209" s="1"/>
  <c r="F84" i="42"/>
  <c r="I1228" i="209"/>
  <c r="O1228" i="209" s="1"/>
  <c r="I44" i="49"/>
  <c r="C43" i="49"/>
  <c r="I224" i="209"/>
  <c r="H75" i="196" s="1"/>
  <c r="M75" i="196" s="1"/>
  <c r="O219" i="209"/>
  <c r="G75" i="42"/>
  <c r="I1333" i="209"/>
  <c r="O1333" i="209" s="1"/>
  <c r="D176" i="210"/>
  <c r="G176" i="210" s="1"/>
  <c r="G159" i="210"/>
  <c r="D205" i="210" s="1"/>
  <c r="G30" i="42"/>
  <c r="I1285" i="209"/>
  <c r="O1285" i="209" s="1"/>
  <c r="E2278" i="209"/>
  <c r="D36" i="196"/>
  <c r="D150" i="196" s="1"/>
  <c r="R119" i="120"/>
  <c r="R131" i="120"/>
  <c r="D218" i="210"/>
  <c r="G218" i="210" s="1"/>
  <c r="G204" i="210"/>
  <c r="D250" i="210" s="1"/>
  <c r="E37" i="42"/>
  <c r="I1064" i="209"/>
  <c r="O1064" i="209" s="1"/>
  <c r="X24" i="76"/>
  <c r="C4" i="217"/>
  <c r="D89" i="213"/>
  <c r="F112" i="70"/>
  <c r="M1936" i="209"/>
  <c r="K33" i="196"/>
  <c r="K147" i="196" s="1"/>
  <c r="T20" i="75"/>
  <c r="T48" i="75"/>
  <c r="J26" i="213"/>
  <c r="G27" i="42"/>
  <c r="I1282" i="209"/>
  <c r="O1282" i="209" s="1"/>
  <c r="S73" i="190"/>
  <c r="T67" i="190"/>
  <c r="M3532" i="209"/>
  <c r="K47" i="196"/>
  <c r="K161" i="196" s="1"/>
  <c r="G70" i="120"/>
  <c r="M18" i="69"/>
  <c r="D1181" i="209"/>
  <c r="G1181" i="209" s="1"/>
  <c r="E39" i="27"/>
  <c r="G319" i="209"/>
  <c r="D419" i="209"/>
  <c r="X22" i="171"/>
  <c r="Y22" i="171" s="1"/>
  <c r="H24" i="171"/>
  <c r="H42" i="171" s="1"/>
  <c r="G80" i="42"/>
  <c r="I1338" i="209"/>
  <c r="O1338" i="209" s="1"/>
  <c r="G32" i="42"/>
  <c r="I1287" i="209"/>
  <c r="O1287" i="209" s="1"/>
  <c r="G55" i="42"/>
  <c r="I1310" i="209"/>
  <c r="O1310" i="209" s="1"/>
  <c r="G29" i="42"/>
  <c r="I1284" i="209"/>
  <c r="O1284" i="209" s="1"/>
  <c r="I322" i="209"/>
  <c r="O209" i="209"/>
  <c r="F2620" i="209"/>
  <c r="E39" i="196"/>
  <c r="E153" i="196" s="1"/>
  <c r="M48" i="170"/>
  <c r="X47" i="170"/>
  <c r="F1708" i="209"/>
  <c r="E31" i="196"/>
  <c r="E145" i="196" s="1"/>
  <c r="D1182" i="209"/>
  <c r="G1182" i="209" s="1"/>
  <c r="E40" i="27"/>
  <c r="D1189" i="209"/>
  <c r="G1189" i="209" s="1"/>
  <c r="E47" i="27"/>
  <c r="S27" i="218"/>
  <c r="S24" i="218"/>
  <c r="D1227" i="209"/>
  <c r="G1227" i="209" s="1"/>
  <c r="E81" i="27"/>
  <c r="D1188" i="209"/>
  <c r="G1188" i="209" s="1"/>
  <c r="E46" i="27"/>
  <c r="D1162" i="209"/>
  <c r="G1162" i="209" s="1"/>
  <c r="E20" i="27"/>
  <c r="F86" i="42"/>
  <c r="I1230" i="209"/>
  <c r="O1230" i="209" s="1"/>
  <c r="E31" i="213"/>
  <c r="E33" i="213" s="1"/>
  <c r="E46" i="213" s="1"/>
  <c r="E146" i="213" s="1"/>
  <c r="G28" i="213"/>
  <c r="G174" i="210"/>
  <c r="D220" i="210" s="1"/>
  <c r="D123" i="210"/>
  <c r="G123" i="210" s="1"/>
  <c r="G124" i="210" s="1"/>
  <c r="D170" i="210" s="1"/>
  <c r="H59" i="153"/>
  <c r="H48" i="153"/>
  <c r="H53" i="153" s="1"/>
  <c r="H61" i="153" s="1"/>
  <c r="D81" i="213"/>
  <c r="F104" i="70"/>
  <c r="I27" i="108" s="1"/>
  <c r="D21" i="222"/>
  <c r="O131" i="120"/>
  <c r="O119" i="120"/>
  <c r="R26" i="195"/>
  <c r="R31" i="195" s="1"/>
  <c r="I26" i="101"/>
  <c r="G26" i="101" s="1"/>
  <c r="M25" i="179"/>
  <c r="G29" i="207"/>
  <c r="G49" i="207" s="1"/>
  <c r="G69" i="207" s="1"/>
  <c r="G104" i="207" s="1"/>
  <c r="G124" i="207" s="1"/>
  <c r="J72" i="153"/>
  <c r="G95" i="42"/>
  <c r="I1353" i="209"/>
  <c r="O1353" i="209" s="1"/>
  <c r="D333" i="209"/>
  <c r="G224" i="209"/>
  <c r="M30" i="171"/>
  <c r="X29" i="171"/>
  <c r="Y29" i="171" s="1"/>
  <c r="H129" i="213"/>
  <c r="P129" i="213"/>
  <c r="M2392" i="209"/>
  <c r="K37" i="196"/>
  <c r="K151" i="196" s="1"/>
  <c r="F95" i="7"/>
  <c r="F105" i="7" s="1"/>
  <c r="D160" i="71"/>
  <c r="D162" i="71" s="1"/>
  <c r="F162" i="71" s="1"/>
  <c r="F149" i="71"/>
  <c r="F160" i="71" s="1"/>
  <c r="G72" i="120" s="1"/>
  <c r="D1185" i="209"/>
  <c r="G1185" i="209" s="1"/>
  <c r="E43" i="27"/>
  <c r="I180" i="210"/>
  <c r="O180" i="210" s="1"/>
  <c r="O160" i="210"/>
  <c r="I206" i="210" s="1"/>
  <c r="N80" i="190"/>
  <c r="N82" i="190" s="1"/>
  <c r="N85" i="190" s="1"/>
  <c r="O79" i="190"/>
  <c r="S75" i="190"/>
  <c r="O77" i="190"/>
  <c r="I319" i="209"/>
  <c r="O305" i="209"/>
  <c r="G246" i="209"/>
  <c r="D252" i="209"/>
  <c r="G41" i="42"/>
  <c r="I1296" i="209"/>
  <c r="O1296" i="209" s="1"/>
  <c r="G85" i="42"/>
  <c r="I1343" i="209"/>
  <c r="O1343" i="209" s="1"/>
  <c r="M112" i="209"/>
  <c r="K17" i="196"/>
  <c r="K131" i="196" s="1"/>
  <c r="D1219" i="209"/>
  <c r="G1219" i="209" s="1"/>
  <c r="E73" i="27"/>
  <c r="M1366" i="209"/>
  <c r="K28" i="196"/>
  <c r="K142" i="196" s="1"/>
  <c r="E1480" i="209"/>
  <c r="D29" i="196"/>
  <c r="D143" i="196" s="1"/>
  <c r="G18" i="54"/>
  <c r="P69" i="213"/>
  <c r="H69" i="213"/>
  <c r="T105" i="75"/>
  <c r="J40" i="213"/>
  <c r="M40" i="213" s="1"/>
  <c r="D1230" i="209"/>
  <c r="G1230" i="209" s="1"/>
  <c r="E84" i="27"/>
  <c r="G76" i="42"/>
  <c r="I1334" i="209"/>
  <c r="O1334" i="209" s="1"/>
  <c r="D1249" i="209"/>
  <c r="G1249" i="209" s="1"/>
  <c r="E98" i="27"/>
  <c r="T71" i="75"/>
  <c r="J30" i="213"/>
  <c r="M30" i="213" s="1"/>
  <c r="P117" i="191"/>
  <c r="P123" i="191" s="1"/>
  <c r="C123" i="191"/>
  <c r="G79" i="42"/>
  <c r="I1337" i="209"/>
  <c r="O1337" i="209" s="1"/>
  <c r="D1172" i="209"/>
  <c r="G1172" i="209" s="1"/>
  <c r="E30" i="27"/>
  <c r="D1196" i="209"/>
  <c r="G1196" i="209" s="1"/>
  <c r="E54" i="27"/>
  <c r="P119" i="120"/>
  <c r="P131" i="120"/>
  <c r="Q21" i="191"/>
  <c r="E2734" i="209"/>
  <c r="D40" i="196"/>
  <c r="D154" i="196" s="1"/>
  <c r="D57" i="209"/>
  <c r="D97" i="209" s="1"/>
  <c r="D101" i="209" s="1"/>
  <c r="G46" i="209"/>
  <c r="I29" i="106"/>
  <c r="I31" i="106" s="1"/>
  <c r="I34" i="106" s="1"/>
  <c r="F30" i="64" s="1"/>
  <c r="E30" i="64" s="1"/>
  <c r="K132" i="196"/>
  <c r="D42" i="206"/>
  <c r="F29" i="206"/>
  <c r="D132" i="195"/>
  <c r="R66" i="195"/>
  <c r="K26" i="101"/>
  <c r="I25" i="179"/>
  <c r="G104" i="42"/>
  <c r="I1363" i="209"/>
  <c r="O1363" i="209" s="1"/>
  <c r="F52" i="42"/>
  <c r="I1193" i="209"/>
  <c r="O1193" i="209" s="1"/>
  <c r="D1193" i="209"/>
  <c r="G1193" i="209" s="1"/>
  <c r="E51" i="27"/>
  <c r="D1161" i="209"/>
  <c r="G1161" i="209" s="1"/>
  <c r="E19" i="27"/>
  <c r="G50" i="42"/>
  <c r="I1305" i="209"/>
  <c r="O1305" i="209" s="1"/>
  <c r="F1594" i="209"/>
  <c r="E30" i="196"/>
  <c r="E144" i="196" s="1"/>
  <c r="G29" i="106"/>
  <c r="G31" i="106" s="1"/>
  <c r="G34" i="106" s="1"/>
  <c r="D1195" i="209"/>
  <c r="G1195" i="209" s="1"/>
  <c r="E53" i="27"/>
  <c r="I123" i="210"/>
  <c r="O123" i="210" s="1"/>
  <c r="O124" i="210" s="1"/>
  <c r="I170" i="210" s="1"/>
  <c r="I169" i="210" s="1"/>
  <c r="O169" i="210" s="1"/>
  <c r="CD45" i="190"/>
  <c r="CH15" i="190"/>
  <c r="G19" i="42"/>
  <c r="I1275" i="209"/>
  <c r="O1275" i="209" s="1"/>
  <c r="F2734" i="209"/>
  <c r="E40" i="196"/>
  <c r="E154" i="196" s="1"/>
  <c r="M184" i="170"/>
  <c r="M185" i="170" s="1"/>
  <c r="M186" i="170" s="1"/>
  <c r="M187" i="170" s="1"/>
  <c r="X183" i="170"/>
  <c r="Y183" i="170" s="1"/>
  <c r="G81" i="42"/>
  <c r="I1339" i="209"/>
  <c r="O1339" i="209" s="1"/>
  <c r="O136" i="210"/>
  <c r="I182" i="210" s="1"/>
  <c r="G83" i="42"/>
  <c r="I1341" i="209"/>
  <c r="O1341" i="209" s="1"/>
  <c r="G43" i="42"/>
  <c r="I1298" i="209"/>
  <c r="O1298" i="209" s="1"/>
  <c r="U15" i="219"/>
  <c r="U16" i="219" s="1"/>
  <c r="F48" i="42"/>
  <c r="I1189" i="209"/>
  <c r="O1189" i="209" s="1"/>
  <c r="D1132" i="209"/>
  <c r="G1132" i="209" s="1"/>
  <c r="D95" i="27"/>
  <c r="G323" i="209"/>
  <c r="D436" i="209"/>
  <c r="L3169" i="209"/>
  <c r="L3175" i="209" s="1"/>
  <c r="L3179" i="209" s="1"/>
  <c r="L3269" i="209"/>
  <c r="H196" i="170"/>
  <c r="R34" i="78"/>
  <c r="R36" i="78" s="1"/>
  <c r="F32" i="186"/>
  <c r="BR63" i="190"/>
  <c r="G44" i="42"/>
  <c r="I1299" i="209"/>
  <c r="O1299" i="209" s="1"/>
  <c r="F77" i="42"/>
  <c r="I1221" i="209"/>
  <c r="O1221" i="209" s="1"/>
  <c r="F2392" i="209"/>
  <c r="E37" i="196"/>
  <c r="E151" i="196" s="1"/>
  <c r="J1584" i="210"/>
  <c r="J1554" i="210"/>
  <c r="D1170" i="209"/>
  <c r="G1170" i="209" s="1"/>
  <c r="E28" i="27"/>
  <c r="G47" i="42"/>
  <c r="I1302" i="209"/>
  <c r="O1302" i="209" s="1"/>
  <c r="E103" i="42"/>
  <c r="I1134" i="209"/>
  <c r="O1134" i="209" s="1"/>
  <c r="G21" i="42"/>
  <c r="I1277" i="209"/>
  <c r="O1277" i="209" s="1"/>
  <c r="D1169" i="209"/>
  <c r="G1169" i="209" s="1"/>
  <c r="E27" i="27"/>
  <c r="D1160" i="209"/>
  <c r="G1160" i="209" s="1"/>
  <c r="E18" i="27"/>
  <c r="I246" i="209"/>
  <c r="O138" i="209"/>
  <c r="D1223" i="209"/>
  <c r="G1223" i="209" s="1"/>
  <c r="E77" i="27"/>
  <c r="G78" i="42"/>
  <c r="I1336" i="209"/>
  <c r="O1336" i="209" s="1"/>
  <c r="E42" i="42"/>
  <c r="I1069" i="209"/>
  <c r="O1069" i="209" s="1"/>
  <c r="M29" i="69"/>
  <c r="K131" i="120"/>
  <c r="K119" i="120"/>
  <c r="D23" i="195"/>
  <c r="D33" i="195" s="1"/>
  <c r="D46" i="195" s="1"/>
  <c r="J29" i="213"/>
  <c r="M29" i="213" s="1"/>
  <c r="T65" i="75"/>
  <c r="M226" i="209"/>
  <c r="O74" i="210"/>
  <c r="I120" i="210" s="1"/>
  <c r="Y178" i="170"/>
  <c r="M26" i="101"/>
  <c r="D146" i="70"/>
  <c r="D157" i="70" s="1"/>
  <c r="D159" i="70" s="1"/>
  <c r="F159" i="70" s="1"/>
  <c r="D1176" i="209"/>
  <c r="G1176" i="209" s="1"/>
  <c r="E34" i="27"/>
  <c r="D1224" i="209"/>
  <c r="G1224" i="209" s="1"/>
  <c r="E78" i="27"/>
  <c r="D1191" i="209"/>
  <c r="G1191" i="209" s="1"/>
  <c r="E49" i="27"/>
  <c r="G40" i="42"/>
  <c r="I1295" i="209"/>
  <c r="O1295" i="209" s="1"/>
  <c r="D1171" i="209"/>
  <c r="G1171" i="209" s="1"/>
  <c r="E29" i="27"/>
  <c r="G20" i="42"/>
  <c r="I1276" i="209"/>
  <c r="O1276" i="209" s="1"/>
  <c r="D1222" i="209"/>
  <c r="G1222" i="209" s="1"/>
  <c r="E76" i="27"/>
  <c r="E1594" i="209"/>
  <c r="D30" i="196"/>
  <c r="D144" i="196" s="1"/>
  <c r="I25" i="49"/>
  <c r="D27" i="49"/>
  <c r="G54" i="42"/>
  <c r="I1309" i="209"/>
  <c r="O1309" i="209" s="1"/>
  <c r="F39" i="42"/>
  <c r="I1180" i="209"/>
  <c r="O1180" i="209" s="1"/>
  <c r="J1585" i="210"/>
  <c r="J1558" i="210"/>
  <c r="H19" i="213"/>
  <c r="T21" i="75" s="1"/>
  <c r="BV62" i="190"/>
  <c r="CD61" i="190"/>
  <c r="BW61" i="190"/>
  <c r="I255" i="209"/>
  <c r="R124" i="195"/>
  <c r="I131" i="120"/>
  <c r="I119" i="120"/>
  <c r="M170" i="171"/>
  <c r="M171" i="171" s="1"/>
  <c r="M172" i="171" s="1"/>
  <c r="M173" i="171" s="1"/>
  <c r="X169" i="171"/>
  <c r="Y169" i="171" s="1"/>
  <c r="Y170" i="171" s="1"/>
  <c r="T42" i="75"/>
  <c r="J22" i="213"/>
  <c r="M22" i="213" s="1"/>
  <c r="K139" i="196"/>
  <c r="X178" i="170"/>
  <c r="T110" i="75"/>
  <c r="J41" i="213"/>
  <c r="M41" i="213" s="1"/>
  <c r="C5" i="217"/>
  <c r="D143" i="195" l="1"/>
  <c r="H22" i="195"/>
  <c r="Q22" i="195" s="1"/>
  <c r="R22" i="195" s="1"/>
  <c r="D145" i="195"/>
  <c r="T22" i="75"/>
  <c r="T23" i="75" s="1"/>
  <c r="X170" i="171"/>
  <c r="H195" i="170"/>
  <c r="Y22" i="170"/>
  <c r="Y24" i="170" s="1"/>
  <c r="X24" i="170"/>
  <c r="D177" i="210"/>
  <c r="G177" i="210" s="1"/>
  <c r="I172" i="210"/>
  <c r="O172" i="210" s="1"/>
  <c r="O158" i="210"/>
  <c r="I204" i="210" s="1"/>
  <c r="D219" i="210"/>
  <c r="G219" i="210" s="1"/>
  <c r="I127" i="210"/>
  <c r="O127" i="210" s="1"/>
  <c r="O128" i="210" s="1"/>
  <c r="I174" i="210" s="1"/>
  <c r="I173" i="210" s="1"/>
  <c r="O173" i="210" s="1"/>
  <c r="D1334" i="209"/>
  <c r="G1334" i="209" s="1"/>
  <c r="F74" i="27"/>
  <c r="L3283" i="209"/>
  <c r="L3289" i="209" s="1"/>
  <c r="L3293" i="209" s="1"/>
  <c r="L3383" i="209"/>
  <c r="H81" i="42"/>
  <c r="I1453" i="209"/>
  <c r="O1453" i="209" s="1"/>
  <c r="H81" i="213"/>
  <c r="P81" i="213"/>
  <c r="J1458" i="210"/>
  <c r="J1491" i="210"/>
  <c r="D119" i="210"/>
  <c r="G119" i="210" s="1"/>
  <c r="G120" i="210" s="1"/>
  <c r="D166" i="210" s="1"/>
  <c r="CD62" i="190"/>
  <c r="CH61" i="190"/>
  <c r="D1305" i="209"/>
  <c r="G1305" i="209" s="1"/>
  <c r="F49" i="27"/>
  <c r="J1631" i="210"/>
  <c r="J1650" i="210" s="1"/>
  <c r="J1604" i="210"/>
  <c r="P29" i="213"/>
  <c r="N29" i="213"/>
  <c r="H47" i="42"/>
  <c r="I1416" i="209"/>
  <c r="O1416" i="209" s="1"/>
  <c r="G48" i="42"/>
  <c r="I1303" i="209"/>
  <c r="O1303" i="209" s="1"/>
  <c r="F18" i="200"/>
  <c r="H19" i="42"/>
  <c r="I1389" i="209"/>
  <c r="O1389" i="209" s="1"/>
  <c r="D1309" i="209"/>
  <c r="G1309" i="209" s="1"/>
  <c r="F53" i="27"/>
  <c r="D112" i="209"/>
  <c r="C17" i="196"/>
  <c r="D123" i="191"/>
  <c r="E123" i="191" s="1"/>
  <c r="F123" i="191" s="1"/>
  <c r="G123" i="191" s="1"/>
  <c r="H123" i="191" s="1"/>
  <c r="I123" i="191" s="1"/>
  <c r="J123" i="191" s="1"/>
  <c r="K123" i="191" s="1"/>
  <c r="L123" i="191" s="1"/>
  <c r="M123" i="191" s="1"/>
  <c r="N123" i="191" s="1"/>
  <c r="O123" i="191" s="1"/>
  <c r="D1333" i="209"/>
  <c r="G1333" i="209" s="1"/>
  <c r="F73" i="27"/>
  <c r="H85" i="42"/>
  <c r="I1457" i="209"/>
  <c r="O1457" i="209" s="1"/>
  <c r="Q38" i="68"/>
  <c r="F24" i="64"/>
  <c r="H19" i="195"/>
  <c r="Q19" i="195" s="1"/>
  <c r="R19" i="195" s="1"/>
  <c r="G86" i="42"/>
  <c r="I1344" i="209"/>
  <c r="O1344" i="209" s="1"/>
  <c r="G220" i="210"/>
  <c r="D266" i="210" s="1"/>
  <c r="H36" i="42"/>
  <c r="I1405" i="209"/>
  <c r="O1405" i="209" s="1"/>
  <c r="I177" i="210"/>
  <c r="O177" i="210" s="1"/>
  <c r="D1306" i="209"/>
  <c r="G1306" i="209" s="1"/>
  <c r="F50" i="27"/>
  <c r="D1292" i="209"/>
  <c r="G1292" i="209" s="1"/>
  <c r="F36" i="27"/>
  <c r="D1298" i="209"/>
  <c r="G1298" i="209" s="1"/>
  <c r="F42" i="27"/>
  <c r="D1289" i="209"/>
  <c r="G1289" i="209" s="1"/>
  <c r="F33" i="27"/>
  <c r="D1343" i="209"/>
  <c r="G1343" i="209" s="1"/>
  <c r="F83" i="27"/>
  <c r="CD60" i="190"/>
  <c r="CH46" i="190"/>
  <c r="H72" i="213"/>
  <c r="P72" i="213"/>
  <c r="P30" i="213"/>
  <c r="N30" i="213"/>
  <c r="X67" i="190"/>
  <c r="T73" i="190"/>
  <c r="G205" i="210"/>
  <c r="D251" i="210" s="1"/>
  <c r="D222" i="210"/>
  <c r="G222" i="210" s="1"/>
  <c r="F46" i="42"/>
  <c r="I1187" i="209"/>
  <c r="O1187" i="209" s="1"/>
  <c r="M1480" i="209"/>
  <c r="K29" i="196"/>
  <c r="K143" i="196" s="1"/>
  <c r="N20" i="213"/>
  <c r="P20" i="213"/>
  <c r="H40" i="42"/>
  <c r="I1409" i="209"/>
  <c r="O1409" i="209" s="1"/>
  <c r="O255" i="209"/>
  <c r="D1290" i="209"/>
  <c r="G1290" i="209" s="1"/>
  <c r="F34" i="27"/>
  <c r="D1274" i="209"/>
  <c r="G1274" i="209" s="1"/>
  <c r="F18" i="27"/>
  <c r="G77" i="42"/>
  <c r="I1335" i="209"/>
  <c r="O1335" i="209" s="1"/>
  <c r="I181" i="210"/>
  <c r="O181" i="210" s="1"/>
  <c r="O182" i="210" s="1"/>
  <c r="I228" i="210" s="1"/>
  <c r="D1275" i="209"/>
  <c r="G1275" i="209" s="1"/>
  <c r="F19" i="27"/>
  <c r="F42" i="206"/>
  <c r="H42" i="206" s="1"/>
  <c r="G29" i="206"/>
  <c r="D1310" i="209"/>
  <c r="G1310" i="209" s="1"/>
  <c r="F54" i="27"/>
  <c r="H76" i="42"/>
  <c r="I1448" i="209"/>
  <c r="O1448" i="209" s="1"/>
  <c r="I20" i="50"/>
  <c r="T75" i="190"/>
  <c r="S77" i="190"/>
  <c r="D338" i="209"/>
  <c r="C76" i="196" s="1"/>
  <c r="F76" i="196" s="1"/>
  <c r="G333" i="209"/>
  <c r="H18" i="195"/>
  <c r="Y47" i="170"/>
  <c r="H55" i="42"/>
  <c r="I1424" i="209"/>
  <c r="O1424" i="209" s="1"/>
  <c r="D433" i="209"/>
  <c r="G419" i="209"/>
  <c r="O224" i="209"/>
  <c r="I333" i="209"/>
  <c r="H22" i="155"/>
  <c r="J21" i="155"/>
  <c r="K21" i="155" s="1"/>
  <c r="G102" i="42"/>
  <c r="I1361" i="209"/>
  <c r="O1361" i="209" s="1"/>
  <c r="I19" i="108"/>
  <c r="I22" i="108" s="1"/>
  <c r="F34" i="70"/>
  <c r="D1159" i="209"/>
  <c r="G1159" i="209" s="1"/>
  <c r="E17" i="27"/>
  <c r="I103" i="210"/>
  <c r="G103" i="210"/>
  <c r="M108" i="171"/>
  <c r="X107" i="171"/>
  <c r="Y107" i="171" s="1"/>
  <c r="I222" i="210"/>
  <c r="O222" i="210" s="1"/>
  <c r="O205" i="210"/>
  <c r="I251" i="210" s="1"/>
  <c r="X106" i="170"/>
  <c r="M108" i="170"/>
  <c r="G115" i="210"/>
  <c r="D156" i="210"/>
  <c r="H41" i="42"/>
  <c r="I1410" i="209"/>
  <c r="O1410" i="209" s="1"/>
  <c r="O178" i="210"/>
  <c r="I224" i="210" s="1"/>
  <c r="H21" i="154"/>
  <c r="J20" i="154"/>
  <c r="K20" i="154" s="1"/>
  <c r="D1308" i="209"/>
  <c r="G1308" i="209" s="1"/>
  <c r="F52" i="27"/>
  <c r="D226" i="210"/>
  <c r="G226" i="210" s="1"/>
  <c r="G206" i="210"/>
  <c r="D252" i="210" s="1"/>
  <c r="D1276" i="209"/>
  <c r="G1276" i="209" s="1"/>
  <c r="F20" i="27"/>
  <c r="H32" i="42"/>
  <c r="I1401" i="209"/>
  <c r="O1401" i="209" s="1"/>
  <c r="G178" i="210"/>
  <c r="D224" i="210" s="1"/>
  <c r="CH13" i="190"/>
  <c r="CD14" i="190"/>
  <c r="J1582" i="210"/>
  <c r="J1546" i="210"/>
  <c r="I23" i="109"/>
  <c r="I32" i="109" s="1"/>
  <c r="I51" i="109"/>
  <c r="H31" i="42"/>
  <c r="I1400" i="209"/>
  <c r="O1400" i="209" s="1"/>
  <c r="D214" i="210"/>
  <c r="G214" i="210" s="1"/>
  <c r="G203" i="210"/>
  <c r="D249" i="210" s="1"/>
  <c r="M24" i="138"/>
  <c r="L24" i="138"/>
  <c r="N27" i="213"/>
  <c r="P27" i="213"/>
  <c r="I160" i="209"/>
  <c r="O57" i="209"/>
  <c r="O97" i="209" s="1"/>
  <c r="O101" i="209" s="1"/>
  <c r="O112" i="209" s="1"/>
  <c r="D1304" i="209"/>
  <c r="G1304" i="209" s="1"/>
  <c r="F48" i="27"/>
  <c r="I239" i="209"/>
  <c r="G239" i="209"/>
  <c r="D298" i="209"/>
  <c r="I298" i="209" s="1"/>
  <c r="BV63" i="190"/>
  <c r="H28" i="42"/>
  <c r="I1397" i="209"/>
  <c r="O1397" i="209" s="1"/>
  <c r="G182" i="210"/>
  <c r="D228" i="210" s="1"/>
  <c r="D227" i="210" s="1"/>
  <c r="G227" i="210" s="1"/>
  <c r="O203" i="210"/>
  <c r="I249" i="210" s="1"/>
  <c r="I214" i="210"/>
  <c r="O214" i="210" s="1"/>
  <c r="G39" i="42"/>
  <c r="I1294" i="209"/>
  <c r="O1294" i="209" s="1"/>
  <c r="H49" i="42"/>
  <c r="I1418" i="209"/>
  <c r="O1418" i="209" s="1"/>
  <c r="G101" i="42"/>
  <c r="I1360" i="209"/>
  <c r="O1360" i="209" s="1"/>
  <c r="S15" i="218"/>
  <c r="D23" i="213"/>
  <c r="H18" i="213"/>
  <c r="K112" i="209"/>
  <c r="I17" i="196"/>
  <c r="CD12" i="190"/>
  <c r="CH6" i="190"/>
  <c r="N21" i="213"/>
  <c r="P21" i="213"/>
  <c r="F132" i="195"/>
  <c r="F143" i="195" s="1"/>
  <c r="F145" i="195" s="1"/>
  <c r="Y39" i="170"/>
  <c r="Y40" i="170" s="1"/>
  <c r="Y42" i="170" s="1"/>
  <c r="X40" i="170"/>
  <c r="X42" i="170" s="1"/>
  <c r="H18" i="42"/>
  <c r="I1388" i="209"/>
  <c r="O1388" i="209" s="1"/>
  <c r="D1294" i="209"/>
  <c r="G1294" i="209" s="1"/>
  <c r="F38" i="27"/>
  <c r="H53" i="42"/>
  <c r="I1422" i="209"/>
  <c r="O1422" i="209" s="1"/>
  <c r="M20" i="138"/>
  <c r="L20" i="138"/>
  <c r="BW12" i="190"/>
  <c r="CA6" i="190"/>
  <c r="CA12" i="190" s="1"/>
  <c r="D1301" i="209"/>
  <c r="G1301" i="209" s="1"/>
  <c r="F45" i="27"/>
  <c r="H33" i="42"/>
  <c r="I1402" i="209"/>
  <c r="O1402" i="209" s="1"/>
  <c r="O170" i="210"/>
  <c r="I216" i="210" s="1"/>
  <c r="BW62" i="190"/>
  <c r="CA61" i="190"/>
  <c r="CA62" i="190" s="1"/>
  <c r="D1299" i="209"/>
  <c r="G1299" i="209" s="1"/>
  <c r="F43" i="27"/>
  <c r="M49" i="170"/>
  <c r="X48" i="170"/>
  <c r="Y48" i="170" s="1"/>
  <c r="D1337" i="209"/>
  <c r="G1337" i="209" s="1"/>
  <c r="F77" i="27"/>
  <c r="D1284" i="209"/>
  <c r="G1284" i="209" s="1"/>
  <c r="F28" i="27"/>
  <c r="L3190" i="209"/>
  <c r="J44" i="196"/>
  <c r="J158" i="196" s="1"/>
  <c r="H43" i="42"/>
  <c r="I1412" i="209"/>
  <c r="O1412" i="209" s="1"/>
  <c r="H54" i="42"/>
  <c r="I1423" i="209"/>
  <c r="O1423" i="209" s="1"/>
  <c r="H95" i="42"/>
  <c r="I1467" i="209"/>
  <c r="O1467" i="209" s="1"/>
  <c r="H27" i="42"/>
  <c r="I1396" i="209"/>
  <c r="O1396" i="209" s="1"/>
  <c r="I45" i="49"/>
  <c r="C44" i="49"/>
  <c r="CA13" i="190"/>
  <c r="CA14" i="190" s="1"/>
  <c r="BW14" i="190"/>
  <c r="N41" i="213"/>
  <c r="P41" i="213"/>
  <c r="F42" i="42"/>
  <c r="I1183" i="209"/>
  <c r="O1183" i="209" s="1"/>
  <c r="D133" i="213"/>
  <c r="D144" i="213" s="1"/>
  <c r="H83" i="42"/>
  <c r="I1455" i="209"/>
  <c r="O1455" i="209" s="1"/>
  <c r="M188" i="170"/>
  <c r="X187" i="170"/>
  <c r="D1286" i="209"/>
  <c r="G1286" i="209" s="1"/>
  <c r="F30" i="27"/>
  <c r="D1363" i="209"/>
  <c r="G1363" i="209" s="1"/>
  <c r="F98" i="27"/>
  <c r="N40" i="213"/>
  <c r="P40" i="213"/>
  <c r="G252" i="209"/>
  <c r="D360" i="209"/>
  <c r="K103" i="195"/>
  <c r="F20" i="200"/>
  <c r="G31" i="213"/>
  <c r="G33" i="213" s="1"/>
  <c r="H28" i="213"/>
  <c r="D1302" i="209"/>
  <c r="G1302" i="209" s="1"/>
  <c r="F46" i="27"/>
  <c r="H80" i="42"/>
  <c r="I1452" i="209"/>
  <c r="O1452" i="209" s="1"/>
  <c r="M38" i="69"/>
  <c r="M44" i="69" s="1"/>
  <c r="M46" i="69" s="1"/>
  <c r="E26" i="69"/>
  <c r="I26" i="69" s="1"/>
  <c r="F146" i="70"/>
  <c r="F157" i="70" s="1"/>
  <c r="H72" i="120" s="1"/>
  <c r="F37" i="42"/>
  <c r="I1178" i="209"/>
  <c r="O1178" i="209" s="1"/>
  <c r="H75" i="42"/>
  <c r="I1447" i="209"/>
  <c r="O1447" i="209" s="1"/>
  <c r="G84" i="42"/>
  <c r="I1342" i="209"/>
  <c r="O1342" i="209" s="1"/>
  <c r="D1277" i="209"/>
  <c r="G1277" i="209" s="1"/>
  <c r="F21" i="27"/>
  <c r="L22" i="138"/>
  <c r="M22" i="138"/>
  <c r="I118" i="210"/>
  <c r="O118" i="210" s="1"/>
  <c r="O110" i="210"/>
  <c r="I115" i="210"/>
  <c r="H17" i="42"/>
  <c r="I1387" i="209"/>
  <c r="O1387" i="209" s="1"/>
  <c r="D1288" i="209"/>
  <c r="G1288" i="209" s="1"/>
  <c r="F32" i="27"/>
  <c r="D1247" i="209"/>
  <c r="G1247" i="209" s="1"/>
  <c r="E96" i="27"/>
  <c r="I25" i="108"/>
  <c r="E21" i="69"/>
  <c r="D16" i="154"/>
  <c r="F16" i="154" s="1"/>
  <c r="G16" i="154" s="1"/>
  <c r="K16" i="154" s="1"/>
  <c r="S79" i="190"/>
  <c r="O80" i="190"/>
  <c r="O82" i="190" s="1"/>
  <c r="O85" i="190" s="1"/>
  <c r="D1293" i="209"/>
  <c r="G1293" i="209" s="1"/>
  <c r="F37" i="27"/>
  <c r="H38" i="42"/>
  <c r="I1407" i="209"/>
  <c r="O1407" i="209" s="1"/>
  <c r="Y106" i="171"/>
  <c r="D1339" i="209"/>
  <c r="G1339" i="209" s="1"/>
  <c r="F79" i="27"/>
  <c r="D169" i="210"/>
  <c r="G169" i="210" s="1"/>
  <c r="G170" i="210" s="1"/>
  <c r="D216" i="210" s="1"/>
  <c r="D1336" i="209"/>
  <c r="G1336" i="209" s="1"/>
  <c r="F76" i="27"/>
  <c r="D1283" i="209"/>
  <c r="G1283" i="209" s="1"/>
  <c r="F27" i="27"/>
  <c r="H44" i="42"/>
  <c r="I1413" i="209"/>
  <c r="O1413" i="209" s="1"/>
  <c r="D1307" i="209"/>
  <c r="G1307" i="209" s="1"/>
  <c r="F51" i="27"/>
  <c r="M174" i="171"/>
  <c r="X173" i="171"/>
  <c r="H20" i="42"/>
  <c r="I1390" i="209"/>
  <c r="O1390" i="209" s="1"/>
  <c r="H21" i="42"/>
  <c r="I1391" i="209"/>
  <c r="O1391" i="209" s="1"/>
  <c r="CI15" i="190"/>
  <c r="CH45" i="190"/>
  <c r="N22" i="213"/>
  <c r="P22" i="213"/>
  <c r="D29" i="49"/>
  <c r="I27" i="49"/>
  <c r="F103" i="42"/>
  <c r="I1248" i="209"/>
  <c r="O1248" i="209" s="1"/>
  <c r="H50" i="42"/>
  <c r="I1419" i="209"/>
  <c r="O1419" i="209" s="1"/>
  <c r="H104" i="42"/>
  <c r="I1477" i="209"/>
  <c r="O1477" i="209" s="1"/>
  <c r="H79" i="42"/>
  <c r="I1451" i="209"/>
  <c r="O1451" i="209" s="1"/>
  <c r="I419" i="209"/>
  <c r="O319" i="209"/>
  <c r="H20" i="195"/>
  <c r="Q20" i="195" s="1"/>
  <c r="R20" i="195" s="1"/>
  <c r="D1303" i="209"/>
  <c r="G1303" i="209" s="1"/>
  <c r="F47" i="27"/>
  <c r="I323" i="209"/>
  <c r="O322" i="209"/>
  <c r="G114" i="120"/>
  <c r="G77" i="120"/>
  <c r="G115" i="120"/>
  <c r="H89" i="213"/>
  <c r="P89" i="213"/>
  <c r="X184" i="170"/>
  <c r="N42" i="213"/>
  <c r="P42" i="213"/>
  <c r="N38" i="213"/>
  <c r="P38" i="213"/>
  <c r="D1332" i="209"/>
  <c r="G1332" i="209" s="1"/>
  <c r="F72" i="27"/>
  <c r="D1362" i="209"/>
  <c r="G1362" i="209" s="1"/>
  <c r="F97" i="27"/>
  <c r="D1297" i="209"/>
  <c r="G1297" i="209" s="1"/>
  <c r="F41" i="27"/>
  <c r="G74" i="42"/>
  <c r="I1332" i="209"/>
  <c r="O1332" i="209" s="1"/>
  <c r="D1340" i="209"/>
  <c r="G1340" i="209" s="1"/>
  <c r="F80" i="27"/>
  <c r="D1342" i="209"/>
  <c r="G1342" i="209" s="1"/>
  <c r="F82" i="27"/>
  <c r="D369" i="209"/>
  <c r="J1632" i="210"/>
  <c r="J1654" i="210" s="1"/>
  <c r="J1608" i="210"/>
  <c r="T88" i="75"/>
  <c r="T89" i="75" s="1"/>
  <c r="H37" i="213"/>
  <c r="H44" i="213" s="1"/>
  <c r="D44" i="213"/>
  <c r="D114" i="191"/>
  <c r="E114" i="191" s="1"/>
  <c r="F114" i="191" s="1"/>
  <c r="G114" i="191" s="1"/>
  <c r="H114" i="191" s="1"/>
  <c r="I114" i="191" s="1"/>
  <c r="J114" i="191" s="1"/>
  <c r="K114" i="191" s="1"/>
  <c r="L114" i="191" s="1"/>
  <c r="M114" i="191" s="1"/>
  <c r="N114" i="191" s="1"/>
  <c r="O114" i="191" s="1"/>
  <c r="N39" i="213"/>
  <c r="P39" i="213"/>
  <c r="D1296" i="209"/>
  <c r="G1296" i="209" s="1"/>
  <c r="F40" i="27"/>
  <c r="D437" i="209"/>
  <c r="G436" i="209"/>
  <c r="G52" i="42"/>
  <c r="I1307" i="209"/>
  <c r="O1307" i="209" s="1"/>
  <c r="D1344" i="209"/>
  <c r="G1344" i="209" s="1"/>
  <c r="F84" i="27"/>
  <c r="F22" i="200"/>
  <c r="D1295" i="209"/>
  <c r="G1295" i="209" s="1"/>
  <c r="F39" i="27"/>
  <c r="I252" i="209"/>
  <c r="O246" i="209"/>
  <c r="J1630" i="210"/>
  <c r="J1646" i="210" s="1"/>
  <c r="J1600" i="210"/>
  <c r="D1285" i="209"/>
  <c r="G1285" i="209" s="1"/>
  <c r="F29" i="27"/>
  <c r="D1338" i="209"/>
  <c r="G1338" i="209" s="1"/>
  <c r="F78" i="27"/>
  <c r="H78" i="42"/>
  <c r="I1450" i="209"/>
  <c r="O1450" i="209" s="1"/>
  <c r="H91" i="195"/>
  <c r="H132" i="195" s="1"/>
  <c r="H143" i="195" s="1"/>
  <c r="D24" i="155"/>
  <c r="F24" i="155" s="1"/>
  <c r="G24" i="155" s="1"/>
  <c r="D1246" i="209"/>
  <c r="G1246" i="209" s="1"/>
  <c r="E95" i="27"/>
  <c r="U17" i="219"/>
  <c r="F66" i="213"/>
  <c r="D160" i="209"/>
  <c r="G57" i="209"/>
  <c r="G97" i="209" s="1"/>
  <c r="G101" i="209" s="1"/>
  <c r="G112" i="209" s="1"/>
  <c r="I226" i="210"/>
  <c r="O226" i="210" s="1"/>
  <c r="O206" i="210"/>
  <c r="I252" i="210" s="1"/>
  <c r="M31" i="171"/>
  <c r="X30" i="171"/>
  <c r="F21" i="222"/>
  <c r="H21" i="195"/>
  <c r="Q21" i="195" s="1"/>
  <c r="R21" i="195" s="1"/>
  <c r="D1341" i="209"/>
  <c r="G1341" i="209" s="1"/>
  <c r="F81" i="27"/>
  <c r="H29" i="42"/>
  <c r="I1398" i="209"/>
  <c r="O1398" i="209" s="1"/>
  <c r="M26" i="213"/>
  <c r="D264" i="210"/>
  <c r="G264" i="210" s="1"/>
  <c r="G250" i="210"/>
  <c r="D296" i="210" s="1"/>
  <c r="H30" i="42"/>
  <c r="I1399" i="209"/>
  <c r="O1399" i="209" s="1"/>
  <c r="H51" i="42"/>
  <c r="I1420" i="209"/>
  <c r="O1420" i="209" s="1"/>
  <c r="Y184" i="170"/>
  <c r="H82" i="42"/>
  <c r="I1454" i="209"/>
  <c r="O1454" i="209" s="1"/>
  <c r="D1282" i="209"/>
  <c r="G1282" i="209" s="1"/>
  <c r="F26" i="27"/>
  <c r="D1287" i="209"/>
  <c r="G1287" i="209" s="1"/>
  <c r="F31" i="27"/>
  <c r="Q105" i="191"/>
  <c r="D1335" i="209"/>
  <c r="G1335" i="209" s="1"/>
  <c r="F75" i="27"/>
  <c r="K61" i="195"/>
  <c r="K119" i="195" s="1"/>
  <c r="L12" i="195"/>
  <c r="D1291" i="209"/>
  <c r="G1291" i="209" s="1"/>
  <c r="F35" i="27"/>
  <c r="H35" i="42"/>
  <c r="I1404" i="209"/>
  <c r="O1404" i="209" s="1"/>
  <c r="H34" i="42"/>
  <c r="I1403" i="209"/>
  <c r="O1403" i="209" s="1"/>
  <c r="C24" i="49"/>
  <c r="I26" i="49"/>
  <c r="CA46" i="190"/>
  <c r="CA60" i="190" s="1"/>
  <c r="BW60" i="190"/>
  <c r="E25" i="69"/>
  <c r="I26" i="108"/>
  <c r="M26" i="138" l="1"/>
  <c r="L26" i="138"/>
  <c r="J19" i="213"/>
  <c r="M19" i="213" s="1"/>
  <c r="N19" i="213" s="1"/>
  <c r="I227" i="210"/>
  <c r="O227" i="210" s="1"/>
  <c r="O228" i="210" s="1"/>
  <c r="I274" i="210" s="1"/>
  <c r="D223" i="210"/>
  <c r="G223" i="210" s="1"/>
  <c r="D215" i="210"/>
  <c r="G215" i="210" s="1"/>
  <c r="D265" i="210"/>
  <c r="G265" i="210" s="1"/>
  <c r="I218" i="210"/>
  <c r="O218" i="210" s="1"/>
  <c r="O204" i="210"/>
  <c r="I250" i="210" s="1"/>
  <c r="O174" i="210"/>
  <c r="I220" i="210" s="1"/>
  <c r="I219" i="210" s="1"/>
  <c r="O219" i="210" s="1"/>
  <c r="Q123" i="191"/>
  <c r="CA63" i="190"/>
  <c r="CD63" i="190"/>
  <c r="D1448" i="209"/>
  <c r="G1448" i="209" s="1"/>
  <c r="G74" i="27"/>
  <c r="I35" i="42"/>
  <c r="I1518" i="209"/>
  <c r="O1518" i="209" s="1"/>
  <c r="D310" i="210"/>
  <c r="G310" i="210" s="1"/>
  <c r="G296" i="210"/>
  <c r="D342" i="210" s="1"/>
  <c r="G160" i="209"/>
  <c r="D171" i="209"/>
  <c r="D211" i="209" s="1"/>
  <c r="D215" i="209" s="1"/>
  <c r="D1454" i="209"/>
  <c r="G1454" i="209" s="1"/>
  <c r="G80" i="27"/>
  <c r="M175" i="171"/>
  <c r="X174" i="171"/>
  <c r="Y174" i="171" s="1"/>
  <c r="I80" i="42"/>
  <c r="I1566" i="209"/>
  <c r="O1566" i="209" s="1"/>
  <c r="H101" i="42"/>
  <c r="I1474" i="209"/>
  <c r="O1474" i="209" s="1"/>
  <c r="J1628" i="210"/>
  <c r="J1638" i="210" s="1"/>
  <c r="J1592" i="210"/>
  <c r="D1423" i="209"/>
  <c r="G1423" i="209" s="1"/>
  <c r="G53" i="27"/>
  <c r="I78" i="42"/>
  <c r="I1564" i="209"/>
  <c r="O1564" i="209" s="1"/>
  <c r="H74" i="42"/>
  <c r="I1446" i="209"/>
  <c r="O1446" i="209" s="1"/>
  <c r="I21" i="42"/>
  <c r="I1505" i="209"/>
  <c r="O1505" i="209" s="1"/>
  <c r="D1361" i="209"/>
  <c r="G1361" i="209" s="1"/>
  <c r="F96" i="27"/>
  <c r="G37" i="42"/>
  <c r="I1292" i="209"/>
  <c r="O1292" i="209" s="1"/>
  <c r="D1400" i="209"/>
  <c r="G1400" i="209" s="1"/>
  <c r="G30" i="27"/>
  <c r="G42" i="42"/>
  <c r="I1297" i="209"/>
  <c r="O1297" i="209" s="1"/>
  <c r="BW63" i="190"/>
  <c r="I131" i="196"/>
  <c r="M131" i="196" s="1"/>
  <c r="M17" i="196"/>
  <c r="I28" i="42"/>
  <c r="I1511" i="209"/>
  <c r="O1511" i="209" s="1"/>
  <c r="G249" i="210"/>
  <c r="D295" i="210" s="1"/>
  <c r="D260" i="210"/>
  <c r="G260" i="210" s="1"/>
  <c r="D272" i="210"/>
  <c r="G272" i="210" s="1"/>
  <c r="G252" i="210"/>
  <c r="D298" i="210" s="1"/>
  <c r="D447" i="209"/>
  <c r="G338" i="209"/>
  <c r="I369" i="209"/>
  <c r="G46" i="42"/>
  <c r="I1301" i="209"/>
  <c r="O1301" i="209" s="1"/>
  <c r="H86" i="42"/>
  <c r="I1458" i="209"/>
  <c r="O1458" i="209" s="1"/>
  <c r="I19" i="42"/>
  <c r="I1503" i="209"/>
  <c r="O1503" i="209" s="1"/>
  <c r="I43" i="42"/>
  <c r="I1526" i="209"/>
  <c r="O1526" i="209" s="1"/>
  <c r="I53" i="42"/>
  <c r="I1536" i="209"/>
  <c r="O1536" i="209" s="1"/>
  <c r="D1390" i="209"/>
  <c r="G1390" i="209" s="1"/>
  <c r="G20" i="27"/>
  <c r="H23" i="195"/>
  <c r="H33" i="195" s="1"/>
  <c r="H46" i="195" s="1"/>
  <c r="H145" i="195" s="1"/>
  <c r="Q18" i="195"/>
  <c r="D1404" i="209"/>
  <c r="G1404" i="209" s="1"/>
  <c r="G34" i="27"/>
  <c r="D1406" i="209"/>
  <c r="G1406" i="209" s="1"/>
  <c r="G36" i="27"/>
  <c r="I81" i="42"/>
  <c r="I1567" i="209"/>
  <c r="O1567" i="209" s="1"/>
  <c r="G266" i="210"/>
  <c r="D312" i="210" s="1"/>
  <c r="H52" i="42"/>
  <c r="I1421" i="209"/>
  <c r="O1421" i="209" s="1"/>
  <c r="I28" i="49"/>
  <c r="C26" i="49"/>
  <c r="N26" i="213"/>
  <c r="P26" i="213"/>
  <c r="Q114" i="191"/>
  <c r="D1446" i="209"/>
  <c r="G1446" i="209" s="1"/>
  <c r="G72" i="27"/>
  <c r="D31" i="49"/>
  <c r="I29" i="49"/>
  <c r="D1421" i="209"/>
  <c r="G1421" i="209" s="1"/>
  <c r="G51" i="27"/>
  <c r="D1407" i="209"/>
  <c r="G1407" i="209" s="1"/>
  <c r="G37" i="27"/>
  <c r="D366" i="209"/>
  <c r="G360" i="209"/>
  <c r="Y187" i="170"/>
  <c r="I49" i="42"/>
  <c r="I1532" i="209"/>
  <c r="O1532" i="209" s="1"/>
  <c r="D1418" i="209"/>
  <c r="G1418" i="209" s="1"/>
  <c r="G48" i="27"/>
  <c r="G216" i="210"/>
  <c r="D262" i="210" s="1"/>
  <c r="D261" i="210" s="1"/>
  <c r="G261" i="210" s="1"/>
  <c r="CH14" i="190"/>
  <c r="CI13" i="190"/>
  <c r="G228" i="210"/>
  <c r="D274" i="210" s="1"/>
  <c r="D273" i="210" s="1"/>
  <c r="G273" i="210" s="1"/>
  <c r="X108" i="171"/>
  <c r="M109" i="171"/>
  <c r="M110" i="171" s="1"/>
  <c r="M111" i="171" s="1"/>
  <c r="M112" i="171" s="1"/>
  <c r="D533" i="209"/>
  <c r="G433" i="209"/>
  <c r="H77" i="42"/>
  <c r="I1449" i="209"/>
  <c r="O1449" i="209" s="1"/>
  <c r="D1457" i="209"/>
  <c r="G1457" i="209" s="1"/>
  <c r="G83" i="27"/>
  <c r="D1447" i="209"/>
  <c r="G1447" i="209" s="1"/>
  <c r="G73" i="27"/>
  <c r="J1537" i="210"/>
  <c r="J1504" i="210"/>
  <c r="L3397" i="209"/>
  <c r="L3403" i="209" s="1"/>
  <c r="L3407" i="209" s="1"/>
  <c r="L3497" i="209"/>
  <c r="T90" i="75"/>
  <c r="J37" i="213"/>
  <c r="I41" i="42"/>
  <c r="I1524" i="209"/>
  <c r="O1524" i="209" s="1"/>
  <c r="O333" i="209"/>
  <c r="I338" i="209"/>
  <c r="H76" i="196" s="1"/>
  <c r="M76" i="196" s="1"/>
  <c r="I76" i="42"/>
  <c r="I1562" i="209"/>
  <c r="O1562" i="209" s="1"/>
  <c r="I360" i="209"/>
  <c r="O252" i="209"/>
  <c r="D1405" i="209"/>
  <c r="G1405" i="209" s="1"/>
  <c r="G35" i="27"/>
  <c r="Y30" i="171"/>
  <c r="F133" i="213"/>
  <c r="G66" i="213"/>
  <c r="D550" i="209"/>
  <c r="G437" i="209"/>
  <c r="D1417" i="209"/>
  <c r="G1417" i="209" s="1"/>
  <c r="G47" i="27"/>
  <c r="I104" i="42"/>
  <c r="I1591" i="209"/>
  <c r="O1591" i="209" s="1"/>
  <c r="I44" i="42"/>
  <c r="I1527" i="209"/>
  <c r="O1527" i="209" s="1"/>
  <c r="D1453" i="209"/>
  <c r="G1453" i="209" s="1"/>
  <c r="G79" i="27"/>
  <c r="D1402" i="209"/>
  <c r="G1402" i="209" s="1"/>
  <c r="G32" i="27"/>
  <c r="D1416" i="209"/>
  <c r="G1416" i="209" s="1"/>
  <c r="G46" i="27"/>
  <c r="M189" i="170"/>
  <c r="X188" i="170"/>
  <c r="Y188" i="170" s="1"/>
  <c r="C45" i="49"/>
  <c r="I46" i="49"/>
  <c r="I54" i="42"/>
  <c r="I1537" i="209"/>
  <c r="O1537" i="209" s="1"/>
  <c r="I215" i="210"/>
  <c r="O215" i="210" s="1"/>
  <c r="O216" i="210" s="1"/>
  <c r="I262" i="210" s="1"/>
  <c r="D1408" i="209"/>
  <c r="G1408" i="209" s="1"/>
  <c r="G38" i="27"/>
  <c r="I31" i="42"/>
  <c r="I1514" i="209"/>
  <c r="O1514" i="209" s="1"/>
  <c r="D164" i="210"/>
  <c r="G164" i="210" s="1"/>
  <c r="G156" i="210"/>
  <c r="D161" i="210"/>
  <c r="D149" i="210"/>
  <c r="O103" i="210"/>
  <c r="D1424" i="209"/>
  <c r="G1424" i="209" s="1"/>
  <c r="G54" i="27"/>
  <c r="I40" i="42"/>
  <c r="I1523" i="209"/>
  <c r="O1523" i="209" s="1"/>
  <c r="G224" i="210"/>
  <c r="D270" i="210" s="1"/>
  <c r="K102" i="195"/>
  <c r="L3304" i="209"/>
  <c r="J45" i="196"/>
  <c r="J159" i="196" s="1"/>
  <c r="D1396" i="209"/>
  <c r="G1396" i="209" s="1"/>
  <c r="G26" i="27"/>
  <c r="I30" i="42"/>
  <c r="I1513" i="209"/>
  <c r="O1513" i="209" s="1"/>
  <c r="D1450" i="209"/>
  <c r="G1450" i="209" s="1"/>
  <c r="G76" i="27"/>
  <c r="M12" i="195"/>
  <c r="L61" i="195"/>
  <c r="L119" i="195" s="1"/>
  <c r="D1401" i="209"/>
  <c r="G1401" i="209" s="1"/>
  <c r="G31" i="27"/>
  <c r="I29" i="42"/>
  <c r="I1512" i="209"/>
  <c r="O1512" i="209" s="1"/>
  <c r="D1411" i="209"/>
  <c r="G1411" i="209" s="1"/>
  <c r="G41" i="27"/>
  <c r="G116" i="120"/>
  <c r="G80" i="120"/>
  <c r="G82" i="120" s="1"/>
  <c r="G84" i="120" s="1"/>
  <c r="G117" i="120"/>
  <c r="I17" i="42"/>
  <c r="I1501" i="209"/>
  <c r="O1501" i="209" s="1"/>
  <c r="M50" i="170"/>
  <c r="X49" i="170"/>
  <c r="Y49" i="170" s="1"/>
  <c r="I33" i="42"/>
  <c r="I1516" i="209"/>
  <c r="O1516" i="209" s="1"/>
  <c r="I18" i="42"/>
  <c r="I1502" i="209"/>
  <c r="O1502" i="209" s="1"/>
  <c r="Q91" i="195"/>
  <c r="R91" i="195" s="1"/>
  <c r="T15" i="75"/>
  <c r="T16" i="75" s="1"/>
  <c r="H23" i="213"/>
  <c r="H39" i="42"/>
  <c r="I1408" i="209"/>
  <c r="O1408" i="209" s="1"/>
  <c r="O160" i="209"/>
  <c r="I171" i="209"/>
  <c r="I211" i="209" s="1"/>
  <c r="I215" i="209" s="1"/>
  <c r="D1422" i="209"/>
  <c r="G1422" i="209" s="1"/>
  <c r="G52" i="27"/>
  <c r="H102" i="42"/>
  <c r="I1475" i="209"/>
  <c r="O1475" i="209" s="1"/>
  <c r="I55" i="42"/>
  <c r="I1538" i="209"/>
  <c r="O1538" i="209" s="1"/>
  <c r="T77" i="190"/>
  <c r="X75" i="190"/>
  <c r="H29" i="206"/>
  <c r="G30" i="206"/>
  <c r="D268" i="210"/>
  <c r="G268" i="210" s="1"/>
  <c r="G251" i="210"/>
  <c r="D297" i="210" s="1"/>
  <c r="D1403" i="209"/>
  <c r="G1403" i="209" s="1"/>
  <c r="G33" i="27"/>
  <c r="D1420" i="209"/>
  <c r="G1420" i="209" s="1"/>
  <c r="G50" i="27"/>
  <c r="P19" i="213"/>
  <c r="I34" i="42"/>
  <c r="I1517" i="209"/>
  <c r="O1517" i="209" s="1"/>
  <c r="D1458" i="209"/>
  <c r="G1458" i="209" s="1"/>
  <c r="G84" i="27"/>
  <c r="CM15" i="190"/>
  <c r="CI45" i="190"/>
  <c r="I51" i="42"/>
  <c r="I1534" i="209"/>
  <c r="O1534" i="209" s="1"/>
  <c r="M32" i="171"/>
  <c r="M33" i="171" s="1"/>
  <c r="M34" i="171" s="1"/>
  <c r="M35" i="171" s="1"/>
  <c r="X31" i="171"/>
  <c r="Y31" i="171" s="1"/>
  <c r="D1452" i="209"/>
  <c r="G1452" i="209" s="1"/>
  <c r="G78" i="27"/>
  <c r="D1409" i="209"/>
  <c r="G1409" i="209" s="1"/>
  <c r="G39" i="27"/>
  <c r="G369" i="209"/>
  <c r="S80" i="190"/>
  <c r="S82" i="190" s="1"/>
  <c r="S85" i="190" s="1"/>
  <c r="T79" i="190"/>
  <c r="D1391" i="209"/>
  <c r="G1391" i="209" s="1"/>
  <c r="G21" i="27"/>
  <c r="I83" i="42"/>
  <c r="I1569" i="209"/>
  <c r="O1569" i="209" s="1"/>
  <c r="I27" i="42"/>
  <c r="I1510" i="209"/>
  <c r="O1510" i="209" s="1"/>
  <c r="I272" i="210"/>
  <c r="O272" i="210" s="1"/>
  <c r="O252" i="210"/>
  <c r="I298" i="210" s="1"/>
  <c r="I50" i="42"/>
  <c r="I1533" i="209"/>
  <c r="O1533" i="209" s="1"/>
  <c r="I20" i="42"/>
  <c r="I1504" i="209"/>
  <c r="O1504" i="209" s="1"/>
  <c r="H84" i="42"/>
  <c r="I1456" i="209"/>
  <c r="O1456" i="209" s="1"/>
  <c r="T57" i="75"/>
  <c r="T58" i="75" s="1"/>
  <c r="H31" i="213"/>
  <c r="D1398" i="209"/>
  <c r="G1398" i="209" s="1"/>
  <c r="G28" i="27"/>
  <c r="D33" i="213"/>
  <c r="D46" i="213" s="1"/>
  <c r="D146" i="213" s="1"/>
  <c r="I32" i="42"/>
  <c r="I1515" i="209"/>
  <c r="O1515" i="209" s="1"/>
  <c r="M109" i="170"/>
  <c r="M110" i="170" s="1"/>
  <c r="M111" i="170" s="1"/>
  <c r="M112" i="170" s="1"/>
  <c r="X108" i="170"/>
  <c r="Y108" i="170" s="1"/>
  <c r="D1388" i="209"/>
  <c r="G1388" i="209" s="1"/>
  <c r="G18" i="27"/>
  <c r="F17" i="196"/>
  <c r="C131" i="196"/>
  <c r="F131" i="196" s="1"/>
  <c r="H48" i="42"/>
  <c r="I1417" i="209"/>
  <c r="O1417" i="209" s="1"/>
  <c r="D1360" i="209"/>
  <c r="G1360" i="209" s="1"/>
  <c r="F95" i="27"/>
  <c r="D1399" i="209"/>
  <c r="G1399" i="209" s="1"/>
  <c r="G29" i="27"/>
  <c r="J21" i="154"/>
  <c r="K21" i="154" s="1"/>
  <c r="H22" i="154"/>
  <c r="Y106" i="170"/>
  <c r="D1273" i="209"/>
  <c r="G1273" i="209" s="1"/>
  <c r="F17" i="27"/>
  <c r="I119" i="210"/>
  <c r="O119" i="210" s="1"/>
  <c r="O120" i="210" s="1"/>
  <c r="I166" i="210" s="1"/>
  <c r="X73" i="190"/>
  <c r="Y67" i="190"/>
  <c r="D1412" i="209"/>
  <c r="G1412" i="209" s="1"/>
  <c r="G42" i="27"/>
  <c r="I36" i="42"/>
  <c r="I1519" i="209"/>
  <c r="O1519" i="209" s="1"/>
  <c r="D1419" i="209"/>
  <c r="G1419" i="209" s="1"/>
  <c r="G49" i="27"/>
  <c r="D1410" i="209"/>
  <c r="G1410" i="209" s="1"/>
  <c r="G40" i="27"/>
  <c r="D1456" i="209"/>
  <c r="G1456" i="209" s="1"/>
  <c r="G82" i="27"/>
  <c r="D1476" i="209"/>
  <c r="G1476" i="209" s="1"/>
  <c r="G97" i="27"/>
  <c r="I436" i="209"/>
  <c r="O323" i="209"/>
  <c r="O419" i="209"/>
  <c r="I433" i="209"/>
  <c r="D1397" i="209"/>
  <c r="G1397" i="209" s="1"/>
  <c r="G27" i="27"/>
  <c r="I38" i="42"/>
  <c r="I1521" i="209"/>
  <c r="O1521" i="209" s="1"/>
  <c r="I21" i="69"/>
  <c r="I22" i="68" s="1"/>
  <c r="E22" i="68"/>
  <c r="G46" i="213"/>
  <c r="G18" i="69"/>
  <c r="I95" i="42"/>
  <c r="I1581" i="209"/>
  <c r="O1581" i="209" s="1"/>
  <c r="D1413" i="209"/>
  <c r="G1413" i="209" s="1"/>
  <c r="G43" i="27"/>
  <c r="I25" i="69"/>
  <c r="E23" i="68"/>
  <c r="D1449" i="209"/>
  <c r="G1449" i="209" s="1"/>
  <c r="G75" i="27"/>
  <c r="I82" i="42"/>
  <c r="I1568" i="209"/>
  <c r="O1568" i="209" s="1"/>
  <c r="D1455" i="209"/>
  <c r="G1455" i="209" s="1"/>
  <c r="G81" i="27"/>
  <c r="I79" i="42"/>
  <c r="I1565" i="209"/>
  <c r="O1565" i="209" s="1"/>
  <c r="G103" i="42"/>
  <c r="I1362" i="209"/>
  <c r="O1362" i="209" s="1"/>
  <c r="Y173" i="171"/>
  <c r="I30" i="108"/>
  <c r="I32" i="108" s="1"/>
  <c r="I40" i="108" s="1"/>
  <c r="I43" i="108" s="1"/>
  <c r="I156" i="210"/>
  <c r="O115" i="210"/>
  <c r="I75" i="42"/>
  <c r="I1561" i="209"/>
  <c r="O1561" i="209" s="1"/>
  <c r="D1477" i="209"/>
  <c r="G1477" i="209" s="1"/>
  <c r="G98" i="27"/>
  <c r="D1451" i="209"/>
  <c r="G1451" i="209" s="1"/>
  <c r="G77" i="27"/>
  <c r="D1415" i="209"/>
  <c r="G1415" i="209" s="1"/>
  <c r="G45" i="27"/>
  <c r="CI6" i="190"/>
  <c r="CH12" i="190"/>
  <c r="S14" i="218"/>
  <c r="S17" i="218"/>
  <c r="I260" i="210"/>
  <c r="O260" i="210" s="1"/>
  <c r="O249" i="210"/>
  <c r="I295" i="210" s="1"/>
  <c r="O239" i="209"/>
  <c r="G298" i="209"/>
  <c r="I223" i="210"/>
  <c r="O223" i="210" s="1"/>
  <c r="O224" i="210" s="1"/>
  <c r="I270" i="210" s="1"/>
  <c r="I268" i="210"/>
  <c r="O268" i="210" s="1"/>
  <c r="O251" i="210"/>
  <c r="I297" i="210" s="1"/>
  <c r="H70" i="120"/>
  <c r="E18" i="69"/>
  <c r="I22" i="155"/>
  <c r="J22" i="155" s="1"/>
  <c r="K22" i="155" s="1"/>
  <c r="H23" i="155"/>
  <c r="L20" i="50"/>
  <c r="D1389" i="209"/>
  <c r="G1389" i="209" s="1"/>
  <c r="G19" i="27"/>
  <c r="CI46" i="190"/>
  <c r="CH60" i="190"/>
  <c r="I85" i="42"/>
  <c r="I1571" i="209"/>
  <c r="O1571" i="209" s="1"/>
  <c r="I47" i="42"/>
  <c r="I1530" i="209"/>
  <c r="O1530" i="209" s="1"/>
  <c r="CI61" i="190"/>
  <c r="CH62" i="190"/>
  <c r="H33" i="213" l="1"/>
  <c r="H46" i="213" s="1"/>
  <c r="Y32" i="171"/>
  <c r="E34" i="45" s="1"/>
  <c r="X32" i="171"/>
  <c r="Y109" i="170"/>
  <c r="X109" i="170"/>
  <c r="I269" i="210"/>
  <c r="O269" i="210" s="1"/>
  <c r="O250" i="210"/>
  <c r="I296" i="210" s="1"/>
  <c r="I264" i="210"/>
  <c r="O264" i="210" s="1"/>
  <c r="O220" i="210"/>
  <c r="I266" i="210" s="1"/>
  <c r="I265" i="210" s="1"/>
  <c r="O265" i="210" s="1"/>
  <c r="I273" i="210"/>
  <c r="O273" i="210" s="1"/>
  <c r="D1562" i="209"/>
  <c r="G1562" i="209" s="1"/>
  <c r="H74" i="27"/>
  <c r="J33" i="42"/>
  <c r="I1630" i="209"/>
  <c r="I77" i="42"/>
  <c r="I1563" i="209"/>
  <c r="O1563" i="209" s="1"/>
  <c r="CI14" i="190"/>
  <c r="CM13" i="190"/>
  <c r="D1521" i="209"/>
  <c r="G1521" i="209" s="1"/>
  <c r="H37" i="27"/>
  <c r="C28" i="49"/>
  <c r="I30" i="49"/>
  <c r="J43" i="42"/>
  <c r="I1640" i="209"/>
  <c r="H46" i="42"/>
  <c r="I1415" i="209"/>
  <c r="O1415" i="209" s="1"/>
  <c r="J35" i="42"/>
  <c r="I1632" i="209"/>
  <c r="O1632" i="209" s="1"/>
  <c r="H103" i="42"/>
  <c r="I1476" i="209"/>
  <c r="O1476" i="209" s="1"/>
  <c r="D1571" i="209"/>
  <c r="G1571" i="209" s="1"/>
  <c r="H83" i="27"/>
  <c r="J21" i="42"/>
  <c r="I1619" i="209"/>
  <c r="O1619" i="209" s="1"/>
  <c r="CM46" i="190"/>
  <c r="CI60" i="190"/>
  <c r="D1570" i="209"/>
  <c r="G1570" i="209" s="1"/>
  <c r="H82" i="27"/>
  <c r="D1505" i="209"/>
  <c r="G1505" i="209" s="1"/>
  <c r="H21" i="27"/>
  <c r="D1567" i="209"/>
  <c r="G1567" i="209" s="1"/>
  <c r="H79" i="27"/>
  <c r="J23" i="155"/>
  <c r="K23" i="155" s="1"/>
  <c r="H24" i="155"/>
  <c r="D1529" i="209"/>
  <c r="G1529" i="209" s="1"/>
  <c r="H45" i="27"/>
  <c r="J79" i="42"/>
  <c r="I1679" i="209"/>
  <c r="Y73" i="190"/>
  <c r="AC67" i="190"/>
  <c r="I22" i="154"/>
  <c r="J22" i="154" s="1"/>
  <c r="K22" i="154" s="1"/>
  <c r="H23" i="154"/>
  <c r="I48" i="42"/>
  <c r="I1531" i="209"/>
  <c r="O1531" i="209" s="1"/>
  <c r="M113" i="170"/>
  <c r="X112" i="170"/>
  <c r="D1512" i="209"/>
  <c r="G1512" i="209" s="1"/>
  <c r="H28" i="27"/>
  <c r="J20" i="42"/>
  <c r="I1618" i="209"/>
  <c r="O1618" i="209" s="1"/>
  <c r="T80" i="190"/>
  <c r="T82" i="190" s="1"/>
  <c r="T85" i="190" s="1"/>
  <c r="X79" i="190"/>
  <c r="T17" i="75"/>
  <c r="J18" i="213"/>
  <c r="M61" i="195"/>
  <c r="M119" i="195" s="1"/>
  <c r="N12" i="195"/>
  <c r="I149" i="210"/>
  <c r="G149" i="210"/>
  <c r="D1522" i="209"/>
  <c r="G1522" i="209" s="1"/>
  <c r="H38" i="27"/>
  <c r="M190" i="170"/>
  <c r="M191" i="170" s="1"/>
  <c r="M192" i="170" s="1"/>
  <c r="M193" i="170" s="1"/>
  <c r="X189" i="170"/>
  <c r="Y189" i="170" s="1"/>
  <c r="J44" i="42"/>
  <c r="I1641" i="209"/>
  <c r="J1583" i="210"/>
  <c r="J1550" i="210"/>
  <c r="I52" i="42"/>
  <c r="I1535" i="209"/>
  <c r="O1535" i="209" s="1"/>
  <c r="D1518" i="209"/>
  <c r="G1518" i="209" s="1"/>
  <c r="H34" i="27"/>
  <c r="D1514" i="209"/>
  <c r="G1514" i="209" s="1"/>
  <c r="H30" i="27"/>
  <c r="I74" i="42"/>
  <c r="I1560" i="209"/>
  <c r="O1560" i="209" s="1"/>
  <c r="M176" i="171"/>
  <c r="X175" i="171"/>
  <c r="S19" i="218"/>
  <c r="S22" i="218"/>
  <c r="D1515" i="209"/>
  <c r="G1515" i="209" s="1"/>
  <c r="H31" i="27"/>
  <c r="L3418" i="209"/>
  <c r="J46" i="196"/>
  <c r="J160" i="196" s="1"/>
  <c r="CI62" i="190"/>
  <c r="CM61" i="190"/>
  <c r="D1524" i="209"/>
  <c r="G1524" i="209" s="1"/>
  <c r="H40" i="27"/>
  <c r="J32" i="42"/>
  <c r="I1629" i="209"/>
  <c r="M36" i="171"/>
  <c r="X35" i="171"/>
  <c r="D1572" i="209"/>
  <c r="G1572" i="209" s="1"/>
  <c r="H84" i="27"/>
  <c r="H30" i="206"/>
  <c r="G31" i="206"/>
  <c r="X50" i="170"/>
  <c r="M51" i="170"/>
  <c r="K132" i="195"/>
  <c r="K143" i="195" s="1"/>
  <c r="K145" i="195" s="1"/>
  <c r="D1519" i="209"/>
  <c r="G1519" i="209" s="1"/>
  <c r="H35" i="27"/>
  <c r="I447" i="209"/>
  <c r="O338" i="209"/>
  <c r="D165" i="210"/>
  <c r="G165" i="210" s="1"/>
  <c r="G166" i="210" s="1"/>
  <c r="D212" i="210" s="1"/>
  <c r="D1535" i="209"/>
  <c r="G1535" i="209" s="1"/>
  <c r="H51" i="27"/>
  <c r="Q23" i="195"/>
  <c r="Q33" i="195" s="1"/>
  <c r="R18" i="195"/>
  <c r="R23" i="195" s="1"/>
  <c r="R33" i="195" s="1"/>
  <c r="R46" i="195" s="1"/>
  <c r="O369" i="209"/>
  <c r="D318" i="210"/>
  <c r="G318" i="210" s="1"/>
  <c r="G298" i="210"/>
  <c r="D344" i="210" s="1"/>
  <c r="I101" i="42"/>
  <c r="I1588" i="209"/>
  <c r="O1588" i="209" s="1"/>
  <c r="D1591" i="209"/>
  <c r="G1591" i="209" s="1"/>
  <c r="H98" i="27"/>
  <c r="D1474" i="209"/>
  <c r="G1474" i="209" s="1"/>
  <c r="G95" i="27"/>
  <c r="R72" i="78"/>
  <c r="R74" i="78" s="1"/>
  <c r="G166" i="120"/>
  <c r="G167" i="120"/>
  <c r="J76" i="42"/>
  <c r="I1676" i="209"/>
  <c r="D1560" i="209"/>
  <c r="G1560" i="209" s="1"/>
  <c r="H72" i="27"/>
  <c r="J75" i="42"/>
  <c r="I1675" i="209"/>
  <c r="G22" i="68"/>
  <c r="K22" i="68"/>
  <c r="O433" i="209"/>
  <c r="I533" i="209"/>
  <c r="J47" i="42"/>
  <c r="I1644" i="209"/>
  <c r="I18" i="69"/>
  <c r="E38" i="69"/>
  <c r="E44" i="69" s="1"/>
  <c r="E46" i="69" s="1"/>
  <c r="E19" i="68"/>
  <c r="E27" i="68" s="1"/>
  <c r="E34" i="68" s="1"/>
  <c r="D1565" i="209"/>
  <c r="G1565" i="209" s="1"/>
  <c r="H77" i="27"/>
  <c r="I164" i="210"/>
  <c r="O164" i="210" s="1"/>
  <c r="O156" i="210"/>
  <c r="I161" i="210"/>
  <c r="J38" i="42"/>
  <c r="I1635" i="209"/>
  <c r="I261" i="210"/>
  <c r="O261" i="210" s="1"/>
  <c r="O262" i="210" s="1"/>
  <c r="I308" i="210" s="1"/>
  <c r="T59" i="75"/>
  <c r="J28" i="213"/>
  <c r="J50" i="42"/>
  <c r="I1647" i="209"/>
  <c r="J27" i="42"/>
  <c r="I1624" i="209"/>
  <c r="O1624" i="209" s="1"/>
  <c r="J51" i="42"/>
  <c r="I1648" i="209"/>
  <c r="J34" i="42"/>
  <c r="I1631" i="209"/>
  <c r="D1534" i="209"/>
  <c r="G1534" i="209" s="1"/>
  <c r="H50" i="27"/>
  <c r="D1536" i="209"/>
  <c r="G1536" i="209" s="1"/>
  <c r="H52" i="27"/>
  <c r="J18" i="42"/>
  <c r="I1616" i="209"/>
  <c r="O1616" i="209" s="1"/>
  <c r="J17" i="42"/>
  <c r="I1615" i="209"/>
  <c r="O1615" i="209" s="1"/>
  <c r="D1525" i="209"/>
  <c r="G1525" i="209" s="1"/>
  <c r="H41" i="27"/>
  <c r="D1564" i="209"/>
  <c r="G1564" i="209" s="1"/>
  <c r="H76" i="27"/>
  <c r="D269" i="210"/>
  <c r="G269" i="210" s="1"/>
  <c r="G270" i="210" s="1"/>
  <c r="D316" i="210" s="1"/>
  <c r="D202" i="210"/>
  <c r="G161" i="210"/>
  <c r="J54" i="42"/>
  <c r="I1651" i="209"/>
  <c r="D1561" i="209"/>
  <c r="G1561" i="209" s="1"/>
  <c r="H73" i="27"/>
  <c r="D547" i="209"/>
  <c r="G533" i="209"/>
  <c r="Y190" i="170"/>
  <c r="D311" i="210"/>
  <c r="G311" i="210" s="1"/>
  <c r="G312" i="210" s="1"/>
  <c r="D358" i="210" s="1"/>
  <c r="D357" i="210" s="1"/>
  <c r="G357" i="210" s="1"/>
  <c r="G274" i="210"/>
  <c r="D320" i="210" s="1"/>
  <c r="H37" i="42"/>
  <c r="I1406" i="209"/>
  <c r="O1406" i="209" s="1"/>
  <c r="J78" i="42"/>
  <c r="I1678" i="209"/>
  <c r="O1678" i="209" s="1"/>
  <c r="D1568" i="209"/>
  <c r="G1568" i="209" s="1"/>
  <c r="H80" i="27"/>
  <c r="CI12" i="190"/>
  <c r="CI63" i="190" s="1"/>
  <c r="CM6" i="190"/>
  <c r="I318" i="210"/>
  <c r="O318" i="210" s="1"/>
  <c r="O298" i="210"/>
  <c r="I344" i="210" s="1"/>
  <c r="D1510" i="209"/>
  <c r="G1510" i="209" s="1"/>
  <c r="H26" i="27"/>
  <c r="D1563" i="209"/>
  <c r="G1563" i="209" s="1"/>
  <c r="H75" i="27"/>
  <c r="D1526" i="209"/>
  <c r="G1526" i="209" s="1"/>
  <c r="H42" i="27"/>
  <c r="O274" i="210"/>
  <c r="I320" i="210" s="1"/>
  <c r="G297" i="210"/>
  <c r="D343" i="210" s="1"/>
  <c r="D314" i="210"/>
  <c r="G314" i="210" s="1"/>
  <c r="E35" i="45"/>
  <c r="K34" i="45"/>
  <c r="K35" i="45" s="1"/>
  <c r="O295" i="210"/>
  <c r="I341" i="210" s="1"/>
  <c r="I306" i="210"/>
  <c r="O306" i="210" s="1"/>
  <c r="D1503" i="209"/>
  <c r="G1503" i="209" s="1"/>
  <c r="H19" i="27"/>
  <c r="H77" i="120"/>
  <c r="H115" i="120"/>
  <c r="H114" i="120"/>
  <c r="D1569" i="209"/>
  <c r="G1569" i="209" s="1"/>
  <c r="H81" i="27"/>
  <c r="D1527" i="209"/>
  <c r="G1527" i="209" s="1"/>
  <c r="H43" i="27"/>
  <c r="O436" i="209"/>
  <c r="I437" i="209"/>
  <c r="D1533" i="209"/>
  <c r="G1533" i="209" s="1"/>
  <c r="H49" i="27"/>
  <c r="I84" i="42"/>
  <c r="I1570" i="209"/>
  <c r="O1570" i="209" s="1"/>
  <c r="D483" i="209"/>
  <c r="X77" i="190"/>
  <c r="Y75" i="190"/>
  <c r="H18" i="196"/>
  <c r="I226" i="209"/>
  <c r="J29" i="42"/>
  <c r="I1626" i="209"/>
  <c r="J30" i="42"/>
  <c r="I1627" i="209"/>
  <c r="J40" i="42"/>
  <c r="I1637" i="209"/>
  <c r="D1530" i="209"/>
  <c r="G1530" i="209" s="1"/>
  <c r="H46" i="27"/>
  <c r="D551" i="209"/>
  <c r="G550" i="209"/>
  <c r="J41" i="42"/>
  <c r="I1638" i="209"/>
  <c r="J44" i="213"/>
  <c r="M37" i="213"/>
  <c r="M113" i="171"/>
  <c r="X112" i="171"/>
  <c r="D1532" i="209"/>
  <c r="G1532" i="209" s="1"/>
  <c r="H48" i="27"/>
  <c r="D33" i="49"/>
  <c r="I31" i="49"/>
  <c r="J81" i="42"/>
  <c r="I1681" i="209"/>
  <c r="O1681" i="209" s="1"/>
  <c r="J19" i="42"/>
  <c r="I1617" i="209"/>
  <c r="O1617" i="209" s="1"/>
  <c r="G262" i="210"/>
  <c r="D308" i="210" s="1"/>
  <c r="D226" i="209"/>
  <c r="C18" i="196"/>
  <c r="D1520" i="209"/>
  <c r="G1520" i="209" s="1"/>
  <c r="H36" i="27"/>
  <c r="I165" i="210"/>
  <c r="O165" i="210" s="1"/>
  <c r="D353" i="209"/>
  <c r="O298" i="209"/>
  <c r="D1566" i="209"/>
  <c r="G1566" i="209" s="1"/>
  <c r="H78" i="27"/>
  <c r="I102" i="42"/>
  <c r="I1589" i="209"/>
  <c r="O1589" i="209" s="1"/>
  <c r="D1531" i="209"/>
  <c r="G1531" i="209" s="1"/>
  <c r="H47" i="27"/>
  <c r="J85" i="42"/>
  <c r="I1685" i="209"/>
  <c r="I314" i="210"/>
  <c r="O314" i="210" s="1"/>
  <c r="O297" i="210"/>
  <c r="I343" i="210" s="1"/>
  <c r="J82" i="42"/>
  <c r="I1682" i="209"/>
  <c r="J95" i="42"/>
  <c r="I1695" i="209"/>
  <c r="O1695" i="209" s="1"/>
  <c r="J36" i="42"/>
  <c r="I1633" i="209"/>
  <c r="D1513" i="209"/>
  <c r="G1513" i="209" s="1"/>
  <c r="H29" i="27"/>
  <c r="F24" i="200"/>
  <c r="J83" i="42"/>
  <c r="I1683" i="209"/>
  <c r="D1517" i="209"/>
  <c r="G1517" i="209" s="1"/>
  <c r="H33" i="27"/>
  <c r="I274" i="209"/>
  <c r="O171" i="209"/>
  <c r="O211" i="209" s="1"/>
  <c r="O215" i="209" s="1"/>
  <c r="O226" i="209" s="1"/>
  <c r="J31" i="42"/>
  <c r="I1628" i="209"/>
  <c r="I47" i="49"/>
  <c r="C46" i="49"/>
  <c r="J104" i="42"/>
  <c r="I1705" i="209"/>
  <c r="O1705" i="209" s="1"/>
  <c r="G133" i="213"/>
  <c r="N66" i="213"/>
  <c r="N133" i="213" s="1"/>
  <c r="G23" i="69"/>
  <c r="I23" i="69" s="1"/>
  <c r="I23" i="68" s="1"/>
  <c r="G23" i="68" s="1"/>
  <c r="P66" i="213"/>
  <c r="P133" i="213" s="1"/>
  <c r="H66" i="213"/>
  <c r="H133" i="213" s="1"/>
  <c r="Y108" i="171"/>
  <c r="Y109" i="171" s="1"/>
  <c r="X109" i="171"/>
  <c r="J49" i="42"/>
  <c r="I1646" i="209"/>
  <c r="D474" i="209"/>
  <c r="G366" i="209"/>
  <c r="D1504" i="209"/>
  <c r="G1504" i="209" s="1"/>
  <c r="H20" i="27"/>
  <c r="G447" i="209"/>
  <c r="D452" i="209"/>
  <c r="C77" i="196" s="1"/>
  <c r="F77" i="196" s="1"/>
  <c r="D306" i="210"/>
  <c r="G306" i="210" s="1"/>
  <c r="G295" i="210"/>
  <c r="D341" i="210" s="1"/>
  <c r="J80" i="42"/>
  <c r="I1680" i="209"/>
  <c r="D274" i="209"/>
  <c r="G171" i="209"/>
  <c r="G211" i="209" s="1"/>
  <c r="G215" i="209" s="1"/>
  <c r="G226" i="209" s="1"/>
  <c r="D1502" i="209"/>
  <c r="G1502" i="209" s="1"/>
  <c r="H18" i="27"/>
  <c r="D1538" i="209"/>
  <c r="G1538" i="209" s="1"/>
  <c r="H54" i="27"/>
  <c r="O270" i="210"/>
  <c r="I316" i="210" s="1"/>
  <c r="CH63" i="190"/>
  <c r="D1511" i="209"/>
  <c r="G1511" i="209" s="1"/>
  <c r="H27" i="27"/>
  <c r="D1590" i="209"/>
  <c r="G1590" i="209" s="1"/>
  <c r="H97" i="27"/>
  <c r="D1387" i="209"/>
  <c r="G1387" i="209" s="1"/>
  <c r="G17" i="27"/>
  <c r="F26" i="200"/>
  <c r="D1523" i="209"/>
  <c r="G1523" i="209" s="1"/>
  <c r="H39" i="27"/>
  <c r="CM45" i="190"/>
  <c r="CN15" i="190"/>
  <c r="J55" i="42"/>
  <c r="I1652" i="209"/>
  <c r="I39" i="42"/>
  <c r="I1522" i="209"/>
  <c r="O1522" i="209" s="1"/>
  <c r="D1516" i="209"/>
  <c r="G1516" i="209" s="1"/>
  <c r="H32" i="27"/>
  <c r="O360" i="209"/>
  <c r="I366" i="209"/>
  <c r="L3511" i="209"/>
  <c r="L3517" i="209" s="1"/>
  <c r="L3521" i="209" s="1"/>
  <c r="L3611" i="209"/>
  <c r="J53" i="42"/>
  <c r="I1650" i="209"/>
  <c r="I86" i="42"/>
  <c r="I1572" i="209"/>
  <c r="O1572" i="209" s="1"/>
  <c r="J28" i="42"/>
  <c r="I1625" i="209"/>
  <c r="H42" i="42"/>
  <c r="I1411" i="209"/>
  <c r="O1411" i="209" s="1"/>
  <c r="D1475" i="209"/>
  <c r="G1475" i="209" s="1"/>
  <c r="G96" i="27"/>
  <c r="D1537" i="209"/>
  <c r="G1537" i="209" s="1"/>
  <c r="H53" i="27"/>
  <c r="D356" i="210"/>
  <c r="G356" i="210" s="1"/>
  <c r="G342" i="210"/>
  <c r="D388" i="210" s="1"/>
  <c r="D27" i="154" l="1"/>
  <c r="F27" i="154" s="1"/>
  <c r="G27" i="154" s="1"/>
  <c r="X190" i="170"/>
  <c r="O266" i="210"/>
  <c r="I312" i="210" s="1"/>
  <c r="I307" i="210"/>
  <c r="O307" i="210" s="1"/>
  <c r="D315" i="210"/>
  <c r="G315" i="210" s="1"/>
  <c r="I310" i="210"/>
  <c r="O310" i="210" s="1"/>
  <c r="O296" i="210"/>
  <c r="I342" i="210" s="1"/>
  <c r="D1676" i="209"/>
  <c r="G1676" i="209" s="1"/>
  <c r="I74" i="27"/>
  <c r="D1634" i="209"/>
  <c r="G1634" i="209" s="1"/>
  <c r="I36" i="27"/>
  <c r="I547" i="209"/>
  <c r="O533" i="209"/>
  <c r="J74" i="42"/>
  <c r="I1674" i="209"/>
  <c r="I24" i="155"/>
  <c r="J24" i="155" s="1"/>
  <c r="K24" i="155" s="1"/>
  <c r="H25" i="155"/>
  <c r="D1651" i="209"/>
  <c r="G1651" i="209" s="1"/>
  <c r="I53" i="27"/>
  <c r="I474" i="209"/>
  <c r="O366" i="209"/>
  <c r="D1652" i="209"/>
  <c r="G1652" i="209" s="1"/>
  <c r="I54" i="27"/>
  <c r="Y112" i="171"/>
  <c r="D1617" i="209"/>
  <c r="G1617" i="209" s="1"/>
  <c r="I19" i="27"/>
  <c r="D360" i="210"/>
  <c r="G360" i="210" s="1"/>
  <c r="G343" i="210"/>
  <c r="D389" i="210" s="1"/>
  <c r="D319" i="210"/>
  <c r="G319" i="210" s="1"/>
  <c r="D1675" i="209"/>
  <c r="G1675" i="209" s="1"/>
  <c r="I73" i="27"/>
  <c r="D210" i="210"/>
  <c r="G210" i="210" s="1"/>
  <c r="G202" i="210"/>
  <c r="D207" i="210"/>
  <c r="K18" i="42"/>
  <c r="I1730" i="209"/>
  <c r="O1730" i="209" s="1"/>
  <c r="D1649" i="209"/>
  <c r="G1649" i="209" s="1"/>
  <c r="I51" i="27"/>
  <c r="Y35" i="171"/>
  <c r="D1638" i="209"/>
  <c r="G1638" i="209" s="1"/>
  <c r="I40" i="27"/>
  <c r="D1629" i="209"/>
  <c r="G1629" i="209" s="1"/>
  <c r="I31" i="27"/>
  <c r="K35" i="42"/>
  <c r="I1746" i="209"/>
  <c r="O1746" i="209" s="1"/>
  <c r="J86" i="42"/>
  <c r="I1686" i="209"/>
  <c r="G341" i="210"/>
  <c r="D387" i="210" s="1"/>
  <c r="D352" i="210"/>
  <c r="G352" i="210" s="1"/>
  <c r="D1627" i="209"/>
  <c r="G1627" i="209" s="1"/>
  <c r="I29" i="27"/>
  <c r="N61" i="195"/>
  <c r="N119" i="195" s="1"/>
  <c r="O12" i="195"/>
  <c r="D1684" i="209"/>
  <c r="G1684" i="209" s="1"/>
  <c r="I82" i="27"/>
  <c r="CR15" i="190"/>
  <c r="CN45" i="190"/>
  <c r="D1501" i="209"/>
  <c r="G1501" i="209" s="1"/>
  <c r="H17" i="27"/>
  <c r="F18" i="196"/>
  <c r="C132" i="196"/>
  <c r="F132" i="196" s="1"/>
  <c r="K81" i="42"/>
  <c r="I1795" i="209"/>
  <c r="O1795" i="209" s="1"/>
  <c r="J84" i="42"/>
  <c r="I1684" i="209"/>
  <c r="D1680" i="209"/>
  <c r="G1680" i="209" s="1"/>
  <c r="I78" i="27"/>
  <c r="M114" i="171"/>
  <c r="M115" i="171" s="1"/>
  <c r="M116" i="171" s="1"/>
  <c r="M117" i="171" s="1"/>
  <c r="X113" i="171"/>
  <c r="Y113" i="171" s="1"/>
  <c r="D1683" i="209"/>
  <c r="G1683" i="209" s="1"/>
  <c r="I81" i="27"/>
  <c r="O308" i="210"/>
  <c r="I354" i="210" s="1"/>
  <c r="I319" i="210"/>
  <c r="O319" i="210" s="1"/>
  <c r="O320" i="210" s="1"/>
  <c r="I366" i="210" s="1"/>
  <c r="D1624" i="209"/>
  <c r="G1624" i="209" s="1"/>
  <c r="I26" i="27"/>
  <c r="D1682" i="209"/>
  <c r="G1682" i="209" s="1"/>
  <c r="I80" i="27"/>
  <c r="D364" i="210"/>
  <c r="G364" i="210" s="1"/>
  <c r="G344" i="210"/>
  <c r="D390" i="210" s="1"/>
  <c r="M37" i="171"/>
  <c r="X36" i="171"/>
  <c r="Y36" i="171" s="1"/>
  <c r="CM62" i="190"/>
  <c r="CN61" i="190"/>
  <c r="M18" i="213"/>
  <c r="J23" i="213"/>
  <c r="D1626" i="209"/>
  <c r="G1626" i="209" s="1"/>
  <c r="I28" i="27"/>
  <c r="AC73" i="190"/>
  <c r="AD67" i="190"/>
  <c r="CN46" i="190"/>
  <c r="CM60" i="190"/>
  <c r="D1635" i="209"/>
  <c r="G1635" i="209" s="1"/>
  <c r="I37" i="27"/>
  <c r="I48" i="49"/>
  <c r="C47" i="49"/>
  <c r="D1641" i="209"/>
  <c r="G1641" i="209" s="1"/>
  <c r="I43" i="27"/>
  <c r="G316" i="210"/>
  <c r="D362" i="210" s="1"/>
  <c r="D361" i="210" s="1"/>
  <c r="G361" i="210" s="1"/>
  <c r="D1686" i="209"/>
  <c r="G1686" i="209" s="1"/>
  <c r="I84" i="27"/>
  <c r="D1616" i="209"/>
  <c r="G1616" i="209" s="1"/>
  <c r="I18" i="27"/>
  <c r="M44" i="213"/>
  <c r="K21" i="69" s="1"/>
  <c r="N37" i="213"/>
  <c r="N44" i="213" s="1"/>
  <c r="P37" i="213"/>
  <c r="P44" i="213" s="1"/>
  <c r="D1674" i="209"/>
  <c r="G1674" i="209" s="1"/>
  <c r="I72" i="27"/>
  <c r="G320" i="210"/>
  <c r="D366" i="210" s="1"/>
  <c r="M52" i="170"/>
  <c r="X51" i="170"/>
  <c r="Y51" i="170" s="1"/>
  <c r="M194" i="170"/>
  <c r="M195" i="170" s="1"/>
  <c r="M196" i="170" s="1"/>
  <c r="X193" i="170"/>
  <c r="Y112" i="170"/>
  <c r="D1681" i="209"/>
  <c r="G1681" i="209" s="1"/>
  <c r="I79" i="27"/>
  <c r="K21" i="42"/>
  <c r="I1733" i="209"/>
  <c r="O1733" i="209" s="1"/>
  <c r="I46" i="42"/>
  <c r="I1529" i="209"/>
  <c r="O1529" i="209" s="1"/>
  <c r="CN13" i="190"/>
  <c r="CM14" i="190"/>
  <c r="D1631" i="209"/>
  <c r="G1631" i="209" s="1"/>
  <c r="I33" i="27"/>
  <c r="D1646" i="209"/>
  <c r="G1646" i="209" s="1"/>
  <c r="I48" i="27"/>
  <c r="D1589" i="209"/>
  <c r="G1589" i="209" s="1"/>
  <c r="H96" i="27"/>
  <c r="K95" i="42"/>
  <c r="I1809" i="209"/>
  <c r="O1809" i="209" s="1"/>
  <c r="K78" i="42"/>
  <c r="I1792" i="209"/>
  <c r="O1792" i="209" s="1"/>
  <c r="D1628" i="209"/>
  <c r="G1628" i="209" s="1"/>
  <c r="I30" i="27"/>
  <c r="I42" i="42"/>
  <c r="I1525" i="209"/>
  <c r="O1525" i="209" s="1"/>
  <c r="D1630" i="209"/>
  <c r="G1630" i="209" s="1"/>
  <c r="I32" i="27"/>
  <c r="D1637" i="209"/>
  <c r="G1637" i="209" s="1"/>
  <c r="I39" i="27"/>
  <c r="D211" i="210"/>
  <c r="G211" i="210" s="1"/>
  <c r="H132" i="196"/>
  <c r="M132" i="196" s="1"/>
  <c r="M18" i="196"/>
  <c r="D1647" i="209"/>
  <c r="G1647" i="209" s="1"/>
  <c r="I49" i="27"/>
  <c r="D1640" i="209"/>
  <c r="G1640" i="209" s="1"/>
  <c r="I42" i="27"/>
  <c r="D1678" i="209"/>
  <c r="G1678" i="209" s="1"/>
  <c r="I76" i="27"/>
  <c r="D1650" i="209"/>
  <c r="G1650" i="209" s="1"/>
  <c r="I52" i="27"/>
  <c r="I19" i="68"/>
  <c r="D1588" i="209"/>
  <c r="G1588" i="209" s="1"/>
  <c r="H95" i="27"/>
  <c r="I483" i="209"/>
  <c r="Y50" i="170"/>
  <c r="X113" i="170"/>
  <c r="Y113" i="170" s="1"/>
  <c r="M114" i="170"/>
  <c r="M115" i="170" s="1"/>
  <c r="M116" i="170" s="1"/>
  <c r="M117" i="170" s="1"/>
  <c r="D480" i="209"/>
  <c r="G474" i="209"/>
  <c r="I360" i="210"/>
  <c r="O360" i="210" s="1"/>
  <c r="O343" i="210"/>
  <c r="I389" i="210" s="1"/>
  <c r="D1633" i="209"/>
  <c r="G1633" i="209" s="1"/>
  <c r="I35" i="27"/>
  <c r="D1704" i="209"/>
  <c r="G1704" i="209" s="1"/>
  <c r="I97" i="27"/>
  <c r="D1644" i="209"/>
  <c r="G1644" i="209" s="1"/>
  <c r="I46" i="27"/>
  <c r="J39" i="42"/>
  <c r="I1636" i="209"/>
  <c r="D1625" i="209"/>
  <c r="G1625" i="209" s="1"/>
  <c r="I27" i="27"/>
  <c r="G274" i="209"/>
  <c r="D285" i="209"/>
  <c r="D325" i="209" s="1"/>
  <c r="D329" i="209" s="1"/>
  <c r="D1618" i="209"/>
  <c r="G1618" i="209" s="1"/>
  <c r="I20" i="27"/>
  <c r="K104" i="42"/>
  <c r="I1819" i="209"/>
  <c r="O1819" i="209" s="1"/>
  <c r="D412" i="209"/>
  <c r="I412" i="209" s="1"/>
  <c r="I353" i="209"/>
  <c r="G353" i="209"/>
  <c r="D35" i="49"/>
  <c r="I33" i="49"/>
  <c r="Y77" i="190"/>
  <c r="AC75" i="190"/>
  <c r="I364" i="210"/>
  <c r="O364" i="210" s="1"/>
  <c r="O344" i="210"/>
  <c r="I390" i="210" s="1"/>
  <c r="I37" i="42"/>
  <c r="I1520" i="209"/>
  <c r="O1520" i="209" s="1"/>
  <c r="O161" i="210"/>
  <c r="I202" i="210"/>
  <c r="F17" i="207"/>
  <c r="H31" i="206"/>
  <c r="G32" i="206"/>
  <c r="J1629" i="210"/>
  <c r="J1642" i="210" s="1"/>
  <c r="J1596" i="210"/>
  <c r="D1636" i="209"/>
  <c r="G1636" i="209" s="1"/>
  <c r="I38" i="27"/>
  <c r="X80" i="190"/>
  <c r="X82" i="190" s="1"/>
  <c r="X85" i="190" s="1"/>
  <c r="Y79" i="190"/>
  <c r="J48" i="42"/>
  <c r="I1645" i="209"/>
  <c r="J77" i="42"/>
  <c r="I1677" i="209"/>
  <c r="D1679" i="209"/>
  <c r="G1679" i="209" s="1"/>
  <c r="I77" i="27"/>
  <c r="K27" i="42"/>
  <c r="I1738" i="209"/>
  <c r="O1738" i="209" s="1"/>
  <c r="O274" i="209"/>
  <c r="I285" i="209"/>
  <c r="I325" i="209" s="1"/>
  <c r="I329" i="209" s="1"/>
  <c r="I550" i="209"/>
  <c r="O437" i="209"/>
  <c r="D1677" i="209"/>
  <c r="G1677" i="209" s="1"/>
  <c r="I75" i="27"/>
  <c r="G547" i="209"/>
  <c r="D647" i="209"/>
  <c r="D1639" i="209"/>
  <c r="G1639" i="209" s="1"/>
  <c r="I41" i="27"/>
  <c r="D1648" i="209"/>
  <c r="G1648" i="209" s="1"/>
  <c r="I50" i="27"/>
  <c r="O166" i="210"/>
  <c r="I212" i="210" s="1"/>
  <c r="G131" i="120"/>
  <c r="G119" i="120"/>
  <c r="G88" i="120"/>
  <c r="G86" i="120"/>
  <c r="D1705" i="209"/>
  <c r="G1705" i="209" s="1"/>
  <c r="I98" i="27"/>
  <c r="O447" i="209"/>
  <c r="I452" i="209"/>
  <c r="H77" i="196" s="1"/>
  <c r="M77" i="196" s="1"/>
  <c r="Y175" i="171"/>
  <c r="D1632" i="209"/>
  <c r="G1632" i="209" s="1"/>
  <c r="I34" i="27"/>
  <c r="D195" i="210"/>
  <c r="O149" i="210"/>
  <c r="D1619" i="209"/>
  <c r="G1619" i="209" s="1"/>
  <c r="I21" i="27"/>
  <c r="D1685" i="209"/>
  <c r="G1685" i="209" s="1"/>
  <c r="I83" i="27"/>
  <c r="G452" i="209"/>
  <c r="D561" i="209"/>
  <c r="I352" i="210"/>
  <c r="O352" i="210" s="1"/>
  <c r="O341" i="210"/>
  <c r="I387" i="210" s="1"/>
  <c r="D402" i="210"/>
  <c r="G402" i="210" s="1"/>
  <c r="G388" i="210"/>
  <c r="D434" i="210" s="1"/>
  <c r="L3725" i="209"/>
  <c r="L3625" i="209"/>
  <c r="L3631" i="209" s="1"/>
  <c r="L3635" i="209" s="1"/>
  <c r="D1645" i="209"/>
  <c r="G1645" i="209" s="1"/>
  <c r="I47" i="27"/>
  <c r="D307" i="210"/>
  <c r="G307" i="210" s="1"/>
  <c r="G308" i="210" s="1"/>
  <c r="D354" i="210" s="1"/>
  <c r="D353" i="210" s="1"/>
  <c r="G353" i="210" s="1"/>
  <c r="G358" i="210"/>
  <c r="D404" i="210" s="1"/>
  <c r="L3532" i="209"/>
  <c r="J47" i="196"/>
  <c r="J161" i="196" s="1"/>
  <c r="I315" i="210"/>
  <c r="O315" i="210" s="1"/>
  <c r="O316" i="210" s="1"/>
  <c r="I362" i="210" s="1"/>
  <c r="J102" i="42"/>
  <c r="I1703" i="209"/>
  <c r="O1703" i="209" s="1"/>
  <c r="K19" i="42"/>
  <c r="I1731" i="209"/>
  <c r="O1731" i="209" s="1"/>
  <c r="D664" i="209"/>
  <c r="G551" i="209"/>
  <c r="G483" i="209"/>
  <c r="H80" i="120"/>
  <c r="H82" i="120" s="1"/>
  <c r="H84" i="120" s="1"/>
  <c r="H117" i="120"/>
  <c r="H116" i="120"/>
  <c r="CM12" i="190"/>
  <c r="CM63" i="190" s="1"/>
  <c r="CN6" i="190"/>
  <c r="K17" i="42"/>
  <c r="I1729" i="209"/>
  <c r="O1729" i="209" s="1"/>
  <c r="M28" i="213"/>
  <c r="J31" i="213"/>
  <c r="J101" i="42"/>
  <c r="I1702" i="209"/>
  <c r="O1702" i="209" s="1"/>
  <c r="Q46" i="195"/>
  <c r="O18" i="69"/>
  <c r="M177" i="171"/>
  <c r="M178" i="171" s="1"/>
  <c r="M179" i="171" s="1"/>
  <c r="M180" i="171" s="1"/>
  <c r="X176" i="171"/>
  <c r="Y176" i="171" s="1"/>
  <c r="J52" i="42"/>
  <c r="I1649" i="209"/>
  <c r="K20" i="42"/>
  <c r="I1732" i="209"/>
  <c r="O1732" i="209" s="1"/>
  <c r="J23" i="154"/>
  <c r="K23" i="154" s="1"/>
  <c r="H24" i="154"/>
  <c r="D1643" i="209"/>
  <c r="G1643" i="209" s="1"/>
  <c r="I45" i="27"/>
  <c r="I103" i="42"/>
  <c r="I1590" i="209"/>
  <c r="O1590" i="209" s="1"/>
  <c r="I32" i="49"/>
  <c r="C30" i="49"/>
  <c r="D365" i="210" l="1"/>
  <c r="G365" i="210" s="1"/>
  <c r="I356" i="210"/>
  <c r="O356" i="210" s="1"/>
  <c r="O342" i="210"/>
  <c r="I388" i="210" s="1"/>
  <c r="I311" i="210"/>
  <c r="O311" i="210" s="1"/>
  <c r="O312" i="210" s="1"/>
  <c r="I358" i="210" s="1"/>
  <c r="I361" i="210"/>
  <c r="O361" i="210" s="1"/>
  <c r="D403" i="210"/>
  <c r="G403" i="210" s="1"/>
  <c r="J74" i="27"/>
  <c r="K1676" i="209"/>
  <c r="O1676" i="209" s="1"/>
  <c r="D1790" i="209"/>
  <c r="G1790" i="209" s="1"/>
  <c r="G664" i="209"/>
  <c r="D665" i="209"/>
  <c r="AC79" i="190"/>
  <c r="Y80" i="190"/>
  <c r="Y82" i="190" s="1"/>
  <c r="Y85" i="190" s="1"/>
  <c r="D1757" i="209"/>
  <c r="G1757" i="209" s="1"/>
  <c r="K1643" i="209"/>
  <c r="J45" i="27"/>
  <c r="L3839" i="209"/>
  <c r="L3739" i="209"/>
  <c r="L3745" i="209" s="1"/>
  <c r="L3749" i="209" s="1"/>
  <c r="G561" i="209"/>
  <c r="D566" i="209"/>
  <c r="C78" i="196" s="1"/>
  <c r="F78" i="196" s="1"/>
  <c r="D1746" i="209"/>
  <c r="G1746" i="209" s="1"/>
  <c r="J34" i="27"/>
  <c r="D37" i="49"/>
  <c r="I35" i="49"/>
  <c r="G480" i="209"/>
  <c r="D588" i="209"/>
  <c r="D1702" i="209"/>
  <c r="G1702" i="209" s="1"/>
  <c r="I95" i="27"/>
  <c r="D1703" i="209"/>
  <c r="G1703" i="209" s="1"/>
  <c r="I96" i="27"/>
  <c r="J46" i="42"/>
  <c r="I1643" i="209"/>
  <c r="Y114" i="170"/>
  <c r="J33" i="213"/>
  <c r="J46" i="213" s="1"/>
  <c r="J146" i="213" s="1"/>
  <c r="K1649" i="209"/>
  <c r="D1763" i="209"/>
  <c r="G1763" i="209" s="1"/>
  <c r="J51" i="27"/>
  <c r="G212" i="210"/>
  <c r="D258" i="210" s="1"/>
  <c r="D1766" i="209"/>
  <c r="G1766" i="209" s="1"/>
  <c r="K1652" i="209"/>
  <c r="O1652" i="209" s="1"/>
  <c r="J54" i="27"/>
  <c r="I210" i="210"/>
  <c r="O210" i="210" s="1"/>
  <c r="O202" i="210"/>
  <c r="I207" i="210"/>
  <c r="G412" i="209"/>
  <c r="O353" i="209"/>
  <c r="D1764" i="209"/>
  <c r="G1764" i="209" s="1"/>
  <c r="K1650" i="209"/>
  <c r="O1650" i="209" s="1"/>
  <c r="J52" i="27"/>
  <c r="K1630" i="209"/>
  <c r="O1630" i="209" s="1"/>
  <c r="D1744" i="209"/>
  <c r="G1744" i="209" s="1"/>
  <c r="J32" i="27"/>
  <c r="Y193" i="170"/>
  <c r="Y194" i="170" s="1"/>
  <c r="X194" i="170"/>
  <c r="D1788" i="209"/>
  <c r="G1788" i="209" s="1"/>
  <c r="K1674" i="209"/>
  <c r="O1674" i="209" s="1"/>
  <c r="J72" i="27"/>
  <c r="K1641" i="209"/>
  <c r="O1641" i="209" s="1"/>
  <c r="D1755" i="209"/>
  <c r="G1755" i="209" s="1"/>
  <c r="J43" i="27"/>
  <c r="M23" i="213"/>
  <c r="N18" i="213"/>
  <c r="N23" i="213" s="1"/>
  <c r="P18" i="213"/>
  <c r="P23" i="213" s="1"/>
  <c r="D1738" i="209"/>
  <c r="G1738" i="209" s="1"/>
  <c r="J26" i="27"/>
  <c r="M118" i="171"/>
  <c r="X117" i="171"/>
  <c r="L81" i="42"/>
  <c r="I1909" i="209"/>
  <c r="O1909" i="209" s="1"/>
  <c r="X20" i="171"/>
  <c r="X24" i="171" s="1"/>
  <c r="D1819" i="209"/>
  <c r="G1819" i="209" s="1"/>
  <c r="J98" i="27"/>
  <c r="G647" i="209"/>
  <c r="D661" i="209"/>
  <c r="M181" i="171"/>
  <c r="X180" i="171"/>
  <c r="N28" i="213"/>
  <c r="N31" i="213" s="1"/>
  <c r="P28" i="213"/>
  <c r="P31" i="213" s="1"/>
  <c r="M31" i="213"/>
  <c r="CN12" i="190"/>
  <c r="CR6" i="190"/>
  <c r="D448" i="210"/>
  <c r="G448" i="210" s="1"/>
  <c r="G434" i="210"/>
  <c r="D480" i="210" s="1"/>
  <c r="Y177" i="171"/>
  <c r="H19" i="196"/>
  <c r="I340" i="209"/>
  <c r="D1732" i="209"/>
  <c r="G1732" i="209" s="1"/>
  <c r="J20" i="27"/>
  <c r="J42" i="42"/>
  <c r="I1639" i="209"/>
  <c r="L78" i="42"/>
  <c r="I1906" i="209"/>
  <c r="O1906" i="209" s="1"/>
  <c r="D1760" i="209"/>
  <c r="G1760" i="209" s="1"/>
  <c r="K1646" i="209"/>
  <c r="O1646" i="209" s="1"/>
  <c r="J48" i="27"/>
  <c r="L21" i="42"/>
  <c r="I1847" i="209"/>
  <c r="O1847" i="209" s="1"/>
  <c r="D1730" i="209"/>
  <c r="G1730" i="209" s="1"/>
  <c r="J18" i="27"/>
  <c r="CR61" i="190"/>
  <c r="CN62" i="190"/>
  <c r="D1615" i="209"/>
  <c r="G1615" i="209" s="1"/>
  <c r="I17" i="27"/>
  <c r="K1629" i="209"/>
  <c r="O1629" i="209" s="1"/>
  <c r="D1743" i="209"/>
  <c r="G1743" i="209" s="1"/>
  <c r="J31" i="27"/>
  <c r="K1675" i="209"/>
  <c r="O1675" i="209" s="1"/>
  <c r="D1789" i="209"/>
  <c r="G1789" i="209" s="1"/>
  <c r="J73" i="27"/>
  <c r="X114" i="171"/>
  <c r="O474" i="209"/>
  <c r="I480" i="209"/>
  <c r="H32" i="206"/>
  <c r="G33" i="206"/>
  <c r="I24" i="154"/>
  <c r="J24" i="154" s="1"/>
  <c r="K24" i="154" s="1"/>
  <c r="H25" i="154"/>
  <c r="D597" i="209"/>
  <c r="D1759" i="209"/>
  <c r="G1759" i="209" s="1"/>
  <c r="K1645" i="209"/>
  <c r="O1645" i="209" s="1"/>
  <c r="J47" i="27"/>
  <c r="X177" i="171"/>
  <c r="K1685" i="209"/>
  <c r="O1685" i="209" s="1"/>
  <c r="D1799" i="209"/>
  <c r="G1799" i="209" s="1"/>
  <c r="J83" i="27"/>
  <c r="L20" i="42"/>
  <c r="I1846" i="209"/>
  <c r="O1846" i="209" s="1"/>
  <c r="Q18" i="69"/>
  <c r="G404" i="210"/>
  <c r="D450" i="210" s="1"/>
  <c r="I365" i="210"/>
  <c r="O365" i="210" s="1"/>
  <c r="O366" i="210" s="1"/>
  <c r="I412" i="210" s="1"/>
  <c r="I388" i="209"/>
  <c r="O285" i="209"/>
  <c r="O325" i="209" s="1"/>
  <c r="O329" i="209" s="1"/>
  <c r="O340" i="209" s="1"/>
  <c r="AD75" i="190"/>
  <c r="AC77" i="190"/>
  <c r="D340" i="209"/>
  <c r="C19" i="196"/>
  <c r="D1758" i="209"/>
  <c r="G1758" i="209" s="1"/>
  <c r="K1644" i="209"/>
  <c r="O1644" i="209" s="1"/>
  <c r="J46" i="27"/>
  <c r="D1747" i="209"/>
  <c r="G1747" i="209" s="1"/>
  <c r="K1633" i="209"/>
  <c r="O1633" i="209" s="1"/>
  <c r="J35" i="27"/>
  <c r="D1792" i="209"/>
  <c r="G1792" i="209" s="1"/>
  <c r="J76" i="27"/>
  <c r="D1754" i="209"/>
  <c r="G1754" i="209" s="1"/>
  <c r="K1640" i="209"/>
  <c r="O1640" i="209" s="1"/>
  <c r="J42" i="27"/>
  <c r="CN60" i="190"/>
  <c r="CR46" i="190"/>
  <c r="I353" i="210"/>
  <c r="O353" i="210" s="1"/>
  <c r="L35" i="42"/>
  <c r="I1860" i="209"/>
  <c r="O1860" i="209" s="1"/>
  <c r="Y114" i="171"/>
  <c r="Y20" i="171"/>
  <c r="Y24" i="171" s="1"/>
  <c r="E33" i="45" s="1"/>
  <c r="I647" i="209"/>
  <c r="O547" i="209"/>
  <c r="D1733" i="209"/>
  <c r="G1733" i="209" s="1"/>
  <c r="J21" i="27"/>
  <c r="L18" i="42"/>
  <c r="I1844" i="209"/>
  <c r="O1844" i="209" s="1"/>
  <c r="G389" i="210"/>
  <c r="D435" i="210" s="1"/>
  <c r="D406" i="210"/>
  <c r="G406" i="210" s="1"/>
  <c r="D1765" i="209"/>
  <c r="G1765" i="209" s="1"/>
  <c r="K1651" i="209"/>
  <c r="O1651" i="209" s="1"/>
  <c r="J53" i="27"/>
  <c r="J103" i="42"/>
  <c r="I1704" i="209"/>
  <c r="O1704" i="209" s="1"/>
  <c r="K101" i="42"/>
  <c r="I1816" i="209"/>
  <c r="O1816" i="209" s="1"/>
  <c r="L19" i="42"/>
  <c r="I1845" i="209"/>
  <c r="O1845" i="209" s="1"/>
  <c r="K1648" i="209"/>
  <c r="O1648" i="209" s="1"/>
  <c r="D1762" i="209"/>
  <c r="G1762" i="209" s="1"/>
  <c r="J50" i="27"/>
  <c r="K1677" i="209"/>
  <c r="O1677" i="209" s="1"/>
  <c r="D1791" i="209"/>
  <c r="G1791" i="209" s="1"/>
  <c r="J75" i="27"/>
  <c r="J37" i="42"/>
  <c r="I1634" i="209"/>
  <c r="M118" i="170"/>
  <c r="X117" i="170"/>
  <c r="O483" i="209"/>
  <c r="K1628" i="209"/>
  <c r="O1628" i="209" s="1"/>
  <c r="D1742" i="209"/>
  <c r="G1742" i="209" s="1"/>
  <c r="J30" i="27"/>
  <c r="D1795" i="209"/>
  <c r="G1795" i="209" s="1"/>
  <c r="J79" i="27"/>
  <c r="I49" i="49"/>
  <c r="C48" i="49"/>
  <c r="M38" i="171"/>
  <c r="X37" i="171"/>
  <c r="Y37" i="171" s="1"/>
  <c r="D1797" i="209"/>
  <c r="G1797" i="209" s="1"/>
  <c r="K1683" i="209"/>
  <c r="O1683" i="209" s="1"/>
  <c r="J81" i="27"/>
  <c r="K1680" i="209"/>
  <c r="O1680" i="209" s="1"/>
  <c r="D1794" i="209"/>
  <c r="G1794" i="209" s="1"/>
  <c r="J78" i="27"/>
  <c r="G354" i="210"/>
  <c r="D400" i="210" s="1"/>
  <c r="D399" i="210" s="1"/>
  <c r="G399" i="210" s="1"/>
  <c r="G362" i="210"/>
  <c r="D408" i="210" s="1"/>
  <c r="D407" i="210" s="1"/>
  <c r="G407" i="210" s="1"/>
  <c r="J25" i="155"/>
  <c r="H26" i="155"/>
  <c r="L17" i="42"/>
  <c r="I1843" i="209"/>
  <c r="O1843" i="209" s="1"/>
  <c r="L27" i="42"/>
  <c r="I1852" i="209"/>
  <c r="O1852" i="209" s="1"/>
  <c r="F16" i="207"/>
  <c r="G19" i="68"/>
  <c r="D1745" i="209"/>
  <c r="G1745" i="209" s="1"/>
  <c r="K1631" i="209"/>
  <c r="O1631" i="209" s="1"/>
  <c r="J33" i="27"/>
  <c r="AH67" i="190"/>
  <c r="AD73" i="190"/>
  <c r="CS15" i="190"/>
  <c r="CR45" i="190"/>
  <c r="D1741" i="209"/>
  <c r="G1741" i="209" s="1"/>
  <c r="K1627" i="209"/>
  <c r="O1627" i="209" s="1"/>
  <c r="J29" i="27"/>
  <c r="D1752" i="209"/>
  <c r="G1752" i="209" s="1"/>
  <c r="K1638" i="209"/>
  <c r="O1638" i="209" s="1"/>
  <c r="J40" i="27"/>
  <c r="H166" i="120"/>
  <c r="H167" i="120"/>
  <c r="O387" i="210"/>
  <c r="I433" i="210" s="1"/>
  <c r="I398" i="210"/>
  <c r="O398" i="210" s="1"/>
  <c r="G195" i="210"/>
  <c r="I195" i="210"/>
  <c r="O452" i="209"/>
  <c r="I561" i="209"/>
  <c r="D1739" i="209"/>
  <c r="G1739" i="209" s="1"/>
  <c r="K1625" i="209"/>
  <c r="J27" i="27"/>
  <c r="I406" i="210"/>
  <c r="O406" i="210" s="1"/>
  <c r="O389" i="210"/>
  <c r="I435" i="210" s="1"/>
  <c r="X52" i="170"/>
  <c r="M53" i="170"/>
  <c r="D1800" i="209"/>
  <c r="G1800" i="209" s="1"/>
  <c r="K1686" i="209"/>
  <c r="O1686" i="209" s="1"/>
  <c r="J84" i="27"/>
  <c r="D410" i="210"/>
  <c r="G410" i="210" s="1"/>
  <c r="G390" i="210"/>
  <c r="D436" i="210" s="1"/>
  <c r="D1798" i="209"/>
  <c r="G1798" i="209" s="1"/>
  <c r="K1684" i="209"/>
  <c r="O1684" i="209" s="1"/>
  <c r="J82" i="27"/>
  <c r="D398" i="210"/>
  <c r="G398" i="210" s="1"/>
  <c r="G387" i="210"/>
  <c r="D433" i="210" s="1"/>
  <c r="D1748" i="209"/>
  <c r="G1748" i="209" s="1"/>
  <c r="J36" i="27"/>
  <c r="C32" i="49"/>
  <c r="I34" i="49"/>
  <c r="D388" i="209"/>
  <c r="G285" i="209"/>
  <c r="G325" i="209" s="1"/>
  <c r="G329" i="209" s="1"/>
  <c r="G340" i="209" s="1"/>
  <c r="L95" i="42"/>
  <c r="I1923" i="209"/>
  <c r="O1923" i="209" s="1"/>
  <c r="O1649" i="209"/>
  <c r="K102" i="42"/>
  <c r="I1817" i="209"/>
  <c r="O1817" i="209" s="1"/>
  <c r="L3646" i="209"/>
  <c r="J48" i="196"/>
  <c r="J162" i="196" s="1"/>
  <c r="O354" i="210"/>
  <c r="I400" i="210" s="1"/>
  <c r="D1753" i="209"/>
  <c r="G1753" i="209" s="1"/>
  <c r="J41" i="27"/>
  <c r="O550" i="209"/>
  <c r="I551" i="209"/>
  <c r="D1793" i="209"/>
  <c r="G1793" i="209" s="1"/>
  <c r="K1679" i="209"/>
  <c r="O1679" i="209" s="1"/>
  <c r="J77" i="27"/>
  <c r="D1750" i="209"/>
  <c r="G1750" i="209" s="1"/>
  <c r="J38" i="27"/>
  <c r="I410" i="210"/>
  <c r="O410" i="210" s="1"/>
  <c r="O390" i="210"/>
  <c r="I436" i="210" s="1"/>
  <c r="L104" i="42"/>
  <c r="I1933" i="209"/>
  <c r="O1933" i="209" s="1"/>
  <c r="D1818" i="209"/>
  <c r="G1818" i="209" s="1"/>
  <c r="J97" i="27"/>
  <c r="O362" i="210"/>
  <c r="I408" i="210" s="1"/>
  <c r="I407" i="210" s="1"/>
  <c r="O407" i="210" s="1"/>
  <c r="K1647" i="209"/>
  <c r="O1647" i="209" s="1"/>
  <c r="D1761" i="209"/>
  <c r="G1761" i="209" s="1"/>
  <c r="J49" i="27"/>
  <c r="D1751" i="209"/>
  <c r="G1751" i="209" s="1"/>
  <c r="K1637" i="209"/>
  <c r="O1637" i="209" s="1"/>
  <c r="J39" i="27"/>
  <c r="CN14" i="190"/>
  <c r="CR13" i="190"/>
  <c r="X114" i="170"/>
  <c r="K1635" i="209"/>
  <c r="O1635" i="209" s="1"/>
  <c r="D1749" i="209"/>
  <c r="G1749" i="209" s="1"/>
  <c r="J37" i="27"/>
  <c r="D1740" i="209"/>
  <c r="G1740" i="209" s="1"/>
  <c r="K1626" i="209"/>
  <c r="O1626" i="209" s="1"/>
  <c r="J28" i="27"/>
  <c r="G366" i="210"/>
  <c r="D412" i="210" s="1"/>
  <c r="D411" i="210" s="1"/>
  <c r="G411" i="210" s="1"/>
  <c r="D1796" i="209"/>
  <c r="G1796" i="209" s="1"/>
  <c r="K1682" i="209"/>
  <c r="O1682" i="209" s="1"/>
  <c r="J80" i="27"/>
  <c r="P12" i="195"/>
  <c r="P61" i="195" s="1"/>
  <c r="P119" i="195" s="1"/>
  <c r="O61" i="195"/>
  <c r="O119" i="195" s="1"/>
  <c r="G207" i="210"/>
  <c r="D248" i="210"/>
  <c r="D1731" i="209"/>
  <c r="G1731" i="209" s="1"/>
  <c r="J19" i="27"/>
  <c r="N33" i="213" l="1"/>
  <c r="N46" i="213" s="1"/>
  <c r="I411" i="210"/>
  <c r="O411" i="210" s="1"/>
  <c r="I357" i="210"/>
  <c r="O357" i="210" s="1"/>
  <c r="I211" i="210"/>
  <c r="O211" i="210" s="1"/>
  <c r="D449" i="210"/>
  <c r="G449" i="210" s="1"/>
  <c r="I402" i="210"/>
  <c r="O402" i="210" s="1"/>
  <c r="O388" i="210"/>
  <c r="I434" i="210" s="1"/>
  <c r="O358" i="210"/>
  <c r="I404" i="210" s="1"/>
  <c r="CN63" i="190"/>
  <c r="D1904" i="209"/>
  <c r="G1904" i="209" s="1"/>
  <c r="K1790" i="209"/>
  <c r="K74" i="27"/>
  <c r="O1643" i="209"/>
  <c r="K46" i="42" s="1"/>
  <c r="K76" i="42"/>
  <c r="I1790" i="209"/>
  <c r="O1790" i="209" s="1"/>
  <c r="K84" i="42"/>
  <c r="I1798" i="209"/>
  <c r="K74" i="42"/>
  <c r="I1788" i="209"/>
  <c r="K48" i="42"/>
  <c r="I1759" i="209"/>
  <c r="K40" i="42"/>
  <c r="I1751" i="209"/>
  <c r="CS45" i="190"/>
  <c r="CW15" i="190"/>
  <c r="K54" i="42"/>
  <c r="I1765" i="209"/>
  <c r="M19" i="68"/>
  <c r="K82" i="42"/>
  <c r="I1796" i="209"/>
  <c r="K38" i="42"/>
  <c r="I1749" i="209"/>
  <c r="K1751" i="209"/>
  <c r="D1865" i="209"/>
  <c r="G1865" i="209" s="1"/>
  <c r="K39" i="27"/>
  <c r="D1867" i="209"/>
  <c r="G1867" i="209" s="1"/>
  <c r="K41" i="27"/>
  <c r="L102" i="42"/>
  <c r="I1931" i="209"/>
  <c r="O1931" i="209" s="1"/>
  <c r="D1862" i="209"/>
  <c r="G1862" i="209" s="1"/>
  <c r="K36" i="27"/>
  <c r="O408" i="210"/>
  <c r="I454" i="210" s="1"/>
  <c r="I444" i="210"/>
  <c r="O444" i="210" s="1"/>
  <c r="O433" i="210"/>
  <c r="I479" i="210" s="1"/>
  <c r="K1745" i="209"/>
  <c r="D1859" i="209"/>
  <c r="G1859" i="209" s="1"/>
  <c r="K33" i="27"/>
  <c r="K80" i="42"/>
  <c r="I1794" i="209"/>
  <c r="C49" i="49"/>
  <c r="I50" i="49"/>
  <c r="K51" i="42"/>
  <c r="I1762" i="209"/>
  <c r="K1765" i="209"/>
  <c r="D1879" i="209"/>
  <c r="G1879" i="209" s="1"/>
  <c r="K53" i="27"/>
  <c r="K36" i="42"/>
  <c r="I1747" i="209"/>
  <c r="AH75" i="190"/>
  <c r="AD77" i="190"/>
  <c r="K1789" i="209"/>
  <c r="D1903" i="209"/>
  <c r="G1903" i="209" s="1"/>
  <c r="K73" i="27"/>
  <c r="D1729" i="209"/>
  <c r="G1729" i="209" s="1"/>
  <c r="J17" i="27"/>
  <c r="D1844" i="209"/>
  <c r="G1844" i="209" s="1"/>
  <c r="K18" i="27"/>
  <c r="D1933" i="209"/>
  <c r="G1933" i="209" s="1"/>
  <c r="K98" i="27"/>
  <c r="M33" i="213"/>
  <c r="K1788" i="209"/>
  <c r="D1902" i="209"/>
  <c r="G1902" i="209" s="1"/>
  <c r="K72" i="27"/>
  <c r="K33" i="42"/>
  <c r="I1744" i="209"/>
  <c r="D1880" i="209"/>
  <c r="G1880" i="209" s="1"/>
  <c r="K1766" i="209"/>
  <c r="K54" i="27"/>
  <c r="G566" i="209"/>
  <c r="D675" i="209"/>
  <c r="K1794" i="209"/>
  <c r="D1908" i="209"/>
  <c r="G1908" i="209" s="1"/>
  <c r="K78" i="27"/>
  <c r="D1910" i="209"/>
  <c r="G1910" i="209" s="1"/>
  <c r="K1796" i="209"/>
  <c r="K80" i="27"/>
  <c r="D1864" i="209"/>
  <c r="G1864" i="209" s="1"/>
  <c r="K38" i="27"/>
  <c r="O561" i="209"/>
  <c r="I566" i="209"/>
  <c r="H78" i="196" s="1"/>
  <c r="M78" i="196" s="1"/>
  <c r="K41" i="42"/>
  <c r="I1752" i="209"/>
  <c r="M17" i="42"/>
  <c r="I1957" i="209"/>
  <c r="O1957" i="209" s="1"/>
  <c r="I597" i="209"/>
  <c r="G408" i="210"/>
  <c r="D454" i="210" s="1"/>
  <c r="K33" i="45"/>
  <c r="K43" i="42"/>
  <c r="I1754" i="209"/>
  <c r="D1861" i="209"/>
  <c r="G1861" i="209" s="1"/>
  <c r="K1747" i="209"/>
  <c r="K35" i="27"/>
  <c r="K75" i="42"/>
  <c r="I1789" i="209"/>
  <c r="M21" i="42"/>
  <c r="I1961" i="209"/>
  <c r="O1961" i="209" s="1"/>
  <c r="I452" i="210"/>
  <c r="O452" i="210" s="1"/>
  <c r="O435" i="210"/>
  <c r="I481" i="210" s="1"/>
  <c r="K31" i="42"/>
  <c r="I1742" i="209"/>
  <c r="D1932" i="209"/>
  <c r="G1932" i="209" s="1"/>
  <c r="K97" i="27"/>
  <c r="O1625" i="209"/>
  <c r="K1752" i="209"/>
  <c r="D1866" i="209"/>
  <c r="G1866" i="209" s="1"/>
  <c r="K40" i="27"/>
  <c r="K83" i="42"/>
  <c r="I1797" i="209"/>
  <c r="K77" i="42"/>
  <c r="I1791" i="209"/>
  <c r="D452" i="210"/>
  <c r="G452" i="210" s="1"/>
  <c r="G435" i="210"/>
  <c r="D481" i="210" s="1"/>
  <c r="K1754" i="209"/>
  <c r="D1868" i="209"/>
  <c r="G1868" i="209" s="1"/>
  <c r="K42" i="27"/>
  <c r="M20" i="42"/>
  <c r="I1960" i="209"/>
  <c r="O1960" i="209" s="1"/>
  <c r="D494" i="210"/>
  <c r="G494" i="210" s="1"/>
  <c r="G480" i="210"/>
  <c r="D526" i="210" s="1"/>
  <c r="Y117" i="171"/>
  <c r="K1755" i="209"/>
  <c r="D1869" i="209"/>
  <c r="G1869" i="209" s="1"/>
  <c r="K43" i="27"/>
  <c r="I37" i="49"/>
  <c r="D39" i="49"/>
  <c r="L3760" i="209"/>
  <c r="J49" i="196"/>
  <c r="J163" i="196" s="1"/>
  <c r="AC80" i="190"/>
  <c r="AC82" i="190" s="1"/>
  <c r="AC85" i="190" s="1"/>
  <c r="AD79" i="190"/>
  <c r="M27" i="42"/>
  <c r="I1966" i="209"/>
  <c r="O1966" i="209" s="1"/>
  <c r="L101" i="42"/>
  <c r="I1930" i="209"/>
  <c r="O1930" i="209" s="1"/>
  <c r="J25" i="154"/>
  <c r="K25" i="154" s="1"/>
  <c r="H26" i="154"/>
  <c r="H133" i="196"/>
  <c r="M133" i="196" s="1"/>
  <c r="M19" i="196"/>
  <c r="K1761" i="209"/>
  <c r="D1875" i="209"/>
  <c r="G1875" i="209" s="1"/>
  <c r="K49" i="27"/>
  <c r="K50" i="42"/>
  <c r="I1761" i="209"/>
  <c r="O1761" i="209" s="1"/>
  <c r="M104" i="42"/>
  <c r="I2047" i="209"/>
  <c r="O2047" i="209" s="1"/>
  <c r="K79" i="42"/>
  <c r="I1793" i="209"/>
  <c r="D1853" i="209"/>
  <c r="G1853" i="209" s="1"/>
  <c r="K1739" i="209"/>
  <c r="K27" i="27"/>
  <c r="K1797" i="209"/>
  <c r="D1911" i="209"/>
  <c r="G1911" i="209" s="1"/>
  <c r="K81" i="27"/>
  <c r="Y117" i="170"/>
  <c r="K103" i="42"/>
  <c r="I1818" i="209"/>
  <c r="O1818" i="209" s="1"/>
  <c r="M18" i="42"/>
  <c r="I1958" i="209"/>
  <c r="O1958" i="209" s="1"/>
  <c r="D1847" i="209"/>
  <c r="G1847" i="209" s="1"/>
  <c r="K21" i="27"/>
  <c r="K47" i="42"/>
  <c r="I1758" i="209"/>
  <c r="G450" i="210"/>
  <c r="D496" i="210" s="1"/>
  <c r="Y180" i="171"/>
  <c r="X118" i="171"/>
  <c r="Y118" i="171" s="1"/>
  <c r="M119" i="171"/>
  <c r="K44" i="42"/>
  <c r="I1755" i="209"/>
  <c r="I248" i="210"/>
  <c r="O207" i="210"/>
  <c r="K1763" i="209"/>
  <c r="D1877" i="209"/>
  <c r="G1877" i="209" s="1"/>
  <c r="K51" i="27"/>
  <c r="L3853" i="209"/>
  <c r="L3859" i="209" s="1"/>
  <c r="L3863" i="209" s="1"/>
  <c r="L3953" i="209"/>
  <c r="K1749" i="209"/>
  <c r="D1863" i="209"/>
  <c r="G1863" i="209" s="1"/>
  <c r="K37" i="27"/>
  <c r="D1876" i="209"/>
  <c r="G1876" i="209" s="1"/>
  <c r="K1762" i="209"/>
  <c r="K50" i="27"/>
  <c r="D467" i="209"/>
  <c r="O412" i="209"/>
  <c r="K55" i="42"/>
  <c r="I1766" i="209"/>
  <c r="G388" i="209"/>
  <c r="D399" i="209"/>
  <c r="D439" i="209" s="1"/>
  <c r="D443" i="209" s="1"/>
  <c r="K1793" i="209"/>
  <c r="D1907" i="209"/>
  <c r="G1907" i="209" s="1"/>
  <c r="K77" i="27"/>
  <c r="C34" i="49"/>
  <c r="I36" i="49"/>
  <c r="AH73" i="190"/>
  <c r="AI67" i="190"/>
  <c r="D1909" i="209"/>
  <c r="G1909" i="209" s="1"/>
  <c r="K79" i="27"/>
  <c r="M119" i="170"/>
  <c r="X118" i="170"/>
  <c r="Y118" i="170" s="1"/>
  <c r="D1905" i="209"/>
  <c r="G1905" i="209" s="1"/>
  <c r="K1791" i="209"/>
  <c r="K75" i="27"/>
  <c r="D1906" i="209"/>
  <c r="G1906" i="209" s="1"/>
  <c r="K76" i="27"/>
  <c r="D1872" i="209"/>
  <c r="G1872" i="209" s="1"/>
  <c r="K1758" i="209"/>
  <c r="K46" i="27"/>
  <c r="K1759" i="209"/>
  <c r="D1873" i="209"/>
  <c r="G1873" i="209" s="1"/>
  <c r="K47" i="27"/>
  <c r="H33" i="206"/>
  <c r="G34" i="206"/>
  <c r="D1857" i="209"/>
  <c r="G1857" i="209" s="1"/>
  <c r="K1743" i="209"/>
  <c r="K31" i="27"/>
  <c r="K49" i="42"/>
  <c r="I1760" i="209"/>
  <c r="D1846" i="209"/>
  <c r="G1846" i="209" s="1"/>
  <c r="K20" i="27"/>
  <c r="M182" i="171"/>
  <c r="X181" i="171"/>
  <c r="Y181" i="171" s="1"/>
  <c r="K53" i="42"/>
  <c r="I1764" i="209"/>
  <c r="O212" i="210"/>
  <c r="I258" i="210" s="1"/>
  <c r="D1816" i="209"/>
  <c r="G1816" i="209" s="1"/>
  <c r="J95" i="27"/>
  <c r="K34" i="42"/>
  <c r="I1745" i="209"/>
  <c r="O1745" i="209" s="1"/>
  <c r="K1744" i="209"/>
  <c r="D1858" i="209"/>
  <c r="G1858" i="209" s="1"/>
  <c r="K32" i="27"/>
  <c r="K1798" i="209"/>
  <c r="D1912" i="209"/>
  <c r="G1912" i="209" s="1"/>
  <c r="K82" i="27"/>
  <c r="K86" i="42"/>
  <c r="I1800" i="209"/>
  <c r="K29" i="42"/>
  <c r="I1740" i="209"/>
  <c r="K52" i="42"/>
  <c r="I1763" i="209"/>
  <c r="D241" i="210"/>
  <c r="O195" i="210"/>
  <c r="H119" i="120"/>
  <c r="H131" i="120"/>
  <c r="H88" i="120"/>
  <c r="H86" i="120"/>
  <c r="K30" i="42"/>
  <c r="I1741" i="209"/>
  <c r="D1845" i="209"/>
  <c r="G1845" i="209" s="1"/>
  <c r="K19" i="27"/>
  <c r="K1740" i="209"/>
  <c r="D1854" i="209"/>
  <c r="G1854" i="209" s="1"/>
  <c r="K28" i="27"/>
  <c r="I456" i="210"/>
  <c r="O456" i="210" s="1"/>
  <c r="O436" i="210"/>
  <c r="I482" i="210" s="1"/>
  <c r="I399" i="210"/>
  <c r="O399" i="210" s="1"/>
  <c r="O400" i="210" s="1"/>
  <c r="I446" i="210" s="1"/>
  <c r="G433" i="210"/>
  <c r="D479" i="210" s="1"/>
  <c r="D444" i="210"/>
  <c r="G444" i="210" s="1"/>
  <c r="D456" i="210"/>
  <c r="G456" i="210" s="1"/>
  <c r="G436" i="210"/>
  <c r="D482" i="210" s="1"/>
  <c r="D1914" i="209"/>
  <c r="G1914" i="209" s="1"/>
  <c r="K1800" i="209"/>
  <c r="K84" i="27"/>
  <c r="K1741" i="209"/>
  <c r="D1855" i="209"/>
  <c r="G1855" i="209" s="1"/>
  <c r="K29" i="27"/>
  <c r="I26" i="155"/>
  <c r="J26" i="155" s="1"/>
  <c r="K26" i="155" s="1"/>
  <c r="H27" i="155"/>
  <c r="M39" i="171"/>
  <c r="X38" i="171"/>
  <c r="Y38" i="171" s="1"/>
  <c r="M19" i="42"/>
  <c r="I1959" i="209"/>
  <c r="O1959" i="209" s="1"/>
  <c r="M35" i="42"/>
  <c r="I1974" i="209"/>
  <c r="O1974" i="209" s="1"/>
  <c r="CR60" i="190"/>
  <c r="CS46" i="190"/>
  <c r="C133" i="196"/>
  <c r="F133" i="196" s="1"/>
  <c r="F19" i="196"/>
  <c r="O388" i="209"/>
  <c r="I399" i="209"/>
  <c r="I439" i="209" s="1"/>
  <c r="I443" i="209" s="1"/>
  <c r="D1913" i="209"/>
  <c r="G1913" i="209" s="1"/>
  <c r="K1799" i="209"/>
  <c r="K83" i="27"/>
  <c r="O480" i="209"/>
  <c r="I588" i="209"/>
  <c r="K32" i="42"/>
  <c r="I1743" i="209"/>
  <c r="O1743" i="209" s="1"/>
  <c r="CR62" i="190"/>
  <c r="CS61" i="190"/>
  <c r="K1760" i="209"/>
  <c r="D1874" i="209"/>
  <c r="G1874" i="209" s="1"/>
  <c r="K48" i="27"/>
  <c r="D1852" i="209"/>
  <c r="G1852" i="209" s="1"/>
  <c r="K26" i="27"/>
  <c r="K1764" i="209"/>
  <c r="D1878" i="209"/>
  <c r="G1878" i="209" s="1"/>
  <c r="K52" i="27"/>
  <c r="D1817" i="209"/>
  <c r="G1817" i="209" s="1"/>
  <c r="J96" i="27"/>
  <c r="G588" i="209"/>
  <c r="D594" i="209"/>
  <c r="D1871" i="209"/>
  <c r="G1871" i="209" s="1"/>
  <c r="K45" i="27"/>
  <c r="M95" i="42"/>
  <c r="I2037" i="209"/>
  <c r="O2037" i="209" s="1"/>
  <c r="Y52" i="170"/>
  <c r="M81" i="42"/>
  <c r="I2023" i="209"/>
  <c r="O2023" i="209" s="1"/>
  <c r="CS13" i="190"/>
  <c r="CR14" i="190"/>
  <c r="D256" i="210"/>
  <c r="G256" i="210" s="1"/>
  <c r="G248" i="210"/>
  <c r="D253" i="210"/>
  <c r="O412" i="210"/>
  <c r="I458" i="210" s="1"/>
  <c r="I457" i="210" s="1"/>
  <c r="O457" i="210" s="1"/>
  <c r="I664" i="209"/>
  <c r="O551" i="209"/>
  <c r="G400" i="210"/>
  <c r="D446" i="210" s="1"/>
  <c r="G412" i="210"/>
  <c r="D458" i="210" s="1"/>
  <c r="D457" i="210" s="1"/>
  <c r="G457" i="210" s="1"/>
  <c r="X53" i="170"/>
  <c r="Y53" i="170" s="1"/>
  <c r="M54" i="170"/>
  <c r="K1742" i="209"/>
  <c r="D1856" i="209"/>
  <c r="G1856" i="209" s="1"/>
  <c r="K30" i="27"/>
  <c r="I661" i="209"/>
  <c r="O647" i="209"/>
  <c r="K85" i="42"/>
  <c r="I1799" i="209"/>
  <c r="G597" i="209"/>
  <c r="M78" i="42"/>
  <c r="I2020" i="209"/>
  <c r="O2020" i="209" s="1"/>
  <c r="CS6" i="190"/>
  <c r="CR12" i="190"/>
  <c r="G661" i="209"/>
  <c r="D761" i="209"/>
  <c r="P33" i="213"/>
  <c r="P46" i="213" s="1"/>
  <c r="D1860" i="209"/>
  <c r="G1860" i="209" s="1"/>
  <c r="K34" i="27"/>
  <c r="G665" i="209"/>
  <c r="D778" i="209"/>
  <c r="I1757" i="209" l="1"/>
  <c r="I403" i="210"/>
  <c r="O403" i="210" s="1"/>
  <c r="I445" i="210"/>
  <c r="O445" i="210" s="1"/>
  <c r="D453" i="210"/>
  <c r="G453" i="210" s="1"/>
  <c r="I453" i="210"/>
  <c r="O453" i="210" s="1"/>
  <c r="I448" i="210"/>
  <c r="O448" i="210" s="1"/>
  <c r="O434" i="210"/>
  <c r="I480" i="210" s="1"/>
  <c r="O404" i="210"/>
  <c r="I450" i="210" s="1"/>
  <c r="I449" i="210" s="1"/>
  <c r="O449" i="210" s="1"/>
  <c r="O1741" i="209"/>
  <c r="I1855" i="209" s="1"/>
  <c r="O1760" i="209"/>
  <c r="I1874" i="209" s="1"/>
  <c r="O1766" i="209"/>
  <c r="I1880" i="209" s="1"/>
  <c r="O1758" i="209"/>
  <c r="L47" i="42" s="1"/>
  <c r="O1799" i="209"/>
  <c r="L85" i="42" s="1"/>
  <c r="O1800" i="209"/>
  <c r="L86" i="42" s="1"/>
  <c r="O1797" i="209"/>
  <c r="L83" i="42" s="1"/>
  <c r="O1763" i="209"/>
  <c r="L52" i="42" s="1"/>
  <c r="L76" i="42"/>
  <c r="I1904" i="209"/>
  <c r="O1740" i="209"/>
  <c r="L29" i="42" s="1"/>
  <c r="O1765" i="209"/>
  <c r="D2018" i="209"/>
  <c r="G2018" i="209" s="1"/>
  <c r="K1904" i="209"/>
  <c r="L74" i="27"/>
  <c r="N20" i="42"/>
  <c r="I2074" i="209"/>
  <c r="O2074" i="209" s="1"/>
  <c r="G481" i="210"/>
  <c r="D527" i="210" s="1"/>
  <c r="D498" i="210"/>
  <c r="G498" i="210" s="1"/>
  <c r="I498" i="210"/>
  <c r="O498" i="210" s="1"/>
  <c r="O481" i="210"/>
  <c r="I527" i="210" s="1"/>
  <c r="O566" i="209"/>
  <c r="I675" i="209"/>
  <c r="D2017" i="209"/>
  <c r="G2017" i="209" s="1"/>
  <c r="K1903" i="209"/>
  <c r="L73" i="27"/>
  <c r="D1973" i="209"/>
  <c r="G1973" i="209" s="1"/>
  <c r="K1859" i="209"/>
  <c r="L33" i="27"/>
  <c r="D1981" i="209"/>
  <c r="G1981" i="209" s="1"/>
  <c r="L41" i="27"/>
  <c r="D1974" i="209"/>
  <c r="G1974" i="209" s="1"/>
  <c r="L34" i="27"/>
  <c r="G778" i="209"/>
  <c r="D779" i="209"/>
  <c r="D711" i="209"/>
  <c r="K1907" i="209"/>
  <c r="D2021" i="209"/>
  <c r="G2021" i="209" s="1"/>
  <c r="L77" i="27"/>
  <c r="D490" i="210"/>
  <c r="G490" i="210" s="1"/>
  <c r="G479" i="210"/>
  <c r="D525" i="210" s="1"/>
  <c r="L30" i="42"/>
  <c r="K1858" i="209"/>
  <c r="D1972" i="209"/>
  <c r="G1972" i="209" s="1"/>
  <c r="L32" i="27"/>
  <c r="K1873" i="209"/>
  <c r="D1987" i="209"/>
  <c r="G1987" i="209" s="1"/>
  <c r="L47" i="27"/>
  <c r="L3967" i="209"/>
  <c r="L3973" i="209" s="1"/>
  <c r="L3977" i="209" s="1"/>
  <c r="L4067" i="209"/>
  <c r="L4081" i="209" s="1"/>
  <c r="L4087" i="209" s="1"/>
  <c r="L4091" i="209" s="1"/>
  <c r="I256" i="210"/>
  <c r="O256" i="210" s="1"/>
  <c r="O248" i="210"/>
  <c r="I253" i="210"/>
  <c r="L50" i="42"/>
  <c r="I1875" i="209"/>
  <c r="G454" i="210"/>
  <c r="D500" i="210" s="1"/>
  <c r="D499" i="210" s="1"/>
  <c r="G499" i="210" s="1"/>
  <c r="O454" i="210"/>
  <c r="I500" i="210" s="1"/>
  <c r="D2047" i="209"/>
  <c r="G2047" i="209" s="1"/>
  <c r="L98" i="27"/>
  <c r="G16" i="207"/>
  <c r="K19" i="68"/>
  <c r="F36" i="64"/>
  <c r="O1751" i="209"/>
  <c r="CW13" i="190"/>
  <c r="CS14" i="190"/>
  <c r="K1878" i="209"/>
  <c r="D1992" i="209"/>
  <c r="G1992" i="209" s="1"/>
  <c r="L52" i="27"/>
  <c r="N27" i="42"/>
  <c r="I2080" i="209"/>
  <c r="O2080" i="209" s="1"/>
  <c r="CR63" i="190"/>
  <c r="G594" i="209"/>
  <c r="D702" i="209"/>
  <c r="CS12" i="190"/>
  <c r="CW6" i="190"/>
  <c r="I665" i="209"/>
  <c r="O664" i="209"/>
  <c r="N95" i="42"/>
  <c r="I2151" i="209"/>
  <c r="O2151" i="209" s="1"/>
  <c r="N19" i="42"/>
  <c r="I2073" i="209"/>
  <c r="O2073" i="209" s="1"/>
  <c r="D1930" i="209"/>
  <c r="G1930" i="209" s="1"/>
  <c r="K95" i="27"/>
  <c r="L3874" i="209"/>
  <c r="J50" i="196"/>
  <c r="J164" i="196" s="1"/>
  <c r="AH79" i="190"/>
  <c r="AD80" i="190"/>
  <c r="AD82" i="190" s="1"/>
  <c r="AD85" i="190" s="1"/>
  <c r="D2046" i="209"/>
  <c r="G2046" i="209" s="1"/>
  <c r="L97" i="27"/>
  <c r="N21" i="42"/>
  <c r="I2075" i="209"/>
  <c r="O2075" i="209" s="1"/>
  <c r="O1744" i="209"/>
  <c r="I51" i="49"/>
  <c r="C50" i="49"/>
  <c r="I490" i="210"/>
  <c r="O490" i="210" s="1"/>
  <c r="O479" i="210"/>
  <c r="I525" i="210" s="1"/>
  <c r="D1979" i="209"/>
  <c r="G1979" i="209" s="1"/>
  <c r="K1865" i="209"/>
  <c r="L39" i="27"/>
  <c r="O1788" i="209"/>
  <c r="K1853" i="209"/>
  <c r="D1967" i="209"/>
  <c r="G1967" i="209" s="1"/>
  <c r="L27" i="27"/>
  <c r="N78" i="42"/>
  <c r="I2134" i="209"/>
  <c r="O2134" i="209" s="1"/>
  <c r="M55" i="170"/>
  <c r="X54" i="170"/>
  <c r="Y54" i="170" s="1"/>
  <c r="N81" i="42"/>
  <c r="I2137" i="209"/>
  <c r="O2137" i="209" s="1"/>
  <c r="D2027" i="209"/>
  <c r="G2027" i="209" s="1"/>
  <c r="K1913" i="209"/>
  <c r="L83" i="27"/>
  <c r="L34" i="42"/>
  <c r="I1859" i="209"/>
  <c r="O1859" i="209" s="1"/>
  <c r="M183" i="171"/>
  <c r="M184" i="171" s="1"/>
  <c r="M185" i="171" s="1"/>
  <c r="M186" i="171" s="1"/>
  <c r="X182" i="171"/>
  <c r="Y182" i="171" s="1"/>
  <c r="Y183" i="171" s="1"/>
  <c r="AM67" i="190"/>
  <c r="AI73" i="190"/>
  <c r="D495" i="210"/>
  <c r="G495" i="210" s="1"/>
  <c r="G496" i="210" s="1"/>
  <c r="D542" i="210" s="1"/>
  <c r="D541" i="210" s="1"/>
  <c r="G541" i="210" s="1"/>
  <c r="D1961" i="209"/>
  <c r="G1961" i="209" s="1"/>
  <c r="L21" i="27"/>
  <c r="D2025" i="209"/>
  <c r="G2025" i="209" s="1"/>
  <c r="K1911" i="209"/>
  <c r="L81" i="27"/>
  <c r="D1980" i="209"/>
  <c r="G1980" i="209" s="1"/>
  <c r="K1866" i="209"/>
  <c r="L40" i="27"/>
  <c r="K1861" i="209"/>
  <c r="D1975" i="209"/>
  <c r="G1975" i="209" s="1"/>
  <c r="L35" i="27"/>
  <c r="O597" i="209"/>
  <c r="D1978" i="209"/>
  <c r="G1978" i="209" s="1"/>
  <c r="L38" i="27"/>
  <c r="AH77" i="190"/>
  <c r="AI75" i="190"/>
  <c r="O446" i="210"/>
  <c r="I492" i="210" s="1"/>
  <c r="L54" i="42"/>
  <c r="I1879" i="209"/>
  <c r="K1874" i="209"/>
  <c r="D1988" i="209"/>
  <c r="G1988" i="209" s="1"/>
  <c r="L48" i="27"/>
  <c r="D1931" i="209"/>
  <c r="G1931" i="209" s="1"/>
  <c r="K96" i="27"/>
  <c r="D1966" i="209"/>
  <c r="G1966" i="209" s="1"/>
  <c r="L26" i="27"/>
  <c r="CS62" i="190"/>
  <c r="CW61" i="190"/>
  <c r="D1969" i="209"/>
  <c r="G1969" i="209" s="1"/>
  <c r="K1855" i="209"/>
  <c r="L29" i="27"/>
  <c r="K1854" i="209"/>
  <c r="D1968" i="209"/>
  <c r="G1968" i="209" s="1"/>
  <c r="L28" i="27"/>
  <c r="K1856" i="209"/>
  <c r="D1970" i="209"/>
  <c r="G1970" i="209" s="1"/>
  <c r="L30" i="27"/>
  <c r="I454" i="209"/>
  <c r="H20" i="196"/>
  <c r="CW46" i="190"/>
  <c r="CS60" i="190"/>
  <c r="O1764" i="209"/>
  <c r="K1857" i="209"/>
  <c r="D1971" i="209"/>
  <c r="G1971" i="209" s="1"/>
  <c r="L31" i="27"/>
  <c r="D2019" i="209"/>
  <c r="G2019" i="209" s="1"/>
  <c r="K1905" i="209"/>
  <c r="L75" i="27"/>
  <c r="D454" i="209"/>
  <c r="C20" i="196"/>
  <c r="N18" i="42"/>
  <c r="I2072" i="209"/>
  <c r="O2072" i="209" s="1"/>
  <c r="I26" i="154"/>
  <c r="J26" i="154" s="1"/>
  <c r="K26" i="154" s="1"/>
  <c r="H27" i="154"/>
  <c r="D1982" i="209"/>
  <c r="G1982" i="209" s="1"/>
  <c r="K1868" i="209"/>
  <c r="L42" i="27"/>
  <c r="O1791" i="209"/>
  <c r="O1789" i="209"/>
  <c r="O1754" i="209"/>
  <c r="D2022" i="209"/>
  <c r="G2022" i="209" s="1"/>
  <c r="K1908" i="209"/>
  <c r="L78" i="27"/>
  <c r="D1958" i="209"/>
  <c r="G1958" i="209" s="1"/>
  <c r="L18" i="27"/>
  <c r="O1747" i="209"/>
  <c r="O1794" i="209"/>
  <c r="D1976" i="209"/>
  <c r="G1976" i="209" s="1"/>
  <c r="L36" i="27"/>
  <c r="O1749" i="209"/>
  <c r="D775" i="209"/>
  <c r="G761" i="209"/>
  <c r="I241" i="210"/>
  <c r="G241" i="210"/>
  <c r="I761" i="209"/>
  <c r="O661" i="209"/>
  <c r="D294" i="210"/>
  <c r="G253" i="210"/>
  <c r="D1985" i="209"/>
  <c r="G1985" i="209" s="1"/>
  <c r="L45" i="27"/>
  <c r="L32" i="42"/>
  <c r="I1857" i="209"/>
  <c r="I502" i="209"/>
  <c r="O399" i="209"/>
  <c r="O439" i="209" s="1"/>
  <c r="O443" i="209" s="1"/>
  <c r="O454" i="209" s="1"/>
  <c r="M40" i="171"/>
  <c r="M41" i="171" s="1"/>
  <c r="M42" i="171" s="1"/>
  <c r="M43" i="171" s="1"/>
  <c r="M44" i="171" s="1"/>
  <c r="M45" i="171" s="1"/>
  <c r="X39" i="171"/>
  <c r="Y39" i="171" s="1"/>
  <c r="Y40" i="171" s="1"/>
  <c r="Y42" i="171" s="1"/>
  <c r="D2028" i="209"/>
  <c r="G2028" i="209" s="1"/>
  <c r="K1914" i="209"/>
  <c r="L84" i="27"/>
  <c r="D1960" i="209"/>
  <c r="G1960" i="209" s="1"/>
  <c r="L20" i="27"/>
  <c r="D1986" i="209"/>
  <c r="G1986" i="209" s="1"/>
  <c r="K1872" i="209"/>
  <c r="L46" i="27"/>
  <c r="C36" i="49"/>
  <c r="I38" i="49"/>
  <c r="D502" i="209"/>
  <c r="G399" i="209"/>
  <c r="G439" i="209" s="1"/>
  <c r="G443" i="209" s="1"/>
  <c r="G454" i="209" s="1"/>
  <c r="K1863" i="209"/>
  <c r="D1977" i="209"/>
  <c r="G1977" i="209" s="1"/>
  <c r="L37" i="27"/>
  <c r="O1755" i="209"/>
  <c r="O1793" i="209"/>
  <c r="D1989" i="209"/>
  <c r="G1989" i="209" s="1"/>
  <c r="K1875" i="209"/>
  <c r="L49" i="27"/>
  <c r="K28" i="42"/>
  <c r="I1739" i="209"/>
  <c r="O1739" i="209" s="1"/>
  <c r="O1752" i="209"/>
  <c r="D2016" i="209"/>
  <c r="G2016" i="209" s="1"/>
  <c r="K1902" i="209"/>
  <c r="L72" i="27"/>
  <c r="D1993" i="209"/>
  <c r="G1993" i="209" s="1"/>
  <c r="K1879" i="209"/>
  <c r="L53" i="27"/>
  <c r="M102" i="42"/>
  <c r="I2045" i="209"/>
  <c r="O2045" i="209" s="1"/>
  <c r="CW45" i="190"/>
  <c r="CX15" i="190"/>
  <c r="O1798" i="209"/>
  <c r="D2023" i="209"/>
  <c r="G2023" i="209" s="1"/>
  <c r="L79" i="27"/>
  <c r="D445" i="210"/>
  <c r="G445" i="210" s="1"/>
  <c r="G446" i="210" s="1"/>
  <c r="D492" i="210" s="1"/>
  <c r="D491" i="210" s="1"/>
  <c r="G491" i="210" s="1"/>
  <c r="G258" i="210"/>
  <c r="D304" i="210" s="1"/>
  <c r="N35" i="42"/>
  <c r="I2088" i="209"/>
  <c r="O2088" i="209" s="1"/>
  <c r="J27" i="155"/>
  <c r="H29" i="155"/>
  <c r="D502" i="210"/>
  <c r="G502" i="210" s="1"/>
  <c r="G482" i="210"/>
  <c r="D528" i="210" s="1"/>
  <c r="I502" i="210"/>
  <c r="O502" i="210" s="1"/>
  <c r="O482" i="210"/>
  <c r="I528" i="210" s="1"/>
  <c r="D1959" i="209"/>
  <c r="G1959" i="209" s="1"/>
  <c r="L19" i="27"/>
  <c r="D2026" i="209"/>
  <c r="G2026" i="209" s="1"/>
  <c r="K1912" i="209"/>
  <c r="L82" i="27"/>
  <c r="H34" i="206"/>
  <c r="G35" i="206"/>
  <c r="X119" i="170"/>
  <c r="M120" i="170"/>
  <c r="K1877" i="209"/>
  <c r="D1991" i="209"/>
  <c r="G1991" i="209" s="1"/>
  <c r="L51" i="27"/>
  <c r="L103" i="42"/>
  <c r="I1932" i="209"/>
  <c r="O1932" i="209" s="1"/>
  <c r="M101" i="42"/>
  <c r="I2044" i="209"/>
  <c r="O2044" i="209" s="1"/>
  <c r="O1742" i="209"/>
  <c r="D257" i="210"/>
  <c r="G257" i="210" s="1"/>
  <c r="D2024" i="209"/>
  <c r="G2024" i="209" s="1"/>
  <c r="K1910" i="209"/>
  <c r="L80" i="27"/>
  <c r="G675" i="209"/>
  <c r="D680" i="209"/>
  <c r="C79" i="196" s="1"/>
  <c r="F79" i="196" s="1"/>
  <c r="D1843" i="209"/>
  <c r="G1843" i="209" s="1"/>
  <c r="K17" i="27"/>
  <c r="O1796" i="209"/>
  <c r="O1759" i="209"/>
  <c r="I594" i="209"/>
  <c r="O588" i="209"/>
  <c r="G458" i="210"/>
  <c r="D504" i="210" s="1"/>
  <c r="O458" i="210"/>
  <c r="I504" i="210" s="1"/>
  <c r="D2020" i="209"/>
  <c r="G2020" i="209" s="1"/>
  <c r="L76" i="27"/>
  <c r="I467" i="209"/>
  <c r="G467" i="209"/>
  <c r="D526" i="209"/>
  <c r="I526" i="209" s="1"/>
  <c r="D1990" i="209"/>
  <c r="G1990" i="209" s="1"/>
  <c r="K1876" i="209"/>
  <c r="L50" i="27"/>
  <c r="M120" i="171"/>
  <c r="X119" i="171"/>
  <c r="Y119" i="171" s="1"/>
  <c r="N104" i="42"/>
  <c r="I2161" i="209"/>
  <c r="O2161" i="209" s="1"/>
  <c r="D41" i="49"/>
  <c r="I39" i="49"/>
  <c r="D1983" i="209"/>
  <c r="G1983" i="209" s="1"/>
  <c r="K1869" i="209"/>
  <c r="L43" i="27"/>
  <c r="D540" i="210"/>
  <c r="G540" i="210" s="1"/>
  <c r="G526" i="210"/>
  <c r="D572" i="210" s="1"/>
  <c r="N17" i="42"/>
  <c r="I2071" i="209"/>
  <c r="O2071" i="209" s="1"/>
  <c r="D1994" i="209"/>
  <c r="G1994" i="209" s="1"/>
  <c r="K1880" i="209"/>
  <c r="L54" i="27"/>
  <c r="M46" i="213"/>
  <c r="K18" i="69"/>
  <c r="O1762" i="209"/>
  <c r="L49" i="42" l="1"/>
  <c r="L55" i="42"/>
  <c r="I1913" i="209"/>
  <c r="I1877" i="209"/>
  <c r="O1877" i="209" s="1"/>
  <c r="I1914" i="209"/>
  <c r="I1872" i="209"/>
  <c r="X40" i="171"/>
  <c r="X42" i="171" s="1"/>
  <c r="I499" i="210"/>
  <c r="O499" i="210" s="1"/>
  <c r="I257" i="210"/>
  <c r="O257" i="210" s="1"/>
  <c r="I494" i="210"/>
  <c r="O494" i="210" s="1"/>
  <c r="O480" i="210"/>
  <c r="I526" i="210" s="1"/>
  <c r="O450" i="210"/>
  <c r="I496" i="210" s="1"/>
  <c r="I491" i="210"/>
  <c r="O491" i="210" s="1"/>
  <c r="I1854" i="209"/>
  <c r="O1854" i="209" s="1"/>
  <c r="O1913" i="209"/>
  <c r="M85" i="42" s="1"/>
  <c r="O1904" i="209"/>
  <c r="M76" i="42" s="1"/>
  <c r="E58" i="214"/>
  <c r="E72" i="214" s="1"/>
  <c r="E78" i="214" s="1"/>
  <c r="I1911" i="209"/>
  <c r="O1911" i="209" s="1"/>
  <c r="D2132" i="209"/>
  <c r="G2132" i="209" s="1"/>
  <c r="K2018" i="209"/>
  <c r="M74" i="27"/>
  <c r="X120" i="171"/>
  <c r="Y120" i="171" s="1"/>
  <c r="M121" i="171"/>
  <c r="D2082" i="209"/>
  <c r="G2082" i="209" s="1"/>
  <c r="K1968" i="209"/>
  <c r="M28" i="27"/>
  <c r="D2102" i="209"/>
  <c r="G2102" i="209" s="1"/>
  <c r="K1988" i="209"/>
  <c r="M48" i="27"/>
  <c r="O17" i="42"/>
  <c r="I2185" i="209"/>
  <c r="O2185" i="209" s="1"/>
  <c r="L48" i="42"/>
  <c r="I1873" i="209"/>
  <c r="O1873" i="209" s="1"/>
  <c r="M121" i="170"/>
  <c r="X120" i="170"/>
  <c r="Y120" i="170" s="1"/>
  <c r="L51" i="42"/>
  <c r="I1876" i="209"/>
  <c r="O1876" i="209" s="1"/>
  <c r="L82" i="42"/>
  <c r="I1910" i="209"/>
  <c r="O1910" i="209" s="1"/>
  <c r="Y119" i="170"/>
  <c r="H32" i="155"/>
  <c r="I29" i="155"/>
  <c r="J29" i="155" s="1"/>
  <c r="L44" i="42"/>
  <c r="I1869" i="209"/>
  <c r="O1869" i="209" s="1"/>
  <c r="X45" i="171"/>
  <c r="M46" i="171"/>
  <c r="D2099" i="209"/>
  <c r="G2099" i="209" s="1"/>
  <c r="M45" i="27"/>
  <c r="L80" i="42"/>
  <c r="I1908" i="209"/>
  <c r="O1908" i="209" s="1"/>
  <c r="L43" i="42"/>
  <c r="I1868" i="209"/>
  <c r="O1868" i="209" s="1"/>
  <c r="D2045" i="209"/>
  <c r="G2045" i="209" s="1"/>
  <c r="L96" i="27"/>
  <c r="K1975" i="209"/>
  <c r="D2089" i="209"/>
  <c r="G2089" i="209" s="1"/>
  <c r="M35" i="27"/>
  <c r="D2075" i="209"/>
  <c r="G2075" i="209" s="1"/>
  <c r="M21" i="27"/>
  <c r="M34" i="42"/>
  <c r="I1973" i="209"/>
  <c r="L33" i="42"/>
  <c r="I1858" i="209"/>
  <c r="O1858" i="209" s="1"/>
  <c r="D2086" i="209"/>
  <c r="G2086" i="209" s="1"/>
  <c r="K1972" i="209"/>
  <c r="M32" i="27"/>
  <c r="D544" i="210"/>
  <c r="G544" i="210" s="1"/>
  <c r="G527" i="210"/>
  <c r="D573" i="210" s="1"/>
  <c r="D2083" i="209"/>
  <c r="G2083" i="209" s="1"/>
  <c r="K1969" i="209"/>
  <c r="M29" i="27"/>
  <c r="O1879" i="209"/>
  <c r="D2093" i="209"/>
  <c r="G2093" i="209" s="1"/>
  <c r="K1979" i="209"/>
  <c r="M39" i="27"/>
  <c r="X183" i="171"/>
  <c r="O19" i="42"/>
  <c r="I2187" i="209"/>
  <c r="O2187" i="209" s="1"/>
  <c r="I778" i="209"/>
  <c r="O665" i="209"/>
  <c r="G779" i="209"/>
  <c r="D892" i="209"/>
  <c r="I544" i="210"/>
  <c r="O544" i="210" s="1"/>
  <c r="O527" i="210"/>
  <c r="I573" i="210" s="1"/>
  <c r="O20" i="42"/>
  <c r="I2188" i="209"/>
  <c r="O2188" i="209" s="1"/>
  <c r="L41" i="42"/>
  <c r="I1866" i="209"/>
  <c r="O1866" i="209" s="1"/>
  <c r="G502" i="209"/>
  <c r="D513" i="209"/>
  <c r="D553" i="209" s="1"/>
  <c r="D557" i="209" s="1"/>
  <c r="L53" i="42"/>
  <c r="I1878" i="209"/>
  <c r="O1878" i="209" s="1"/>
  <c r="D2097" i="209"/>
  <c r="G2097" i="209" s="1"/>
  <c r="K1983" i="209"/>
  <c r="M43" i="27"/>
  <c r="O467" i="209"/>
  <c r="G526" i="209"/>
  <c r="I503" i="210"/>
  <c r="O503" i="210" s="1"/>
  <c r="O504" i="210" s="1"/>
  <c r="I550" i="210" s="1"/>
  <c r="H35" i="206"/>
  <c r="G36" i="206"/>
  <c r="D2107" i="209"/>
  <c r="G2107" i="209" s="1"/>
  <c r="K1993" i="209"/>
  <c r="M53" i="27"/>
  <c r="L36" i="42"/>
  <c r="I1861" i="209"/>
  <c r="O1861" i="209" s="1"/>
  <c r="D2096" i="209"/>
  <c r="G2096" i="209" s="1"/>
  <c r="K1982" i="209"/>
  <c r="M42" i="27"/>
  <c r="D2133" i="209"/>
  <c r="G2133" i="209" s="1"/>
  <c r="K2019" i="209"/>
  <c r="M75" i="27"/>
  <c r="D2138" i="209"/>
  <c r="G2138" i="209" s="1"/>
  <c r="K2024" i="209"/>
  <c r="M80" i="27"/>
  <c r="O35" i="42"/>
  <c r="I2202" i="209"/>
  <c r="O2202" i="209" s="1"/>
  <c r="L84" i="42"/>
  <c r="I1912" i="209"/>
  <c r="O1912" i="209" s="1"/>
  <c r="D2103" i="209"/>
  <c r="G2103" i="209" s="1"/>
  <c r="K1989" i="209"/>
  <c r="M49" i="27"/>
  <c r="D2100" i="209"/>
  <c r="G2100" i="209" s="1"/>
  <c r="K1986" i="209"/>
  <c r="M46" i="27"/>
  <c r="O502" i="209"/>
  <c r="I513" i="209"/>
  <c r="I553" i="209" s="1"/>
  <c r="I557" i="209" s="1"/>
  <c r="D302" i="210"/>
  <c r="G302" i="210" s="1"/>
  <c r="G294" i="210"/>
  <c r="D299" i="210"/>
  <c r="O1880" i="209"/>
  <c r="CW60" i="190"/>
  <c r="CX46" i="190"/>
  <c r="K1970" i="209"/>
  <c r="D2084" i="209"/>
  <c r="G2084" i="209" s="1"/>
  <c r="M30" i="27"/>
  <c r="D2092" i="209"/>
  <c r="G2092" i="209" s="1"/>
  <c r="M38" i="27"/>
  <c r="O1914" i="209"/>
  <c r="D2141" i="209"/>
  <c r="G2141" i="209" s="1"/>
  <c r="K2027" i="209"/>
  <c r="M83" i="27"/>
  <c r="O27" i="42"/>
  <c r="I2194" i="209"/>
  <c r="O2194" i="209" s="1"/>
  <c r="CX13" i="190"/>
  <c r="CW14" i="190"/>
  <c r="O253" i="210"/>
  <c r="I294" i="210"/>
  <c r="D2087" i="209"/>
  <c r="G2087" i="209" s="1"/>
  <c r="K1973" i="209"/>
  <c r="M33" i="27"/>
  <c r="O500" i="210"/>
  <c r="I546" i="210" s="1"/>
  <c r="D2134" i="209"/>
  <c r="G2134" i="209" s="1"/>
  <c r="M76" i="27"/>
  <c r="D1957" i="209"/>
  <c r="G1957" i="209" s="1"/>
  <c r="L17" i="27"/>
  <c r="F28" i="200"/>
  <c r="L75" i="42"/>
  <c r="I1903" i="209"/>
  <c r="O1903" i="209" s="1"/>
  <c r="D503" i="210"/>
  <c r="G503" i="210" s="1"/>
  <c r="G504" i="210" s="1"/>
  <c r="D550" i="210" s="1"/>
  <c r="D549" i="210" s="1"/>
  <c r="G549" i="210" s="1"/>
  <c r="D2091" i="209"/>
  <c r="G2091" i="209" s="1"/>
  <c r="K1977" i="209"/>
  <c r="M37" i="27"/>
  <c r="I702" i="209"/>
  <c r="O594" i="209"/>
  <c r="L31" i="42"/>
  <c r="I1856" i="209"/>
  <c r="O1856" i="209" s="1"/>
  <c r="N101" i="42"/>
  <c r="I2158" i="209"/>
  <c r="O2158" i="209" s="1"/>
  <c r="D2105" i="209"/>
  <c r="G2105" i="209" s="1"/>
  <c r="K1991" i="209"/>
  <c r="M51" i="27"/>
  <c r="D2073" i="209"/>
  <c r="G2073" i="209" s="1"/>
  <c r="M19" i="27"/>
  <c r="DB15" i="190"/>
  <c r="CX45" i="190"/>
  <c r="L28" i="42"/>
  <c r="I1853" i="209"/>
  <c r="O1853" i="209" s="1"/>
  <c r="L79" i="42"/>
  <c r="I1907" i="209"/>
  <c r="O1907" i="209" s="1"/>
  <c r="O1857" i="209"/>
  <c r="D287" i="210"/>
  <c r="O241" i="210"/>
  <c r="L38" i="42"/>
  <c r="I1863" i="209"/>
  <c r="O1863" i="209" s="1"/>
  <c r="D2072" i="209"/>
  <c r="G2072" i="209" s="1"/>
  <c r="M18" i="27"/>
  <c r="K1971" i="209"/>
  <c r="D2085" i="209"/>
  <c r="G2085" i="209" s="1"/>
  <c r="M31" i="27"/>
  <c r="H134" i="196"/>
  <c r="M134" i="196" s="1"/>
  <c r="M20" i="196"/>
  <c r="CX61" i="190"/>
  <c r="CW62" i="190"/>
  <c r="O1874" i="209"/>
  <c r="O81" i="42"/>
  <c r="I2251" i="209"/>
  <c r="O2251" i="209" s="1"/>
  <c r="K1967" i="209"/>
  <c r="D2081" i="209"/>
  <c r="G2081" i="209" s="1"/>
  <c r="M27" i="27"/>
  <c r="L40" i="42"/>
  <c r="I1865" i="209"/>
  <c r="O1865" i="209" s="1"/>
  <c r="D2161" i="209"/>
  <c r="G2161" i="209" s="1"/>
  <c r="M98" i="27"/>
  <c r="O258" i="210"/>
  <c r="I304" i="210" s="1"/>
  <c r="D2101" i="209"/>
  <c r="G2101" i="209" s="1"/>
  <c r="K1987" i="209"/>
  <c r="M47" i="27"/>
  <c r="G525" i="210"/>
  <c r="D571" i="210" s="1"/>
  <c r="D536" i="210"/>
  <c r="G536" i="210" s="1"/>
  <c r="D2135" i="209"/>
  <c r="G2135" i="209" s="1"/>
  <c r="K2021" i="209"/>
  <c r="M77" i="27"/>
  <c r="D2088" i="209"/>
  <c r="G2088" i="209" s="1"/>
  <c r="M34" i="27"/>
  <c r="O528" i="210"/>
  <c r="I574" i="210" s="1"/>
  <c r="I548" i="210"/>
  <c r="O548" i="210" s="1"/>
  <c r="K2016" i="209"/>
  <c r="D2130" i="209"/>
  <c r="G2130" i="209" s="1"/>
  <c r="M72" i="27"/>
  <c r="D2074" i="209"/>
  <c r="G2074" i="209" s="1"/>
  <c r="M20" i="27"/>
  <c r="D2142" i="209"/>
  <c r="G2142" i="209" s="1"/>
  <c r="K2028" i="209"/>
  <c r="M84" i="27"/>
  <c r="O761" i="209"/>
  <c r="I775" i="209"/>
  <c r="F20" i="196"/>
  <c r="C134" i="196"/>
  <c r="F134" i="196" s="1"/>
  <c r="AM73" i="190"/>
  <c r="AN67" i="190"/>
  <c r="I536" i="210"/>
  <c r="O536" i="210" s="1"/>
  <c r="O525" i="210"/>
  <c r="I571" i="210" s="1"/>
  <c r="D2044" i="209"/>
  <c r="G2044" i="209" s="1"/>
  <c r="L95" i="27"/>
  <c r="O1872" i="209"/>
  <c r="O1875" i="209"/>
  <c r="G492" i="210"/>
  <c r="D538" i="210" s="1"/>
  <c r="D537" i="210" s="1"/>
  <c r="G537" i="210" s="1"/>
  <c r="O492" i="210"/>
  <c r="I538" i="210" s="1"/>
  <c r="I537" i="210" s="1"/>
  <c r="O537" i="210" s="1"/>
  <c r="D2160" i="209"/>
  <c r="G2160" i="209" s="1"/>
  <c r="M97" i="27"/>
  <c r="AH80" i="190"/>
  <c r="AH82" i="190" s="1"/>
  <c r="AH85" i="190" s="1"/>
  <c r="AI79" i="190"/>
  <c r="O95" i="42"/>
  <c r="I2265" i="209"/>
  <c r="O2265" i="209" s="1"/>
  <c r="G702" i="209"/>
  <c r="D708" i="209"/>
  <c r="L4102" i="209"/>
  <c r="J52" i="196"/>
  <c r="J166" i="196" s="1"/>
  <c r="I680" i="209"/>
  <c r="H79" i="196" s="1"/>
  <c r="M79" i="196" s="1"/>
  <c r="O675" i="209"/>
  <c r="I711" i="209"/>
  <c r="D2108" i="209"/>
  <c r="G2108" i="209" s="1"/>
  <c r="K1994" i="209"/>
  <c r="M54" i="27"/>
  <c r="G542" i="210"/>
  <c r="D588" i="210" s="1"/>
  <c r="D587" i="210" s="1"/>
  <c r="G587" i="210" s="1"/>
  <c r="O104" i="42"/>
  <c r="I2275" i="209"/>
  <c r="O2275" i="209" s="1"/>
  <c r="K2026" i="209"/>
  <c r="D2140" i="209"/>
  <c r="G2140" i="209" s="1"/>
  <c r="M82" i="27"/>
  <c r="G528" i="210"/>
  <c r="D574" i="210" s="1"/>
  <c r="D548" i="210"/>
  <c r="G548" i="210" s="1"/>
  <c r="C38" i="49"/>
  <c r="C71" i="49" s="1"/>
  <c r="D20" i="34" s="1"/>
  <c r="F20" i="34" s="1"/>
  <c r="I40" i="49"/>
  <c r="C40" i="49" s="1"/>
  <c r="D2136" i="209"/>
  <c r="G2136" i="209" s="1"/>
  <c r="K2022" i="209"/>
  <c r="M78" i="27"/>
  <c r="L77" i="42"/>
  <c r="I1905" i="209"/>
  <c r="O1905" i="209" s="1"/>
  <c r="D2080" i="209"/>
  <c r="G2080" i="209" s="1"/>
  <c r="M26" i="27"/>
  <c r="D2094" i="209"/>
  <c r="G2094" i="209" s="1"/>
  <c r="K1980" i="209"/>
  <c r="M40" i="27"/>
  <c r="K2025" i="209"/>
  <c r="D2139" i="209"/>
  <c r="G2139" i="209" s="1"/>
  <c r="M81" i="27"/>
  <c r="M187" i="171"/>
  <c r="X186" i="171"/>
  <c r="M56" i="170"/>
  <c r="X55" i="170"/>
  <c r="Y55" i="170" s="1"/>
  <c r="L74" i="42"/>
  <c r="I1902" i="209"/>
  <c r="O1902" i="209" s="1"/>
  <c r="CW12" i="190"/>
  <c r="CW63" i="190" s="1"/>
  <c r="CX6" i="190"/>
  <c r="L3988" i="209"/>
  <c r="J51" i="196"/>
  <c r="J165" i="196" s="1"/>
  <c r="D586" i="210"/>
  <c r="G586" i="210" s="1"/>
  <c r="G572" i="210"/>
  <c r="D618" i="210" s="1"/>
  <c r="N102" i="42"/>
  <c r="I2159" i="209"/>
  <c r="O2159" i="209" s="1"/>
  <c r="D2090" i="209"/>
  <c r="G2090" i="209" s="1"/>
  <c r="M36" i="27"/>
  <c r="O18" i="42"/>
  <c r="I2186" i="209"/>
  <c r="O2186" i="209" s="1"/>
  <c r="D2104" i="209"/>
  <c r="G2104" i="209" s="1"/>
  <c r="K1990" i="209"/>
  <c r="M50" i="27"/>
  <c r="D789" i="209"/>
  <c r="G680" i="209"/>
  <c r="M103" i="42"/>
  <c r="I2046" i="209"/>
  <c r="O2046" i="209" s="1"/>
  <c r="D2137" i="209"/>
  <c r="G2137" i="209" s="1"/>
  <c r="M79" i="27"/>
  <c r="D875" i="209"/>
  <c r="G775" i="209"/>
  <c r="J27" i="154"/>
  <c r="K27" i="154" s="1"/>
  <c r="H29" i="154"/>
  <c r="AM75" i="190"/>
  <c r="AI77" i="190"/>
  <c r="O78" i="42"/>
  <c r="I2248" i="209"/>
  <c r="O2248" i="209" s="1"/>
  <c r="I52" i="49"/>
  <c r="C51" i="49"/>
  <c r="O21" i="42"/>
  <c r="I2189" i="209"/>
  <c r="O2189" i="209" s="1"/>
  <c r="CS63" i="190"/>
  <c r="D2106" i="209"/>
  <c r="G2106" i="209" s="1"/>
  <c r="K1992" i="209"/>
  <c r="M52" i="27"/>
  <c r="O1855" i="209"/>
  <c r="G711" i="209"/>
  <c r="D2095" i="209"/>
  <c r="G2095" i="209" s="1"/>
  <c r="M41" i="27"/>
  <c r="K2017" i="209"/>
  <c r="D2131" i="209"/>
  <c r="G2131" i="209" s="1"/>
  <c r="M73" i="27"/>
  <c r="G500" i="210"/>
  <c r="D546" i="210" s="1"/>
  <c r="D545" i="210" s="1"/>
  <c r="G545" i="210" s="1"/>
  <c r="I2027" i="209" l="1"/>
  <c r="I2018" i="209"/>
  <c r="O2018" i="209" s="1"/>
  <c r="I495" i="210"/>
  <c r="O495" i="210" s="1"/>
  <c r="I549" i="210"/>
  <c r="O549" i="210" s="1"/>
  <c r="O550" i="210" s="1"/>
  <c r="I596" i="210" s="1"/>
  <c r="I545" i="210"/>
  <c r="O545" i="210" s="1"/>
  <c r="O496" i="210"/>
  <c r="I542" i="210" s="1"/>
  <c r="I540" i="210"/>
  <c r="O540" i="210" s="1"/>
  <c r="O526" i="210"/>
  <c r="I572" i="210" s="1"/>
  <c r="I541" i="210"/>
  <c r="O541" i="210" s="1"/>
  <c r="N76" i="42"/>
  <c r="I2132" i="209"/>
  <c r="D2246" i="209"/>
  <c r="G2246" i="209" s="1"/>
  <c r="K2132" i="209"/>
  <c r="N74" i="27"/>
  <c r="M53" i="42"/>
  <c r="I1992" i="209"/>
  <c r="O1992" i="209" s="1"/>
  <c r="K2106" i="209"/>
  <c r="D2220" i="209"/>
  <c r="G2220" i="209" s="1"/>
  <c r="N52" i="27"/>
  <c r="P21" i="42"/>
  <c r="I23" i="12"/>
  <c r="I2303" i="209"/>
  <c r="O2303" i="209" s="1"/>
  <c r="I2417" i="209" s="1"/>
  <c r="O2417" i="209" s="1"/>
  <c r="I2531" i="209" s="1"/>
  <c r="O2531" i="209" s="1"/>
  <c r="I2645" i="209" s="1"/>
  <c r="O2645" i="209" s="1"/>
  <c r="AI80" i="190"/>
  <c r="AI82" i="190" s="1"/>
  <c r="AI85" i="190" s="1"/>
  <c r="AM79" i="190"/>
  <c r="M47" i="42"/>
  <c r="I1986" i="209"/>
  <c r="O1986" i="209" s="1"/>
  <c r="D2202" i="209"/>
  <c r="G2202" i="209" s="1"/>
  <c r="N34" i="27"/>
  <c r="M40" i="42"/>
  <c r="I1979" i="209"/>
  <c r="O1979" i="209" s="1"/>
  <c r="D2186" i="209"/>
  <c r="G2186" i="209" s="1"/>
  <c r="N18" i="27"/>
  <c r="M28" i="42"/>
  <c r="I1967" i="209"/>
  <c r="O1967" i="209" s="1"/>
  <c r="D2219" i="209"/>
  <c r="G2219" i="209" s="1"/>
  <c r="K2105" i="209"/>
  <c r="N51" i="27"/>
  <c r="D2198" i="209"/>
  <c r="G2198" i="209" s="1"/>
  <c r="K2084" i="209"/>
  <c r="N30" i="27"/>
  <c r="K2107" i="209"/>
  <c r="D2221" i="209"/>
  <c r="G2221" i="209" s="1"/>
  <c r="N53" i="27"/>
  <c r="I22" i="12"/>
  <c r="P20" i="42"/>
  <c r="I2302" i="209"/>
  <c r="O2302" i="209" s="1"/>
  <c r="I2416" i="209" s="1"/>
  <c r="O2416" i="209" s="1"/>
  <c r="I2530" i="209" s="1"/>
  <c r="O2530" i="209" s="1"/>
  <c r="I2644" i="209" s="1"/>
  <c r="O2644" i="209" s="1"/>
  <c r="D590" i="210"/>
  <c r="G590" i="210" s="1"/>
  <c r="G573" i="210"/>
  <c r="D619" i="210" s="1"/>
  <c r="M43" i="42"/>
  <c r="I1982" i="209"/>
  <c r="O1982" i="209" s="1"/>
  <c r="D2196" i="209"/>
  <c r="G2196" i="209" s="1"/>
  <c r="K2082" i="209"/>
  <c r="N28" i="27"/>
  <c r="H32" i="154"/>
  <c r="I29" i="154"/>
  <c r="J29" i="154" s="1"/>
  <c r="AM77" i="190"/>
  <c r="AN75" i="190"/>
  <c r="M57" i="170"/>
  <c r="X56" i="170"/>
  <c r="Y56" i="170" s="1"/>
  <c r="M29" i="42"/>
  <c r="I1968" i="209"/>
  <c r="O1968" i="209" s="1"/>
  <c r="K2142" i="209"/>
  <c r="D2256" i="209"/>
  <c r="G2256" i="209" s="1"/>
  <c r="N84" i="27"/>
  <c r="M38" i="42"/>
  <c r="I1977" i="209"/>
  <c r="O1977" i="209" s="1"/>
  <c r="O101" i="42"/>
  <c r="I2272" i="209"/>
  <c r="O2272" i="209" s="1"/>
  <c r="D2255" i="209"/>
  <c r="G2255" i="209" s="1"/>
  <c r="K2141" i="209"/>
  <c r="N83" i="27"/>
  <c r="G299" i="210"/>
  <c r="D340" i="210"/>
  <c r="K2096" i="209"/>
  <c r="D2210" i="209"/>
  <c r="G2210" i="209" s="1"/>
  <c r="N42" i="27"/>
  <c r="O526" i="209"/>
  <c r="D581" i="209"/>
  <c r="D568" i="209"/>
  <c r="C21" i="196"/>
  <c r="M54" i="42"/>
  <c r="I1993" i="209"/>
  <c r="O1993" i="209" s="1"/>
  <c r="G546" i="210"/>
  <c r="D592" i="210" s="1"/>
  <c r="D2159" i="209"/>
  <c r="G2159" i="209" s="1"/>
  <c r="M96" i="27"/>
  <c r="J32" i="155"/>
  <c r="K32" i="155" s="1"/>
  <c r="H33" i="155"/>
  <c r="M51" i="42"/>
  <c r="I1990" i="209"/>
  <c r="O1990" i="209" s="1"/>
  <c r="I19" i="12"/>
  <c r="P17" i="42"/>
  <c r="I2299" i="209"/>
  <c r="O2299" i="209" s="1"/>
  <c r="I2413" i="209" s="1"/>
  <c r="O2413" i="209" s="1"/>
  <c r="I2527" i="209" s="1"/>
  <c r="O2527" i="209" s="1"/>
  <c r="I2641" i="209" s="1"/>
  <c r="O2641" i="209" s="1"/>
  <c r="D2245" i="209"/>
  <c r="G2245" i="209" s="1"/>
  <c r="K2131" i="209"/>
  <c r="N73" i="27"/>
  <c r="N103" i="42"/>
  <c r="I2160" i="209"/>
  <c r="O2160" i="209" s="1"/>
  <c r="D632" i="210"/>
  <c r="G632" i="210" s="1"/>
  <c r="G618" i="210"/>
  <c r="D664" i="210" s="1"/>
  <c r="Y186" i="171"/>
  <c r="P104" i="42"/>
  <c r="I2389" i="209"/>
  <c r="O2389" i="209" s="1"/>
  <c r="I2503" i="209" s="1"/>
  <c r="O2503" i="209" s="1"/>
  <c r="I2617" i="209" s="1"/>
  <c r="O2617" i="209" s="1"/>
  <c r="I2731" i="209" s="1"/>
  <c r="O2731" i="209" s="1"/>
  <c r="M83" i="42"/>
  <c r="I2025" i="209"/>
  <c r="O2025" i="209" s="1"/>
  <c r="O574" i="210"/>
  <c r="I620" i="210" s="1"/>
  <c r="I594" i="210"/>
  <c r="O594" i="210" s="1"/>
  <c r="D2215" i="209"/>
  <c r="G2215" i="209" s="1"/>
  <c r="K2101" i="209"/>
  <c r="N47" i="27"/>
  <c r="I708" i="209"/>
  <c r="O702" i="209"/>
  <c r="I302" i="210"/>
  <c r="O302" i="210" s="1"/>
  <c r="O294" i="210"/>
  <c r="I299" i="210"/>
  <c r="M86" i="42"/>
  <c r="I2028" i="209"/>
  <c r="O2028" i="209" s="1"/>
  <c r="D616" i="209"/>
  <c r="G513" i="209"/>
  <c r="G553" i="209" s="1"/>
  <c r="G557" i="209" s="1"/>
  <c r="G568" i="209" s="1"/>
  <c r="M44" i="42"/>
  <c r="I1983" i="209"/>
  <c r="O1983" i="209" s="1"/>
  <c r="I53" i="49"/>
  <c r="C52" i="49"/>
  <c r="D2251" i="209"/>
  <c r="G2251" i="209" s="1"/>
  <c r="N79" i="27"/>
  <c r="M52" i="42"/>
  <c r="I1991" i="209"/>
  <c r="O1991" i="209" s="1"/>
  <c r="G588" i="210"/>
  <c r="D634" i="210" s="1"/>
  <c r="M188" i="171"/>
  <c r="X187" i="171"/>
  <c r="Y187" i="171" s="1"/>
  <c r="D2208" i="209"/>
  <c r="G2208" i="209" s="1"/>
  <c r="K2094" i="209"/>
  <c r="N40" i="27"/>
  <c r="G550" i="210"/>
  <c r="D596" i="210" s="1"/>
  <c r="D595" i="210" s="1"/>
  <c r="G595" i="210" s="1"/>
  <c r="O711" i="209"/>
  <c r="O680" i="209"/>
  <c r="I789" i="209"/>
  <c r="D2274" i="209"/>
  <c r="G2274" i="209" s="1"/>
  <c r="N97" i="27"/>
  <c r="D2188" i="209"/>
  <c r="G2188" i="209" s="1"/>
  <c r="N20" i="27"/>
  <c r="D2249" i="209"/>
  <c r="G2249" i="209" s="1"/>
  <c r="K2135" i="209"/>
  <c r="N77" i="27"/>
  <c r="D2195" i="209"/>
  <c r="G2195" i="209" s="1"/>
  <c r="K2081" i="209"/>
  <c r="N27" i="27"/>
  <c r="M49" i="42"/>
  <c r="I1988" i="209"/>
  <c r="O1988" i="209" s="1"/>
  <c r="D2199" i="209"/>
  <c r="G2199" i="209" s="1"/>
  <c r="K2085" i="209"/>
  <c r="N31" i="27"/>
  <c r="DB45" i="190"/>
  <c r="DC15" i="190"/>
  <c r="M31" i="42"/>
  <c r="I1970" i="209"/>
  <c r="O1970" i="209" s="1"/>
  <c r="D2248" i="209"/>
  <c r="G2248" i="209" s="1"/>
  <c r="N76" i="27"/>
  <c r="I568" i="209"/>
  <c r="H21" i="196"/>
  <c r="M41" i="42"/>
  <c r="I1980" i="209"/>
  <c r="O1980" i="209" s="1"/>
  <c r="O546" i="210"/>
  <c r="I592" i="210" s="1"/>
  <c r="I20" i="12"/>
  <c r="P18" i="42"/>
  <c r="I2300" i="209"/>
  <c r="O2300" i="209" s="1"/>
  <c r="I2414" i="209" s="1"/>
  <c r="O2414" i="209" s="1"/>
  <c r="I2528" i="209" s="1"/>
  <c r="O2528" i="209" s="1"/>
  <c r="I2642" i="209" s="1"/>
  <c r="O2642" i="209" s="1"/>
  <c r="D2222" i="209"/>
  <c r="G2222" i="209" s="1"/>
  <c r="K2108" i="209"/>
  <c r="N54" i="27"/>
  <c r="D2209" i="209"/>
  <c r="G2209" i="209" s="1"/>
  <c r="N41" i="27"/>
  <c r="M77" i="42"/>
  <c r="I2019" i="209"/>
  <c r="O2019" i="209" s="1"/>
  <c r="M36" i="42"/>
  <c r="I1975" i="209"/>
  <c r="O1975" i="209" s="1"/>
  <c r="M80" i="42"/>
  <c r="I2022" i="209"/>
  <c r="O2022" i="209" s="1"/>
  <c r="D825" i="209"/>
  <c r="P78" i="42"/>
  <c r="I81" i="12"/>
  <c r="I2362" i="209"/>
  <c r="O2362" i="209" s="1"/>
  <c r="I2476" i="209" s="1"/>
  <c r="O2476" i="209" s="1"/>
  <c r="I2590" i="209" s="1"/>
  <c r="O2590" i="209" s="1"/>
  <c r="I2704" i="209" s="1"/>
  <c r="O2704" i="209" s="1"/>
  <c r="D303" i="210"/>
  <c r="G303" i="210" s="1"/>
  <c r="G304" i="210" s="1"/>
  <c r="D350" i="210" s="1"/>
  <c r="O102" i="42"/>
  <c r="I2273" i="209"/>
  <c r="O2273" i="209" s="1"/>
  <c r="D594" i="210"/>
  <c r="G594" i="210" s="1"/>
  <c r="G574" i="210"/>
  <c r="D620" i="210" s="1"/>
  <c r="G708" i="209"/>
  <c r="D816" i="209"/>
  <c r="M50" i="42"/>
  <c r="I1989" i="209"/>
  <c r="O1989" i="209" s="1"/>
  <c r="D2158" i="209"/>
  <c r="G2158" i="209" s="1"/>
  <c r="M95" i="27"/>
  <c r="G538" i="210"/>
  <c r="D584" i="210" s="1"/>
  <c r="I287" i="210"/>
  <c r="G287" i="210"/>
  <c r="M75" i="42"/>
  <c r="I2017" i="209"/>
  <c r="O2017" i="209" s="1"/>
  <c r="M55" i="42"/>
  <c r="I1994" i="209"/>
  <c r="O1994" i="209" s="1"/>
  <c r="I616" i="209"/>
  <c r="O513" i="209"/>
  <c r="O553" i="209" s="1"/>
  <c r="O557" i="209" s="1"/>
  <c r="O568" i="209" s="1"/>
  <c r="M84" i="42"/>
  <c r="I2026" i="209"/>
  <c r="O2026" i="209" s="1"/>
  <c r="H36" i="206"/>
  <c r="G37" i="206"/>
  <c r="D2197" i="209"/>
  <c r="G2197" i="209" s="1"/>
  <c r="K2083" i="209"/>
  <c r="N29" i="27"/>
  <c r="D2203" i="209"/>
  <c r="G2203" i="209" s="1"/>
  <c r="K2089" i="209"/>
  <c r="N35" i="27"/>
  <c r="X121" i="170"/>
  <c r="M122" i="170"/>
  <c r="D2253" i="209"/>
  <c r="G2253" i="209" s="1"/>
  <c r="K2139" i="209"/>
  <c r="N81" i="27"/>
  <c r="G789" i="209"/>
  <c r="D794" i="209"/>
  <c r="C80" i="196" s="1"/>
  <c r="F80" i="196" s="1"/>
  <c r="D2204" i="209"/>
  <c r="G2204" i="209" s="1"/>
  <c r="N36" i="27"/>
  <c r="AR67" i="190"/>
  <c r="AN73" i="190"/>
  <c r="D2206" i="209"/>
  <c r="G2206" i="209" s="1"/>
  <c r="N38" i="27"/>
  <c r="CX60" i="190"/>
  <c r="DB46" i="190"/>
  <c r="D2252" i="209"/>
  <c r="G2252" i="209" s="1"/>
  <c r="K2138" i="209"/>
  <c r="N80" i="27"/>
  <c r="DB6" i="190"/>
  <c r="CX12" i="190"/>
  <c r="CX63" i="190" s="1"/>
  <c r="D2194" i="209"/>
  <c r="G2194" i="209" s="1"/>
  <c r="N26" i="27"/>
  <c r="P95" i="42"/>
  <c r="I98" i="12"/>
  <c r="I2379" i="209"/>
  <c r="O2379" i="209" s="1"/>
  <c r="I2493" i="209" s="1"/>
  <c r="O2493" i="209" s="1"/>
  <c r="I2607" i="209" s="1"/>
  <c r="O2607" i="209" s="1"/>
  <c r="I2721" i="209" s="1"/>
  <c r="O2721" i="209" s="1"/>
  <c r="I582" i="210"/>
  <c r="O582" i="210" s="1"/>
  <c r="O571" i="210"/>
  <c r="I617" i="210" s="1"/>
  <c r="G571" i="210"/>
  <c r="D617" i="210" s="1"/>
  <c r="D582" i="210"/>
  <c r="G582" i="210" s="1"/>
  <c r="P81" i="42"/>
  <c r="I84" i="12"/>
  <c r="I2365" i="209"/>
  <c r="O2365" i="209" s="1"/>
  <c r="I2479" i="209" s="1"/>
  <c r="O2479" i="209" s="1"/>
  <c r="I2593" i="209" s="1"/>
  <c r="O2593" i="209" s="1"/>
  <c r="I2707" i="209" s="1"/>
  <c r="O2707" i="209" s="1"/>
  <c r="DB61" i="190"/>
  <c r="CX62" i="190"/>
  <c r="M32" i="42"/>
  <c r="I1971" i="209"/>
  <c r="O1971" i="209" s="1"/>
  <c r="D2187" i="209"/>
  <c r="G2187" i="209" s="1"/>
  <c r="N19" i="27"/>
  <c r="D2071" i="209"/>
  <c r="G2071" i="209" s="1"/>
  <c r="M17" i="27"/>
  <c r="D2211" i="209"/>
  <c r="G2211" i="209" s="1"/>
  <c r="K2097" i="209"/>
  <c r="N43" i="27"/>
  <c r="M33" i="42"/>
  <c r="I1972" i="209"/>
  <c r="O1972" i="209" s="1"/>
  <c r="D2213" i="209"/>
  <c r="G2213" i="209" s="1"/>
  <c r="N45" i="27"/>
  <c r="K2102" i="209"/>
  <c r="D2216" i="209"/>
  <c r="G2216" i="209" s="1"/>
  <c r="N48" i="27"/>
  <c r="K2103" i="209"/>
  <c r="D2217" i="209"/>
  <c r="G2217" i="209" s="1"/>
  <c r="N49" i="27"/>
  <c r="I590" i="210"/>
  <c r="O590" i="210" s="1"/>
  <c r="O573" i="210"/>
  <c r="I619" i="210" s="1"/>
  <c r="D2189" i="209"/>
  <c r="G2189" i="209" s="1"/>
  <c r="N21" i="27"/>
  <c r="M30" i="42"/>
  <c r="I1969" i="209"/>
  <c r="O1969" i="209" s="1"/>
  <c r="D889" i="209"/>
  <c r="G875" i="209"/>
  <c r="D22" i="34"/>
  <c r="D2218" i="209"/>
  <c r="G2218" i="209" s="1"/>
  <c r="K2104" i="209"/>
  <c r="N50" i="27"/>
  <c r="M74" i="42"/>
  <c r="I2016" i="209"/>
  <c r="O2016" i="209" s="1"/>
  <c r="D2250" i="209"/>
  <c r="G2250" i="209" s="1"/>
  <c r="K2136" i="209"/>
  <c r="N78" i="27"/>
  <c r="D2254" i="209"/>
  <c r="G2254" i="209" s="1"/>
  <c r="K2140" i="209"/>
  <c r="N82" i="27"/>
  <c r="O538" i="210"/>
  <c r="I584" i="210" s="1"/>
  <c r="I875" i="209"/>
  <c r="O775" i="209"/>
  <c r="D2244" i="209"/>
  <c r="G2244" i="209" s="1"/>
  <c r="K2130" i="209"/>
  <c r="N72" i="27"/>
  <c r="M79" i="42"/>
  <c r="I2021" i="209"/>
  <c r="O2021" i="209" s="1"/>
  <c r="DB13" i="190"/>
  <c r="CX14" i="190"/>
  <c r="I36" i="12"/>
  <c r="P35" i="42"/>
  <c r="I2316" i="209"/>
  <c r="O2316" i="209" s="1"/>
  <c r="I2430" i="209" s="1"/>
  <c r="O2430" i="209" s="1"/>
  <c r="I2544" i="209" s="1"/>
  <c r="O2544" i="209" s="1"/>
  <c r="I2658" i="209" s="1"/>
  <c r="O2658" i="209" s="1"/>
  <c r="K2133" i="209"/>
  <c r="D2247" i="209"/>
  <c r="G2247" i="209" s="1"/>
  <c r="N75" i="27"/>
  <c r="D893" i="209"/>
  <c r="G892" i="209"/>
  <c r="O778" i="209"/>
  <c r="I779" i="209"/>
  <c r="D2207" i="209"/>
  <c r="G2207" i="209" s="1"/>
  <c r="K2093" i="209"/>
  <c r="N39" i="27"/>
  <c r="D2200" i="209"/>
  <c r="G2200" i="209" s="1"/>
  <c r="K2086" i="209"/>
  <c r="N32" i="27"/>
  <c r="O2027" i="209"/>
  <c r="X46" i="171"/>
  <c r="Y46" i="171" s="1"/>
  <c r="M47" i="171"/>
  <c r="D2275" i="209"/>
  <c r="G2275" i="209" s="1"/>
  <c r="N98" i="27"/>
  <c r="D2205" i="209"/>
  <c r="G2205" i="209" s="1"/>
  <c r="K2091" i="209"/>
  <c r="N37" i="27"/>
  <c r="D2201" i="209"/>
  <c r="G2201" i="209" s="1"/>
  <c r="K2087" i="209"/>
  <c r="N33" i="27"/>
  <c r="I28" i="12"/>
  <c r="P27" i="42"/>
  <c r="I2308" i="209"/>
  <c r="O2308" i="209" s="1"/>
  <c r="I2422" i="209" s="1"/>
  <c r="O2422" i="209" s="1"/>
  <c r="I2536" i="209" s="1"/>
  <c r="O2536" i="209" s="1"/>
  <c r="I2650" i="209" s="1"/>
  <c r="O2650" i="209" s="1"/>
  <c r="D2214" i="209"/>
  <c r="G2214" i="209" s="1"/>
  <c r="K2100" i="209"/>
  <c r="N46" i="27"/>
  <c r="P19" i="42"/>
  <c r="I21" i="12"/>
  <c r="I2301" i="209"/>
  <c r="O2301" i="209" s="1"/>
  <c r="I2415" i="209" s="1"/>
  <c r="O2415" i="209" s="1"/>
  <c r="I2529" i="209" s="1"/>
  <c r="O2529" i="209" s="1"/>
  <c r="I2643" i="209" s="1"/>
  <c r="O2643" i="209" s="1"/>
  <c r="O1973" i="209"/>
  <c r="Y45" i="171"/>
  <c r="X197" i="171"/>
  <c r="L126" i="195"/>
  <c r="F30" i="200"/>
  <c r="M82" i="42"/>
  <c r="I2024" i="209"/>
  <c r="O2024" i="209" s="1"/>
  <c r="M48" i="42"/>
  <c r="I1987" i="209"/>
  <c r="O1987" i="209" s="1"/>
  <c r="X121" i="171"/>
  <c r="M122" i="171"/>
  <c r="I583" i="210" l="1"/>
  <c r="O583" i="210" s="1"/>
  <c r="D633" i="210"/>
  <c r="G633" i="210" s="1"/>
  <c r="O572" i="210"/>
  <c r="I618" i="210" s="1"/>
  <c r="I586" i="210"/>
  <c r="O586" i="210" s="1"/>
  <c r="O542" i="210"/>
  <c r="I588" i="210" s="1"/>
  <c r="I587" i="210" s="1"/>
  <c r="O587" i="210" s="1"/>
  <c r="D2360" i="209"/>
  <c r="G2360" i="209" s="1"/>
  <c r="K2246" i="209"/>
  <c r="O74" i="27"/>
  <c r="D61" i="3" s="1"/>
  <c r="O2132" i="209"/>
  <c r="D2319" i="209"/>
  <c r="G2319" i="209" s="1"/>
  <c r="K2205" i="209"/>
  <c r="O37" i="27"/>
  <c r="D37" i="3" s="1"/>
  <c r="N47" i="42"/>
  <c r="I2100" i="209"/>
  <c r="O2100" i="209" s="1"/>
  <c r="D628" i="210"/>
  <c r="G628" i="210" s="1"/>
  <c r="G617" i="210"/>
  <c r="D663" i="210" s="1"/>
  <c r="N84" i="42"/>
  <c r="I2140" i="209"/>
  <c r="O2140" i="209" s="1"/>
  <c r="G616" i="209"/>
  <c r="D627" i="209"/>
  <c r="D667" i="209" s="1"/>
  <c r="D671" i="209" s="1"/>
  <c r="E34" i="43"/>
  <c r="I2772" i="209"/>
  <c r="O2772" i="209" s="1"/>
  <c r="G825" i="209"/>
  <c r="D2388" i="209"/>
  <c r="G2388" i="209" s="1"/>
  <c r="D2502" i="209" s="1"/>
  <c r="G2502" i="209" s="1"/>
  <c r="D2616" i="209" s="1"/>
  <c r="G2616" i="209" s="1"/>
  <c r="D2730" i="209" s="1"/>
  <c r="G2730" i="209" s="1"/>
  <c r="O97" i="27"/>
  <c r="D84" i="3" s="1"/>
  <c r="F84" i="3" s="1"/>
  <c r="H84" i="3" s="1"/>
  <c r="N52" i="42"/>
  <c r="I2105" i="209"/>
  <c r="O2105" i="209" s="1"/>
  <c r="J33" i="155"/>
  <c r="H34" i="155"/>
  <c r="N54" i="42"/>
  <c r="I2107" i="209"/>
  <c r="O2107" i="209" s="1"/>
  <c r="D2310" i="209"/>
  <c r="G2310" i="209" s="1"/>
  <c r="K2196" i="209"/>
  <c r="O28" i="27"/>
  <c r="D28" i="3" s="1"/>
  <c r="AN79" i="190"/>
  <c r="AM80" i="190"/>
  <c r="AM82" i="190" s="1"/>
  <c r="AM85" i="190" s="1"/>
  <c r="E21" i="43"/>
  <c r="I2759" i="209"/>
  <c r="O2759" i="209" s="1"/>
  <c r="Y121" i="171"/>
  <c r="K28" i="12"/>
  <c r="G28" i="12"/>
  <c r="D2321" i="209"/>
  <c r="G2321" i="209" s="1"/>
  <c r="K2207" i="209"/>
  <c r="O39" i="27"/>
  <c r="D39" i="3" s="1"/>
  <c r="D2366" i="209"/>
  <c r="G2366" i="209" s="1"/>
  <c r="K2252" i="209"/>
  <c r="O80" i="27"/>
  <c r="D67" i="3" s="1"/>
  <c r="D2363" i="209"/>
  <c r="G2363" i="209" s="1"/>
  <c r="K2249" i="209"/>
  <c r="O77" i="27"/>
  <c r="D64" i="3" s="1"/>
  <c r="O103" i="42"/>
  <c r="I2274" i="209"/>
  <c r="O2274" i="209" s="1"/>
  <c r="I581" i="209"/>
  <c r="G581" i="209"/>
  <c r="D640" i="209"/>
  <c r="I640" i="209" s="1"/>
  <c r="N53" i="42"/>
  <c r="I2106" i="209"/>
  <c r="O2106" i="209" s="1"/>
  <c r="D2331" i="209"/>
  <c r="G2331" i="209" s="1"/>
  <c r="K2217" i="209"/>
  <c r="O49" i="27"/>
  <c r="D49" i="3" s="1"/>
  <c r="G596" i="210"/>
  <c r="D642" i="210" s="1"/>
  <c r="D591" i="210"/>
  <c r="G591" i="210" s="1"/>
  <c r="X122" i="170"/>
  <c r="Y122" i="170" s="1"/>
  <c r="M123" i="170"/>
  <c r="P102" i="42"/>
  <c r="I2387" i="209"/>
  <c r="O2387" i="209" s="1"/>
  <c r="I2501" i="209" s="1"/>
  <c r="O2501" i="209" s="1"/>
  <c r="I2615" i="209" s="1"/>
  <c r="O2615" i="209" s="1"/>
  <c r="I2729" i="209" s="1"/>
  <c r="O2729" i="209" s="1"/>
  <c r="N82" i="42"/>
  <c r="I2138" i="209"/>
  <c r="O2138" i="209" s="1"/>
  <c r="D1006" i="209"/>
  <c r="G893" i="209"/>
  <c r="D2358" i="209"/>
  <c r="G2358" i="209" s="1"/>
  <c r="K2244" i="209"/>
  <c r="O72" i="27"/>
  <c r="D59" i="3" s="1"/>
  <c r="D2185" i="209"/>
  <c r="G2185" i="209" s="1"/>
  <c r="N17" i="27"/>
  <c r="Y121" i="170"/>
  <c r="D2272" i="209"/>
  <c r="G2272" i="209" s="1"/>
  <c r="N95" i="27"/>
  <c r="N77" i="42"/>
  <c r="I2133" i="209"/>
  <c r="O2133" i="209" s="1"/>
  <c r="DC45" i="190"/>
  <c r="DG15" i="190"/>
  <c r="D2322" i="209"/>
  <c r="G2322" i="209" s="1"/>
  <c r="K2208" i="209"/>
  <c r="O40" i="27"/>
  <c r="D40" i="3" s="1"/>
  <c r="I816" i="209"/>
  <c r="O708" i="209"/>
  <c r="D2324" i="209"/>
  <c r="G2324" i="209" s="1"/>
  <c r="K2210" i="209"/>
  <c r="O42" i="27"/>
  <c r="D42" i="3" s="1"/>
  <c r="E20" i="43"/>
  <c r="I2758" i="209"/>
  <c r="O2758" i="209" s="1"/>
  <c r="D2312" i="209"/>
  <c r="G2312" i="209" s="1"/>
  <c r="K2198" i="209"/>
  <c r="O30" i="27"/>
  <c r="D30" i="3" s="1"/>
  <c r="K23" i="12"/>
  <c r="G23" i="12"/>
  <c r="Y197" i="171"/>
  <c r="H44" i="206" s="1"/>
  <c r="H46" i="206" s="1"/>
  <c r="E36" i="45" s="1"/>
  <c r="N38" i="42"/>
  <c r="I2091" i="209"/>
  <c r="O2091" i="209" s="1"/>
  <c r="D2317" i="209"/>
  <c r="G2317" i="209" s="1"/>
  <c r="K2203" i="209"/>
  <c r="O35" i="27"/>
  <c r="D35" i="3" s="1"/>
  <c r="O620" i="210"/>
  <c r="I666" i="210" s="1"/>
  <c r="I640" i="210"/>
  <c r="O640" i="210" s="1"/>
  <c r="D2369" i="209"/>
  <c r="G2369" i="209" s="1"/>
  <c r="K2255" i="209"/>
  <c r="O83" i="27"/>
  <c r="D70" i="3" s="1"/>
  <c r="I892" i="209"/>
  <c r="O779" i="209"/>
  <c r="D2315" i="209"/>
  <c r="G2315" i="209" s="1"/>
  <c r="K2201" i="209"/>
  <c r="O33" i="27"/>
  <c r="D33" i="3" s="1"/>
  <c r="N33" i="42"/>
  <c r="I2086" i="209"/>
  <c r="O2086" i="209" s="1"/>
  <c r="DB12" i="190"/>
  <c r="DC6" i="190"/>
  <c r="D2389" i="209"/>
  <c r="G2389" i="209" s="1"/>
  <c r="D2503" i="209" s="1"/>
  <c r="G2503" i="209" s="1"/>
  <c r="D2617" i="209" s="1"/>
  <c r="G2617" i="209" s="1"/>
  <c r="D2731" i="209" s="1"/>
  <c r="G2731" i="209" s="1"/>
  <c r="D2845" i="209" s="1"/>
  <c r="O98" i="27"/>
  <c r="D85" i="3" s="1"/>
  <c r="F85" i="3" s="1"/>
  <c r="H85" i="3" s="1"/>
  <c r="K36" i="12"/>
  <c r="G36" i="12"/>
  <c r="DB14" i="190"/>
  <c r="DC13" i="190"/>
  <c r="D989" i="209"/>
  <c r="G889" i="209"/>
  <c r="D2330" i="209"/>
  <c r="G2330" i="209" s="1"/>
  <c r="K2216" i="209"/>
  <c r="O48" i="27"/>
  <c r="D48" i="3" s="1"/>
  <c r="DC61" i="190"/>
  <c r="DB62" i="190"/>
  <c r="O617" i="210"/>
  <c r="I663" i="210" s="1"/>
  <c r="I628" i="210"/>
  <c r="O628" i="210" s="1"/>
  <c r="D2311" i="209"/>
  <c r="G2311" i="209" s="1"/>
  <c r="K2197" i="209"/>
  <c r="O29" i="27"/>
  <c r="D29" i="3" s="1"/>
  <c r="O616" i="209"/>
  <c r="I627" i="209"/>
  <c r="I667" i="209" s="1"/>
  <c r="I671" i="209" s="1"/>
  <c r="N50" i="42"/>
  <c r="I2103" i="209"/>
  <c r="O2103" i="209" s="1"/>
  <c r="E18" i="43"/>
  <c r="I2756" i="209"/>
  <c r="O2756" i="209" s="1"/>
  <c r="D2309" i="209"/>
  <c r="G2309" i="209" s="1"/>
  <c r="K2195" i="209"/>
  <c r="O27" i="27"/>
  <c r="D27" i="3" s="1"/>
  <c r="D2302" i="209"/>
  <c r="G2302" i="209" s="1"/>
  <c r="D2416" i="209" s="1"/>
  <c r="G2416" i="209" s="1"/>
  <c r="D2530" i="209" s="1"/>
  <c r="G2530" i="209" s="1"/>
  <c r="D2644" i="209" s="1"/>
  <c r="G2644" i="209" s="1"/>
  <c r="O20" i="27"/>
  <c r="D20" i="3" s="1"/>
  <c r="O789" i="209"/>
  <c r="I794" i="209"/>
  <c r="H80" i="196" s="1"/>
  <c r="M80" i="196" s="1"/>
  <c r="N86" i="42"/>
  <c r="I2142" i="209"/>
  <c r="O2142" i="209" s="1"/>
  <c r="N83" i="42"/>
  <c r="I2139" i="209"/>
  <c r="O2139" i="209" s="1"/>
  <c r="G664" i="210"/>
  <c r="D710" i="210" s="1"/>
  <c r="D678" i="210"/>
  <c r="G678" i="210" s="1"/>
  <c r="D2359" i="209"/>
  <c r="G2359" i="209" s="1"/>
  <c r="K2245" i="209"/>
  <c r="O73" i="27"/>
  <c r="D60" i="3" s="1"/>
  <c r="I595" i="210"/>
  <c r="O595" i="210" s="1"/>
  <c r="O596" i="210" s="1"/>
  <c r="I642" i="210" s="1"/>
  <c r="I641" i="210" s="1"/>
  <c r="O641" i="210" s="1"/>
  <c r="N29" i="42"/>
  <c r="I2082" i="209"/>
  <c r="O2082" i="209" s="1"/>
  <c r="J32" i="154"/>
  <c r="K32" i="154" s="1"/>
  <c r="H33" i="154"/>
  <c r="N40" i="42"/>
  <c r="I2093" i="209"/>
  <c r="O2093" i="209" s="1"/>
  <c r="I303" i="210"/>
  <c r="O303" i="210" s="1"/>
  <c r="O304" i="210" s="1"/>
  <c r="I350" i="210" s="1"/>
  <c r="M189" i="171"/>
  <c r="M190" i="171" s="1"/>
  <c r="M191" i="171" s="1"/>
  <c r="M192" i="171" s="1"/>
  <c r="X188" i="171"/>
  <c r="D2365" i="209"/>
  <c r="G2365" i="209" s="1"/>
  <c r="D2479" i="209" s="1"/>
  <c r="G2479" i="209" s="1"/>
  <c r="D2593" i="209" s="1"/>
  <c r="G2593" i="209" s="1"/>
  <c r="D2707" i="209" s="1"/>
  <c r="G2707" i="209" s="1"/>
  <c r="O79" i="27"/>
  <c r="D66" i="3" s="1"/>
  <c r="G634" i="210"/>
  <c r="D680" i="210" s="1"/>
  <c r="E17" i="43"/>
  <c r="I2755" i="209"/>
  <c r="O2755" i="209" s="1"/>
  <c r="D348" i="210"/>
  <c r="G348" i="210" s="1"/>
  <c r="G340" i="210"/>
  <c r="D345" i="210"/>
  <c r="N43" i="42"/>
  <c r="I2096" i="209"/>
  <c r="O2096" i="209" s="1"/>
  <c r="K22" i="12"/>
  <c r="G22" i="12"/>
  <c r="D2333" i="209"/>
  <c r="G2333" i="209" s="1"/>
  <c r="K2219" i="209"/>
  <c r="O51" i="27"/>
  <c r="D51" i="3" s="1"/>
  <c r="X47" i="171"/>
  <c r="M48" i="171"/>
  <c r="N30" i="42"/>
  <c r="I2083" i="209"/>
  <c r="O2083" i="209" s="1"/>
  <c r="N49" i="42"/>
  <c r="I2102" i="209"/>
  <c r="O2102" i="209" s="1"/>
  <c r="N51" i="42"/>
  <c r="I2104" i="209"/>
  <c r="O2104" i="209" s="1"/>
  <c r="M58" i="170"/>
  <c r="X57" i="170"/>
  <c r="Y57" i="170" s="1"/>
  <c r="N79" i="42"/>
  <c r="I2135" i="209"/>
  <c r="O2135" i="209" s="1"/>
  <c r="N31" i="42"/>
  <c r="I2084" i="209"/>
  <c r="O2084" i="209" s="1"/>
  <c r="N34" i="42"/>
  <c r="I2087" i="209"/>
  <c r="O2087" i="209" s="1"/>
  <c r="N85" i="42"/>
  <c r="I2141" i="209"/>
  <c r="O2141" i="209" s="1"/>
  <c r="DB60" i="190"/>
  <c r="DC46" i="190"/>
  <c r="O875" i="209"/>
  <c r="I889" i="209"/>
  <c r="K2250" i="209"/>
  <c r="D2364" i="209"/>
  <c r="G2364" i="209" s="1"/>
  <c r="O78" i="27"/>
  <c r="D65" i="3" s="1"/>
  <c r="D2303" i="209"/>
  <c r="G2303" i="209" s="1"/>
  <c r="D2417" i="209" s="1"/>
  <c r="G2417" i="209" s="1"/>
  <c r="D2531" i="209" s="1"/>
  <c r="G2531" i="209" s="1"/>
  <c r="D2645" i="209" s="1"/>
  <c r="G2645" i="209" s="1"/>
  <c r="O21" i="27"/>
  <c r="D21" i="3" s="1"/>
  <c r="E80" i="43"/>
  <c r="I2821" i="209"/>
  <c r="O2821" i="209" s="1"/>
  <c r="D2320" i="209"/>
  <c r="G2320" i="209" s="1"/>
  <c r="D2434" i="209" s="1"/>
  <c r="G2434" i="209" s="1"/>
  <c r="D2548" i="209" s="1"/>
  <c r="G2548" i="209" s="1"/>
  <c r="D2662" i="209" s="1"/>
  <c r="G2662" i="209" s="1"/>
  <c r="O38" i="27"/>
  <c r="D38" i="3" s="1"/>
  <c r="N80" i="42"/>
  <c r="I2136" i="209"/>
  <c r="O2136" i="209" s="1"/>
  <c r="E26" i="43"/>
  <c r="I2764" i="209"/>
  <c r="O2764" i="209" s="1"/>
  <c r="I636" i="210"/>
  <c r="O636" i="210" s="1"/>
  <c r="O619" i="210"/>
  <c r="I665" i="210" s="1"/>
  <c r="D2301" i="209"/>
  <c r="G2301" i="209" s="1"/>
  <c r="D2415" i="209" s="1"/>
  <c r="G2415" i="209" s="1"/>
  <c r="D2529" i="209" s="1"/>
  <c r="G2529" i="209" s="1"/>
  <c r="D2643" i="209" s="1"/>
  <c r="G2643" i="209" s="1"/>
  <c r="O19" i="27"/>
  <c r="D19" i="3" s="1"/>
  <c r="G84" i="12"/>
  <c r="K84" i="12"/>
  <c r="E94" i="43"/>
  <c r="I2835" i="209"/>
  <c r="O2835" i="209" s="1"/>
  <c r="D2308" i="209"/>
  <c r="G2308" i="209" s="1"/>
  <c r="D2422" i="209" s="1"/>
  <c r="G2422" i="209" s="1"/>
  <c r="D2536" i="209" s="1"/>
  <c r="G2536" i="209" s="1"/>
  <c r="D2650" i="209" s="1"/>
  <c r="G2650" i="209" s="1"/>
  <c r="O26" i="27"/>
  <c r="D26" i="3" s="1"/>
  <c r="D2318" i="209"/>
  <c r="G2318" i="209" s="1"/>
  <c r="D2432" i="209" s="1"/>
  <c r="G2432" i="209" s="1"/>
  <c r="D2546" i="209" s="1"/>
  <c r="G2546" i="209" s="1"/>
  <c r="D2660" i="209" s="1"/>
  <c r="G2660" i="209" s="1"/>
  <c r="O36" i="27"/>
  <c r="D36" i="3" s="1"/>
  <c r="D822" i="209"/>
  <c r="G816" i="209"/>
  <c r="K81" i="12"/>
  <c r="G81" i="12"/>
  <c r="D2323" i="209"/>
  <c r="G2323" i="209" s="1"/>
  <c r="D2437" i="209" s="1"/>
  <c r="G2437" i="209" s="1"/>
  <c r="D2551" i="209" s="1"/>
  <c r="G2551" i="209" s="1"/>
  <c r="D2665" i="209" s="1"/>
  <c r="G2665" i="209" s="1"/>
  <c r="O41" i="27"/>
  <c r="D41" i="3" s="1"/>
  <c r="K20" i="12"/>
  <c r="G20" i="12"/>
  <c r="I591" i="210"/>
  <c r="O591" i="210" s="1"/>
  <c r="O592" i="210" s="1"/>
  <c r="I638" i="210" s="1"/>
  <c r="I637" i="210" s="1"/>
  <c r="O637" i="210" s="1"/>
  <c r="D2362" i="209"/>
  <c r="G2362" i="209" s="1"/>
  <c r="D2476" i="209" s="1"/>
  <c r="G2476" i="209" s="1"/>
  <c r="D2590" i="209" s="1"/>
  <c r="G2590" i="209" s="1"/>
  <c r="D2704" i="209" s="1"/>
  <c r="G2704" i="209" s="1"/>
  <c r="O76" i="27"/>
  <c r="D63" i="3" s="1"/>
  <c r="N44" i="42"/>
  <c r="I2097" i="209"/>
  <c r="O2097" i="209" s="1"/>
  <c r="E103" i="43"/>
  <c r="I2845" i="209"/>
  <c r="D2273" i="209"/>
  <c r="G2273" i="209" s="1"/>
  <c r="N96" i="27"/>
  <c r="C135" i="196"/>
  <c r="F135" i="196" s="1"/>
  <c r="F21" i="196"/>
  <c r="P101" i="42"/>
  <c r="I2386" i="209"/>
  <c r="O2386" i="209" s="1"/>
  <c r="I2500" i="209" s="1"/>
  <c r="O2500" i="209" s="1"/>
  <c r="I2614" i="209" s="1"/>
  <c r="O2614" i="209" s="1"/>
  <c r="I2728" i="209" s="1"/>
  <c r="O2728" i="209" s="1"/>
  <c r="D2370" i="209"/>
  <c r="G2370" i="209" s="1"/>
  <c r="K2256" i="209"/>
  <c r="O84" i="27"/>
  <c r="D71" i="3" s="1"/>
  <c r="N28" i="42"/>
  <c r="I2081" i="209"/>
  <c r="O2081" i="209" s="1"/>
  <c r="D2334" i="209"/>
  <c r="G2334" i="209" s="1"/>
  <c r="K2220" i="209"/>
  <c r="O52" i="27"/>
  <c r="D52" i="3" s="1"/>
  <c r="D2361" i="209"/>
  <c r="G2361" i="209" s="1"/>
  <c r="K2247" i="209"/>
  <c r="O75" i="27"/>
  <c r="D62" i="3" s="1"/>
  <c r="I22" i="22"/>
  <c r="F22" i="34"/>
  <c r="F28" i="1" s="1"/>
  <c r="J28" i="1" s="1"/>
  <c r="D2327" i="209"/>
  <c r="G2327" i="209" s="1"/>
  <c r="D2441" i="209" s="1"/>
  <c r="G2441" i="209" s="1"/>
  <c r="D2555" i="209" s="1"/>
  <c r="G2555" i="209" s="1"/>
  <c r="D2669" i="209" s="1"/>
  <c r="G2669" i="209" s="1"/>
  <c r="O45" i="27"/>
  <c r="D45" i="3" s="1"/>
  <c r="AR73" i="190"/>
  <c r="AS67" i="190"/>
  <c r="D903" i="209"/>
  <c r="G794" i="209"/>
  <c r="N75" i="42"/>
  <c r="I2131" i="209"/>
  <c r="O2131" i="209" s="1"/>
  <c r="G620" i="210"/>
  <c r="D666" i="210" s="1"/>
  <c r="D640" i="210"/>
  <c r="G640" i="210" s="1"/>
  <c r="G592" i="210"/>
  <c r="D638" i="210" s="1"/>
  <c r="N48" i="42"/>
  <c r="I2101" i="209"/>
  <c r="O2101" i="209" s="1"/>
  <c r="N74" i="42"/>
  <c r="I2130" i="209"/>
  <c r="O2130" i="209" s="1"/>
  <c r="D583" i="210"/>
  <c r="G583" i="210" s="1"/>
  <c r="G584" i="210" s="1"/>
  <c r="D630" i="210" s="1"/>
  <c r="D629" i="210" s="1"/>
  <c r="G629" i="210" s="1"/>
  <c r="D2336" i="209"/>
  <c r="G2336" i="209" s="1"/>
  <c r="K2222" i="209"/>
  <c r="O54" i="27"/>
  <c r="D54" i="3" s="1"/>
  <c r="M21" i="196"/>
  <c r="H135" i="196"/>
  <c r="M135" i="196" s="1"/>
  <c r="C53" i="49"/>
  <c r="I54" i="49"/>
  <c r="D2300" i="209"/>
  <c r="G2300" i="209" s="1"/>
  <c r="D2414" i="209" s="1"/>
  <c r="G2414" i="209" s="1"/>
  <c r="D2528" i="209" s="1"/>
  <c r="G2528" i="209" s="1"/>
  <c r="D2642" i="209" s="1"/>
  <c r="G2642" i="209" s="1"/>
  <c r="O18" i="27"/>
  <c r="D18" i="3" s="1"/>
  <c r="D333" i="210"/>
  <c r="O287" i="210"/>
  <c r="D2328" i="209"/>
  <c r="G2328" i="209" s="1"/>
  <c r="K2214" i="209"/>
  <c r="O46" i="27"/>
  <c r="D46" i="3" s="1"/>
  <c r="D2314" i="209"/>
  <c r="G2314" i="209" s="1"/>
  <c r="K2200" i="209"/>
  <c r="O32" i="27"/>
  <c r="D32" i="3" s="1"/>
  <c r="D2332" i="209"/>
  <c r="G2332" i="209" s="1"/>
  <c r="K2218" i="209"/>
  <c r="O50" i="27"/>
  <c r="D50" i="3" s="1"/>
  <c r="O584" i="210"/>
  <c r="I630" i="210" s="1"/>
  <c r="I629" i="210" s="1"/>
  <c r="O629" i="210" s="1"/>
  <c r="N55" i="42"/>
  <c r="I2108" i="209"/>
  <c r="O2108" i="209" s="1"/>
  <c r="E77" i="43"/>
  <c r="I2818" i="209"/>
  <c r="O2818" i="209" s="1"/>
  <c r="E19" i="43"/>
  <c r="I2757" i="209"/>
  <c r="O2757" i="209" s="1"/>
  <c r="F32" i="200"/>
  <c r="I29" i="237" s="1"/>
  <c r="M123" i="171"/>
  <c r="X122" i="171"/>
  <c r="Y122" i="171" s="1"/>
  <c r="G21" i="12"/>
  <c r="K21" i="12"/>
  <c r="F34" i="200"/>
  <c r="I31" i="237" s="1"/>
  <c r="D2368" i="209"/>
  <c r="G2368" i="209" s="1"/>
  <c r="K2254" i="209"/>
  <c r="O82" i="27"/>
  <c r="D69" i="3" s="1"/>
  <c r="D2325" i="209"/>
  <c r="G2325" i="209" s="1"/>
  <c r="K2211" i="209"/>
  <c r="O43" i="27"/>
  <c r="D43" i="3" s="1"/>
  <c r="N32" i="42"/>
  <c r="I2085" i="209"/>
  <c r="O2085" i="209" s="1"/>
  <c r="K98" i="12"/>
  <c r="G98" i="12"/>
  <c r="D2367" i="209"/>
  <c r="G2367" i="209" s="1"/>
  <c r="K2253" i="209"/>
  <c r="O81" i="27"/>
  <c r="D68" i="3" s="1"/>
  <c r="H37" i="206"/>
  <c r="G38" i="206"/>
  <c r="N36" i="42"/>
  <c r="I2089" i="209"/>
  <c r="O2089" i="209" s="1"/>
  <c r="N41" i="42"/>
  <c r="I2094" i="209"/>
  <c r="O2094" i="209" s="1"/>
  <c r="D2313" i="209"/>
  <c r="G2313" i="209" s="1"/>
  <c r="K2199" i="209"/>
  <c r="O31" i="27"/>
  <c r="D31" i="3" s="1"/>
  <c r="I825" i="209"/>
  <c r="I340" i="210"/>
  <c r="O299" i="210"/>
  <c r="D2329" i="209"/>
  <c r="G2329" i="209" s="1"/>
  <c r="K2215" i="209"/>
  <c r="O47" i="27"/>
  <c r="D47" i="3" s="1"/>
  <c r="K19" i="12"/>
  <c r="G19" i="12"/>
  <c r="AN77" i="190"/>
  <c r="AR75" i="190"/>
  <c r="D636" i="210"/>
  <c r="G636" i="210" s="1"/>
  <c r="G619" i="210"/>
  <c r="D665" i="210" s="1"/>
  <c r="D2335" i="209"/>
  <c r="G2335" i="209" s="1"/>
  <c r="K2221" i="209"/>
  <c r="O53" i="27"/>
  <c r="D53" i="3" s="1"/>
  <c r="D2316" i="209"/>
  <c r="G2316" i="209" s="1"/>
  <c r="D2430" i="209" s="1"/>
  <c r="G2430" i="209" s="1"/>
  <c r="D2544" i="209" s="1"/>
  <c r="G2544" i="209" s="1"/>
  <c r="D2658" i="209" s="1"/>
  <c r="G2658" i="209" s="1"/>
  <c r="O34" i="27"/>
  <c r="D34" i="3" s="1"/>
  <c r="C54" i="49" l="1"/>
  <c r="I55" i="49"/>
  <c r="D2844" i="209"/>
  <c r="D97" i="44"/>
  <c r="O588" i="210"/>
  <c r="I634" i="210" s="1"/>
  <c r="I632" i="210"/>
  <c r="O632" i="210" s="1"/>
  <c r="O618" i="210"/>
  <c r="I664" i="210" s="1"/>
  <c r="I2246" i="209"/>
  <c r="O2246" i="209" s="1"/>
  <c r="O76" i="42"/>
  <c r="F79" i="12"/>
  <c r="F61" i="3"/>
  <c r="H61" i="3" s="1"/>
  <c r="K2360" i="209"/>
  <c r="D2474" i="209"/>
  <c r="G2474" i="209" s="1"/>
  <c r="L22" i="22"/>
  <c r="L24" i="22" s="1"/>
  <c r="I24" i="22"/>
  <c r="K2359" i="209"/>
  <c r="D2473" i="209"/>
  <c r="G2473" i="209" s="1"/>
  <c r="G663" i="210"/>
  <c r="D709" i="210" s="1"/>
  <c r="D674" i="210"/>
  <c r="G674" i="210" s="1"/>
  <c r="D2774" i="209"/>
  <c r="D36" i="44"/>
  <c r="O43" i="42"/>
  <c r="I2210" i="209"/>
  <c r="O2210" i="209" s="1"/>
  <c r="F17" i="43"/>
  <c r="I2869" i="209"/>
  <c r="O2869" i="209" s="1"/>
  <c r="J33" i="154"/>
  <c r="H34" i="154"/>
  <c r="O794" i="209"/>
  <c r="I903" i="209"/>
  <c r="O50" i="42"/>
  <c r="I2217" i="209"/>
  <c r="O2217" i="209" s="1"/>
  <c r="D2444" i="209"/>
  <c r="G2444" i="209" s="1"/>
  <c r="K2330" i="209"/>
  <c r="DC12" i="190"/>
  <c r="DG6" i="190"/>
  <c r="D2429" i="209"/>
  <c r="G2429" i="209" s="1"/>
  <c r="K2315" i="209"/>
  <c r="K2317" i="209"/>
  <c r="D2431" i="209"/>
  <c r="G2431" i="209" s="1"/>
  <c r="D2299" i="209"/>
  <c r="G2299" i="209" s="1"/>
  <c r="D2413" i="209" s="1"/>
  <c r="G2413" i="209" s="1"/>
  <c r="D2527" i="209" s="1"/>
  <c r="G2527" i="209" s="1"/>
  <c r="D2641" i="209" s="1"/>
  <c r="G2641" i="209" s="1"/>
  <c r="O17" i="27"/>
  <c r="D17" i="3" s="1"/>
  <c r="O82" i="42"/>
  <c r="I2252" i="209"/>
  <c r="O2252" i="209" s="1"/>
  <c r="F51" i="12"/>
  <c r="F49" i="3"/>
  <c r="H49" i="3" s="1"/>
  <c r="F85" i="12"/>
  <c r="F67" i="3"/>
  <c r="H67" i="3" s="1"/>
  <c r="J34" i="155"/>
  <c r="H37" i="155"/>
  <c r="O52" i="42"/>
  <c r="I2219" i="209"/>
  <c r="O2219" i="209" s="1"/>
  <c r="G630" i="210"/>
  <c r="D676" i="210" s="1"/>
  <c r="F39" i="12"/>
  <c r="F37" i="3"/>
  <c r="H37" i="3" s="1"/>
  <c r="F87" i="12"/>
  <c r="F69" i="3"/>
  <c r="H69" i="3" s="1"/>
  <c r="D2448" i="209"/>
  <c r="G2448" i="209" s="1"/>
  <c r="K2334" i="209"/>
  <c r="F26" i="43"/>
  <c r="I2878" i="209"/>
  <c r="O2878" i="209" s="1"/>
  <c r="O892" i="209"/>
  <c r="I893" i="209"/>
  <c r="D2449" i="209"/>
  <c r="G2449" i="209" s="1"/>
  <c r="K2335" i="209"/>
  <c r="D2757" i="209"/>
  <c r="D19" i="44"/>
  <c r="F49" i="12"/>
  <c r="F47" i="3"/>
  <c r="H47" i="3" s="1"/>
  <c r="D2439" i="209"/>
  <c r="G2439" i="209" s="1"/>
  <c r="K2325" i="209"/>
  <c r="K2368" i="209"/>
  <c r="D2482" i="209"/>
  <c r="G2482" i="209" s="1"/>
  <c r="O55" i="42"/>
  <c r="I2222" i="209"/>
  <c r="O2222" i="209" s="1"/>
  <c r="G903" i="209"/>
  <c r="D908" i="209"/>
  <c r="C81" i="196" s="1"/>
  <c r="F81" i="196" s="1"/>
  <c r="F89" i="12"/>
  <c r="F71" i="3"/>
  <c r="H71" i="3" s="1"/>
  <c r="D2387" i="209"/>
  <c r="G2387" i="209" s="1"/>
  <c r="D2501" i="209" s="1"/>
  <c r="G2501" i="209" s="1"/>
  <c r="D2615" i="209" s="1"/>
  <c r="G2615" i="209" s="1"/>
  <c r="D2729" i="209" s="1"/>
  <c r="G2729" i="209" s="1"/>
  <c r="D2843" i="209" s="1"/>
  <c r="O96" i="27"/>
  <c r="D83" i="3" s="1"/>
  <c r="F83" i="3" s="1"/>
  <c r="H83" i="3" s="1"/>
  <c r="D2818" i="209"/>
  <c r="D76" i="44"/>
  <c r="G822" i="209"/>
  <c r="D930" i="209"/>
  <c r="F28" i="12"/>
  <c r="F26" i="3"/>
  <c r="H26" i="3" s="1"/>
  <c r="D2759" i="209"/>
  <c r="D21" i="44"/>
  <c r="O30" i="42"/>
  <c r="I2197" i="209"/>
  <c r="O2197" i="209" s="1"/>
  <c r="F53" i="12"/>
  <c r="F51" i="3"/>
  <c r="H51" i="3" s="1"/>
  <c r="G710" i="210"/>
  <c r="D756" i="210" s="1"/>
  <c r="D724" i="210"/>
  <c r="G724" i="210" s="1"/>
  <c r="F22" i="12"/>
  <c r="F20" i="3"/>
  <c r="H20" i="3" s="1"/>
  <c r="O630" i="210"/>
  <c r="I676" i="210" s="1"/>
  <c r="DB63" i="190"/>
  <c r="F88" i="12"/>
  <c r="F70" i="3"/>
  <c r="H70" i="3" s="1"/>
  <c r="F32" i="12"/>
  <c r="F30" i="3"/>
  <c r="H30" i="3" s="1"/>
  <c r="F42" i="12"/>
  <c r="F40" i="3"/>
  <c r="H40" i="3" s="1"/>
  <c r="F77" i="12"/>
  <c r="F59" i="3"/>
  <c r="H59" i="3" s="1"/>
  <c r="O581" i="209"/>
  <c r="G640" i="209"/>
  <c r="D939" i="209"/>
  <c r="D682" i="209"/>
  <c r="C22" i="196"/>
  <c r="F45" i="12"/>
  <c r="F43" i="3"/>
  <c r="H43" i="3" s="1"/>
  <c r="F21" i="12"/>
  <c r="F19" i="3"/>
  <c r="H19" i="3" s="1"/>
  <c r="K2310" i="209"/>
  <c r="D2424" i="209"/>
  <c r="G2424" i="209" s="1"/>
  <c r="F81" i="12"/>
  <c r="F63" i="3"/>
  <c r="H63" i="3" s="1"/>
  <c r="O825" i="209"/>
  <c r="D2442" i="209"/>
  <c r="G2442" i="209" s="1"/>
  <c r="K2328" i="209"/>
  <c r="F56" i="12"/>
  <c r="F54" i="3"/>
  <c r="H54" i="3" s="1"/>
  <c r="AS73" i="190"/>
  <c r="AW67" i="190"/>
  <c r="D2475" i="209"/>
  <c r="G2475" i="209" s="1"/>
  <c r="K2361" i="209"/>
  <c r="O28" i="42"/>
  <c r="I2195" i="209"/>
  <c r="O2195" i="209" s="1"/>
  <c r="D2764" i="209"/>
  <c r="D26" i="44"/>
  <c r="I682" i="210"/>
  <c r="O682" i="210" s="1"/>
  <c r="O665" i="210"/>
  <c r="I711" i="210" s="1"/>
  <c r="O80" i="42"/>
  <c r="I2250" i="209"/>
  <c r="O2250" i="209" s="1"/>
  <c r="F83" i="12"/>
  <c r="F65" i="3"/>
  <c r="H65" i="3" s="1"/>
  <c r="O34" i="42"/>
  <c r="I2201" i="209"/>
  <c r="O2201" i="209" s="1"/>
  <c r="O49" i="42"/>
  <c r="I2216" i="209"/>
  <c r="O2216" i="209" s="1"/>
  <c r="D679" i="210"/>
  <c r="G679" i="210" s="1"/>
  <c r="G680" i="210" s="1"/>
  <c r="O29" i="42"/>
  <c r="I2196" i="209"/>
  <c r="O2196" i="209" s="1"/>
  <c r="O83" i="42"/>
  <c r="I2253" i="209"/>
  <c r="O2253" i="209" s="1"/>
  <c r="D2758" i="209"/>
  <c r="D20" i="44"/>
  <c r="I682" i="209"/>
  <c r="H22" i="196"/>
  <c r="I674" i="210"/>
  <c r="O674" i="210" s="1"/>
  <c r="O663" i="210"/>
  <c r="I709" i="210" s="1"/>
  <c r="D75" i="7"/>
  <c r="D1003" i="209"/>
  <c r="G989" i="209"/>
  <c r="O33" i="42"/>
  <c r="I2200" i="209"/>
  <c r="O2200" i="209" s="1"/>
  <c r="F44" i="12"/>
  <c r="F42" i="3"/>
  <c r="H42" i="3" s="1"/>
  <c r="D2445" i="209"/>
  <c r="G2445" i="209" s="1"/>
  <c r="K2331" i="209"/>
  <c r="D2480" i="209"/>
  <c r="G2480" i="209" s="1"/>
  <c r="K2366" i="209"/>
  <c r="AN80" i="190"/>
  <c r="AN82" i="190" s="1"/>
  <c r="AN85" i="190" s="1"/>
  <c r="AR79" i="190"/>
  <c r="D730" i="209"/>
  <c r="G627" i="209"/>
  <c r="G667" i="209" s="1"/>
  <c r="G671" i="209" s="1"/>
  <c r="G682" i="209" s="1"/>
  <c r="D2433" i="209"/>
  <c r="G2433" i="209" s="1"/>
  <c r="K2319" i="209"/>
  <c r="D2481" i="209"/>
  <c r="G2481" i="209" s="1"/>
  <c r="K2367" i="209"/>
  <c r="F77" i="43"/>
  <c r="I2932" i="209"/>
  <c r="O2932" i="209" s="1"/>
  <c r="K2314" i="209"/>
  <c r="D2428" i="209"/>
  <c r="G2428" i="209" s="1"/>
  <c r="D2477" i="209"/>
  <c r="G2477" i="209" s="1"/>
  <c r="K2363" i="209"/>
  <c r="D2446" i="209"/>
  <c r="G2446" i="209" s="1"/>
  <c r="K2332" i="209"/>
  <c r="F80" i="12"/>
  <c r="F62" i="3"/>
  <c r="H62" i="3" s="1"/>
  <c r="F23" i="12"/>
  <c r="F21" i="3"/>
  <c r="H21" i="3" s="1"/>
  <c r="G665" i="210"/>
  <c r="D711" i="210" s="1"/>
  <c r="D682" i="210"/>
  <c r="G682" i="210" s="1"/>
  <c r="O41" i="42"/>
  <c r="I2208" i="209"/>
  <c r="O2208" i="209" s="1"/>
  <c r="F19" i="43"/>
  <c r="I2871" i="209"/>
  <c r="O2871" i="209" s="1"/>
  <c r="AR77" i="190"/>
  <c r="AS75" i="190"/>
  <c r="D637" i="210"/>
  <c r="G637" i="210" s="1"/>
  <c r="D2484" i="209"/>
  <c r="G2484" i="209" s="1"/>
  <c r="K2370" i="209"/>
  <c r="F94" i="43"/>
  <c r="I2949" i="209"/>
  <c r="O2949" i="209" s="1"/>
  <c r="O638" i="210"/>
  <c r="I684" i="210" s="1"/>
  <c r="D2478" i="209"/>
  <c r="G2478" i="209" s="1"/>
  <c r="K2364" i="209"/>
  <c r="D2447" i="209"/>
  <c r="G2447" i="209" s="1"/>
  <c r="K2333" i="209"/>
  <c r="F84" i="12"/>
  <c r="F66" i="3"/>
  <c r="H66" i="3" s="1"/>
  <c r="F29" i="12"/>
  <c r="F27" i="3"/>
  <c r="H27" i="3" s="1"/>
  <c r="I730" i="209"/>
  <c r="O627" i="209"/>
  <c r="O667" i="209" s="1"/>
  <c r="O671" i="209" s="1"/>
  <c r="O682" i="209" s="1"/>
  <c r="K2369" i="209"/>
  <c r="D2483" i="209"/>
  <c r="G2483" i="209" s="1"/>
  <c r="D2426" i="209"/>
  <c r="G2426" i="209" s="1"/>
  <c r="K2312" i="209"/>
  <c r="D2436" i="209"/>
  <c r="G2436" i="209" s="1"/>
  <c r="K2322" i="209"/>
  <c r="O77" i="42"/>
  <c r="I2247" i="209"/>
  <c r="O2247" i="209" s="1"/>
  <c r="D2472" i="209"/>
  <c r="G2472" i="209" s="1"/>
  <c r="K2358" i="209"/>
  <c r="P103" i="42"/>
  <c r="I2388" i="209"/>
  <c r="O2388" i="209" s="1"/>
  <c r="I2502" i="209" s="1"/>
  <c r="O2502" i="209" s="1"/>
  <c r="I2616" i="209" s="1"/>
  <c r="O2616" i="209" s="1"/>
  <c r="I2730" i="209" s="1"/>
  <c r="O2730" i="209" s="1"/>
  <c r="D101" i="130"/>
  <c r="H101" i="130" s="1"/>
  <c r="G2844" i="209"/>
  <c r="F48" i="12"/>
  <c r="F46" i="3"/>
  <c r="H46" i="3" s="1"/>
  <c r="F20" i="12"/>
  <c r="F18" i="3"/>
  <c r="H18" i="3" s="1"/>
  <c r="D2443" i="209"/>
  <c r="G2443" i="209" s="1"/>
  <c r="K2329" i="209"/>
  <c r="H38" i="206"/>
  <c r="G39" i="206"/>
  <c r="D2756" i="209"/>
  <c r="D18" i="44"/>
  <c r="F36" i="12"/>
  <c r="F34" i="3"/>
  <c r="H34" i="3" s="1"/>
  <c r="F33" i="12"/>
  <c r="F31" i="3"/>
  <c r="H31" i="3" s="1"/>
  <c r="D2450" i="209"/>
  <c r="G2450" i="209" s="1"/>
  <c r="K2336" i="209"/>
  <c r="F47" i="12"/>
  <c r="F45" i="3"/>
  <c r="H45" i="3" s="1"/>
  <c r="E100" i="43"/>
  <c r="I2842" i="209"/>
  <c r="O44" i="42"/>
  <c r="I2211" i="209"/>
  <c r="O2211" i="209" s="1"/>
  <c r="F40" i="12"/>
  <c r="F38" i="3"/>
  <c r="H38" i="3" s="1"/>
  <c r="O31" i="42"/>
  <c r="I2198" i="209"/>
  <c r="O2198" i="209" s="1"/>
  <c r="O79" i="42"/>
  <c r="I2249" i="209"/>
  <c r="O2249" i="209" s="1"/>
  <c r="X58" i="170"/>
  <c r="Y58" i="170" s="1"/>
  <c r="M59" i="170"/>
  <c r="D386" i="210"/>
  <c r="G345" i="210"/>
  <c r="D2821" i="209"/>
  <c r="D79" i="44"/>
  <c r="O40" i="42"/>
  <c r="I2207" i="209"/>
  <c r="O2207" i="209" s="1"/>
  <c r="F31" i="12"/>
  <c r="F29" i="3"/>
  <c r="H29" i="3" s="1"/>
  <c r="DG61" i="190"/>
  <c r="DC62" i="190"/>
  <c r="D102" i="130"/>
  <c r="H102" i="130" s="1"/>
  <c r="G2845" i="209"/>
  <c r="D2959" i="209" s="1"/>
  <c r="G2959" i="209" s="1"/>
  <c r="D3073" i="209" s="1"/>
  <c r="G3073" i="209" s="1"/>
  <c r="D3187" i="209" s="1"/>
  <c r="G3187" i="209" s="1"/>
  <c r="D3301" i="209" s="1"/>
  <c r="G3301" i="209" s="1"/>
  <c r="D3415" i="209" s="1"/>
  <c r="G3415" i="209" s="1"/>
  <c r="D3529" i="209" s="1"/>
  <c r="G3529" i="209" s="1"/>
  <c r="D3643" i="209" s="1"/>
  <c r="G3643" i="209" s="1"/>
  <c r="D3757" i="209" s="1"/>
  <c r="G3757" i="209" s="1"/>
  <c r="D3871" i="209" s="1"/>
  <c r="G3871" i="209" s="1"/>
  <c r="D3985" i="209" s="1"/>
  <c r="G3985" i="209" s="1"/>
  <c r="D4099" i="209" s="1"/>
  <c r="G4099" i="209" s="1"/>
  <c r="O642" i="210"/>
  <c r="I688" i="210" s="1"/>
  <c r="O38" i="42"/>
  <c r="I2205" i="209"/>
  <c r="O2205" i="209" s="1"/>
  <c r="K36" i="45"/>
  <c r="K37" i="45" s="1"/>
  <c r="E37" i="45"/>
  <c r="F20" i="43"/>
  <c r="I2872" i="209"/>
  <c r="O2872" i="209" s="1"/>
  <c r="D2438" i="209"/>
  <c r="G2438" i="209" s="1"/>
  <c r="K2324" i="209"/>
  <c r="E101" i="43"/>
  <c r="I2843" i="209"/>
  <c r="O53" i="42"/>
  <c r="I2220" i="209"/>
  <c r="O2220" i="209" s="1"/>
  <c r="F34" i="43"/>
  <c r="I2886" i="209"/>
  <c r="O2886" i="209" s="1"/>
  <c r="O84" i="42"/>
  <c r="I2254" i="209"/>
  <c r="O2254" i="209" s="1"/>
  <c r="F86" i="12"/>
  <c r="F68" i="3"/>
  <c r="H68" i="3" s="1"/>
  <c r="O32" i="42"/>
  <c r="I2199" i="209"/>
  <c r="O2199" i="209" s="1"/>
  <c r="X123" i="171"/>
  <c r="Y123" i="171" s="1"/>
  <c r="M124" i="171"/>
  <c r="F34" i="12"/>
  <c r="F32" i="3"/>
  <c r="H32" i="3" s="1"/>
  <c r="I333" i="210"/>
  <c r="G333" i="210"/>
  <c r="D686" i="210"/>
  <c r="G686" i="210" s="1"/>
  <c r="G666" i="210"/>
  <c r="D712" i="210" s="1"/>
  <c r="D2783" i="209"/>
  <c r="D45" i="44"/>
  <c r="F54" i="12"/>
  <c r="F52" i="3"/>
  <c r="H52" i="3" s="1"/>
  <c r="F43" i="12"/>
  <c r="F41" i="3"/>
  <c r="H41" i="3" s="1"/>
  <c r="D2776" i="209"/>
  <c r="D38" i="44"/>
  <c r="O51" i="42"/>
  <c r="I2218" i="209"/>
  <c r="O2218" i="209" s="1"/>
  <c r="M49" i="171"/>
  <c r="X48" i="171"/>
  <c r="Y48" i="171" s="1"/>
  <c r="Y188" i="171"/>
  <c r="Y189" i="171" s="1"/>
  <c r="X189" i="171"/>
  <c r="F78" i="12"/>
  <c r="F60" i="3"/>
  <c r="H60" i="3" s="1"/>
  <c r="O86" i="42"/>
  <c r="I2256" i="209"/>
  <c r="O2256" i="209" s="1"/>
  <c r="K2309" i="209"/>
  <c r="D2423" i="209"/>
  <c r="G2423" i="209" s="1"/>
  <c r="DG13" i="190"/>
  <c r="DC14" i="190"/>
  <c r="O666" i="210"/>
  <c r="I712" i="210" s="1"/>
  <c r="I686" i="210"/>
  <c r="O686" i="210" s="1"/>
  <c r="DH15" i="190"/>
  <c r="DG45" i="190"/>
  <c r="D92" i="7"/>
  <c r="G1006" i="209"/>
  <c r="D1007" i="209"/>
  <c r="D641" i="210"/>
  <c r="G641" i="210" s="1"/>
  <c r="G642" i="210" s="1"/>
  <c r="D688" i="210" s="1"/>
  <c r="F82" i="12"/>
  <c r="F64" i="3"/>
  <c r="H64" i="3" s="1"/>
  <c r="F41" i="12"/>
  <c r="F39" i="3"/>
  <c r="H39" i="3" s="1"/>
  <c r="F21" i="43"/>
  <c r="I2873" i="209"/>
  <c r="O2873" i="209" s="1"/>
  <c r="F30" i="12"/>
  <c r="F28" i="3"/>
  <c r="H28" i="3" s="1"/>
  <c r="F38" i="12"/>
  <c r="F36" i="3"/>
  <c r="H36" i="3" s="1"/>
  <c r="K2321" i="209"/>
  <c r="D2435" i="209"/>
  <c r="G2435" i="209" s="1"/>
  <c r="O48" i="42"/>
  <c r="I2215" i="209"/>
  <c r="O2215" i="209" s="1"/>
  <c r="O85" i="42"/>
  <c r="I2255" i="209"/>
  <c r="O2255" i="209" s="1"/>
  <c r="G638" i="210"/>
  <c r="D684" i="210" s="1"/>
  <c r="D2772" i="209"/>
  <c r="D34" i="44"/>
  <c r="I348" i="210"/>
  <c r="O348" i="210" s="1"/>
  <c r="O340" i="210"/>
  <c r="I345" i="210"/>
  <c r="O36" i="42"/>
  <c r="I2203" i="209"/>
  <c r="O2203" i="209" s="1"/>
  <c r="F55" i="12"/>
  <c r="F53" i="3"/>
  <c r="H53" i="3" s="1"/>
  <c r="K2313" i="209"/>
  <c r="D2427" i="209"/>
  <c r="G2427" i="209" s="1"/>
  <c r="F52" i="12"/>
  <c r="F50" i="3"/>
  <c r="H50" i="3" s="1"/>
  <c r="O74" i="42"/>
  <c r="I2244" i="209"/>
  <c r="O2244" i="209" s="1"/>
  <c r="O75" i="42"/>
  <c r="I2245" i="209"/>
  <c r="O2245" i="209" s="1"/>
  <c r="D2779" i="209"/>
  <c r="D41" i="44"/>
  <c r="F80" i="43"/>
  <c r="I2935" i="209"/>
  <c r="O2935" i="209" s="1"/>
  <c r="O889" i="209"/>
  <c r="I989" i="209"/>
  <c r="DG46" i="190"/>
  <c r="DC60" i="190"/>
  <c r="Y47" i="171"/>
  <c r="M193" i="171"/>
  <c r="M194" i="171" s="1"/>
  <c r="M195" i="171" s="1"/>
  <c r="M196" i="171" s="1"/>
  <c r="M197" i="171" s="1"/>
  <c r="X192" i="171"/>
  <c r="F18" i="43"/>
  <c r="I2870" i="209"/>
  <c r="O2870" i="209" s="1"/>
  <c r="D2425" i="209"/>
  <c r="G2425" i="209" s="1"/>
  <c r="K2311" i="209"/>
  <c r="F50" i="12"/>
  <c r="F48" i="3"/>
  <c r="H48" i="3" s="1"/>
  <c r="F35" i="12"/>
  <c r="F33" i="3"/>
  <c r="H33" i="3" s="1"/>
  <c r="F37" i="12"/>
  <c r="F35" i="3"/>
  <c r="H35" i="3" s="1"/>
  <c r="O816" i="209"/>
  <c r="I822" i="209"/>
  <c r="D2386" i="209"/>
  <c r="G2386" i="209" s="1"/>
  <c r="D2500" i="209" s="1"/>
  <c r="G2500" i="209" s="1"/>
  <c r="D2614" i="209" s="1"/>
  <c r="G2614" i="209" s="1"/>
  <c r="D2728" i="209" s="1"/>
  <c r="G2728" i="209" s="1"/>
  <c r="D2842" i="209" s="1"/>
  <c r="O95" i="27"/>
  <c r="D82" i="3" s="1"/>
  <c r="F82" i="3" s="1"/>
  <c r="H82" i="3" s="1"/>
  <c r="M124" i="170"/>
  <c r="X123" i="170"/>
  <c r="O54" i="42"/>
  <c r="I2221" i="209"/>
  <c r="O2221" i="209" s="1"/>
  <c r="D349" i="210"/>
  <c r="G349" i="210" s="1"/>
  <c r="G350" i="210" s="1"/>
  <c r="D396" i="210" s="1"/>
  <c r="O47" i="42"/>
  <c r="I2214" i="209"/>
  <c r="O2214" i="209" s="1"/>
  <c r="I57" i="49" l="1"/>
  <c r="C55" i="49"/>
  <c r="D2958" i="209"/>
  <c r="G2958" i="209" s="1"/>
  <c r="E97" i="44"/>
  <c r="E99" i="44" s="1"/>
  <c r="D99" i="44"/>
  <c r="I687" i="210"/>
  <c r="I678" i="210"/>
  <c r="O678" i="210" s="1"/>
  <c r="O664" i="210"/>
  <c r="I710" i="210" s="1"/>
  <c r="I633" i="210"/>
  <c r="O633" i="210" s="1"/>
  <c r="O634" i="210" s="1"/>
  <c r="I680" i="210" s="1"/>
  <c r="I679" i="210" s="1"/>
  <c r="K2474" i="209"/>
  <c r="D2588" i="209"/>
  <c r="G2588" i="209" s="1"/>
  <c r="I79" i="12"/>
  <c r="I2360" i="209"/>
  <c r="O2360" i="209" s="1"/>
  <c r="I2474" i="209" s="1"/>
  <c r="O2474" i="209" s="1"/>
  <c r="I2588" i="209" s="1"/>
  <c r="P76" i="42"/>
  <c r="D687" i="210"/>
  <c r="G687" i="210" s="1"/>
  <c r="G688" i="210" s="1"/>
  <c r="D734" i="210" s="1"/>
  <c r="D726" i="210"/>
  <c r="K680" i="210"/>
  <c r="K679" i="210" s="1"/>
  <c r="D683" i="210"/>
  <c r="G683" i="210" s="1"/>
  <c r="D379" i="210"/>
  <c r="O333" i="210"/>
  <c r="I80" i="12"/>
  <c r="P77" i="42"/>
  <c r="I2361" i="209"/>
  <c r="O2361" i="209" s="1"/>
  <c r="I2475" i="209" s="1"/>
  <c r="D2589" i="209"/>
  <c r="G2589" i="209" s="1"/>
  <c r="K2475" i="209"/>
  <c r="I675" i="210"/>
  <c r="I1006" i="209"/>
  <c r="O893" i="209"/>
  <c r="F19" i="12"/>
  <c r="F17" i="3"/>
  <c r="H17" i="3" s="1"/>
  <c r="H37" i="154"/>
  <c r="J34" i="154"/>
  <c r="K34" i="154" s="1"/>
  <c r="M125" i="170"/>
  <c r="X124" i="170"/>
  <c r="Y124" i="170" s="1"/>
  <c r="I77" i="12"/>
  <c r="P74" i="42"/>
  <c r="I2358" i="209"/>
  <c r="O2358" i="209" s="1"/>
  <c r="I2472" i="209" s="1"/>
  <c r="DG14" i="190"/>
  <c r="DH13" i="190"/>
  <c r="D23" i="130"/>
  <c r="H23" i="130" s="1"/>
  <c r="G2759" i="209"/>
  <c r="D99" i="130"/>
  <c r="H99" i="130" s="1"/>
  <c r="G2842" i="209"/>
  <c r="D2956" i="209" s="1"/>
  <c r="G2956" i="209" s="1"/>
  <c r="D3070" i="209" s="1"/>
  <c r="G3070" i="209" s="1"/>
  <c r="D3184" i="209" s="1"/>
  <c r="G3184" i="209" s="1"/>
  <c r="D3298" i="209" s="1"/>
  <c r="G3298" i="209" s="1"/>
  <c r="D3412" i="209" s="1"/>
  <c r="G3412" i="209" s="1"/>
  <c r="D3526" i="209" s="1"/>
  <c r="G3526" i="209" s="1"/>
  <c r="D3640" i="209" s="1"/>
  <c r="G3640" i="209" s="1"/>
  <c r="D3754" i="209" s="1"/>
  <c r="G3754" i="209" s="1"/>
  <c r="D3868" i="209" s="1"/>
  <c r="G3868" i="209" s="1"/>
  <c r="D3982" i="209" s="1"/>
  <c r="G3982" i="209" s="1"/>
  <c r="D4096" i="209" s="1"/>
  <c r="G4096" i="209" s="1"/>
  <c r="D2541" i="209"/>
  <c r="G2541" i="209" s="1"/>
  <c r="K2427" i="209"/>
  <c r="D2549" i="209"/>
  <c r="G2549" i="209" s="1"/>
  <c r="K2435" i="209"/>
  <c r="D2537" i="209"/>
  <c r="G2537" i="209" s="1"/>
  <c r="K2423" i="209"/>
  <c r="K2438" i="209"/>
  <c r="D2552" i="209"/>
  <c r="G2552" i="209" s="1"/>
  <c r="E102" i="43"/>
  <c r="I2844" i="209"/>
  <c r="K2478" i="209"/>
  <c r="D2592" i="209"/>
  <c r="G2592" i="209" s="1"/>
  <c r="D2598" i="209"/>
  <c r="G2598" i="209" s="1"/>
  <c r="K2484" i="209"/>
  <c r="G19" i="43"/>
  <c r="I2985" i="209"/>
  <c r="O2985" i="209" s="1"/>
  <c r="G77" i="43"/>
  <c r="I3046" i="209"/>
  <c r="O3046" i="209" s="1"/>
  <c r="D2594" i="209"/>
  <c r="G2594" i="209" s="1"/>
  <c r="K2480" i="209"/>
  <c r="P33" i="42"/>
  <c r="I34" i="12"/>
  <c r="I2314" i="209"/>
  <c r="O2314" i="209" s="1"/>
  <c r="I2428" i="209" s="1"/>
  <c r="M22" i="196"/>
  <c r="H136" i="196"/>
  <c r="M136" i="196" s="1"/>
  <c r="AX67" i="190"/>
  <c r="AW73" i="190"/>
  <c r="D27" i="7"/>
  <c r="H27" i="7" s="1"/>
  <c r="G939" i="209"/>
  <c r="G26" i="43"/>
  <c r="I2992" i="209"/>
  <c r="O2992" i="209" s="1"/>
  <c r="D675" i="210"/>
  <c r="G675" i="210" s="1"/>
  <c r="D2755" i="209"/>
  <c r="D17" i="44"/>
  <c r="D2545" i="209"/>
  <c r="G2545" i="209" s="1"/>
  <c r="K2431" i="209"/>
  <c r="D2547" i="209"/>
  <c r="G2547" i="209" s="1"/>
  <c r="K2433" i="209"/>
  <c r="D100" i="130"/>
  <c r="H100" i="130" s="1"/>
  <c r="G2843" i="209"/>
  <c r="D2957" i="209" s="1"/>
  <c r="G2957" i="209" s="1"/>
  <c r="D3071" i="209" s="1"/>
  <c r="G3071" i="209" s="1"/>
  <c r="D3185" i="209" s="1"/>
  <c r="G3185" i="209" s="1"/>
  <c r="D3299" i="209" s="1"/>
  <c r="G3299" i="209" s="1"/>
  <c r="D3413" i="209" s="1"/>
  <c r="G3413" i="209" s="1"/>
  <c r="D3527" i="209" s="1"/>
  <c r="G3527" i="209" s="1"/>
  <c r="D3641" i="209" s="1"/>
  <c r="G3641" i="209" s="1"/>
  <c r="D3755" i="209" s="1"/>
  <c r="G3755" i="209" s="1"/>
  <c r="D3869" i="209" s="1"/>
  <c r="G3869" i="209" s="1"/>
  <c r="D3983" i="209" s="1"/>
  <c r="G3983" i="209" s="1"/>
  <c r="D4097" i="209" s="1"/>
  <c r="G4097" i="209" s="1"/>
  <c r="D2558" i="209"/>
  <c r="G2558" i="209" s="1"/>
  <c r="K2444" i="209"/>
  <c r="Y123" i="170"/>
  <c r="O345" i="210"/>
  <c r="I386" i="210"/>
  <c r="I732" i="210"/>
  <c r="O732" i="210" s="1"/>
  <c r="O712" i="210"/>
  <c r="I758" i="210" s="1"/>
  <c r="P84" i="42"/>
  <c r="I87" i="12"/>
  <c r="I2368" i="209"/>
  <c r="O2368" i="209" s="1"/>
  <c r="I2482" i="209" s="1"/>
  <c r="I54" i="12"/>
  <c r="P53" i="42"/>
  <c r="I2334" i="209"/>
  <c r="O2334" i="209" s="1"/>
  <c r="I2448" i="209" s="1"/>
  <c r="G20" i="43"/>
  <c r="I2986" i="209"/>
  <c r="O2986" i="209" s="1"/>
  <c r="I41" i="12"/>
  <c r="P40" i="42"/>
  <c r="I2321" i="209"/>
  <c r="O2321" i="209" s="1"/>
  <c r="I2435" i="209" s="1"/>
  <c r="X59" i="170"/>
  <c r="Y59" i="170" s="1"/>
  <c r="M60" i="170"/>
  <c r="I683" i="210"/>
  <c r="G730" i="209"/>
  <c r="D741" i="209"/>
  <c r="D781" i="209" s="1"/>
  <c r="D785" i="209" s="1"/>
  <c r="D28" i="130"/>
  <c r="H28" i="130" s="1"/>
  <c r="G2764" i="209"/>
  <c r="D21" i="130"/>
  <c r="H21" i="130" s="1"/>
  <c r="G2757" i="209"/>
  <c r="G17" i="43"/>
  <c r="I2983" i="209"/>
  <c r="O2983" i="209" s="1"/>
  <c r="DG60" i="190"/>
  <c r="DH46" i="190"/>
  <c r="D93" i="7"/>
  <c r="H92" i="7"/>
  <c r="H93" i="7" s="1"/>
  <c r="M125" i="171"/>
  <c r="X124" i="171"/>
  <c r="Y124" i="171" s="1"/>
  <c r="G34" i="43"/>
  <c r="I3000" i="209"/>
  <c r="O3000" i="209" s="1"/>
  <c r="I82" i="12"/>
  <c r="P79" i="42"/>
  <c r="I2363" i="209"/>
  <c r="O2363" i="209" s="1"/>
  <c r="I2477" i="209" s="1"/>
  <c r="K2446" i="209"/>
  <c r="D2560" i="209"/>
  <c r="G2560" i="209" s="1"/>
  <c r="D2591" i="209"/>
  <c r="G2591" i="209" s="1"/>
  <c r="K2477" i="209"/>
  <c r="D2595" i="209"/>
  <c r="G2595" i="209" s="1"/>
  <c r="K2481" i="209"/>
  <c r="G1003" i="209"/>
  <c r="D1103" i="209"/>
  <c r="D71" i="27"/>
  <c r="D85" i="27" s="1"/>
  <c r="D22" i="130"/>
  <c r="H22" i="130" s="1"/>
  <c r="G2758" i="209"/>
  <c r="D770" i="210"/>
  <c r="G770" i="210" s="1"/>
  <c r="G756" i="210"/>
  <c r="D802" i="210" s="1"/>
  <c r="D2562" i="209"/>
  <c r="G2562" i="209" s="1"/>
  <c r="K2448" i="209"/>
  <c r="I53" i="12"/>
  <c r="P52" i="42"/>
  <c r="I2333" i="209"/>
  <c r="O2333" i="209" s="1"/>
  <c r="I2447" i="209" s="1"/>
  <c r="D2543" i="209"/>
  <c r="G2543" i="209" s="1"/>
  <c r="K2429" i="209"/>
  <c r="P43" i="42"/>
  <c r="I44" i="12"/>
  <c r="I2324" i="209"/>
  <c r="O2324" i="209" s="1"/>
  <c r="I2438" i="209" s="1"/>
  <c r="O2438" i="209" s="1"/>
  <c r="I2552" i="209" s="1"/>
  <c r="Y192" i="171"/>
  <c r="Y193" i="171" s="1"/>
  <c r="X193" i="171"/>
  <c r="D40" i="130"/>
  <c r="H40" i="130" s="1"/>
  <c r="G2776" i="209"/>
  <c r="D2550" i="209"/>
  <c r="G2550" i="209" s="1"/>
  <c r="K2436" i="209"/>
  <c r="G94" i="43"/>
  <c r="I3063" i="209"/>
  <c r="O3063" i="209" s="1"/>
  <c r="D38" i="130"/>
  <c r="H38" i="130" s="1"/>
  <c r="G2774" i="209"/>
  <c r="I48" i="12"/>
  <c r="P47" i="42"/>
  <c r="I2328" i="209"/>
  <c r="O2328" i="209" s="1"/>
  <c r="I2442" i="209" s="1"/>
  <c r="I1003" i="209"/>
  <c r="O989" i="209"/>
  <c r="D43" i="130"/>
  <c r="H43" i="130" s="1"/>
  <c r="G2779" i="209"/>
  <c r="D36" i="130"/>
  <c r="H36" i="130" s="1"/>
  <c r="G2772" i="209"/>
  <c r="D83" i="130"/>
  <c r="H83" i="130" s="1"/>
  <c r="G2821" i="209"/>
  <c r="D2540" i="209"/>
  <c r="G2540" i="209" s="1"/>
  <c r="K2426" i="209"/>
  <c r="G684" i="210"/>
  <c r="D730" i="210" s="1"/>
  <c r="AS79" i="190"/>
  <c r="AR80" i="190"/>
  <c r="AR82" i="190" s="1"/>
  <c r="AR85" i="190" s="1"/>
  <c r="P83" i="42"/>
  <c r="I86" i="12"/>
  <c r="I2367" i="209"/>
  <c r="O2367" i="209" s="1"/>
  <c r="I2481" i="209" s="1"/>
  <c r="O2481" i="209" s="1"/>
  <c r="I2595" i="209" s="1"/>
  <c r="P80" i="42"/>
  <c r="I83" i="12"/>
  <c r="I2364" i="209"/>
  <c r="O2364" i="209" s="1"/>
  <c r="I2478" i="209" s="1"/>
  <c r="O2478" i="209" s="1"/>
  <c r="I2592" i="209" s="1"/>
  <c r="P28" i="42"/>
  <c r="I29" i="12"/>
  <c r="I2309" i="209"/>
  <c r="O2309" i="209" s="1"/>
  <c r="I2423" i="209" s="1"/>
  <c r="D2538" i="209"/>
  <c r="G2538" i="209" s="1"/>
  <c r="K2424" i="209"/>
  <c r="K2449" i="209"/>
  <c r="D2563" i="209"/>
  <c r="G2563" i="209" s="1"/>
  <c r="DG12" i="190"/>
  <c r="DH6" i="190"/>
  <c r="O903" i="209"/>
  <c r="I908" i="209"/>
  <c r="H81" i="196" s="1"/>
  <c r="M81" i="196" s="1"/>
  <c r="G676" i="210"/>
  <c r="D722" i="210" s="1"/>
  <c r="I349" i="210"/>
  <c r="O349" i="210" s="1"/>
  <c r="O350" i="210" s="1"/>
  <c r="I396" i="210" s="1"/>
  <c r="O822" i="209"/>
  <c r="I930" i="209"/>
  <c r="G21" i="43"/>
  <c r="I2987" i="209"/>
  <c r="O2987" i="209" s="1"/>
  <c r="D1120" i="209"/>
  <c r="G1007" i="209"/>
  <c r="D88" i="27"/>
  <c r="D89" i="27" s="1"/>
  <c r="P86" i="42"/>
  <c r="I89" i="12"/>
  <c r="I2370" i="209"/>
  <c r="O2370" i="209" s="1"/>
  <c r="I2484" i="209" s="1"/>
  <c r="O2484" i="209" s="1"/>
  <c r="I2598" i="209" s="1"/>
  <c r="P44" i="42"/>
  <c r="I45" i="12"/>
  <c r="I2325" i="209"/>
  <c r="O2325" i="209" s="1"/>
  <c r="I2439" i="209" s="1"/>
  <c r="O730" i="209"/>
  <c r="I741" i="209"/>
  <c r="I781" i="209" s="1"/>
  <c r="I785" i="209" s="1"/>
  <c r="P41" i="42"/>
  <c r="I42" i="12"/>
  <c r="I2322" i="209"/>
  <c r="O2322" i="209" s="1"/>
  <c r="I2436" i="209" s="1"/>
  <c r="O2436" i="209" s="1"/>
  <c r="I2550" i="209" s="1"/>
  <c r="P48" i="42"/>
  <c r="I49" i="12"/>
  <c r="I2329" i="209"/>
  <c r="O2329" i="209" s="1"/>
  <c r="I2443" i="209" s="1"/>
  <c r="X49" i="171"/>
  <c r="M50" i="171"/>
  <c r="D47" i="130"/>
  <c r="H47" i="130" s="1"/>
  <c r="G2783" i="209"/>
  <c r="D2539" i="209"/>
  <c r="G2539" i="209" s="1"/>
  <c r="K2425" i="209"/>
  <c r="P75" i="42"/>
  <c r="I78" i="12"/>
  <c r="I2359" i="209"/>
  <c r="O2359" i="209" s="1"/>
  <c r="I2473" i="209" s="1"/>
  <c r="DL15" i="190"/>
  <c r="DH45" i="190"/>
  <c r="P51" i="42"/>
  <c r="I52" i="12"/>
  <c r="I2332" i="209"/>
  <c r="O2332" i="209" s="1"/>
  <c r="I2446" i="209" s="1"/>
  <c r="D732" i="210"/>
  <c r="G732" i="210" s="1"/>
  <c r="G712" i="210"/>
  <c r="D758" i="210" s="1"/>
  <c r="I33" i="12"/>
  <c r="P32" i="42"/>
  <c r="I2313" i="209"/>
  <c r="O2313" i="209" s="1"/>
  <c r="I2427" i="209" s="1"/>
  <c r="O2427" i="209" s="1"/>
  <c r="I2541" i="209" s="1"/>
  <c r="P38" i="42"/>
  <c r="I39" i="12"/>
  <c r="I2319" i="209"/>
  <c r="O2319" i="209" s="1"/>
  <c r="I2433" i="209" s="1"/>
  <c r="O2433" i="209" s="1"/>
  <c r="I2547" i="209" s="1"/>
  <c r="DG62" i="190"/>
  <c r="DH61" i="190"/>
  <c r="I32" i="12"/>
  <c r="P31" i="42"/>
  <c r="I2312" i="209"/>
  <c r="O2312" i="209" s="1"/>
  <c r="I2426" i="209" s="1"/>
  <c r="D2557" i="209"/>
  <c r="G2557" i="209" s="1"/>
  <c r="K2443" i="209"/>
  <c r="D2597" i="209"/>
  <c r="G2597" i="209" s="1"/>
  <c r="K2483" i="209"/>
  <c r="AW75" i="190"/>
  <c r="AS77" i="190"/>
  <c r="G711" i="210"/>
  <c r="D757" i="210" s="1"/>
  <c r="D728" i="210"/>
  <c r="G728" i="210" s="1"/>
  <c r="D89" i="7"/>
  <c r="H75" i="7"/>
  <c r="H89" i="7" s="1"/>
  <c r="K2442" i="209"/>
  <c r="D2556" i="209"/>
  <c r="G2556" i="209" s="1"/>
  <c r="O640" i="209"/>
  <c r="D695" i="209"/>
  <c r="D80" i="130"/>
  <c r="H80" i="130" s="1"/>
  <c r="G2818" i="209"/>
  <c r="D1017" i="209"/>
  <c r="G908" i="209"/>
  <c r="K2439" i="209"/>
  <c r="D2553" i="209"/>
  <c r="G2553" i="209" s="1"/>
  <c r="J37" i="155"/>
  <c r="H38" i="155"/>
  <c r="I85" i="12"/>
  <c r="P82" i="42"/>
  <c r="I2366" i="209"/>
  <c r="O2366" i="209" s="1"/>
  <c r="I2480" i="209" s="1"/>
  <c r="O2480" i="209" s="1"/>
  <c r="I2594" i="209" s="1"/>
  <c r="DC63" i="190"/>
  <c r="G709" i="210"/>
  <c r="D755" i="210" s="1"/>
  <c r="D720" i="210"/>
  <c r="G720" i="210" s="1"/>
  <c r="I88" i="12"/>
  <c r="P85" i="42"/>
  <c r="I2369" i="209"/>
  <c r="O2369" i="209" s="1"/>
  <c r="I2483" i="209" s="1"/>
  <c r="K2450" i="209"/>
  <c r="D2564" i="209"/>
  <c r="G2564" i="209" s="1"/>
  <c r="H39" i="206"/>
  <c r="G40" i="206"/>
  <c r="H40" i="206" s="1"/>
  <c r="D2561" i="209"/>
  <c r="G2561" i="209" s="1"/>
  <c r="K2447" i="209"/>
  <c r="K2445" i="209"/>
  <c r="D2559" i="209"/>
  <c r="G2559" i="209" s="1"/>
  <c r="I50" i="12"/>
  <c r="P49" i="42"/>
  <c r="I2330" i="209"/>
  <c r="O2330" i="209" s="1"/>
  <c r="I2444" i="209" s="1"/>
  <c r="O2444" i="209" s="1"/>
  <c r="I2558" i="209" s="1"/>
  <c r="P30" i="42"/>
  <c r="I31" i="12"/>
  <c r="I2311" i="209"/>
  <c r="O2311" i="209" s="1"/>
  <c r="I2425" i="209" s="1"/>
  <c r="D18" i="7"/>
  <c r="D936" i="209"/>
  <c r="G930" i="209"/>
  <c r="D2596" i="209"/>
  <c r="G2596" i="209" s="1"/>
  <c r="K2482" i="209"/>
  <c r="I51" i="12"/>
  <c r="P50" i="42"/>
  <c r="I2331" i="209"/>
  <c r="O2331" i="209" s="1"/>
  <c r="I2445" i="209" s="1"/>
  <c r="D2587" i="209"/>
  <c r="G2587" i="209" s="1"/>
  <c r="K2473" i="209"/>
  <c r="P54" i="42"/>
  <c r="I55" i="12"/>
  <c r="I2335" i="209"/>
  <c r="O2335" i="209" s="1"/>
  <c r="I2449" i="209" s="1"/>
  <c r="O2449" i="209" s="1"/>
  <c r="I2563" i="209" s="1"/>
  <c r="G18" i="43"/>
  <c r="I2984" i="209"/>
  <c r="O2984" i="209" s="1"/>
  <c r="G80" i="43"/>
  <c r="I3049" i="209"/>
  <c r="O3049" i="209" s="1"/>
  <c r="P36" i="42"/>
  <c r="I37" i="12"/>
  <c r="I2317" i="209"/>
  <c r="O2317" i="209" s="1"/>
  <c r="I2431" i="209" s="1"/>
  <c r="O2431" i="209" s="1"/>
  <c r="I2545" i="209" s="1"/>
  <c r="D394" i="210"/>
  <c r="G394" i="210" s="1"/>
  <c r="G386" i="210"/>
  <c r="D391" i="210"/>
  <c r="D20" i="130"/>
  <c r="H20" i="130" s="1"/>
  <c r="G2756" i="209"/>
  <c r="D2586" i="209"/>
  <c r="G2586" i="209" s="1"/>
  <c r="K2472" i="209"/>
  <c r="D2542" i="209"/>
  <c r="G2542" i="209" s="1"/>
  <c r="K2428" i="209"/>
  <c r="O709" i="210"/>
  <c r="I755" i="210" s="1"/>
  <c r="I720" i="210"/>
  <c r="O720" i="210" s="1"/>
  <c r="I30" i="12"/>
  <c r="P29" i="42"/>
  <c r="I2310" i="209"/>
  <c r="O2310" i="209" s="1"/>
  <c r="I2424" i="209" s="1"/>
  <c r="O2424" i="209" s="1"/>
  <c r="I2538" i="209" s="1"/>
  <c r="I35" i="12"/>
  <c r="P34" i="42"/>
  <c r="I2315" i="209"/>
  <c r="O2315" i="209" s="1"/>
  <c r="I2429" i="209" s="1"/>
  <c r="O2429" i="209" s="1"/>
  <c r="I2543" i="209" s="1"/>
  <c r="O711" i="210"/>
  <c r="I757" i="210" s="1"/>
  <c r="I728" i="210"/>
  <c r="O728" i="210" s="1"/>
  <c r="I939" i="209"/>
  <c r="C136" i="196"/>
  <c r="F136" i="196" s="1"/>
  <c r="F22" i="196"/>
  <c r="I56" i="12"/>
  <c r="P55" i="42"/>
  <c r="I2336" i="209"/>
  <c r="O2336" i="209" s="1"/>
  <c r="I2450" i="209" s="1"/>
  <c r="C57" i="49" l="1"/>
  <c r="I58" i="49"/>
  <c r="D3072" i="209"/>
  <c r="G3072" i="209" s="1"/>
  <c r="F97" i="44"/>
  <c r="I724" i="210"/>
  <c r="O724" i="210" s="1"/>
  <c r="O710" i="210"/>
  <c r="I756" i="210" s="1"/>
  <c r="O2450" i="209"/>
  <c r="I2564" i="209" s="1"/>
  <c r="O2439" i="209"/>
  <c r="I2553" i="209" s="1"/>
  <c r="O2553" i="209" s="1"/>
  <c r="I2667" i="209" s="1"/>
  <c r="O2446" i="209"/>
  <c r="I2560" i="209" s="1"/>
  <c r="O2442" i="209"/>
  <c r="I2556" i="209" s="1"/>
  <c r="O2435" i="209"/>
  <c r="I2549" i="209" s="1"/>
  <c r="O2425" i="209"/>
  <c r="I2539" i="209" s="1"/>
  <c r="O2539" i="209" s="1"/>
  <c r="I2653" i="209" s="1"/>
  <c r="O2445" i="209"/>
  <c r="I2559" i="209" s="1"/>
  <c r="K79" i="12"/>
  <c r="G79" i="12"/>
  <c r="D2702" i="209"/>
  <c r="G2702" i="209" s="1"/>
  <c r="K2588" i="209"/>
  <c r="O2588" i="209" s="1"/>
  <c r="I2702" i="209" s="1"/>
  <c r="O2426" i="209"/>
  <c r="I2540" i="209" s="1"/>
  <c r="O2540" i="209" s="1"/>
  <c r="I2654" i="209" s="1"/>
  <c r="K30" i="12"/>
  <c r="G30" i="12"/>
  <c r="D2700" i="209"/>
  <c r="G2700" i="209" s="1"/>
  <c r="K2586" i="209"/>
  <c r="K31" i="12"/>
  <c r="G31" i="12"/>
  <c r="AW77" i="190"/>
  <c r="AX75" i="190"/>
  <c r="O2443" i="209"/>
  <c r="I2557" i="209" s="1"/>
  <c r="G55" i="12"/>
  <c r="K55" i="12"/>
  <c r="D2675" i="209"/>
  <c r="G2675" i="209" s="1"/>
  <c r="K2561" i="209"/>
  <c r="D2667" i="209"/>
  <c r="G2667" i="209" s="1"/>
  <c r="K2553" i="209"/>
  <c r="D754" i="209"/>
  <c r="I754" i="209" s="1"/>
  <c r="G695" i="209"/>
  <c r="I695" i="209"/>
  <c r="K39" i="12"/>
  <c r="G39" i="12"/>
  <c r="K33" i="12"/>
  <c r="G33" i="12"/>
  <c r="K49" i="12"/>
  <c r="G49" i="12"/>
  <c r="K2540" i="209"/>
  <c r="D2654" i="209"/>
  <c r="G2654" i="209" s="1"/>
  <c r="D2935" i="209"/>
  <c r="G2935" i="209" s="1"/>
  <c r="E79" i="44"/>
  <c r="D2705" i="209"/>
  <c r="G2705" i="209" s="1"/>
  <c r="K2591" i="209"/>
  <c r="D2871" i="209"/>
  <c r="G2871" i="209" s="1"/>
  <c r="E19" i="44"/>
  <c r="X60" i="170"/>
  <c r="Y60" i="170" s="1"/>
  <c r="M61" i="170"/>
  <c r="D19" i="130"/>
  <c r="H19" i="130" s="1"/>
  <c r="G2755" i="209"/>
  <c r="H19" i="43"/>
  <c r="I3099" i="209"/>
  <c r="O3099" i="209" s="1"/>
  <c r="K2552" i="209"/>
  <c r="D2666" i="209"/>
  <c r="G2666" i="209" s="1"/>
  <c r="O2472" i="209"/>
  <c r="I2586" i="209" s="1"/>
  <c r="O2586" i="209" s="1"/>
  <c r="I2700" i="209" s="1"/>
  <c r="O1006" i="209"/>
  <c r="I1007" i="209"/>
  <c r="K688" i="210"/>
  <c r="K687" i="210" s="1"/>
  <c r="O687" i="210" s="1"/>
  <c r="O688" i="210" s="1"/>
  <c r="I734" i="210" s="1"/>
  <c r="I733" i="210" s="1"/>
  <c r="D2710" i="209"/>
  <c r="G2710" i="209" s="1"/>
  <c r="K2596" i="209"/>
  <c r="D2653" i="209"/>
  <c r="G2653" i="209" s="1"/>
  <c r="K2539" i="209"/>
  <c r="K35" i="12"/>
  <c r="G35" i="12"/>
  <c r="O2473" i="209"/>
  <c r="I2587" i="209" s="1"/>
  <c r="G391" i="210"/>
  <c r="D432" i="210"/>
  <c r="G755" i="210"/>
  <c r="D801" i="210" s="1"/>
  <c r="D766" i="210"/>
  <c r="G766" i="210" s="1"/>
  <c r="K56" i="12"/>
  <c r="G56" i="12"/>
  <c r="O757" i="210"/>
  <c r="I803" i="210" s="1"/>
  <c r="I774" i="210"/>
  <c r="O774" i="210" s="1"/>
  <c r="I766" i="210"/>
  <c r="O766" i="210" s="1"/>
  <c r="O755" i="210"/>
  <c r="I801" i="210" s="1"/>
  <c r="D733" i="210"/>
  <c r="G733" i="210" s="1"/>
  <c r="H80" i="43"/>
  <c r="I3163" i="209"/>
  <c r="O3163" i="209" s="1"/>
  <c r="O2483" i="209"/>
  <c r="I2597" i="209" s="1"/>
  <c r="G758" i="210"/>
  <c r="D804" i="210" s="1"/>
  <c r="D778" i="210"/>
  <c r="G778" i="210" s="1"/>
  <c r="DM15" i="190"/>
  <c r="DL45" i="190"/>
  <c r="K83" i="12"/>
  <c r="G83" i="12"/>
  <c r="AW79" i="190"/>
  <c r="AS80" i="190"/>
  <c r="AS82" i="190" s="1"/>
  <c r="AS85" i="190" s="1"/>
  <c r="E73" i="42"/>
  <c r="E87" i="42" s="1"/>
  <c r="O1003" i="209"/>
  <c r="I1103" i="209"/>
  <c r="D2888" i="209"/>
  <c r="G2888" i="209" s="1"/>
  <c r="E36" i="44"/>
  <c r="O2447" i="209"/>
  <c r="I2561" i="209" s="1"/>
  <c r="D816" i="210"/>
  <c r="G816" i="210" s="1"/>
  <c r="G802" i="210"/>
  <c r="D848" i="210" s="1"/>
  <c r="D2674" i="209"/>
  <c r="G2674" i="209" s="1"/>
  <c r="K2560" i="209"/>
  <c r="O2560" i="209" s="1"/>
  <c r="I2674" i="209" s="1"/>
  <c r="D796" i="209"/>
  <c r="C23" i="196"/>
  <c r="K54" i="12"/>
  <c r="G54" i="12"/>
  <c r="I394" i="210"/>
  <c r="O394" i="210" s="1"/>
  <c r="O386" i="210"/>
  <c r="I391" i="210"/>
  <c r="O2428" i="209"/>
  <c r="I2542" i="209" s="1"/>
  <c r="G379" i="210"/>
  <c r="I379" i="210"/>
  <c r="D721" i="210"/>
  <c r="G721" i="210" s="1"/>
  <c r="G722" i="210" s="1"/>
  <c r="K2563" i="209"/>
  <c r="O2563" i="209" s="1"/>
  <c r="I2677" i="209" s="1"/>
  <c r="D2677" i="209"/>
  <c r="G2677" i="209" s="1"/>
  <c r="O2552" i="209"/>
  <c r="I2666" i="209" s="1"/>
  <c r="D844" i="209"/>
  <c r="G741" i="209"/>
  <c r="G781" i="209" s="1"/>
  <c r="G785" i="209" s="1"/>
  <c r="G796" i="209" s="1"/>
  <c r="O2482" i="209"/>
  <c r="I2596" i="209" s="1"/>
  <c r="D2661" i="209"/>
  <c r="G2661" i="209" s="1"/>
  <c r="K2547" i="209"/>
  <c r="O2547" i="209" s="1"/>
  <c r="I2661" i="209" s="1"/>
  <c r="K676" i="210"/>
  <c r="K675" i="210" s="1"/>
  <c r="K1636" i="209" s="1"/>
  <c r="O1636" i="209" s="1"/>
  <c r="D1053" i="209"/>
  <c r="D25" i="27"/>
  <c r="G34" i="12"/>
  <c r="K34" i="12"/>
  <c r="K2549" i="209"/>
  <c r="O2549" i="209" s="1"/>
  <c r="I2663" i="209" s="1"/>
  <c r="D2663" i="209"/>
  <c r="G2663" i="209" s="1"/>
  <c r="D2873" i="209"/>
  <c r="G2873" i="209" s="1"/>
  <c r="E21" i="44"/>
  <c r="K77" i="12"/>
  <c r="G77" i="12"/>
  <c r="G1120" i="209"/>
  <c r="D1121" i="209"/>
  <c r="K2542" i="209"/>
  <c r="D2656" i="209"/>
  <c r="G2656" i="209" s="1"/>
  <c r="H18" i="43"/>
  <c r="I3098" i="209"/>
  <c r="O3098" i="209" s="1"/>
  <c r="K2587" i="209"/>
  <c r="D2701" i="209"/>
  <c r="G2701" i="209" s="1"/>
  <c r="D1044" i="209"/>
  <c r="G936" i="209"/>
  <c r="D16" i="27"/>
  <c r="D22" i="27" s="1"/>
  <c r="K88" i="12"/>
  <c r="G88" i="12"/>
  <c r="D98" i="7"/>
  <c r="G1017" i="209"/>
  <c r="D1022" i="209"/>
  <c r="C82" i="196" s="1"/>
  <c r="F82" i="196" s="1"/>
  <c r="D2897" i="209"/>
  <c r="G2897" i="209" s="1"/>
  <c r="E45" i="44"/>
  <c r="G45" i="12"/>
  <c r="K45" i="12"/>
  <c r="H21" i="43"/>
  <c r="I3101" i="209"/>
  <c r="O3101" i="209" s="1"/>
  <c r="D2890" i="209"/>
  <c r="G2890" i="209" s="1"/>
  <c r="E38" i="44"/>
  <c r="K44" i="12"/>
  <c r="G44" i="12"/>
  <c r="K53" i="12"/>
  <c r="G53" i="12"/>
  <c r="DL46" i="190"/>
  <c r="DH60" i="190"/>
  <c r="G87" i="12"/>
  <c r="K87" i="12"/>
  <c r="H26" i="43"/>
  <c r="I3106" i="209"/>
  <c r="O3106" i="209" s="1"/>
  <c r="D2712" i="209"/>
  <c r="G2712" i="209" s="1"/>
  <c r="K2598" i="209"/>
  <c r="O2598" i="209" s="1"/>
  <c r="I2712" i="209" s="1"/>
  <c r="D2703" i="209"/>
  <c r="G2703" i="209" s="1"/>
  <c r="K2589" i="209"/>
  <c r="K1639" i="209"/>
  <c r="O1639" i="209" s="1"/>
  <c r="O679" i="210"/>
  <c r="O680" i="210" s="1"/>
  <c r="I726" i="210" s="1"/>
  <c r="I725" i="210" s="1"/>
  <c r="H38" i="154"/>
  <c r="J37" i="154"/>
  <c r="O2475" i="209"/>
  <c r="I2589" i="209" s="1"/>
  <c r="D725" i="210"/>
  <c r="G725" i="210" s="1"/>
  <c r="G726" i="210" s="1"/>
  <c r="D772" i="210" s="1"/>
  <c r="D2870" i="209"/>
  <c r="G2870" i="209" s="1"/>
  <c r="E18" i="44"/>
  <c r="G42" i="12"/>
  <c r="K42" i="12"/>
  <c r="G50" i="12"/>
  <c r="K50" i="12"/>
  <c r="D2932" i="209"/>
  <c r="G2932" i="209" s="1"/>
  <c r="E76" i="44"/>
  <c r="G52" i="12"/>
  <c r="K52" i="12"/>
  <c r="H34" i="43"/>
  <c r="I3114" i="209"/>
  <c r="O3114" i="209" s="1"/>
  <c r="G37" i="12"/>
  <c r="K37" i="12"/>
  <c r="D24" i="7"/>
  <c r="H18" i="7"/>
  <c r="H24" i="7" s="1"/>
  <c r="D2673" i="209"/>
  <c r="G2673" i="209" s="1"/>
  <c r="K2559" i="209"/>
  <c r="D2678" i="209"/>
  <c r="G2678" i="209" s="1"/>
  <c r="K2564" i="209"/>
  <c r="O2564" i="209" s="1"/>
  <c r="I2678" i="209" s="1"/>
  <c r="K85" i="12"/>
  <c r="G85" i="12"/>
  <c r="G757" i="210"/>
  <c r="D803" i="210" s="1"/>
  <c r="D774" i="210"/>
  <c r="G774" i="210" s="1"/>
  <c r="D2711" i="209"/>
  <c r="G2711" i="209" s="1"/>
  <c r="K2597" i="209"/>
  <c r="D2671" i="209"/>
  <c r="G2671" i="209" s="1"/>
  <c r="K2557" i="209"/>
  <c r="DL61" i="190"/>
  <c r="DH62" i="190"/>
  <c r="K78" i="12"/>
  <c r="G78" i="12"/>
  <c r="M51" i="171"/>
  <c r="X50" i="171"/>
  <c r="Y50" i="171" s="1"/>
  <c r="I844" i="209"/>
  <c r="O741" i="209"/>
  <c r="O781" i="209" s="1"/>
  <c r="O785" i="209" s="1"/>
  <c r="O796" i="209" s="1"/>
  <c r="I1017" i="209"/>
  <c r="O908" i="209"/>
  <c r="O2423" i="209"/>
  <c r="I2537" i="209" s="1"/>
  <c r="D2886" i="209"/>
  <c r="G2886" i="209" s="1"/>
  <c r="E34" i="44"/>
  <c r="G48" i="12"/>
  <c r="K48" i="12"/>
  <c r="D2676" i="209"/>
  <c r="G2676" i="209" s="1"/>
  <c r="K2562" i="209"/>
  <c r="O2477" i="209"/>
  <c r="I2591" i="209" s="1"/>
  <c r="O2591" i="209" s="1"/>
  <c r="I2705" i="209" s="1"/>
  <c r="D2878" i="209"/>
  <c r="G2878" i="209" s="1"/>
  <c r="E26" i="44"/>
  <c r="H20" i="43"/>
  <c r="I3100" i="209"/>
  <c r="O3100" i="209" s="1"/>
  <c r="BB67" i="190"/>
  <c r="AX73" i="190"/>
  <c r="D2708" i="209"/>
  <c r="G2708" i="209" s="1"/>
  <c r="K2594" i="209"/>
  <c r="O2594" i="209" s="1"/>
  <c r="I2708" i="209" s="1"/>
  <c r="D2651" i="209"/>
  <c r="G2651" i="209" s="1"/>
  <c r="K2537" i="209"/>
  <c r="M126" i="170"/>
  <c r="X125" i="170"/>
  <c r="K684" i="210"/>
  <c r="K683" i="210" s="1"/>
  <c r="K1642" i="209" s="1"/>
  <c r="G734" i="210"/>
  <c r="D780" i="210" s="1"/>
  <c r="D2670" i="209"/>
  <c r="G2670" i="209" s="1"/>
  <c r="K2556" i="209"/>
  <c r="O2556" i="209" s="1"/>
  <c r="I2670" i="209" s="1"/>
  <c r="G32" i="12"/>
  <c r="K32" i="12"/>
  <c r="I796" i="209"/>
  <c r="H23" i="196"/>
  <c r="K2538" i="209"/>
  <c r="O2538" i="209" s="1"/>
  <c r="I2652" i="209" s="1"/>
  <c r="D2652" i="209"/>
  <c r="G2652" i="209" s="1"/>
  <c r="D729" i="210"/>
  <c r="G729" i="210" s="1"/>
  <c r="G730" i="210" s="1"/>
  <c r="H94" i="43"/>
  <c r="I3177" i="209"/>
  <c r="O3177" i="209" s="1"/>
  <c r="D2872" i="209"/>
  <c r="G2872" i="209" s="1"/>
  <c r="E20" i="44"/>
  <c r="K41" i="12"/>
  <c r="G41" i="12"/>
  <c r="D2706" i="209"/>
  <c r="G2706" i="209" s="1"/>
  <c r="K2592" i="209"/>
  <c r="O2592" i="209" s="1"/>
  <c r="I2706" i="209" s="1"/>
  <c r="O939" i="209"/>
  <c r="K51" i="12"/>
  <c r="G51" i="12"/>
  <c r="J38" i="155"/>
  <c r="H39" i="155"/>
  <c r="Y49" i="171"/>
  <c r="K89" i="12"/>
  <c r="G89" i="12"/>
  <c r="DL6" i="190"/>
  <c r="DH12" i="190"/>
  <c r="G29" i="12"/>
  <c r="K29" i="12"/>
  <c r="K86" i="12"/>
  <c r="G86" i="12"/>
  <c r="D2657" i="209"/>
  <c r="G2657" i="209" s="1"/>
  <c r="K2543" i="209"/>
  <c r="O2543" i="209" s="1"/>
  <c r="I2657" i="209" s="1"/>
  <c r="D2709" i="209"/>
  <c r="G2709" i="209" s="1"/>
  <c r="K2595" i="209"/>
  <c r="O2595" i="209" s="1"/>
  <c r="I2709" i="209" s="1"/>
  <c r="H17" i="43"/>
  <c r="I3097" i="209"/>
  <c r="O3097" i="209" s="1"/>
  <c r="K2545" i="209"/>
  <c r="O2545" i="209" s="1"/>
  <c r="I2659" i="209" s="1"/>
  <c r="D2659" i="209"/>
  <c r="G2659" i="209" s="1"/>
  <c r="H77" i="43"/>
  <c r="I3160" i="209"/>
  <c r="O3160" i="209" s="1"/>
  <c r="K2541" i="209"/>
  <c r="O2541" i="209" s="1"/>
  <c r="I2655" i="209" s="1"/>
  <c r="D2655" i="209"/>
  <c r="G2655" i="209" s="1"/>
  <c r="DH14" i="190"/>
  <c r="DL13" i="190"/>
  <c r="K80" i="12"/>
  <c r="G80" i="12"/>
  <c r="D395" i="210"/>
  <c r="G395" i="210" s="1"/>
  <c r="G396" i="210" s="1"/>
  <c r="D442" i="210" s="1"/>
  <c r="O930" i="209"/>
  <c r="I936" i="209"/>
  <c r="DG63" i="190"/>
  <c r="D2893" i="209"/>
  <c r="G2893" i="209" s="1"/>
  <c r="E41" i="44"/>
  <c r="D2664" i="209"/>
  <c r="G2664" i="209" s="1"/>
  <c r="K2550" i="209"/>
  <c r="O2550" i="209" s="1"/>
  <c r="I2664" i="209" s="1"/>
  <c r="G1103" i="209"/>
  <c r="D1117" i="209"/>
  <c r="G82" i="12"/>
  <c r="K82" i="12"/>
  <c r="M126" i="171"/>
  <c r="X125" i="171"/>
  <c r="Y125" i="171" s="1"/>
  <c r="O2448" i="209"/>
  <c r="I2562" i="209" s="1"/>
  <c r="I778" i="210"/>
  <c r="O778" i="210" s="1"/>
  <c r="O758" i="210"/>
  <c r="I804" i="210" s="1"/>
  <c r="D2672" i="209"/>
  <c r="G2672" i="209" s="1"/>
  <c r="K2558" i="209"/>
  <c r="O2558" i="209" s="1"/>
  <c r="I2672" i="209" s="1"/>
  <c r="I59" i="49" l="1"/>
  <c r="C58" i="49"/>
  <c r="F99" i="44"/>
  <c r="D3186" i="209"/>
  <c r="G3186" i="209" s="1"/>
  <c r="G97" i="44"/>
  <c r="G99" i="44" s="1"/>
  <c r="O2559" i="209"/>
  <c r="I2673" i="209" s="1"/>
  <c r="I770" i="210"/>
  <c r="O770" i="210" s="1"/>
  <c r="O756" i="210"/>
  <c r="I802" i="210" s="1"/>
  <c r="K734" i="210"/>
  <c r="K733" i="210" s="1"/>
  <c r="K1757" i="209" s="1"/>
  <c r="O1757" i="209" s="1"/>
  <c r="I1871" i="209" s="1"/>
  <c r="O2562" i="209"/>
  <c r="I2676" i="209" s="1"/>
  <c r="O2597" i="209"/>
  <c r="I2711" i="209" s="1"/>
  <c r="K2702" i="209"/>
  <c r="D2816" i="209"/>
  <c r="D74" i="44"/>
  <c r="O2702" i="209"/>
  <c r="O2589" i="209"/>
  <c r="I2703" i="209" s="1"/>
  <c r="O683" i="210"/>
  <c r="O684" i="210" s="1"/>
  <c r="I730" i="210" s="1"/>
  <c r="I729" i="210" s="1"/>
  <c r="D768" i="210"/>
  <c r="K722" i="210"/>
  <c r="K721" i="210" s="1"/>
  <c r="K1750" i="209" s="1"/>
  <c r="D776" i="210"/>
  <c r="K730" i="210"/>
  <c r="K729" i="210" s="1"/>
  <c r="K1756" i="209" s="1"/>
  <c r="D2769" i="209"/>
  <c r="K2655" i="209"/>
  <c r="D31" i="44"/>
  <c r="D2768" i="209"/>
  <c r="K2654" i="209"/>
  <c r="D30" i="44"/>
  <c r="I17" i="43"/>
  <c r="I3211" i="209"/>
  <c r="O3211" i="209" s="1"/>
  <c r="K2706" i="209"/>
  <c r="O2706" i="209" s="1"/>
  <c r="D2820" i="209"/>
  <c r="D78" i="44"/>
  <c r="K2651" i="209"/>
  <c r="D2765" i="209"/>
  <c r="D27" i="44"/>
  <c r="O844" i="209"/>
  <c r="I855" i="209"/>
  <c r="I895" i="209" s="1"/>
  <c r="I899" i="209" s="1"/>
  <c r="DL62" i="190"/>
  <c r="DM61" i="190"/>
  <c r="D2826" i="209"/>
  <c r="K2712" i="209"/>
  <c r="O2712" i="209" s="1"/>
  <c r="D84" i="44"/>
  <c r="I21" i="43"/>
  <c r="I3215" i="209"/>
  <c r="O3215" i="209" s="1"/>
  <c r="D2775" i="209"/>
  <c r="K2661" i="209"/>
  <c r="O2661" i="209" s="1"/>
  <c r="D37" i="44"/>
  <c r="O2542" i="209"/>
  <c r="I2656" i="209" s="1"/>
  <c r="F23" i="196"/>
  <c r="C137" i="196"/>
  <c r="F137" i="196" s="1"/>
  <c r="D3002" i="209"/>
  <c r="G3002" i="209" s="1"/>
  <c r="F36" i="44"/>
  <c r="DM45" i="190"/>
  <c r="DQ15" i="190"/>
  <c r="O801" i="210"/>
  <c r="I847" i="210" s="1"/>
  <c r="I812" i="210"/>
  <c r="O812" i="210" s="1"/>
  <c r="D2824" i="209"/>
  <c r="K2710" i="209"/>
  <c r="D82" i="44"/>
  <c r="D2789" i="209"/>
  <c r="K2675" i="209"/>
  <c r="D51" i="44"/>
  <c r="O2557" i="209"/>
  <c r="I2671" i="209" s="1"/>
  <c r="E16" i="42"/>
  <c r="E22" i="42" s="1"/>
  <c r="I1044" i="209"/>
  <c r="O936" i="209"/>
  <c r="D2788" i="209"/>
  <c r="K2674" i="209"/>
  <c r="D50" i="44"/>
  <c r="D2985" i="209"/>
  <c r="G2985" i="209" s="1"/>
  <c r="F19" i="44"/>
  <c r="D2814" i="209"/>
  <c r="K2700" i="209"/>
  <c r="D72" i="44"/>
  <c r="E26" i="42"/>
  <c r="I1053" i="209"/>
  <c r="D2822" i="209"/>
  <c r="K2708" i="209"/>
  <c r="O2708" i="209" s="1"/>
  <c r="D80" i="44"/>
  <c r="X51" i="171"/>
  <c r="Y51" i="171" s="1"/>
  <c r="M52" i="171"/>
  <c r="K2671" i="209"/>
  <c r="D2785" i="209"/>
  <c r="D47" i="44"/>
  <c r="D2792" i="209"/>
  <c r="K2678" i="209"/>
  <c r="O2678" i="209" s="1"/>
  <c r="D54" i="44"/>
  <c r="DL60" i="190"/>
  <c r="DM46" i="190"/>
  <c r="D3004" i="209"/>
  <c r="G3004" i="209" s="1"/>
  <c r="F38" i="44"/>
  <c r="D2770" i="209"/>
  <c r="K2656" i="209"/>
  <c r="D32" i="44"/>
  <c r="D425" i="210"/>
  <c r="O379" i="210"/>
  <c r="D862" i="210"/>
  <c r="G862" i="210" s="1"/>
  <c r="G848" i="210"/>
  <c r="D894" i="210" s="1"/>
  <c r="G804" i="210"/>
  <c r="D850" i="210" s="1"/>
  <c r="D824" i="210"/>
  <c r="G824" i="210" s="1"/>
  <c r="D2773" i="209"/>
  <c r="K2659" i="209"/>
  <c r="O2659" i="209" s="1"/>
  <c r="D35" i="44"/>
  <c r="K2703" i="209"/>
  <c r="O2703" i="209" s="1"/>
  <c r="D2817" i="209"/>
  <c r="D75" i="44"/>
  <c r="M127" i="171"/>
  <c r="X126" i="171"/>
  <c r="Y126" i="171" s="1"/>
  <c r="O2537" i="209"/>
  <c r="I2651" i="209" s="1"/>
  <c r="D2780" i="209"/>
  <c r="K2666" i="209"/>
  <c r="O2666" i="209" s="1"/>
  <c r="D42" i="44"/>
  <c r="K2672" i="209"/>
  <c r="O2672" i="209" s="1"/>
  <c r="D2786" i="209"/>
  <c r="D48" i="44"/>
  <c r="I824" i="210"/>
  <c r="O824" i="210" s="1"/>
  <c r="O804" i="210"/>
  <c r="I850" i="210" s="1"/>
  <c r="D2784" i="209"/>
  <c r="K2670" i="209"/>
  <c r="O2670" i="209" s="1"/>
  <c r="D46" i="44"/>
  <c r="Y125" i="170"/>
  <c r="D2992" i="209"/>
  <c r="G2992" i="209" s="1"/>
  <c r="F26" i="44"/>
  <c r="D3000" i="209"/>
  <c r="G3000" i="209" s="1"/>
  <c r="F34" i="44"/>
  <c r="O1017" i="209"/>
  <c r="I1022" i="209"/>
  <c r="H82" i="196" s="1"/>
  <c r="M82" i="196" s="1"/>
  <c r="D3046" i="209"/>
  <c r="G3046" i="209" s="1"/>
  <c r="F76" i="44"/>
  <c r="D771" i="210"/>
  <c r="G771" i="210" s="1"/>
  <c r="G772" i="210" s="1"/>
  <c r="D818" i="210" s="1"/>
  <c r="K42" i="42"/>
  <c r="I1753" i="209"/>
  <c r="D1050" i="209"/>
  <c r="G1044" i="209"/>
  <c r="O675" i="210"/>
  <c r="O676" i="210" s="1"/>
  <c r="I722" i="210" s="1"/>
  <c r="I721" i="210" s="1"/>
  <c r="I820" i="210"/>
  <c r="O820" i="210" s="1"/>
  <c r="O803" i="210"/>
  <c r="I849" i="210" s="1"/>
  <c r="O2587" i="209"/>
  <c r="I2701" i="209" s="1"/>
  <c r="D2819" i="209"/>
  <c r="K2705" i="209"/>
  <c r="O2705" i="209" s="1"/>
  <c r="D77" i="44"/>
  <c r="O695" i="209"/>
  <c r="G754" i="209"/>
  <c r="DM6" i="190"/>
  <c r="DL12" i="190"/>
  <c r="I20" i="43"/>
  <c r="I3214" i="209"/>
  <c r="O3214" i="209" s="1"/>
  <c r="H39" i="154"/>
  <c r="J38" i="154"/>
  <c r="D779" i="210"/>
  <c r="G779" i="210" s="1"/>
  <c r="G780" i="210" s="1"/>
  <c r="I1117" i="209"/>
  <c r="O1103" i="209"/>
  <c r="D440" i="210"/>
  <c r="G440" i="210" s="1"/>
  <c r="G432" i="210"/>
  <c r="D437" i="210"/>
  <c r="AX77" i="190"/>
  <c r="BB75" i="190"/>
  <c r="D2778" i="209"/>
  <c r="K2664" i="209"/>
  <c r="O2664" i="209" s="1"/>
  <c r="D40" i="44"/>
  <c r="D2823" i="209"/>
  <c r="K2709" i="209"/>
  <c r="O2709" i="209" s="1"/>
  <c r="D81" i="44"/>
  <c r="D2766" i="209"/>
  <c r="K2652" i="209"/>
  <c r="O2652" i="209" s="1"/>
  <c r="D28" i="44"/>
  <c r="H42" i="155"/>
  <c r="I39" i="155"/>
  <c r="J39" i="155" s="1"/>
  <c r="M127" i="170"/>
  <c r="X126" i="170"/>
  <c r="Y126" i="170" s="1"/>
  <c r="BB73" i="190"/>
  <c r="BC67" i="190"/>
  <c r="K2711" i="209"/>
  <c r="O2711" i="209" s="1"/>
  <c r="D2825" i="209"/>
  <c r="D83" i="44"/>
  <c r="K2673" i="209"/>
  <c r="O2673" i="209" s="1"/>
  <c r="D2787" i="209"/>
  <c r="D49" i="44"/>
  <c r="I34" i="43"/>
  <c r="I3228" i="209"/>
  <c r="O3228" i="209" s="1"/>
  <c r="K726" i="210"/>
  <c r="K725" i="210" s="1"/>
  <c r="K1753" i="209" s="1"/>
  <c r="D1131" i="209"/>
  <c r="G1022" i="209"/>
  <c r="D94" i="27"/>
  <c r="D99" i="27" s="1"/>
  <c r="D2815" i="209"/>
  <c r="K2701" i="209"/>
  <c r="D73" i="44"/>
  <c r="D2987" i="209"/>
  <c r="G2987" i="209" s="1"/>
  <c r="F21" i="44"/>
  <c r="G844" i="209"/>
  <c r="D855" i="209"/>
  <c r="D895" i="209" s="1"/>
  <c r="D899" i="209" s="1"/>
  <c r="O391" i="210"/>
  <c r="I432" i="210"/>
  <c r="O2561" i="209"/>
  <c r="I2675" i="209" s="1"/>
  <c r="I80" i="43"/>
  <c r="I3277" i="209"/>
  <c r="O3277" i="209" s="1"/>
  <c r="D2767" i="209"/>
  <c r="K2653" i="209"/>
  <c r="O2653" i="209" s="1"/>
  <c r="D29" i="44"/>
  <c r="I19" i="43"/>
  <c r="I3213" i="209"/>
  <c r="O3213" i="209" s="1"/>
  <c r="I395" i="210"/>
  <c r="O395" i="210" s="1"/>
  <c r="O396" i="210" s="1"/>
  <c r="I442" i="210" s="1"/>
  <c r="I26" i="43"/>
  <c r="I3220" i="209"/>
  <c r="O3220" i="209" s="1"/>
  <c r="O2596" i="209"/>
  <c r="I2710" i="209" s="1"/>
  <c r="O2710" i="209" s="1"/>
  <c r="G1117" i="209"/>
  <c r="D1217" i="209"/>
  <c r="E71" i="27"/>
  <c r="E85" i="27" s="1"/>
  <c r="DL14" i="190"/>
  <c r="DM13" i="190"/>
  <c r="I77" i="43"/>
  <c r="I3274" i="209"/>
  <c r="O3274" i="209" s="1"/>
  <c r="D2771" i="209"/>
  <c r="K2657" i="209"/>
  <c r="O2657" i="209" s="1"/>
  <c r="D33" i="44"/>
  <c r="D2986" i="209"/>
  <c r="G2986" i="209" s="1"/>
  <c r="F20" i="44"/>
  <c r="D3011" i="209"/>
  <c r="G3011" i="209" s="1"/>
  <c r="F45" i="44"/>
  <c r="H98" i="7"/>
  <c r="H103" i="7" s="1"/>
  <c r="D103" i="7"/>
  <c r="G1121" i="209"/>
  <c r="D1234" i="209"/>
  <c r="E88" i="27"/>
  <c r="E89" i="27" s="1"/>
  <c r="D2777" i="209"/>
  <c r="K2663" i="209"/>
  <c r="O2663" i="209" s="1"/>
  <c r="D39" i="44"/>
  <c r="G1053" i="209"/>
  <c r="D2791" i="209"/>
  <c r="K2677" i="209"/>
  <c r="O2677" i="209" s="1"/>
  <c r="D53" i="44"/>
  <c r="E90" i="42"/>
  <c r="E91" i="42" s="1"/>
  <c r="O1007" i="209"/>
  <c r="I1120" i="209"/>
  <c r="I94" i="43"/>
  <c r="I3291" i="209"/>
  <c r="O3291" i="209" s="1"/>
  <c r="D2984" i="209"/>
  <c r="G2984" i="209" s="1"/>
  <c r="F18" i="44"/>
  <c r="AX79" i="190"/>
  <c r="AW80" i="190"/>
  <c r="AW82" i="190" s="1"/>
  <c r="AW85" i="190" s="1"/>
  <c r="D3007" i="209"/>
  <c r="G3007" i="209" s="1"/>
  <c r="F41" i="44"/>
  <c r="DH63" i="190"/>
  <c r="O2655" i="209"/>
  <c r="H137" i="196"/>
  <c r="M137" i="196" s="1"/>
  <c r="M23" i="196"/>
  <c r="D2790" i="209"/>
  <c r="K2676" i="209"/>
  <c r="O2676" i="209" s="1"/>
  <c r="D52" i="44"/>
  <c r="G803" i="210"/>
  <c r="D849" i="210" s="1"/>
  <c r="D820" i="210"/>
  <c r="G820" i="210" s="1"/>
  <c r="O2674" i="209"/>
  <c r="I18" i="43"/>
  <c r="I3212" i="209"/>
  <c r="O3212" i="209" s="1"/>
  <c r="O2654" i="209"/>
  <c r="K39" i="42"/>
  <c r="I1750" i="209"/>
  <c r="G801" i="210"/>
  <c r="D847" i="210" s="1"/>
  <c r="D812" i="210"/>
  <c r="G812" i="210" s="1"/>
  <c r="O2700" i="209"/>
  <c r="D2869" i="209"/>
  <c r="G2869" i="209" s="1"/>
  <c r="E17" i="44"/>
  <c r="X61" i="170"/>
  <c r="Y61" i="170" s="1"/>
  <c r="M62" i="170"/>
  <c r="D3049" i="209"/>
  <c r="G3049" i="209" s="1"/>
  <c r="F79" i="44"/>
  <c r="D2781" i="209"/>
  <c r="K2667" i="209"/>
  <c r="O2667" i="209" s="1"/>
  <c r="D43" i="44"/>
  <c r="I60" i="49" l="1"/>
  <c r="C59" i="49"/>
  <c r="L46" i="42"/>
  <c r="O733" i="210"/>
  <c r="O734" i="210" s="1"/>
  <c r="I780" i="210" s="1"/>
  <c r="I779" i="210" s="1"/>
  <c r="D3300" i="209"/>
  <c r="G3300" i="209" s="1"/>
  <c r="H97" i="44"/>
  <c r="H99" i="44" s="1"/>
  <c r="O1750" i="209"/>
  <c r="O721" i="210"/>
  <c r="O722" i="210" s="1"/>
  <c r="I768" i="210" s="1"/>
  <c r="I767" i="210" s="1"/>
  <c r="I816" i="210"/>
  <c r="O816" i="210" s="1"/>
  <c r="O802" i="210"/>
  <c r="I848" i="210" s="1"/>
  <c r="D826" i="210"/>
  <c r="K780" i="210"/>
  <c r="K779" i="210" s="1"/>
  <c r="K1871" i="209" s="1"/>
  <c r="O1871" i="209" s="1"/>
  <c r="O2651" i="209"/>
  <c r="O2701" i="209"/>
  <c r="E74" i="43" s="1"/>
  <c r="E75" i="43"/>
  <c r="I2816" i="209"/>
  <c r="D78" i="130"/>
  <c r="H78" i="130" s="1"/>
  <c r="G2816" i="209"/>
  <c r="E84" i="43"/>
  <c r="I2825" i="209"/>
  <c r="E78" i="43"/>
  <c r="I2819" i="209"/>
  <c r="E48" i="43"/>
  <c r="I2786" i="209"/>
  <c r="E29" i="43"/>
  <c r="I2767" i="209"/>
  <c r="E28" i="43"/>
  <c r="I2766" i="209"/>
  <c r="E79" i="43"/>
  <c r="I2820" i="209"/>
  <c r="E35" i="43"/>
  <c r="I2773" i="209"/>
  <c r="E53" i="43"/>
  <c r="I2791" i="209"/>
  <c r="E39" i="43"/>
  <c r="I2777" i="209"/>
  <c r="E40" i="43"/>
  <c r="I2778" i="209"/>
  <c r="E54" i="43"/>
  <c r="I2792" i="209"/>
  <c r="E81" i="43"/>
  <c r="I2822" i="209"/>
  <c r="E42" i="43"/>
  <c r="I2780" i="209"/>
  <c r="E85" i="43"/>
  <c r="I2826" i="209"/>
  <c r="E49" i="43"/>
  <c r="I2787" i="209"/>
  <c r="E37" i="43"/>
  <c r="I2775" i="209"/>
  <c r="E43" i="43"/>
  <c r="I2781" i="209"/>
  <c r="E82" i="43"/>
  <c r="I2823" i="209"/>
  <c r="E46" i="43"/>
  <c r="I2784" i="209"/>
  <c r="D45" i="130"/>
  <c r="H45" i="130" s="1"/>
  <c r="G2781" i="209"/>
  <c r="D3101" i="209"/>
  <c r="G3101" i="209" s="1"/>
  <c r="G21" i="44"/>
  <c r="BG67" i="190"/>
  <c r="BC73" i="190"/>
  <c r="D809" i="209"/>
  <c r="O754" i="209"/>
  <c r="O847" i="210"/>
  <c r="I893" i="210" s="1"/>
  <c r="I858" i="210"/>
  <c r="O858" i="210" s="1"/>
  <c r="D82" i="130"/>
  <c r="H82" i="130" s="1"/>
  <c r="G2820" i="209"/>
  <c r="J18" i="43"/>
  <c r="I3326" i="209"/>
  <c r="O3326" i="209" s="1"/>
  <c r="E31" i="43"/>
  <c r="I2769" i="209"/>
  <c r="BB79" i="190"/>
  <c r="AX80" i="190"/>
  <c r="AX82" i="190" s="1"/>
  <c r="AX85" i="190" s="1"/>
  <c r="J19" i="43"/>
  <c r="I3327" i="209"/>
  <c r="O3327" i="209" s="1"/>
  <c r="D85" i="130"/>
  <c r="H85" i="130" s="1"/>
  <c r="G2823" i="209"/>
  <c r="F73" i="42"/>
  <c r="F87" i="42" s="1"/>
  <c r="I1217" i="209"/>
  <c r="O1117" i="209"/>
  <c r="O849" i="210"/>
  <c r="I895" i="210" s="1"/>
  <c r="I866" i="210"/>
  <c r="O866" i="210" s="1"/>
  <c r="O1753" i="209"/>
  <c r="E100" i="42"/>
  <c r="E105" i="42" s="1"/>
  <c r="O1022" i="209"/>
  <c r="I1131" i="209"/>
  <c r="D44" i="130"/>
  <c r="G2780" i="209"/>
  <c r="D53" i="130"/>
  <c r="H53" i="130" s="1"/>
  <c r="G2789" i="209"/>
  <c r="O2656" i="209"/>
  <c r="F36" i="200"/>
  <c r="I33" i="237" s="1"/>
  <c r="D775" i="210"/>
  <c r="G775" i="210" s="1"/>
  <c r="G776" i="210" s="1"/>
  <c r="D822" i="210" s="1"/>
  <c r="D34" i="130"/>
  <c r="H34" i="130" s="1"/>
  <c r="G2770" i="209"/>
  <c r="D49" i="130"/>
  <c r="H49" i="130" s="1"/>
  <c r="G2785" i="209"/>
  <c r="D84" i="130"/>
  <c r="H84" i="130" s="1"/>
  <c r="G2822" i="209"/>
  <c r="G1217" i="209"/>
  <c r="D1231" i="209"/>
  <c r="J20" i="43"/>
  <c r="I3328" i="209"/>
  <c r="O3328" i="209" s="1"/>
  <c r="D48" i="130"/>
  <c r="H48" i="130" s="1"/>
  <c r="G2784" i="209"/>
  <c r="D50" i="130"/>
  <c r="H50" i="130" s="1"/>
  <c r="G2786" i="209"/>
  <c r="E27" i="43"/>
  <c r="I2765" i="209"/>
  <c r="D79" i="130"/>
  <c r="H79" i="130" s="1"/>
  <c r="G2817" i="209"/>
  <c r="M53" i="171"/>
  <c r="X52" i="171"/>
  <c r="O729" i="210"/>
  <c r="O730" i="210" s="1"/>
  <c r="I776" i="210" s="1"/>
  <c r="I775" i="210" s="1"/>
  <c r="D86" i="130"/>
  <c r="H86" i="130" s="1"/>
  <c r="G2824" i="209"/>
  <c r="D29" i="130"/>
  <c r="H29" i="130" s="1"/>
  <c r="G2765" i="209"/>
  <c r="J17" i="43"/>
  <c r="I3325" i="209"/>
  <c r="O3325" i="209" s="1"/>
  <c r="E30" i="43"/>
  <c r="I2768" i="209"/>
  <c r="J94" i="43"/>
  <c r="I3405" i="209"/>
  <c r="O3405" i="209" s="1"/>
  <c r="J26" i="43"/>
  <c r="I3334" i="209"/>
  <c r="O3334" i="209" s="1"/>
  <c r="D3125" i="209"/>
  <c r="G3125" i="209" s="1"/>
  <c r="G45" i="44"/>
  <c r="M63" i="170"/>
  <c r="X62" i="170"/>
  <c r="Y62" i="170" s="1"/>
  <c r="D87" i="130"/>
  <c r="H87" i="130" s="1"/>
  <c r="G2825" i="209"/>
  <c r="X127" i="170"/>
  <c r="Y127" i="170" s="1"/>
  <c r="M128" i="170"/>
  <c r="I42" i="155"/>
  <c r="J42" i="155" s="1"/>
  <c r="K42" i="155" s="1"/>
  <c r="H43" i="155"/>
  <c r="BB77" i="190"/>
  <c r="BC75" i="190"/>
  <c r="D817" i="210"/>
  <c r="G817" i="210" s="1"/>
  <c r="G818" i="210" s="1"/>
  <c r="D864" i="210" s="1"/>
  <c r="D3114" i="209"/>
  <c r="G3114" i="209" s="1"/>
  <c r="G34" i="44"/>
  <c r="D3118" i="209"/>
  <c r="G3118" i="209" s="1"/>
  <c r="G38" i="44"/>
  <c r="DQ45" i="190"/>
  <c r="DR15" i="190"/>
  <c r="D32" i="130"/>
  <c r="H32" i="130" s="1"/>
  <c r="G2768" i="209"/>
  <c r="D33" i="130"/>
  <c r="H33" i="130" s="1"/>
  <c r="G2769" i="209"/>
  <c r="D767" i="210"/>
  <c r="G767" i="210" s="1"/>
  <c r="G768" i="210" s="1"/>
  <c r="D814" i="210" s="1"/>
  <c r="I958" i="209"/>
  <c r="O855" i="209"/>
  <c r="O895" i="209" s="1"/>
  <c r="O899" i="209" s="1"/>
  <c r="O910" i="209" s="1"/>
  <c r="E33" i="43"/>
  <c r="I2771" i="209"/>
  <c r="E50" i="43"/>
  <c r="I2788" i="209"/>
  <c r="D41" i="130"/>
  <c r="H41" i="130" s="1"/>
  <c r="G2777" i="209"/>
  <c r="D35" i="130"/>
  <c r="H35" i="130" s="1"/>
  <c r="G2771" i="209"/>
  <c r="D77" i="130"/>
  <c r="H77" i="130" s="1"/>
  <c r="G2815" i="209"/>
  <c r="J34" i="43"/>
  <c r="I3342" i="209"/>
  <c r="O3342" i="209" s="1"/>
  <c r="D3100" i="209"/>
  <c r="G3100" i="209" s="1"/>
  <c r="G20" i="44"/>
  <c r="J77" i="43"/>
  <c r="I3388" i="209"/>
  <c r="O3388" i="209" s="1"/>
  <c r="D825" i="210"/>
  <c r="G825" i="210" s="1"/>
  <c r="G826" i="210" s="1"/>
  <c r="O2675" i="209"/>
  <c r="D30" i="130"/>
  <c r="H30" i="130" s="1"/>
  <c r="G2766" i="209"/>
  <c r="DL63" i="190"/>
  <c r="K772" i="210"/>
  <c r="K771" i="210" s="1"/>
  <c r="K1867" i="209" s="1"/>
  <c r="X127" i="171"/>
  <c r="Y127" i="171" s="1"/>
  <c r="M128" i="171"/>
  <c r="D870" i="210"/>
  <c r="G870" i="210" s="1"/>
  <c r="G850" i="210"/>
  <c r="D896" i="210" s="1"/>
  <c r="I425" i="210"/>
  <c r="G425" i="210"/>
  <c r="DQ46" i="190"/>
  <c r="DM60" i="190"/>
  <c r="O1053" i="209"/>
  <c r="I1050" i="209"/>
  <c r="O1044" i="209"/>
  <c r="D39" i="130"/>
  <c r="H39" i="130" s="1"/>
  <c r="G2775" i="209"/>
  <c r="D88" i="130"/>
  <c r="H88" i="130" s="1"/>
  <c r="G2826" i="209"/>
  <c r="D3163" i="209"/>
  <c r="G3163" i="209" s="1"/>
  <c r="G79" i="44"/>
  <c r="L83" i="195"/>
  <c r="L75" i="195"/>
  <c r="L90" i="195"/>
  <c r="L85" i="195"/>
  <c r="L77" i="195"/>
  <c r="L84" i="195"/>
  <c r="L80" i="195"/>
  <c r="Q80" i="195" s="1"/>
  <c r="R80" i="195" s="1"/>
  <c r="L74" i="195"/>
  <c r="E83" i="43"/>
  <c r="I2824" i="209"/>
  <c r="D31" i="130"/>
  <c r="H31" i="130" s="1"/>
  <c r="G2767" i="209"/>
  <c r="C24" i="196"/>
  <c r="D910" i="209"/>
  <c r="H42" i="154"/>
  <c r="I39" i="154"/>
  <c r="J39" i="154"/>
  <c r="DM12" i="190"/>
  <c r="DQ6" i="190"/>
  <c r="G1050" i="209"/>
  <c r="D1158" i="209"/>
  <c r="E16" i="27"/>
  <c r="E22" i="27" s="1"/>
  <c r="D3106" i="209"/>
  <c r="G3106" i="209" s="1"/>
  <c r="G26" i="44"/>
  <c r="D37" i="130"/>
  <c r="H37" i="130" s="1"/>
  <c r="G2773" i="209"/>
  <c r="D52" i="130"/>
  <c r="H52" i="130" s="1"/>
  <c r="G2788" i="209"/>
  <c r="DM62" i="190"/>
  <c r="DQ61" i="190"/>
  <c r="D441" i="210"/>
  <c r="G441" i="210" s="1"/>
  <c r="D3121" i="209"/>
  <c r="G3121" i="209" s="1"/>
  <c r="G41" i="44"/>
  <c r="D3099" i="209"/>
  <c r="G3099" i="209" s="1"/>
  <c r="G19" i="44"/>
  <c r="D54" i="130"/>
  <c r="H54" i="130" s="1"/>
  <c r="G2790" i="209"/>
  <c r="G847" i="210"/>
  <c r="D893" i="210" s="1"/>
  <c r="D858" i="210"/>
  <c r="G858" i="210" s="1"/>
  <c r="L39" i="42"/>
  <c r="I1864" i="209"/>
  <c r="D55" i="130"/>
  <c r="H55" i="130" s="1"/>
  <c r="G2791" i="209"/>
  <c r="DQ13" i="190"/>
  <c r="DM14" i="190"/>
  <c r="J80" i="43"/>
  <c r="I3391" i="209"/>
  <c r="O3391" i="209" s="1"/>
  <c r="D958" i="209"/>
  <c r="G855" i="209"/>
  <c r="G895" i="209" s="1"/>
  <c r="G899" i="209" s="1"/>
  <c r="G910" i="209" s="1"/>
  <c r="G1131" i="209"/>
  <c r="D1136" i="209"/>
  <c r="C83" i="196" s="1"/>
  <c r="F83" i="196" s="1"/>
  <c r="D42" i="130"/>
  <c r="H42" i="130" s="1"/>
  <c r="G2778" i="209"/>
  <c r="D478" i="210"/>
  <c r="G437" i="210"/>
  <c r="D81" i="130"/>
  <c r="H81" i="130" s="1"/>
  <c r="G2819" i="209"/>
  <c r="D3160" i="209"/>
  <c r="G3160" i="209" s="1"/>
  <c r="G76" i="44"/>
  <c r="O725" i="210"/>
  <c r="O726" i="210" s="1"/>
  <c r="I772" i="210" s="1"/>
  <c r="I771" i="210" s="1"/>
  <c r="O771" i="210" s="1"/>
  <c r="O772" i="210" s="1"/>
  <c r="I818" i="210" s="1"/>
  <c r="I817" i="210" s="1"/>
  <c r="D56" i="130"/>
  <c r="H56" i="130" s="1"/>
  <c r="G2792" i="209"/>
  <c r="D76" i="130"/>
  <c r="H76" i="130" s="1"/>
  <c r="G2814" i="209"/>
  <c r="O2671" i="209"/>
  <c r="D3116" i="209"/>
  <c r="G3116" i="209" s="1"/>
  <c r="G36" i="44"/>
  <c r="D51" i="130"/>
  <c r="H51" i="130" s="1"/>
  <c r="G2787" i="209"/>
  <c r="E52" i="43"/>
  <c r="I2790" i="209"/>
  <c r="I1121" i="209"/>
  <c r="O1120" i="209"/>
  <c r="G1234" i="209"/>
  <c r="D1235" i="209"/>
  <c r="E76" i="43"/>
  <c r="I2817" i="209"/>
  <c r="D2983" i="209"/>
  <c r="G2983" i="209" s="1"/>
  <c r="F17" i="44"/>
  <c r="E73" i="43"/>
  <c r="I2814" i="209"/>
  <c r="G849" i="210"/>
  <c r="D895" i="210" s="1"/>
  <c r="D866" i="210"/>
  <c r="G866" i="210" s="1"/>
  <c r="D3098" i="209"/>
  <c r="G3098" i="209" s="1"/>
  <c r="G18" i="44"/>
  <c r="D1167" i="209"/>
  <c r="E25" i="27"/>
  <c r="I440" i="210"/>
  <c r="O440" i="210" s="1"/>
  <c r="O432" i="210"/>
  <c r="I437" i="210"/>
  <c r="G442" i="210"/>
  <c r="D488" i="210" s="1"/>
  <c r="O850" i="210"/>
  <c r="I896" i="210" s="1"/>
  <c r="I870" i="210"/>
  <c r="O870" i="210" s="1"/>
  <c r="G894" i="210"/>
  <c r="D940" i="210" s="1"/>
  <c r="D908" i="210"/>
  <c r="G908" i="210" s="1"/>
  <c r="J21" i="43"/>
  <c r="I3329" i="209"/>
  <c r="O3329" i="209" s="1"/>
  <c r="I910" i="209"/>
  <c r="H24" i="196"/>
  <c r="I61" i="49" l="1"/>
  <c r="C60" i="49"/>
  <c r="O779" i="210"/>
  <c r="O780" i="210" s="1"/>
  <c r="I826" i="210" s="1"/>
  <c r="I825" i="210" s="1"/>
  <c r="D3414" i="209"/>
  <c r="G3414" i="209" s="1"/>
  <c r="I97" i="44"/>
  <c r="I2815" i="209"/>
  <c r="D872" i="210"/>
  <c r="K826" i="210"/>
  <c r="K825" i="210" s="1"/>
  <c r="K1985" i="209" s="1"/>
  <c r="O848" i="210"/>
  <c r="I894" i="210" s="1"/>
  <c r="I862" i="210"/>
  <c r="O862" i="210" s="1"/>
  <c r="DM63" i="190"/>
  <c r="K2816" i="209"/>
  <c r="D2930" i="209"/>
  <c r="G2930" i="209" s="1"/>
  <c r="E74" i="44"/>
  <c r="O2816" i="209"/>
  <c r="D912" i="210"/>
  <c r="G912" i="210" s="1"/>
  <c r="G895" i="210"/>
  <c r="D941" i="210" s="1"/>
  <c r="D3277" i="209"/>
  <c r="G3277" i="209" s="1"/>
  <c r="H79" i="44"/>
  <c r="DQ60" i="190"/>
  <c r="DR46" i="190"/>
  <c r="BG75" i="190"/>
  <c r="BC77" i="190"/>
  <c r="F90" i="42"/>
  <c r="F91" i="42" s="1"/>
  <c r="I1234" i="209"/>
  <c r="O1121" i="209"/>
  <c r="D2904" i="209"/>
  <c r="G2904" i="209" s="1"/>
  <c r="K2790" i="209"/>
  <c r="O2790" i="209" s="1"/>
  <c r="E52" i="44"/>
  <c r="DR61" i="190"/>
  <c r="DQ62" i="190"/>
  <c r="E51" i="43"/>
  <c r="I2789" i="209"/>
  <c r="D3214" i="209"/>
  <c r="G3214" i="209" s="1"/>
  <c r="H20" i="44"/>
  <c r="D813" i="210"/>
  <c r="G813" i="210" s="1"/>
  <c r="G814" i="210" s="1"/>
  <c r="D860" i="210" s="1"/>
  <c r="J43" i="155"/>
  <c r="H44" i="155"/>
  <c r="O896" i="210"/>
  <c r="I942" i="210" s="1"/>
  <c r="I916" i="210"/>
  <c r="O916" i="210" s="1"/>
  <c r="O437" i="210"/>
  <c r="I478" i="210"/>
  <c r="K2819" i="209"/>
  <c r="D2933" i="209"/>
  <c r="G2933" i="209" s="1"/>
  <c r="E77" i="44"/>
  <c r="K2773" i="209"/>
  <c r="D2887" i="209"/>
  <c r="G2887" i="209" s="1"/>
  <c r="E35" i="44"/>
  <c r="K2826" i="209"/>
  <c r="D2940" i="209"/>
  <c r="G2940" i="209" s="1"/>
  <c r="E84" i="44"/>
  <c r="D2883" i="209"/>
  <c r="G2883" i="209" s="1"/>
  <c r="K2769" i="209"/>
  <c r="O2769" i="209" s="1"/>
  <c r="E31" i="44"/>
  <c r="G1231" i="209"/>
  <c r="D1331" i="209"/>
  <c r="F71" i="27"/>
  <c r="F85" i="27" s="1"/>
  <c r="I1136" i="209"/>
  <c r="H83" i="196" s="1"/>
  <c r="M83" i="196" s="1"/>
  <c r="O1131" i="209"/>
  <c r="G940" i="210"/>
  <c r="D986" i="210" s="1"/>
  <c r="D954" i="210"/>
  <c r="G954" i="210" s="1"/>
  <c r="D3097" i="209"/>
  <c r="G3097" i="209" s="1"/>
  <c r="G17" i="44"/>
  <c r="K2792" i="209"/>
  <c r="D2906" i="209"/>
  <c r="G2906" i="209" s="1"/>
  <c r="E54" i="44"/>
  <c r="D1245" i="209"/>
  <c r="G1136" i="209"/>
  <c r="E94" i="27"/>
  <c r="E99" i="27" s="1"/>
  <c r="DQ14" i="190"/>
  <c r="DR13" i="190"/>
  <c r="D2885" i="209"/>
  <c r="G2885" i="209" s="1"/>
  <c r="K2771" i="209"/>
  <c r="E33" i="44"/>
  <c r="D3230" i="209"/>
  <c r="G3230" i="209" s="1"/>
  <c r="H36" i="44"/>
  <c r="DQ12" i="190"/>
  <c r="DR6" i="190"/>
  <c r="C138" i="196"/>
  <c r="F138" i="196" s="1"/>
  <c r="F24" i="196"/>
  <c r="D2889" i="209"/>
  <c r="G2889" i="209" s="1"/>
  <c r="K2775" i="209"/>
  <c r="O2775" i="209" s="1"/>
  <c r="E37" i="44"/>
  <c r="M129" i="171"/>
  <c r="X128" i="171"/>
  <c r="Y128" i="171" s="1"/>
  <c r="K34" i="43"/>
  <c r="I3456" i="209"/>
  <c r="O3456" i="209" s="1"/>
  <c r="O2771" i="209"/>
  <c r="K2768" i="209"/>
  <c r="D2882" i="209"/>
  <c r="G2882" i="209" s="1"/>
  <c r="E30" i="44"/>
  <c r="X128" i="170"/>
  <c r="Y128" i="170" s="1"/>
  <c r="M129" i="170"/>
  <c r="Y52" i="171"/>
  <c r="K2786" i="209"/>
  <c r="D2900" i="209"/>
  <c r="G2900" i="209" s="1"/>
  <c r="E48" i="44"/>
  <c r="K20" i="43"/>
  <c r="I3442" i="209"/>
  <c r="O3442" i="209" s="1"/>
  <c r="D2936" i="209"/>
  <c r="G2936" i="209" s="1"/>
  <c r="K2822" i="209"/>
  <c r="E80" i="44"/>
  <c r="I35" i="237"/>
  <c r="I37" i="237" s="1"/>
  <c r="G809" i="209"/>
  <c r="D868" i="209"/>
  <c r="I868" i="209" s="1"/>
  <c r="I809" i="209"/>
  <c r="D2937" i="209"/>
  <c r="G2937" i="209" s="1"/>
  <c r="K2823" i="209"/>
  <c r="E81" i="44"/>
  <c r="BG73" i="190"/>
  <c r="BH67" i="190"/>
  <c r="O2773" i="209"/>
  <c r="K26" i="43"/>
  <c r="I3448" i="209"/>
  <c r="O3448" i="209" s="1"/>
  <c r="M54" i="171"/>
  <c r="X53" i="171"/>
  <c r="Y53" i="171" s="1"/>
  <c r="D821" i="210"/>
  <c r="G821" i="210" s="1"/>
  <c r="G822" i="210" s="1"/>
  <c r="D868" i="210" s="1"/>
  <c r="K822" i="210"/>
  <c r="K821" i="210" s="1"/>
  <c r="K1984" i="209" s="1"/>
  <c r="K2780" i="209"/>
  <c r="O2780" i="209" s="1"/>
  <c r="D2894" i="209"/>
  <c r="G2894" i="209" s="1"/>
  <c r="E42" i="44"/>
  <c r="O895" i="210"/>
  <c r="I941" i="210" s="1"/>
  <c r="I912" i="210"/>
  <c r="O912" i="210" s="1"/>
  <c r="O2786" i="209"/>
  <c r="D46" i="7"/>
  <c r="G958" i="209"/>
  <c r="D969" i="209"/>
  <c r="D1009" i="209" s="1"/>
  <c r="D1013" i="209" s="1"/>
  <c r="D3213" i="209"/>
  <c r="G3213" i="209" s="1"/>
  <c r="H19" i="44"/>
  <c r="D3228" i="209"/>
  <c r="G3228" i="209" s="1"/>
  <c r="H34" i="44"/>
  <c r="E32" i="43"/>
  <c r="I2770" i="209"/>
  <c r="L42" i="42"/>
  <c r="I1867" i="209"/>
  <c r="O1867" i="209" s="1"/>
  <c r="K2778" i="209"/>
  <c r="D2892" i="209"/>
  <c r="G2892" i="209" s="1"/>
  <c r="E40" i="44"/>
  <c r="K80" i="43"/>
  <c r="I3505" i="209"/>
  <c r="O3505" i="209" s="1"/>
  <c r="D2905" i="209"/>
  <c r="G2905" i="209" s="1"/>
  <c r="K2791" i="209"/>
  <c r="O2791" i="209" s="1"/>
  <c r="E53" i="44"/>
  <c r="D2902" i="209"/>
  <c r="G2902" i="209" s="1"/>
  <c r="K2788" i="209"/>
  <c r="E50" i="44"/>
  <c r="D3220" i="209"/>
  <c r="G3220" i="209" s="1"/>
  <c r="H26" i="44"/>
  <c r="F16" i="42"/>
  <c r="F22" i="42" s="1"/>
  <c r="I1158" i="209"/>
  <c r="O1050" i="209"/>
  <c r="D471" i="210"/>
  <c r="O425" i="210"/>
  <c r="K2766" i="209"/>
  <c r="D2880" i="209"/>
  <c r="G2880" i="209" s="1"/>
  <c r="E28" i="44"/>
  <c r="K77" i="43"/>
  <c r="I3502" i="209"/>
  <c r="O3502" i="209" s="1"/>
  <c r="K2815" i="209"/>
  <c r="O2815" i="209" s="1"/>
  <c r="D2929" i="209"/>
  <c r="G2929" i="209" s="1"/>
  <c r="E73" i="44"/>
  <c r="D863" i="210"/>
  <c r="G863" i="210" s="1"/>
  <c r="G864" i="210" s="1"/>
  <c r="D910" i="210" s="1"/>
  <c r="K2825" i="209"/>
  <c r="D2939" i="209"/>
  <c r="G2939" i="209" s="1"/>
  <c r="E83" i="44"/>
  <c r="K2784" i="209"/>
  <c r="D2898" i="209"/>
  <c r="G2898" i="209" s="1"/>
  <c r="E46" i="44"/>
  <c r="M46" i="42"/>
  <c r="I1985" i="209"/>
  <c r="K2785" i="209"/>
  <c r="D2899" i="209"/>
  <c r="G2899" i="209" s="1"/>
  <c r="E47" i="44"/>
  <c r="K18" i="43"/>
  <c r="I3440" i="209"/>
  <c r="O3440" i="209" s="1"/>
  <c r="D2934" i="209"/>
  <c r="G2934" i="209" s="1"/>
  <c r="K2820" i="209"/>
  <c r="E78" i="44"/>
  <c r="M24" i="196"/>
  <c r="H138" i="196"/>
  <c r="M138" i="196" s="1"/>
  <c r="G1167" i="209"/>
  <c r="E47" i="43"/>
  <c r="I2785" i="209"/>
  <c r="D2881" i="209"/>
  <c r="G2881" i="209" s="1"/>
  <c r="K2767" i="209"/>
  <c r="O2767" i="209" s="1"/>
  <c r="E29" i="44"/>
  <c r="I441" i="210"/>
  <c r="O441" i="210" s="1"/>
  <c r="O442" i="210" s="1"/>
  <c r="I488" i="210" s="1"/>
  <c r="O958" i="209"/>
  <c r="I969" i="209"/>
  <c r="I1009" i="209" s="1"/>
  <c r="I1013" i="209" s="1"/>
  <c r="DR45" i="190"/>
  <c r="DV15" i="190"/>
  <c r="K818" i="210"/>
  <c r="K817" i="210" s="1"/>
  <c r="K1981" i="209" s="1"/>
  <c r="M64" i="170"/>
  <c r="X63" i="170"/>
  <c r="Y63" i="170" s="1"/>
  <c r="K94" i="43"/>
  <c r="I3519" i="209"/>
  <c r="O3519" i="209" s="1"/>
  <c r="G1235" i="209"/>
  <c r="D1348" i="209"/>
  <c r="F88" i="27"/>
  <c r="F89" i="27" s="1"/>
  <c r="D2928" i="209"/>
  <c r="G2928" i="209" s="1"/>
  <c r="K2814" i="209"/>
  <c r="O2814" i="209" s="1"/>
  <c r="E72" i="44"/>
  <c r="D3274" i="209"/>
  <c r="G3274" i="209" s="1"/>
  <c r="H76" i="44"/>
  <c r="G893" i="210"/>
  <c r="D939" i="210" s="1"/>
  <c r="D904" i="210"/>
  <c r="G904" i="210" s="1"/>
  <c r="G1158" i="209"/>
  <c r="D1164" i="209"/>
  <c r="H43" i="154"/>
  <c r="I42" i="154"/>
  <c r="J42" i="154" s="1"/>
  <c r="K42" i="154" s="1"/>
  <c r="D916" i="210"/>
  <c r="G916" i="210" s="1"/>
  <c r="G896" i="210"/>
  <c r="D942" i="210" s="1"/>
  <c r="K768" i="210"/>
  <c r="K767" i="210" s="1"/>
  <c r="D3232" i="209"/>
  <c r="G3232" i="209" s="1"/>
  <c r="H38" i="44"/>
  <c r="D2931" i="209"/>
  <c r="G2931" i="209" s="1"/>
  <c r="K2817" i="209"/>
  <c r="E75" i="44"/>
  <c r="K2770" i="209"/>
  <c r="D2884" i="209"/>
  <c r="G2884" i="209" s="1"/>
  <c r="E32" i="44"/>
  <c r="K776" i="210"/>
  <c r="K775" i="210" s="1"/>
  <c r="K1870" i="209" s="1"/>
  <c r="D2903" i="209"/>
  <c r="G2903" i="209" s="1"/>
  <c r="K2789" i="209"/>
  <c r="E51" i="44"/>
  <c r="H44" i="130"/>
  <c r="K19" i="43"/>
  <c r="I3441" i="209"/>
  <c r="O3441" i="209" s="1"/>
  <c r="D3215" i="209"/>
  <c r="G3215" i="209" s="1"/>
  <c r="H21" i="44"/>
  <c r="O2784" i="209"/>
  <c r="D2891" i="209"/>
  <c r="G2891" i="209" s="1"/>
  <c r="K2777" i="209"/>
  <c r="O2777" i="209" s="1"/>
  <c r="E39" i="44"/>
  <c r="K21" i="43"/>
  <c r="I3443" i="209"/>
  <c r="O3443" i="209" s="1"/>
  <c r="D3212" i="209"/>
  <c r="G3212" i="209" s="1"/>
  <c r="H18" i="44"/>
  <c r="D3235" i="209"/>
  <c r="G3235" i="209" s="1"/>
  <c r="H41" i="44"/>
  <c r="F26" i="42"/>
  <c r="I1167" i="209"/>
  <c r="D871" i="210"/>
  <c r="G871" i="210" s="1"/>
  <c r="G872" i="210" s="1"/>
  <c r="D3239" i="209"/>
  <c r="G3239" i="209" s="1"/>
  <c r="H45" i="44"/>
  <c r="O2768" i="209"/>
  <c r="D2938" i="209"/>
  <c r="G2938" i="209" s="1"/>
  <c r="K2824" i="209"/>
  <c r="E82" i="44"/>
  <c r="O893" i="210"/>
  <c r="I939" i="210" s="1"/>
  <c r="I904" i="210"/>
  <c r="O904" i="210" s="1"/>
  <c r="O2822" i="209"/>
  <c r="O2820" i="209"/>
  <c r="K2781" i="209"/>
  <c r="D2895" i="209"/>
  <c r="G2895" i="209" s="1"/>
  <c r="E43" i="44"/>
  <c r="O2823" i="209"/>
  <c r="O2826" i="209"/>
  <c r="D2901" i="209"/>
  <c r="G2901" i="209" s="1"/>
  <c r="K2787" i="209"/>
  <c r="O2787" i="209" s="1"/>
  <c r="E49" i="44"/>
  <c r="D486" i="210"/>
  <c r="G486" i="210" s="1"/>
  <c r="G478" i="210"/>
  <c r="D483" i="210"/>
  <c r="D2879" i="209"/>
  <c r="G2879" i="209" s="1"/>
  <c r="K2765" i="209"/>
  <c r="O2765" i="209" s="1"/>
  <c r="E27" i="44"/>
  <c r="K17" i="43"/>
  <c r="I3439" i="209"/>
  <c r="O3439" i="209" s="1"/>
  <c r="I1231" i="209"/>
  <c r="O1217" i="209"/>
  <c r="BB80" i="190"/>
  <c r="BB82" i="190" s="1"/>
  <c r="BB85" i="190" s="1"/>
  <c r="BC79" i="190"/>
  <c r="O2792" i="209"/>
  <c r="O2819" i="209"/>
  <c r="I62" i="49" l="1"/>
  <c r="C61" i="49"/>
  <c r="O1985" i="209"/>
  <c r="O825" i="210"/>
  <c r="O826" i="210" s="1"/>
  <c r="I872" i="210" s="1"/>
  <c r="I871" i="210" s="1"/>
  <c r="I99" i="44"/>
  <c r="D3528" i="209"/>
  <c r="G3528" i="209" s="1"/>
  <c r="J97" i="44"/>
  <c r="J99" i="44" s="1"/>
  <c r="I908" i="210"/>
  <c r="O908" i="210" s="1"/>
  <c r="O894" i="210"/>
  <c r="I940" i="210" s="1"/>
  <c r="K864" i="210"/>
  <c r="K863" i="210" s="1"/>
  <c r="K2095" i="209" s="1"/>
  <c r="O2770" i="209"/>
  <c r="I2884" i="209" s="1"/>
  <c r="O2884" i="209" s="1"/>
  <c r="F75" i="43"/>
  <c r="I2930" i="209"/>
  <c r="K2930" i="209"/>
  <c r="D3044" i="209"/>
  <c r="G3044" i="209" s="1"/>
  <c r="F74" i="44"/>
  <c r="O817" i="210"/>
  <c r="O818" i="210" s="1"/>
  <c r="I864" i="210" s="1"/>
  <c r="I863" i="210" s="1"/>
  <c r="F49" i="43"/>
  <c r="I2901" i="209"/>
  <c r="F31" i="43"/>
  <c r="I2883" i="209"/>
  <c r="F53" i="43"/>
  <c r="I2905" i="209"/>
  <c r="D918" i="210"/>
  <c r="K872" i="210"/>
  <c r="K871" i="210" s="1"/>
  <c r="F27" i="43"/>
  <c r="I2879" i="209"/>
  <c r="F39" i="43"/>
  <c r="I2891" i="209"/>
  <c r="F37" i="43"/>
  <c r="I2889" i="209"/>
  <c r="F73" i="43"/>
  <c r="I2928" i="209"/>
  <c r="K2879" i="209"/>
  <c r="D2993" i="209"/>
  <c r="G2993" i="209" s="1"/>
  <c r="F27" i="44"/>
  <c r="K2895" i="209"/>
  <c r="D3009" i="209"/>
  <c r="G3009" i="209" s="1"/>
  <c r="F43" i="44"/>
  <c r="D3326" i="209"/>
  <c r="G3326" i="209" s="1"/>
  <c r="I18" i="44"/>
  <c r="D3017" i="209"/>
  <c r="G3017" i="209" s="1"/>
  <c r="K2903" i="209"/>
  <c r="F51" i="44"/>
  <c r="O2785" i="209"/>
  <c r="L77" i="43"/>
  <c r="I3616" i="209"/>
  <c r="O3616" i="209" s="1"/>
  <c r="D3334" i="209"/>
  <c r="G3334" i="209" s="1"/>
  <c r="I26" i="44"/>
  <c r="D3019" i="209"/>
  <c r="G3019" i="209" s="1"/>
  <c r="K2905" i="209"/>
  <c r="F53" i="44"/>
  <c r="D3342" i="209"/>
  <c r="G3342" i="209" s="1"/>
  <c r="I34" i="44"/>
  <c r="X54" i="171"/>
  <c r="Y54" i="171" s="1"/>
  <c r="M55" i="171"/>
  <c r="D3050" i="209"/>
  <c r="G3050" i="209" s="1"/>
  <c r="K2936" i="209"/>
  <c r="F80" i="44"/>
  <c r="D1000" i="210"/>
  <c r="G1000" i="210" s="1"/>
  <c r="G986" i="210"/>
  <c r="D1032" i="210" s="1"/>
  <c r="O2789" i="209"/>
  <c r="DV61" i="190"/>
  <c r="DR62" i="190"/>
  <c r="F78" i="43"/>
  <c r="I2933" i="209"/>
  <c r="D3052" i="209"/>
  <c r="G3052" i="209" s="1"/>
  <c r="K2938" i="209"/>
  <c r="F82" i="44"/>
  <c r="K2931" i="209"/>
  <c r="D3045" i="209"/>
  <c r="G3045" i="209" s="1"/>
  <c r="F75" i="44"/>
  <c r="G939" i="210"/>
  <c r="D985" i="210" s="1"/>
  <c r="D950" i="210"/>
  <c r="G950" i="210" s="1"/>
  <c r="N46" i="42"/>
  <c r="I2099" i="209"/>
  <c r="I1164" i="209"/>
  <c r="O1158" i="209"/>
  <c r="L26" i="43"/>
  <c r="I3562" i="209"/>
  <c r="O3562" i="209" s="1"/>
  <c r="F74" i="43"/>
  <c r="I2929" i="209"/>
  <c r="D3047" i="209"/>
  <c r="G3047" i="209" s="1"/>
  <c r="K2933" i="209"/>
  <c r="F77" i="44"/>
  <c r="D3349" i="209"/>
  <c r="G3349" i="209" s="1"/>
  <c r="I41" i="44"/>
  <c r="F54" i="43"/>
  <c r="I2906" i="209"/>
  <c r="D3015" i="209"/>
  <c r="G3015" i="209" s="1"/>
  <c r="K2901" i="209"/>
  <c r="F49" i="44"/>
  <c r="H44" i="154"/>
  <c r="J43" i="154"/>
  <c r="I950" i="210"/>
  <c r="O950" i="210" s="1"/>
  <c r="O939" i="210"/>
  <c r="I985" i="210" s="1"/>
  <c r="D3048" i="209"/>
  <c r="G3048" i="209" s="1"/>
  <c r="K2934" i="209"/>
  <c r="F78" i="44"/>
  <c r="L17" i="43"/>
  <c r="I3553" i="209"/>
  <c r="O3553" i="209" s="1"/>
  <c r="F79" i="43"/>
  <c r="I2934" i="209"/>
  <c r="F30" i="43"/>
  <c r="I2882" i="209"/>
  <c r="O1167" i="209"/>
  <c r="L21" i="43"/>
  <c r="I3557" i="209"/>
  <c r="O3557" i="209" s="1"/>
  <c r="F42" i="43"/>
  <c r="I2894" i="209"/>
  <c r="D3346" i="209"/>
  <c r="G3346" i="209" s="1"/>
  <c r="I38" i="44"/>
  <c r="K2881" i="209"/>
  <c r="D2995" i="209"/>
  <c r="G2995" i="209" s="1"/>
  <c r="F29" i="44"/>
  <c r="L18" i="43"/>
  <c r="I3554" i="209"/>
  <c r="O3554" i="209" s="1"/>
  <c r="BL67" i="190"/>
  <c r="BH73" i="190"/>
  <c r="I1235" i="209"/>
  <c r="O1234" i="209"/>
  <c r="BG79" i="190"/>
  <c r="BC80" i="190"/>
  <c r="BC82" i="190" s="1"/>
  <c r="BC85" i="190" s="1"/>
  <c r="F81" i="43"/>
  <c r="I2936" i="209"/>
  <c r="O2936" i="209" s="1"/>
  <c r="K1864" i="209"/>
  <c r="O1864" i="209" s="1"/>
  <c r="O767" i="210"/>
  <c r="O768" i="210" s="1"/>
  <c r="I814" i="210" s="1"/>
  <c r="I813" i="210" s="1"/>
  <c r="G942" i="210"/>
  <c r="D988" i="210" s="1"/>
  <c r="D962" i="210"/>
  <c r="G962" i="210" s="1"/>
  <c r="G1164" i="209"/>
  <c r="D1272" i="209"/>
  <c r="F16" i="27"/>
  <c r="F22" i="27" s="1"/>
  <c r="DW15" i="190"/>
  <c r="DV45" i="190"/>
  <c r="D867" i="210"/>
  <c r="G867" i="210" s="1"/>
  <c r="G868" i="210" s="1"/>
  <c r="D914" i="210" s="1"/>
  <c r="DR12" i="190"/>
  <c r="DV6" i="190"/>
  <c r="D3344" i="209"/>
  <c r="G3344" i="209" s="1"/>
  <c r="I36" i="44"/>
  <c r="G1245" i="209"/>
  <c r="D1250" i="209"/>
  <c r="C84" i="196" s="1"/>
  <c r="F84" i="196" s="1"/>
  <c r="F52" i="43"/>
  <c r="I2904" i="209"/>
  <c r="K2887" i="209"/>
  <c r="D3001" i="209"/>
  <c r="G3001" i="209" s="1"/>
  <c r="F35" i="44"/>
  <c r="D859" i="210"/>
  <c r="G859" i="210" s="1"/>
  <c r="G860" i="210" s="1"/>
  <c r="D906" i="210" s="1"/>
  <c r="D3391" i="209"/>
  <c r="G3391" i="209" s="1"/>
  <c r="I79" i="44"/>
  <c r="F29" i="43"/>
  <c r="I2881" i="209"/>
  <c r="L19" i="43"/>
  <c r="I3555" i="209"/>
  <c r="O3555" i="209" s="1"/>
  <c r="D3042" i="209"/>
  <c r="G3042" i="209" s="1"/>
  <c r="K2928" i="209"/>
  <c r="F72" i="44"/>
  <c r="K2939" i="209"/>
  <c r="D3053" i="209"/>
  <c r="G3053" i="209" s="1"/>
  <c r="F83" i="44"/>
  <c r="L80" i="43"/>
  <c r="I3619" i="209"/>
  <c r="O3619" i="209" s="1"/>
  <c r="F100" i="42"/>
  <c r="F105" i="42" s="1"/>
  <c r="O1136" i="209"/>
  <c r="I1245" i="209"/>
  <c r="G483" i="210"/>
  <c r="D524" i="210"/>
  <c r="O775" i="210"/>
  <c r="O776" i="210" s="1"/>
  <c r="I822" i="210" s="1"/>
  <c r="I821" i="210" s="1"/>
  <c r="O821" i="210" s="1"/>
  <c r="O822" i="210" s="1"/>
  <c r="I868" i="210" s="1"/>
  <c r="I867" i="210" s="1"/>
  <c r="K2884" i="209"/>
  <c r="D2998" i="209"/>
  <c r="G2998" i="209" s="1"/>
  <c r="F32" i="44"/>
  <c r="G1348" i="209"/>
  <c r="D1349" i="209"/>
  <c r="L94" i="43"/>
  <c r="I3633" i="209"/>
  <c r="O3633" i="209" s="1"/>
  <c r="D909" i="210"/>
  <c r="G909" i="210" s="1"/>
  <c r="G910" i="210" s="1"/>
  <c r="D956" i="210" s="1"/>
  <c r="K2880" i="209"/>
  <c r="D2994" i="209"/>
  <c r="G2994" i="209" s="1"/>
  <c r="F28" i="44"/>
  <c r="D3016" i="209"/>
  <c r="G3016" i="209" s="1"/>
  <c r="K2902" i="209"/>
  <c r="F50" i="44"/>
  <c r="M42" i="42"/>
  <c r="I1981" i="209"/>
  <c r="O1981" i="209" s="1"/>
  <c r="D3327" i="209"/>
  <c r="G3327" i="209" s="1"/>
  <c r="I19" i="44"/>
  <c r="F48" i="43"/>
  <c r="I2900" i="209"/>
  <c r="O2825" i="209"/>
  <c r="G868" i="209"/>
  <c r="O809" i="209"/>
  <c r="L20" i="43"/>
  <c r="I3556" i="209"/>
  <c r="O3556" i="209" s="1"/>
  <c r="K2882" i="209"/>
  <c r="D2996" i="209"/>
  <c r="G2996" i="209" s="1"/>
  <c r="F30" i="44"/>
  <c r="X129" i="171"/>
  <c r="Y129" i="171" s="1"/>
  <c r="M130" i="171"/>
  <c r="DQ63" i="190"/>
  <c r="K814" i="210"/>
  <c r="K813" i="210" s="1"/>
  <c r="K1978" i="209" s="1"/>
  <c r="D3018" i="209"/>
  <c r="G3018" i="209" s="1"/>
  <c r="K2904" i="209"/>
  <c r="F52" i="44"/>
  <c r="G941" i="210"/>
  <c r="D987" i="210" s="1"/>
  <c r="D958" i="210"/>
  <c r="G958" i="210" s="1"/>
  <c r="F46" i="43"/>
  <c r="I2898" i="209"/>
  <c r="I1024" i="209"/>
  <c r="H25" i="196"/>
  <c r="D3012" i="209"/>
  <c r="G3012" i="209" s="1"/>
  <c r="K2898" i="209"/>
  <c r="F46" i="44"/>
  <c r="D3006" i="209"/>
  <c r="G3006" i="209" s="1"/>
  <c r="K2892" i="209"/>
  <c r="F40" i="44"/>
  <c r="D1024" i="209"/>
  <c r="C25" i="196"/>
  <c r="O2766" i="209"/>
  <c r="F35" i="43"/>
  <c r="I2887" i="209"/>
  <c r="O2887" i="209" s="1"/>
  <c r="D3211" i="209"/>
  <c r="G3211" i="209" s="1"/>
  <c r="H17" i="44"/>
  <c r="D1345" i="209"/>
  <c r="G1331" i="209"/>
  <c r="I962" i="210"/>
  <c r="O962" i="210" s="1"/>
  <c r="O942" i="210"/>
  <c r="I988" i="210" s="1"/>
  <c r="F85" i="43"/>
  <c r="I2940" i="209"/>
  <c r="D3388" i="209"/>
  <c r="G3388" i="209" s="1"/>
  <c r="I76" i="44"/>
  <c r="E45" i="42"/>
  <c r="E56" i="42" s="1"/>
  <c r="E93" i="42" s="1"/>
  <c r="E97" i="42" s="1"/>
  <c r="E107" i="42" s="1"/>
  <c r="I1072" i="209"/>
  <c r="O969" i="209"/>
  <c r="O1009" i="209" s="1"/>
  <c r="O1013" i="209" s="1"/>
  <c r="O1024" i="209" s="1"/>
  <c r="D1281" i="209"/>
  <c r="F25" i="27"/>
  <c r="F32" i="43"/>
  <c r="D1072" i="209"/>
  <c r="D44" i="27"/>
  <c r="D55" i="27" s="1"/>
  <c r="D91" i="27" s="1"/>
  <c r="D101" i="27" s="1"/>
  <c r="G969" i="209"/>
  <c r="G1009" i="209" s="1"/>
  <c r="G1013" i="209" s="1"/>
  <c r="G1024" i="209" s="1"/>
  <c r="O941" i="210"/>
  <c r="I987" i="210" s="1"/>
  <c r="I958" i="210"/>
  <c r="O958" i="210" s="1"/>
  <c r="D3051" i="209"/>
  <c r="G3051" i="209" s="1"/>
  <c r="K2937" i="209"/>
  <c r="F81" i="44"/>
  <c r="F33" i="43"/>
  <c r="I2885" i="209"/>
  <c r="K2885" i="209"/>
  <c r="D2999" i="209"/>
  <c r="G2999" i="209" s="1"/>
  <c r="F33" i="44"/>
  <c r="K2940" i="209"/>
  <c r="D3054" i="209"/>
  <c r="G3054" i="209" s="1"/>
  <c r="F84" i="44"/>
  <c r="F82" i="43"/>
  <c r="I2937" i="209"/>
  <c r="D3353" i="209"/>
  <c r="G3353" i="209" s="1"/>
  <c r="I45" i="44"/>
  <c r="G73" i="42"/>
  <c r="G87" i="42" s="1"/>
  <c r="I1331" i="209"/>
  <c r="O1231" i="209"/>
  <c r="D3005" i="209"/>
  <c r="G3005" i="209" s="1"/>
  <c r="K2891" i="209"/>
  <c r="F39" i="44"/>
  <c r="D3329" i="209"/>
  <c r="G3329" i="209" s="1"/>
  <c r="I21" i="44"/>
  <c r="M65" i="170"/>
  <c r="X64" i="170"/>
  <c r="Y64" i="170" s="1"/>
  <c r="K2929" i="209"/>
  <c r="D3043" i="209"/>
  <c r="G3043" i="209" s="1"/>
  <c r="F73" i="44"/>
  <c r="H46" i="7"/>
  <c r="H57" i="7" s="1"/>
  <c r="H95" i="7" s="1"/>
  <c r="H105" i="7" s="1"/>
  <c r="D57" i="7"/>
  <c r="D95" i="7" s="1"/>
  <c r="D105" i="7" s="1"/>
  <c r="O2778" i="209"/>
  <c r="O2817" i="209"/>
  <c r="D3014" i="209"/>
  <c r="G3014" i="209" s="1"/>
  <c r="K2900" i="209"/>
  <c r="F48" i="44"/>
  <c r="X129" i="170"/>
  <c r="Y129" i="170" s="1"/>
  <c r="M130" i="170"/>
  <c r="L34" i="43"/>
  <c r="I3570" i="209"/>
  <c r="O3570" i="209" s="1"/>
  <c r="D3003" i="209"/>
  <c r="G3003" i="209" s="1"/>
  <c r="K2889" i="209"/>
  <c r="F37" i="44"/>
  <c r="DV13" i="190"/>
  <c r="DR14" i="190"/>
  <c r="D3020" i="209"/>
  <c r="G3020" i="209" s="1"/>
  <c r="K2906" i="209"/>
  <c r="F54" i="44"/>
  <c r="D487" i="210"/>
  <c r="G487" i="210" s="1"/>
  <c r="G488" i="210" s="1"/>
  <c r="D534" i="210" s="1"/>
  <c r="K2883" i="209"/>
  <c r="D2997" i="209"/>
  <c r="G2997" i="209" s="1"/>
  <c r="F31" i="44"/>
  <c r="H48" i="155"/>
  <c r="I44" i="155"/>
  <c r="J44" i="155" s="1"/>
  <c r="K44" i="155" s="1"/>
  <c r="O2824" i="209"/>
  <c r="BH75" i="190"/>
  <c r="BG77" i="190"/>
  <c r="D3013" i="209"/>
  <c r="G3013" i="209" s="1"/>
  <c r="K2899" i="209"/>
  <c r="F47" i="44"/>
  <c r="I471" i="210"/>
  <c r="G471" i="210"/>
  <c r="O2781" i="209"/>
  <c r="K2894" i="209"/>
  <c r="D3008" i="209"/>
  <c r="G3008" i="209" s="1"/>
  <c r="F42" i="44"/>
  <c r="O2788" i="209"/>
  <c r="I486" i="210"/>
  <c r="O486" i="210" s="1"/>
  <c r="O478" i="210"/>
  <c r="I483" i="210"/>
  <c r="D3328" i="209"/>
  <c r="G3328" i="209" s="1"/>
  <c r="I20" i="44"/>
  <c r="DR60" i="190"/>
  <c r="DV46" i="190"/>
  <c r="C62" i="49" l="1"/>
  <c r="I63" i="49"/>
  <c r="O863" i="210"/>
  <c r="O864" i="210" s="1"/>
  <c r="I910" i="210" s="1"/>
  <c r="I909" i="210" s="1"/>
  <c r="D3642" i="209"/>
  <c r="G3642" i="209" s="1"/>
  <c r="K97" i="44"/>
  <c r="I954" i="210"/>
  <c r="O954" i="210" s="1"/>
  <c r="O940" i="210"/>
  <c r="I986" i="210" s="1"/>
  <c r="DR63" i="190"/>
  <c r="K868" i="210"/>
  <c r="K867" i="210" s="1"/>
  <c r="K2098" i="209" s="1"/>
  <c r="K860" i="210"/>
  <c r="K859" i="210" s="1"/>
  <c r="K2092" i="209" s="1"/>
  <c r="O2937" i="209"/>
  <c r="I3051" i="209" s="1"/>
  <c r="O3051" i="209" s="1"/>
  <c r="O2940" i="209"/>
  <c r="G85" i="43" s="1"/>
  <c r="O2881" i="209"/>
  <c r="I2995" i="209" s="1"/>
  <c r="O2933" i="209"/>
  <c r="G78" i="43" s="1"/>
  <c r="G74" i="44"/>
  <c r="K3044" i="209"/>
  <c r="D3158" i="209"/>
  <c r="G3158" i="209" s="1"/>
  <c r="O2930" i="209"/>
  <c r="O2934" i="209"/>
  <c r="G79" i="43" s="1"/>
  <c r="D517" i="210"/>
  <c r="O471" i="210"/>
  <c r="D3113" i="209"/>
  <c r="G3113" i="209" s="1"/>
  <c r="K2999" i="209"/>
  <c r="G33" i="44"/>
  <c r="D3165" i="209"/>
  <c r="G3165" i="209" s="1"/>
  <c r="K3051" i="209"/>
  <c r="G81" i="44"/>
  <c r="D3110" i="209"/>
  <c r="G3110" i="209" s="1"/>
  <c r="K2996" i="209"/>
  <c r="G30" i="44"/>
  <c r="K910" i="210"/>
  <c r="K909" i="210" s="1"/>
  <c r="M94" i="43"/>
  <c r="I3747" i="209"/>
  <c r="O3747" i="209" s="1"/>
  <c r="D3112" i="209"/>
  <c r="G3112" i="209" s="1"/>
  <c r="K2998" i="209"/>
  <c r="G32" i="44"/>
  <c r="D3167" i="209"/>
  <c r="G3167" i="209" s="1"/>
  <c r="K3053" i="209"/>
  <c r="G83" i="44"/>
  <c r="D1278" i="209"/>
  <c r="G1272" i="209"/>
  <c r="BH79" i="190"/>
  <c r="BG80" i="190"/>
  <c r="BG82" i="190" s="1"/>
  <c r="BG85" i="190" s="1"/>
  <c r="BM67" i="190"/>
  <c r="BL73" i="190"/>
  <c r="D3109" i="209"/>
  <c r="G3109" i="209" s="1"/>
  <c r="K2995" i="209"/>
  <c r="G29" i="44"/>
  <c r="M21" i="43"/>
  <c r="I3671" i="209"/>
  <c r="O3671" i="209" s="1"/>
  <c r="M17" i="43"/>
  <c r="I3667" i="209"/>
  <c r="O3667" i="209" s="1"/>
  <c r="O985" i="210"/>
  <c r="I1031" i="210" s="1"/>
  <c r="I996" i="210"/>
  <c r="O996" i="210" s="1"/>
  <c r="M26" i="43"/>
  <c r="I3676" i="209"/>
  <c r="O3676" i="209" s="1"/>
  <c r="G985" i="210"/>
  <c r="D1031" i="210" s="1"/>
  <c r="D996" i="210"/>
  <c r="G996" i="210" s="1"/>
  <c r="D3166" i="209"/>
  <c r="G3166" i="209" s="1"/>
  <c r="K3052" i="209"/>
  <c r="G82" i="44"/>
  <c r="F51" i="43"/>
  <c r="I2903" i="209"/>
  <c r="O2903" i="209" s="1"/>
  <c r="O2928" i="209"/>
  <c r="O2883" i="209"/>
  <c r="DW46" i="190"/>
  <c r="DV60" i="190"/>
  <c r="F50" i="43"/>
  <c r="I2902" i="209"/>
  <c r="O2902" i="209" s="1"/>
  <c r="M34" i="43"/>
  <c r="I3684" i="209"/>
  <c r="O3684" i="209" s="1"/>
  <c r="D3442" i="209"/>
  <c r="G3442" i="209" s="1"/>
  <c r="J20" i="44"/>
  <c r="M66" i="170"/>
  <c r="X65" i="170"/>
  <c r="Y65" i="170" s="1"/>
  <c r="O1072" i="209"/>
  <c r="I1083" i="209"/>
  <c r="I1123" i="209" s="1"/>
  <c r="I1127" i="209" s="1"/>
  <c r="D1445" i="209"/>
  <c r="G1345" i="209"/>
  <c r="G71" i="27"/>
  <c r="G85" i="27" s="1"/>
  <c r="D3164" i="209"/>
  <c r="G3164" i="209" s="1"/>
  <c r="K3050" i="209"/>
  <c r="G80" i="44"/>
  <c r="M77" i="43"/>
  <c r="I3730" i="209"/>
  <c r="O3730" i="209" s="1"/>
  <c r="D3107" i="209"/>
  <c r="G3107" i="209" s="1"/>
  <c r="K2993" i="209"/>
  <c r="G27" i="44"/>
  <c r="I487" i="210"/>
  <c r="O487" i="210" s="1"/>
  <c r="O488" i="210" s="1"/>
  <c r="I534" i="210" s="1"/>
  <c r="D3134" i="209"/>
  <c r="G3134" i="209" s="1"/>
  <c r="K3020" i="209"/>
  <c r="G54" i="44"/>
  <c r="D3443" i="209"/>
  <c r="G3443" i="209" s="1"/>
  <c r="J21" i="44"/>
  <c r="F43" i="43"/>
  <c r="I2895" i="209"/>
  <c r="O2895" i="209" s="1"/>
  <c r="J48" i="155"/>
  <c r="K48" i="155" s="1"/>
  <c r="H49" i="155"/>
  <c r="X130" i="170"/>
  <c r="Y130" i="170" s="1"/>
  <c r="M131" i="170"/>
  <c r="F76" i="43"/>
  <c r="I2931" i="209"/>
  <c r="O2931" i="209" s="1"/>
  <c r="F28" i="43"/>
  <c r="I2880" i="209"/>
  <c r="O2880" i="209" s="1"/>
  <c r="H139" i="196"/>
  <c r="M139" i="196" s="1"/>
  <c r="M25" i="196"/>
  <c r="O2898" i="209"/>
  <c r="M20" i="43"/>
  <c r="I3670" i="209"/>
  <c r="O3670" i="209" s="1"/>
  <c r="O2900" i="209"/>
  <c r="D1359" i="209"/>
  <c r="G1250" i="209"/>
  <c r="F94" i="27"/>
  <c r="F99" i="27" s="1"/>
  <c r="G90" i="42"/>
  <c r="G91" i="42" s="1"/>
  <c r="I1348" i="209"/>
  <c r="O1235" i="209"/>
  <c r="G26" i="42"/>
  <c r="I1281" i="209"/>
  <c r="D3129" i="209"/>
  <c r="G3129" i="209" s="1"/>
  <c r="K3015" i="209"/>
  <c r="G49" i="44"/>
  <c r="G16" i="42"/>
  <c r="G22" i="42" s="1"/>
  <c r="I1272" i="209"/>
  <c r="O1164" i="209"/>
  <c r="D3456" i="209"/>
  <c r="G3456" i="209" s="1"/>
  <c r="J34" i="44"/>
  <c r="O2889" i="209"/>
  <c r="D3157" i="209"/>
  <c r="G3157" i="209" s="1"/>
  <c r="K3043" i="209"/>
  <c r="G73" i="44"/>
  <c r="G1072" i="209"/>
  <c r="D1083" i="209"/>
  <c r="D1123" i="209" s="1"/>
  <c r="D1127" i="209" s="1"/>
  <c r="DV14" i="190"/>
  <c r="DW13" i="190"/>
  <c r="K3054" i="209"/>
  <c r="D3168" i="209"/>
  <c r="G3168" i="209" s="1"/>
  <c r="G84" i="44"/>
  <c r="O2885" i="209"/>
  <c r="I1004" i="210"/>
  <c r="O1004" i="210" s="1"/>
  <c r="O987" i="210"/>
  <c r="I1033" i="210" s="1"/>
  <c r="C139" i="196"/>
  <c r="F139" i="196" s="1"/>
  <c r="F25" i="196"/>
  <c r="D3130" i="209"/>
  <c r="G3130" i="209" s="1"/>
  <c r="K3016" i="209"/>
  <c r="G50" i="44"/>
  <c r="D1462" i="209"/>
  <c r="G1349" i="209"/>
  <c r="G88" i="27"/>
  <c r="G89" i="27" s="1"/>
  <c r="D3156" i="209"/>
  <c r="G3156" i="209" s="1"/>
  <c r="K3042" i="209"/>
  <c r="G72" i="44"/>
  <c r="D3505" i="209"/>
  <c r="G3505" i="209" s="1"/>
  <c r="J79" i="44"/>
  <c r="D3115" i="209"/>
  <c r="G3115" i="209" s="1"/>
  <c r="K3001" i="209"/>
  <c r="G35" i="44"/>
  <c r="D1008" i="210"/>
  <c r="G1008" i="210" s="1"/>
  <c r="G988" i="210"/>
  <c r="D1034" i="210" s="1"/>
  <c r="H48" i="154"/>
  <c r="I44" i="154"/>
  <c r="J44" i="154"/>
  <c r="K44" i="154" s="1"/>
  <c r="O2906" i="209"/>
  <c r="K3045" i="209"/>
  <c r="D3159" i="209"/>
  <c r="G3159" i="209" s="1"/>
  <c r="G75" i="44"/>
  <c r="D3440" i="209"/>
  <c r="G3440" i="209" s="1"/>
  <c r="J18" i="44"/>
  <c r="O2879" i="209"/>
  <c r="D3128" i="209"/>
  <c r="G3128" i="209" s="1"/>
  <c r="K3014" i="209"/>
  <c r="G48" i="44"/>
  <c r="N42" i="42"/>
  <c r="I2095" i="209"/>
  <c r="O2095" i="209" s="1"/>
  <c r="K3008" i="209"/>
  <c r="D3122" i="209"/>
  <c r="G3122" i="209" s="1"/>
  <c r="G42" i="44"/>
  <c r="D3127" i="209"/>
  <c r="G3127" i="209" s="1"/>
  <c r="K3013" i="209"/>
  <c r="G47" i="44"/>
  <c r="F40" i="43"/>
  <c r="I2892" i="209"/>
  <c r="O2892" i="209" s="1"/>
  <c r="O483" i="210"/>
  <c r="I524" i="210"/>
  <c r="BH77" i="190"/>
  <c r="BL75" i="190"/>
  <c r="D3119" i="209"/>
  <c r="G3119" i="209" s="1"/>
  <c r="K3005" i="209"/>
  <c r="G39" i="44"/>
  <c r="D3502" i="209"/>
  <c r="G3502" i="209" s="1"/>
  <c r="J76" i="44"/>
  <c r="D3325" i="209"/>
  <c r="G3325" i="209" s="1"/>
  <c r="I17" i="44"/>
  <c r="D3132" i="209"/>
  <c r="G3132" i="209" s="1"/>
  <c r="K3018" i="209"/>
  <c r="G52" i="44"/>
  <c r="M19" i="43"/>
  <c r="I3669" i="209"/>
  <c r="O3669" i="209" s="1"/>
  <c r="D3458" i="209"/>
  <c r="G3458" i="209" s="1"/>
  <c r="J36" i="44"/>
  <c r="D913" i="210"/>
  <c r="G913" i="210" s="1"/>
  <c r="G914" i="210" s="1"/>
  <c r="D960" i="210" s="1"/>
  <c r="EA15" i="190"/>
  <c r="DW45" i="190"/>
  <c r="O813" i="210"/>
  <c r="O814" i="210" s="1"/>
  <c r="I860" i="210" s="1"/>
  <c r="I859" i="210" s="1"/>
  <c r="O2882" i="209"/>
  <c r="D3162" i="209"/>
  <c r="G3162" i="209" s="1"/>
  <c r="K3048" i="209"/>
  <c r="G78" i="44"/>
  <c r="M56" i="171"/>
  <c r="X55" i="171"/>
  <c r="Y55" i="171" s="1"/>
  <c r="F47" i="43"/>
  <c r="I2899" i="209"/>
  <c r="O2899" i="209" s="1"/>
  <c r="O2905" i="209"/>
  <c r="O1331" i="209"/>
  <c r="I1345" i="209"/>
  <c r="D3467" i="209"/>
  <c r="G3467" i="209" s="1"/>
  <c r="J45" i="44"/>
  <c r="I1008" i="210"/>
  <c r="O1008" i="210" s="1"/>
  <c r="O988" i="210"/>
  <c r="I1034" i="210" s="1"/>
  <c r="X130" i="171"/>
  <c r="Y130" i="171" s="1"/>
  <c r="M131" i="171"/>
  <c r="D923" i="209"/>
  <c r="O868" i="209"/>
  <c r="D3441" i="209"/>
  <c r="G3441" i="209" s="1"/>
  <c r="J19" i="44"/>
  <c r="D3108" i="209"/>
  <c r="G3108" i="209" s="1"/>
  <c r="K2994" i="209"/>
  <c r="G28" i="44"/>
  <c r="D532" i="210"/>
  <c r="G532" i="210" s="1"/>
  <c r="G524" i="210"/>
  <c r="D529" i="210"/>
  <c r="M80" i="43"/>
  <c r="I3733" i="209"/>
  <c r="O3733" i="209" s="1"/>
  <c r="D905" i="210"/>
  <c r="G905" i="210" s="1"/>
  <c r="G906" i="210" s="1"/>
  <c r="D952" i="210" s="1"/>
  <c r="DW6" i="190"/>
  <c r="DV12" i="190"/>
  <c r="M39" i="42"/>
  <c r="I1978" i="209"/>
  <c r="O1978" i="209" s="1"/>
  <c r="G81" i="43"/>
  <c r="I3050" i="209"/>
  <c r="O3050" i="209" s="1"/>
  <c r="M18" i="43"/>
  <c r="I3668" i="209"/>
  <c r="O3668" i="209" s="1"/>
  <c r="D3460" i="209"/>
  <c r="G3460" i="209" s="1"/>
  <c r="J38" i="44"/>
  <c r="K3047" i="209"/>
  <c r="D3161" i="209"/>
  <c r="G3161" i="209" s="1"/>
  <c r="G77" i="44"/>
  <c r="D3133" i="209"/>
  <c r="G3133" i="209" s="1"/>
  <c r="K3019" i="209"/>
  <c r="G53" i="44"/>
  <c r="O2894" i="209"/>
  <c r="D3463" i="209"/>
  <c r="G3463" i="209" s="1"/>
  <c r="J41" i="44"/>
  <c r="O2929" i="209"/>
  <c r="D1046" i="210"/>
  <c r="G1046" i="210" s="1"/>
  <c r="G1032" i="210"/>
  <c r="D1078" i="210" s="1"/>
  <c r="K3009" i="209"/>
  <c r="D3123" i="209"/>
  <c r="G3123" i="209" s="1"/>
  <c r="G43" i="44"/>
  <c r="O2891" i="209"/>
  <c r="K2099" i="209"/>
  <c r="O2099" i="209" s="1"/>
  <c r="O871" i="210"/>
  <c r="O872" i="210" s="1"/>
  <c r="I918" i="210" s="1"/>
  <c r="I917" i="210" s="1"/>
  <c r="O2901" i="209"/>
  <c r="F83" i="43"/>
  <c r="I2938" i="209"/>
  <c r="O2938" i="209" s="1"/>
  <c r="D3111" i="209"/>
  <c r="G3111" i="209" s="1"/>
  <c r="K2997" i="209"/>
  <c r="G31" i="44"/>
  <c r="K3003" i="209"/>
  <c r="D3117" i="209"/>
  <c r="G3117" i="209" s="1"/>
  <c r="G37" i="44"/>
  <c r="G32" i="43"/>
  <c r="I2998" i="209"/>
  <c r="O2998" i="209" s="1"/>
  <c r="G1281" i="209"/>
  <c r="G35" i="43"/>
  <c r="I3001" i="209"/>
  <c r="O3001" i="209" s="1"/>
  <c r="D3120" i="209"/>
  <c r="G3120" i="209" s="1"/>
  <c r="K3006" i="209"/>
  <c r="G40" i="44"/>
  <c r="D3126" i="209"/>
  <c r="G3126" i="209" s="1"/>
  <c r="K3012" i="209"/>
  <c r="G46" i="44"/>
  <c r="G987" i="210"/>
  <c r="D1033" i="210" s="1"/>
  <c r="D1004" i="210"/>
  <c r="G1004" i="210" s="1"/>
  <c r="F84" i="43"/>
  <c r="I2939" i="209"/>
  <c r="O2939" i="209" s="1"/>
  <c r="D955" i="210"/>
  <c r="G955" i="210" s="1"/>
  <c r="G956" i="210" s="1"/>
  <c r="D1002" i="210" s="1"/>
  <c r="O1245" i="209"/>
  <c r="I1250" i="209"/>
  <c r="H84" i="196" s="1"/>
  <c r="M84" i="196" s="1"/>
  <c r="O2904" i="209"/>
  <c r="DW61" i="190"/>
  <c r="DV62" i="190"/>
  <c r="D3448" i="209"/>
  <c r="G3448" i="209" s="1"/>
  <c r="J26" i="44"/>
  <c r="D3131" i="209"/>
  <c r="G3131" i="209" s="1"/>
  <c r="K3017" i="209"/>
  <c r="G51" i="44"/>
  <c r="K918" i="210"/>
  <c r="K917" i="210" s="1"/>
  <c r="K2213" i="209" s="1"/>
  <c r="D917" i="210"/>
  <c r="G917" i="210" s="1"/>
  <c r="G918" i="210" s="1"/>
  <c r="D964" i="210" s="1"/>
  <c r="I64" i="49" l="1"/>
  <c r="C63" i="49"/>
  <c r="O867" i="210"/>
  <c r="O868" i="210" s="1"/>
  <c r="I914" i="210" s="1"/>
  <c r="I913" i="210" s="1"/>
  <c r="O859" i="210"/>
  <c r="O860" i="210" s="1"/>
  <c r="I906" i="210" s="1"/>
  <c r="I905" i="210" s="1"/>
  <c r="K99" i="44"/>
  <c r="D3756" i="209"/>
  <c r="G3756" i="209" s="1"/>
  <c r="L97" i="44"/>
  <c r="L99" i="44" s="1"/>
  <c r="I3054" i="209"/>
  <c r="G29" i="43"/>
  <c r="G82" i="43"/>
  <c r="O986" i="210"/>
  <c r="I1032" i="210" s="1"/>
  <c r="I1000" i="210"/>
  <c r="O1000" i="210" s="1"/>
  <c r="I3047" i="209"/>
  <c r="I3048" i="209"/>
  <c r="O3048" i="209" s="1"/>
  <c r="H79" i="43" s="1"/>
  <c r="O3054" i="209"/>
  <c r="O2995" i="209"/>
  <c r="H29" i="43" s="1"/>
  <c r="G75" i="43"/>
  <c r="I3044" i="209"/>
  <c r="O3044" i="209" s="1"/>
  <c r="O3047" i="209"/>
  <c r="I3161" i="209" s="1"/>
  <c r="O3161" i="209" s="1"/>
  <c r="H74" i="44"/>
  <c r="D3272" i="209"/>
  <c r="G3272" i="209" s="1"/>
  <c r="K3158" i="209"/>
  <c r="N18" i="43"/>
  <c r="I3782" i="209"/>
  <c r="O3782" i="209" s="1"/>
  <c r="G54" i="43"/>
  <c r="I3020" i="209"/>
  <c r="O3020" i="209" s="1"/>
  <c r="G37" i="43"/>
  <c r="I3003" i="209"/>
  <c r="O3003" i="209" s="1"/>
  <c r="D3248" i="209"/>
  <c r="G3248" i="209" s="1"/>
  <c r="K3134" i="209"/>
  <c r="H54" i="44"/>
  <c r="D3562" i="209"/>
  <c r="G3562" i="209" s="1"/>
  <c r="K26" i="44"/>
  <c r="D963" i="210"/>
  <c r="G963" i="210" s="1"/>
  <c r="G964" i="210" s="1"/>
  <c r="D1010" i="210" s="1"/>
  <c r="G52" i="43"/>
  <c r="I3018" i="209"/>
  <c r="O3018" i="209" s="1"/>
  <c r="G84" i="43"/>
  <c r="I3053" i="209"/>
  <c r="O3053" i="209" s="1"/>
  <c r="D3240" i="209"/>
  <c r="G3240" i="209" s="1"/>
  <c r="K3126" i="209"/>
  <c r="H46" i="44"/>
  <c r="D3237" i="209"/>
  <c r="G3237" i="209" s="1"/>
  <c r="K3123" i="209"/>
  <c r="H43" i="44"/>
  <c r="D3577" i="209"/>
  <c r="G3577" i="209" s="1"/>
  <c r="K41" i="44"/>
  <c r="N39" i="42"/>
  <c r="I2092" i="209"/>
  <c r="O2092" i="209" s="1"/>
  <c r="I1054" i="210"/>
  <c r="O1054" i="210" s="1"/>
  <c r="O1034" i="210"/>
  <c r="I1080" i="210" s="1"/>
  <c r="G47" i="43"/>
  <c r="I3013" i="209"/>
  <c r="O3013" i="209" s="1"/>
  <c r="O46" i="42"/>
  <c r="I2213" i="209"/>
  <c r="O2213" i="209" s="1"/>
  <c r="I532" i="210"/>
  <c r="O532" i="210" s="1"/>
  <c r="O524" i="210"/>
  <c r="I529" i="210"/>
  <c r="D1054" i="210"/>
  <c r="G1054" i="210" s="1"/>
  <c r="G1034" i="210"/>
  <c r="D1080" i="210" s="1"/>
  <c r="D3271" i="209"/>
  <c r="G3271" i="209" s="1"/>
  <c r="K3157" i="209"/>
  <c r="H73" i="44"/>
  <c r="D3243" i="209"/>
  <c r="G3243" i="209" s="1"/>
  <c r="K3129" i="209"/>
  <c r="H49" i="44"/>
  <c r="O1348" i="209"/>
  <c r="I1349" i="209"/>
  <c r="G48" i="43"/>
  <c r="I3014" i="209"/>
  <c r="O3014" i="209" s="1"/>
  <c r="G28" i="43"/>
  <c r="I2994" i="209"/>
  <c r="O2994" i="209" s="1"/>
  <c r="D3221" i="209"/>
  <c r="G3221" i="209" s="1"/>
  <c r="K3107" i="209"/>
  <c r="H27" i="44"/>
  <c r="G50" i="43"/>
  <c r="I3016" i="209"/>
  <c r="O3016" i="209" s="1"/>
  <c r="G51" i="43"/>
  <c r="I3017" i="209"/>
  <c r="O3017" i="209" s="1"/>
  <c r="D3224" i="209"/>
  <c r="G3224" i="209" s="1"/>
  <c r="K3110" i="209"/>
  <c r="H30" i="44"/>
  <c r="D533" i="210"/>
  <c r="G533" i="210" s="1"/>
  <c r="D3574" i="209"/>
  <c r="G3574" i="209" s="1"/>
  <c r="K38" i="44"/>
  <c r="D3222" i="209"/>
  <c r="G3222" i="209" s="1"/>
  <c r="K3108" i="209"/>
  <c r="H28" i="44"/>
  <c r="D3246" i="209"/>
  <c r="G3246" i="209" s="1"/>
  <c r="K3132" i="209"/>
  <c r="H52" i="44"/>
  <c r="H82" i="43"/>
  <c r="I3165" i="209"/>
  <c r="D3270" i="209"/>
  <c r="G3270" i="209" s="1"/>
  <c r="K3156" i="209"/>
  <c r="H72" i="44"/>
  <c r="F38" i="200"/>
  <c r="F42" i="200" s="1"/>
  <c r="N20" i="43"/>
  <c r="I3784" i="209"/>
  <c r="O3784" i="209" s="1"/>
  <c r="G43" i="43"/>
  <c r="I3009" i="209"/>
  <c r="O3009" i="209" s="1"/>
  <c r="N77" i="43"/>
  <c r="I3844" i="209"/>
  <c r="O3844" i="209" s="1"/>
  <c r="D3223" i="209"/>
  <c r="G3223" i="209" s="1"/>
  <c r="K3109" i="209"/>
  <c r="H29" i="44"/>
  <c r="D3227" i="209"/>
  <c r="G3227" i="209" s="1"/>
  <c r="K3113" i="209"/>
  <c r="H33" i="44"/>
  <c r="K3117" i="209"/>
  <c r="D3231" i="209"/>
  <c r="G3231" i="209" s="1"/>
  <c r="H37" i="44"/>
  <c r="D3581" i="209"/>
  <c r="G3581" i="209" s="1"/>
  <c r="K45" i="44"/>
  <c r="EA45" i="190"/>
  <c r="EB15" i="190"/>
  <c r="G40" i="43"/>
  <c r="I3006" i="209"/>
  <c r="O3006" i="209" s="1"/>
  <c r="O1281" i="209"/>
  <c r="O1031" i="210"/>
  <c r="I1077" i="210" s="1"/>
  <c r="I1042" i="210"/>
  <c r="O1042" i="210" s="1"/>
  <c r="D3226" i="209"/>
  <c r="G3226" i="209" s="1"/>
  <c r="K3112" i="209"/>
  <c r="H32" i="44"/>
  <c r="K3120" i="209"/>
  <c r="D3234" i="209"/>
  <c r="G3234" i="209" s="1"/>
  <c r="H40" i="44"/>
  <c r="D1395" i="209"/>
  <c r="G25" i="27"/>
  <c r="G49" i="43"/>
  <c r="I3015" i="209"/>
  <c r="O3015" i="209" s="1"/>
  <c r="G42" i="43"/>
  <c r="I3008" i="209"/>
  <c r="O3008" i="209" s="1"/>
  <c r="K3161" i="209"/>
  <c r="D3275" i="209"/>
  <c r="G3275" i="209" s="1"/>
  <c r="H77" i="44"/>
  <c r="D3555" i="209"/>
  <c r="G3555" i="209" s="1"/>
  <c r="K19" i="44"/>
  <c r="X56" i="171"/>
  <c r="Y56" i="171" s="1"/>
  <c r="M57" i="171"/>
  <c r="D959" i="210"/>
  <c r="G959" i="210" s="1"/>
  <c r="G960" i="210" s="1"/>
  <c r="D1006" i="210" s="1"/>
  <c r="D3616" i="209"/>
  <c r="G3616" i="209" s="1"/>
  <c r="K76" i="44"/>
  <c r="D3236" i="209"/>
  <c r="G3236" i="209" s="1"/>
  <c r="K3122" i="209"/>
  <c r="H42" i="44"/>
  <c r="D3554" i="209"/>
  <c r="G3554" i="209" s="1"/>
  <c r="K18" i="44"/>
  <c r="G76" i="43"/>
  <c r="I3045" i="209"/>
  <c r="O3045" i="209" s="1"/>
  <c r="X66" i="170"/>
  <c r="Y66" i="170" s="1"/>
  <c r="M67" i="170"/>
  <c r="EA46" i="190"/>
  <c r="DW60" i="190"/>
  <c r="N17" i="43"/>
  <c r="I3781" i="209"/>
  <c r="O3781" i="209" s="1"/>
  <c r="BM73" i="190"/>
  <c r="BQ67" i="190"/>
  <c r="N94" i="43"/>
  <c r="I3861" i="209"/>
  <c r="O3861" i="209" s="1"/>
  <c r="DW62" i="190"/>
  <c r="EA61" i="190"/>
  <c r="H35" i="43"/>
  <c r="I3115" i="209"/>
  <c r="O917" i="210"/>
  <c r="O918" i="210" s="1"/>
  <c r="I964" i="210" s="1"/>
  <c r="I963" i="210" s="1"/>
  <c r="DV63" i="190"/>
  <c r="H73" i="42"/>
  <c r="H87" i="42" s="1"/>
  <c r="O1345" i="209"/>
  <c r="I1445" i="209"/>
  <c r="D3276" i="209"/>
  <c r="G3276" i="209" s="1"/>
  <c r="K3162" i="209"/>
  <c r="H78" i="44"/>
  <c r="K914" i="210"/>
  <c r="K913" i="210" s="1"/>
  <c r="D3229" i="209"/>
  <c r="G3229" i="209" s="1"/>
  <c r="K3115" i="209"/>
  <c r="H35" i="44"/>
  <c r="G1462" i="209"/>
  <c r="D1463" i="209"/>
  <c r="G33" i="43"/>
  <c r="I2999" i="209"/>
  <c r="O2999" i="209" s="1"/>
  <c r="DW14" i="190"/>
  <c r="EA13" i="190"/>
  <c r="D1138" i="209"/>
  <c r="C26" i="196"/>
  <c r="O1272" i="209"/>
  <c r="I1278" i="209"/>
  <c r="G31" i="43"/>
  <c r="I2997" i="209"/>
  <c r="O2997" i="209" s="1"/>
  <c r="D3280" i="209"/>
  <c r="G3280" i="209" s="1"/>
  <c r="K3166" i="209"/>
  <c r="H82" i="44"/>
  <c r="I517" i="210"/>
  <c r="G517" i="210"/>
  <c r="N80" i="43"/>
  <c r="I3847" i="209"/>
  <c r="O3847" i="209" s="1"/>
  <c r="H32" i="43"/>
  <c r="I3112" i="209"/>
  <c r="O3112" i="209" s="1"/>
  <c r="D1092" i="210"/>
  <c r="G1092" i="210" s="1"/>
  <c r="G1078" i="210"/>
  <c r="D1124" i="210" s="1"/>
  <c r="D3245" i="209"/>
  <c r="G3245" i="209" s="1"/>
  <c r="K3131" i="209"/>
  <c r="H51" i="44"/>
  <c r="G100" i="42"/>
  <c r="G105" i="42" s="1"/>
  <c r="I1359" i="209"/>
  <c r="O1250" i="209"/>
  <c r="D1050" i="210"/>
  <c r="G1050" i="210" s="1"/>
  <c r="G1033" i="210"/>
  <c r="D1079" i="210" s="1"/>
  <c r="DW12" i="190"/>
  <c r="EA6" i="190"/>
  <c r="D570" i="210"/>
  <c r="G529" i="210"/>
  <c r="I923" i="209"/>
  <c r="G923" i="209"/>
  <c r="D982" i="209"/>
  <c r="I982" i="209" s="1"/>
  <c r="G30" i="43"/>
  <c r="I2996" i="209"/>
  <c r="O2996" i="209" s="1"/>
  <c r="D3242" i="209"/>
  <c r="G3242" i="209" s="1"/>
  <c r="K3128" i="209"/>
  <c r="H48" i="44"/>
  <c r="J48" i="154"/>
  <c r="K48" i="154" s="1"/>
  <c r="H49" i="154"/>
  <c r="D1186" i="209"/>
  <c r="E44" i="27"/>
  <c r="E55" i="27" s="1"/>
  <c r="E91" i="27" s="1"/>
  <c r="E101" i="27" s="1"/>
  <c r="G1083" i="209"/>
  <c r="G1123" i="209" s="1"/>
  <c r="G1127" i="209" s="1"/>
  <c r="G1138" i="209" s="1"/>
  <c r="D3570" i="209"/>
  <c r="G3570" i="209" s="1"/>
  <c r="K34" i="44"/>
  <c r="D1364" i="209"/>
  <c r="C85" i="196" s="1"/>
  <c r="F85" i="196" s="1"/>
  <c r="G1359" i="209"/>
  <c r="G46" i="43"/>
  <c r="I3012" i="209"/>
  <c r="O3012" i="209" s="1"/>
  <c r="M132" i="170"/>
  <c r="X131" i="170"/>
  <c r="Y131" i="170" s="1"/>
  <c r="D3278" i="209"/>
  <c r="G3278" i="209" s="1"/>
  <c r="K3164" i="209"/>
  <c r="H80" i="44"/>
  <c r="D1459" i="209"/>
  <c r="G1445" i="209"/>
  <c r="D3556" i="209"/>
  <c r="G3556" i="209" s="1"/>
  <c r="K20" i="44"/>
  <c r="G73" i="43"/>
  <c r="I3042" i="209"/>
  <c r="O3042" i="209" s="1"/>
  <c r="N21" i="43"/>
  <c r="I3785" i="209"/>
  <c r="O3785" i="209" s="1"/>
  <c r="BH80" i="190"/>
  <c r="BH82" i="190" s="1"/>
  <c r="BH85" i="190" s="1"/>
  <c r="BL79" i="190"/>
  <c r="D3281" i="209"/>
  <c r="G3281" i="209" s="1"/>
  <c r="K3167" i="209"/>
  <c r="H83" i="44"/>
  <c r="K2209" i="209"/>
  <c r="O909" i="210"/>
  <c r="O910" i="210" s="1"/>
  <c r="I956" i="210" s="1"/>
  <c r="I955" i="210" s="1"/>
  <c r="H85" i="43"/>
  <c r="I3168" i="209"/>
  <c r="I1050" i="210"/>
  <c r="O1050" i="210" s="1"/>
  <c r="O1033" i="210"/>
  <c r="I1079" i="210" s="1"/>
  <c r="D1001" i="210"/>
  <c r="G1001" i="210" s="1"/>
  <c r="G1002" i="210" s="1"/>
  <c r="D1048" i="210" s="1"/>
  <c r="D3225" i="209"/>
  <c r="G3225" i="209" s="1"/>
  <c r="K3111" i="209"/>
  <c r="H31" i="44"/>
  <c r="G39" i="43"/>
  <c r="I3005" i="209"/>
  <c r="O3005" i="209" s="1"/>
  <c r="G74" i="43"/>
  <c r="I3043" i="209"/>
  <c r="O3043" i="209" s="1"/>
  <c r="H81" i="43"/>
  <c r="I3164" i="209"/>
  <c r="D951" i="210"/>
  <c r="G951" i="210" s="1"/>
  <c r="G952" i="210" s="1"/>
  <c r="D998" i="210" s="1"/>
  <c r="G534" i="210"/>
  <c r="D580" i="210" s="1"/>
  <c r="M132" i="171"/>
  <c r="X131" i="171"/>
  <c r="Y131" i="171" s="1"/>
  <c r="G53" i="43"/>
  <c r="I3019" i="209"/>
  <c r="O3019" i="209" s="1"/>
  <c r="D3572" i="209"/>
  <c r="G3572" i="209" s="1"/>
  <c r="K36" i="44"/>
  <c r="BL77" i="190"/>
  <c r="BM75" i="190"/>
  <c r="D3241" i="209"/>
  <c r="G3241" i="209" s="1"/>
  <c r="K3127" i="209"/>
  <c r="H47" i="44"/>
  <c r="G27" i="43"/>
  <c r="I2993" i="209"/>
  <c r="O2993" i="209" s="1"/>
  <c r="D3619" i="209"/>
  <c r="G3619" i="209" s="1"/>
  <c r="K79" i="44"/>
  <c r="D3282" i="209"/>
  <c r="G3282" i="209" s="1"/>
  <c r="K3168" i="209"/>
  <c r="H84" i="44"/>
  <c r="D3557" i="209"/>
  <c r="G3557" i="209" s="1"/>
  <c r="K21" i="44"/>
  <c r="I1138" i="209"/>
  <c r="H26" i="196"/>
  <c r="N34" i="43"/>
  <c r="I3798" i="209"/>
  <c r="O3798" i="209" s="1"/>
  <c r="D1042" i="210"/>
  <c r="G1042" i="210" s="1"/>
  <c r="G1031" i="210"/>
  <c r="D1077" i="210" s="1"/>
  <c r="D1386" i="209"/>
  <c r="G1278" i="209"/>
  <c r="G16" i="27"/>
  <c r="G22" i="27" s="1"/>
  <c r="D3279" i="209"/>
  <c r="G3279" i="209" s="1"/>
  <c r="K3165" i="209"/>
  <c r="H81" i="44"/>
  <c r="K956" i="210"/>
  <c r="K955" i="210" s="1"/>
  <c r="K2323" i="209" s="1"/>
  <c r="G83" i="43"/>
  <c r="I3052" i="209"/>
  <c r="O3052" i="209" s="1"/>
  <c r="D3247" i="209"/>
  <c r="G3247" i="209" s="1"/>
  <c r="K3133" i="209"/>
  <c r="H53" i="44"/>
  <c r="K906" i="210"/>
  <c r="K905" i="210" s="1"/>
  <c r="K2206" i="209" s="1"/>
  <c r="N19" i="43"/>
  <c r="I3783" i="209"/>
  <c r="O3783" i="209" s="1"/>
  <c r="D3439" i="209"/>
  <c r="G3439" i="209" s="1"/>
  <c r="J17" i="44"/>
  <c r="D3233" i="209"/>
  <c r="G3233" i="209" s="1"/>
  <c r="K3119" i="209"/>
  <c r="H39" i="44"/>
  <c r="O42" i="42"/>
  <c r="I2209" i="209"/>
  <c r="K3159" i="209"/>
  <c r="D3273" i="209"/>
  <c r="G3273" i="209" s="1"/>
  <c r="H75" i="44"/>
  <c r="D3244" i="209"/>
  <c r="G3244" i="209" s="1"/>
  <c r="K3130" i="209"/>
  <c r="H50" i="44"/>
  <c r="J49" i="155"/>
  <c r="K49" i="155" s="1"/>
  <c r="H50" i="155"/>
  <c r="J50" i="155" s="1"/>
  <c r="K50" i="155" s="1"/>
  <c r="F45" i="42"/>
  <c r="F56" i="42" s="1"/>
  <c r="F93" i="42" s="1"/>
  <c r="F97" i="42" s="1"/>
  <c r="F107" i="42" s="1"/>
  <c r="I1186" i="209"/>
  <c r="O1083" i="209"/>
  <c r="O1123" i="209" s="1"/>
  <c r="O1127" i="209" s="1"/>
  <c r="O1138" i="209" s="1"/>
  <c r="N26" i="43"/>
  <c r="I3790" i="209"/>
  <c r="O3790" i="209" s="1"/>
  <c r="I65" i="49" l="1"/>
  <c r="C64" i="49"/>
  <c r="D3870" i="209"/>
  <c r="G3870" i="209" s="1"/>
  <c r="M97" i="44"/>
  <c r="M99" i="44" s="1"/>
  <c r="F20" i="224"/>
  <c r="F21" i="224" s="1"/>
  <c r="J23" i="224" s="1"/>
  <c r="J25" i="224" s="1"/>
  <c r="U28" i="219" s="1"/>
  <c r="F22" i="167"/>
  <c r="F15" i="167" s="1"/>
  <c r="I3109" i="209"/>
  <c r="O3109" i="209" s="1"/>
  <c r="I3162" i="209"/>
  <c r="I533" i="210"/>
  <c r="O533" i="210" s="1"/>
  <c r="I1046" i="210"/>
  <c r="O1046" i="210" s="1"/>
  <c r="O1032" i="210"/>
  <c r="I1078" i="210" s="1"/>
  <c r="H78" i="43"/>
  <c r="DW63" i="190"/>
  <c r="O3164" i="209"/>
  <c r="O3115" i="209"/>
  <c r="D3386" i="209"/>
  <c r="G3386" i="209" s="1"/>
  <c r="K3272" i="209"/>
  <c r="I74" i="44"/>
  <c r="H75" i="43"/>
  <c r="I3158" i="209"/>
  <c r="O3158" i="209" s="1"/>
  <c r="O3168" i="209"/>
  <c r="I85" i="43" s="1"/>
  <c r="K3233" i="209"/>
  <c r="D3347" i="209"/>
  <c r="G3347" i="209" s="1"/>
  <c r="I39" i="44"/>
  <c r="G1079" i="210"/>
  <c r="D1125" i="210" s="1"/>
  <c r="D1096" i="210"/>
  <c r="G1096" i="210" s="1"/>
  <c r="EB13" i="190"/>
  <c r="EA14" i="190"/>
  <c r="D3343" i="209"/>
  <c r="G3343" i="209" s="1"/>
  <c r="K3229" i="209"/>
  <c r="I35" i="44"/>
  <c r="K2212" i="209"/>
  <c r="O913" i="210"/>
  <c r="O914" i="210" s="1"/>
  <c r="I960" i="210" s="1"/>
  <c r="I959" i="210" s="1"/>
  <c r="EB45" i="190"/>
  <c r="EF15" i="190"/>
  <c r="D3384" i="209"/>
  <c r="G3384" i="209" s="1"/>
  <c r="K3270" i="209"/>
  <c r="I72" i="44"/>
  <c r="D3688" i="209"/>
  <c r="G3688" i="209" s="1"/>
  <c r="L38" i="44"/>
  <c r="H50" i="43"/>
  <c r="I3130" i="209"/>
  <c r="O3130" i="209" s="1"/>
  <c r="D3691" i="209"/>
  <c r="G3691" i="209" s="1"/>
  <c r="L41" i="44"/>
  <c r="H84" i="43"/>
  <c r="I3167" i="209"/>
  <c r="O3167" i="209" s="1"/>
  <c r="D1392" i="209"/>
  <c r="G1386" i="209"/>
  <c r="H74" i="43"/>
  <c r="I3157" i="209"/>
  <c r="O3157" i="209" s="1"/>
  <c r="H73" i="43"/>
  <c r="I3156" i="209"/>
  <c r="O3156" i="209" s="1"/>
  <c r="H46" i="43"/>
  <c r="I3126" i="209"/>
  <c r="O3126" i="209" s="1"/>
  <c r="D3684" i="209"/>
  <c r="G3684" i="209" s="1"/>
  <c r="L34" i="44"/>
  <c r="D3359" i="209"/>
  <c r="G3359" i="209" s="1"/>
  <c r="K3245" i="209"/>
  <c r="I51" i="44"/>
  <c r="I78" i="43"/>
  <c r="I3275" i="209"/>
  <c r="EA62" i="190"/>
  <c r="EB61" i="190"/>
  <c r="D3730" i="209"/>
  <c r="G3730" i="209" s="1"/>
  <c r="L76" i="44"/>
  <c r="D3669" i="209"/>
  <c r="G3669" i="209" s="1"/>
  <c r="L19" i="44"/>
  <c r="K3234" i="209"/>
  <c r="D3348" i="209"/>
  <c r="G3348" i="209" s="1"/>
  <c r="I40" i="44"/>
  <c r="H26" i="42"/>
  <c r="I1395" i="209"/>
  <c r="D3341" i="209"/>
  <c r="G3341" i="209" s="1"/>
  <c r="K3227" i="209"/>
  <c r="I33" i="44"/>
  <c r="H43" i="43"/>
  <c r="I3123" i="209"/>
  <c r="O3123" i="209" s="1"/>
  <c r="H90" i="42"/>
  <c r="H91" i="42" s="1"/>
  <c r="I1462" i="209"/>
  <c r="O1349" i="209"/>
  <c r="M126" i="195"/>
  <c r="M105" i="195"/>
  <c r="M101" i="195"/>
  <c r="M96" i="195"/>
  <c r="M76" i="195"/>
  <c r="M67" i="195"/>
  <c r="M128" i="195"/>
  <c r="M90" i="195"/>
  <c r="M79" i="195"/>
  <c r="M78" i="195"/>
  <c r="M106" i="195"/>
  <c r="M85" i="195"/>
  <c r="M77" i="195"/>
  <c r="M127" i="195"/>
  <c r="M73" i="195"/>
  <c r="M71" i="195"/>
  <c r="D3335" i="209"/>
  <c r="G3335" i="209" s="1"/>
  <c r="K3221" i="209"/>
  <c r="I27" i="44"/>
  <c r="F15" i="201"/>
  <c r="H52" i="43"/>
  <c r="I3132" i="209"/>
  <c r="O3132" i="209" s="1"/>
  <c r="D3358" i="209"/>
  <c r="G3358" i="209" s="1"/>
  <c r="K3244" i="209"/>
  <c r="I50" i="44"/>
  <c r="K1002" i="210"/>
  <c r="K1001" i="210" s="1"/>
  <c r="K2437" i="209" s="1"/>
  <c r="D3356" i="209"/>
  <c r="G3356" i="209" s="1"/>
  <c r="K3242" i="209"/>
  <c r="I48" i="44"/>
  <c r="O1359" i="209"/>
  <c r="I1364" i="209"/>
  <c r="H85" i="196" s="1"/>
  <c r="M85" i="196" s="1"/>
  <c r="D3394" i="209"/>
  <c r="G3394" i="209" s="1"/>
  <c r="K3280" i="209"/>
  <c r="I82" i="44"/>
  <c r="K3276" i="209"/>
  <c r="D3390" i="209"/>
  <c r="G3390" i="209" s="1"/>
  <c r="I78" i="44"/>
  <c r="O94" i="43"/>
  <c r="I3975" i="209"/>
  <c r="O3975" i="209" s="1"/>
  <c r="EB46" i="190"/>
  <c r="EA60" i="190"/>
  <c r="H76" i="43"/>
  <c r="I3159" i="209"/>
  <c r="O3159" i="209" s="1"/>
  <c r="K960" i="210"/>
  <c r="K959" i="210" s="1"/>
  <c r="K2326" i="209" s="1"/>
  <c r="H49" i="43"/>
  <c r="I3129" i="209"/>
  <c r="O3129" i="209" s="1"/>
  <c r="D3695" i="209"/>
  <c r="G3695" i="209" s="1"/>
  <c r="L45" i="44"/>
  <c r="O3162" i="209"/>
  <c r="D1100" i="210"/>
  <c r="G1100" i="210" s="1"/>
  <c r="G1080" i="210"/>
  <c r="D1126" i="210" s="1"/>
  <c r="I1100" i="210"/>
  <c r="O1100" i="210" s="1"/>
  <c r="O1080" i="210"/>
  <c r="I1126" i="210" s="1"/>
  <c r="K3237" i="209"/>
  <c r="D3351" i="209"/>
  <c r="G3351" i="209" s="1"/>
  <c r="I43" i="44"/>
  <c r="H54" i="43"/>
  <c r="I3134" i="209"/>
  <c r="O3134" i="209" s="1"/>
  <c r="H27" i="43"/>
  <c r="I3107" i="209"/>
  <c r="O3107" i="209" s="1"/>
  <c r="D3387" i="209"/>
  <c r="G3387" i="209" s="1"/>
  <c r="K3273" i="209"/>
  <c r="I75" i="44"/>
  <c r="G1077" i="210"/>
  <c r="D1123" i="210" s="1"/>
  <c r="D1088" i="210"/>
  <c r="G1088" i="210" s="1"/>
  <c r="X132" i="171"/>
  <c r="Y132" i="171" s="1"/>
  <c r="M133" i="171"/>
  <c r="H33" i="43"/>
  <c r="I3113" i="209"/>
  <c r="O3113" i="209" s="1"/>
  <c r="O2209" i="209"/>
  <c r="D3361" i="209"/>
  <c r="G3361" i="209" s="1"/>
  <c r="K3247" i="209"/>
  <c r="I53" i="44"/>
  <c r="O923" i="209"/>
  <c r="G982" i="209"/>
  <c r="K3279" i="209"/>
  <c r="D3393" i="209"/>
  <c r="G3393" i="209" s="1"/>
  <c r="I81" i="44"/>
  <c r="O34" i="43"/>
  <c r="I3912" i="209"/>
  <c r="O3912" i="209" s="1"/>
  <c r="D3671" i="209"/>
  <c r="G3671" i="209" s="1"/>
  <c r="L21" i="44"/>
  <c r="K3282" i="209"/>
  <c r="D3396" i="209"/>
  <c r="G3396" i="209" s="1"/>
  <c r="I84" i="44"/>
  <c r="D3355" i="209"/>
  <c r="G3355" i="209" s="1"/>
  <c r="K3241" i="209"/>
  <c r="I47" i="44"/>
  <c r="K952" i="210"/>
  <c r="K951" i="210" s="1"/>
  <c r="K2320" i="209" s="1"/>
  <c r="O1079" i="210"/>
  <c r="I1125" i="210" s="1"/>
  <c r="I1096" i="210"/>
  <c r="O1096" i="210" s="1"/>
  <c r="BL80" i="190"/>
  <c r="BL82" i="190" s="1"/>
  <c r="BL85" i="190" s="1"/>
  <c r="BM79" i="190"/>
  <c r="D3670" i="209"/>
  <c r="G3670" i="209" s="1"/>
  <c r="L20" i="44"/>
  <c r="G1186" i="209"/>
  <c r="D1197" i="209"/>
  <c r="D1237" i="209" s="1"/>
  <c r="D1241" i="209" s="1"/>
  <c r="I29" i="43"/>
  <c r="I3223" i="209"/>
  <c r="I32" i="43"/>
  <c r="I3226" i="209"/>
  <c r="H31" i="43"/>
  <c r="I3111" i="209"/>
  <c r="O3111" i="209" s="1"/>
  <c r="M68" i="170"/>
  <c r="X67" i="170"/>
  <c r="Y67" i="170" s="1"/>
  <c r="D3340" i="209"/>
  <c r="G3340" i="209" s="1"/>
  <c r="K3226" i="209"/>
  <c r="I32" i="44"/>
  <c r="O20" i="43"/>
  <c r="I3898" i="209"/>
  <c r="O3898" i="209" s="1"/>
  <c r="R78" i="78"/>
  <c r="R80" i="78" s="1"/>
  <c r="F44" i="200"/>
  <c r="O3165" i="209"/>
  <c r="D3336" i="209"/>
  <c r="G3336" i="209" s="1"/>
  <c r="K3222" i="209"/>
  <c r="I28" i="44"/>
  <c r="D3338" i="209"/>
  <c r="G3338" i="209" s="1"/>
  <c r="K3224" i="209"/>
  <c r="I30" i="44"/>
  <c r="H28" i="43"/>
  <c r="I3108" i="209"/>
  <c r="O3108" i="209" s="1"/>
  <c r="D3357" i="209"/>
  <c r="G3357" i="209" s="1"/>
  <c r="K3243" i="209"/>
  <c r="I49" i="44"/>
  <c r="O905" i="210"/>
  <c r="O906" i="210" s="1"/>
  <c r="I952" i="210" s="1"/>
  <c r="I951" i="210" s="1"/>
  <c r="K964" i="210"/>
  <c r="K963" i="210" s="1"/>
  <c r="K2327" i="209" s="1"/>
  <c r="D3553" i="209"/>
  <c r="G3553" i="209" s="1"/>
  <c r="K17" i="44"/>
  <c r="D3686" i="209"/>
  <c r="G3686" i="209" s="1"/>
  <c r="L36" i="44"/>
  <c r="D1047" i="210"/>
  <c r="G1047" i="210" s="1"/>
  <c r="G1048" i="210" s="1"/>
  <c r="D1094" i="210" s="1"/>
  <c r="D1005" i="210"/>
  <c r="G1005" i="210" s="1"/>
  <c r="G1006" i="210" s="1"/>
  <c r="D1052" i="210" s="1"/>
  <c r="BM77" i="190"/>
  <c r="BQ75" i="190"/>
  <c r="H53" i="43"/>
  <c r="I3133" i="209"/>
  <c r="O3133" i="209" s="1"/>
  <c r="D997" i="210"/>
  <c r="G997" i="210" s="1"/>
  <c r="G998" i="210" s="1"/>
  <c r="D1044" i="210" s="1"/>
  <c r="D1559" i="209"/>
  <c r="G1459" i="209"/>
  <c r="H71" i="27"/>
  <c r="H85" i="27" s="1"/>
  <c r="D3392" i="209"/>
  <c r="G3392" i="209" s="1"/>
  <c r="K3278" i="209"/>
  <c r="I80" i="44"/>
  <c r="D1473" i="209"/>
  <c r="G1364" i="209"/>
  <c r="G94" i="27"/>
  <c r="G99" i="27" s="1"/>
  <c r="O80" i="43"/>
  <c r="I3961" i="209"/>
  <c r="O3961" i="209" s="1"/>
  <c r="H16" i="42"/>
  <c r="H22" i="42" s="1"/>
  <c r="I1386" i="209"/>
  <c r="O1278" i="209"/>
  <c r="D1576" i="209"/>
  <c r="G1463" i="209"/>
  <c r="H88" i="27"/>
  <c r="H89" i="27" s="1"/>
  <c r="BQ73" i="190"/>
  <c r="BR67" i="190"/>
  <c r="M58" i="171"/>
  <c r="X57" i="171"/>
  <c r="Y57" i="171" s="1"/>
  <c r="K3275" i="209"/>
  <c r="D3389" i="209"/>
  <c r="G3389" i="209" s="1"/>
  <c r="I77" i="44"/>
  <c r="K3231" i="209"/>
  <c r="D3345" i="209"/>
  <c r="G3345" i="209" s="1"/>
  <c r="I37" i="44"/>
  <c r="D3337" i="209"/>
  <c r="G3337" i="209" s="1"/>
  <c r="K3223" i="209"/>
  <c r="I29" i="44"/>
  <c r="O77" i="43"/>
  <c r="I3958" i="209"/>
  <c r="O3958" i="209" s="1"/>
  <c r="L82" i="195"/>
  <c r="L78" i="195"/>
  <c r="L69" i="195"/>
  <c r="L106" i="195"/>
  <c r="L102" i="195"/>
  <c r="L76" i="195"/>
  <c r="L101" i="195"/>
  <c r="L79" i="195"/>
  <c r="L71" i="195"/>
  <c r="L73" i="195"/>
  <c r="L103" i="195"/>
  <c r="P46" i="42"/>
  <c r="I47" i="12"/>
  <c r="I2327" i="209"/>
  <c r="O39" i="42"/>
  <c r="I2206" i="209"/>
  <c r="O2206" i="209" s="1"/>
  <c r="D1009" i="210"/>
  <c r="G1009" i="210" s="1"/>
  <c r="G1010" i="210" s="1"/>
  <c r="D1056" i="210" s="1"/>
  <c r="D3668" i="209"/>
  <c r="G3668" i="209" s="1"/>
  <c r="L18" i="44"/>
  <c r="O26" i="43"/>
  <c r="I3904" i="209"/>
  <c r="O3904" i="209" s="1"/>
  <c r="O19" i="43"/>
  <c r="I3897" i="209"/>
  <c r="O3897" i="209" s="1"/>
  <c r="H140" i="196"/>
  <c r="M140" i="196" s="1"/>
  <c r="M26" i="196"/>
  <c r="D3733" i="209"/>
  <c r="G3733" i="209" s="1"/>
  <c r="L79" i="44"/>
  <c r="I81" i="43"/>
  <c r="I3278" i="209"/>
  <c r="O21" i="43"/>
  <c r="I3899" i="209"/>
  <c r="O3899" i="209" s="1"/>
  <c r="H30" i="43"/>
  <c r="I3110" i="209"/>
  <c r="O3110" i="209" s="1"/>
  <c r="G570" i="210"/>
  <c r="D578" i="210"/>
  <c r="G578" i="210" s="1"/>
  <c r="D575" i="210"/>
  <c r="F26" i="196"/>
  <c r="C140" i="196"/>
  <c r="F140" i="196" s="1"/>
  <c r="O1445" i="209"/>
  <c r="I1459" i="209"/>
  <c r="I35" i="43"/>
  <c r="I3229" i="209"/>
  <c r="O3229" i="209" s="1"/>
  <c r="K3236" i="209"/>
  <c r="D3350" i="209"/>
  <c r="G3350" i="209" s="1"/>
  <c r="I42" i="44"/>
  <c r="G1395" i="209"/>
  <c r="H40" i="43"/>
  <c r="I3120" i="209"/>
  <c r="O3120" i="209" s="1"/>
  <c r="D3360" i="209"/>
  <c r="G3360" i="209" s="1"/>
  <c r="K3246" i="209"/>
  <c r="I52" i="44"/>
  <c r="H51" i="43"/>
  <c r="I3131" i="209"/>
  <c r="O3131" i="209" s="1"/>
  <c r="H48" i="43"/>
  <c r="I3128" i="209"/>
  <c r="O3128" i="209" s="1"/>
  <c r="I570" i="210"/>
  <c r="O529" i="210"/>
  <c r="D3362" i="209"/>
  <c r="G3362" i="209" s="1"/>
  <c r="K3248" i="209"/>
  <c r="I54" i="44"/>
  <c r="O18" i="43"/>
  <c r="I3896" i="209"/>
  <c r="O3896" i="209" s="1"/>
  <c r="O1186" i="209"/>
  <c r="I1197" i="209"/>
  <c r="I1237" i="209" s="1"/>
  <c r="I1241" i="209" s="1"/>
  <c r="D1138" i="210"/>
  <c r="G1138" i="210" s="1"/>
  <c r="G1124" i="210"/>
  <c r="H39" i="43"/>
  <c r="I3119" i="209"/>
  <c r="O3119" i="209" s="1"/>
  <c r="D3395" i="209"/>
  <c r="G3395" i="209" s="1"/>
  <c r="K3281" i="209"/>
  <c r="I83" i="44"/>
  <c r="H83" i="43"/>
  <c r="I3166" i="209"/>
  <c r="O3166" i="209" s="1"/>
  <c r="D3339" i="209"/>
  <c r="G3339" i="209" s="1"/>
  <c r="K3225" i="209"/>
  <c r="I31" i="44"/>
  <c r="O955" i="210"/>
  <c r="O956" i="210" s="1"/>
  <c r="I1002" i="210" s="1"/>
  <c r="I1001" i="210" s="1"/>
  <c r="O1001" i="210" s="1"/>
  <c r="O1002" i="210" s="1"/>
  <c r="I1048" i="210" s="1"/>
  <c r="I1047" i="210" s="1"/>
  <c r="X132" i="170"/>
  <c r="Y132" i="170" s="1"/>
  <c r="M133" i="170"/>
  <c r="J49" i="154"/>
  <c r="K49" i="154" s="1"/>
  <c r="H50" i="154"/>
  <c r="J50" i="154" s="1"/>
  <c r="K50" i="154" s="1"/>
  <c r="EA12" i="190"/>
  <c r="EB6" i="190"/>
  <c r="O517" i="210"/>
  <c r="D563" i="210"/>
  <c r="O17" i="43"/>
  <c r="I3895" i="209"/>
  <c r="O3895" i="209" s="1"/>
  <c r="H42" i="43"/>
  <c r="I3122" i="209"/>
  <c r="O3122" i="209" s="1"/>
  <c r="I1088" i="210"/>
  <c r="O1088" i="210" s="1"/>
  <c r="O1077" i="210"/>
  <c r="I1123" i="210" s="1"/>
  <c r="D3385" i="209"/>
  <c r="G3385" i="209" s="1"/>
  <c r="K3271" i="209"/>
  <c r="I73" i="44"/>
  <c r="O534" i="210"/>
  <c r="I580" i="210" s="1"/>
  <c r="H47" i="43"/>
  <c r="I3127" i="209"/>
  <c r="O3127" i="209" s="1"/>
  <c r="D3354" i="209"/>
  <c r="G3354" i="209" s="1"/>
  <c r="K3240" i="209"/>
  <c r="I46" i="44"/>
  <c r="D3676" i="209"/>
  <c r="G3676" i="209" s="1"/>
  <c r="L26" i="44"/>
  <c r="H37" i="43"/>
  <c r="I3117" i="209"/>
  <c r="O3117" i="209" s="1"/>
  <c r="I66" i="49" l="1"/>
  <c r="C65" i="49"/>
  <c r="F137" i="213"/>
  <c r="U26" i="219"/>
  <c r="U29" i="219"/>
  <c r="D3984" i="209"/>
  <c r="G3984" i="209" s="1"/>
  <c r="N97" i="44"/>
  <c r="N99" i="44" s="1"/>
  <c r="Q79" i="195"/>
  <c r="R79" i="195" s="1"/>
  <c r="K1006" i="210"/>
  <c r="K1005" i="210" s="1"/>
  <c r="K2440" i="209" s="1"/>
  <c r="O1078" i="210"/>
  <c r="I1124" i="210" s="1"/>
  <c r="I1138" i="210" s="1"/>
  <c r="I1092" i="210"/>
  <c r="O1092" i="210" s="1"/>
  <c r="I3282" i="209"/>
  <c r="K1010" i="210"/>
  <c r="K1009" i="210" s="1"/>
  <c r="K2441" i="209" s="1"/>
  <c r="O951" i="210"/>
  <c r="O952" i="210" s="1"/>
  <c r="I998" i="210" s="1"/>
  <c r="I997" i="210" s="1"/>
  <c r="O3282" i="209"/>
  <c r="O963" i="210"/>
  <c r="O964" i="210" s="1"/>
  <c r="I1010" i="210" s="1"/>
  <c r="I1009" i="210" s="1"/>
  <c r="O1009" i="210" s="1"/>
  <c r="O1010" i="210" s="1"/>
  <c r="I1056" i="210" s="1"/>
  <c r="I1055" i="210" s="1"/>
  <c r="O3278" i="209"/>
  <c r="O2327" i="209"/>
  <c r="I2441" i="209" s="1"/>
  <c r="O2441" i="209" s="1"/>
  <c r="I2555" i="209" s="1"/>
  <c r="I75" i="43"/>
  <c r="I3272" i="209"/>
  <c r="O3272" i="209" s="1"/>
  <c r="D3500" i="209"/>
  <c r="G3500" i="209" s="1"/>
  <c r="K3386" i="209"/>
  <c r="J74" i="44"/>
  <c r="I563" i="210"/>
  <c r="G563" i="210"/>
  <c r="K1124" i="210"/>
  <c r="D1170" i="210"/>
  <c r="I51" i="43"/>
  <c r="I3245" i="209"/>
  <c r="O3245" i="209" s="1"/>
  <c r="D3476" i="209"/>
  <c r="G3476" i="209" s="1"/>
  <c r="K3362" i="209"/>
  <c r="J54" i="44"/>
  <c r="J81" i="43"/>
  <c r="I3392" i="209"/>
  <c r="P26" i="43"/>
  <c r="I4018" i="209"/>
  <c r="O4018" i="209" s="1"/>
  <c r="Q26" i="43" s="1"/>
  <c r="I40" i="12"/>
  <c r="P39" i="42"/>
  <c r="I2320" i="209"/>
  <c r="O2320" i="209" s="1"/>
  <c r="I2434" i="209" s="1"/>
  <c r="L132" i="195"/>
  <c r="L143" i="195" s="1"/>
  <c r="L145" i="195" s="1"/>
  <c r="Q69" i="195"/>
  <c r="M59" i="171"/>
  <c r="X58" i="171"/>
  <c r="Y58" i="171" s="1"/>
  <c r="K1048" i="210"/>
  <c r="K1047" i="210" s="1"/>
  <c r="K2551" i="209" s="1"/>
  <c r="D3454" i="209"/>
  <c r="G3454" i="209" s="1"/>
  <c r="K3340" i="209"/>
  <c r="J32" i="44"/>
  <c r="O3223" i="209"/>
  <c r="BQ79" i="190"/>
  <c r="BM80" i="190"/>
  <c r="BM82" i="190" s="1"/>
  <c r="BM85" i="190" s="1"/>
  <c r="P34" i="43"/>
  <c r="I4026" i="209"/>
  <c r="O4026" i="209" s="1"/>
  <c r="Q34" i="43" s="1"/>
  <c r="D1037" i="209"/>
  <c r="O982" i="209"/>
  <c r="I1146" i="210"/>
  <c r="EB60" i="190"/>
  <c r="EF46" i="190"/>
  <c r="D3472" i="209"/>
  <c r="G3472" i="209" s="1"/>
  <c r="K3358" i="209"/>
  <c r="J50" i="44"/>
  <c r="O1395" i="209"/>
  <c r="O3275" i="209"/>
  <c r="EB14" i="190"/>
  <c r="EF13" i="190"/>
  <c r="D3461" i="209"/>
  <c r="G3461" i="209" s="1"/>
  <c r="K3347" i="209"/>
  <c r="J39" i="44"/>
  <c r="D3449" i="209"/>
  <c r="G3449" i="209" s="1"/>
  <c r="K3335" i="209"/>
  <c r="J27" i="44"/>
  <c r="D3844" i="209"/>
  <c r="G3844" i="209" s="1"/>
  <c r="M76" i="44"/>
  <c r="D3498" i="209"/>
  <c r="G3498" i="209" s="1"/>
  <c r="K3384" i="209"/>
  <c r="J72" i="44"/>
  <c r="O1386" i="209"/>
  <c r="I1392" i="209"/>
  <c r="D1134" i="210"/>
  <c r="G1134" i="210" s="1"/>
  <c r="G1123" i="210"/>
  <c r="J85" i="43"/>
  <c r="I3396" i="209"/>
  <c r="M134" i="170"/>
  <c r="X133" i="170"/>
  <c r="Y133" i="170" s="1"/>
  <c r="D3509" i="209"/>
  <c r="G3509" i="209" s="1"/>
  <c r="K3395" i="209"/>
  <c r="J83" i="44"/>
  <c r="I1252" i="209"/>
  <c r="H27" i="196"/>
  <c r="I575" i="210"/>
  <c r="O570" i="210"/>
  <c r="I578" i="210"/>
  <c r="O578" i="210" s="1"/>
  <c r="J35" i="43"/>
  <c r="I3343" i="209"/>
  <c r="D616" i="210"/>
  <c r="G575" i="210"/>
  <c r="BV67" i="190"/>
  <c r="BR73" i="190"/>
  <c r="K1052" i="210"/>
  <c r="K1051" i="210" s="1"/>
  <c r="K2554" i="209" s="1"/>
  <c r="D1051" i="210"/>
  <c r="G1051" i="210" s="1"/>
  <c r="G1052" i="210" s="1"/>
  <c r="D1098" i="210" s="1"/>
  <c r="D3800" i="209"/>
  <c r="G3800" i="209" s="1"/>
  <c r="M36" i="44"/>
  <c r="P20" i="43"/>
  <c r="I4012" i="209"/>
  <c r="O4012" i="209" s="1"/>
  <c r="Q20" i="43" s="1"/>
  <c r="D1252" i="209"/>
  <c r="C27" i="196"/>
  <c r="D3469" i="209"/>
  <c r="G3469" i="209" s="1"/>
  <c r="K3355" i="209"/>
  <c r="J47" i="44"/>
  <c r="D579" i="210"/>
  <c r="G579" i="210" s="1"/>
  <c r="I54" i="43"/>
  <c r="I3248" i="209"/>
  <c r="O3248" i="209" s="1"/>
  <c r="F17" i="201"/>
  <c r="I43" i="43"/>
  <c r="I3237" i="209"/>
  <c r="O3237" i="209" s="1"/>
  <c r="D3805" i="209"/>
  <c r="G3805" i="209" s="1"/>
  <c r="M41" i="44"/>
  <c r="O959" i="210"/>
  <c r="O960" i="210" s="1"/>
  <c r="I1006" i="210" s="1"/>
  <c r="I1005" i="210" s="1"/>
  <c r="I42" i="43"/>
  <c r="I3236" i="209"/>
  <c r="O3236" i="209" s="1"/>
  <c r="D1509" i="209"/>
  <c r="H25" i="27"/>
  <c r="G1559" i="209"/>
  <c r="D1573" i="209"/>
  <c r="I79" i="43"/>
  <c r="I3276" i="209"/>
  <c r="O3276" i="209" s="1"/>
  <c r="P94" i="43"/>
  <c r="I4089" i="209"/>
  <c r="O4089" i="209" s="1"/>
  <c r="Q94" i="43" s="1"/>
  <c r="D3499" i="209"/>
  <c r="G3499" i="209" s="1"/>
  <c r="K3385" i="209"/>
  <c r="J73" i="44"/>
  <c r="I83" i="43"/>
  <c r="I3280" i="209"/>
  <c r="O3280" i="209" s="1"/>
  <c r="I39" i="43"/>
  <c r="I3233" i="209"/>
  <c r="O3233" i="209" s="1"/>
  <c r="G45" i="42"/>
  <c r="G56" i="42" s="1"/>
  <c r="G93" i="42" s="1"/>
  <c r="G97" i="42" s="1"/>
  <c r="G107" i="42" s="1"/>
  <c r="I1300" i="209"/>
  <c r="O1197" i="209"/>
  <c r="O1237" i="209" s="1"/>
  <c r="O1241" i="209" s="1"/>
  <c r="O1252" i="209" s="1"/>
  <c r="I48" i="43"/>
  <c r="I3242" i="209"/>
  <c r="O3242" i="209" s="1"/>
  <c r="I40" i="43"/>
  <c r="I3234" i="209"/>
  <c r="O3234" i="209" s="1"/>
  <c r="D3464" i="209"/>
  <c r="G3464" i="209" s="1"/>
  <c r="K3350" i="209"/>
  <c r="J42" i="44"/>
  <c r="I30" i="43"/>
  <c r="I3224" i="209"/>
  <c r="O3224" i="209" s="1"/>
  <c r="K47" i="12"/>
  <c r="G47" i="12"/>
  <c r="P77" i="43"/>
  <c r="I4072" i="209"/>
  <c r="O4072" i="209" s="1"/>
  <c r="Q77" i="43" s="1"/>
  <c r="D1478" i="209"/>
  <c r="C86" i="196" s="1"/>
  <c r="F86" i="196" s="1"/>
  <c r="G1473" i="209"/>
  <c r="D3452" i="209"/>
  <c r="G3452" i="209" s="1"/>
  <c r="K3338" i="209"/>
  <c r="J30" i="44"/>
  <c r="I31" i="43"/>
  <c r="I3225" i="209"/>
  <c r="O3225" i="209" s="1"/>
  <c r="D1300" i="209"/>
  <c r="F44" i="27"/>
  <c r="F55" i="27" s="1"/>
  <c r="F91" i="27" s="1"/>
  <c r="F101" i="27" s="1"/>
  <c r="G1197" i="209"/>
  <c r="G1237" i="209" s="1"/>
  <c r="G1241" i="209" s="1"/>
  <c r="G1252" i="209" s="1"/>
  <c r="I1142" i="210"/>
  <c r="D3507" i="209"/>
  <c r="G3507" i="209" s="1"/>
  <c r="K3393" i="209"/>
  <c r="J81" i="44"/>
  <c r="I33" i="43"/>
  <c r="I3227" i="209"/>
  <c r="O3227" i="209" s="1"/>
  <c r="G1126" i="210"/>
  <c r="D1146" i="210"/>
  <c r="G1146" i="210" s="1"/>
  <c r="D3508" i="209"/>
  <c r="G3508" i="209" s="1"/>
  <c r="K3394" i="209"/>
  <c r="J82" i="44"/>
  <c r="I52" i="43"/>
  <c r="I3246" i="209"/>
  <c r="O3246" i="209" s="1"/>
  <c r="D3798" i="209"/>
  <c r="G3798" i="209" s="1"/>
  <c r="M34" i="44"/>
  <c r="I50" i="43"/>
  <c r="I3244" i="209"/>
  <c r="O3244" i="209" s="1"/>
  <c r="D3667" i="209"/>
  <c r="G3667" i="209" s="1"/>
  <c r="L17" i="44"/>
  <c r="D3510" i="209"/>
  <c r="G3510" i="209" s="1"/>
  <c r="K3396" i="209"/>
  <c r="J84" i="44"/>
  <c r="D3501" i="209"/>
  <c r="G3501" i="209" s="1"/>
  <c r="K3387" i="209"/>
  <c r="J75" i="44"/>
  <c r="K3390" i="209"/>
  <c r="D3504" i="209"/>
  <c r="G3504" i="209" s="1"/>
  <c r="J78" i="44"/>
  <c r="D3470" i="209"/>
  <c r="G3470" i="209" s="1"/>
  <c r="K3356" i="209"/>
  <c r="J48" i="44"/>
  <c r="D3462" i="209"/>
  <c r="G3462" i="209" s="1"/>
  <c r="K3348" i="209"/>
  <c r="J40" i="44"/>
  <c r="EF61" i="190"/>
  <c r="EB62" i="190"/>
  <c r="D3473" i="209"/>
  <c r="G3473" i="209" s="1"/>
  <c r="K3359" i="209"/>
  <c r="J51" i="44"/>
  <c r="I46" i="43"/>
  <c r="I3240" i="209"/>
  <c r="O3240" i="209" s="1"/>
  <c r="I74" i="43"/>
  <c r="I3271" i="209"/>
  <c r="O3271" i="209" s="1"/>
  <c r="EG15" i="190"/>
  <c r="EF45" i="190"/>
  <c r="D1142" i="210"/>
  <c r="G1142" i="210" s="1"/>
  <c r="G1125" i="210"/>
  <c r="K3345" i="209"/>
  <c r="D3459" i="209"/>
  <c r="G3459" i="209" s="1"/>
  <c r="J37" i="44"/>
  <c r="BR75" i="190"/>
  <c r="BQ77" i="190"/>
  <c r="D3809" i="209"/>
  <c r="G3809" i="209" s="1"/>
  <c r="M45" i="44"/>
  <c r="D3847" i="209"/>
  <c r="G3847" i="209" s="1"/>
  <c r="M79" i="44"/>
  <c r="I73" i="42"/>
  <c r="I87" i="42" s="1"/>
  <c r="I1559" i="209"/>
  <c r="O1459" i="209"/>
  <c r="D3782" i="209"/>
  <c r="G3782" i="209" s="1"/>
  <c r="M18" i="44"/>
  <c r="K3389" i="209"/>
  <c r="D3503" i="209"/>
  <c r="G3503" i="209" s="1"/>
  <c r="J77" i="44"/>
  <c r="D1043" i="210"/>
  <c r="G1043" i="210" s="1"/>
  <c r="G1044" i="210" s="1"/>
  <c r="D1090" i="210" s="1"/>
  <c r="X68" i="170"/>
  <c r="Y68" i="170" s="1"/>
  <c r="M69" i="170"/>
  <c r="O3226" i="209"/>
  <c r="D3475" i="209"/>
  <c r="G3475" i="209" s="1"/>
  <c r="K3361" i="209"/>
  <c r="J53" i="44"/>
  <c r="I27" i="43"/>
  <c r="I3221" i="209"/>
  <c r="O3221" i="209" s="1"/>
  <c r="I76" i="43"/>
  <c r="I3273" i="209"/>
  <c r="O3273" i="209" s="1"/>
  <c r="G580" i="210"/>
  <c r="D626" i="210" s="1"/>
  <c r="D3790" i="209"/>
  <c r="G3790" i="209" s="1"/>
  <c r="M26" i="44"/>
  <c r="P18" i="43"/>
  <c r="I4010" i="209"/>
  <c r="O4010" i="209" s="1"/>
  <c r="Q18" i="43" s="1"/>
  <c r="P80" i="43"/>
  <c r="I4075" i="209"/>
  <c r="O4075" i="209" s="1"/>
  <c r="Q80" i="43" s="1"/>
  <c r="D3468" i="209"/>
  <c r="G3468" i="209" s="1"/>
  <c r="K3354" i="209"/>
  <c r="J46" i="44"/>
  <c r="P17" i="43"/>
  <c r="I4009" i="209"/>
  <c r="O4009" i="209" s="1"/>
  <c r="Q17" i="43" s="1"/>
  <c r="EF6" i="190"/>
  <c r="EB12" i="190"/>
  <c r="EB63" i="190" s="1"/>
  <c r="I47" i="43"/>
  <c r="I3241" i="209"/>
  <c r="O3241" i="209" s="1"/>
  <c r="EA63" i="190"/>
  <c r="EA93" i="190" s="1"/>
  <c r="D3474" i="209"/>
  <c r="G3474" i="209" s="1"/>
  <c r="K3360" i="209"/>
  <c r="J52" i="44"/>
  <c r="P21" i="43"/>
  <c r="I4013" i="209"/>
  <c r="O4013" i="209" s="1"/>
  <c r="Q21" i="43" s="1"/>
  <c r="P19" i="43"/>
  <c r="I4011" i="209"/>
  <c r="O4011" i="209" s="1"/>
  <c r="Q19" i="43" s="1"/>
  <c r="D1055" i="210"/>
  <c r="G1055" i="210" s="1"/>
  <c r="G1056" i="210" s="1"/>
  <c r="D1102" i="210" s="1"/>
  <c r="D3506" i="209"/>
  <c r="G3506" i="209" s="1"/>
  <c r="K3392" i="209"/>
  <c r="J80" i="44"/>
  <c r="K998" i="210"/>
  <c r="K997" i="210" s="1"/>
  <c r="K2434" i="209" s="1"/>
  <c r="D3471" i="209"/>
  <c r="G3471" i="209" s="1"/>
  <c r="K3357" i="209"/>
  <c r="J49" i="44"/>
  <c r="D3450" i="209"/>
  <c r="G3450" i="209" s="1"/>
  <c r="K3336" i="209"/>
  <c r="J28" i="44"/>
  <c r="I43" i="12"/>
  <c r="P42" i="42"/>
  <c r="I2323" i="209"/>
  <c r="O2323" i="209" s="1"/>
  <c r="I2437" i="209" s="1"/>
  <c r="O2437" i="209" s="1"/>
  <c r="I2551" i="209" s="1"/>
  <c r="O2551" i="209" s="1"/>
  <c r="I2665" i="209" s="1"/>
  <c r="M134" i="171"/>
  <c r="X133" i="171"/>
  <c r="Y133" i="171" s="1"/>
  <c r="D3465" i="209"/>
  <c r="G3465" i="209" s="1"/>
  <c r="K3351" i="209"/>
  <c r="J43" i="44"/>
  <c r="I49" i="43"/>
  <c r="I3243" i="209"/>
  <c r="O3243" i="209" s="1"/>
  <c r="D3455" i="209"/>
  <c r="G3455" i="209" s="1"/>
  <c r="K3341" i="209"/>
  <c r="J33" i="44"/>
  <c r="I73" i="43"/>
  <c r="I3270" i="209"/>
  <c r="O3270" i="209" s="1"/>
  <c r="D3802" i="209"/>
  <c r="G3802" i="209" s="1"/>
  <c r="M38" i="44"/>
  <c r="D3457" i="209"/>
  <c r="G3457" i="209" s="1"/>
  <c r="K3343" i="209"/>
  <c r="J35" i="44"/>
  <c r="D3453" i="209"/>
  <c r="G3453" i="209" s="1"/>
  <c r="K3339" i="209"/>
  <c r="J31" i="44"/>
  <c r="I37" i="43"/>
  <c r="I3231" i="209"/>
  <c r="O3231" i="209" s="1"/>
  <c r="I1134" i="210"/>
  <c r="D3451" i="209"/>
  <c r="G3451" i="209" s="1"/>
  <c r="K3337" i="209"/>
  <c r="J29" i="44"/>
  <c r="G1576" i="209"/>
  <c r="D1577" i="209"/>
  <c r="I53" i="43"/>
  <c r="I3247" i="209"/>
  <c r="O3247" i="209" s="1"/>
  <c r="D1093" i="210"/>
  <c r="G1093" i="210" s="1"/>
  <c r="G1094" i="210" s="1"/>
  <c r="D1140" i="210" s="1"/>
  <c r="I28" i="43"/>
  <c r="I3222" i="209"/>
  <c r="O3222" i="209" s="1"/>
  <c r="I82" i="43"/>
  <c r="I3279" i="209"/>
  <c r="O3279" i="209" s="1"/>
  <c r="D3784" i="209"/>
  <c r="G3784" i="209" s="1"/>
  <c r="M20" i="44"/>
  <c r="D3785" i="209"/>
  <c r="G3785" i="209" s="1"/>
  <c r="M21" i="44"/>
  <c r="H100" i="42"/>
  <c r="H105" i="42" s="1"/>
  <c r="I1473" i="209"/>
  <c r="O1364" i="209"/>
  <c r="I1463" i="209"/>
  <c r="O1462" i="209"/>
  <c r="D3783" i="209"/>
  <c r="G3783" i="209" s="1"/>
  <c r="M19" i="44"/>
  <c r="G1392" i="209"/>
  <c r="D1500" i="209"/>
  <c r="H16" i="27"/>
  <c r="H22" i="27" s="1"/>
  <c r="I84" i="43"/>
  <c r="I3281" i="209"/>
  <c r="O3281" i="209" s="1"/>
  <c r="C66" i="49" l="1"/>
  <c r="I67" i="49"/>
  <c r="O1047" i="210"/>
  <c r="O1048" i="210" s="1"/>
  <c r="I1094" i="210" s="1"/>
  <c r="I1093" i="210" s="1"/>
  <c r="O1005" i="210"/>
  <c r="O1006" i="210" s="1"/>
  <c r="I1052" i="210" s="1"/>
  <c r="I1051" i="210" s="1"/>
  <c r="D4098" i="209"/>
  <c r="G4098" i="209" s="1"/>
  <c r="P97" i="44" s="1"/>
  <c r="O97" i="44"/>
  <c r="O99" i="44" s="1"/>
  <c r="G137" i="213"/>
  <c r="F140" i="213"/>
  <c r="I579" i="210"/>
  <c r="O579" i="210" s="1"/>
  <c r="D3614" i="209"/>
  <c r="G3614" i="209" s="1"/>
  <c r="K3500" i="209"/>
  <c r="K74" i="44"/>
  <c r="J75" i="43"/>
  <c r="I3386" i="209"/>
  <c r="O3386" i="209" s="1"/>
  <c r="O1051" i="210"/>
  <c r="O1052" i="210" s="1"/>
  <c r="I1098" i="210" s="1"/>
  <c r="I1097" i="210" s="1"/>
  <c r="J84" i="43"/>
  <c r="I3395" i="209"/>
  <c r="O3395" i="209" s="1"/>
  <c r="G1577" i="209"/>
  <c r="D1690" i="209"/>
  <c r="I88" i="27"/>
  <c r="K43" i="12"/>
  <c r="G43" i="12"/>
  <c r="BV75" i="190"/>
  <c r="BR77" i="190"/>
  <c r="D3781" i="209"/>
  <c r="G3781" i="209" s="1"/>
  <c r="M17" i="44"/>
  <c r="J50" i="43"/>
  <c r="I3358" i="209"/>
  <c r="O3358" i="209" s="1"/>
  <c r="J31" i="43"/>
  <c r="I3339" i="209"/>
  <c r="O3339" i="209" s="1"/>
  <c r="D3613" i="209"/>
  <c r="G3613" i="209" s="1"/>
  <c r="K3499" i="209"/>
  <c r="K73" i="44"/>
  <c r="D1673" i="209"/>
  <c r="G1573" i="209"/>
  <c r="I71" i="27"/>
  <c r="J43" i="43"/>
  <c r="I3351" i="209"/>
  <c r="O3351" i="209" s="1"/>
  <c r="D3583" i="209"/>
  <c r="G3583" i="209" s="1"/>
  <c r="K3469" i="209"/>
  <c r="K47" i="44"/>
  <c r="O3396" i="209"/>
  <c r="D3575" i="209"/>
  <c r="G3575" i="209" s="1"/>
  <c r="K3461" i="209"/>
  <c r="K39" i="44"/>
  <c r="I26" i="42"/>
  <c r="I1509" i="209"/>
  <c r="D3586" i="209"/>
  <c r="G3586" i="209" s="1"/>
  <c r="K3472" i="209"/>
  <c r="K50" i="44"/>
  <c r="G30" i="48"/>
  <c r="I30" i="48" s="1"/>
  <c r="K30" i="48" s="1"/>
  <c r="R26" i="43"/>
  <c r="L30" i="48" s="1"/>
  <c r="K1138" i="210"/>
  <c r="O1138" i="210" s="1"/>
  <c r="K2843" i="209"/>
  <c r="O2843" i="209" s="1"/>
  <c r="O1124" i="210"/>
  <c r="I1170" i="210" s="1"/>
  <c r="O1473" i="209"/>
  <c r="I1478" i="209"/>
  <c r="H86" i="196" s="1"/>
  <c r="M86" i="196" s="1"/>
  <c r="D3567" i="209"/>
  <c r="G3567" i="209" s="1"/>
  <c r="K3453" i="209"/>
  <c r="K31" i="44"/>
  <c r="D3897" i="209"/>
  <c r="G3897" i="209" s="1"/>
  <c r="N19" i="44"/>
  <c r="J28" i="43"/>
  <c r="I3336" i="209"/>
  <c r="O3336" i="209" s="1"/>
  <c r="D3916" i="209"/>
  <c r="G3916" i="209" s="1"/>
  <c r="N38" i="44"/>
  <c r="J47" i="43"/>
  <c r="I3355" i="209"/>
  <c r="O3355" i="209" s="1"/>
  <c r="D3961" i="209"/>
  <c r="G3961" i="209" s="1"/>
  <c r="N79" i="44"/>
  <c r="D3587" i="209"/>
  <c r="G3587" i="209" s="1"/>
  <c r="K3473" i="209"/>
  <c r="K51" i="44"/>
  <c r="G85" i="48"/>
  <c r="I85" i="48" s="1"/>
  <c r="K85" i="48" s="1"/>
  <c r="R77" i="43"/>
  <c r="L85" i="48" s="1"/>
  <c r="J30" i="43"/>
  <c r="I3338" i="209"/>
  <c r="O3338" i="209" s="1"/>
  <c r="D1506" i="209"/>
  <c r="G1500" i="209"/>
  <c r="I90" i="42"/>
  <c r="I91" i="42" s="1"/>
  <c r="I1576" i="209"/>
  <c r="O1463" i="209"/>
  <c r="J73" i="43"/>
  <c r="I3384" i="209"/>
  <c r="O3384" i="209" s="1"/>
  <c r="G22" i="48"/>
  <c r="I22" i="48" s="1"/>
  <c r="K22" i="48" s="1"/>
  <c r="R18" i="43"/>
  <c r="L22" i="48" s="1"/>
  <c r="K3503" i="209"/>
  <c r="D3617" i="209"/>
  <c r="G3617" i="209" s="1"/>
  <c r="K77" i="44"/>
  <c r="EG45" i="190"/>
  <c r="EK15" i="190"/>
  <c r="K3504" i="209"/>
  <c r="D3618" i="209"/>
  <c r="G3618" i="209" s="1"/>
  <c r="K78" i="44"/>
  <c r="D3622" i="209"/>
  <c r="G3622" i="209" s="1"/>
  <c r="K3508" i="209"/>
  <c r="K82" i="44"/>
  <c r="J54" i="43"/>
  <c r="I3362" i="209"/>
  <c r="O3362" i="209" s="1"/>
  <c r="O997" i="210"/>
  <c r="O998" i="210" s="1"/>
  <c r="I1044" i="210" s="1"/>
  <c r="I1043" i="210" s="1"/>
  <c r="D3958" i="209"/>
  <c r="G3958" i="209" s="1"/>
  <c r="N76" i="44"/>
  <c r="EG13" i="190"/>
  <c r="EF14" i="190"/>
  <c r="I1037" i="209"/>
  <c r="G1037" i="209"/>
  <c r="D1096" i="209"/>
  <c r="I1096" i="209" s="1"/>
  <c r="D1101" i="210"/>
  <c r="G1101" i="210" s="1"/>
  <c r="G1102" i="210" s="1"/>
  <c r="D1148" i="210" s="1"/>
  <c r="D3582" i="209"/>
  <c r="G3582" i="209" s="1"/>
  <c r="K3468" i="209"/>
  <c r="K46" i="44"/>
  <c r="O1559" i="209"/>
  <c r="I1573" i="209"/>
  <c r="K3459" i="209"/>
  <c r="D3573" i="209"/>
  <c r="G3573" i="209" s="1"/>
  <c r="K37" i="44"/>
  <c r="J74" i="43"/>
  <c r="I3385" i="209"/>
  <c r="O3385" i="209" s="1"/>
  <c r="EF62" i="190"/>
  <c r="EG61" i="190"/>
  <c r="D3615" i="209"/>
  <c r="G3615" i="209" s="1"/>
  <c r="K3501" i="209"/>
  <c r="K75" i="44"/>
  <c r="D3621" i="209"/>
  <c r="G3621" i="209" s="1"/>
  <c r="K3507" i="209"/>
  <c r="K81" i="44"/>
  <c r="O1300" i="209"/>
  <c r="I1311" i="209"/>
  <c r="I1351" i="209" s="1"/>
  <c r="I1355" i="209" s="1"/>
  <c r="G102" i="48"/>
  <c r="I102" i="48" s="1"/>
  <c r="K102" i="48" s="1"/>
  <c r="R94" i="43"/>
  <c r="L102" i="48" s="1"/>
  <c r="C141" i="196"/>
  <c r="F141" i="196" s="1"/>
  <c r="F27" i="196"/>
  <c r="BV73" i="190"/>
  <c r="BW67" i="190"/>
  <c r="CD67" i="190"/>
  <c r="CD73" i="190" s="1"/>
  <c r="D3623" i="209"/>
  <c r="G3623" i="209" s="1"/>
  <c r="K3509" i="209"/>
  <c r="K83" i="44"/>
  <c r="K1123" i="210"/>
  <c r="D1169" i="210"/>
  <c r="D3563" i="209"/>
  <c r="G3563" i="209" s="1"/>
  <c r="K3449" i="209"/>
  <c r="K27" i="44"/>
  <c r="G38" i="48"/>
  <c r="I38" i="48" s="1"/>
  <c r="K38" i="48" s="1"/>
  <c r="R34" i="43"/>
  <c r="L38" i="48" s="1"/>
  <c r="M60" i="171"/>
  <c r="X59" i="171"/>
  <c r="Y59" i="171" s="1"/>
  <c r="O3392" i="209"/>
  <c r="D3571" i="209"/>
  <c r="G3571" i="209" s="1"/>
  <c r="K3457" i="209"/>
  <c r="K35" i="44"/>
  <c r="D3569" i="209"/>
  <c r="G3569" i="209" s="1"/>
  <c r="K3455" i="209"/>
  <c r="K33" i="44"/>
  <c r="J82" i="43"/>
  <c r="I3393" i="209"/>
  <c r="O3393" i="209" s="1"/>
  <c r="D3565" i="209"/>
  <c r="G3565" i="209" s="1"/>
  <c r="K3451" i="209"/>
  <c r="K29" i="44"/>
  <c r="D3564" i="209"/>
  <c r="G3564" i="209" s="1"/>
  <c r="K3450" i="209"/>
  <c r="K28" i="44"/>
  <c r="J37" i="43"/>
  <c r="I3345" i="209"/>
  <c r="O3345" i="209" s="1"/>
  <c r="K1056" i="210"/>
  <c r="K1055" i="210" s="1"/>
  <c r="K2555" i="209" s="1"/>
  <c r="O2555" i="209" s="1"/>
  <c r="I2669" i="209" s="1"/>
  <c r="D3589" i="209"/>
  <c r="G3589" i="209" s="1"/>
  <c r="K3475" i="209"/>
  <c r="K53" i="44"/>
  <c r="D3914" i="209"/>
  <c r="G3914" i="209" s="1"/>
  <c r="N36" i="44"/>
  <c r="O580" i="210"/>
  <c r="I626" i="210" s="1"/>
  <c r="D3612" i="209"/>
  <c r="G3612" i="209" s="1"/>
  <c r="K3498" i="209"/>
  <c r="K72" i="44"/>
  <c r="D3568" i="209"/>
  <c r="G3568" i="209" s="1"/>
  <c r="K3454" i="209"/>
  <c r="K32" i="44"/>
  <c r="O24" i="69" a="1"/>
  <c r="O24" i="69" s="1"/>
  <c r="Q24" i="69" s="1"/>
  <c r="D25" i="222" s="1"/>
  <c r="F25" i="222" s="1"/>
  <c r="R69" i="195"/>
  <c r="D3590" i="209"/>
  <c r="G3590" i="209" s="1"/>
  <c r="K3476" i="209"/>
  <c r="K54" i="44"/>
  <c r="D3899" i="209"/>
  <c r="G3899" i="209" s="1"/>
  <c r="N21" i="44"/>
  <c r="K1140" i="210"/>
  <c r="K1139" i="210" s="1"/>
  <c r="K2779" i="209" s="1"/>
  <c r="D1139" i="210"/>
  <c r="G1139" i="210" s="1"/>
  <c r="G1140" i="210" s="1"/>
  <c r="D1186" i="210" s="1"/>
  <c r="K1094" i="210"/>
  <c r="K1093" i="210" s="1"/>
  <c r="K2665" i="209" s="1"/>
  <c r="O2665" i="209" s="1"/>
  <c r="D3579" i="209"/>
  <c r="G3579" i="209" s="1"/>
  <c r="K3465" i="209"/>
  <c r="K43" i="44"/>
  <c r="G88" i="48"/>
  <c r="I88" i="48" s="1"/>
  <c r="K88" i="48" s="1"/>
  <c r="R80" i="43"/>
  <c r="L88" i="48" s="1"/>
  <c r="J76" i="43"/>
  <c r="I3387" i="209"/>
  <c r="O3387" i="209" s="1"/>
  <c r="D3898" i="209"/>
  <c r="G3898" i="209" s="1"/>
  <c r="N20" i="44"/>
  <c r="J53" i="43"/>
  <c r="I3361" i="209"/>
  <c r="O3361" i="209" s="1"/>
  <c r="G23" i="48"/>
  <c r="I23" i="48" s="1"/>
  <c r="K23" i="48" s="1"/>
  <c r="R19" i="43"/>
  <c r="L23" i="48" s="1"/>
  <c r="D3588" i="209"/>
  <c r="G3588" i="209" s="1"/>
  <c r="K3474" i="209"/>
  <c r="K52" i="44"/>
  <c r="D3904" i="209"/>
  <c r="G3904" i="209" s="1"/>
  <c r="N26" i="44"/>
  <c r="J46" i="43"/>
  <c r="I3354" i="209"/>
  <c r="O3354" i="209" s="1"/>
  <c r="D3566" i="209"/>
  <c r="G3566" i="209" s="1"/>
  <c r="K3452" i="209"/>
  <c r="K30" i="44"/>
  <c r="D3578" i="209"/>
  <c r="G3578" i="209" s="1"/>
  <c r="K3464" i="209"/>
  <c r="K42" i="44"/>
  <c r="J39" i="43"/>
  <c r="I3347" i="209"/>
  <c r="O3347" i="209" s="1"/>
  <c r="J79" i="43"/>
  <c r="I3390" i="209"/>
  <c r="O3390" i="209" s="1"/>
  <c r="G1509" i="209"/>
  <c r="D1097" i="210"/>
  <c r="G1097" i="210" s="1"/>
  <c r="G1098" i="210" s="1"/>
  <c r="D1144" i="210" s="1"/>
  <c r="O575" i="210"/>
  <c r="I616" i="210"/>
  <c r="D609" i="210"/>
  <c r="O563" i="210"/>
  <c r="J49" i="43"/>
  <c r="I3357" i="209"/>
  <c r="O3357" i="209" s="1"/>
  <c r="X134" i="171"/>
  <c r="Y134" i="171" s="1"/>
  <c r="M135" i="171"/>
  <c r="D3585" i="209"/>
  <c r="G3585" i="209" s="1"/>
  <c r="K3471" i="209"/>
  <c r="K49" i="44"/>
  <c r="K3506" i="209"/>
  <c r="D3620" i="209"/>
  <c r="G3620" i="209" s="1"/>
  <c r="K80" i="44"/>
  <c r="EG6" i="190"/>
  <c r="EF12" i="190"/>
  <c r="D625" i="210"/>
  <c r="G625" i="210" s="1"/>
  <c r="D3576" i="209"/>
  <c r="G3576" i="209" s="1"/>
  <c r="K3462" i="209"/>
  <c r="K40" i="44"/>
  <c r="D3912" i="209"/>
  <c r="G3912" i="209" s="1"/>
  <c r="N34" i="44"/>
  <c r="J52" i="43"/>
  <c r="I3360" i="209"/>
  <c r="O3360" i="209" s="1"/>
  <c r="K1126" i="210"/>
  <c r="D1172" i="210"/>
  <c r="G1478" i="209"/>
  <c r="D1587" i="209"/>
  <c r="H94" i="27"/>
  <c r="H99" i="27" s="1"/>
  <c r="J40" i="43"/>
  <c r="I3348" i="209"/>
  <c r="O3348" i="209" s="1"/>
  <c r="D3919" i="209"/>
  <c r="G3919" i="209" s="1"/>
  <c r="N41" i="44"/>
  <c r="I16" i="42"/>
  <c r="I22" i="42" s="1"/>
  <c r="I1500" i="209"/>
  <c r="O1392" i="209"/>
  <c r="EF60" i="190"/>
  <c r="EG46" i="190"/>
  <c r="BQ80" i="190"/>
  <c r="BQ82" i="190" s="1"/>
  <c r="BQ85" i="190" s="1"/>
  <c r="BR79" i="190"/>
  <c r="O2434" i="209"/>
  <c r="I2548" i="209" s="1"/>
  <c r="J51" i="43"/>
  <c r="I3359" i="209"/>
  <c r="O3359" i="209" s="1"/>
  <c r="G25" i="48"/>
  <c r="I25" i="48" s="1"/>
  <c r="K25" i="48" s="1"/>
  <c r="R21" i="43"/>
  <c r="L25" i="48" s="1"/>
  <c r="G21" i="48"/>
  <c r="I21" i="48" s="1"/>
  <c r="K21" i="48" s="1"/>
  <c r="R17" i="43"/>
  <c r="L21" i="48" s="1"/>
  <c r="J32" i="43"/>
  <c r="I3340" i="209"/>
  <c r="O3340" i="209" s="1"/>
  <c r="D1089" i="210"/>
  <c r="G1089" i="210" s="1"/>
  <c r="G1090" i="210" s="1"/>
  <c r="D1136" i="210" s="1"/>
  <c r="D3896" i="209"/>
  <c r="G3896" i="209" s="1"/>
  <c r="N18" i="44"/>
  <c r="D3923" i="209"/>
  <c r="G3923" i="209" s="1"/>
  <c r="N45" i="44"/>
  <c r="K1125" i="210"/>
  <c r="D1171" i="210"/>
  <c r="D3624" i="209"/>
  <c r="G3624" i="209" s="1"/>
  <c r="K3510" i="209"/>
  <c r="K84" i="44"/>
  <c r="J33" i="43"/>
  <c r="I3341" i="209"/>
  <c r="O3341" i="209" s="1"/>
  <c r="J83" i="43"/>
  <c r="I3394" i="209"/>
  <c r="O3394" i="209" s="1"/>
  <c r="J42" i="43"/>
  <c r="I3350" i="209"/>
  <c r="O3350" i="209" s="1"/>
  <c r="G24" i="48"/>
  <c r="I24" i="48" s="1"/>
  <c r="K24" i="48" s="1"/>
  <c r="R20" i="43"/>
  <c r="L24" i="48" s="1"/>
  <c r="D624" i="210"/>
  <c r="G624" i="210" s="1"/>
  <c r="G616" i="210"/>
  <c r="D621" i="210"/>
  <c r="M27" i="196"/>
  <c r="H141" i="196"/>
  <c r="M141" i="196" s="1"/>
  <c r="M135" i="170"/>
  <c r="X134" i="170"/>
  <c r="Y134" i="170" s="1"/>
  <c r="J78" i="43"/>
  <c r="I3389" i="209"/>
  <c r="O3389" i="209" s="1"/>
  <c r="J29" i="43"/>
  <c r="I3337" i="209"/>
  <c r="O3337" i="209" s="1"/>
  <c r="J27" i="43"/>
  <c r="I3335" i="209"/>
  <c r="O3335" i="209" s="1"/>
  <c r="X69" i="170"/>
  <c r="Y69" i="170" s="1"/>
  <c r="M70" i="170"/>
  <c r="K1044" i="210"/>
  <c r="K1043" i="210" s="1"/>
  <c r="K2548" i="209" s="1"/>
  <c r="F30" i="167"/>
  <c r="D3584" i="209"/>
  <c r="G3584" i="209" s="1"/>
  <c r="K3470" i="209"/>
  <c r="K48" i="44"/>
  <c r="G1300" i="209"/>
  <c r="D1311" i="209"/>
  <c r="D1351" i="209" s="1"/>
  <c r="D1355" i="209" s="1"/>
  <c r="J48" i="43"/>
  <c r="I3356" i="209"/>
  <c r="O3356" i="209" s="1"/>
  <c r="O3343" i="209"/>
  <c r="G40" i="12"/>
  <c r="K40" i="12"/>
  <c r="D1184" i="210"/>
  <c r="G1184" i="210" s="1"/>
  <c r="G1170" i="210"/>
  <c r="I68" i="49" l="1"/>
  <c r="C67" i="49"/>
  <c r="G34" i="69"/>
  <c r="I34" i="69" s="1"/>
  <c r="G140" i="213"/>
  <c r="H137" i="213"/>
  <c r="P99" i="44"/>
  <c r="D84" i="47"/>
  <c r="Q97" i="44"/>
  <c r="O1055" i="210"/>
  <c r="O1056" i="210" s="1"/>
  <c r="I1102" i="210" s="1"/>
  <c r="I1101" i="210" s="1"/>
  <c r="O1093" i="210"/>
  <c r="O1094" i="210" s="1"/>
  <c r="I1140" i="210" s="1"/>
  <c r="I1139" i="210" s="1"/>
  <c r="O1139" i="210" s="1"/>
  <c r="O1140" i="210" s="1"/>
  <c r="I1186" i="210" s="1"/>
  <c r="O1043" i="210"/>
  <c r="O1044" i="210" s="1"/>
  <c r="I1090" i="210" s="1"/>
  <c r="I1089" i="210" s="1"/>
  <c r="O2548" i="209"/>
  <c r="I2662" i="209" s="1"/>
  <c r="K75" i="43"/>
  <c r="I3500" i="209"/>
  <c r="O3500" i="209" s="1"/>
  <c r="D3728" i="209"/>
  <c r="G3728" i="209" s="1"/>
  <c r="K3614" i="209"/>
  <c r="L74" i="44"/>
  <c r="D4033" i="209"/>
  <c r="G4033" i="209" s="1"/>
  <c r="P41" i="44" s="1"/>
  <c r="O41" i="44"/>
  <c r="D3734" i="209"/>
  <c r="G3734" i="209" s="1"/>
  <c r="K3620" i="209"/>
  <c r="L80" i="44"/>
  <c r="D1623" i="209"/>
  <c r="I25" i="27"/>
  <c r="K1134" i="210"/>
  <c r="O1134" i="210" s="1"/>
  <c r="K2842" i="209"/>
  <c r="O2842" i="209" s="1"/>
  <c r="O1123" i="210"/>
  <c r="I1169" i="210" s="1"/>
  <c r="D3729" i="209"/>
  <c r="G3729" i="209" s="1"/>
  <c r="K3615" i="209"/>
  <c r="L75" i="44"/>
  <c r="K48" i="43"/>
  <c r="I3470" i="209"/>
  <c r="O3470" i="209" s="1"/>
  <c r="G621" i="210"/>
  <c r="D662" i="210"/>
  <c r="D1135" i="210"/>
  <c r="G1135" i="210" s="1"/>
  <c r="G1136" i="210" s="1"/>
  <c r="D1182" i="210" s="1"/>
  <c r="M136" i="171"/>
  <c r="X135" i="171"/>
  <c r="Y135" i="171" s="1"/>
  <c r="K1098" i="210"/>
  <c r="K1097" i="210" s="1"/>
  <c r="D3680" i="209"/>
  <c r="G3680" i="209" s="1"/>
  <c r="K3566" i="209"/>
  <c r="L30" i="44"/>
  <c r="K81" i="43"/>
  <c r="I3506" i="209"/>
  <c r="O3506" i="209" s="1"/>
  <c r="D3677" i="209"/>
  <c r="G3677" i="209" s="1"/>
  <c r="K3563" i="209"/>
  <c r="L27" i="44"/>
  <c r="D4072" i="209"/>
  <c r="G4072" i="209" s="1"/>
  <c r="P76" i="44" s="1"/>
  <c r="O76" i="44"/>
  <c r="K47" i="43"/>
  <c r="I3469" i="209"/>
  <c r="O3469" i="209" s="1"/>
  <c r="K28" i="43"/>
  <c r="I3450" i="209"/>
  <c r="O3450" i="209" s="1"/>
  <c r="F101" i="43"/>
  <c r="I2957" i="209"/>
  <c r="D3700" i="209"/>
  <c r="G3700" i="209" s="1"/>
  <c r="K3586" i="209"/>
  <c r="L50" i="44"/>
  <c r="I85" i="27"/>
  <c r="K50" i="43"/>
  <c r="I3472" i="209"/>
  <c r="O3472" i="209" s="1"/>
  <c r="D3726" i="209"/>
  <c r="G3726" i="209" s="1"/>
  <c r="K3612" i="209"/>
  <c r="L72" i="44"/>
  <c r="K37" i="43"/>
  <c r="I3459" i="209"/>
  <c r="O3459" i="209" s="1"/>
  <c r="X135" i="170"/>
  <c r="Y135" i="170" s="1"/>
  <c r="M136" i="170"/>
  <c r="D4037" i="209"/>
  <c r="G4037" i="209" s="1"/>
  <c r="P45" i="44" s="1"/>
  <c r="O45" i="44"/>
  <c r="D3679" i="209"/>
  <c r="G3679" i="209" s="1"/>
  <c r="K3565" i="209"/>
  <c r="L29" i="44"/>
  <c r="K27" i="43"/>
  <c r="I3449" i="209"/>
  <c r="O3449" i="209" s="1"/>
  <c r="G626" i="210"/>
  <c r="D672" i="210" s="1"/>
  <c r="D1188" i="210"/>
  <c r="G1188" i="210" s="1"/>
  <c r="G1171" i="210"/>
  <c r="K32" i="43"/>
  <c r="I3454" i="209"/>
  <c r="O3454" i="209" s="1"/>
  <c r="D1192" i="210"/>
  <c r="G1192" i="210" s="1"/>
  <c r="G1172" i="210"/>
  <c r="D3690" i="209"/>
  <c r="G3690" i="209" s="1"/>
  <c r="K3576" i="209"/>
  <c r="L40" i="44"/>
  <c r="K39" i="43"/>
  <c r="I3461" i="209"/>
  <c r="O3461" i="209" s="1"/>
  <c r="D4018" i="209"/>
  <c r="G4018" i="209" s="1"/>
  <c r="P26" i="44" s="1"/>
  <c r="O26" i="44"/>
  <c r="K76" i="43"/>
  <c r="I3501" i="209"/>
  <c r="O3501" i="209" s="1"/>
  <c r="D4013" i="209"/>
  <c r="G4013" i="209" s="1"/>
  <c r="P21" i="44" s="1"/>
  <c r="O21" i="44"/>
  <c r="CA67" i="190"/>
  <c r="CA73" i="190" s="1"/>
  <c r="BW73" i="190"/>
  <c r="D3732" i="209"/>
  <c r="G3732" i="209" s="1"/>
  <c r="K3618" i="209"/>
  <c r="L78" i="44"/>
  <c r="I1577" i="209"/>
  <c r="O1576" i="209"/>
  <c r="K3567" i="209"/>
  <c r="D3681" i="209"/>
  <c r="G3681" i="209" s="1"/>
  <c r="L31" i="44"/>
  <c r="K85" i="43"/>
  <c r="I3510" i="209"/>
  <c r="O3510" i="209" s="1"/>
  <c r="K84" i="43"/>
  <c r="I3509" i="209"/>
  <c r="O3509" i="209" s="1"/>
  <c r="BV79" i="190"/>
  <c r="BR80" i="190"/>
  <c r="BR82" i="190" s="1"/>
  <c r="BR85" i="190" s="1"/>
  <c r="I1366" i="209"/>
  <c r="H28" i="196"/>
  <c r="K83" i="43"/>
  <c r="I3508" i="209"/>
  <c r="O3508" i="209" s="1"/>
  <c r="K78" i="43"/>
  <c r="I3503" i="209"/>
  <c r="O3503" i="209" s="1"/>
  <c r="D3698" i="209"/>
  <c r="G3698" i="209" s="1"/>
  <c r="K3584" i="209"/>
  <c r="L48" i="44"/>
  <c r="K42" i="43"/>
  <c r="I3464" i="209"/>
  <c r="O3464" i="209" s="1"/>
  <c r="K1142" i="210"/>
  <c r="O1142" i="210" s="1"/>
  <c r="K2844" i="209"/>
  <c r="O2844" i="209" s="1"/>
  <c r="O1125" i="210"/>
  <c r="I1171" i="210" s="1"/>
  <c r="K1146" i="210"/>
  <c r="O1146" i="210" s="1"/>
  <c r="K2845" i="209"/>
  <c r="O2845" i="209" s="1"/>
  <c r="O1126" i="210"/>
  <c r="I1172" i="210" s="1"/>
  <c r="K49" i="43"/>
  <c r="I3471" i="209"/>
  <c r="O3471" i="209" s="1"/>
  <c r="K3569" i="209"/>
  <c r="D3683" i="209"/>
  <c r="G3683" i="209" s="1"/>
  <c r="L33" i="44"/>
  <c r="M61" i="171"/>
  <c r="X60" i="171"/>
  <c r="Y60" i="171" s="1"/>
  <c r="K3573" i="209"/>
  <c r="D3687" i="209"/>
  <c r="G3687" i="209" s="1"/>
  <c r="L37" i="44"/>
  <c r="O1509" i="209"/>
  <c r="G1673" i="209"/>
  <c r="D1687" i="209"/>
  <c r="K53" i="43"/>
  <c r="I3475" i="209"/>
  <c r="O3475" i="209" s="1"/>
  <c r="D1180" i="210"/>
  <c r="G1180" i="210" s="1"/>
  <c r="G1169" i="210"/>
  <c r="D3696" i="209"/>
  <c r="G3696" i="209" s="1"/>
  <c r="K3582" i="209"/>
  <c r="L46" i="44"/>
  <c r="EK45" i="190"/>
  <c r="EL15" i="190"/>
  <c r="D1614" i="209"/>
  <c r="G1506" i="209"/>
  <c r="I16" i="27"/>
  <c r="D3701" i="209"/>
  <c r="G3701" i="209" s="1"/>
  <c r="K3587" i="209"/>
  <c r="L51" i="44"/>
  <c r="D4011" i="209"/>
  <c r="G4011" i="209" s="1"/>
  <c r="P19" i="44" s="1"/>
  <c r="O19" i="44"/>
  <c r="D3895" i="209"/>
  <c r="G3895" i="209" s="1"/>
  <c r="N17" i="44"/>
  <c r="K52" i="43"/>
  <c r="I3474" i="209"/>
  <c r="O3474" i="209" s="1"/>
  <c r="D3697" i="209"/>
  <c r="G3697" i="209" s="1"/>
  <c r="K3583" i="209"/>
  <c r="L47" i="44"/>
  <c r="O1500" i="209"/>
  <c r="I1506" i="209"/>
  <c r="D3703" i="209"/>
  <c r="G3703" i="209" s="1"/>
  <c r="K3589" i="209"/>
  <c r="L53" i="44"/>
  <c r="H45" i="42"/>
  <c r="H56" i="42" s="1"/>
  <c r="H93" i="42" s="1"/>
  <c r="H97" i="42" s="1"/>
  <c r="H107" i="42" s="1"/>
  <c r="I1414" i="209"/>
  <c r="O1311" i="209"/>
  <c r="O1351" i="209" s="1"/>
  <c r="O1355" i="209" s="1"/>
  <c r="O1366" i="209" s="1"/>
  <c r="D1147" i="210"/>
  <c r="G1147" i="210" s="1"/>
  <c r="G1148" i="210" s="1"/>
  <c r="D1194" i="210" s="1"/>
  <c r="D3685" i="209"/>
  <c r="G3685" i="209" s="1"/>
  <c r="K3571" i="209"/>
  <c r="L35" i="44"/>
  <c r="EG62" i="190"/>
  <c r="EK61" i="190"/>
  <c r="K1102" i="210"/>
  <c r="K1101" i="210" s="1"/>
  <c r="K2669" i="209" s="1"/>
  <c r="O2669" i="209" s="1"/>
  <c r="EK13" i="190"/>
  <c r="EG14" i="190"/>
  <c r="K54" i="43"/>
  <c r="I3476" i="209"/>
  <c r="O3476" i="209" s="1"/>
  <c r="D3736" i="209"/>
  <c r="G3736" i="209" s="1"/>
  <c r="K3622" i="209"/>
  <c r="L82" i="44"/>
  <c r="K30" i="43"/>
  <c r="I3452" i="209"/>
  <c r="O3452" i="209" s="1"/>
  <c r="D4075" i="209"/>
  <c r="G4075" i="209" s="1"/>
  <c r="P79" i="44" s="1"/>
  <c r="O79" i="44"/>
  <c r="I100" i="42"/>
  <c r="I105" i="42" s="1"/>
  <c r="I1587" i="209"/>
  <c r="O1478" i="209"/>
  <c r="K43" i="43"/>
  <c r="I3465" i="209"/>
  <c r="O3465" i="209" s="1"/>
  <c r="D3727" i="209"/>
  <c r="G3727" i="209" s="1"/>
  <c r="K3613" i="209"/>
  <c r="L73" i="44"/>
  <c r="E41" i="43"/>
  <c r="I2779" i="209"/>
  <c r="O2779" i="209" s="1"/>
  <c r="D1366" i="209"/>
  <c r="C28" i="196"/>
  <c r="K40" i="43"/>
  <c r="I3462" i="209"/>
  <c r="O3462" i="209" s="1"/>
  <c r="I624" i="210"/>
  <c r="O624" i="210" s="1"/>
  <c r="I621" i="210"/>
  <c r="O616" i="210"/>
  <c r="D3702" i="209"/>
  <c r="G3702" i="209" s="1"/>
  <c r="K3588" i="209"/>
  <c r="L52" i="44"/>
  <c r="D3682" i="209"/>
  <c r="G3682" i="209" s="1"/>
  <c r="K3568" i="209"/>
  <c r="L32" i="44"/>
  <c r="D1414" i="209"/>
  <c r="G44" i="27"/>
  <c r="G55" i="27" s="1"/>
  <c r="G91" i="27" s="1"/>
  <c r="G101" i="27" s="1"/>
  <c r="G1311" i="209"/>
  <c r="G1351" i="209" s="1"/>
  <c r="G1355" i="209" s="1"/>
  <c r="G1366" i="209" s="1"/>
  <c r="K79" i="43"/>
  <c r="I3504" i="209"/>
  <c r="O3504" i="209" s="1"/>
  <c r="D3692" i="209"/>
  <c r="G3692" i="209" s="1"/>
  <c r="K3578" i="209"/>
  <c r="L42" i="44"/>
  <c r="D1216" i="210"/>
  <c r="K1170" i="210"/>
  <c r="K35" i="43"/>
  <c r="I3457" i="209"/>
  <c r="O3457" i="209" s="1"/>
  <c r="K33" i="43"/>
  <c r="I3455" i="209"/>
  <c r="O3455" i="209" s="1"/>
  <c r="D4010" i="209"/>
  <c r="G4010" i="209" s="1"/>
  <c r="P18" i="44" s="1"/>
  <c r="O18" i="44"/>
  <c r="K51" i="43"/>
  <c r="I3473" i="209"/>
  <c r="O3473" i="209" s="1"/>
  <c r="D4026" i="209"/>
  <c r="G4026" i="209" s="1"/>
  <c r="P34" i="44" s="1"/>
  <c r="O34" i="44"/>
  <c r="EF63" i="190"/>
  <c r="I609" i="210"/>
  <c r="G609" i="210"/>
  <c r="D4012" i="209"/>
  <c r="G4012" i="209" s="1"/>
  <c r="P20" i="44" s="1"/>
  <c r="O20" i="44"/>
  <c r="D1185" i="210"/>
  <c r="G1185" i="210" s="1"/>
  <c r="G1186" i="210" s="1"/>
  <c r="D1232" i="210" s="1"/>
  <c r="K82" i="43"/>
  <c r="I3507" i="209"/>
  <c r="O3507" i="209" s="1"/>
  <c r="J73" i="42"/>
  <c r="I1673" i="209"/>
  <c r="O1573" i="209"/>
  <c r="D3731" i="209"/>
  <c r="G3731" i="209" s="1"/>
  <c r="K3617" i="209"/>
  <c r="L77" i="44"/>
  <c r="K73" i="43"/>
  <c r="I3498" i="209"/>
  <c r="O3498" i="209" s="1"/>
  <c r="D3689" i="209"/>
  <c r="G3689" i="209" s="1"/>
  <c r="K3575" i="209"/>
  <c r="L39" i="44"/>
  <c r="K31" i="43"/>
  <c r="I3453" i="209"/>
  <c r="O3453" i="209" s="1"/>
  <c r="I89" i="27"/>
  <c r="D3738" i="209"/>
  <c r="G3738" i="209" s="1"/>
  <c r="K3624" i="209"/>
  <c r="L84" i="44"/>
  <c r="EK46" i="190"/>
  <c r="EG60" i="190"/>
  <c r="M71" i="170"/>
  <c r="X70" i="170"/>
  <c r="Y70" i="170" s="1"/>
  <c r="K29" i="43"/>
  <c r="I3451" i="209"/>
  <c r="O3451" i="209" s="1"/>
  <c r="K1090" i="210"/>
  <c r="K1089" i="210" s="1"/>
  <c r="K2662" i="209" s="1"/>
  <c r="O2662" i="209" s="1"/>
  <c r="G1587" i="209"/>
  <c r="D1592" i="209"/>
  <c r="C87" i="196" s="1"/>
  <c r="F87" i="196" s="1"/>
  <c r="EG12" i="190"/>
  <c r="EK6" i="190"/>
  <c r="D3699" i="209"/>
  <c r="G3699" i="209" s="1"/>
  <c r="K3585" i="209"/>
  <c r="L49" i="44"/>
  <c r="D1143" i="210"/>
  <c r="G1143" i="210" s="1"/>
  <c r="G1144" i="210" s="1"/>
  <c r="D1190" i="210" s="1"/>
  <c r="K46" i="43"/>
  <c r="I3468" i="209"/>
  <c r="O3468" i="209" s="1"/>
  <c r="D3693" i="209"/>
  <c r="G3693" i="209" s="1"/>
  <c r="K3579" i="209"/>
  <c r="L43" i="44"/>
  <c r="D3704" i="209"/>
  <c r="G3704" i="209" s="1"/>
  <c r="K3590" i="209"/>
  <c r="L54" i="44"/>
  <c r="D4028" i="209"/>
  <c r="G4028" i="209" s="1"/>
  <c r="P36" i="44" s="1"/>
  <c r="O36" i="44"/>
  <c r="D3678" i="209"/>
  <c r="G3678" i="209" s="1"/>
  <c r="K3564" i="209"/>
  <c r="L28" i="44"/>
  <c r="D3737" i="209"/>
  <c r="G3737" i="209" s="1"/>
  <c r="K3623" i="209"/>
  <c r="L83" i="44"/>
  <c r="D3735" i="209"/>
  <c r="G3735" i="209" s="1"/>
  <c r="K3621" i="209"/>
  <c r="L81" i="44"/>
  <c r="K74" i="43"/>
  <c r="I3499" i="209"/>
  <c r="O3499" i="209" s="1"/>
  <c r="O1037" i="209"/>
  <c r="G1096" i="209"/>
  <c r="D4030" i="209"/>
  <c r="G4030" i="209" s="1"/>
  <c r="P38" i="44" s="1"/>
  <c r="O38" i="44"/>
  <c r="I1184" i="210"/>
  <c r="BV77" i="190"/>
  <c r="CD75" i="190"/>
  <c r="CD77" i="190" s="1"/>
  <c r="BW75" i="190"/>
  <c r="G1690" i="209"/>
  <c r="D1691" i="209"/>
  <c r="C68" i="49" l="1"/>
  <c r="I69" i="49"/>
  <c r="C69" i="49" s="1"/>
  <c r="C72" i="49" s="1"/>
  <c r="D20" i="54" s="1"/>
  <c r="I101" i="130"/>
  <c r="I103" i="130" s="1"/>
  <c r="I84" i="47"/>
  <c r="I86" i="47" s="1"/>
  <c r="J36" i="46" s="1"/>
  <c r="Q99" i="44"/>
  <c r="F84" i="47"/>
  <c r="D86" i="47"/>
  <c r="H140" i="213"/>
  <c r="U21" i="77" s="1"/>
  <c r="U22" i="77" s="1"/>
  <c r="U23" i="77" s="1"/>
  <c r="L137" i="213"/>
  <c r="I25" i="68"/>
  <c r="D33" i="154"/>
  <c r="F33" i="154" s="1"/>
  <c r="G33" i="154" s="1"/>
  <c r="K33" i="154" s="1"/>
  <c r="K1144" i="210"/>
  <c r="K1148" i="210"/>
  <c r="EG63" i="190"/>
  <c r="K1147" i="210"/>
  <c r="K2783" i="209" s="1"/>
  <c r="K1143" i="210"/>
  <c r="K2782" i="209" s="1"/>
  <c r="K3728" i="209"/>
  <c r="D3842" i="209"/>
  <c r="G3842" i="209" s="1"/>
  <c r="M74" i="44"/>
  <c r="O1089" i="210"/>
  <c r="O1090" i="210" s="1"/>
  <c r="I1136" i="210" s="1"/>
  <c r="I1135" i="210" s="1"/>
  <c r="L75" i="43"/>
  <c r="I3614" i="209"/>
  <c r="O3614" i="209" s="1"/>
  <c r="E38" i="43"/>
  <c r="I2776" i="209"/>
  <c r="E45" i="43"/>
  <c r="I2783" i="209"/>
  <c r="O2783" i="209" s="1"/>
  <c r="EK12" i="190"/>
  <c r="EL6" i="190"/>
  <c r="D18" i="47"/>
  <c r="F18" i="47" s="1"/>
  <c r="H18" i="47" s="1"/>
  <c r="Q18" i="44"/>
  <c r="G1691" i="209"/>
  <c r="D1804" i="209"/>
  <c r="J88" i="27"/>
  <c r="J89" i="27" s="1"/>
  <c r="D38" i="47"/>
  <c r="F38" i="47" s="1"/>
  <c r="H38" i="47" s="1"/>
  <c r="Q38" i="44"/>
  <c r="L74" i="43"/>
  <c r="I3613" i="209"/>
  <c r="O3613" i="209" s="1"/>
  <c r="K3738" i="209"/>
  <c r="D3852" i="209"/>
  <c r="G3852" i="209" s="1"/>
  <c r="M84" i="44"/>
  <c r="L35" i="43"/>
  <c r="I3571" i="209"/>
  <c r="O3571" i="209" s="1"/>
  <c r="K3692" i="209"/>
  <c r="D3806" i="209"/>
  <c r="G3806" i="209" s="1"/>
  <c r="M42" i="44"/>
  <c r="K3727" i="209"/>
  <c r="D3841" i="209"/>
  <c r="G3841" i="209" s="1"/>
  <c r="M73" i="44"/>
  <c r="EK62" i="190"/>
  <c r="EL61" i="190"/>
  <c r="O1101" i="210"/>
  <c r="O1102" i="210" s="1"/>
  <c r="I1148" i="210" s="1"/>
  <c r="I1147" i="210" s="1"/>
  <c r="D3811" i="209"/>
  <c r="G3811" i="209" s="1"/>
  <c r="K3697" i="209"/>
  <c r="M47" i="44"/>
  <c r="D19" i="47"/>
  <c r="F19" i="47" s="1"/>
  <c r="H19" i="47" s="1"/>
  <c r="Q19" i="44"/>
  <c r="G1614" i="209"/>
  <c r="D1620" i="209"/>
  <c r="L53" i="43"/>
  <c r="I3589" i="209"/>
  <c r="O3589" i="209" s="1"/>
  <c r="J26" i="42"/>
  <c r="I1623" i="209"/>
  <c r="D3812" i="209"/>
  <c r="G3812" i="209" s="1"/>
  <c r="K3698" i="209"/>
  <c r="M48" i="44"/>
  <c r="BV80" i="190"/>
  <c r="BV82" i="190" s="1"/>
  <c r="BV85" i="190" s="1"/>
  <c r="BW79" i="190"/>
  <c r="CD79" i="190"/>
  <c r="CD80" i="190" s="1"/>
  <c r="CD82" i="190" s="1"/>
  <c r="CD85" i="190" s="1"/>
  <c r="L27" i="43"/>
  <c r="I3563" i="209"/>
  <c r="O3563" i="209" s="1"/>
  <c r="D45" i="47"/>
  <c r="F45" i="47" s="1"/>
  <c r="H45" i="47" s="1"/>
  <c r="Q45" i="44"/>
  <c r="L28" i="43"/>
  <c r="I3564" i="209"/>
  <c r="O3564" i="209" s="1"/>
  <c r="K1136" i="210"/>
  <c r="K1135" i="210" s="1"/>
  <c r="K2776" i="209" s="1"/>
  <c r="L48" i="43"/>
  <c r="I3584" i="209"/>
  <c r="O3584" i="209" s="1"/>
  <c r="L82" i="43"/>
  <c r="I3621" i="209"/>
  <c r="O3621" i="209" s="1"/>
  <c r="CA75" i="190"/>
  <c r="CA77" i="190" s="1"/>
  <c r="BW77" i="190"/>
  <c r="L29" i="43"/>
  <c r="I3565" i="209"/>
  <c r="O3565" i="209" s="1"/>
  <c r="EK60" i="190"/>
  <c r="EL46" i="190"/>
  <c r="I1687" i="209"/>
  <c r="L79" i="43"/>
  <c r="I3618" i="209"/>
  <c r="O3618" i="209" s="1"/>
  <c r="L43" i="43"/>
  <c r="I3579" i="209"/>
  <c r="O3579" i="209" s="1"/>
  <c r="EP15" i="190"/>
  <c r="EL45" i="190"/>
  <c r="L49" i="43"/>
  <c r="I3585" i="209"/>
  <c r="O3585" i="209" s="1"/>
  <c r="I1188" i="210"/>
  <c r="L83" i="43"/>
  <c r="I3622" i="209"/>
  <c r="O3622" i="209" s="1"/>
  <c r="L84" i="43"/>
  <c r="I3623" i="209"/>
  <c r="O3623" i="209" s="1"/>
  <c r="I1185" i="210"/>
  <c r="L32" i="43"/>
  <c r="I3568" i="209"/>
  <c r="O3568" i="209" s="1"/>
  <c r="M137" i="170"/>
  <c r="X136" i="170"/>
  <c r="Y136" i="170" s="1"/>
  <c r="D1181" i="210"/>
  <c r="G1181" i="210" s="1"/>
  <c r="G1182" i="210" s="1"/>
  <c r="D1228" i="210" s="1"/>
  <c r="D3848" i="209"/>
  <c r="G3848" i="209" s="1"/>
  <c r="K3734" i="209"/>
  <c r="M80" i="44"/>
  <c r="K3737" i="209"/>
  <c r="D3851" i="209"/>
  <c r="G3851" i="209" s="1"/>
  <c r="M83" i="44"/>
  <c r="D20" i="47"/>
  <c r="F20" i="47" s="1"/>
  <c r="H20" i="47" s="1"/>
  <c r="Q20" i="44"/>
  <c r="I662" i="210"/>
  <c r="O621" i="210"/>
  <c r="D36" i="47"/>
  <c r="F36" i="47" s="1"/>
  <c r="H36" i="47" s="1"/>
  <c r="Q36" i="44"/>
  <c r="D1189" i="210"/>
  <c r="G1189" i="210" s="1"/>
  <c r="G1190" i="210" s="1"/>
  <c r="D1236" i="210" s="1"/>
  <c r="G1592" i="209"/>
  <c r="D1701" i="209"/>
  <c r="I94" i="27"/>
  <c r="I99" i="27" s="1"/>
  <c r="D3803" i="209"/>
  <c r="G3803" i="209" s="1"/>
  <c r="K3689" i="209"/>
  <c r="M39" i="44"/>
  <c r="J87" i="42"/>
  <c r="D34" i="47"/>
  <c r="F34" i="47" s="1"/>
  <c r="H34" i="47" s="1"/>
  <c r="Q34" i="44"/>
  <c r="L33" i="43"/>
  <c r="I3569" i="209"/>
  <c r="O3569" i="209" s="1"/>
  <c r="L40" i="43"/>
  <c r="I3576" i="209"/>
  <c r="O3576" i="209" s="1"/>
  <c r="K3736" i="209"/>
  <c r="D3850" i="209"/>
  <c r="G3850" i="209" s="1"/>
  <c r="M82" i="44"/>
  <c r="F102" i="43"/>
  <c r="I2958" i="209"/>
  <c r="L47" i="43"/>
  <c r="I3583" i="209"/>
  <c r="O3583" i="209" s="1"/>
  <c r="L73" i="43"/>
  <c r="I3612" i="209"/>
  <c r="O3612" i="209" s="1"/>
  <c r="K3682" i="209"/>
  <c r="D3796" i="209"/>
  <c r="G3796" i="209" s="1"/>
  <c r="M32" i="44"/>
  <c r="D66" i="47"/>
  <c r="F66" i="47" s="1"/>
  <c r="H66" i="47" s="1"/>
  <c r="Q79" i="44"/>
  <c r="L54" i="43"/>
  <c r="I3590" i="209"/>
  <c r="O3590" i="209" s="1"/>
  <c r="K3703" i="209"/>
  <c r="D3817" i="209"/>
  <c r="G3817" i="209" s="1"/>
  <c r="M53" i="44"/>
  <c r="I1192" i="210"/>
  <c r="L78" i="43"/>
  <c r="I3617" i="209"/>
  <c r="O3617" i="209" s="1"/>
  <c r="K3681" i="209"/>
  <c r="D3795" i="209"/>
  <c r="G3795" i="209" s="1"/>
  <c r="M31" i="44"/>
  <c r="D3846" i="209"/>
  <c r="G3846" i="209" s="1"/>
  <c r="K3732" i="209"/>
  <c r="M78" i="44"/>
  <c r="D26" i="47"/>
  <c r="F26" i="47" s="1"/>
  <c r="H26" i="47" s="1"/>
  <c r="Q26" i="44"/>
  <c r="D1217" i="210"/>
  <c r="K1171" i="210"/>
  <c r="O1171" i="210" s="1"/>
  <c r="I1217" i="210" s="1"/>
  <c r="L37" i="43"/>
  <c r="I3573" i="209"/>
  <c r="O3573" i="209" s="1"/>
  <c r="K3677" i="209"/>
  <c r="D3791" i="209"/>
  <c r="G3791" i="209" s="1"/>
  <c r="M27" i="44"/>
  <c r="X136" i="171"/>
  <c r="Y136" i="171" s="1"/>
  <c r="M137" i="171"/>
  <c r="G1623" i="209"/>
  <c r="D41" i="47"/>
  <c r="F41" i="47" s="1"/>
  <c r="H41" i="47" s="1"/>
  <c r="Q41" i="44"/>
  <c r="K3678" i="209"/>
  <c r="D3792" i="209"/>
  <c r="G3792" i="209" s="1"/>
  <c r="M28" i="44"/>
  <c r="F19" i="201"/>
  <c r="M102" i="195"/>
  <c r="F28" i="196"/>
  <c r="C142" i="196"/>
  <c r="F142" i="196" s="1"/>
  <c r="L30" i="43"/>
  <c r="I3566" i="209"/>
  <c r="O3566" i="209" s="1"/>
  <c r="K3685" i="209"/>
  <c r="D3799" i="209"/>
  <c r="G3799" i="209" s="1"/>
  <c r="M35" i="44"/>
  <c r="L52" i="43"/>
  <c r="I3588" i="209"/>
  <c r="O3588" i="209" s="1"/>
  <c r="D4009" i="209"/>
  <c r="G4009" i="209" s="1"/>
  <c r="P17" i="44" s="1"/>
  <c r="O17" i="44"/>
  <c r="F103" i="43"/>
  <c r="I2959" i="209"/>
  <c r="L42" i="43"/>
  <c r="I3578" i="209"/>
  <c r="O3578" i="209" s="1"/>
  <c r="D3804" i="209"/>
  <c r="G3804" i="209" s="1"/>
  <c r="K3690" i="209"/>
  <c r="M40" i="44"/>
  <c r="L50" i="43"/>
  <c r="I3586" i="209"/>
  <c r="O3586" i="209" s="1"/>
  <c r="L81" i="43"/>
  <c r="I3620" i="209"/>
  <c r="O3620" i="209" s="1"/>
  <c r="K3729" i="209"/>
  <c r="D3843" i="209"/>
  <c r="G3843" i="209" s="1"/>
  <c r="M75" i="44"/>
  <c r="K3704" i="209"/>
  <c r="D3818" i="209"/>
  <c r="G3818" i="209" s="1"/>
  <c r="M54" i="44"/>
  <c r="D3845" i="209"/>
  <c r="G3845" i="209" s="1"/>
  <c r="K3731" i="209"/>
  <c r="M77" i="44"/>
  <c r="D3849" i="209"/>
  <c r="G3849" i="209" s="1"/>
  <c r="K3735" i="209"/>
  <c r="M81" i="44"/>
  <c r="M72" i="170"/>
  <c r="X71" i="170"/>
  <c r="Y71" i="170" s="1"/>
  <c r="L51" i="43"/>
  <c r="I3587" i="209"/>
  <c r="O3587" i="209" s="1"/>
  <c r="K1184" i="210"/>
  <c r="O1184" i="210" s="1"/>
  <c r="K2957" i="209"/>
  <c r="O2957" i="209" s="1"/>
  <c r="K1186" i="210"/>
  <c r="O609" i="210"/>
  <c r="D655" i="210"/>
  <c r="D1230" i="210"/>
  <c r="G1230" i="210" s="1"/>
  <c r="G1216" i="210"/>
  <c r="I625" i="210"/>
  <c r="O625" i="210" s="1"/>
  <c r="O626" i="210" s="1"/>
  <c r="I672" i="210" s="1"/>
  <c r="D1193" i="210"/>
  <c r="G1193" i="210" s="1"/>
  <c r="G1194" i="210" s="1"/>
  <c r="D1240" i="210" s="1"/>
  <c r="D3815" i="209"/>
  <c r="G3815" i="209" s="1"/>
  <c r="K3701" i="209"/>
  <c r="M51" i="44"/>
  <c r="D3810" i="209"/>
  <c r="G3810" i="209" s="1"/>
  <c r="K3696" i="209"/>
  <c r="M46" i="44"/>
  <c r="X61" i="171"/>
  <c r="Y61" i="171" s="1"/>
  <c r="M62" i="171"/>
  <c r="H142" i="196"/>
  <c r="M142" i="196" s="1"/>
  <c r="M28" i="196"/>
  <c r="J90" i="42"/>
  <c r="I1690" i="209"/>
  <c r="O1577" i="209"/>
  <c r="D21" i="47"/>
  <c r="F21" i="47" s="1"/>
  <c r="H21" i="47" s="1"/>
  <c r="Q21" i="44"/>
  <c r="D1218" i="210"/>
  <c r="K1172" i="210"/>
  <c r="O1172" i="210" s="1"/>
  <c r="I1218" i="210" s="1"/>
  <c r="D3814" i="209"/>
  <c r="G3814" i="209" s="1"/>
  <c r="K3700" i="209"/>
  <c r="M50" i="44"/>
  <c r="D63" i="47"/>
  <c r="F63" i="47" s="1"/>
  <c r="H63" i="47" s="1"/>
  <c r="Q76" i="44"/>
  <c r="I1180" i="210"/>
  <c r="D3807" i="209"/>
  <c r="G3807" i="209" s="1"/>
  <c r="K3693" i="209"/>
  <c r="M43" i="44"/>
  <c r="O1170" i="210"/>
  <c r="I1216" i="210" s="1"/>
  <c r="O1096" i="209"/>
  <c r="D1151" i="209"/>
  <c r="L46" i="43"/>
  <c r="I3582" i="209"/>
  <c r="O3582" i="209" s="1"/>
  <c r="D3813" i="209"/>
  <c r="G3813" i="209" s="1"/>
  <c r="K3699" i="209"/>
  <c r="M49" i="44"/>
  <c r="L31" i="43"/>
  <c r="I3567" i="209"/>
  <c r="O3567" i="209" s="1"/>
  <c r="G1414" i="209"/>
  <c r="D1425" i="209"/>
  <c r="D1465" i="209" s="1"/>
  <c r="D1469" i="209" s="1"/>
  <c r="K3702" i="209"/>
  <c r="D3816" i="209"/>
  <c r="G3816" i="209" s="1"/>
  <c r="M52" i="44"/>
  <c r="F41" i="43"/>
  <c r="I2893" i="209"/>
  <c r="I1592" i="209"/>
  <c r="H87" i="196" s="1"/>
  <c r="M87" i="196" s="1"/>
  <c r="O1587" i="209"/>
  <c r="EK14" i="190"/>
  <c r="EL13" i="190"/>
  <c r="I22" i="27"/>
  <c r="D1215" i="210"/>
  <c r="K1169" i="210"/>
  <c r="O1169" i="210" s="1"/>
  <c r="I1215" i="210" s="1"/>
  <c r="L76" i="43"/>
  <c r="I3615" i="209"/>
  <c r="O3615" i="209" s="1"/>
  <c r="L39" i="43"/>
  <c r="I3575" i="209"/>
  <c r="O3575" i="209" s="1"/>
  <c r="K3679" i="209"/>
  <c r="D3793" i="209"/>
  <c r="G3793" i="209" s="1"/>
  <c r="M29" i="44"/>
  <c r="K3680" i="209"/>
  <c r="D3794" i="209"/>
  <c r="G3794" i="209" s="1"/>
  <c r="M30" i="44"/>
  <c r="G662" i="210"/>
  <c r="D670" i="210"/>
  <c r="G670" i="210" s="1"/>
  <c r="D667" i="210"/>
  <c r="F100" i="43"/>
  <c r="I2956" i="209"/>
  <c r="O1414" i="209"/>
  <c r="I1425" i="209"/>
  <c r="I1465" i="209" s="1"/>
  <c r="I1469" i="209" s="1"/>
  <c r="J16" i="42"/>
  <c r="I1614" i="209"/>
  <c r="O1506" i="209"/>
  <c r="D1787" i="209"/>
  <c r="G1687" i="209"/>
  <c r="K1673" i="209"/>
  <c r="K1687" i="209" s="1"/>
  <c r="J71" i="27"/>
  <c r="J85" i="27" s="1"/>
  <c r="D3801" i="209"/>
  <c r="G3801" i="209" s="1"/>
  <c r="K3687" i="209"/>
  <c r="M37" i="44"/>
  <c r="K3683" i="209"/>
  <c r="D3797" i="209"/>
  <c r="G3797" i="209" s="1"/>
  <c r="M33" i="44"/>
  <c r="L85" i="43"/>
  <c r="I3624" i="209"/>
  <c r="O3624" i="209" s="1"/>
  <c r="K3726" i="209"/>
  <c r="D3840" i="209"/>
  <c r="G3840" i="209" s="1"/>
  <c r="M72" i="44"/>
  <c r="K2668" i="209"/>
  <c r="O1097" i="210"/>
  <c r="O1098" i="210" s="1"/>
  <c r="I1144" i="210" s="1"/>
  <c r="I1143" i="210" s="1"/>
  <c r="O1143" i="210" s="1"/>
  <c r="O1144" i="210" s="1"/>
  <c r="I1190" i="210" s="1"/>
  <c r="I1189" i="210" s="1"/>
  <c r="G20" i="54" l="1"/>
  <c r="D22" i="54"/>
  <c r="O1147" i="210"/>
  <c r="O1148" i="210" s="1"/>
  <c r="I1194" i="210" s="1"/>
  <c r="G25" i="68"/>
  <c r="F19" i="207"/>
  <c r="L140" i="213"/>
  <c r="M137" i="213"/>
  <c r="H84" i="47"/>
  <c r="H86" i="47" s="1"/>
  <c r="E36" i="46" s="1"/>
  <c r="G36" i="46" s="1"/>
  <c r="I36" i="46" s="1"/>
  <c r="F86" i="47"/>
  <c r="O1135" i="210"/>
  <c r="O1136" i="210" s="1"/>
  <c r="I1182" i="210" s="1"/>
  <c r="I1181" i="210" s="1"/>
  <c r="O1673" i="209"/>
  <c r="M75" i="43"/>
  <c r="I3728" i="209"/>
  <c r="O3728" i="209" s="1"/>
  <c r="K3842" i="209"/>
  <c r="D3956" i="209"/>
  <c r="G3956" i="209" s="1"/>
  <c r="N74" i="44"/>
  <c r="I1226" i="210"/>
  <c r="D3927" i="209"/>
  <c r="G3927" i="209" s="1"/>
  <c r="K3813" i="209"/>
  <c r="N49" i="44"/>
  <c r="K3807" i="209"/>
  <c r="D3921" i="209"/>
  <c r="G3921" i="209" s="1"/>
  <c r="N43" i="44"/>
  <c r="D3960" i="209"/>
  <c r="G3960" i="209" s="1"/>
  <c r="K3846" i="209"/>
  <c r="N78" i="44"/>
  <c r="F88" i="48"/>
  <c r="I83" i="130"/>
  <c r="I66" i="47"/>
  <c r="M53" i="43"/>
  <c r="I3703" i="209"/>
  <c r="O3703" i="209" s="1"/>
  <c r="D3925" i="209"/>
  <c r="G3925" i="209" s="1"/>
  <c r="K3811" i="209"/>
  <c r="N47" i="44"/>
  <c r="M35" i="43"/>
  <c r="I3685" i="209"/>
  <c r="O3685" i="209" s="1"/>
  <c r="G1804" i="209"/>
  <c r="D1805" i="209"/>
  <c r="EL12" i="190"/>
  <c r="EP6" i="190"/>
  <c r="D3954" i="209"/>
  <c r="G3954" i="209" s="1"/>
  <c r="K3840" i="209"/>
  <c r="N72" i="44"/>
  <c r="J100" i="42"/>
  <c r="J105" i="42" s="1"/>
  <c r="I1701" i="209"/>
  <c r="O1592" i="209"/>
  <c r="D1528" i="209"/>
  <c r="H44" i="27"/>
  <c r="H55" i="27" s="1"/>
  <c r="H91" i="27" s="1"/>
  <c r="H101" i="27" s="1"/>
  <c r="G1425" i="209"/>
  <c r="G1465" i="209" s="1"/>
  <c r="G1469" i="209" s="1"/>
  <c r="G1480" i="209" s="1"/>
  <c r="M46" i="43"/>
  <c r="I3696" i="209"/>
  <c r="O3696" i="209" s="1"/>
  <c r="I1691" i="209"/>
  <c r="O1690" i="209"/>
  <c r="D1231" i="210"/>
  <c r="G1231" i="210" s="1"/>
  <c r="G1232" i="210" s="1"/>
  <c r="D3918" i="209"/>
  <c r="G3918" i="209" s="1"/>
  <c r="K3804" i="209"/>
  <c r="N40" i="44"/>
  <c r="K1188" i="210"/>
  <c r="O1188" i="210" s="1"/>
  <c r="K2958" i="209"/>
  <c r="M73" i="43"/>
  <c r="I3726" i="209"/>
  <c r="O3726" i="209" s="1"/>
  <c r="M33" i="43"/>
  <c r="I3683" i="209"/>
  <c r="O3683" i="209" s="1"/>
  <c r="I670" i="210"/>
  <c r="O670" i="210" s="1"/>
  <c r="I667" i="210"/>
  <c r="O662" i="210"/>
  <c r="D3962" i="209"/>
  <c r="G3962" i="209" s="1"/>
  <c r="K3848" i="209"/>
  <c r="N80" i="44"/>
  <c r="X137" i="170"/>
  <c r="Y137" i="170" s="1"/>
  <c r="M138" i="170"/>
  <c r="M84" i="43"/>
  <c r="I3737" i="209"/>
  <c r="O3737" i="209" s="1"/>
  <c r="M49" i="43"/>
  <c r="I3699" i="209"/>
  <c r="O3699" i="209" s="1"/>
  <c r="K3841" i="209"/>
  <c r="D3955" i="209"/>
  <c r="G3955" i="209" s="1"/>
  <c r="N73" i="44"/>
  <c r="EK63" i="190"/>
  <c r="D1480" i="209"/>
  <c r="C29" i="196"/>
  <c r="M82" i="43"/>
  <c r="I3735" i="209"/>
  <c r="O3735" i="209" s="1"/>
  <c r="K3801" i="209"/>
  <c r="D3915" i="209"/>
  <c r="G3915" i="209" s="1"/>
  <c r="N37" i="44"/>
  <c r="I1620" i="209"/>
  <c r="O1614" i="209"/>
  <c r="M31" i="43"/>
  <c r="I3681" i="209"/>
  <c r="O3681" i="209" s="1"/>
  <c r="J91" i="42"/>
  <c r="K1194" i="210"/>
  <c r="G655" i="210"/>
  <c r="I655" i="210"/>
  <c r="D3963" i="209"/>
  <c r="G3963" i="209" s="1"/>
  <c r="K3849" i="209"/>
  <c r="N81" i="44"/>
  <c r="M81" i="43"/>
  <c r="I3734" i="209"/>
  <c r="O3734" i="209" s="1"/>
  <c r="M42" i="43"/>
  <c r="I3692" i="209"/>
  <c r="O3692" i="209" s="1"/>
  <c r="F45" i="48"/>
  <c r="I43" i="130"/>
  <c r="I41" i="47"/>
  <c r="D1234" i="210"/>
  <c r="G1234" i="210" s="1"/>
  <c r="G1217" i="210"/>
  <c r="K3795" i="209"/>
  <c r="D3909" i="209"/>
  <c r="G3909" i="209" s="1"/>
  <c r="N31" i="44"/>
  <c r="D3931" i="209"/>
  <c r="G3931" i="209" s="1"/>
  <c r="K3817" i="209"/>
  <c r="N53" i="44"/>
  <c r="F24" i="48"/>
  <c r="I22" i="130"/>
  <c r="I20" i="47"/>
  <c r="M32" i="43"/>
  <c r="I3682" i="209"/>
  <c r="O3682" i="209" s="1"/>
  <c r="EL60" i="190"/>
  <c r="EP46" i="190"/>
  <c r="M48" i="43"/>
  <c r="I3698" i="209"/>
  <c r="O3698" i="209" s="1"/>
  <c r="D3926" i="209"/>
  <c r="G3926" i="209" s="1"/>
  <c r="K3812" i="209"/>
  <c r="N48" i="44"/>
  <c r="F45" i="43"/>
  <c r="I2897" i="209"/>
  <c r="O2776" i="209"/>
  <c r="J22" i="42"/>
  <c r="M39" i="43"/>
  <c r="I3689" i="209"/>
  <c r="O3689" i="209" s="1"/>
  <c r="K3791" i="209"/>
  <c r="D3905" i="209"/>
  <c r="G3905" i="209" s="1"/>
  <c r="N27" i="44"/>
  <c r="F30" i="48"/>
  <c r="I28" i="130"/>
  <c r="I26" i="47"/>
  <c r="K3796" i="209"/>
  <c r="D3910" i="209"/>
  <c r="G3910" i="209" s="1"/>
  <c r="N32" i="44"/>
  <c r="F38" i="48"/>
  <c r="I36" i="130"/>
  <c r="I34" i="47"/>
  <c r="K1190" i="210"/>
  <c r="K1189" i="210" s="1"/>
  <c r="K2896" i="209" s="1"/>
  <c r="M83" i="43"/>
  <c r="I3736" i="209"/>
  <c r="O3736" i="209" s="1"/>
  <c r="F49" i="48"/>
  <c r="I47" i="130"/>
  <c r="I45" i="47"/>
  <c r="D1728" i="209"/>
  <c r="G1620" i="209"/>
  <c r="J16" i="27"/>
  <c r="J22" i="27" s="1"/>
  <c r="M74" i="43"/>
  <c r="I3727" i="209"/>
  <c r="O3727" i="209" s="1"/>
  <c r="D708" i="210"/>
  <c r="G667" i="210"/>
  <c r="G101" i="43"/>
  <c r="I3071" i="209"/>
  <c r="K1192" i="210"/>
  <c r="O1192" i="210" s="1"/>
  <c r="K2959" i="209"/>
  <c r="O2959" i="209" s="1"/>
  <c r="K1185" i="210"/>
  <c r="K2893" i="209" s="1"/>
  <c r="O2893" i="209" s="1"/>
  <c r="M51" i="43"/>
  <c r="I3701" i="209"/>
  <c r="O3701" i="209" s="1"/>
  <c r="M50" i="43"/>
  <c r="I3700" i="209"/>
  <c r="O3700" i="209" s="1"/>
  <c r="K3799" i="209"/>
  <c r="D3913" i="209"/>
  <c r="G3913" i="209" s="1"/>
  <c r="N35" i="44"/>
  <c r="M78" i="43"/>
  <c r="I3731" i="209"/>
  <c r="O3731" i="209" s="1"/>
  <c r="D3964" i="209"/>
  <c r="G3964" i="209" s="1"/>
  <c r="K3850" i="209"/>
  <c r="N82" i="44"/>
  <c r="D3917" i="209"/>
  <c r="G3917" i="209" s="1"/>
  <c r="K3803" i="209"/>
  <c r="N39" i="44"/>
  <c r="F40" i="48"/>
  <c r="I38" i="130"/>
  <c r="I36" i="47"/>
  <c r="EP45" i="190"/>
  <c r="EQ15" i="190"/>
  <c r="M79" i="43"/>
  <c r="I3732" i="209"/>
  <c r="O3732" i="209" s="1"/>
  <c r="M29" i="43"/>
  <c r="I3679" i="209"/>
  <c r="O3679" i="209" s="1"/>
  <c r="F23" i="48"/>
  <c r="I21" i="130"/>
  <c r="I19" i="47"/>
  <c r="EP61" i="190"/>
  <c r="EL62" i="190"/>
  <c r="M85" i="43"/>
  <c r="I3738" i="209"/>
  <c r="O3738" i="209" s="1"/>
  <c r="I1234" i="210"/>
  <c r="I1151" i="209"/>
  <c r="D1210" i="209"/>
  <c r="I1210" i="209" s="1"/>
  <c r="G1151" i="209"/>
  <c r="D3924" i="209"/>
  <c r="G3924" i="209" s="1"/>
  <c r="K3810" i="209"/>
  <c r="N46" i="44"/>
  <c r="D671" i="210"/>
  <c r="G671" i="210" s="1"/>
  <c r="G672" i="210" s="1"/>
  <c r="I1480" i="209"/>
  <c r="H29" i="196"/>
  <c r="I45" i="42"/>
  <c r="I56" i="42" s="1"/>
  <c r="I93" i="42" s="1"/>
  <c r="I97" i="42" s="1"/>
  <c r="I107" i="42" s="1"/>
  <c r="I1528" i="209"/>
  <c r="O1425" i="209"/>
  <c r="O1465" i="209" s="1"/>
  <c r="O1469" i="209" s="1"/>
  <c r="O1480" i="209" s="1"/>
  <c r="M76" i="43"/>
  <c r="I3729" i="209"/>
  <c r="O3729" i="209" s="1"/>
  <c r="K1180" i="210"/>
  <c r="O1180" i="210" s="1"/>
  <c r="K2956" i="209"/>
  <c r="O2956" i="209" s="1"/>
  <c r="I1230" i="210"/>
  <c r="G1218" i="210"/>
  <c r="D1238" i="210"/>
  <c r="G1238" i="210" s="1"/>
  <c r="D17" i="47"/>
  <c r="F17" i="47" s="1"/>
  <c r="H17" i="47" s="1"/>
  <c r="Q17" i="44"/>
  <c r="D1737" i="209"/>
  <c r="J25" i="27"/>
  <c r="M37" i="43"/>
  <c r="I3687" i="209"/>
  <c r="O3687" i="209" s="1"/>
  <c r="O2958" i="209"/>
  <c r="K3851" i="209"/>
  <c r="D3965" i="209"/>
  <c r="G3965" i="209" s="1"/>
  <c r="N83" i="44"/>
  <c r="K1182" i="210"/>
  <c r="M27" i="43"/>
  <c r="I3677" i="209"/>
  <c r="O3677" i="209" s="1"/>
  <c r="O1623" i="209"/>
  <c r="K3852" i="209"/>
  <c r="D3966" i="209"/>
  <c r="G3966" i="209" s="1"/>
  <c r="N84" i="44"/>
  <c r="F42" i="48"/>
  <c r="I40" i="130"/>
  <c r="I38" i="47"/>
  <c r="M47" i="43"/>
  <c r="I3697" i="209"/>
  <c r="O3697" i="209" s="1"/>
  <c r="G1701" i="209"/>
  <c r="D1706" i="209"/>
  <c r="C88" i="196" s="1"/>
  <c r="F88" i="196" s="1"/>
  <c r="K73" i="42"/>
  <c r="K87" i="42" s="1"/>
  <c r="O1687" i="209"/>
  <c r="I1787" i="209"/>
  <c r="D3928" i="209"/>
  <c r="G3928" i="209" s="1"/>
  <c r="K3814" i="209"/>
  <c r="N50" i="44"/>
  <c r="D3932" i="209"/>
  <c r="G3932" i="209" s="1"/>
  <c r="K3818" i="209"/>
  <c r="N54" i="44"/>
  <c r="K3797" i="209"/>
  <c r="D3911" i="209"/>
  <c r="G3911" i="209" s="1"/>
  <c r="N33" i="44"/>
  <c r="G1787" i="209"/>
  <c r="D1801" i="209"/>
  <c r="K3794" i="209"/>
  <c r="D3908" i="209"/>
  <c r="G3908" i="209" s="1"/>
  <c r="N30" i="44"/>
  <c r="K3793" i="209"/>
  <c r="D3907" i="209"/>
  <c r="G3907" i="209" s="1"/>
  <c r="N29" i="44"/>
  <c r="D1226" i="210"/>
  <c r="G1226" i="210" s="1"/>
  <c r="G1215" i="210"/>
  <c r="D3930" i="209"/>
  <c r="G3930" i="209" s="1"/>
  <c r="K3816" i="209"/>
  <c r="N52" i="44"/>
  <c r="F25" i="48"/>
  <c r="I23" i="130"/>
  <c r="I21" i="47"/>
  <c r="I1193" i="210"/>
  <c r="D3929" i="209"/>
  <c r="G3929" i="209" s="1"/>
  <c r="K3815" i="209"/>
  <c r="N51" i="44"/>
  <c r="D1262" i="210"/>
  <c r="K1216" i="210"/>
  <c r="K3843" i="209"/>
  <c r="D3957" i="209"/>
  <c r="G3957" i="209" s="1"/>
  <c r="N75" i="44"/>
  <c r="D1235" i="210"/>
  <c r="G1235" i="210" s="1"/>
  <c r="M52" i="43"/>
  <c r="I3702" i="209"/>
  <c r="O3702" i="209" s="1"/>
  <c r="M30" i="43"/>
  <c r="I3680" i="209"/>
  <c r="O3680" i="209" s="1"/>
  <c r="X137" i="171"/>
  <c r="Y137" i="171" s="1"/>
  <c r="M138" i="171"/>
  <c r="M54" i="43"/>
  <c r="I3704" i="209"/>
  <c r="O3704" i="209" s="1"/>
  <c r="BW80" i="190"/>
  <c r="BW82" i="190" s="1"/>
  <c r="BW85" i="190" s="1"/>
  <c r="CA79" i="190"/>
  <c r="CA80" i="190" s="1"/>
  <c r="CA82" i="190" s="1"/>
  <c r="CA85" i="190" s="1"/>
  <c r="K3806" i="209"/>
  <c r="D3920" i="209"/>
  <c r="G3920" i="209" s="1"/>
  <c r="N42" i="44"/>
  <c r="F22" i="48"/>
  <c r="I20" i="130"/>
  <c r="I18" i="47"/>
  <c r="EP13" i="190"/>
  <c r="EL14" i="190"/>
  <c r="F85" i="48"/>
  <c r="I80" i="130"/>
  <c r="I63" i="47"/>
  <c r="X62" i="171"/>
  <c r="Y62" i="171" s="1"/>
  <c r="M63" i="171"/>
  <c r="M73" i="170"/>
  <c r="X72" i="170"/>
  <c r="Y72" i="170" s="1"/>
  <c r="K3845" i="209"/>
  <c r="D3959" i="209"/>
  <c r="G3959" i="209" s="1"/>
  <c r="N77" i="44"/>
  <c r="K3792" i="209"/>
  <c r="D3906" i="209"/>
  <c r="G3906" i="209" s="1"/>
  <c r="N28" i="44"/>
  <c r="I1238" i="210"/>
  <c r="M40" i="43"/>
  <c r="I3690" i="209"/>
  <c r="O3690" i="209" s="1"/>
  <c r="M43" i="43"/>
  <c r="I3693" i="209"/>
  <c r="O3693" i="209" s="1"/>
  <c r="M28" i="43"/>
  <c r="I3678" i="209"/>
  <c r="O3678" i="209" s="1"/>
  <c r="I22" i="50" l="1"/>
  <c r="G22" i="54"/>
  <c r="D31" i="45" s="1"/>
  <c r="M140" i="213"/>
  <c r="K34" i="69"/>
  <c r="N137" i="213"/>
  <c r="N140" i="213" s="1"/>
  <c r="P137" i="213"/>
  <c r="P140" i="213" s="1"/>
  <c r="K1181" i="210"/>
  <c r="K2890" i="209" s="1"/>
  <c r="K3956" i="209"/>
  <c r="D4070" i="209"/>
  <c r="G4070" i="209" s="1"/>
  <c r="O74" i="44"/>
  <c r="I3842" i="209"/>
  <c r="O3842" i="209" s="1"/>
  <c r="N75" i="43"/>
  <c r="K1193" i="210"/>
  <c r="K2897" i="209" s="1"/>
  <c r="O2897" i="209" s="1"/>
  <c r="G100" i="43"/>
  <c r="I3070" i="209"/>
  <c r="F29" i="196"/>
  <c r="C143" i="196"/>
  <c r="F143" i="196" s="1"/>
  <c r="K3959" i="209"/>
  <c r="D4073" i="209"/>
  <c r="G4073" i="209" s="1"/>
  <c r="O77" i="44"/>
  <c r="D4046" i="209"/>
  <c r="G4046" i="209" s="1"/>
  <c r="K3932" i="209"/>
  <c r="O54" i="44"/>
  <c r="D4045" i="209"/>
  <c r="G4045" i="209" s="1"/>
  <c r="K3931" i="209"/>
  <c r="O53" i="44"/>
  <c r="M74" i="170"/>
  <c r="X73" i="170"/>
  <c r="Y73" i="170" s="1"/>
  <c r="D4042" i="209"/>
  <c r="G4042" i="209" s="1"/>
  <c r="K3928" i="209"/>
  <c r="O50" i="44"/>
  <c r="D1815" i="209"/>
  <c r="G1706" i="209"/>
  <c r="J94" i="27"/>
  <c r="J99" i="27" s="1"/>
  <c r="O1528" i="209"/>
  <c r="I1539" i="209"/>
  <c r="I1579" i="209" s="1"/>
  <c r="I1583" i="209" s="1"/>
  <c r="N85" i="43"/>
  <c r="I3852" i="209"/>
  <c r="O3852" i="209" s="1"/>
  <c r="N79" i="43"/>
  <c r="I3846" i="209"/>
  <c r="O3846" i="209" s="1"/>
  <c r="N51" i="43"/>
  <c r="I3815" i="209"/>
  <c r="O3815" i="209" s="1"/>
  <c r="N74" i="43"/>
  <c r="I3841" i="209"/>
  <c r="O3841" i="209" s="1"/>
  <c r="N32" i="43"/>
  <c r="I3796" i="209"/>
  <c r="O3796" i="209" s="1"/>
  <c r="N81" i="43"/>
  <c r="I3848" i="209"/>
  <c r="O3848" i="209" s="1"/>
  <c r="N31" i="43"/>
  <c r="I3795" i="209"/>
  <c r="O3795" i="209" s="1"/>
  <c r="K16" i="42"/>
  <c r="K22" i="42" s="1"/>
  <c r="I1728" i="209"/>
  <c r="O1620" i="209"/>
  <c r="N49" i="43"/>
  <c r="I3813" i="209"/>
  <c r="O3813" i="209" s="1"/>
  <c r="D4076" i="209"/>
  <c r="G4076" i="209" s="1"/>
  <c r="K3962" i="209"/>
  <c r="O80" i="44"/>
  <c r="N73" i="43"/>
  <c r="I3840" i="209"/>
  <c r="O3840" i="209" s="1"/>
  <c r="K3921" i="209"/>
  <c r="D4035" i="209"/>
  <c r="G4035" i="209" s="1"/>
  <c r="O43" i="44"/>
  <c r="I671" i="210"/>
  <c r="D1278" i="210"/>
  <c r="K1232" i="210"/>
  <c r="N52" i="43"/>
  <c r="I3816" i="209"/>
  <c r="O3816" i="209" s="1"/>
  <c r="D4043" i="209"/>
  <c r="G4043" i="209" s="1"/>
  <c r="K3929" i="209"/>
  <c r="O51" i="44"/>
  <c r="D4021" i="209"/>
  <c r="G4021" i="209" s="1"/>
  <c r="K3907" i="209"/>
  <c r="O29" i="44"/>
  <c r="G1801" i="209"/>
  <c r="D1901" i="209"/>
  <c r="K1787" i="209"/>
  <c r="K1801" i="209" s="1"/>
  <c r="K71" i="27"/>
  <c r="K85" i="27" s="1"/>
  <c r="K26" i="42"/>
  <c r="I1737" i="209"/>
  <c r="G102" i="43"/>
  <c r="I3072" i="209"/>
  <c r="O1151" i="209"/>
  <c r="G1210" i="209"/>
  <c r="D4031" i="209"/>
  <c r="G4031" i="209" s="1"/>
  <c r="K3917" i="209"/>
  <c r="O39" i="44"/>
  <c r="D4027" i="209"/>
  <c r="G4027" i="209" s="1"/>
  <c r="K3913" i="209"/>
  <c r="O35" i="44"/>
  <c r="I708" i="210"/>
  <c r="O667" i="210"/>
  <c r="N30" i="43"/>
  <c r="I3794" i="209"/>
  <c r="O3794" i="209" s="1"/>
  <c r="K3966" i="209"/>
  <c r="D4080" i="209"/>
  <c r="G4080" i="209" s="1"/>
  <c r="O84" i="44"/>
  <c r="EP14" i="190"/>
  <c r="EQ13" i="190"/>
  <c r="D4020" i="209"/>
  <c r="G4020" i="209" s="1"/>
  <c r="K3906" i="209"/>
  <c r="O28" i="44"/>
  <c r="K3957" i="209"/>
  <c r="D4071" i="209"/>
  <c r="G4071" i="209" s="1"/>
  <c r="O75" i="44"/>
  <c r="G1737" i="209"/>
  <c r="H143" i="196"/>
  <c r="M143" i="196" s="1"/>
  <c r="M29" i="196"/>
  <c r="EQ45" i="190"/>
  <c r="EU15" i="190"/>
  <c r="D1227" i="210"/>
  <c r="G1227" i="210" s="1"/>
  <c r="G1228" i="210" s="1"/>
  <c r="N83" i="43"/>
  <c r="I3850" i="209"/>
  <c r="O3850" i="209" s="1"/>
  <c r="N48" i="43"/>
  <c r="I3812" i="209"/>
  <c r="O3812" i="209" s="1"/>
  <c r="N82" i="43"/>
  <c r="I3849" i="209"/>
  <c r="O3849" i="209" s="1"/>
  <c r="N84" i="43"/>
  <c r="I3851" i="209"/>
  <c r="O3851" i="209" s="1"/>
  <c r="M103" i="195"/>
  <c r="G1528" i="209"/>
  <c r="D1539" i="209"/>
  <c r="D1579" i="209" s="1"/>
  <c r="D1583" i="209" s="1"/>
  <c r="EQ6" i="190"/>
  <c r="EP12" i="190"/>
  <c r="D4039" i="209"/>
  <c r="G4039" i="209" s="1"/>
  <c r="K3925" i="209"/>
  <c r="O47" i="44"/>
  <c r="K1230" i="210"/>
  <c r="O1230" i="210" s="1"/>
  <c r="K3071" i="209"/>
  <c r="O3071" i="209" s="1"/>
  <c r="X63" i="171"/>
  <c r="Y63" i="171" s="1"/>
  <c r="M64" i="171"/>
  <c r="N28" i="43"/>
  <c r="I3792" i="209"/>
  <c r="O3792" i="209" s="1"/>
  <c r="N40" i="43"/>
  <c r="I3804" i="209"/>
  <c r="O3804" i="209" s="1"/>
  <c r="N54" i="43"/>
  <c r="I3818" i="209"/>
  <c r="O3818" i="209" s="1"/>
  <c r="D4025" i="209"/>
  <c r="G4025" i="209" s="1"/>
  <c r="K3911" i="209"/>
  <c r="O33" i="44"/>
  <c r="D718" i="210"/>
  <c r="K672" i="210"/>
  <c r="K671" i="210" s="1"/>
  <c r="K1634" i="209" s="1"/>
  <c r="N47" i="43"/>
  <c r="I3811" i="209"/>
  <c r="O3811" i="209" s="1"/>
  <c r="N27" i="43"/>
  <c r="I3791" i="209"/>
  <c r="O3791" i="209" s="1"/>
  <c r="F21" i="48"/>
  <c r="I19" i="130"/>
  <c r="I17" i="47"/>
  <c r="N78" i="43"/>
  <c r="I3845" i="209"/>
  <c r="O3845" i="209" s="1"/>
  <c r="G103" i="43"/>
  <c r="I3073" i="209"/>
  <c r="D4019" i="209"/>
  <c r="G4019" i="209" s="1"/>
  <c r="K3905" i="209"/>
  <c r="O27" i="44"/>
  <c r="O1181" i="210"/>
  <c r="O1182" i="210" s="1"/>
  <c r="I1228" i="210" s="1"/>
  <c r="I1227" i="210" s="1"/>
  <c r="D4023" i="209"/>
  <c r="G4023" i="209" s="1"/>
  <c r="K3909" i="209"/>
  <c r="O31" i="44"/>
  <c r="K3915" i="209"/>
  <c r="D4029" i="209"/>
  <c r="G4029" i="209" s="1"/>
  <c r="O37" i="44"/>
  <c r="D4069" i="209"/>
  <c r="G4069" i="209" s="1"/>
  <c r="K3955" i="209"/>
  <c r="O73" i="44"/>
  <c r="F21" i="201"/>
  <c r="F39" i="201" s="1"/>
  <c r="EL63" i="190"/>
  <c r="N53" i="43"/>
  <c r="I3817" i="209"/>
  <c r="O3817" i="209" s="1"/>
  <c r="N43" i="43"/>
  <c r="I3807" i="209"/>
  <c r="O3807" i="209" s="1"/>
  <c r="D4038" i="209"/>
  <c r="G4038" i="209" s="1"/>
  <c r="K3924" i="209"/>
  <c r="O46" i="44"/>
  <c r="D4022" i="209"/>
  <c r="G4022" i="209" s="1"/>
  <c r="K3908" i="209"/>
  <c r="O30" i="44"/>
  <c r="O1787" i="209"/>
  <c r="I1801" i="209"/>
  <c r="K1218" i="210"/>
  <c r="D1264" i="210"/>
  <c r="D4078" i="209"/>
  <c r="G4078" i="209" s="1"/>
  <c r="K3964" i="209"/>
  <c r="O82" i="44"/>
  <c r="D713" i="210"/>
  <c r="D716" i="210"/>
  <c r="G716" i="210" s="1"/>
  <c r="G708" i="210"/>
  <c r="F38" i="43"/>
  <c r="I2890" i="209"/>
  <c r="O2890" i="209" s="1"/>
  <c r="D4040" i="209"/>
  <c r="G4040" i="209" s="1"/>
  <c r="K3926" i="209"/>
  <c r="O48" i="44"/>
  <c r="EP60" i="190"/>
  <c r="EQ46" i="190"/>
  <c r="N42" i="43"/>
  <c r="I3806" i="209"/>
  <c r="O3806" i="209" s="1"/>
  <c r="D4077" i="209"/>
  <c r="G4077" i="209" s="1"/>
  <c r="K3963" i="209"/>
  <c r="O81" i="44"/>
  <c r="D1239" i="210"/>
  <c r="G1239" i="210" s="1"/>
  <c r="G1240" i="210" s="1"/>
  <c r="O1185" i="210"/>
  <c r="O1186" i="210" s="1"/>
  <c r="I1232" i="210" s="1"/>
  <c r="I1231" i="210" s="1"/>
  <c r="X138" i="170"/>
  <c r="Y138" i="170" s="1"/>
  <c r="M139" i="170"/>
  <c r="N33" i="43"/>
  <c r="I3797" i="209"/>
  <c r="O3797" i="209" s="1"/>
  <c r="D4032" i="209"/>
  <c r="G4032" i="209" s="1"/>
  <c r="K3918" i="209"/>
  <c r="O40" i="44"/>
  <c r="K90" i="42"/>
  <c r="K91" i="42" s="1"/>
  <c r="I1804" i="209"/>
  <c r="O1691" i="209"/>
  <c r="I1706" i="209"/>
  <c r="H88" i="196" s="1"/>
  <c r="M88" i="196" s="1"/>
  <c r="O1701" i="209"/>
  <c r="D4068" i="209"/>
  <c r="G4068" i="209" s="1"/>
  <c r="K3954" i="209"/>
  <c r="O72" i="44"/>
  <c r="K3960" i="209"/>
  <c r="D4074" i="209"/>
  <c r="G4074" i="209" s="1"/>
  <c r="O78" i="44"/>
  <c r="D4041" i="209"/>
  <c r="G4041" i="209" s="1"/>
  <c r="K3927" i="209"/>
  <c r="O49" i="44"/>
  <c r="D4079" i="209"/>
  <c r="G4079" i="209" s="1"/>
  <c r="K3965" i="209"/>
  <c r="O83" i="44"/>
  <c r="N76" i="43"/>
  <c r="I3843" i="209"/>
  <c r="O3843" i="209" s="1"/>
  <c r="EQ61" i="190"/>
  <c r="EP62" i="190"/>
  <c r="D4024" i="209"/>
  <c r="G4024" i="209" s="1"/>
  <c r="K3910" i="209"/>
  <c r="O32" i="44"/>
  <c r="G41" i="43"/>
  <c r="I3007" i="209"/>
  <c r="D1263" i="210"/>
  <c r="K1217" i="210"/>
  <c r="D1918" i="209"/>
  <c r="G1805" i="209"/>
  <c r="K88" i="27"/>
  <c r="K89" i="27" s="1"/>
  <c r="K3920" i="209"/>
  <c r="D4034" i="209"/>
  <c r="G4034" i="209" s="1"/>
  <c r="O42" i="44"/>
  <c r="M139" i="171"/>
  <c r="X138" i="171"/>
  <c r="Y138" i="171" s="1"/>
  <c r="D4044" i="209"/>
  <c r="G4044" i="209" s="1"/>
  <c r="K3930" i="209"/>
  <c r="O52" i="44"/>
  <c r="G1262" i="210"/>
  <c r="D1276" i="210"/>
  <c r="G1276" i="210" s="1"/>
  <c r="K1215" i="210"/>
  <c r="D1261" i="210"/>
  <c r="N37" i="43"/>
  <c r="I3801" i="209"/>
  <c r="O3801" i="209" s="1"/>
  <c r="O1216" i="210"/>
  <c r="I1262" i="210" s="1"/>
  <c r="N29" i="43"/>
  <c r="I3793" i="209"/>
  <c r="O3793" i="209" s="1"/>
  <c r="N50" i="43"/>
  <c r="I3814" i="209"/>
  <c r="O3814" i="209" s="1"/>
  <c r="D1734" i="209"/>
  <c r="G1728" i="209"/>
  <c r="N39" i="43"/>
  <c r="I3803" i="209"/>
  <c r="O3803" i="209" s="1"/>
  <c r="G1236" i="210"/>
  <c r="O655" i="210"/>
  <c r="D701" i="210"/>
  <c r="N46" i="43"/>
  <c r="I3810" i="209"/>
  <c r="O3810" i="209" s="1"/>
  <c r="N35" i="43"/>
  <c r="I3799" i="209"/>
  <c r="O3799" i="209" s="1"/>
  <c r="O1189" i="210"/>
  <c r="O1190" i="210" s="1"/>
  <c r="I1236" i="210" s="1"/>
  <c r="I1235" i="210" s="1"/>
  <c r="E31" i="45" l="1"/>
  <c r="K31" i="45" s="1"/>
  <c r="J31" i="45"/>
  <c r="L22" i="50"/>
  <c r="L24" i="50" s="1"/>
  <c r="I24" i="50"/>
  <c r="O671" i="210"/>
  <c r="O672" i="210" s="1"/>
  <c r="I718" i="210" s="1"/>
  <c r="G45" i="43"/>
  <c r="I3011" i="209"/>
  <c r="O1193" i="210"/>
  <c r="O1194" i="210" s="1"/>
  <c r="I1240" i="210" s="1"/>
  <c r="I1239" i="210" s="1"/>
  <c r="I3956" i="209"/>
  <c r="O3956" i="209" s="1"/>
  <c r="O75" i="43"/>
  <c r="P74" i="44"/>
  <c r="D61" i="47" s="1"/>
  <c r="F61" i="47" s="1"/>
  <c r="H61" i="47" s="1"/>
  <c r="K4070" i="209"/>
  <c r="D61" i="214" s="1"/>
  <c r="F61" i="214" s="1"/>
  <c r="D1286" i="210"/>
  <c r="K1240" i="210"/>
  <c r="D1274" i="210"/>
  <c r="K1228" i="210"/>
  <c r="H101" i="43"/>
  <c r="I3185" i="209"/>
  <c r="G1261" i="210"/>
  <c r="D1272" i="210"/>
  <c r="G1272" i="210" s="1"/>
  <c r="K4069" i="209"/>
  <c r="D60" i="214" s="1"/>
  <c r="F60" i="214" s="1"/>
  <c r="P73" i="44"/>
  <c r="K4023" i="209"/>
  <c r="D31" i="214" s="1"/>
  <c r="F31" i="214" s="1"/>
  <c r="P31" i="44"/>
  <c r="O40" i="43"/>
  <c r="I3918" i="209"/>
  <c r="O3918" i="209" s="1"/>
  <c r="M132" i="195"/>
  <c r="M143" i="195" s="1"/>
  <c r="M145" i="195" s="1"/>
  <c r="O30" i="43"/>
  <c r="I3908" i="209"/>
  <c r="O3908" i="209" s="1"/>
  <c r="K4027" i="209"/>
  <c r="D35" i="214" s="1"/>
  <c r="F35" i="214" s="1"/>
  <c r="P35" i="44"/>
  <c r="O49" i="43"/>
  <c r="I3927" i="209"/>
  <c r="O3927" i="209" s="1"/>
  <c r="O74" i="43"/>
  <c r="I3955" i="209"/>
  <c r="O3955" i="209" s="1"/>
  <c r="O85" i="43"/>
  <c r="I3966" i="209"/>
  <c r="O3966" i="209" s="1"/>
  <c r="K4073" i="209"/>
  <c r="D64" i="214" s="1"/>
  <c r="F64" i="214" s="1"/>
  <c r="P77" i="44"/>
  <c r="O35" i="43"/>
  <c r="I3913" i="209"/>
  <c r="O3913" i="209" s="1"/>
  <c r="D1842" i="209"/>
  <c r="G1734" i="209"/>
  <c r="K16" i="27"/>
  <c r="K22" i="27" s="1"/>
  <c r="I1276" i="210"/>
  <c r="K1226" i="210"/>
  <c r="O1226" i="210" s="1"/>
  <c r="K3070" i="209"/>
  <c r="O3070" i="209" s="1"/>
  <c r="O1215" i="210"/>
  <c r="I1261" i="210" s="1"/>
  <c r="K4068" i="209"/>
  <c r="D59" i="214" s="1"/>
  <c r="F59" i="214" s="1"/>
  <c r="P72" i="44"/>
  <c r="K4032" i="209"/>
  <c r="D40" i="214" s="1"/>
  <c r="F40" i="214" s="1"/>
  <c r="P40" i="44"/>
  <c r="O53" i="43"/>
  <c r="I3931" i="209"/>
  <c r="O3931" i="209" s="1"/>
  <c r="K1653" i="209"/>
  <c r="K1693" i="209" s="1"/>
  <c r="K1697" i="209" s="1"/>
  <c r="O1634" i="209"/>
  <c r="O84" i="43"/>
  <c r="I3965" i="209"/>
  <c r="O3965" i="209" s="1"/>
  <c r="D1851" i="209"/>
  <c r="K25" i="27"/>
  <c r="K4020" i="209"/>
  <c r="D28" i="214" s="1"/>
  <c r="F28" i="214" s="1"/>
  <c r="P28" i="44"/>
  <c r="O32" i="43"/>
  <c r="I3910" i="209"/>
  <c r="O3910" i="209" s="1"/>
  <c r="K100" i="42"/>
  <c r="K105" i="42" s="1"/>
  <c r="I1815" i="209"/>
  <c r="O1706" i="209"/>
  <c r="O33" i="43"/>
  <c r="I3911" i="209"/>
  <c r="O3911" i="209" s="1"/>
  <c r="K4040" i="209"/>
  <c r="D48" i="214" s="1"/>
  <c r="F48" i="214" s="1"/>
  <c r="P48" i="44"/>
  <c r="K4078" i="209"/>
  <c r="D69" i="214" s="1"/>
  <c r="F69" i="214" s="1"/>
  <c r="P82" i="44"/>
  <c r="K4022" i="209"/>
  <c r="D30" i="214" s="1"/>
  <c r="F30" i="214" s="1"/>
  <c r="P30" i="44"/>
  <c r="K4029" i="209"/>
  <c r="D37" i="214" s="1"/>
  <c r="F37" i="214" s="1"/>
  <c r="P37" i="44"/>
  <c r="D717" i="210"/>
  <c r="G717" i="210" s="1"/>
  <c r="O28" i="43"/>
  <c r="I3906" i="209"/>
  <c r="O3906" i="209" s="1"/>
  <c r="O83" i="43"/>
  <c r="I3964" i="209"/>
  <c r="O3964" i="209" s="1"/>
  <c r="EU13" i="190"/>
  <c r="EQ14" i="190"/>
  <c r="G1901" i="209"/>
  <c r="D1915" i="209"/>
  <c r="O51" i="43"/>
  <c r="I3929" i="209"/>
  <c r="O3929" i="209" s="1"/>
  <c r="D1820" i="209"/>
  <c r="C89" i="196" s="1"/>
  <c r="F89" i="196" s="1"/>
  <c r="G1815" i="209"/>
  <c r="X74" i="170"/>
  <c r="Y74" i="170" s="1"/>
  <c r="M75" i="170"/>
  <c r="O46" i="43"/>
  <c r="I3924" i="209"/>
  <c r="O3924" i="209" s="1"/>
  <c r="K4044" i="209"/>
  <c r="D52" i="214" s="1"/>
  <c r="F52" i="214" s="1"/>
  <c r="P52" i="44"/>
  <c r="G1918" i="209"/>
  <c r="D1919" i="209"/>
  <c r="I701" i="210"/>
  <c r="G701" i="210"/>
  <c r="D1308" i="210"/>
  <c r="K1262" i="210"/>
  <c r="O1262" i="210" s="1"/>
  <c r="I1308" i="210" s="1"/>
  <c r="K1234" i="210"/>
  <c r="O1234" i="210" s="1"/>
  <c r="K3072" i="209"/>
  <c r="O3072" i="209" s="1"/>
  <c r="O1217" i="210"/>
  <c r="I1263" i="210" s="1"/>
  <c r="K4041" i="209"/>
  <c r="D49" i="214" s="1"/>
  <c r="F49" i="214" s="1"/>
  <c r="P49" i="44"/>
  <c r="K4077" i="209"/>
  <c r="D68" i="214" s="1"/>
  <c r="F68" i="214" s="1"/>
  <c r="P81" i="44"/>
  <c r="G38" i="43"/>
  <c r="I3004" i="209"/>
  <c r="D754" i="210"/>
  <c r="G713" i="210"/>
  <c r="G1264" i="210"/>
  <c r="D1284" i="210"/>
  <c r="G1284" i="210" s="1"/>
  <c r="O78" i="43"/>
  <c r="I3959" i="209"/>
  <c r="O3959" i="209" s="1"/>
  <c r="K4039" i="209"/>
  <c r="D47" i="214" s="1"/>
  <c r="F47" i="214" s="1"/>
  <c r="P47" i="44"/>
  <c r="O82" i="43"/>
  <c r="I3963" i="209"/>
  <c r="O3963" i="209" s="1"/>
  <c r="EV15" i="190"/>
  <c r="EU45" i="190"/>
  <c r="K4071" i="209"/>
  <c r="D62" i="214" s="1"/>
  <c r="F62" i="214" s="1"/>
  <c r="P75" i="44"/>
  <c r="K4031" i="209"/>
  <c r="D39" i="214" s="1"/>
  <c r="F39" i="214" s="1"/>
  <c r="P39" i="44"/>
  <c r="K4043" i="209"/>
  <c r="D51" i="214" s="1"/>
  <c r="F51" i="214" s="1"/>
  <c r="P51" i="44"/>
  <c r="O73" i="43"/>
  <c r="I3954" i="209"/>
  <c r="O3954" i="209" s="1"/>
  <c r="I1734" i="209"/>
  <c r="O1728" i="209"/>
  <c r="H30" i="196"/>
  <c r="I1594" i="209"/>
  <c r="O50" i="43"/>
  <c r="I3928" i="209"/>
  <c r="O3928" i="209" s="1"/>
  <c r="O37" i="43"/>
  <c r="I3915" i="209"/>
  <c r="O3915" i="209" s="1"/>
  <c r="X139" i="171"/>
  <c r="Y139" i="171" s="1"/>
  <c r="M140" i="171"/>
  <c r="G1263" i="210"/>
  <c r="D1280" i="210"/>
  <c r="G1280" i="210" s="1"/>
  <c r="K4024" i="209"/>
  <c r="D32" i="214" s="1"/>
  <c r="F32" i="214" s="1"/>
  <c r="P32" i="44"/>
  <c r="M140" i="170"/>
  <c r="X139" i="170"/>
  <c r="Y139" i="170" s="1"/>
  <c r="O42" i="43"/>
  <c r="I3920" i="209"/>
  <c r="O3920" i="209" s="1"/>
  <c r="G718" i="210"/>
  <c r="D764" i="210" s="1"/>
  <c r="K1238" i="210"/>
  <c r="O1238" i="210" s="1"/>
  <c r="K3073" i="209"/>
  <c r="O3073" i="209" s="1"/>
  <c r="O1218" i="210"/>
  <c r="I1264" i="210" s="1"/>
  <c r="R85" i="78"/>
  <c r="R87" i="78" s="1"/>
  <c r="K4019" i="209"/>
  <c r="D27" i="214" s="1"/>
  <c r="P27" i="44"/>
  <c r="EP63" i="190"/>
  <c r="O1737" i="209"/>
  <c r="O52" i="43"/>
  <c r="I3930" i="209"/>
  <c r="O3930" i="209" s="1"/>
  <c r="J45" i="42"/>
  <c r="I1642" i="209"/>
  <c r="O1539" i="209"/>
  <c r="O1579" i="209" s="1"/>
  <c r="O1583" i="209" s="1"/>
  <c r="O1594" i="209" s="1"/>
  <c r="O39" i="43"/>
  <c r="I3917" i="209"/>
  <c r="O3917" i="209" s="1"/>
  <c r="EU61" i="190"/>
  <c r="EQ62" i="190"/>
  <c r="O43" i="43"/>
  <c r="I3921" i="209"/>
  <c r="O3921" i="209" s="1"/>
  <c r="O27" i="43"/>
  <c r="I3905" i="209"/>
  <c r="O3905" i="209" s="1"/>
  <c r="K4025" i="209"/>
  <c r="D33" i="214" s="1"/>
  <c r="F33" i="214" s="1"/>
  <c r="P33" i="44"/>
  <c r="EQ12" i="190"/>
  <c r="EU6" i="190"/>
  <c r="K4080" i="209"/>
  <c r="D71" i="214" s="1"/>
  <c r="F71" i="214" s="1"/>
  <c r="P84" i="44"/>
  <c r="O31" i="43"/>
  <c r="I3909" i="209"/>
  <c r="O3909" i="209" s="1"/>
  <c r="K4042" i="209"/>
  <c r="D50" i="214" s="1"/>
  <c r="F50" i="214" s="1"/>
  <c r="P50" i="44"/>
  <c r="K4045" i="209"/>
  <c r="D53" i="214" s="1"/>
  <c r="F53" i="214" s="1"/>
  <c r="P53" i="44"/>
  <c r="K4074" i="209"/>
  <c r="D65" i="214" s="1"/>
  <c r="F65" i="214" s="1"/>
  <c r="P78" i="44"/>
  <c r="K4034" i="209"/>
  <c r="D42" i="214" s="1"/>
  <c r="F42" i="214" s="1"/>
  <c r="P42" i="44"/>
  <c r="D1265" i="209"/>
  <c r="O1210" i="209"/>
  <c r="K4021" i="209"/>
  <c r="D29" i="214" s="1"/>
  <c r="F29" i="214" s="1"/>
  <c r="P29" i="44"/>
  <c r="K1231" i="210"/>
  <c r="K3007" i="209" s="1"/>
  <c r="O79" i="43"/>
  <c r="I3960" i="209"/>
  <c r="O3960" i="209" s="1"/>
  <c r="K4046" i="209"/>
  <c r="D54" i="214" s="1"/>
  <c r="F54" i="214" s="1"/>
  <c r="P54" i="44"/>
  <c r="I1805" i="209"/>
  <c r="O1804" i="209"/>
  <c r="K4079" i="209"/>
  <c r="D70" i="214" s="1"/>
  <c r="F70" i="214" s="1"/>
  <c r="P83" i="44"/>
  <c r="EU46" i="190"/>
  <c r="EQ60" i="190"/>
  <c r="L73" i="42"/>
  <c r="L87" i="42" s="1"/>
  <c r="O1801" i="209"/>
  <c r="I1901" i="209"/>
  <c r="O54" i="43"/>
  <c r="I3932" i="209"/>
  <c r="O3932" i="209" s="1"/>
  <c r="M65" i="171"/>
  <c r="X64" i="171"/>
  <c r="Y64" i="171" s="1"/>
  <c r="D1594" i="209"/>
  <c r="C30" i="196"/>
  <c r="D1282" i="210"/>
  <c r="K1236" i="210"/>
  <c r="O29" i="43"/>
  <c r="I3907" i="209"/>
  <c r="O3907" i="209" s="1"/>
  <c r="O76" i="43"/>
  <c r="I3957" i="209"/>
  <c r="O3957" i="209" s="1"/>
  <c r="K4038" i="209"/>
  <c r="D46" i="214" s="1"/>
  <c r="F46" i="214" s="1"/>
  <c r="P46" i="44"/>
  <c r="O47" i="43"/>
  <c r="I3925" i="209"/>
  <c r="O3925" i="209" s="1"/>
  <c r="D1642" i="209"/>
  <c r="I44" i="27"/>
  <c r="G1539" i="209"/>
  <c r="G1579" i="209" s="1"/>
  <c r="G1583" i="209" s="1"/>
  <c r="G1594" i="209" s="1"/>
  <c r="O48" i="43"/>
  <c r="I3926" i="209"/>
  <c r="O3926" i="209" s="1"/>
  <c r="I716" i="210"/>
  <c r="O716" i="210" s="1"/>
  <c r="I713" i="210"/>
  <c r="O708" i="210"/>
  <c r="D1277" i="210"/>
  <c r="G1277" i="210" s="1"/>
  <c r="G1278" i="210" s="1"/>
  <c r="K4035" i="209"/>
  <c r="D43" i="214" s="1"/>
  <c r="F43" i="214" s="1"/>
  <c r="P43" i="44"/>
  <c r="K4076" i="209"/>
  <c r="D67" i="214" s="1"/>
  <c r="F67" i="214" s="1"/>
  <c r="P80" i="44"/>
  <c r="O81" i="43"/>
  <c r="I3962" i="209"/>
  <c r="O3962" i="209" s="1"/>
  <c r="I717" i="210" l="1"/>
  <c r="K1235" i="210"/>
  <c r="K3010" i="209" s="1"/>
  <c r="Q74" i="44"/>
  <c r="F83" i="48"/>
  <c r="I78" i="130"/>
  <c r="I61" i="47"/>
  <c r="I4070" i="209"/>
  <c r="O4070" i="209" s="1"/>
  <c r="Q75" i="43" s="1"/>
  <c r="P75" i="43"/>
  <c r="D1324" i="210"/>
  <c r="K1278" i="210"/>
  <c r="F27" i="214"/>
  <c r="H102" i="43"/>
  <c r="I3186" i="209"/>
  <c r="I1322" i="210"/>
  <c r="H103" i="43"/>
  <c r="I3187" i="209"/>
  <c r="L26" i="42"/>
  <c r="I1851" i="209"/>
  <c r="D1324" i="209"/>
  <c r="I1324" i="209" s="1"/>
  <c r="G1265" i="209"/>
  <c r="I1265" i="209"/>
  <c r="I1915" i="209"/>
  <c r="D50" i="47"/>
  <c r="F50" i="47" s="1"/>
  <c r="H50" i="47" s="1"/>
  <c r="Q50" i="44"/>
  <c r="P43" i="43"/>
  <c r="I4035" i="209"/>
  <c r="O4035" i="209" s="1"/>
  <c r="Q43" i="43" s="1"/>
  <c r="P37" i="43"/>
  <c r="I4029" i="209"/>
  <c r="O4029" i="209" s="1"/>
  <c r="Q37" i="43" s="1"/>
  <c r="P50" i="43"/>
  <c r="I4042" i="209"/>
  <c r="O4042" i="209" s="1"/>
  <c r="Q50" i="43" s="1"/>
  <c r="D68" i="47"/>
  <c r="F68" i="47" s="1"/>
  <c r="H68" i="47" s="1"/>
  <c r="Q81" i="44"/>
  <c r="G1308" i="210"/>
  <c r="D1322" i="210"/>
  <c r="G1322" i="210" s="1"/>
  <c r="D2032" i="209"/>
  <c r="G1919" i="209"/>
  <c r="L88" i="27"/>
  <c r="L89" i="27" s="1"/>
  <c r="D69" i="47"/>
  <c r="F69" i="47" s="1"/>
  <c r="H69" i="47" s="1"/>
  <c r="Q82" i="44"/>
  <c r="G1851" i="209"/>
  <c r="D1848" i="209"/>
  <c r="G1842" i="209"/>
  <c r="P85" i="43"/>
  <c r="I4080" i="209"/>
  <c r="O4080" i="209" s="1"/>
  <c r="Q85" i="43" s="1"/>
  <c r="P81" i="43"/>
  <c r="I4076" i="209"/>
  <c r="O4076" i="209" s="1"/>
  <c r="Q81" i="43" s="1"/>
  <c r="P79" i="43"/>
  <c r="I4074" i="209"/>
  <c r="O4074" i="209" s="1"/>
  <c r="Q79" i="43" s="1"/>
  <c r="EU12" i="190"/>
  <c r="EV6" i="190"/>
  <c r="O1642" i="209"/>
  <c r="O1653" i="209" s="1"/>
  <c r="O1693" i="209" s="1"/>
  <c r="O1697" i="209" s="1"/>
  <c r="O1708" i="209" s="1"/>
  <c r="I1653" i="209"/>
  <c r="I1693" i="209" s="1"/>
  <c r="I1697" i="209" s="1"/>
  <c r="I1284" i="210"/>
  <c r="M141" i="170"/>
  <c r="X140" i="170"/>
  <c r="Y140" i="170" s="1"/>
  <c r="D51" i="47"/>
  <c r="F51" i="47" s="1"/>
  <c r="H51" i="47" s="1"/>
  <c r="Q51" i="44"/>
  <c r="EV45" i="190"/>
  <c r="EZ15" i="190"/>
  <c r="D52" i="47"/>
  <c r="F52" i="47" s="1"/>
  <c r="H52" i="47" s="1"/>
  <c r="Q52" i="44"/>
  <c r="D1929" i="209"/>
  <c r="G1820" i="209"/>
  <c r="K94" i="27"/>
  <c r="K99" i="27" s="1"/>
  <c r="P84" i="43"/>
  <c r="I4079" i="209"/>
  <c r="O4079" i="209" s="1"/>
  <c r="Q84" i="43" s="1"/>
  <c r="I1272" i="210"/>
  <c r="P35" i="43"/>
  <c r="I4027" i="209"/>
  <c r="O4027" i="209" s="1"/>
  <c r="Q35" i="43" s="1"/>
  <c r="P40" i="43"/>
  <c r="I4032" i="209"/>
  <c r="O4032" i="209" s="1"/>
  <c r="Q40" i="43" s="1"/>
  <c r="D1307" i="210"/>
  <c r="K1261" i="210"/>
  <c r="O1261" i="210" s="1"/>
  <c r="I1307" i="210" s="1"/>
  <c r="D46" i="47"/>
  <c r="F46" i="47" s="1"/>
  <c r="H46" i="47" s="1"/>
  <c r="Q46" i="44"/>
  <c r="P76" i="43"/>
  <c r="I4071" i="209"/>
  <c r="O4071" i="209" s="1"/>
  <c r="Q76" i="43" s="1"/>
  <c r="I754" i="210"/>
  <c r="O713" i="210"/>
  <c r="L90" i="42"/>
  <c r="L91" i="42" s="1"/>
  <c r="O1805" i="209"/>
  <c r="I1918" i="209"/>
  <c r="D42" i="47"/>
  <c r="F42" i="47" s="1"/>
  <c r="H42" i="47" s="1"/>
  <c r="Q42" i="44"/>
  <c r="P31" i="43"/>
  <c r="I4023" i="209"/>
  <c r="O4023" i="209" s="1"/>
  <c r="Q31" i="43" s="1"/>
  <c r="EQ63" i="190"/>
  <c r="J56" i="42"/>
  <c r="J93" i="42" s="1"/>
  <c r="J97" i="42" s="1"/>
  <c r="J107" i="42" s="1"/>
  <c r="D32" i="47"/>
  <c r="F32" i="47" s="1"/>
  <c r="H32" i="47" s="1"/>
  <c r="Q32" i="44"/>
  <c r="H100" i="43"/>
  <c r="I3184" i="209"/>
  <c r="P82" i="43"/>
  <c r="I4077" i="209"/>
  <c r="O4077" i="209" s="1"/>
  <c r="Q82" i="43" s="1"/>
  <c r="D49" i="47"/>
  <c r="F49" i="47" s="1"/>
  <c r="H49" i="47" s="1"/>
  <c r="Q49" i="44"/>
  <c r="K718" i="210"/>
  <c r="K717" i="210" s="1"/>
  <c r="K1748" i="209" s="1"/>
  <c r="K1767" i="209" s="1"/>
  <c r="K1807" i="209" s="1"/>
  <c r="K1811" i="209" s="1"/>
  <c r="D48" i="47"/>
  <c r="F48" i="47" s="1"/>
  <c r="H48" i="47" s="1"/>
  <c r="Q48" i="44"/>
  <c r="P32" i="43"/>
  <c r="I4024" i="209"/>
  <c r="O4024" i="209" s="1"/>
  <c r="Q32" i="43" s="1"/>
  <c r="P74" i="43"/>
  <c r="I4069" i="209"/>
  <c r="O4069" i="209" s="1"/>
  <c r="Q74" i="43" s="1"/>
  <c r="D70" i="47"/>
  <c r="F70" i="47" s="1"/>
  <c r="H70" i="47" s="1"/>
  <c r="Q83" i="44"/>
  <c r="D53" i="47"/>
  <c r="F53" i="47" s="1"/>
  <c r="H53" i="47" s="1"/>
  <c r="Q53" i="44"/>
  <c r="M141" i="171"/>
  <c r="X140" i="171"/>
  <c r="Y140" i="171" s="1"/>
  <c r="P48" i="43"/>
  <c r="I4040" i="209"/>
  <c r="O4040" i="209" s="1"/>
  <c r="Q48" i="43" s="1"/>
  <c r="C144" i="196"/>
  <c r="F144" i="196" s="1"/>
  <c r="F30" i="196"/>
  <c r="I55" i="27"/>
  <c r="I91" i="27" s="1"/>
  <c r="I101" i="27" s="1"/>
  <c r="D33" i="47"/>
  <c r="F33" i="47" s="1"/>
  <c r="H33" i="47" s="1"/>
  <c r="Q33" i="44"/>
  <c r="EU62" i="190"/>
  <c r="EV61" i="190"/>
  <c r="D1310" i="210"/>
  <c r="K1264" i="210"/>
  <c r="O701" i="210"/>
  <c r="D747" i="210"/>
  <c r="P51" i="43"/>
  <c r="I4043" i="209"/>
  <c r="O4043" i="209" s="1"/>
  <c r="Q51" i="43" s="1"/>
  <c r="K37" i="42"/>
  <c r="I1748" i="209"/>
  <c r="D40" i="47"/>
  <c r="F40" i="47" s="1"/>
  <c r="H40" i="47" s="1"/>
  <c r="Q40" i="44"/>
  <c r="D35" i="47"/>
  <c r="F35" i="47" s="1"/>
  <c r="H35" i="47" s="1"/>
  <c r="Q35" i="44"/>
  <c r="D31" i="47"/>
  <c r="F31" i="47" s="1"/>
  <c r="H31" i="47" s="1"/>
  <c r="Q31" i="44"/>
  <c r="P42" i="43"/>
  <c r="I4034" i="209"/>
  <c r="O4034" i="209" s="1"/>
  <c r="Q42" i="43" s="1"/>
  <c r="P78" i="43"/>
  <c r="I4073" i="209"/>
  <c r="O4073" i="209" s="1"/>
  <c r="Q78" i="43" s="1"/>
  <c r="D1281" i="210"/>
  <c r="G1281" i="210" s="1"/>
  <c r="G1282" i="210" s="1"/>
  <c r="D71" i="47"/>
  <c r="F71" i="47" s="1"/>
  <c r="H71" i="47" s="1"/>
  <c r="Q84" i="44"/>
  <c r="P73" i="43"/>
  <c r="I4068" i="209"/>
  <c r="O4068" i="209" s="1"/>
  <c r="Q73" i="43" s="1"/>
  <c r="D67" i="47"/>
  <c r="F67" i="47" s="1"/>
  <c r="H67" i="47" s="1"/>
  <c r="Q80" i="44"/>
  <c r="D43" i="47"/>
  <c r="F43" i="47" s="1"/>
  <c r="H43" i="47" s="1"/>
  <c r="Q43" i="44"/>
  <c r="G1642" i="209"/>
  <c r="D1653" i="209"/>
  <c r="D1693" i="209" s="1"/>
  <c r="D1697" i="209" s="1"/>
  <c r="P29" i="43"/>
  <c r="I4021" i="209"/>
  <c r="O4021" i="209" s="1"/>
  <c r="Q29" i="43" s="1"/>
  <c r="P54" i="43"/>
  <c r="I4046" i="209"/>
  <c r="O4046" i="209" s="1"/>
  <c r="Q54" i="43" s="1"/>
  <c r="EV46" i="190"/>
  <c r="EU60" i="190"/>
  <c r="D29" i="47"/>
  <c r="F29" i="47" s="1"/>
  <c r="H29" i="47" s="1"/>
  <c r="Q29" i="44"/>
  <c r="D65" i="47"/>
  <c r="F65" i="47" s="1"/>
  <c r="H65" i="47" s="1"/>
  <c r="Q78" i="44"/>
  <c r="P39" i="43"/>
  <c r="I4031" i="209"/>
  <c r="O4031" i="209" s="1"/>
  <c r="Q39" i="43" s="1"/>
  <c r="P52" i="43"/>
  <c r="I4044" i="209"/>
  <c r="O4044" i="209" s="1"/>
  <c r="Q52" i="43" s="1"/>
  <c r="H144" i="196"/>
  <c r="M144" i="196" s="1"/>
  <c r="M30" i="196"/>
  <c r="D39" i="47"/>
  <c r="F39" i="47" s="1"/>
  <c r="H39" i="47" s="1"/>
  <c r="Q39" i="44"/>
  <c r="D47" i="47"/>
  <c r="F47" i="47" s="1"/>
  <c r="H47" i="47" s="1"/>
  <c r="Q47" i="44"/>
  <c r="I1280" i="210"/>
  <c r="P46" i="43"/>
  <c r="I4038" i="209"/>
  <c r="O4038" i="209" s="1"/>
  <c r="Q46" i="43" s="1"/>
  <c r="EV13" i="190"/>
  <c r="EU14" i="190"/>
  <c r="D37" i="47"/>
  <c r="F37" i="47" s="1"/>
  <c r="H37" i="47" s="1"/>
  <c r="Q37" i="44"/>
  <c r="P33" i="43"/>
  <c r="I4025" i="209"/>
  <c r="O4025" i="209" s="1"/>
  <c r="Q33" i="43" s="1"/>
  <c r="D28" i="47"/>
  <c r="F28" i="47" s="1"/>
  <c r="H28" i="47" s="1"/>
  <c r="Q28" i="44"/>
  <c r="K1708" i="209"/>
  <c r="I31" i="196"/>
  <c r="P49" i="43"/>
  <c r="I4041" i="209"/>
  <c r="O4041" i="209" s="1"/>
  <c r="Q49" i="43" s="1"/>
  <c r="K1227" i="210"/>
  <c r="D62" i="47"/>
  <c r="F62" i="47" s="1"/>
  <c r="H62" i="47" s="1"/>
  <c r="Q75" i="44"/>
  <c r="D54" i="47"/>
  <c r="F54" i="47" s="1"/>
  <c r="H54" i="47" s="1"/>
  <c r="Q54" i="44"/>
  <c r="X65" i="171"/>
  <c r="Y65" i="171" s="1"/>
  <c r="M66" i="171"/>
  <c r="P47" i="43"/>
  <c r="I4039" i="209"/>
  <c r="O4039" i="209" s="1"/>
  <c r="Q47" i="43" s="1"/>
  <c r="O1231" i="210"/>
  <c r="O1232" i="210" s="1"/>
  <c r="I1278" i="210" s="1"/>
  <c r="I1277" i="210" s="1"/>
  <c r="P27" i="43"/>
  <c r="I4019" i="209"/>
  <c r="O4019" i="209" s="1"/>
  <c r="Q27" i="43" s="1"/>
  <c r="D27" i="47"/>
  <c r="F27" i="47" s="1"/>
  <c r="H27" i="47" s="1"/>
  <c r="Q27" i="44"/>
  <c r="D1309" i="210"/>
  <c r="K1263" i="210"/>
  <c r="O1263" i="210" s="1"/>
  <c r="I1309" i="210" s="1"/>
  <c r="L16" i="42"/>
  <c r="L22" i="42" s="1"/>
  <c r="O1734" i="209"/>
  <c r="I1842" i="209"/>
  <c r="D762" i="210"/>
  <c r="G762" i="210" s="1"/>
  <c r="G754" i="210"/>
  <c r="D759" i="210"/>
  <c r="P83" i="43"/>
  <c r="I4078" i="209"/>
  <c r="O4078" i="209" s="1"/>
  <c r="Q83" i="43" s="1"/>
  <c r="D59" i="47"/>
  <c r="F59" i="47" s="1"/>
  <c r="H59" i="47" s="1"/>
  <c r="Q72" i="44"/>
  <c r="O1276" i="210"/>
  <c r="D64" i="47"/>
  <c r="F64" i="47" s="1"/>
  <c r="H64" i="47" s="1"/>
  <c r="Q77" i="44"/>
  <c r="P30" i="43"/>
  <c r="I4022" i="209"/>
  <c r="O4022" i="209" s="1"/>
  <c r="Q30" i="43" s="1"/>
  <c r="D60" i="47"/>
  <c r="F60" i="47" s="1"/>
  <c r="H60" i="47" s="1"/>
  <c r="Q73" i="44"/>
  <c r="D1273" i="210"/>
  <c r="G1273" i="210" s="1"/>
  <c r="G1274" i="210" s="1"/>
  <c r="O3007" i="209"/>
  <c r="D30" i="47"/>
  <c r="F30" i="47" s="1"/>
  <c r="H30" i="47" s="1"/>
  <c r="Q30" i="44"/>
  <c r="P53" i="43"/>
  <c r="I4045" i="209"/>
  <c r="O4045" i="209" s="1"/>
  <c r="Q53" i="43" s="1"/>
  <c r="K1239" i="210"/>
  <c r="K1276" i="210"/>
  <c r="K3185" i="209"/>
  <c r="O3185" i="209" s="1"/>
  <c r="X75" i="170"/>
  <c r="Y75" i="170" s="1"/>
  <c r="M76" i="170"/>
  <c r="D2015" i="209"/>
  <c r="K1901" i="209"/>
  <c r="K1915" i="209" s="1"/>
  <c r="G1915" i="209"/>
  <c r="L71" i="27"/>
  <c r="L85" i="27" s="1"/>
  <c r="P28" i="43"/>
  <c r="I4020" i="209"/>
  <c r="O4020" i="209" s="1"/>
  <c r="Q28" i="43" s="1"/>
  <c r="O1815" i="209"/>
  <c r="I1820" i="209"/>
  <c r="H89" i="196" s="1"/>
  <c r="M89" i="196" s="1"/>
  <c r="O1235" i="210"/>
  <c r="O1236" i="210" s="1"/>
  <c r="I1282" i="210" s="1"/>
  <c r="D1285" i="210"/>
  <c r="G1285" i="210" s="1"/>
  <c r="G1286" i="210" s="1"/>
  <c r="I1281" i="210" l="1"/>
  <c r="EU63" i="190"/>
  <c r="O1901" i="209"/>
  <c r="G83" i="48"/>
  <c r="I83" i="48" s="1"/>
  <c r="K83" i="48" s="1"/>
  <c r="R75" i="43"/>
  <c r="L83" i="48" s="1"/>
  <c r="I1326" i="210"/>
  <c r="D1332" i="210"/>
  <c r="K1286" i="210"/>
  <c r="D1320" i="210"/>
  <c r="K1274" i="210"/>
  <c r="D1328" i="210"/>
  <c r="K1282" i="210"/>
  <c r="G58" i="48"/>
  <c r="I58" i="48" s="1"/>
  <c r="K58" i="48" s="1"/>
  <c r="R54" i="43"/>
  <c r="L58" i="48" s="1"/>
  <c r="D1956" i="209"/>
  <c r="G1848" i="209"/>
  <c r="L16" i="27"/>
  <c r="L22" i="27" s="1"/>
  <c r="G41" i="48"/>
  <c r="I41" i="48" s="1"/>
  <c r="K41" i="48" s="1"/>
  <c r="R37" i="43"/>
  <c r="L41" i="48" s="1"/>
  <c r="O1851" i="209"/>
  <c r="F31" i="48"/>
  <c r="I29" i="130"/>
  <c r="I27" i="47"/>
  <c r="G37" i="48"/>
  <c r="I37" i="48" s="1"/>
  <c r="K37" i="48" s="1"/>
  <c r="R33" i="43"/>
  <c r="L37" i="48" s="1"/>
  <c r="F89" i="48"/>
  <c r="I84" i="130"/>
  <c r="I67" i="47"/>
  <c r="D1330" i="210"/>
  <c r="G1330" i="210" s="1"/>
  <c r="G1310" i="210"/>
  <c r="G82" i="48"/>
  <c r="I82" i="48" s="1"/>
  <c r="K82" i="48" s="1"/>
  <c r="R74" i="43"/>
  <c r="L82" i="48" s="1"/>
  <c r="K1822" i="209"/>
  <c r="I32" i="196"/>
  <c r="I146" i="196" s="1"/>
  <c r="O1918" i="209"/>
  <c r="I1919" i="209"/>
  <c r="F50" i="48"/>
  <c r="I48" i="130"/>
  <c r="I46" i="47"/>
  <c r="G1929" i="209"/>
  <c r="D1934" i="209"/>
  <c r="C90" i="196" s="1"/>
  <c r="F90" i="196" s="1"/>
  <c r="G87" i="48"/>
  <c r="I87" i="48" s="1"/>
  <c r="K87" i="48" s="1"/>
  <c r="R79" i="43"/>
  <c r="L87" i="48" s="1"/>
  <c r="O717" i="210"/>
  <c r="O718" i="210" s="1"/>
  <c r="I764" i="210" s="1"/>
  <c r="G2032" i="209"/>
  <c r="D2033" i="209"/>
  <c r="L100" i="42"/>
  <c r="L105" i="42" s="1"/>
  <c r="I1929" i="209"/>
  <c r="O1820" i="209"/>
  <c r="D1326" i="210"/>
  <c r="G1326" i="210" s="1"/>
  <c r="G1309" i="210"/>
  <c r="F87" i="48"/>
  <c r="I82" i="130"/>
  <c r="I65" i="47"/>
  <c r="G39" i="48"/>
  <c r="I39" i="48" s="1"/>
  <c r="K39" i="48" s="1"/>
  <c r="R35" i="43"/>
  <c r="L39" i="48" s="1"/>
  <c r="M73" i="42"/>
  <c r="M87" i="42" s="1"/>
  <c r="I2015" i="209"/>
  <c r="O1915" i="209"/>
  <c r="D2029" i="209"/>
  <c r="G2015" i="209"/>
  <c r="G57" i="48"/>
  <c r="I57" i="48" s="1"/>
  <c r="K57" i="48" s="1"/>
  <c r="R53" i="43"/>
  <c r="L57" i="48" s="1"/>
  <c r="G759" i="210"/>
  <c r="D800" i="210"/>
  <c r="M67" i="171"/>
  <c r="X66" i="171"/>
  <c r="Y66" i="171" s="1"/>
  <c r="K3004" i="209"/>
  <c r="O1227" i="210"/>
  <c r="O1228" i="210" s="1"/>
  <c r="I1274" i="210" s="1"/>
  <c r="I1273" i="210" s="1"/>
  <c r="D763" i="210"/>
  <c r="G763" i="210" s="1"/>
  <c r="G764" i="210" s="1"/>
  <c r="F33" i="48"/>
  <c r="I31" i="130"/>
  <c r="I29" i="47"/>
  <c r="G33" i="48"/>
  <c r="I33" i="48" s="1"/>
  <c r="K33" i="48" s="1"/>
  <c r="R29" i="43"/>
  <c r="L33" i="48" s="1"/>
  <c r="G86" i="48"/>
  <c r="I86" i="48" s="1"/>
  <c r="K86" i="48" s="1"/>
  <c r="R78" i="43"/>
  <c r="L86" i="48" s="1"/>
  <c r="F35" i="48"/>
  <c r="I33" i="130"/>
  <c r="I31" i="47"/>
  <c r="O1748" i="209"/>
  <c r="F56" i="48"/>
  <c r="I54" i="130"/>
  <c r="I52" i="47"/>
  <c r="M142" i="170"/>
  <c r="X141" i="170"/>
  <c r="Y141" i="170" s="1"/>
  <c r="D1965" i="209"/>
  <c r="L25" i="27"/>
  <c r="F82" i="48"/>
  <c r="I77" i="130"/>
  <c r="I60" i="47"/>
  <c r="F86" i="48"/>
  <c r="I81" i="130"/>
  <c r="I64" i="47"/>
  <c r="G51" i="48"/>
  <c r="R47" i="43"/>
  <c r="L51" i="48" s="1"/>
  <c r="K1284" i="210"/>
  <c r="O1284" i="210" s="1"/>
  <c r="K3187" i="209"/>
  <c r="O3187" i="209" s="1"/>
  <c r="X76" i="170"/>
  <c r="Y76" i="170" s="1"/>
  <c r="M77" i="170"/>
  <c r="F81" i="48"/>
  <c r="I76" i="130"/>
  <c r="I59" i="47"/>
  <c r="G31" i="48"/>
  <c r="I31" i="48" s="1"/>
  <c r="K31" i="48" s="1"/>
  <c r="R27" i="43"/>
  <c r="L31" i="48" s="1"/>
  <c r="G53" i="48"/>
  <c r="I53" i="48" s="1"/>
  <c r="K53" i="48" s="1"/>
  <c r="R49" i="43"/>
  <c r="L53" i="48" s="1"/>
  <c r="F41" i="48"/>
  <c r="I39" i="130"/>
  <c r="I37" i="47"/>
  <c r="F51" i="48"/>
  <c r="I49" i="130"/>
  <c r="I47" i="47"/>
  <c r="M142" i="171"/>
  <c r="X141" i="171"/>
  <c r="Y141" i="171" s="1"/>
  <c r="F23" i="201"/>
  <c r="I1318" i="210"/>
  <c r="O1264" i="210"/>
  <c r="I1310" i="210" s="1"/>
  <c r="K1308" i="210"/>
  <c r="D1354" i="210"/>
  <c r="G1324" i="209"/>
  <c r="O1265" i="209"/>
  <c r="F53" i="48"/>
  <c r="I51" i="130"/>
  <c r="I49" i="47"/>
  <c r="K1272" i="210"/>
  <c r="O1272" i="210" s="1"/>
  <c r="K3184" i="209"/>
  <c r="O3184" i="209" s="1"/>
  <c r="F90" i="48"/>
  <c r="I85" i="130"/>
  <c r="I68" i="47"/>
  <c r="G47" i="48"/>
  <c r="I47" i="48" s="1"/>
  <c r="K47" i="48" s="1"/>
  <c r="R43" i="43"/>
  <c r="L47" i="48" s="1"/>
  <c r="G55" i="48"/>
  <c r="I55" i="48" s="1"/>
  <c r="K55" i="48" s="1"/>
  <c r="R51" i="43"/>
  <c r="L55" i="48" s="1"/>
  <c r="G91" i="48"/>
  <c r="I91" i="48" s="1"/>
  <c r="K91" i="48" s="1"/>
  <c r="R83" i="43"/>
  <c r="L91" i="48" s="1"/>
  <c r="I145" i="196"/>
  <c r="F43" i="48"/>
  <c r="I41" i="130"/>
  <c r="I39" i="47"/>
  <c r="D1756" i="209"/>
  <c r="J44" i="27"/>
  <c r="J55" i="27" s="1"/>
  <c r="J91" i="27" s="1"/>
  <c r="J101" i="27" s="1"/>
  <c r="G1653" i="209"/>
  <c r="G1693" i="209" s="1"/>
  <c r="G1697" i="209" s="1"/>
  <c r="G1708" i="209" s="1"/>
  <c r="EZ61" i="190"/>
  <c r="EV62" i="190"/>
  <c r="G36" i="48"/>
  <c r="I36" i="48" s="1"/>
  <c r="K36" i="48" s="1"/>
  <c r="R32" i="43"/>
  <c r="L36" i="48" s="1"/>
  <c r="F36" i="48"/>
  <c r="I34" i="130"/>
  <c r="I32" i="47"/>
  <c r="G35" i="48"/>
  <c r="I35" i="48" s="1"/>
  <c r="K35" i="48" s="1"/>
  <c r="R31" i="43"/>
  <c r="L35" i="48" s="1"/>
  <c r="O754" i="210"/>
  <c r="I762" i="210"/>
  <c r="O762" i="210" s="1"/>
  <c r="I759" i="210"/>
  <c r="D1318" i="210"/>
  <c r="G1318" i="210" s="1"/>
  <c r="G1307" i="210"/>
  <c r="G92" i="48"/>
  <c r="I92" i="48" s="1"/>
  <c r="K92" i="48" s="1"/>
  <c r="R84" i="43"/>
  <c r="L92" i="48" s="1"/>
  <c r="FA15" i="190"/>
  <c r="EZ45" i="190"/>
  <c r="I1708" i="209"/>
  <c r="H31" i="196"/>
  <c r="F91" i="48"/>
  <c r="I86" i="130"/>
  <c r="I69" i="47"/>
  <c r="I1848" i="209"/>
  <c r="O1842" i="209"/>
  <c r="G56" i="48"/>
  <c r="I56" i="48" s="1"/>
  <c r="K56" i="48" s="1"/>
  <c r="R52" i="43"/>
  <c r="L56" i="48" s="1"/>
  <c r="D1708" i="209"/>
  <c r="C31" i="196"/>
  <c r="G81" i="48"/>
  <c r="I81" i="48" s="1"/>
  <c r="K81" i="48" s="1"/>
  <c r="R73" i="43"/>
  <c r="L81" i="48" s="1"/>
  <c r="G46" i="48"/>
  <c r="I46" i="48" s="1"/>
  <c r="K46" i="48" s="1"/>
  <c r="R42" i="43"/>
  <c r="F39" i="48"/>
  <c r="I37" i="130"/>
  <c r="I35" i="47"/>
  <c r="F57" i="48"/>
  <c r="I55" i="130"/>
  <c r="I53" i="47"/>
  <c r="G32" i="48"/>
  <c r="I32" i="48" s="1"/>
  <c r="K32" i="48" s="1"/>
  <c r="R28" i="43"/>
  <c r="L32" i="48" s="1"/>
  <c r="F34" i="48"/>
  <c r="I32" i="130"/>
  <c r="I30" i="47"/>
  <c r="G34" i="48"/>
  <c r="I34" i="48" s="1"/>
  <c r="K34" i="48" s="1"/>
  <c r="R30" i="43"/>
  <c r="L34" i="48" s="1"/>
  <c r="F84" i="48"/>
  <c r="I79" i="130"/>
  <c r="I62" i="47"/>
  <c r="EV14" i="190"/>
  <c r="EZ13" i="190"/>
  <c r="G43" i="48"/>
  <c r="I43" i="48" s="1"/>
  <c r="K43" i="48" s="1"/>
  <c r="R39" i="43"/>
  <c r="L43" i="48" s="1"/>
  <c r="F93" i="48"/>
  <c r="I88" i="130"/>
  <c r="I71" i="47"/>
  <c r="G747" i="210"/>
  <c r="I747" i="210"/>
  <c r="F92" i="48"/>
  <c r="I87" i="130"/>
  <c r="I70" i="47"/>
  <c r="G84" i="48"/>
  <c r="I84" i="48" s="1"/>
  <c r="K84" i="48" s="1"/>
  <c r="R76" i="43"/>
  <c r="L84" i="48" s="1"/>
  <c r="G44" i="48"/>
  <c r="I44" i="48" s="1"/>
  <c r="K44" i="48" s="1"/>
  <c r="R40" i="43"/>
  <c r="L44" i="48" s="1"/>
  <c r="K45" i="42"/>
  <c r="K56" i="42" s="1"/>
  <c r="K93" i="42" s="1"/>
  <c r="K97" i="42" s="1"/>
  <c r="K107" i="42" s="1"/>
  <c r="I1756" i="209"/>
  <c r="O1756" i="209" s="1"/>
  <c r="G93" i="48"/>
  <c r="I93" i="48" s="1"/>
  <c r="K93" i="48" s="1"/>
  <c r="R85" i="43"/>
  <c r="L93" i="48" s="1"/>
  <c r="G54" i="48"/>
  <c r="I54" i="48" s="1"/>
  <c r="K54" i="48" s="1"/>
  <c r="R50" i="43"/>
  <c r="L54" i="48" s="1"/>
  <c r="F54" i="48"/>
  <c r="I52" i="130"/>
  <c r="I50" i="47"/>
  <c r="K1277" i="210"/>
  <c r="K3121" i="209" s="1"/>
  <c r="F58" i="48"/>
  <c r="I56" i="130"/>
  <c r="I54" i="47"/>
  <c r="I101" i="43"/>
  <c r="I3299" i="209"/>
  <c r="K3011" i="209"/>
  <c r="O1239" i="210"/>
  <c r="O1240" i="210" s="1"/>
  <c r="I1286" i="210" s="1"/>
  <c r="I1285" i="210" s="1"/>
  <c r="H41" i="43"/>
  <c r="I3121" i="209"/>
  <c r="K1280" i="210"/>
  <c r="O1280" i="210" s="1"/>
  <c r="K3186" i="209"/>
  <c r="O3186" i="209" s="1"/>
  <c r="F32" i="48"/>
  <c r="I30" i="130"/>
  <c r="I28" i="47"/>
  <c r="G50" i="48"/>
  <c r="I50" i="48" s="1"/>
  <c r="K50" i="48" s="1"/>
  <c r="R46" i="43"/>
  <c r="L50" i="48" s="1"/>
  <c r="EZ46" i="190"/>
  <c r="EV60" i="190"/>
  <c r="F47" i="48"/>
  <c r="I45" i="130"/>
  <c r="I43" i="47"/>
  <c r="F44" i="48"/>
  <c r="I42" i="130"/>
  <c r="I40" i="47"/>
  <c r="F37" i="48"/>
  <c r="I35" i="130"/>
  <c r="I33" i="47"/>
  <c r="G52" i="48"/>
  <c r="I52" i="48" s="1"/>
  <c r="K52" i="48" s="1"/>
  <c r="R48" i="43"/>
  <c r="L52" i="48" s="1"/>
  <c r="F52" i="48"/>
  <c r="I50" i="130"/>
  <c r="I48" i="47"/>
  <c r="G90" i="48"/>
  <c r="I90" i="48" s="1"/>
  <c r="K90" i="48" s="1"/>
  <c r="R82" i="43"/>
  <c r="L90" i="48" s="1"/>
  <c r="F46" i="48"/>
  <c r="I44" i="130"/>
  <c r="I42" i="47"/>
  <c r="F55" i="48"/>
  <c r="I53" i="130"/>
  <c r="I51" i="47"/>
  <c r="EZ6" i="190"/>
  <c r="EV12" i="190"/>
  <c r="EV63" i="190" s="1"/>
  <c r="G89" i="48"/>
  <c r="I89" i="48" s="1"/>
  <c r="K89" i="48" s="1"/>
  <c r="R81" i="43"/>
  <c r="L89" i="48" s="1"/>
  <c r="D1323" i="210"/>
  <c r="G1323" i="210" s="1"/>
  <c r="G1324" i="210" s="1"/>
  <c r="O3121" i="209" l="1"/>
  <c r="I100" i="43"/>
  <c r="I3298" i="209"/>
  <c r="I102" i="43"/>
  <c r="I3300" i="209"/>
  <c r="D1370" i="210"/>
  <c r="K1324" i="210"/>
  <c r="FA45" i="190"/>
  <c r="FE15" i="190"/>
  <c r="FA6" i="190"/>
  <c r="EZ12" i="190"/>
  <c r="I103" i="43"/>
  <c r="I3301" i="209"/>
  <c r="K1307" i="210"/>
  <c r="D1353" i="210"/>
  <c r="I1767" i="209"/>
  <c r="I1807" i="209" s="1"/>
  <c r="I1811" i="209" s="1"/>
  <c r="X67" i="171"/>
  <c r="Y67" i="171" s="1"/>
  <c r="M68" i="171"/>
  <c r="M90" i="42"/>
  <c r="M91" i="42" s="1"/>
  <c r="I2032" i="209"/>
  <c r="O1919" i="209"/>
  <c r="D1327" i="210"/>
  <c r="G1327" i="210" s="1"/>
  <c r="G1328" i="210" s="1"/>
  <c r="EZ62" i="190"/>
  <c r="FA61" i="190"/>
  <c r="O3011" i="209"/>
  <c r="O1277" i="210"/>
  <c r="O1278" i="210" s="1"/>
  <c r="I1324" i="210" s="1"/>
  <c r="I1323" i="210" s="1"/>
  <c r="L46" i="48"/>
  <c r="G1756" i="209"/>
  <c r="D1767" i="209"/>
  <c r="D1807" i="209" s="1"/>
  <c r="D1811" i="209" s="1"/>
  <c r="D810" i="210"/>
  <c r="K764" i="210"/>
  <c r="K763" i="210" s="1"/>
  <c r="K1862" i="209" s="1"/>
  <c r="K1881" i="209" s="1"/>
  <c r="K1921" i="209" s="1"/>
  <c r="K1925" i="209" s="1"/>
  <c r="X142" i="170"/>
  <c r="Y142" i="170" s="1"/>
  <c r="M143" i="170"/>
  <c r="L37" i="42"/>
  <c r="I1862" i="209"/>
  <c r="O1767" i="209"/>
  <c r="O1807" i="209" s="1"/>
  <c r="O1811" i="209" s="1"/>
  <c r="O1822" i="209" s="1"/>
  <c r="D808" i="210"/>
  <c r="G808" i="210" s="1"/>
  <c r="D805" i="210"/>
  <c r="G800" i="210"/>
  <c r="D1962" i="209"/>
  <c r="G1956" i="209"/>
  <c r="K1273" i="210"/>
  <c r="K3118" i="209" s="1"/>
  <c r="L45" i="42"/>
  <c r="I1870" i="209"/>
  <c r="O1870" i="209" s="1"/>
  <c r="EZ14" i="190"/>
  <c r="FA13" i="190"/>
  <c r="M16" i="42"/>
  <c r="M22" i="42" s="1"/>
  <c r="I1956" i="209"/>
  <c r="O1848" i="209"/>
  <c r="H145" i="196"/>
  <c r="M145" i="196" s="1"/>
  <c r="M31" i="196"/>
  <c r="D1379" i="209"/>
  <c r="O1324" i="209"/>
  <c r="I51" i="48"/>
  <c r="I1934" i="209"/>
  <c r="H90" i="196" s="1"/>
  <c r="M90" i="196" s="1"/>
  <c r="O1929" i="209"/>
  <c r="D1319" i="210"/>
  <c r="G1319" i="210" s="1"/>
  <c r="G1320" i="210" s="1"/>
  <c r="G1354" i="210"/>
  <c r="D1368" i="210"/>
  <c r="G1368" i="210" s="1"/>
  <c r="I2029" i="209"/>
  <c r="G1934" i="209"/>
  <c r="D2043" i="209"/>
  <c r="L94" i="27"/>
  <c r="L99" i="27" s="1"/>
  <c r="M26" i="42"/>
  <c r="I1965" i="209"/>
  <c r="I41" i="43"/>
  <c r="I3235" i="209"/>
  <c r="O747" i="210"/>
  <c r="D793" i="210"/>
  <c r="I800" i="210"/>
  <c r="O759" i="210"/>
  <c r="K1322" i="210"/>
  <c r="O1322" i="210" s="1"/>
  <c r="K3299" i="209"/>
  <c r="O3299" i="209" s="1"/>
  <c r="O1308" i="210"/>
  <c r="I1354" i="210" s="1"/>
  <c r="M143" i="171"/>
  <c r="X142" i="171"/>
  <c r="Y142" i="171" s="1"/>
  <c r="K1285" i="210"/>
  <c r="K3125" i="209" s="1"/>
  <c r="EZ60" i="190"/>
  <c r="FA46" i="190"/>
  <c r="X77" i="170"/>
  <c r="Y77" i="170" s="1"/>
  <c r="M78" i="170"/>
  <c r="D2146" i="209"/>
  <c r="G2033" i="209"/>
  <c r="M88" i="27"/>
  <c r="M89" i="27" s="1"/>
  <c r="D1331" i="210"/>
  <c r="G1331" i="210" s="1"/>
  <c r="G1332" i="210" s="1"/>
  <c r="F31" i="196"/>
  <c r="C145" i="196"/>
  <c r="F145" i="196" s="1"/>
  <c r="G1965" i="209"/>
  <c r="O3004" i="209"/>
  <c r="D2129" i="209"/>
  <c r="K2015" i="209"/>
  <c r="K2029" i="209" s="1"/>
  <c r="G2029" i="209"/>
  <c r="M71" i="27"/>
  <c r="M85" i="27" s="1"/>
  <c r="K1309" i="210"/>
  <c r="D1355" i="210"/>
  <c r="K1310" i="210"/>
  <c r="O1310" i="210" s="1"/>
  <c r="I1356" i="210" s="1"/>
  <c r="D1356" i="210"/>
  <c r="I1330" i="210"/>
  <c r="I763" i="210"/>
  <c r="K1281" i="210"/>
  <c r="D1378" i="210" l="1"/>
  <c r="K1332" i="210"/>
  <c r="EZ63" i="190"/>
  <c r="O763" i="210"/>
  <c r="O764" i="210" s="1"/>
  <c r="I810" i="210" s="1"/>
  <c r="O1273" i="210"/>
  <c r="O1274" i="210" s="1"/>
  <c r="I1320" i="210" s="1"/>
  <c r="I1319" i="210" s="1"/>
  <c r="K1323" i="210"/>
  <c r="K3235" i="209" s="1"/>
  <c r="O3235" i="209" s="1"/>
  <c r="J101" i="43"/>
  <c r="I3413" i="209"/>
  <c r="D1366" i="210"/>
  <c r="K1320" i="210"/>
  <c r="D1374" i="210"/>
  <c r="K1328" i="210"/>
  <c r="FE46" i="190"/>
  <c r="FA60" i="190"/>
  <c r="FE13" i="190"/>
  <c r="FA14" i="190"/>
  <c r="X143" i="170"/>
  <c r="Y143" i="170" s="1"/>
  <c r="M144" i="170"/>
  <c r="FA12" i="190"/>
  <c r="FE6" i="190"/>
  <c r="D1369" i="210"/>
  <c r="G1369" i="210" s="1"/>
  <c r="G1370" i="210" s="1"/>
  <c r="D1416" i="210" s="1"/>
  <c r="O2015" i="209"/>
  <c r="FE45" i="190"/>
  <c r="FF15" i="190"/>
  <c r="G2129" i="209"/>
  <c r="D2143" i="209"/>
  <c r="G1356" i="210"/>
  <c r="D1376" i="210"/>
  <c r="G1376" i="210" s="1"/>
  <c r="H38" i="43"/>
  <c r="I3118" i="209"/>
  <c r="O3118" i="209" s="1"/>
  <c r="G2146" i="209"/>
  <c r="D2147" i="209"/>
  <c r="O1965" i="209"/>
  <c r="M45" i="42"/>
  <c r="I1984" i="209"/>
  <c r="O1984" i="209" s="1"/>
  <c r="G805" i="210"/>
  <c r="D846" i="210"/>
  <c r="D1822" i="209"/>
  <c r="C32" i="196"/>
  <c r="H45" i="43"/>
  <c r="I3125" i="209"/>
  <c r="O3125" i="209" s="1"/>
  <c r="O2032" i="209"/>
  <c r="I2033" i="209"/>
  <c r="I1822" i="209"/>
  <c r="H32" i="196"/>
  <c r="I1376" i="210"/>
  <c r="K1330" i="210"/>
  <c r="O1330" i="210" s="1"/>
  <c r="K3301" i="209"/>
  <c r="O3301" i="209" s="1"/>
  <c r="K51" i="48"/>
  <c r="L56" i="42"/>
  <c r="L93" i="42" s="1"/>
  <c r="L97" i="42" s="1"/>
  <c r="L107" i="42" s="1"/>
  <c r="I33" i="196"/>
  <c r="K1936" i="209"/>
  <c r="D1870" i="209"/>
  <c r="K44" i="27"/>
  <c r="K55" i="27" s="1"/>
  <c r="K91" i="27" s="1"/>
  <c r="K101" i="27" s="1"/>
  <c r="G1767" i="209"/>
  <c r="G1807" i="209" s="1"/>
  <c r="G1811" i="209" s="1"/>
  <c r="G1822" i="209" s="1"/>
  <c r="I808" i="210"/>
  <c r="O808" i="210" s="1"/>
  <c r="I805" i="210"/>
  <c r="O800" i="210"/>
  <c r="D809" i="210"/>
  <c r="G809" i="210" s="1"/>
  <c r="G810" i="210" s="1"/>
  <c r="FA62" i="190"/>
  <c r="FE61" i="190"/>
  <c r="G1353" i="210"/>
  <c r="D1364" i="210"/>
  <c r="G1364" i="210" s="1"/>
  <c r="G1355" i="210"/>
  <c r="D1372" i="210"/>
  <c r="G1372" i="210" s="1"/>
  <c r="K3124" i="209"/>
  <c r="O1281" i="210"/>
  <c r="O1282" i="210" s="1"/>
  <c r="I1328" i="210" s="1"/>
  <c r="I1327" i="210" s="1"/>
  <c r="K1326" i="210"/>
  <c r="O1326" i="210" s="1"/>
  <c r="K3300" i="209"/>
  <c r="O3300" i="209" s="1"/>
  <c r="O1309" i="210"/>
  <c r="I1355" i="210" s="1"/>
  <c r="D2079" i="209"/>
  <c r="M25" i="27"/>
  <c r="O1285" i="210"/>
  <c r="O1286" i="210" s="1"/>
  <c r="I1332" i="210" s="1"/>
  <c r="I1331" i="210" s="1"/>
  <c r="M79" i="170"/>
  <c r="X78" i="170"/>
  <c r="Y78" i="170" s="1"/>
  <c r="X143" i="171"/>
  <c r="Y143" i="171" s="1"/>
  <c r="M144" i="171"/>
  <c r="G793" i="210"/>
  <c r="I793" i="210"/>
  <c r="G2043" i="209"/>
  <c r="D2048" i="209"/>
  <c r="C91" i="196" s="1"/>
  <c r="F91" i="196" s="1"/>
  <c r="D1400" i="210"/>
  <c r="K1354" i="210"/>
  <c r="M69" i="171"/>
  <c r="X68" i="171"/>
  <c r="Y68" i="171" s="1"/>
  <c r="K1318" i="210"/>
  <c r="O1318" i="210" s="1"/>
  <c r="K3298" i="209"/>
  <c r="O3298" i="209" s="1"/>
  <c r="O1307" i="210"/>
  <c r="I1353" i="210" s="1"/>
  <c r="I1368" i="210"/>
  <c r="M100" i="42"/>
  <c r="M105" i="42" s="1"/>
  <c r="I2043" i="209"/>
  <c r="O1934" i="209"/>
  <c r="I1379" i="209"/>
  <c r="G1379" i="209"/>
  <c r="D1438" i="209"/>
  <c r="I1438" i="209" s="1"/>
  <c r="I1962" i="209"/>
  <c r="O1956" i="209"/>
  <c r="D2070" i="209"/>
  <c r="G1962" i="209"/>
  <c r="M16" i="27"/>
  <c r="M22" i="27" s="1"/>
  <c r="O1862" i="209"/>
  <c r="I1881" i="209"/>
  <c r="I1921" i="209" s="1"/>
  <c r="I1925" i="209" s="1"/>
  <c r="I809" i="210" l="1"/>
  <c r="D1377" i="210"/>
  <c r="G1377" i="210" s="1"/>
  <c r="D856" i="210"/>
  <c r="K810" i="210"/>
  <c r="K809" i="210" s="1"/>
  <c r="K1976" i="209" s="1"/>
  <c r="K1995" i="209" s="1"/>
  <c r="K2035" i="209" s="1"/>
  <c r="K2039" i="209" s="1"/>
  <c r="K2050" i="209" s="1"/>
  <c r="O1323" i="210"/>
  <c r="O1324" i="210" s="1"/>
  <c r="I1370" i="210" s="1"/>
  <c r="I1369" i="210" s="1"/>
  <c r="J41" i="43"/>
  <c r="I3349" i="209"/>
  <c r="O809" i="210"/>
  <c r="O810" i="210" s="1"/>
  <c r="I856" i="210" s="1"/>
  <c r="I2048" i="209"/>
  <c r="H91" i="196" s="1"/>
  <c r="M91" i="196" s="1"/>
  <c r="O2043" i="209"/>
  <c r="I147" i="196"/>
  <c r="I45" i="43"/>
  <c r="I3239" i="209"/>
  <c r="I38" i="43"/>
  <c r="I3232" i="209"/>
  <c r="FF45" i="190"/>
  <c r="FJ15" i="190"/>
  <c r="N73" i="42"/>
  <c r="N87" i="42" s="1"/>
  <c r="I2129" i="209"/>
  <c r="O2029" i="209"/>
  <c r="K1327" i="210"/>
  <c r="K3238" i="209" s="1"/>
  <c r="J102" i="43"/>
  <c r="I3414" i="209"/>
  <c r="K1331" i="210"/>
  <c r="K3239" i="209" s="1"/>
  <c r="K1370" i="210"/>
  <c r="FE14" i="190"/>
  <c r="FF13" i="190"/>
  <c r="D1373" i="210"/>
  <c r="G1373" i="210" s="1"/>
  <c r="G1374" i="210" s="1"/>
  <c r="D1420" i="210" s="1"/>
  <c r="M145" i="171"/>
  <c r="X144" i="171"/>
  <c r="Y144" i="171" s="1"/>
  <c r="D2260" i="209"/>
  <c r="G2147" i="209"/>
  <c r="N88" i="27"/>
  <c r="N89" i="27" s="1"/>
  <c r="N16" i="42"/>
  <c r="N22" i="42" s="1"/>
  <c r="O1962" i="209"/>
  <c r="I2070" i="209"/>
  <c r="D1414" i="210"/>
  <c r="G1414" i="210" s="1"/>
  <c r="G1400" i="210"/>
  <c r="M80" i="170"/>
  <c r="X79" i="170"/>
  <c r="Y79" i="170" s="1"/>
  <c r="H146" i="196"/>
  <c r="M146" i="196" s="1"/>
  <c r="M32" i="196"/>
  <c r="C146" i="196"/>
  <c r="F146" i="196" s="1"/>
  <c r="F32" i="196"/>
  <c r="N26" i="42"/>
  <c r="I2079" i="209"/>
  <c r="G1378" i="210"/>
  <c r="K1319" i="210"/>
  <c r="I1372" i="210"/>
  <c r="N90" i="42"/>
  <c r="N91" i="42" s="1"/>
  <c r="I2146" i="209"/>
  <c r="O2033" i="209"/>
  <c r="D1402" i="210"/>
  <c r="K1356" i="210"/>
  <c r="FE12" i="190"/>
  <c r="FF6" i="190"/>
  <c r="D1365" i="210"/>
  <c r="G1365" i="210" s="1"/>
  <c r="K1368" i="210"/>
  <c r="O1368" i="210" s="1"/>
  <c r="K3413" i="209"/>
  <c r="O3413" i="209" s="1"/>
  <c r="G1366" i="210"/>
  <c r="D1412" i="210" s="1"/>
  <c r="D1415" i="210"/>
  <c r="G1415" i="210" s="1"/>
  <c r="G846" i="210"/>
  <c r="D854" i="210"/>
  <c r="G854" i="210" s="1"/>
  <c r="D851" i="210"/>
  <c r="FA63" i="190"/>
  <c r="M145" i="170"/>
  <c r="X144" i="170"/>
  <c r="Y144" i="170" s="1"/>
  <c r="FE60" i="190"/>
  <c r="FF46" i="190"/>
  <c r="M70" i="171"/>
  <c r="X69" i="171"/>
  <c r="Y69" i="171" s="1"/>
  <c r="D1401" i="210"/>
  <c r="K1355" i="210"/>
  <c r="O1355" i="210" s="1"/>
  <c r="I1401" i="210" s="1"/>
  <c r="D2076" i="209"/>
  <c r="G2070" i="209"/>
  <c r="J100" i="43"/>
  <c r="I3412" i="209"/>
  <c r="I1364" i="210"/>
  <c r="O1354" i="210"/>
  <c r="I1400" i="210" s="1"/>
  <c r="I1936" i="209"/>
  <c r="H33" i="196"/>
  <c r="D1399" i="210"/>
  <c r="K1353" i="210"/>
  <c r="O1353" i="210" s="1"/>
  <c r="I1399" i="210" s="1"/>
  <c r="J103" i="43"/>
  <c r="I3415" i="209"/>
  <c r="D2243" i="209"/>
  <c r="K2129" i="209"/>
  <c r="K2143" i="209" s="1"/>
  <c r="G2143" i="209"/>
  <c r="N71" i="27"/>
  <c r="N85" i="27" s="1"/>
  <c r="G2048" i="209"/>
  <c r="D2157" i="209"/>
  <c r="M94" i="27"/>
  <c r="M99" i="27" s="1"/>
  <c r="G1438" i="209"/>
  <c r="O1379" i="209"/>
  <c r="G2079" i="209"/>
  <c r="M37" i="42"/>
  <c r="M56" i="42" s="1"/>
  <c r="M93" i="42" s="1"/>
  <c r="M97" i="42" s="1"/>
  <c r="M107" i="42" s="1"/>
  <c r="I1976" i="209"/>
  <c r="O1881" i="209"/>
  <c r="O1921" i="209" s="1"/>
  <c r="O1925" i="209" s="1"/>
  <c r="O1936" i="209" s="1"/>
  <c r="O793" i="210"/>
  <c r="D839" i="210"/>
  <c r="FF61" i="190"/>
  <c r="FE62" i="190"/>
  <c r="I846" i="210"/>
  <c r="O805" i="210"/>
  <c r="G1870" i="209"/>
  <c r="D1881" i="209"/>
  <c r="D1921" i="209" s="1"/>
  <c r="D1925" i="209" s="1"/>
  <c r="N45" i="42"/>
  <c r="I2098" i="209"/>
  <c r="O2098" i="209" s="1"/>
  <c r="I34" i="196" l="1"/>
  <c r="I148" i="196" s="1"/>
  <c r="O1331" i="210"/>
  <c r="O1332" i="210" s="1"/>
  <c r="I1378" i="210" s="1"/>
  <c r="I1377" i="210" s="1"/>
  <c r="K1366" i="210"/>
  <c r="D855" i="210"/>
  <c r="G855" i="210" s="1"/>
  <c r="O1327" i="210"/>
  <c r="O1328" i="210" s="1"/>
  <c r="I1374" i="210" s="1"/>
  <c r="I1373" i="210" s="1"/>
  <c r="I1410" i="210"/>
  <c r="K101" i="43"/>
  <c r="I3527" i="209"/>
  <c r="X145" i="170"/>
  <c r="M146" i="170"/>
  <c r="M147" i="170" s="1"/>
  <c r="M148" i="170" s="1"/>
  <c r="K1376" i="210"/>
  <c r="O1376" i="210" s="1"/>
  <c r="K3415" i="209"/>
  <c r="O3415" i="209" s="1"/>
  <c r="O1356" i="210"/>
  <c r="I1402" i="210" s="1"/>
  <c r="G1416" i="210"/>
  <c r="I1418" i="210"/>
  <c r="D1984" i="209"/>
  <c r="L44" i="27"/>
  <c r="L55" i="27" s="1"/>
  <c r="L91" i="27" s="1"/>
  <c r="L101" i="27" s="1"/>
  <c r="G1881" i="209"/>
  <c r="G1921" i="209" s="1"/>
  <c r="G1925" i="209" s="1"/>
  <c r="G1936" i="209" s="1"/>
  <c r="K1372" i="210"/>
  <c r="O1372" i="210" s="1"/>
  <c r="K3414" i="209"/>
  <c r="O3414" i="209" s="1"/>
  <c r="G1402" i="210"/>
  <c r="D1422" i="210"/>
  <c r="G1422" i="210" s="1"/>
  <c r="K3232" i="209"/>
  <c r="O3232" i="209" s="1"/>
  <c r="O1319" i="210"/>
  <c r="O1320" i="210" s="1"/>
  <c r="I1366" i="210" s="1"/>
  <c r="I1365" i="210" s="1"/>
  <c r="I2076" i="209"/>
  <c r="O2070" i="209"/>
  <c r="G2260" i="209"/>
  <c r="D2261" i="209"/>
  <c r="K1369" i="210"/>
  <c r="D1936" i="209"/>
  <c r="C33" i="196"/>
  <c r="FJ13" i="190"/>
  <c r="FF14" i="190"/>
  <c r="O1976" i="209"/>
  <c r="I1995" i="209"/>
  <c r="I2035" i="209" s="1"/>
  <c r="I2039" i="209" s="1"/>
  <c r="K1364" i="210"/>
  <c r="K1365" i="210" s="1"/>
  <c r="K3346" i="209" s="1"/>
  <c r="K3412" i="209"/>
  <c r="O3412" i="209" s="1"/>
  <c r="D1418" i="210"/>
  <c r="G1418" i="210" s="1"/>
  <c r="G1401" i="210"/>
  <c r="D1411" i="210"/>
  <c r="G1411" i="210" s="1"/>
  <c r="FJ6" i="190"/>
  <c r="FF12" i="190"/>
  <c r="O3239" i="209"/>
  <c r="D1493" i="209"/>
  <c r="O1438" i="209"/>
  <c r="D1410" i="210"/>
  <c r="G1410" i="210" s="1"/>
  <c r="G1399" i="210"/>
  <c r="FE63" i="190"/>
  <c r="X145" i="171"/>
  <c r="M146" i="171"/>
  <c r="M147" i="171" s="1"/>
  <c r="M148" i="171" s="1"/>
  <c r="I1414" i="210"/>
  <c r="FJ61" i="190"/>
  <c r="FF62" i="190"/>
  <c r="D2193" i="209"/>
  <c r="N25" i="27"/>
  <c r="G2157" i="209"/>
  <c r="D2162" i="209"/>
  <c r="C92" i="196" s="1"/>
  <c r="F92" i="196" s="1"/>
  <c r="X70" i="171"/>
  <c r="Y70" i="171" s="1"/>
  <c r="M71" i="171"/>
  <c r="G856" i="210"/>
  <c r="D1424" i="210"/>
  <c r="K1378" i="210"/>
  <c r="O2129" i="209"/>
  <c r="I2143" i="209"/>
  <c r="K1400" i="210"/>
  <c r="O1400" i="210" s="1"/>
  <c r="I1446" i="210" s="1"/>
  <c r="D1446" i="210"/>
  <c r="O45" i="42"/>
  <c r="I2212" i="209"/>
  <c r="O2212" i="209" s="1"/>
  <c r="D1419" i="210"/>
  <c r="G1419" i="210" s="1"/>
  <c r="D2257" i="209"/>
  <c r="G2243" i="209"/>
  <c r="H147" i="196"/>
  <c r="M147" i="196" s="1"/>
  <c r="M33" i="196"/>
  <c r="FF60" i="190"/>
  <c r="FJ46" i="190"/>
  <c r="D892" i="210"/>
  <c r="G851" i="210"/>
  <c r="I2147" i="209"/>
  <c r="O2146" i="209"/>
  <c r="K1374" i="210"/>
  <c r="K1373" i="210" s="1"/>
  <c r="K3352" i="209" s="1"/>
  <c r="G2076" i="209"/>
  <c r="D2184" i="209"/>
  <c r="N16" i="27"/>
  <c r="N22" i="27" s="1"/>
  <c r="N100" i="42"/>
  <c r="N105" i="42" s="1"/>
  <c r="I2157" i="209"/>
  <c r="O2048" i="209"/>
  <c r="I854" i="210"/>
  <c r="O854" i="210" s="1"/>
  <c r="O846" i="210"/>
  <c r="I851" i="210"/>
  <c r="G839" i="210"/>
  <c r="I839" i="210"/>
  <c r="O2079" i="209"/>
  <c r="M81" i="170"/>
  <c r="X80" i="170"/>
  <c r="Y80" i="170" s="1"/>
  <c r="FK15" i="190"/>
  <c r="FJ45" i="190"/>
  <c r="I855" i="210"/>
  <c r="O1365" i="210" l="1"/>
  <c r="O1364" i="210"/>
  <c r="O1366" i="210" s="1"/>
  <c r="I1412" i="210" s="1"/>
  <c r="I1411" i="210" s="1"/>
  <c r="J38" i="43"/>
  <c r="I3346" i="209"/>
  <c r="O3346" i="209" s="1"/>
  <c r="I1460" i="210"/>
  <c r="O16" i="42"/>
  <c r="O22" i="42" s="1"/>
  <c r="O2076" i="209"/>
  <c r="I2184" i="209"/>
  <c r="M82" i="170"/>
  <c r="X81" i="170"/>
  <c r="Y81" i="170" s="1"/>
  <c r="I892" i="210"/>
  <c r="O851" i="210"/>
  <c r="G892" i="210"/>
  <c r="D900" i="210"/>
  <c r="G900" i="210" s="1"/>
  <c r="D897" i="210"/>
  <c r="K100" i="43"/>
  <c r="I3526" i="209"/>
  <c r="K103" i="43"/>
  <c r="I3529" i="209"/>
  <c r="J45" i="43"/>
  <c r="I3353" i="209"/>
  <c r="K1401" i="210"/>
  <c r="D1447" i="210"/>
  <c r="K102" i="43"/>
  <c r="I3528" i="209"/>
  <c r="FK46" i="190"/>
  <c r="FJ60" i="190"/>
  <c r="I46" i="12"/>
  <c r="P45" i="42"/>
  <c r="I2326" i="209"/>
  <c r="O2326" i="209" s="1"/>
  <c r="I2440" i="209" s="1"/>
  <c r="O2440" i="209" s="1"/>
  <c r="I2554" i="209" s="1"/>
  <c r="O2554" i="209" s="1"/>
  <c r="I2668" i="209" s="1"/>
  <c r="O2668" i="209" s="1"/>
  <c r="O73" i="42"/>
  <c r="O87" i="42" s="1"/>
  <c r="I2243" i="209"/>
  <c r="O2143" i="209"/>
  <c r="K1399" i="210"/>
  <c r="D1445" i="210"/>
  <c r="G1420" i="210"/>
  <c r="FJ14" i="190"/>
  <c r="FK13" i="190"/>
  <c r="D1423" i="210"/>
  <c r="G1423" i="210" s="1"/>
  <c r="G1424" i="210" s="1"/>
  <c r="FK61" i="190"/>
  <c r="FJ62" i="190"/>
  <c r="D2271" i="209"/>
  <c r="G2162" i="209"/>
  <c r="N94" i="27"/>
  <c r="N99" i="27" s="1"/>
  <c r="G1412" i="210"/>
  <c r="C147" i="196"/>
  <c r="F147" i="196" s="1"/>
  <c r="F33" i="196"/>
  <c r="I2162" i="209"/>
  <c r="H92" i="196" s="1"/>
  <c r="M92" i="196" s="1"/>
  <c r="O2157" i="209"/>
  <c r="O90" i="42"/>
  <c r="O91" i="42" s="1"/>
  <c r="I2260" i="209"/>
  <c r="O2147" i="209"/>
  <c r="D1460" i="210"/>
  <c r="G1460" i="210" s="1"/>
  <c r="G1446" i="210"/>
  <c r="D1462" i="210"/>
  <c r="K1416" i="210"/>
  <c r="O1373" i="210"/>
  <c r="O1374" i="210" s="1"/>
  <c r="I1420" i="210" s="1"/>
  <c r="I1419" i="210" s="1"/>
  <c r="Y145" i="171"/>
  <c r="Y146" i="171" s="1"/>
  <c r="X146" i="171"/>
  <c r="D1552" i="209"/>
  <c r="I1552" i="209" s="1"/>
  <c r="I1493" i="209"/>
  <c r="G1493" i="209"/>
  <c r="FF63" i="190"/>
  <c r="K3349" i="209"/>
  <c r="O1369" i="210"/>
  <c r="O1370" i="210" s="1"/>
  <c r="I1416" i="210" s="1"/>
  <c r="I1415" i="210" s="1"/>
  <c r="K1402" i="210"/>
  <c r="O1402" i="210" s="1"/>
  <c r="I1448" i="210" s="1"/>
  <c r="D1448" i="210"/>
  <c r="G1984" i="209"/>
  <c r="D1995" i="209"/>
  <c r="D2035" i="209" s="1"/>
  <c r="D2039" i="209" s="1"/>
  <c r="O26" i="42"/>
  <c r="I2193" i="209"/>
  <c r="O839" i="210"/>
  <c r="D885" i="210"/>
  <c r="D902" i="210"/>
  <c r="K856" i="210"/>
  <c r="K855" i="210" s="1"/>
  <c r="K2090" i="209" s="1"/>
  <c r="K2109" i="209" s="1"/>
  <c r="K2149" i="209" s="1"/>
  <c r="K2153" i="209" s="1"/>
  <c r="G2193" i="209"/>
  <c r="FK6" i="190"/>
  <c r="FJ12" i="190"/>
  <c r="FJ63" i="190" s="1"/>
  <c r="I2050" i="209"/>
  <c r="H34" i="196"/>
  <c r="I1422" i="210"/>
  <c r="FO15" i="190"/>
  <c r="FK45" i="190"/>
  <c r="K1414" i="210"/>
  <c r="O1414" i="210" s="1"/>
  <c r="K3527" i="209"/>
  <c r="O3527" i="209" s="1"/>
  <c r="D2357" i="209"/>
  <c r="K2243" i="209"/>
  <c r="K2257" i="209" s="1"/>
  <c r="G2257" i="209"/>
  <c r="H22" i="120" s="1"/>
  <c r="O71" i="27"/>
  <c r="D2190" i="209"/>
  <c r="G2184" i="209"/>
  <c r="K1377" i="210"/>
  <c r="M72" i="171"/>
  <c r="X71" i="171"/>
  <c r="Y71" i="171" s="1"/>
  <c r="N37" i="42"/>
  <c r="N56" i="42" s="1"/>
  <c r="N93" i="42" s="1"/>
  <c r="N97" i="42" s="1"/>
  <c r="N107" i="42" s="1"/>
  <c r="I2090" i="209"/>
  <c r="O1995" i="209"/>
  <c r="O2035" i="209" s="1"/>
  <c r="O2039" i="209" s="1"/>
  <c r="O2050" i="209" s="1"/>
  <c r="D2374" i="209"/>
  <c r="G2261" i="209"/>
  <c r="O88" i="27"/>
  <c r="Y145" i="170"/>
  <c r="Y146" i="170" s="1"/>
  <c r="X146" i="170"/>
  <c r="D1470" i="210" l="1"/>
  <c r="K1424" i="210"/>
  <c r="L101" i="43"/>
  <c r="I3641" i="209"/>
  <c r="D2371" i="209"/>
  <c r="G2357" i="209"/>
  <c r="H148" i="196"/>
  <c r="M148" i="196" s="1"/>
  <c r="M34" i="196"/>
  <c r="I2261" i="209"/>
  <c r="O2260" i="209"/>
  <c r="FK62" i="190"/>
  <c r="FO61" i="190"/>
  <c r="FO13" i="190"/>
  <c r="FK14" i="190"/>
  <c r="FO46" i="190"/>
  <c r="FK60" i="190"/>
  <c r="O3349" i="209"/>
  <c r="I900" i="210"/>
  <c r="O900" i="210" s="1"/>
  <c r="I897" i="210"/>
  <c r="O892" i="210"/>
  <c r="O100" i="42"/>
  <c r="O105" i="42" s="1"/>
  <c r="I2271" i="209"/>
  <c r="O2162" i="209"/>
  <c r="D1458" i="210"/>
  <c r="K1412" i="210"/>
  <c r="D1466" i="210"/>
  <c r="K1420" i="210"/>
  <c r="I2257" i="209"/>
  <c r="O2243" i="209"/>
  <c r="I885" i="210"/>
  <c r="G885" i="210"/>
  <c r="D75" i="3"/>
  <c r="O89" i="27"/>
  <c r="X72" i="171"/>
  <c r="Y72" i="171" s="1"/>
  <c r="M73" i="171"/>
  <c r="FO45" i="190"/>
  <c r="FP15" i="190"/>
  <c r="FK12" i="190"/>
  <c r="FO6" i="190"/>
  <c r="G1447" i="210"/>
  <c r="D1464" i="210"/>
  <c r="G1464" i="210" s="1"/>
  <c r="X82" i="170"/>
  <c r="Y82" i="170" s="1"/>
  <c r="M83" i="170"/>
  <c r="K3353" i="209"/>
  <c r="O3353" i="209" s="1"/>
  <c r="O1377" i="210"/>
  <c r="O1378" i="210" s="1"/>
  <c r="I1424" i="210" s="1"/>
  <c r="I1423" i="210" s="1"/>
  <c r="D2050" i="209"/>
  <c r="C34" i="196"/>
  <c r="E44" i="43"/>
  <c r="I2782" i="209"/>
  <c r="O2782" i="209" s="1"/>
  <c r="K1418" i="210"/>
  <c r="O1418" i="210" s="1"/>
  <c r="K3528" i="209"/>
  <c r="O3528" i="209" s="1"/>
  <c r="O1401" i="210"/>
  <c r="I1447" i="210" s="1"/>
  <c r="K38" i="43"/>
  <c r="I3460" i="209"/>
  <c r="D2307" i="209"/>
  <c r="O25" i="27"/>
  <c r="G2374" i="209"/>
  <c r="D2375" i="209"/>
  <c r="D2298" i="209"/>
  <c r="G2190" i="209"/>
  <c r="O16" i="27"/>
  <c r="D58" i="3"/>
  <c r="O85" i="27"/>
  <c r="O2193" i="209"/>
  <c r="D2098" i="209"/>
  <c r="M44" i="27"/>
  <c r="M55" i="27" s="1"/>
  <c r="M91" i="27" s="1"/>
  <c r="M101" i="27" s="1"/>
  <c r="G1995" i="209"/>
  <c r="G2035" i="209" s="1"/>
  <c r="G2039" i="209" s="1"/>
  <c r="G2050" i="209" s="1"/>
  <c r="G1552" i="209"/>
  <c r="O1493" i="209"/>
  <c r="K1415" i="210"/>
  <c r="K3463" i="209" s="1"/>
  <c r="D1492" i="210"/>
  <c r="K1446" i="210"/>
  <c r="G2271" i="209"/>
  <c r="D2276" i="209"/>
  <c r="C93" i="196" s="1"/>
  <c r="F93" i="196" s="1"/>
  <c r="H16" i="1" s="1"/>
  <c r="I2190" i="209"/>
  <c r="O2184" i="209"/>
  <c r="D1468" i="210"/>
  <c r="G1468" i="210" s="1"/>
  <c r="G1448" i="210"/>
  <c r="D1461" i="210"/>
  <c r="G1461" i="210" s="1"/>
  <c r="G1462" i="210" s="1"/>
  <c r="G1445" i="210"/>
  <c r="D1456" i="210"/>
  <c r="G1456" i="210" s="1"/>
  <c r="K46" i="12"/>
  <c r="G46" i="12"/>
  <c r="K2164" i="209"/>
  <c r="I35" i="196"/>
  <c r="O2090" i="209"/>
  <c r="I2109" i="209"/>
  <c r="I2149" i="209" s="1"/>
  <c r="I2153" i="209" s="1"/>
  <c r="I1468" i="210"/>
  <c r="D901" i="210"/>
  <c r="G901" i="210" s="1"/>
  <c r="G902" i="210" s="1"/>
  <c r="D948" i="210" s="1"/>
  <c r="O855" i="210"/>
  <c r="O856" i="210" s="1"/>
  <c r="I902" i="210" s="1"/>
  <c r="I901" i="210" s="1"/>
  <c r="K1422" i="210"/>
  <c r="O1422" i="210" s="1"/>
  <c r="K3529" i="209"/>
  <c r="O3529" i="209" s="1"/>
  <c r="K1410" i="210"/>
  <c r="O1410" i="210" s="1"/>
  <c r="K3526" i="209"/>
  <c r="O3526" i="209" s="1"/>
  <c r="O1399" i="210"/>
  <c r="I1445" i="210" s="1"/>
  <c r="D938" i="210"/>
  <c r="G897" i="210"/>
  <c r="K1419" i="210" l="1"/>
  <c r="K3466" i="209" s="1"/>
  <c r="L100" i="43"/>
  <c r="I3640" i="209"/>
  <c r="L102" i="43"/>
  <c r="I3642" i="209"/>
  <c r="L103" i="43"/>
  <c r="I3643" i="209"/>
  <c r="D1508" i="210"/>
  <c r="K1462" i="210"/>
  <c r="I2164" i="209"/>
  <c r="H35" i="196"/>
  <c r="D1465" i="210"/>
  <c r="G1465" i="210" s="1"/>
  <c r="G1466" i="210" s="1"/>
  <c r="I93" i="12"/>
  <c r="P90" i="42"/>
  <c r="P91" i="42" s="1"/>
  <c r="I2374" i="209"/>
  <c r="O2261" i="209"/>
  <c r="D1607" i="209"/>
  <c r="O1552" i="209"/>
  <c r="P73" i="42"/>
  <c r="P87" i="42" s="1"/>
  <c r="I76" i="12"/>
  <c r="I2357" i="209"/>
  <c r="O2257" i="209"/>
  <c r="FO14" i="190"/>
  <c r="FP13" i="190"/>
  <c r="F76" i="12"/>
  <c r="F90" i="12" s="1"/>
  <c r="D72" i="3"/>
  <c r="F58" i="3"/>
  <c r="G2307" i="209"/>
  <c r="M84" i="170"/>
  <c r="X83" i="170"/>
  <c r="Y83" i="170" s="1"/>
  <c r="M74" i="171"/>
  <c r="X73" i="171"/>
  <c r="Y73" i="171" s="1"/>
  <c r="I938" i="210"/>
  <c r="O897" i="210"/>
  <c r="FO62" i="190"/>
  <c r="FP61" i="190"/>
  <c r="D946" i="210"/>
  <c r="G946" i="210" s="1"/>
  <c r="D943" i="210"/>
  <c r="G938" i="210"/>
  <c r="D16" i="3"/>
  <c r="O22" i="27"/>
  <c r="O1419" i="210"/>
  <c r="O1420" i="210" s="1"/>
  <c r="I1466" i="210" s="1"/>
  <c r="O37" i="42"/>
  <c r="O56" i="42" s="1"/>
  <c r="O93" i="42" s="1"/>
  <c r="O97" i="42" s="1"/>
  <c r="O107" i="42" s="1"/>
  <c r="I2204" i="209"/>
  <c r="O2109" i="209"/>
  <c r="O2149" i="209" s="1"/>
  <c r="O2153" i="209" s="1"/>
  <c r="O2164" i="209" s="1"/>
  <c r="K41" i="43"/>
  <c r="I3463" i="209"/>
  <c r="O3463" i="209" s="1"/>
  <c r="F44" i="43"/>
  <c r="I2896" i="209"/>
  <c r="O2896" i="209" s="1"/>
  <c r="D1493" i="210"/>
  <c r="K1447" i="210"/>
  <c r="O1447" i="210" s="1"/>
  <c r="I1493" i="210" s="1"/>
  <c r="FK63" i="190"/>
  <c r="F93" i="12"/>
  <c r="F94" i="12" s="1"/>
  <c r="F75" i="3"/>
  <c r="D76" i="3"/>
  <c r="K1411" i="210"/>
  <c r="D2471" i="209"/>
  <c r="K2357" i="209"/>
  <c r="K2371" i="209" s="1"/>
  <c r="G2371" i="209"/>
  <c r="I149" i="196"/>
  <c r="K1460" i="210"/>
  <c r="O1460" i="210" s="1"/>
  <c r="K3641" i="209"/>
  <c r="O3641" i="209" s="1"/>
  <c r="O1446" i="210"/>
  <c r="I1492" i="210" s="1"/>
  <c r="D2304" i="209"/>
  <c r="G2298" i="209"/>
  <c r="K902" i="210"/>
  <c r="K901" i="210" s="1"/>
  <c r="K2204" i="209" s="1"/>
  <c r="K2223" i="209" s="1"/>
  <c r="K2263" i="209" s="1"/>
  <c r="K2267" i="209" s="1"/>
  <c r="K45" i="43"/>
  <c r="I3467" i="209"/>
  <c r="O3467" i="209" s="1"/>
  <c r="D1506" i="210"/>
  <c r="G1506" i="210" s="1"/>
  <c r="G1492" i="210"/>
  <c r="I27" i="12"/>
  <c r="P26" i="42"/>
  <c r="I2307" i="209"/>
  <c r="FP45" i="190"/>
  <c r="FT15" i="190"/>
  <c r="O885" i="210"/>
  <c r="D931" i="210"/>
  <c r="D1457" i="210"/>
  <c r="G1457" i="210" s="1"/>
  <c r="G1458" i="210" s="1"/>
  <c r="D1504" i="210" s="1"/>
  <c r="K1423" i="210"/>
  <c r="K3467" i="209" s="1"/>
  <c r="D1494" i="210"/>
  <c r="K1448" i="210"/>
  <c r="D2385" i="209"/>
  <c r="G2276" i="209"/>
  <c r="O94" i="27"/>
  <c r="G2098" i="209"/>
  <c r="D2109" i="209"/>
  <c r="D2149" i="209" s="1"/>
  <c r="D2153" i="209" s="1"/>
  <c r="H20" i="120"/>
  <c r="C148" i="196"/>
  <c r="F148" i="196" s="1"/>
  <c r="F34" i="196"/>
  <c r="FO12" i="190"/>
  <c r="FO63" i="190" s="1"/>
  <c r="FP6" i="190"/>
  <c r="I1456" i="210"/>
  <c r="G2375" i="209"/>
  <c r="D2488" i="209"/>
  <c r="FP46" i="190"/>
  <c r="FO60" i="190"/>
  <c r="O1415" i="210"/>
  <c r="O1416" i="210" s="1"/>
  <c r="I1462" i="210" s="1"/>
  <c r="I1461" i="210" s="1"/>
  <c r="D1469" i="210"/>
  <c r="G1469" i="210" s="1"/>
  <c r="G1470" i="210" s="1"/>
  <c r="P16" i="42"/>
  <c r="P22" i="42" s="1"/>
  <c r="I18" i="12"/>
  <c r="I2298" i="209"/>
  <c r="O2190" i="209"/>
  <c r="D1491" i="210"/>
  <c r="K1445" i="210"/>
  <c r="D25" i="3"/>
  <c r="I1464" i="210"/>
  <c r="I2276" i="209"/>
  <c r="H93" i="196" s="1"/>
  <c r="M93" i="196" s="1"/>
  <c r="H22" i="1" s="1"/>
  <c r="H24" i="1" s="1"/>
  <c r="H38" i="1" s="1"/>
  <c r="O2271" i="209"/>
  <c r="O1423" i="210" l="1"/>
  <c r="O1424" i="210" s="1"/>
  <c r="I1470" i="210" s="1"/>
  <c r="I1469" i="210" s="1"/>
  <c r="D1512" i="210"/>
  <c r="K1466" i="210"/>
  <c r="I1465" i="210"/>
  <c r="D1516" i="210"/>
  <c r="K1470" i="210"/>
  <c r="D1514" i="210"/>
  <c r="G1514" i="210" s="1"/>
  <c r="G1494" i="210"/>
  <c r="K1456" i="210"/>
  <c r="K3640" i="209"/>
  <c r="O3640" i="209" s="1"/>
  <c r="O1445" i="210"/>
  <c r="I1491" i="210" s="1"/>
  <c r="D2164" i="209"/>
  <c r="C35" i="196"/>
  <c r="O2204" i="209"/>
  <c r="I2223" i="209"/>
  <c r="I2263" i="209" s="1"/>
  <c r="I2267" i="209" s="1"/>
  <c r="X84" i="170"/>
  <c r="M85" i="170"/>
  <c r="FP14" i="190"/>
  <c r="FT13" i="190"/>
  <c r="M35" i="196"/>
  <c r="H149" i="196"/>
  <c r="M149" i="196" s="1"/>
  <c r="P100" i="42"/>
  <c r="P105" i="42" s="1"/>
  <c r="I2385" i="209"/>
  <c r="O2276" i="209"/>
  <c r="O1456" i="210"/>
  <c r="D1538" i="210"/>
  <c r="K1492" i="210"/>
  <c r="D2212" i="209"/>
  <c r="N44" i="27"/>
  <c r="N55" i="27" s="1"/>
  <c r="N91" i="27" s="1"/>
  <c r="N101" i="27" s="1"/>
  <c r="G2109" i="209"/>
  <c r="G2149" i="209" s="1"/>
  <c r="G2153" i="209" s="1"/>
  <c r="G2164" i="209" s="1"/>
  <c r="K1464" i="210"/>
  <c r="K1465" i="210" s="1"/>
  <c r="K3642" i="209"/>
  <c r="O3642" i="209" s="1"/>
  <c r="F18" i="12"/>
  <c r="F24" i="12" s="1"/>
  <c r="D22" i="3"/>
  <c r="F16" i="3"/>
  <c r="H16" i="3" s="1"/>
  <c r="H22" i="3" s="1"/>
  <c r="D947" i="210"/>
  <c r="G947" i="210" s="1"/>
  <c r="FT61" i="190"/>
  <c r="FP62" i="190"/>
  <c r="FP12" i="190"/>
  <c r="FT6" i="190"/>
  <c r="O99" i="27"/>
  <c r="D81" i="3"/>
  <c r="K1458" i="210"/>
  <c r="L45" i="43"/>
  <c r="I3581" i="209"/>
  <c r="D1510" i="210"/>
  <c r="G1510" i="210" s="1"/>
  <c r="G1493" i="210"/>
  <c r="G943" i="210"/>
  <c r="D984" i="210"/>
  <c r="D2421" i="209"/>
  <c r="FU15" i="190"/>
  <c r="FT45" i="190"/>
  <c r="K27" i="12"/>
  <c r="G27" i="12"/>
  <c r="G2488" i="209"/>
  <c r="D2489" i="209"/>
  <c r="F27" i="12"/>
  <c r="F25" i="3"/>
  <c r="I2304" i="209"/>
  <c r="O2298" i="209"/>
  <c r="G2471" i="209"/>
  <c r="D2485" i="209"/>
  <c r="G44" i="43"/>
  <c r="I3010" i="209"/>
  <c r="O3010" i="209" s="1"/>
  <c r="O938" i="210"/>
  <c r="I946" i="210"/>
  <c r="O946" i="210" s="1"/>
  <c r="I943" i="210"/>
  <c r="I2375" i="209"/>
  <c r="O2374" i="209"/>
  <c r="K1461" i="210"/>
  <c r="K3577" i="209" s="1"/>
  <c r="I1506" i="210"/>
  <c r="M101" i="43"/>
  <c r="I3755" i="209"/>
  <c r="K2278" i="209"/>
  <c r="I36" i="196"/>
  <c r="K3460" i="209"/>
  <c r="O1411" i="210"/>
  <c r="O1412" i="210" s="1"/>
  <c r="I1458" i="210" s="1"/>
  <c r="I1457" i="210" s="1"/>
  <c r="G948" i="210"/>
  <c r="H58" i="3"/>
  <c r="H72" i="3" s="1"/>
  <c r="E27" i="2" s="1"/>
  <c r="G27" i="2" s="1"/>
  <c r="I27" i="2" s="1"/>
  <c r="F72" i="3"/>
  <c r="I1607" i="209"/>
  <c r="D1666" i="209"/>
  <c r="I1666" i="209" s="1"/>
  <c r="G1607" i="209"/>
  <c r="D1507" i="210"/>
  <c r="G1507" i="210" s="1"/>
  <c r="G1508" i="210" s="1"/>
  <c r="D1502" i="210"/>
  <c r="G1502" i="210" s="1"/>
  <c r="G1491" i="210"/>
  <c r="I1510" i="210"/>
  <c r="FP60" i="190"/>
  <c r="FT46" i="190"/>
  <c r="I24" i="12"/>
  <c r="G18" i="12"/>
  <c r="G24" i="12" s="1"/>
  <c r="K18" i="12"/>
  <c r="K24" i="12" s="1"/>
  <c r="D2390" i="209"/>
  <c r="C94" i="196" s="1"/>
  <c r="F94" i="196" s="1"/>
  <c r="G2385" i="209"/>
  <c r="G931" i="210"/>
  <c r="I931" i="210"/>
  <c r="K1468" i="210"/>
  <c r="O1468" i="210" s="1"/>
  <c r="K3643" i="209"/>
  <c r="O3643" i="209" s="1"/>
  <c r="O1448" i="210"/>
  <c r="I1494" i="210" s="1"/>
  <c r="O2307" i="209"/>
  <c r="G2304" i="209"/>
  <c r="D2412" i="209"/>
  <c r="L41" i="43"/>
  <c r="I3577" i="209"/>
  <c r="M75" i="171"/>
  <c r="X74" i="171"/>
  <c r="Y74" i="171" s="1"/>
  <c r="O2357" i="209"/>
  <c r="I2371" i="209"/>
  <c r="K93" i="12"/>
  <c r="K94" i="12" s="1"/>
  <c r="G93" i="12"/>
  <c r="G94" i="12" s="1"/>
  <c r="I94" i="12"/>
  <c r="O901" i="210"/>
  <c r="O902" i="210" s="1"/>
  <c r="I948" i="210" s="1"/>
  <c r="F76" i="3"/>
  <c r="H75" i="3"/>
  <c r="I90" i="12"/>
  <c r="G76" i="12"/>
  <c r="G90" i="12" s="1"/>
  <c r="K76" i="12"/>
  <c r="K90" i="12" s="1"/>
  <c r="D1503" i="210" l="1"/>
  <c r="G1503" i="210" s="1"/>
  <c r="D1511" i="210"/>
  <c r="G1511" i="210" s="1"/>
  <c r="O1464" i="210"/>
  <c r="D1554" i="210"/>
  <c r="K1508" i="210"/>
  <c r="M102" i="43"/>
  <c r="I3756" i="209"/>
  <c r="K3580" i="209"/>
  <c r="O1465" i="210"/>
  <c r="G2412" i="209"/>
  <c r="D2418" i="209"/>
  <c r="O943" i="210"/>
  <c r="I984" i="210"/>
  <c r="F81" i="3"/>
  <c r="D86" i="3"/>
  <c r="F22" i="3"/>
  <c r="G2212" i="209"/>
  <c r="D2223" i="209"/>
  <c r="D2263" i="209" s="1"/>
  <c r="D2267" i="209" s="1"/>
  <c r="FU13" i="190"/>
  <c r="FT14" i="190"/>
  <c r="G2489" i="209"/>
  <c r="D2602" i="209"/>
  <c r="M100" i="43"/>
  <c r="I3754" i="209"/>
  <c r="FU61" i="190"/>
  <c r="FT62" i="190"/>
  <c r="O1466" i="210"/>
  <c r="I1512" i="210" s="1"/>
  <c r="I1511" i="210" s="1"/>
  <c r="D1537" i="210"/>
  <c r="K1491" i="210"/>
  <c r="O1491" i="210" s="1"/>
  <c r="I1537" i="210" s="1"/>
  <c r="M103" i="43"/>
  <c r="I3757" i="209"/>
  <c r="D994" i="210"/>
  <c r="K948" i="210"/>
  <c r="K947" i="210" s="1"/>
  <c r="K2318" i="209" s="1"/>
  <c r="K2337" i="209" s="1"/>
  <c r="K2377" i="209" s="1"/>
  <c r="K2381" i="209" s="1"/>
  <c r="H44" i="43"/>
  <c r="I3124" i="209"/>
  <c r="O3124" i="209" s="1"/>
  <c r="FU6" i="190"/>
  <c r="FT12" i="190"/>
  <c r="K1506" i="210"/>
  <c r="O1506" i="210" s="1"/>
  <c r="K3755" i="209"/>
  <c r="O3755" i="209" s="1"/>
  <c r="D1552" i="210"/>
  <c r="G1552" i="210" s="1"/>
  <c r="G1538" i="210"/>
  <c r="Y84" i="170"/>
  <c r="Y85" i="170" s="1"/>
  <c r="Y148" i="170" s="1"/>
  <c r="Y196" i="170" s="1"/>
  <c r="Y195" i="170" s="1"/>
  <c r="X85" i="170"/>
  <c r="X148" i="170" s="1"/>
  <c r="X196" i="170" s="1"/>
  <c r="X195" i="170" s="1"/>
  <c r="I2488" i="209"/>
  <c r="O2375" i="209"/>
  <c r="G1512" i="210"/>
  <c r="H76" i="3"/>
  <c r="E31" i="2"/>
  <c r="G31" i="2" s="1"/>
  <c r="I31" i="2" s="1"/>
  <c r="H27" i="120" s="1"/>
  <c r="O2304" i="209"/>
  <c r="I2412" i="209"/>
  <c r="FP63" i="190"/>
  <c r="I1514" i="210"/>
  <c r="O931" i="210"/>
  <c r="D977" i="210"/>
  <c r="FT60" i="190"/>
  <c r="FU46" i="190"/>
  <c r="O1607" i="209"/>
  <c r="G1666" i="209"/>
  <c r="O3460" i="209"/>
  <c r="O1492" i="210"/>
  <c r="I1538" i="210" s="1"/>
  <c r="D2585" i="209"/>
  <c r="G2485" i="209"/>
  <c r="K2471" i="209"/>
  <c r="K2485" i="209" s="1"/>
  <c r="G2421" i="209"/>
  <c r="I2278" i="209"/>
  <c r="H36" i="196"/>
  <c r="K1469" i="210"/>
  <c r="I2471" i="209"/>
  <c r="O2371" i="209"/>
  <c r="M76" i="171"/>
  <c r="X75" i="171"/>
  <c r="Y75" i="171" s="1"/>
  <c r="G1504" i="210"/>
  <c r="I1502" i="210"/>
  <c r="I947" i="210"/>
  <c r="I2421" i="209"/>
  <c r="D1539" i="210"/>
  <c r="K1493" i="210"/>
  <c r="O3577" i="209"/>
  <c r="D2499" i="209"/>
  <c r="G2390" i="209"/>
  <c r="I150" i="196"/>
  <c r="I171" i="196" s="1"/>
  <c r="I57" i="196"/>
  <c r="U20" i="219" s="1"/>
  <c r="U22" i="219" s="1"/>
  <c r="H25" i="3"/>
  <c r="FU45" i="190"/>
  <c r="FY15" i="190"/>
  <c r="D992" i="210"/>
  <c r="G992" i="210" s="1"/>
  <c r="D989" i="210"/>
  <c r="G984" i="210"/>
  <c r="I2390" i="209"/>
  <c r="H94" i="196" s="1"/>
  <c r="M94" i="196" s="1"/>
  <c r="O2385" i="209"/>
  <c r="I38" i="12"/>
  <c r="P37" i="42"/>
  <c r="P56" i="42" s="1"/>
  <c r="P93" i="42" s="1"/>
  <c r="P97" i="42" s="1"/>
  <c r="P107" i="42" s="1"/>
  <c r="I2318" i="209"/>
  <c r="O2223" i="209"/>
  <c r="O2263" i="209" s="1"/>
  <c r="O2267" i="209" s="1"/>
  <c r="O2278" i="209" s="1"/>
  <c r="H29" i="120" s="1"/>
  <c r="D1515" i="210"/>
  <c r="G1515" i="210" s="1"/>
  <c r="G1516" i="210" s="1"/>
  <c r="K1457" i="210"/>
  <c r="K3574" i="209" s="1"/>
  <c r="O1461" i="210"/>
  <c r="O1462" i="210" s="1"/>
  <c r="I1508" i="210" s="1"/>
  <c r="I1507" i="210" s="1"/>
  <c r="E17" i="2"/>
  <c r="C149" i="196"/>
  <c r="F149" i="196" s="1"/>
  <c r="F35" i="196"/>
  <c r="D1540" i="210"/>
  <c r="K1494" i="210"/>
  <c r="O1494" i="210" s="1"/>
  <c r="I1540" i="210" s="1"/>
  <c r="O947" i="210" l="1"/>
  <c r="O948" i="210" s="1"/>
  <c r="I994" i="210" s="1"/>
  <c r="O1457" i="210"/>
  <c r="O1458" i="210" s="1"/>
  <c r="I1504" i="210" s="1"/>
  <c r="I1503" i="210" s="1"/>
  <c r="D1562" i="210"/>
  <c r="K1516" i="210"/>
  <c r="D1548" i="210"/>
  <c r="G1548" i="210" s="1"/>
  <c r="G1537" i="210"/>
  <c r="FY45" i="190"/>
  <c r="FZ15" i="190"/>
  <c r="D1550" i="210"/>
  <c r="K1504" i="210"/>
  <c r="K3581" i="209"/>
  <c r="O1469" i="210"/>
  <c r="O1470" i="210" s="1"/>
  <c r="I1516" i="210" s="1"/>
  <c r="I1515" i="210" s="1"/>
  <c r="I2489" i="209"/>
  <c r="O2488" i="209"/>
  <c r="FU12" i="190"/>
  <c r="FY6" i="190"/>
  <c r="G989" i="210"/>
  <c r="D1030" i="210"/>
  <c r="I1552" i="210"/>
  <c r="D1560" i="210"/>
  <c r="G1560" i="210" s="1"/>
  <c r="G1540" i="210"/>
  <c r="O2421" i="209"/>
  <c r="H150" i="196"/>
  <c r="M150" i="196" s="1"/>
  <c r="F22" i="1" s="1"/>
  <c r="J22" i="1" s="1"/>
  <c r="M36" i="196"/>
  <c r="D2535" i="209"/>
  <c r="O1666" i="209"/>
  <c r="D1721" i="209"/>
  <c r="D1584" i="210"/>
  <c r="K1538" i="210"/>
  <c r="O1538" i="210" s="1"/>
  <c r="I1584" i="210" s="1"/>
  <c r="K1502" i="210"/>
  <c r="K3754" i="209"/>
  <c r="O3754" i="209" s="1"/>
  <c r="F86" i="3"/>
  <c r="H81" i="3"/>
  <c r="H86" i="3" s="1"/>
  <c r="D2504" i="209"/>
  <c r="C95" i="196" s="1"/>
  <c r="F95" i="196" s="1"/>
  <c r="G2499" i="209"/>
  <c r="X76" i="171"/>
  <c r="Y76" i="171" s="1"/>
  <c r="M77" i="171"/>
  <c r="I1560" i="210"/>
  <c r="I44" i="43"/>
  <c r="I3238" i="209"/>
  <c r="O3238" i="209" s="1"/>
  <c r="FY13" i="190"/>
  <c r="FU14" i="190"/>
  <c r="O984" i="210"/>
  <c r="I992" i="210"/>
  <c r="O992" i="210" s="1"/>
  <c r="I989" i="210"/>
  <c r="G17" i="2"/>
  <c r="O2318" i="209"/>
  <c r="I2337" i="209"/>
  <c r="I2377" i="209" s="1"/>
  <c r="I2381" i="209" s="1"/>
  <c r="M41" i="43"/>
  <c r="I3691" i="209"/>
  <c r="I1548" i="210"/>
  <c r="FY46" i="190"/>
  <c r="FU60" i="190"/>
  <c r="D1558" i="210"/>
  <c r="K1512" i="210"/>
  <c r="D2603" i="209"/>
  <c r="G2602" i="209"/>
  <c r="D2278" i="209"/>
  <c r="C36" i="196"/>
  <c r="F135" i="213"/>
  <c r="U23" i="219"/>
  <c r="K1510" i="210"/>
  <c r="O1510" i="210" s="1"/>
  <c r="K3756" i="209"/>
  <c r="O3756" i="209" s="1"/>
  <c r="O1493" i="210"/>
  <c r="I1539" i="210" s="1"/>
  <c r="O1502" i="210"/>
  <c r="O2471" i="209"/>
  <c r="I2485" i="209"/>
  <c r="G2585" i="209"/>
  <c r="D2599" i="209"/>
  <c r="I2418" i="209"/>
  <c r="O2412" i="209"/>
  <c r="K2392" i="209"/>
  <c r="I37" i="196"/>
  <c r="I151" i="196" s="1"/>
  <c r="D2326" i="209"/>
  <c r="O44" i="27"/>
  <c r="G2223" i="209"/>
  <c r="K38" i="12"/>
  <c r="K57" i="12" s="1"/>
  <c r="K96" i="12" s="1"/>
  <c r="K100" i="12" s="1"/>
  <c r="K110" i="12" s="1"/>
  <c r="G38" i="12"/>
  <c r="G57" i="12" s="1"/>
  <c r="G96" i="12" s="1"/>
  <c r="G100" i="12" s="1"/>
  <c r="G110" i="12" s="1"/>
  <c r="I57" i="12"/>
  <c r="I96" i="12" s="1"/>
  <c r="I100" i="12" s="1"/>
  <c r="I110" i="12" s="1"/>
  <c r="D1556" i="210"/>
  <c r="G1556" i="210" s="1"/>
  <c r="G1539" i="210"/>
  <c r="G977" i="210"/>
  <c r="I977" i="210"/>
  <c r="D993" i="210"/>
  <c r="G993" i="210" s="1"/>
  <c r="G994" i="210" s="1"/>
  <c r="FU62" i="190"/>
  <c r="FY61" i="190"/>
  <c r="K1507" i="210"/>
  <c r="K3691" i="209" s="1"/>
  <c r="K1514" i="210"/>
  <c r="O1514" i="210" s="1"/>
  <c r="K3757" i="209"/>
  <c r="O3757" i="209" s="1"/>
  <c r="I2499" i="209"/>
  <c r="O2390" i="209"/>
  <c r="N101" i="43"/>
  <c r="I3869" i="209"/>
  <c r="L38" i="43"/>
  <c r="I3574" i="209"/>
  <c r="O3574" i="209" s="1"/>
  <c r="FT63" i="190"/>
  <c r="G2418" i="209"/>
  <c r="D2526" i="209"/>
  <c r="D1553" i="210"/>
  <c r="G1553" i="210" s="1"/>
  <c r="G1554" i="210" s="1"/>
  <c r="I993" i="210" l="1"/>
  <c r="K1511" i="210"/>
  <c r="K3694" i="209" s="1"/>
  <c r="O1511" i="210"/>
  <c r="O1512" i="210" s="1"/>
  <c r="I1558" i="210" s="1"/>
  <c r="N100" i="43"/>
  <c r="I3868" i="209"/>
  <c r="D1600" i="210"/>
  <c r="K1554" i="210"/>
  <c r="N102" i="43"/>
  <c r="I3870" i="209"/>
  <c r="D1040" i="210"/>
  <c r="K994" i="210"/>
  <c r="K993" i="210" s="1"/>
  <c r="K2432" i="209" s="1"/>
  <c r="K2451" i="209" s="1"/>
  <c r="K2491" i="209" s="1"/>
  <c r="K2495" i="209" s="1"/>
  <c r="F36" i="196"/>
  <c r="C150" i="196"/>
  <c r="F150" i="196" s="1"/>
  <c r="F16" i="1" s="1"/>
  <c r="F24" i="1" s="1"/>
  <c r="F38" i="1" s="1"/>
  <c r="E36" i="68" s="1"/>
  <c r="E38" i="68" s="1"/>
  <c r="J44" i="43"/>
  <c r="I3352" i="209"/>
  <c r="O3352" i="209" s="1"/>
  <c r="M38" i="43"/>
  <c r="I3688" i="209"/>
  <c r="O3581" i="209"/>
  <c r="O2499" i="209"/>
  <c r="I2504" i="209"/>
  <c r="H95" i="196" s="1"/>
  <c r="M95" i="196" s="1"/>
  <c r="N103" i="43"/>
  <c r="I3871" i="209"/>
  <c r="G2326" i="209"/>
  <c r="D2337" i="209"/>
  <c r="D2377" i="209" s="1"/>
  <c r="D2381" i="209" s="1"/>
  <c r="D2699" i="209"/>
  <c r="K2585" i="209"/>
  <c r="K2599" i="209" s="1"/>
  <c r="G2599" i="209"/>
  <c r="F142" i="213"/>
  <c r="F144" i="213" s="1"/>
  <c r="F146" i="213" s="1"/>
  <c r="G135" i="213"/>
  <c r="I2392" i="209"/>
  <c r="H37" i="196"/>
  <c r="I1030" i="210"/>
  <c r="O989" i="210"/>
  <c r="I2535" i="209"/>
  <c r="D1586" i="210"/>
  <c r="K1540" i="210"/>
  <c r="F25" i="201"/>
  <c r="I2585" i="209"/>
  <c r="O2485" i="209"/>
  <c r="FY14" i="190"/>
  <c r="FZ13" i="190"/>
  <c r="D1585" i="210"/>
  <c r="K1539" i="210"/>
  <c r="O1539" i="210" s="1"/>
  <c r="I1585" i="210" s="1"/>
  <c r="D1557" i="210"/>
  <c r="G1557" i="210" s="1"/>
  <c r="I2432" i="209"/>
  <c r="O2337" i="209"/>
  <c r="O2377" i="209" s="1"/>
  <c r="O2381" i="209" s="1"/>
  <c r="O2392" i="209" s="1"/>
  <c r="G1721" i="209"/>
  <c r="D1780" i="209"/>
  <c r="I1780" i="209" s="1"/>
  <c r="I1721" i="209"/>
  <c r="FY60" i="190"/>
  <c r="FZ46" i="190"/>
  <c r="I1598" i="210"/>
  <c r="D2532" i="209"/>
  <c r="G2526" i="209"/>
  <c r="O977" i="210"/>
  <c r="D1023" i="210"/>
  <c r="I1556" i="210"/>
  <c r="I17" i="2"/>
  <c r="D2613" i="209"/>
  <c r="G2504" i="209"/>
  <c r="G2535" i="209"/>
  <c r="FY12" i="190"/>
  <c r="FZ6" i="190"/>
  <c r="GD15" i="190"/>
  <c r="FZ45" i="190"/>
  <c r="O1507" i="210"/>
  <c r="O1508" i="210" s="1"/>
  <c r="I1554" i="210" s="1"/>
  <c r="I1553" i="210" s="1"/>
  <c r="X77" i="171"/>
  <c r="Y77" i="171" s="1"/>
  <c r="M78" i="171"/>
  <c r="FY62" i="190"/>
  <c r="FZ61" i="190"/>
  <c r="O2418" i="209"/>
  <c r="I2526" i="209"/>
  <c r="D2716" i="209"/>
  <c r="G2603" i="209"/>
  <c r="G1030" i="210"/>
  <c r="D1038" i="210"/>
  <c r="G1038" i="210" s="1"/>
  <c r="D1035" i="210"/>
  <c r="FU63" i="190"/>
  <c r="G1558" i="210"/>
  <c r="D1604" i="210" s="1"/>
  <c r="H21" i="120"/>
  <c r="H28" i="120" s="1"/>
  <c r="H30" i="120" s="1"/>
  <c r="G2263" i="209"/>
  <c r="G2267" i="209" s="1"/>
  <c r="G2278" i="209" s="1"/>
  <c r="H186" i="120" s="1"/>
  <c r="O3691" i="209"/>
  <c r="K1552" i="210"/>
  <c r="O1552" i="210" s="1"/>
  <c r="K3869" i="209"/>
  <c r="O3869" i="209" s="1"/>
  <c r="I2602" i="209"/>
  <c r="O2489" i="209"/>
  <c r="K1503" i="210"/>
  <c r="K1515" i="210"/>
  <c r="K3695" i="209" s="1"/>
  <c r="D44" i="3"/>
  <c r="O55" i="27"/>
  <c r="O91" i="27" s="1"/>
  <c r="O101" i="27" s="1"/>
  <c r="E35" i="2"/>
  <c r="G35" i="2" s="1"/>
  <c r="I35" i="2" s="1"/>
  <c r="G1584" i="210"/>
  <c r="D1598" i="210"/>
  <c r="G1598" i="210" s="1"/>
  <c r="D1549" i="210"/>
  <c r="G1549" i="210" s="1"/>
  <c r="G1550" i="210" s="1"/>
  <c r="D1583" i="210"/>
  <c r="K1537" i="210"/>
  <c r="D1561" i="210"/>
  <c r="G1561" i="210" s="1"/>
  <c r="G1562" i="210" s="1"/>
  <c r="O1515" i="210" l="1"/>
  <c r="O1516" i="210" s="1"/>
  <c r="I1562" i="210" s="1"/>
  <c r="I1561" i="210" s="1"/>
  <c r="FY63" i="190"/>
  <c r="K1558" i="210"/>
  <c r="O993" i="210"/>
  <c r="O994" i="210" s="1"/>
  <c r="I1040" i="210" s="1"/>
  <c r="D1608" i="210"/>
  <c r="K1562" i="210"/>
  <c r="D1596" i="210"/>
  <c r="K1550" i="210"/>
  <c r="X78" i="171"/>
  <c r="Y78" i="171" s="1"/>
  <c r="M79" i="171"/>
  <c r="H39" i="120"/>
  <c r="H168" i="120"/>
  <c r="D2717" i="209"/>
  <c r="G2716" i="209"/>
  <c r="O2432" i="209"/>
  <c r="I2451" i="209"/>
  <c r="I2491" i="209" s="1"/>
  <c r="I2495" i="209" s="1"/>
  <c r="K3688" i="209"/>
  <c r="O1503" i="210"/>
  <c r="O1504" i="210" s="1"/>
  <c r="I1550" i="210" s="1"/>
  <c r="I1549" i="210" s="1"/>
  <c r="D1606" i="210"/>
  <c r="G1606" i="210" s="1"/>
  <c r="G1586" i="210"/>
  <c r="K1548" i="210"/>
  <c r="O1548" i="210" s="1"/>
  <c r="K3868" i="209"/>
  <c r="O3868" i="209" s="1"/>
  <c r="O1537" i="210"/>
  <c r="I1583" i="210" s="1"/>
  <c r="GD13" i="190"/>
  <c r="FZ14" i="190"/>
  <c r="F46" i="12"/>
  <c r="F57" i="12" s="1"/>
  <c r="F96" i="12" s="1"/>
  <c r="F100" i="12" s="1"/>
  <c r="F110" i="12" s="1"/>
  <c r="F44" i="3"/>
  <c r="D55" i="3"/>
  <c r="D78" i="3" s="1"/>
  <c r="D88" i="3" s="1"/>
  <c r="I2532" i="209"/>
  <c r="O2526" i="209"/>
  <c r="D2649" i="209"/>
  <c r="I1602" i="210"/>
  <c r="K1560" i="210"/>
  <c r="O1560" i="210" s="1"/>
  <c r="K3871" i="209"/>
  <c r="O3871" i="209" s="1"/>
  <c r="O1540" i="210"/>
  <c r="I1586" i="210" s="1"/>
  <c r="I1038" i="210"/>
  <c r="O1038" i="210" s="1"/>
  <c r="O1030" i="210"/>
  <c r="I1035" i="210"/>
  <c r="D2713" i="209"/>
  <c r="G2699" i="209"/>
  <c r="K1553" i="210"/>
  <c r="K3805" i="209" s="1"/>
  <c r="O101" i="43"/>
  <c r="I3983" i="209"/>
  <c r="H151" i="196"/>
  <c r="M151" i="196" s="1"/>
  <c r="M37" i="196"/>
  <c r="GD61" i="190"/>
  <c r="FZ62" i="190"/>
  <c r="O2585" i="209"/>
  <c r="I2599" i="209"/>
  <c r="O2535" i="209"/>
  <c r="D2440" i="209"/>
  <c r="G2337" i="209"/>
  <c r="G2377" i="209" s="1"/>
  <c r="G2381" i="209" s="1"/>
  <c r="G2392" i="209" s="1"/>
  <c r="O2602" i="209"/>
  <c r="I2603" i="209"/>
  <c r="D2618" i="209"/>
  <c r="C96" i="196" s="1"/>
  <c r="F96" i="196" s="1"/>
  <c r="G2613" i="209"/>
  <c r="O1721" i="209"/>
  <c r="G1780" i="209"/>
  <c r="K1556" i="210"/>
  <c r="O1556" i="210" s="1"/>
  <c r="K3870" i="209"/>
  <c r="O3870" i="209" s="1"/>
  <c r="M45" i="43"/>
  <c r="I3695" i="209"/>
  <c r="O3695" i="209" s="1"/>
  <c r="K44" i="43"/>
  <c r="I3466" i="209"/>
  <c r="O3466" i="209" s="1"/>
  <c r="I1557" i="210"/>
  <c r="GD45" i="190"/>
  <c r="GE15" i="190"/>
  <c r="G1023" i="210"/>
  <c r="I1023" i="210"/>
  <c r="G1585" i="210"/>
  <c r="D1602" i="210"/>
  <c r="G1602" i="210" s="1"/>
  <c r="G142" i="213"/>
  <c r="G144" i="213" s="1"/>
  <c r="G146" i="213" s="1"/>
  <c r="G31" i="69"/>
  <c r="H135" i="213"/>
  <c r="K2506" i="209"/>
  <c r="I38" i="196"/>
  <c r="I152" i="196" s="1"/>
  <c r="N41" i="43"/>
  <c r="I3805" i="209"/>
  <c r="FZ60" i="190"/>
  <c r="GD46" i="190"/>
  <c r="D2392" i="209"/>
  <c r="C37" i="196"/>
  <c r="D1599" i="210"/>
  <c r="G1599" i="210" s="1"/>
  <c r="G1600" i="210" s="1"/>
  <c r="K1584" i="210"/>
  <c r="D1630" i="210"/>
  <c r="D1076" i="210"/>
  <c r="G1035" i="210"/>
  <c r="D1039" i="210"/>
  <c r="G1039" i="210" s="1"/>
  <c r="G1040" i="210" s="1"/>
  <c r="D1594" i="210"/>
  <c r="G1594" i="210" s="1"/>
  <c r="G1583" i="210"/>
  <c r="GD6" i="190"/>
  <c r="FZ12" i="190"/>
  <c r="D2640" i="209"/>
  <c r="G2532" i="209"/>
  <c r="O2504" i="209"/>
  <c r="I2613" i="209"/>
  <c r="D1646" i="210" l="1"/>
  <c r="K1600" i="210"/>
  <c r="D1086" i="210"/>
  <c r="K1040" i="210"/>
  <c r="K1039" i="210" s="1"/>
  <c r="K2546" i="209" s="1"/>
  <c r="K2565" i="209" s="1"/>
  <c r="K2605" i="209" s="1"/>
  <c r="K2609" i="209" s="1"/>
  <c r="O102" i="43"/>
  <c r="I3984" i="209"/>
  <c r="F37" i="196"/>
  <c r="C151" i="196"/>
  <c r="F151" i="196" s="1"/>
  <c r="I1039" i="210"/>
  <c r="G2440" i="209"/>
  <c r="D2451" i="209"/>
  <c r="D2491" i="209" s="1"/>
  <c r="D2495" i="209" s="1"/>
  <c r="K1557" i="210"/>
  <c r="K3808" i="209" s="1"/>
  <c r="D2727" i="209"/>
  <c r="G2618" i="209"/>
  <c r="K1586" i="210"/>
  <c r="O1586" i="210" s="1"/>
  <c r="I1632" i="210" s="1"/>
  <c r="D1632" i="210"/>
  <c r="D2646" i="209"/>
  <c r="G2640" i="209"/>
  <c r="O1023" i="210"/>
  <c r="D1069" i="210"/>
  <c r="GE46" i="190"/>
  <c r="GD60" i="190"/>
  <c r="K1585" i="210"/>
  <c r="D1631" i="210"/>
  <c r="GE61" i="190"/>
  <c r="GD62" i="190"/>
  <c r="I1076" i="210"/>
  <c r="O1035" i="210"/>
  <c r="H44" i="3"/>
  <c r="H55" i="3" s="1"/>
  <c r="F55" i="3"/>
  <c r="F78" i="3" s="1"/>
  <c r="F88" i="3" s="1"/>
  <c r="K1549" i="210"/>
  <c r="K3802" i="209" s="1"/>
  <c r="G2649" i="209"/>
  <c r="O2613" i="209"/>
  <c r="I2618" i="209"/>
  <c r="H96" i="196" s="1"/>
  <c r="M96" i="196" s="1"/>
  <c r="L44" i="43"/>
  <c r="I3580" i="209"/>
  <c r="O3580" i="209" s="1"/>
  <c r="D1084" i="210"/>
  <c r="G1084" i="210" s="1"/>
  <c r="G1076" i="210"/>
  <c r="D1081" i="210"/>
  <c r="I31" i="69"/>
  <c r="G38" i="69"/>
  <c r="GE45" i="190"/>
  <c r="GI15" i="190"/>
  <c r="GI45" i="190" s="1"/>
  <c r="I2699" i="209"/>
  <c r="O2599" i="209"/>
  <c r="I2640" i="209"/>
  <c r="O2532" i="209"/>
  <c r="I2506" i="209"/>
  <c r="H38" i="196"/>
  <c r="G2717" i="209"/>
  <c r="D2830" i="209"/>
  <c r="D88" i="44"/>
  <c r="O3805" i="209"/>
  <c r="N45" i="43"/>
  <c r="I3809" i="209"/>
  <c r="I2716" i="209"/>
  <c r="O2603" i="209"/>
  <c r="I2546" i="209"/>
  <c r="O2451" i="209"/>
  <c r="O2491" i="209" s="1"/>
  <c r="O2495" i="209" s="1"/>
  <c r="O2506" i="209" s="1"/>
  <c r="X79" i="171"/>
  <c r="Y79" i="171" s="1"/>
  <c r="M80" i="171"/>
  <c r="I2649" i="209"/>
  <c r="I1606" i="210"/>
  <c r="G1630" i="210"/>
  <c r="K1630" i="210" s="1"/>
  <c r="D1644" i="210"/>
  <c r="G1644" i="210" s="1"/>
  <c r="O100" i="43"/>
  <c r="I3982" i="209"/>
  <c r="O3983" i="209"/>
  <c r="D2813" i="209"/>
  <c r="G2713" i="209"/>
  <c r="K2699" i="209"/>
  <c r="K2713" i="209" s="1"/>
  <c r="D71" i="44"/>
  <c r="GD14" i="190"/>
  <c r="GE13" i="190"/>
  <c r="K1561" i="210"/>
  <c r="U15" i="77"/>
  <c r="U16" i="77" s="1"/>
  <c r="H142" i="213"/>
  <c r="H144" i="213" s="1"/>
  <c r="H146" i="213" s="1"/>
  <c r="D1835" i="209"/>
  <c r="O1780" i="209"/>
  <c r="D1595" i="210"/>
  <c r="G1595" i="210" s="1"/>
  <c r="G1596" i="210" s="1"/>
  <c r="D1642" i="210" s="1"/>
  <c r="FZ63" i="190"/>
  <c r="GD12" i="190"/>
  <c r="GD63" i="190" s="1"/>
  <c r="GE6" i="190"/>
  <c r="K1583" i="210"/>
  <c r="O1583" i="210" s="1"/>
  <c r="I1629" i="210" s="1"/>
  <c r="D1629" i="210"/>
  <c r="K1598" i="210"/>
  <c r="O1598" i="210" s="1"/>
  <c r="K3983" i="209"/>
  <c r="O1584" i="210"/>
  <c r="I1630" i="210" s="1"/>
  <c r="O103" i="43"/>
  <c r="I3985" i="209"/>
  <c r="O1553" i="210"/>
  <c r="O1554" i="210" s="1"/>
  <c r="I1600" i="210" s="1"/>
  <c r="I1599" i="210" s="1"/>
  <c r="D1603" i="210"/>
  <c r="G1603" i="210" s="1"/>
  <c r="G1604" i="210" s="1"/>
  <c r="I1594" i="210"/>
  <c r="O3688" i="209"/>
  <c r="D1607" i="210"/>
  <c r="G1607" i="210" s="1"/>
  <c r="G1608" i="210" s="1"/>
  <c r="O1549" i="210" l="1"/>
  <c r="O1550" i="210" s="1"/>
  <c r="I1596" i="210" s="1"/>
  <c r="O1557" i="210"/>
  <c r="O1558" i="210" s="1"/>
  <c r="I1604" i="210" s="1"/>
  <c r="I1603" i="210" s="1"/>
  <c r="I1595" i="210"/>
  <c r="D1654" i="210"/>
  <c r="K1608" i="210"/>
  <c r="D1650" i="210"/>
  <c r="K1604" i="210"/>
  <c r="D89" i="44"/>
  <c r="K1596" i="210"/>
  <c r="O2546" i="209"/>
  <c r="I2565" i="209"/>
  <c r="I2605" i="209" s="1"/>
  <c r="I2609" i="209" s="1"/>
  <c r="D1122" i="210"/>
  <c r="G1081" i="210"/>
  <c r="O2618" i="209"/>
  <c r="I2727" i="209"/>
  <c r="I1835" i="209"/>
  <c r="G1835" i="209"/>
  <c r="D1894" i="209"/>
  <c r="I1894" i="209" s="1"/>
  <c r="N38" i="43"/>
  <c r="I3802" i="209"/>
  <c r="O3802" i="209" s="1"/>
  <c r="K1594" i="210"/>
  <c r="O1594" i="210" s="1"/>
  <c r="K3982" i="209"/>
  <c r="O3982" i="209" s="1"/>
  <c r="E25" i="2"/>
  <c r="H78" i="3"/>
  <c r="H88" i="3" s="1"/>
  <c r="G1631" i="210"/>
  <c r="K1631" i="210" s="1"/>
  <c r="D1648" i="210"/>
  <c r="G1648" i="210" s="1"/>
  <c r="G1069" i="210"/>
  <c r="I1069" i="210"/>
  <c r="G2727" i="209"/>
  <c r="D2732" i="209"/>
  <c r="C97" i="196" s="1"/>
  <c r="F97" i="196" s="1"/>
  <c r="K1644" i="210"/>
  <c r="K4097" i="209"/>
  <c r="D2763" i="209"/>
  <c r="D25" i="44"/>
  <c r="D2506" i="209"/>
  <c r="C38" i="196"/>
  <c r="D1085" i="210"/>
  <c r="G1085" i="210" s="1"/>
  <c r="G1086" i="210" s="1"/>
  <c r="I1644" i="210"/>
  <c r="O1630" i="210"/>
  <c r="D92" i="130"/>
  <c r="D2831" i="209"/>
  <c r="G2830" i="209"/>
  <c r="I24" i="68"/>
  <c r="I38" i="69"/>
  <c r="I1084" i="210"/>
  <c r="O1084" i="210" s="1"/>
  <c r="I1081" i="210"/>
  <c r="O1076" i="210"/>
  <c r="GI46" i="190"/>
  <c r="GI60" i="190" s="1"/>
  <c r="GE60" i="190"/>
  <c r="D2554" i="209"/>
  <c r="G2451" i="209"/>
  <c r="G2491" i="209" s="1"/>
  <c r="G2495" i="209" s="1"/>
  <c r="G2506" i="209" s="1"/>
  <c r="K2620" i="209"/>
  <c r="I39" i="196"/>
  <c r="I153" i="196" s="1"/>
  <c r="D2754" i="209"/>
  <c r="G2646" i="209"/>
  <c r="D16" i="44"/>
  <c r="O1039" i="210"/>
  <c r="O1040" i="210" s="1"/>
  <c r="I1086" i="210" s="1"/>
  <c r="U17" i="77"/>
  <c r="L135" i="213"/>
  <c r="D75" i="130"/>
  <c r="G2813" i="209"/>
  <c r="D2827" i="209"/>
  <c r="O2649" i="209"/>
  <c r="I2713" i="209"/>
  <c r="O2699" i="209"/>
  <c r="M44" i="43"/>
  <c r="I3694" i="209"/>
  <c r="O3694" i="209" s="1"/>
  <c r="K1599" i="210"/>
  <c r="K3919" i="209" s="1"/>
  <c r="GI6" i="190"/>
  <c r="GI12" i="190" s="1"/>
  <c r="GE12" i="190"/>
  <c r="I2646" i="209"/>
  <c r="O2640" i="209"/>
  <c r="I1640" i="210"/>
  <c r="K3809" i="209"/>
  <c r="O3809" i="209" s="1"/>
  <c r="O1561" i="210"/>
  <c r="O1562" i="210" s="1"/>
  <c r="I1608" i="210" s="1"/>
  <c r="I1607" i="210" s="1"/>
  <c r="GI13" i="190"/>
  <c r="GI14" i="190" s="1"/>
  <c r="GE14" i="190"/>
  <c r="P101" i="43"/>
  <c r="I4097" i="209"/>
  <c r="I1652" i="210"/>
  <c r="O2716" i="209"/>
  <c r="I2717" i="209"/>
  <c r="M38" i="196"/>
  <c r="H152" i="196"/>
  <c r="M152" i="196" s="1"/>
  <c r="GI61" i="190"/>
  <c r="GI62" i="190" s="1"/>
  <c r="GE62" i="190"/>
  <c r="G1632" i="210"/>
  <c r="K1632" i="210" s="1"/>
  <c r="D1652" i="210"/>
  <c r="G1652" i="210" s="1"/>
  <c r="D1645" i="210"/>
  <c r="G1645" i="210" s="1"/>
  <c r="G1646" i="210" s="1"/>
  <c r="K1646" i="210" s="1"/>
  <c r="D85" i="44"/>
  <c r="K1602" i="210"/>
  <c r="O1602" i="210" s="1"/>
  <c r="K3984" i="209"/>
  <c r="O3984" i="209" s="1"/>
  <c r="O1585" i="210"/>
  <c r="I1631" i="210" s="1"/>
  <c r="O41" i="43"/>
  <c r="I3919" i="209"/>
  <c r="G1629" i="210"/>
  <c r="K1629" i="210" s="1"/>
  <c r="D1640" i="210"/>
  <c r="G1640" i="210" s="1"/>
  <c r="M81" i="171"/>
  <c r="X80" i="171"/>
  <c r="Y80" i="171" s="1"/>
  <c r="K1606" i="210"/>
  <c r="O1606" i="210" s="1"/>
  <c r="K3985" i="209"/>
  <c r="O3985" i="209" s="1"/>
  <c r="GE63" i="190" l="1"/>
  <c r="O3919" i="209"/>
  <c r="P41" i="43" s="1"/>
  <c r="K1645" i="210"/>
  <c r="K4033" i="209" s="1"/>
  <c r="P103" i="43"/>
  <c r="I4099" i="209"/>
  <c r="D1132" i="210"/>
  <c r="K1086" i="210"/>
  <c r="K1085" i="210" s="1"/>
  <c r="K2660" i="209" s="1"/>
  <c r="K2679" i="209" s="1"/>
  <c r="K2719" i="209" s="1"/>
  <c r="K2723" i="209" s="1"/>
  <c r="P102" i="43"/>
  <c r="I4098" i="209"/>
  <c r="O45" i="43"/>
  <c r="I3923" i="209"/>
  <c r="D89" i="130"/>
  <c r="H75" i="130"/>
  <c r="H89" i="130" s="1"/>
  <c r="O4097" i="209"/>
  <c r="Q101" i="43" s="1"/>
  <c r="R101" i="43" s="1"/>
  <c r="E16" i="43"/>
  <c r="I2754" i="209"/>
  <c r="O2646" i="209"/>
  <c r="D1641" i="210"/>
  <c r="G1641" i="210" s="1"/>
  <c r="D1127" i="210"/>
  <c r="D1130" i="210"/>
  <c r="G1130" i="210" s="1"/>
  <c r="G1122" i="210"/>
  <c r="K1595" i="210"/>
  <c r="K1652" i="210"/>
  <c r="K4099" i="209"/>
  <c r="D1649" i="210"/>
  <c r="G1649" i="210" s="1"/>
  <c r="G1650" i="210" s="1"/>
  <c r="K1650" i="210" s="1"/>
  <c r="X81" i="171"/>
  <c r="Y81" i="171" s="1"/>
  <c r="M82" i="171"/>
  <c r="N44" i="43"/>
  <c r="I3808" i="209"/>
  <c r="O3808" i="209" s="1"/>
  <c r="D22" i="44"/>
  <c r="F18" i="207"/>
  <c r="F20" i="207" s="1"/>
  <c r="G24" i="68"/>
  <c r="G27" i="68" s="1"/>
  <c r="D29" i="154"/>
  <c r="F29" i="154" s="1"/>
  <c r="G29" i="154" s="1"/>
  <c r="K29" i="154" s="1"/>
  <c r="I27" i="68"/>
  <c r="O1644" i="210"/>
  <c r="D27" i="130"/>
  <c r="H27" i="130" s="1"/>
  <c r="G2763" i="209"/>
  <c r="K1648" i="210"/>
  <c r="K4098" i="209"/>
  <c r="O1599" i="210"/>
  <c r="O1600" i="210" s="1"/>
  <c r="I1646" i="210" s="1"/>
  <c r="I1645" i="210" s="1"/>
  <c r="K1603" i="210"/>
  <c r="G1642" i="210"/>
  <c r="K1642" i="210" s="1"/>
  <c r="P100" i="43"/>
  <c r="I4096" i="209"/>
  <c r="D2927" i="209"/>
  <c r="G2827" i="209"/>
  <c r="K2813" i="209"/>
  <c r="E71" i="44"/>
  <c r="G2831" i="209"/>
  <c r="D2944" i="209"/>
  <c r="E88" i="44"/>
  <c r="D18" i="130"/>
  <c r="D2760" i="209"/>
  <c r="G2754" i="209"/>
  <c r="D41" i="214"/>
  <c r="F41" i="214" s="1"/>
  <c r="L142" i="213"/>
  <c r="L144" i="213" s="1"/>
  <c r="L146" i="213" s="1"/>
  <c r="M135" i="213"/>
  <c r="H92" i="130"/>
  <c r="H93" i="130" s="1"/>
  <c r="D93" i="130"/>
  <c r="C152" i="196"/>
  <c r="F152" i="196" s="1"/>
  <c r="F38" i="196"/>
  <c r="D1653" i="210"/>
  <c r="G1653" i="210" s="1"/>
  <c r="G1654" i="210" s="1"/>
  <c r="K1654" i="210" s="1"/>
  <c r="I1122" i="210"/>
  <c r="O1081" i="210"/>
  <c r="G25" i="2"/>
  <c r="E33" i="2"/>
  <c r="E37" i="2" s="1"/>
  <c r="K1607" i="210"/>
  <c r="K3923" i="209" s="1"/>
  <c r="E89" i="43"/>
  <c r="O2717" i="209"/>
  <c r="I2830" i="209"/>
  <c r="F27" i="201"/>
  <c r="E72" i="43"/>
  <c r="O2713" i="209"/>
  <c r="I2813" i="209"/>
  <c r="D2841" i="209"/>
  <c r="G2732" i="209"/>
  <c r="O1835" i="209"/>
  <c r="G1894" i="209"/>
  <c r="O2727" i="209"/>
  <c r="I2732" i="209"/>
  <c r="H97" i="196" s="1"/>
  <c r="M97" i="196" s="1"/>
  <c r="K1640" i="210"/>
  <c r="O1640" i="210" s="1"/>
  <c r="K4096" i="209"/>
  <c r="O1652" i="210"/>
  <c r="I2620" i="209"/>
  <c r="H39" i="196"/>
  <c r="GI63" i="190"/>
  <c r="GI99" i="190" s="1"/>
  <c r="I1648" i="210"/>
  <c r="O1631" i="210"/>
  <c r="O1632" i="210"/>
  <c r="O1629" i="210"/>
  <c r="E25" i="43"/>
  <c r="I2763" i="209"/>
  <c r="I1085" i="210"/>
  <c r="G2554" i="209"/>
  <c r="D2565" i="209"/>
  <c r="D2605" i="209" s="1"/>
  <c r="D2609" i="209" s="1"/>
  <c r="O1069" i="210"/>
  <c r="D1115" i="210"/>
  <c r="O38" i="43"/>
  <c r="I3916" i="209"/>
  <c r="I2660" i="209"/>
  <c r="O2565" i="209"/>
  <c r="O2605" i="209" s="1"/>
  <c r="O2609" i="209" s="1"/>
  <c r="O2620" i="209" s="1"/>
  <c r="O1648" i="210" l="1"/>
  <c r="O1645" i="210"/>
  <c r="I4033" i="209"/>
  <c r="O4033" i="209" s="1"/>
  <c r="Q41" i="43" s="1"/>
  <c r="K1653" i="210"/>
  <c r="K4037" i="209" s="1"/>
  <c r="D45" i="214" s="1"/>
  <c r="F45" i="214" s="1"/>
  <c r="K1649" i="210"/>
  <c r="K4036" i="209" s="1"/>
  <c r="K1641" i="210"/>
  <c r="K4030" i="209" s="1"/>
  <c r="E85" i="44"/>
  <c r="O2813" i="209"/>
  <c r="I2827" i="209"/>
  <c r="G2944" i="209"/>
  <c r="D2945" i="209"/>
  <c r="M83" i="171"/>
  <c r="X82" i="171"/>
  <c r="Y82" i="171" s="1"/>
  <c r="D2868" i="209"/>
  <c r="G2760" i="209"/>
  <c r="E16" i="44"/>
  <c r="O2763" i="209"/>
  <c r="D2877" i="209"/>
  <c r="E25" i="44"/>
  <c r="E86" i="43"/>
  <c r="O2660" i="209"/>
  <c r="I2679" i="209"/>
  <c r="I2719" i="209" s="1"/>
  <c r="I2723" i="209" s="1"/>
  <c r="O1894" i="209"/>
  <c r="D1949" i="209"/>
  <c r="K2827" i="209"/>
  <c r="K3922" i="209"/>
  <c r="O1603" i="210"/>
  <c r="O1604" i="210" s="1"/>
  <c r="I1650" i="210" s="1"/>
  <c r="I1649" i="210" s="1"/>
  <c r="O44" i="43"/>
  <c r="I3922" i="209"/>
  <c r="D1131" i="210"/>
  <c r="G1131" i="210" s="1"/>
  <c r="I25" i="2"/>
  <c r="I33" i="2" s="1"/>
  <c r="G33" i="2"/>
  <c r="G37" i="2" s="1"/>
  <c r="M142" i="213"/>
  <c r="M144" i="213" s="1"/>
  <c r="M146" i="213" s="1"/>
  <c r="K31" i="69"/>
  <c r="K38" i="69" s="1"/>
  <c r="N135" i="213"/>
  <c r="N142" i="213" s="1"/>
  <c r="N144" i="213" s="1"/>
  <c r="N146" i="213" s="1"/>
  <c r="P135" i="213"/>
  <c r="P142" i="213" s="1"/>
  <c r="P144" i="213" s="1"/>
  <c r="P146" i="213" s="1"/>
  <c r="K2734" i="209"/>
  <c r="I40" i="196"/>
  <c r="I154" i="196" s="1"/>
  <c r="I1127" i="210"/>
  <c r="I1130" i="210"/>
  <c r="H18" i="130"/>
  <c r="H24" i="130" s="1"/>
  <c r="D24" i="130"/>
  <c r="O1646" i="210"/>
  <c r="K3916" i="209"/>
  <c r="O1595" i="210"/>
  <c r="O1596" i="210" s="1"/>
  <c r="I1642" i="210" s="1"/>
  <c r="I1641" i="210" s="1"/>
  <c r="E99" i="43"/>
  <c r="O2732" i="209"/>
  <c r="I2841" i="209"/>
  <c r="H153" i="196"/>
  <c r="M153" i="196" s="1"/>
  <c r="M39" i="196"/>
  <c r="O2830" i="209"/>
  <c r="I2831" i="209"/>
  <c r="F23" i="167"/>
  <c r="O1607" i="210"/>
  <c r="O1608" i="210" s="1"/>
  <c r="I1654" i="210" s="1"/>
  <c r="I1653" i="210" s="1"/>
  <c r="D2941" i="209"/>
  <c r="G2927" i="209"/>
  <c r="D19" i="153"/>
  <c r="K1122" i="210"/>
  <c r="O1122" i="210" s="1"/>
  <c r="D1168" i="210"/>
  <c r="G1127" i="210"/>
  <c r="O3923" i="209"/>
  <c r="D2668" i="209"/>
  <c r="G2565" i="209"/>
  <c r="G2605" i="209" s="1"/>
  <c r="G2609" i="209" s="1"/>
  <c r="G2620" i="209" s="1"/>
  <c r="G1115" i="210"/>
  <c r="I1115" i="210"/>
  <c r="O1085" i="210"/>
  <c r="O1086" i="210" s="1"/>
  <c r="I1132" i="210" s="1"/>
  <c r="D98" i="130"/>
  <c r="G2841" i="209"/>
  <c r="D2846" i="209"/>
  <c r="C98" i="196" s="1"/>
  <c r="F98" i="196" s="1"/>
  <c r="O4096" i="209"/>
  <c r="Q100" i="43" s="1"/>
  <c r="R100" i="43" s="1"/>
  <c r="F27" i="207"/>
  <c r="F47" i="207" s="1"/>
  <c r="F67" i="207" s="1"/>
  <c r="F102" i="207" s="1"/>
  <c r="F122" i="207" s="1"/>
  <c r="G1132" i="210"/>
  <c r="D1178" i="210" s="1"/>
  <c r="I2760" i="209"/>
  <c r="O2754" i="209"/>
  <c r="O4099" i="209"/>
  <c r="Q103" i="43" s="1"/>
  <c r="R103" i="43" s="1"/>
  <c r="G45" i="48"/>
  <c r="I45" i="48" s="1"/>
  <c r="K45" i="48" s="1"/>
  <c r="R41" i="43"/>
  <c r="L45" i="48" s="1"/>
  <c r="D2620" i="209"/>
  <c r="C39" i="196"/>
  <c r="E90" i="43"/>
  <c r="E89" i="44"/>
  <c r="E22" i="43"/>
  <c r="O4098" i="209"/>
  <c r="Q102" i="43" s="1"/>
  <c r="R102" i="43" s="1"/>
  <c r="D38" i="214" l="1"/>
  <c r="F38" i="214" s="1"/>
  <c r="O3916" i="209"/>
  <c r="O1649" i="210"/>
  <c r="O1650" i="210" s="1"/>
  <c r="O1653" i="210"/>
  <c r="O1654" i="210" s="1"/>
  <c r="O1641" i="210"/>
  <c r="O1642" i="210" s="1"/>
  <c r="I1131" i="210"/>
  <c r="K1132" i="210"/>
  <c r="D44" i="214"/>
  <c r="F44" i="214" s="1"/>
  <c r="I1168" i="210"/>
  <c r="O1127" i="210"/>
  <c r="P38" i="43"/>
  <c r="I4030" i="209"/>
  <c r="O4030" i="209" s="1"/>
  <c r="Q38" i="43" s="1"/>
  <c r="D1161" i="210"/>
  <c r="O1115" i="210"/>
  <c r="J16" i="1"/>
  <c r="J24" i="1" s="1"/>
  <c r="J38" i="1" s="1"/>
  <c r="E18" i="64" s="1"/>
  <c r="E26" i="64" s="1"/>
  <c r="I37" i="2"/>
  <c r="F25" i="43"/>
  <c r="I2877" i="209"/>
  <c r="X83" i="171"/>
  <c r="Y83" i="171" s="1"/>
  <c r="M84" i="171"/>
  <c r="E22" i="44"/>
  <c r="P45" i="43"/>
  <c r="I4037" i="209"/>
  <c r="O4037" i="209" s="1"/>
  <c r="Q45" i="43" s="1"/>
  <c r="F89" i="43"/>
  <c r="I2944" i="209"/>
  <c r="O2831" i="209"/>
  <c r="F72" i="43"/>
  <c r="O2827" i="209"/>
  <c r="I2927" i="209"/>
  <c r="G2668" i="209"/>
  <c r="D2679" i="209"/>
  <c r="D2719" i="209" s="1"/>
  <c r="D2723" i="209" s="1"/>
  <c r="I2846" i="209"/>
  <c r="H98" i="196" s="1"/>
  <c r="G2846" i="209"/>
  <c r="D2955" i="209"/>
  <c r="D3041" i="209"/>
  <c r="G2941" i="209"/>
  <c r="K2927" i="209"/>
  <c r="F71" i="44"/>
  <c r="E104" i="43"/>
  <c r="D2008" i="209"/>
  <c r="I2008" i="209" s="1"/>
  <c r="G1949" i="209"/>
  <c r="I1949" i="209"/>
  <c r="D2874" i="209"/>
  <c r="G2868" i="209"/>
  <c r="F16" i="43"/>
  <c r="I2868" i="209"/>
  <c r="O2760" i="209"/>
  <c r="D103" i="130"/>
  <c r="H98" i="130"/>
  <c r="H103" i="130" s="1"/>
  <c r="O3922" i="209"/>
  <c r="F39" i="196"/>
  <c r="C153" i="196"/>
  <c r="F153" i="196" s="1"/>
  <c r="I2734" i="209"/>
  <c r="H40" i="196"/>
  <c r="G2877" i="209"/>
  <c r="F19" i="153"/>
  <c r="D1176" i="210"/>
  <c r="G1176" i="210" s="1"/>
  <c r="D1173" i="210"/>
  <c r="G1168" i="210"/>
  <c r="K1130" i="210"/>
  <c r="K1127" i="210"/>
  <c r="K2841" i="209"/>
  <c r="K2846" i="209" s="1"/>
  <c r="I98" i="196" s="1"/>
  <c r="F16" i="167"/>
  <c r="F24" i="167"/>
  <c r="J26" i="167" s="1"/>
  <c r="E36" i="43"/>
  <c r="I2774" i="209"/>
  <c r="O2679" i="209"/>
  <c r="O2719" i="209" s="1"/>
  <c r="O2723" i="209" s="1"/>
  <c r="O2734" i="209" s="1"/>
  <c r="D3058" i="209"/>
  <c r="G2945" i="209"/>
  <c r="F88" i="44"/>
  <c r="K1131" i="210" l="1"/>
  <c r="O1130" i="210"/>
  <c r="K2774" i="209"/>
  <c r="O2774" i="209" s="1"/>
  <c r="O1131" i="210"/>
  <c r="O1132" i="210" s="1"/>
  <c r="I1178" i="210" s="1"/>
  <c r="F22" i="43"/>
  <c r="K2941" i="209"/>
  <c r="D2734" i="209"/>
  <c r="C40" i="196"/>
  <c r="H154" i="196"/>
  <c r="M154" i="196" s="1"/>
  <c r="M40" i="196"/>
  <c r="D2782" i="209"/>
  <c r="D44" i="44"/>
  <c r="G2679" i="209"/>
  <c r="G2719" i="209" s="1"/>
  <c r="G2723" i="209" s="1"/>
  <c r="G2734" i="209" s="1"/>
  <c r="O2944" i="209"/>
  <c r="I2945" i="209"/>
  <c r="O2877" i="209"/>
  <c r="G42" i="48"/>
  <c r="I42" i="48" s="1"/>
  <c r="K42" i="48" s="1"/>
  <c r="R38" i="43"/>
  <c r="L42" i="48" s="1"/>
  <c r="F31" i="167"/>
  <c r="F32" i="167" s="1"/>
  <c r="J34" i="167" s="1"/>
  <c r="J48" i="167" s="1"/>
  <c r="J52" i="167" s="1"/>
  <c r="F17" i="167"/>
  <c r="J19" i="167" s="1"/>
  <c r="D1214" i="210"/>
  <c r="G1173" i="210"/>
  <c r="K1168" i="210"/>
  <c r="O1168" i="210" s="1"/>
  <c r="G3041" i="209"/>
  <c r="D3055" i="209"/>
  <c r="F90" i="43"/>
  <c r="I1161" i="210"/>
  <c r="G1161" i="210"/>
  <c r="G2008" i="209"/>
  <c r="O1949" i="209"/>
  <c r="D2960" i="209"/>
  <c r="C99" i="196" s="1"/>
  <c r="F99" i="196" s="1"/>
  <c r="G2955" i="209"/>
  <c r="O2927" i="209"/>
  <c r="I2941" i="209"/>
  <c r="G49" i="48"/>
  <c r="I49" i="48" s="1"/>
  <c r="K49" i="48" s="1"/>
  <c r="R45" i="43"/>
  <c r="L49" i="48" s="1"/>
  <c r="D2982" i="209"/>
  <c r="G2874" i="209"/>
  <c r="F16" i="44"/>
  <c r="D3059" i="209"/>
  <c r="G3058" i="209"/>
  <c r="F29" i="201"/>
  <c r="I30" i="238" s="1"/>
  <c r="I2793" i="209"/>
  <c r="I2833" i="209" s="1"/>
  <c r="I2837" i="209" s="1"/>
  <c r="D1177" i="210"/>
  <c r="G1177" i="210" s="1"/>
  <c r="G1178" i="210" s="1"/>
  <c r="P44" i="43"/>
  <c r="I4036" i="209"/>
  <c r="O4036" i="209" s="1"/>
  <c r="Q44" i="43" s="1"/>
  <c r="F86" i="43"/>
  <c r="F26" i="207"/>
  <c r="D71" i="153"/>
  <c r="D73" i="153" s="1"/>
  <c r="I36" i="68"/>
  <c r="E55" i="43"/>
  <c r="E92" i="43" s="1"/>
  <c r="E96" i="43" s="1"/>
  <c r="E106" i="43" s="1"/>
  <c r="M98" i="196"/>
  <c r="M85" i="171"/>
  <c r="X84" i="171"/>
  <c r="F89" i="44"/>
  <c r="D2991" i="209"/>
  <c r="F25" i="44"/>
  <c r="I2874" i="209"/>
  <c r="O2868" i="209"/>
  <c r="F85" i="44"/>
  <c r="O2841" i="209"/>
  <c r="I1176" i="210"/>
  <c r="I1173" i="210"/>
  <c r="D1224" i="210" l="1"/>
  <c r="K1178" i="210"/>
  <c r="I1214" i="210"/>
  <c r="O1173" i="210"/>
  <c r="G2991" i="209"/>
  <c r="F22" i="44"/>
  <c r="F28" i="207"/>
  <c r="F30" i="207" s="1"/>
  <c r="F46" i="207"/>
  <c r="F66" i="207" s="1"/>
  <c r="F101" i="207" s="1"/>
  <c r="F121" i="207" s="1"/>
  <c r="I2848" i="209"/>
  <c r="H41" i="196"/>
  <c r="D2988" i="209"/>
  <c r="G2982" i="209"/>
  <c r="D2063" i="209"/>
  <c r="O2008" i="209"/>
  <c r="D3155" i="209"/>
  <c r="G3055" i="209"/>
  <c r="K3041" i="209"/>
  <c r="G71" i="44"/>
  <c r="F36" i="43"/>
  <c r="I2888" i="209"/>
  <c r="O2793" i="209"/>
  <c r="O2833" i="209" s="1"/>
  <c r="O2837" i="209" s="1"/>
  <c r="G72" i="43"/>
  <c r="I3041" i="209"/>
  <c r="O2941" i="209"/>
  <c r="O1161" i="210"/>
  <c r="D1207" i="210"/>
  <c r="R104" i="78"/>
  <c r="R106" i="78" s="1"/>
  <c r="P136" i="195" s="1"/>
  <c r="I1177" i="210"/>
  <c r="Y84" i="171"/>
  <c r="Y85" i="171" s="1"/>
  <c r="Y148" i="171" s="1"/>
  <c r="Y195" i="171" s="1"/>
  <c r="X85" i="171"/>
  <c r="X148" i="171" s="1"/>
  <c r="X195" i="171" s="1"/>
  <c r="I31" i="141"/>
  <c r="G89" i="43"/>
  <c r="I3058" i="209"/>
  <c r="O2945" i="209"/>
  <c r="D1219" i="210"/>
  <c r="D1222" i="210"/>
  <c r="G1222" i="210" s="1"/>
  <c r="G1214" i="210"/>
  <c r="O1176" i="210"/>
  <c r="G16" i="43"/>
  <c r="O2874" i="209"/>
  <c r="I2982" i="209"/>
  <c r="D3172" i="209"/>
  <c r="G3059" i="209"/>
  <c r="G88" i="44"/>
  <c r="C154" i="196"/>
  <c r="F154" i="196" s="1"/>
  <c r="F40" i="196"/>
  <c r="D20" i="153"/>
  <c r="D43" i="154"/>
  <c r="D55" i="44"/>
  <c r="D91" i="44" s="1"/>
  <c r="D101" i="44" s="1"/>
  <c r="G48" i="48"/>
  <c r="I48" i="48" s="1"/>
  <c r="K48" i="48" s="1"/>
  <c r="R44" i="43"/>
  <c r="F99" i="43"/>
  <c r="O2846" i="209"/>
  <c r="I2955" i="209"/>
  <c r="G2960" i="209"/>
  <c r="D3069" i="209"/>
  <c r="K1173" i="210"/>
  <c r="K1176" i="210"/>
  <c r="K2955" i="209"/>
  <c r="K2960" i="209" s="1"/>
  <c r="I99" i="196" s="1"/>
  <c r="G25" i="43"/>
  <c r="I2991" i="209"/>
  <c r="D46" i="130"/>
  <c r="G2782" i="209"/>
  <c r="D2793" i="209"/>
  <c r="D2833" i="209" s="1"/>
  <c r="D2837" i="209" s="1"/>
  <c r="K2793" i="209"/>
  <c r="K2833" i="209" s="1"/>
  <c r="K2837" i="209" s="1"/>
  <c r="G3069" i="209" l="1"/>
  <c r="D3074" i="209"/>
  <c r="C100" i="196" s="1"/>
  <c r="F100" i="196" s="1"/>
  <c r="F104" i="43"/>
  <c r="F20" i="153"/>
  <c r="F21" i="153" s="1"/>
  <c r="D21" i="153"/>
  <c r="G2988" i="209"/>
  <c r="D3096" i="209"/>
  <c r="G16" i="44"/>
  <c r="O2991" i="209"/>
  <c r="L48" i="48"/>
  <c r="G22" i="43"/>
  <c r="O2955" i="209"/>
  <c r="I2960" i="209"/>
  <c r="H99" i="196" s="1"/>
  <c r="M99" i="196" s="1"/>
  <c r="I3055" i="209"/>
  <c r="O3041" i="209"/>
  <c r="G85" i="44"/>
  <c r="H155" i="196"/>
  <c r="G89" i="44"/>
  <c r="G86" i="43"/>
  <c r="K3055" i="209"/>
  <c r="G3172" i="209"/>
  <c r="D3173" i="209"/>
  <c r="I3059" i="209"/>
  <c r="O3058" i="209"/>
  <c r="P139" i="195"/>
  <c r="P141" i="195" s="1"/>
  <c r="P143" i="195" s="1"/>
  <c r="P145" i="195" s="1"/>
  <c r="Q136" i="195"/>
  <c r="O2848" i="209"/>
  <c r="K1177" i="210"/>
  <c r="K2888" i="209" s="1"/>
  <c r="O2888" i="209" s="1"/>
  <c r="K2848" i="209"/>
  <c r="I41" i="196"/>
  <c r="D2848" i="209"/>
  <c r="C41" i="196"/>
  <c r="G90" i="43"/>
  <c r="I2907" i="209"/>
  <c r="I2947" i="209" s="1"/>
  <c r="I2951" i="209" s="1"/>
  <c r="G3155" i="209"/>
  <c r="D3169" i="209"/>
  <c r="F45" i="207"/>
  <c r="F31" i="207"/>
  <c r="F31" i="201"/>
  <c r="I32" i="238" s="1"/>
  <c r="D3105" i="209"/>
  <c r="G25" i="44"/>
  <c r="D1223" i="210"/>
  <c r="G1223" i="210" s="1"/>
  <c r="G1224" i="210" s="1"/>
  <c r="D2896" i="209"/>
  <c r="E44" i="44"/>
  <c r="G2793" i="209"/>
  <c r="G2833" i="209" s="1"/>
  <c r="G2837" i="209" s="1"/>
  <c r="G2848" i="209" s="1"/>
  <c r="F55" i="43"/>
  <c r="F92" i="43" s="1"/>
  <c r="F96" i="43" s="1"/>
  <c r="H46" i="130"/>
  <c r="H57" i="130" s="1"/>
  <c r="H95" i="130" s="1"/>
  <c r="H105" i="130" s="1"/>
  <c r="D57" i="130"/>
  <c r="D95" i="130" s="1"/>
  <c r="D105" i="130" s="1"/>
  <c r="F43" i="154"/>
  <c r="G43" i="154" s="1"/>
  <c r="K43" i="154" s="1"/>
  <c r="I2988" i="209"/>
  <c r="O2982" i="209"/>
  <c r="K1214" i="210"/>
  <c r="G1219" i="210"/>
  <c r="D1260" i="210"/>
  <c r="G1207" i="210"/>
  <c r="I1207" i="210"/>
  <c r="I2063" i="209"/>
  <c r="G2063" i="209"/>
  <c r="D2122" i="209"/>
  <c r="I2122" i="209" s="1"/>
  <c r="I1219" i="210"/>
  <c r="I1222" i="210"/>
  <c r="D1270" i="210" l="1"/>
  <c r="K1224" i="210"/>
  <c r="I33" i="141"/>
  <c r="I2962" i="209"/>
  <c r="H42" i="196"/>
  <c r="Q139" i="195"/>
  <c r="O34" i="69"/>
  <c r="Q34" i="69" s="1"/>
  <c r="R136" i="195"/>
  <c r="R139" i="195" s="1"/>
  <c r="D27" i="153"/>
  <c r="D29" i="153" s="1"/>
  <c r="D35" i="153" s="1"/>
  <c r="D39" i="153" s="1"/>
  <c r="D43" i="153" s="1"/>
  <c r="H16" i="43"/>
  <c r="I3096" i="209"/>
  <c r="O2988" i="209"/>
  <c r="G2122" i="209"/>
  <c r="O2063" i="209"/>
  <c r="K1222" i="210"/>
  <c r="O1222" i="210" s="1"/>
  <c r="K1219" i="210"/>
  <c r="K3069" i="209"/>
  <c r="K3074" i="209" s="1"/>
  <c r="I100" i="196" s="1"/>
  <c r="G36" i="43"/>
  <c r="I3002" i="209"/>
  <c r="O2907" i="209"/>
  <c r="O2947" i="209" s="1"/>
  <c r="O2951" i="209" s="1"/>
  <c r="G99" i="43"/>
  <c r="I3069" i="209"/>
  <c r="O2960" i="209"/>
  <c r="F27" i="153"/>
  <c r="F29" i="153" s="1"/>
  <c r="F35" i="153" s="1"/>
  <c r="F39" i="153" s="1"/>
  <c r="F43" i="153" s="1"/>
  <c r="G3105" i="209"/>
  <c r="I155" i="196"/>
  <c r="H72" i="43"/>
  <c r="O3055" i="209"/>
  <c r="I3155" i="209"/>
  <c r="F106" i="43"/>
  <c r="E55" i="44"/>
  <c r="E91" i="44" s="1"/>
  <c r="E101" i="44" s="1"/>
  <c r="F35" i="207"/>
  <c r="F36" i="207" s="1"/>
  <c r="H89" i="43"/>
  <c r="I3172" i="209"/>
  <c r="O3059" i="209"/>
  <c r="H25" i="43"/>
  <c r="I3105" i="209"/>
  <c r="O1207" i="210"/>
  <c r="D1253" i="210"/>
  <c r="C155" i="196"/>
  <c r="F155" i="196" s="1"/>
  <c r="F41" i="196"/>
  <c r="O1177" i="210"/>
  <c r="O1178" i="210" s="1"/>
  <c r="I1224" i="210" s="1"/>
  <c r="I1223" i="210" s="1"/>
  <c r="G3074" i="209"/>
  <c r="D3183" i="209"/>
  <c r="G2896" i="209"/>
  <c r="D2907" i="209"/>
  <c r="D2947" i="209" s="1"/>
  <c r="D2951" i="209" s="1"/>
  <c r="K2907" i="209"/>
  <c r="K2947" i="209" s="1"/>
  <c r="K2951" i="209" s="1"/>
  <c r="G22" i="44"/>
  <c r="O1214" i="210"/>
  <c r="D1268" i="210"/>
  <c r="G1268" i="210" s="1"/>
  <c r="G1260" i="210"/>
  <c r="D1265" i="210"/>
  <c r="G3169" i="209"/>
  <c r="D3269" i="209"/>
  <c r="K3155" i="209"/>
  <c r="H71" i="44"/>
  <c r="G3173" i="209"/>
  <c r="D3286" i="209"/>
  <c r="H88" i="44"/>
  <c r="M41" i="196"/>
  <c r="D3102" i="209"/>
  <c r="G3096" i="209"/>
  <c r="F37" i="207" l="1"/>
  <c r="F38" i="207" s="1"/>
  <c r="F44" i="207" s="1"/>
  <c r="O2962" i="209"/>
  <c r="F63" i="153"/>
  <c r="I41" i="69" s="1"/>
  <c r="D37" i="154"/>
  <c r="M155" i="196"/>
  <c r="H85" i="44"/>
  <c r="G1253" i="210"/>
  <c r="I1253" i="210"/>
  <c r="O3172" i="209"/>
  <c r="I3173" i="209"/>
  <c r="I3021" i="209"/>
  <c r="I3061" i="209" s="1"/>
  <c r="I3065" i="209" s="1"/>
  <c r="O3096" i="209"/>
  <c r="I3102" i="209"/>
  <c r="K3169" i="209"/>
  <c r="D2962" i="209"/>
  <c r="C42" i="196"/>
  <c r="H90" i="43"/>
  <c r="F33" i="153"/>
  <c r="F44" i="153"/>
  <c r="G55" i="43"/>
  <c r="G92" i="43" s="1"/>
  <c r="G96" i="43" s="1"/>
  <c r="H22" i="43"/>
  <c r="M25" i="68"/>
  <c r="D33" i="155"/>
  <c r="F33" i="155" s="1"/>
  <c r="G33" i="155" s="1"/>
  <c r="K33" i="155" s="1"/>
  <c r="I1260" i="210"/>
  <c r="O1219" i="210"/>
  <c r="D63" i="153"/>
  <c r="I3074" i="209"/>
  <c r="H100" i="196" s="1"/>
  <c r="M100" i="196" s="1"/>
  <c r="O3069" i="209"/>
  <c r="D33" i="153"/>
  <c r="D44" i="153"/>
  <c r="D65" i="153" s="1"/>
  <c r="H156" i="196"/>
  <c r="D3210" i="209"/>
  <c r="G3102" i="209"/>
  <c r="H16" i="44"/>
  <c r="D3010" i="209"/>
  <c r="F44" i="44"/>
  <c r="G2907" i="209"/>
  <c r="G2947" i="209" s="1"/>
  <c r="G2951" i="209" s="1"/>
  <c r="G2962" i="209" s="1"/>
  <c r="H89" i="44"/>
  <c r="G3286" i="209"/>
  <c r="D3287" i="209"/>
  <c r="O3105" i="209"/>
  <c r="G104" i="43"/>
  <c r="G3269" i="209"/>
  <c r="D3283" i="209"/>
  <c r="G3183" i="209"/>
  <c r="D3188" i="209"/>
  <c r="C101" i="196" s="1"/>
  <c r="F101" i="196" s="1"/>
  <c r="I3169" i="209"/>
  <c r="O3155" i="209"/>
  <c r="G1265" i="210"/>
  <c r="D1306" i="210"/>
  <c r="K1260" i="210"/>
  <c r="F43" i="207"/>
  <c r="F48" i="207" s="1"/>
  <c r="F50" i="207" s="1"/>
  <c r="H86" i="43"/>
  <c r="K1223" i="210"/>
  <c r="K3002" i="209" s="1"/>
  <c r="O3002" i="209" s="1"/>
  <c r="K2962" i="209"/>
  <c r="I42" i="196"/>
  <c r="D3219" i="209"/>
  <c r="H25" i="44"/>
  <c r="D2177" i="209"/>
  <c r="O2122" i="209"/>
  <c r="D1269" i="210"/>
  <c r="G1269" i="210" s="1"/>
  <c r="G1270" i="210" s="1"/>
  <c r="F40" i="207" l="1"/>
  <c r="G106" i="43"/>
  <c r="O1223" i="210"/>
  <c r="O1224" i="210" s="1"/>
  <c r="I1270" i="210" s="1"/>
  <c r="D45" i="153"/>
  <c r="H36" i="43"/>
  <c r="I3116" i="209"/>
  <c r="O3021" i="209"/>
  <c r="O3061" i="209" s="1"/>
  <c r="O3065" i="209" s="1"/>
  <c r="D1316" i="210"/>
  <c r="K1270" i="210"/>
  <c r="I156" i="196"/>
  <c r="M156" i="196" s="1"/>
  <c r="F65" i="153"/>
  <c r="D38" i="154"/>
  <c r="F38" i="154" s="1"/>
  <c r="G38" i="154" s="1"/>
  <c r="K38" i="154" s="1"/>
  <c r="H99" i="43"/>
  <c r="I3183" i="209"/>
  <c r="O3074" i="209"/>
  <c r="D3297" i="209"/>
  <c r="G3188" i="209"/>
  <c r="H22" i="44"/>
  <c r="I89" i="43"/>
  <c r="I3286" i="209"/>
  <c r="O3173" i="209"/>
  <c r="G19" i="207"/>
  <c r="Q25" i="68"/>
  <c r="D34" i="155" s="1"/>
  <c r="F34" i="155" s="1"/>
  <c r="G34" i="155" s="1"/>
  <c r="K34" i="155" s="1"/>
  <c r="K25" i="68"/>
  <c r="K1265" i="210"/>
  <c r="K1268" i="210"/>
  <c r="K3183" i="209"/>
  <c r="K3188" i="209" s="1"/>
  <c r="I101" i="196" s="1"/>
  <c r="G3210" i="209"/>
  <c r="D3216" i="209"/>
  <c r="D1299" i="210"/>
  <c r="O1253" i="210"/>
  <c r="K3021" i="209"/>
  <c r="K3061" i="209" s="1"/>
  <c r="K3065" i="209" s="1"/>
  <c r="F55" i="44"/>
  <c r="F91" i="44" s="1"/>
  <c r="F101" i="44" s="1"/>
  <c r="F37" i="154"/>
  <c r="G37" i="154" s="1"/>
  <c r="K37" i="154" s="1"/>
  <c r="G2177" i="209"/>
  <c r="D2236" i="209"/>
  <c r="I2236" i="209" s="1"/>
  <c r="I2177" i="209"/>
  <c r="G3219" i="209"/>
  <c r="D1311" i="210"/>
  <c r="G1306" i="210"/>
  <c r="D1314" i="210"/>
  <c r="G1314" i="210" s="1"/>
  <c r="I25" i="43"/>
  <c r="I3219" i="209"/>
  <c r="M42" i="196"/>
  <c r="G3283" i="209"/>
  <c r="K3269" i="209"/>
  <c r="D3383" i="209"/>
  <c r="I71" i="44"/>
  <c r="I85" i="44" s="1"/>
  <c r="G3010" i="209"/>
  <c r="D3021" i="209"/>
  <c r="D3061" i="209" s="1"/>
  <c r="D3065" i="209" s="1"/>
  <c r="F42" i="196"/>
  <c r="C156" i="196"/>
  <c r="F156" i="196" s="1"/>
  <c r="I16" i="43"/>
  <c r="O3102" i="209"/>
  <c r="I3210" i="209"/>
  <c r="F45" i="153"/>
  <c r="F65" i="207"/>
  <c r="F51" i="207"/>
  <c r="I72" i="43"/>
  <c r="I3269" i="209"/>
  <c r="O3169" i="209"/>
  <c r="G3287" i="209"/>
  <c r="D3400" i="209"/>
  <c r="I88" i="44"/>
  <c r="I89" i="44" s="1"/>
  <c r="D67" i="153"/>
  <c r="D69" i="153" s="1"/>
  <c r="O1260" i="210"/>
  <c r="I1268" i="210"/>
  <c r="I1265" i="210"/>
  <c r="I3076" i="209"/>
  <c r="H43" i="196"/>
  <c r="G41" i="69"/>
  <c r="I30" i="68"/>
  <c r="K41" i="69"/>
  <c r="O1268" i="210" l="1"/>
  <c r="G3383" i="209"/>
  <c r="D3397" i="209"/>
  <c r="K1306" i="210"/>
  <c r="D1352" i="210"/>
  <c r="G1311" i="210"/>
  <c r="O2177" i="209"/>
  <c r="G2236" i="209"/>
  <c r="D3324" i="209"/>
  <c r="G3216" i="209"/>
  <c r="I16" i="44"/>
  <c r="I22" i="44" s="1"/>
  <c r="D3302" i="209"/>
  <c r="C102" i="196" s="1"/>
  <c r="F102" i="196" s="1"/>
  <c r="G3297" i="209"/>
  <c r="I3216" i="209"/>
  <c r="O3210" i="209"/>
  <c r="K3283" i="209"/>
  <c r="F67" i="153"/>
  <c r="F69" i="153" s="1"/>
  <c r="I42" i="69"/>
  <c r="K1269" i="210"/>
  <c r="K3116" i="209" s="1"/>
  <c r="O3116" i="209" s="1"/>
  <c r="O3269" i="209"/>
  <c r="I3283" i="209"/>
  <c r="D3333" i="209"/>
  <c r="I25" i="44"/>
  <c r="K3076" i="209"/>
  <c r="I43" i="196"/>
  <c r="M43" i="196" s="1"/>
  <c r="D1315" i="210"/>
  <c r="G1315" i="210" s="1"/>
  <c r="G1316" i="210" s="1"/>
  <c r="O3286" i="209"/>
  <c r="I3287" i="209"/>
  <c r="O3076" i="209"/>
  <c r="F55" i="207"/>
  <c r="F56" i="207" s="1"/>
  <c r="F57" i="207" s="1"/>
  <c r="F58" i="207" s="1"/>
  <c r="F64" i="207" s="1"/>
  <c r="G1299" i="210"/>
  <c r="I1299" i="210"/>
  <c r="I90" i="43"/>
  <c r="I3188" i="209"/>
  <c r="H101" i="196" s="1"/>
  <c r="M101" i="196" s="1"/>
  <c r="O3183" i="209"/>
  <c r="I3135" i="209"/>
  <c r="I3175" i="209" s="1"/>
  <c r="I3179" i="209" s="1"/>
  <c r="O1265" i="210"/>
  <c r="I1306" i="210"/>
  <c r="G30" i="68"/>
  <c r="I86" i="43"/>
  <c r="H104" i="43"/>
  <c r="H55" i="43"/>
  <c r="H92" i="43" s="1"/>
  <c r="H96" i="43" s="1"/>
  <c r="I22" i="43"/>
  <c r="H157" i="196"/>
  <c r="D3076" i="209"/>
  <c r="C43" i="196"/>
  <c r="O3219" i="209"/>
  <c r="G3400" i="209"/>
  <c r="D3401" i="209"/>
  <c r="D3124" i="209"/>
  <c r="G44" i="44"/>
  <c r="G3021" i="209"/>
  <c r="G3061" i="209" s="1"/>
  <c r="G3065" i="209" s="1"/>
  <c r="G3076" i="209" s="1"/>
  <c r="I1269" i="210"/>
  <c r="D1362" i="210" l="1"/>
  <c r="K1316" i="210"/>
  <c r="O1269" i="210"/>
  <c r="O1270" i="210" s="1"/>
  <c r="I1316" i="210" s="1"/>
  <c r="I3190" i="209"/>
  <c r="H44" i="196"/>
  <c r="I36" i="43"/>
  <c r="I3230" i="209"/>
  <c r="O3135" i="209"/>
  <c r="O3175" i="209" s="1"/>
  <c r="O3179" i="209" s="1"/>
  <c r="F63" i="207"/>
  <c r="F68" i="207" s="1"/>
  <c r="F70" i="207" s="1"/>
  <c r="F60" i="207"/>
  <c r="K3135" i="209"/>
  <c r="K3175" i="209" s="1"/>
  <c r="K3179" i="209" s="1"/>
  <c r="K1314" i="210"/>
  <c r="K1311" i="210"/>
  <c r="K3297" i="209"/>
  <c r="K3302" i="209" s="1"/>
  <c r="I102" i="196" s="1"/>
  <c r="G42" i="69"/>
  <c r="G44" i="69" s="1"/>
  <c r="G46" i="69" s="1"/>
  <c r="I31" i="68"/>
  <c r="K42" i="69"/>
  <c r="K44" i="69" s="1"/>
  <c r="K46" i="69" s="1"/>
  <c r="I44" i="69"/>
  <c r="I46" i="69" s="1"/>
  <c r="J16" i="43"/>
  <c r="J22" i="43" s="1"/>
  <c r="O3216" i="209"/>
  <c r="I3324" i="209"/>
  <c r="G1352" i="210"/>
  <c r="D1360" i="210"/>
  <c r="G1360" i="210" s="1"/>
  <c r="D1357" i="210"/>
  <c r="G3333" i="209"/>
  <c r="D3497" i="209"/>
  <c r="G3397" i="209"/>
  <c r="K3383" i="209"/>
  <c r="J71" i="44"/>
  <c r="J85" i="44" s="1"/>
  <c r="G55" i="44"/>
  <c r="G91" i="44" s="1"/>
  <c r="G101" i="44" s="1"/>
  <c r="G3324" i="209"/>
  <c r="D3330" i="209"/>
  <c r="G3302" i="209"/>
  <c r="D3411" i="209"/>
  <c r="D2291" i="209"/>
  <c r="O2236" i="209"/>
  <c r="J25" i="43"/>
  <c r="I3333" i="209"/>
  <c r="I99" i="43"/>
  <c r="I3297" i="209"/>
  <c r="O3188" i="209"/>
  <c r="G3124" i="209"/>
  <c r="D3135" i="209"/>
  <c r="D3175" i="209" s="1"/>
  <c r="D3179" i="209" s="1"/>
  <c r="I157" i="196"/>
  <c r="M157" i="196" s="1"/>
  <c r="J72" i="43"/>
  <c r="J86" i="43" s="1"/>
  <c r="I3383" i="209"/>
  <c r="O3283" i="209"/>
  <c r="C157" i="196"/>
  <c r="F157" i="196" s="1"/>
  <c r="F43" i="196"/>
  <c r="O1306" i="210"/>
  <c r="I1311" i="210"/>
  <c r="I1314" i="210"/>
  <c r="D3514" i="209"/>
  <c r="G3401" i="209"/>
  <c r="J88" i="44"/>
  <c r="J89" i="44" s="1"/>
  <c r="H106" i="43"/>
  <c r="D1345" i="210"/>
  <c r="O1299" i="210"/>
  <c r="J89" i="43"/>
  <c r="J90" i="43" s="1"/>
  <c r="I3400" i="209"/>
  <c r="O3287" i="209"/>
  <c r="F33" i="201"/>
  <c r="I34" i="238" s="1"/>
  <c r="K1315" i="210" l="1"/>
  <c r="K3230" i="209" s="1"/>
  <c r="K3249" i="209" s="1"/>
  <c r="K3289" i="209" s="1"/>
  <c r="K3293" i="209" s="1"/>
  <c r="O1314" i="210"/>
  <c r="G3514" i="209"/>
  <c r="D3515" i="209"/>
  <c r="O3383" i="209"/>
  <c r="I3397" i="209"/>
  <c r="O3297" i="209"/>
  <c r="I3302" i="209"/>
  <c r="H102" i="196" s="1"/>
  <c r="M102" i="196" s="1"/>
  <c r="D3416" i="209"/>
  <c r="C103" i="196" s="1"/>
  <c r="F103" i="196" s="1"/>
  <c r="G3411" i="209"/>
  <c r="G3497" i="209"/>
  <c r="D3511" i="209"/>
  <c r="I1345" i="210"/>
  <c r="G1345" i="210"/>
  <c r="I104" i="43"/>
  <c r="D1398" i="210"/>
  <c r="G1357" i="210"/>
  <c r="K1352" i="210"/>
  <c r="F100" i="207"/>
  <c r="F71" i="207"/>
  <c r="O3333" i="209"/>
  <c r="G31" i="68"/>
  <c r="G32" i="68" s="1"/>
  <c r="G34" i="68" s="1"/>
  <c r="I32" i="68"/>
  <c r="O3190" i="209"/>
  <c r="I1352" i="210"/>
  <c r="O1311" i="210"/>
  <c r="D1361" i="210"/>
  <c r="G1361" i="210" s="1"/>
  <c r="G1362" i="210" s="1"/>
  <c r="D3447" i="209"/>
  <c r="J25" i="44"/>
  <c r="O3230" i="209"/>
  <c r="I3249" i="209"/>
  <c r="I3289" i="209" s="1"/>
  <c r="I3293" i="209" s="1"/>
  <c r="D3190" i="209"/>
  <c r="C44" i="196"/>
  <c r="I55" i="43"/>
  <c r="I92" i="43" s="1"/>
  <c r="I96" i="43" s="1"/>
  <c r="I35" i="141"/>
  <c r="I37" i="141" s="1"/>
  <c r="I39" i="141" s="1"/>
  <c r="I36" i="238"/>
  <c r="I38" i="238" s="1"/>
  <c r="D3238" i="209"/>
  <c r="H44" i="44"/>
  <c r="G3135" i="209"/>
  <c r="G3175" i="209" s="1"/>
  <c r="G3179" i="209" s="1"/>
  <c r="G3190" i="209" s="1"/>
  <c r="I3330" i="209"/>
  <c r="O3324" i="209"/>
  <c r="K3304" i="209"/>
  <c r="I45" i="196"/>
  <c r="I159" i="196" s="1"/>
  <c r="H158" i="196"/>
  <c r="K3397" i="209"/>
  <c r="K3190" i="209"/>
  <c r="I44" i="196"/>
  <c r="M44" i="196" s="1"/>
  <c r="O3400" i="209"/>
  <c r="I3401" i="209"/>
  <c r="D3438" i="209"/>
  <c r="G3330" i="209"/>
  <c r="J16" i="44"/>
  <c r="J22" i="44" s="1"/>
  <c r="G2291" i="209"/>
  <c r="D2350" i="209"/>
  <c r="I2350" i="209" s="1"/>
  <c r="I2291" i="209"/>
  <c r="I1315" i="210"/>
  <c r="O1315" i="210" s="1"/>
  <c r="O1316" i="210" s="1"/>
  <c r="I1362" i="210" s="1"/>
  <c r="D1408" i="210" l="1"/>
  <c r="K1362" i="210"/>
  <c r="D39" i="154"/>
  <c r="I34" i="68"/>
  <c r="E20" i="64" s="1"/>
  <c r="I106" i="43"/>
  <c r="H55" i="44"/>
  <c r="H91" i="44" s="1"/>
  <c r="H101" i="44" s="1"/>
  <c r="K1357" i="210"/>
  <c r="K1360" i="210"/>
  <c r="K3411" i="209"/>
  <c r="K3416" i="209" s="1"/>
  <c r="I103" i="196" s="1"/>
  <c r="O1345" i="210"/>
  <c r="D1391" i="210"/>
  <c r="G3238" i="209"/>
  <c r="D3249" i="209"/>
  <c r="D3289" i="209" s="1"/>
  <c r="D3293" i="209" s="1"/>
  <c r="F44" i="196"/>
  <c r="C158" i="196"/>
  <c r="F158" i="196" s="1"/>
  <c r="J99" i="43"/>
  <c r="J104" i="43" s="1"/>
  <c r="I3411" i="209"/>
  <c r="O3302" i="209"/>
  <c r="G3447" i="209"/>
  <c r="D3444" i="209"/>
  <c r="G3438" i="209"/>
  <c r="I1360" i="210"/>
  <c r="O1352" i="210"/>
  <c r="I1357" i="210"/>
  <c r="D1403" i="210"/>
  <c r="G1398" i="210"/>
  <c r="D1406" i="210"/>
  <c r="G1406" i="210" s="1"/>
  <c r="I3304" i="209"/>
  <c r="H45" i="196"/>
  <c r="K72" i="43"/>
  <c r="K86" i="43" s="1"/>
  <c r="I3497" i="209"/>
  <c r="O3397" i="209"/>
  <c r="J36" i="43"/>
  <c r="J55" i="43" s="1"/>
  <c r="J92" i="43" s="1"/>
  <c r="J96" i="43" s="1"/>
  <c r="I3344" i="209"/>
  <c r="O3249" i="209"/>
  <c r="O3289" i="209" s="1"/>
  <c r="O3293" i="209" s="1"/>
  <c r="K25" i="43"/>
  <c r="I3447" i="209"/>
  <c r="D3611" i="209"/>
  <c r="G3511" i="209"/>
  <c r="K3497" i="209"/>
  <c r="K71" i="44"/>
  <c r="K85" i="44" s="1"/>
  <c r="O2291" i="209"/>
  <c r="G2350" i="209"/>
  <c r="K89" i="43"/>
  <c r="K90" i="43" s="1"/>
  <c r="I3514" i="209"/>
  <c r="O3401" i="209"/>
  <c r="I158" i="196"/>
  <c r="M158" i="196" s="1"/>
  <c r="F75" i="207"/>
  <c r="F76" i="207" s="1"/>
  <c r="F77" i="207" s="1"/>
  <c r="F78" i="207" s="1"/>
  <c r="F99" i="207" s="1"/>
  <c r="K16" i="43"/>
  <c r="K22" i="43" s="1"/>
  <c r="O3330" i="209"/>
  <c r="I3438" i="209"/>
  <c r="G3416" i="209"/>
  <c r="D3525" i="209"/>
  <c r="G3515" i="209"/>
  <c r="D3628" i="209"/>
  <c r="K88" i="44"/>
  <c r="K89" i="44" s="1"/>
  <c r="O3304" i="209" l="1"/>
  <c r="E22" i="64"/>
  <c r="E28" i="64"/>
  <c r="E32" i="64" s="1"/>
  <c r="J106" i="43"/>
  <c r="G3525" i="209"/>
  <c r="D3530" i="209"/>
  <c r="C104" i="196" s="1"/>
  <c r="F104" i="196" s="1"/>
  <c r="I3515" i="209"/>
  <c r="O3514" i="209"/>
  <c r="O3411" i="209"/>
  <c r="I3416" i="209"/>
  <c r="H103" i="196" s="1"/>
  <c r="M103" i="196" s="1"/>
  <c r="G1391" i="210"/>
  <c r="I1391" i="210"/>
  <c r="I38" i="68"/>
  <c r="F39" i="154"/>
  <c r="G39" i="154" s="1"/>
  <c r="K39" i="154" s="1"/>
  <c r="K46" i="154" s="1"/>
  <c r="K52" i="154" s="1"/>
  <c r="D46" i="154"/>
  <c r="F46" i="154" s="1"/>
  <c r="G46" i="154" s="1"/>
  <c r="I3444" i="209"/>
  <c r="O3438" i="209"/>
  <c r="O3447" i="209"/>
  <c r="F35" i="201"/>
  <c r="I3511" i="209"/>
  <c r="O3497" i="209"/>
  <c r="D3561" i="209"/>
  <c r="K25" i="44"/>
  <c r="D2405" i="209"/>
  <c r="O2350" i="209"/>
  <c r="K1398" i="210"/>
  <c r="D1444" i="210"/>
  <c r="G1403" i="210"/>
  <c r="G3444" i="209"/>
  <c r="D3552" i="209"/>
  <c r="K16" i="44"/>
  <c r="K22" i="44" s="1"/>
  <c r="K3511" i="209"/>
  <c r="K1361" i="210"/>
  <c r="K3344" i="209" s="1"/>
  <c r="O3344" i="209" s="1"/>
  <c r="G3628" i="209"/>
  <c r="D3629" i="209"/>
  <c r="F80" i="207"/>
  <c r="F98" i="207"/>
  <c r="F103" i="207" s="1"/>
  <c r="F105" i="207" s="1"/>
  <c r="I3363" i="209"/>
  <c r="I3403" i="209" s="1"/>
  <c r="I3407" i="209" s="1"/>
  <c r="O1357" i="210"/>
  <c r="I1398" i="210"/>
  <c r="D3304" i="209"/>
  <c r="C45" i="196"/>
  <c r="D1407" i="210"/>
  <c r="G1407" i="210" s="1"/>
  <c r="G1408" i="210" s="1"/>
  <c r="D3625" i="209"/>
  <c r="G3611" i="209"/>
  <c r="H159" i="196"/>
  <c r="M159" i="196" s="1"/>
  <c r="M45" i="196"/>
  <c r="O1360" i="210"/>
  <c r="D3352" i="209"/>
  <c r="I44" i="44"/>
  <c r="I55" i="44" s="1"/>
  <c r="I91" i="44" s="1"/>
  <c r="I101" i="44" s="1"/>
  <c r="G3249" i="209"/>
  <c r="G3289" i="209" s="1"/>
  <c r="G3293" i="209" s="1"/>
  <c r="G3304" i="209" s="1"/>
  <c r="I1361" i="210"/>
  <c r="O1361" i="210" s="1"/>
  <c r="O1362" i="210" l="1"/>
  <c r="I1408" i="210" s="1"/>
  <c r="D1454" i="210"/>
  <c r="K1408" i="210"/>
  <c r="D1452" i="210"/>
  <c r="G1452" i="210" s="1"/>
  <c r="G1444" i="210"/>
  <c r="D1449" i="210"/>
  <c r="G3352" i="209"/>
  <c r="D3363" i="209"/>
  <c r="D3403" i="209" s="1"/>
  <c r="D3407" i="209" s="1"/>
  <c r="F45" i="196"/>
  <c r="C159" i="196"/>
  <c r="F159" i="196" s="1"/>
  <c r="I2405" i="209"/>
  <c r="G2405" i="209"/>
  <c r="D2464" i="209"/>
  <c r="I2464" i="209" s="1"/>
  <c r="K99" i="43"/>
  <c r="K104" i="43" s="1"/>
  <c r="I3525" i="209"/>
  <c r="O3416" i="209"/>
  <c r="G3561" i="209"/>
  <c r="L25" i="43"/>
  <c r="I3561" i="209"/>
  <c r="I1403" i="210"/>
  <c r="O1398" i="210"/>
  <c r="I1406" i="210"/>
  <c r="I1407" i="210" s="1"/>
  <c r="D3558" i="209"/>
  <c r="G3552" i="209"/>
  <c r="L72" i="43"/>
  <c r="L86" i="43" s="1"/>
  <c r="I3611" i="209"/>
  <c r="O3511" i="209"/>
  <c r="D3725" i="209"/>
  <c r="K3611" i="209"/>
  <c r="G3625" i="209"/>
  <c r="L71" i="44"/>
  <c r="L85" i="44" s="1"/>
  <c r="D3742" i="209"/>
  <c r="G3629" i="209"/>
  <c r="L88" i="44"/>
  <c r="L89" i="44" s="1"/>
  <c r="L16" i="43"/>
  <c r="L22" i="43" s="1"/>
  <c r="I3552" i="209"/>
  <c r="O3444" i="209"/>
  <c r="L89" i="43"/>
  <c r="L90" i="43" s="1"/>
  <c r="I3628" i="209"/>
  <c r="O3515" i="209"/>
  <c r="I3418" i="209"/>
  <c r="H46" i="196"/>
  <c r="K36" i="43"/>
  <c r="K55" i="43" s="1"/>
  <c r="K92" i="43" s="1"/>
  <c r="K96" i="43" s="1"/>
  <c r="I3458" i="209"/>
  <c r="O3363" i="209"/>
  <c r="O3403" i="209" s="1"/>
  <c r="O3407" i="209" s="1"/>
  <c r="F120" i="207"/>
  <c r="F106" i="207"/>
  <c r="K3363" i="209"/>
  <c r="K3403" i="209" s="1"/>
  <c r="K3407" i="209" s="1"/>
  <c r="K1406" i="210"/>
  <c r="K1403" i="210"/>
  <c r="K3525" i="209"/>
  <c r="K3530" i="209" s="1"/>
  <c r="I104" i="196" s="1"/>
  <c r="D1437" i="210"/>
  <c r="O1391" i="210"/>
  <c r="G3530" i="209"/>
  <c r="D3639" i="209"/>
  <c r="I3477" i="209" l="1"/>
  <c r="I3517" i="209" s="1"/>
  <c r="I3521" i="209" s="1"/>
  <c r="I3558" i="209"/>
  <c r="O3552" i="209"/>
  <c r="O1406" i="210"/>
  <c r="K3625" i="209"/>
  <c r="I1444" i="210"/>
  <c r="O1403" i="210"/>
  <c r="I3530" i="209"/>
  <c r="H104" i="196" s="1"/>
  <c r="M104" i="196" s="1"/>
  <c r="O3525" i="209"/>
  <c r="D3418" i="209"/>
  <c r="C46" i="196"/>
  <c r="I1437" i="210"/>
  <c r="G1437" i="210"/>
  <c r="I3629" i="209"/>
  <c r="O3628" i="209"/>
  <c r="D3739" i="209"/>
  <c r="G3725" i="209"/>
  <c r="K106" i="43"/>
  <c r="D3466" i="209"/>
  <c r="J44" i="44"/>
  <c r="J55" i="44" s="1"/>
  <c r="J91" i="44" s="1"/>
  <c r="J101" i="44" s="1"/>
  <c r="G3363" i="209"/>
  <c r="G3403" i="209" s="1"/>
  <c r="G3407" i="209" s="1"/>
  <c r="G3418" i="209" s="1"/>
  <c r="K3418" i="209"/>
  <c r="I46" i="196"/>
  <c r="M46" i="196" s="1"/>
  <c r="I3625" i="209"/>
  <c r="O3611" i="209"/>
  <c r="O3561" i="209"/>
  <c r="D3644" i="209"/>
  <c r="C105" i="196" s="1"/>
  <c r="F105" i="196" s="1"/>
  <c r="G3639" i="209"/>
  <c r="F110" i="207"/>
  <c r="F111" i="207" s="1"/>
  <c r="F112" i="207" s="1"/>
  <c r="F113" i="207" s="1"/>
  <c r="F119" i="207" s="1"/>
  <c r="H160" i="196"/>
  <c r="G2464" i="209"/>
  <c r="O2405" i="209"/>
  <c r="K1407" i="210"/>
  <c r="K3458" i="209" s="1"/>
  <c r="D1490" i="210"/>
  <c r="G1449" i="210"/>
  <c r="K1444" i="210"/>
  <c r="O3418" i="209"/>
  <c r="G3742" i="209"/>
  <c r="D3743" i="209"/>
  <c r="G3558" i="209"/>
  <c r="D3666" i="209"/>
  <c r="L16" i="44"/>
  <c r="L22" i="44" s="1"/>
  <c r="D3675" i="209"/>
  <c r="L25" i="44"/>
  <c r="D1453" i="210"/>
  <c r="G1453" i="210" s="1"/>
  <c r="G1454" i="210" s="1"/>
  <c r="D1500" i="210" l="1"/>
  <c r="K1454" i="210"/>
  <c r="M25" i="43"/>
  <c r="I3675" i="209"/>
  <c r="G3466" i="209"/>
  <c r="D3477" i="209"/>
  <c r="D3517" i="209" s="1"/>
  <c r="D3521" i="209" s="1"/>
  <c r="C160" i="196"/>
  <c r="F160" i="196" s="1"/>
  <c r="F46" i="196"/>
  <c r="G3675" i="209"/>
  <c r="M72" i="43"/>
  <c r="M86" i="43" s="1"/>
  <c r="I3725" i="209"/>
  <c r="O3625" i="209"/>
  <c r="K1449" i="210"/>
  <c r="K1452" i="210"/>
  <c r="K1453" i="210" s="1"/>
  <c r="K3572" i="209" s="1"/>
  <c r="K3591" i="209" s="1"/>
  <c r="K3631" i="209" s="1"/>
  <c r="K3635" i="209" s="1"/>
  <c r="K3639" i="209"/>
  <c r="K3644" i="209" s="1"/>
  <c r="I105" i="196" s="1"/>
  <c r="O1407" i="210"/>
  <c r="O1408" i="210" s="1"/>
  <c r="I1454" i="210" s="1"/>
  <c r="D3839" i="209"/>
  <c r="G3739" i="209"/>
  <c r="K3725" i="209"/>
  <c r="M71" i="44"/>
  <c r="M85" i="44" s="1"/>
  <c r="L99" i="43"/>
  <c r="L104" i="43" s="1"/>
  <c r="I3639" i="209"/>
  <c r="O3530" i="209"/>
  <c r="K3477" i="209"/>
  <c r="K3517" i="209" s="1"/>
  <c r="K3521" i="209" s="1"/>
  <c r="D1483" i="210"/>
  <c r="O1437" i="210"/>
  <c r="M16" i="43"/>
  <c r="M22" i="43" s="1"/>
  <c r="I3666" i="209"/>
  <c r="O3558" i="209"/>
  <c r="D3672" i="209"/>
  <c r="G3666" i="209"/>
  <c r="D1495" i="210"/>
  <c r="D1498" i="210"/>
  <c r="G1498" i="210" s="1"/>
  <c r="G1490" i="210"/>
  <c r="D3753" i="209"/>
  <c r="G3644" i="209"/>
  <c r="I1452" i="210"/>
  <c r="I1449" i="210"/>
  <c r="O1444" i="210"/>
  <c r="F115" i="207"/>
  <c r="F118" i="207"/>
  <c r="F123" i="207" s="1"/>
  <c r="F125" i="207" s="1"/>
  <c r="F126" i="207" s="1"/>
  <c r="D2519" i="209"/>
  <c r="O2464" i="209"/>
  <c r="I3532" i="209"/>
  <c r="H47" i="196"/>
  <c r="I160" i="196"/>
  <c r="M160" i="196" s="1"/>
  <c r="D3856" i="209"/>
  <c r="G3743" i="209"/>
  <c r="M88" i="44"/>
  <c r="M89" i="44" s="1"/>
  <c r="M89" i="43"/>
  <c r="M90" i="43" s="1"/>
  <c r="O3629" i="209"/>
  <c r="I3742" i="209"/>
  <c r="O3458" i="209"/>
  <c r="I1453" i="210" l="1"/>
  <c r="O1453" i="210"/>
  <c r="O1452" i="210"/>
  <c r="O1454" i="210" s="1"/>
  <c r="I1500" i="210" s="1"/>
  <c r="D3532" i="209"/>
  <c r="C47" i="196"/>
  <c r="D3857" i="209"/>
  <c r="G3856" i="209"/>
  <c r="F130" i="207"/>
  <c r="F131" i="207" s="1"/>
  <c r="D3758" i="209"/>
  <c r="C106" i="196" s="1"/>
  <c r="F106" i="196" s="1"/>
  <c r="G3753" i="209"/>
  <c r="D1499" i="210"/>
  <c r="G1499" i="210" s="1"/>
  <c r="G1500" i="210" s="1"/>
  <c r="G3839" i="209"/>
  <c r="D3853" i="209"/>
  <c r="O3725" i="209"/>
  <c r="I3739" i="209"/>
  <c r="D3580" i="209"/>
  <c r="K44" i="44"/>
  <c r="K55" i="44" s="1"/>
  <c r="K91" i="44" s="1"/>
  <c r="K101" i="44" s="1"/>
  <c r="G3477" i="209"/>
  <c r="G3517" i="209" s="1"/>
  <c r="G3521" i="209" s="1"/>
  <c r="G3532" i="209" s="1"/>
  <c r="I3672" i="209"/>
  <c r="O3666" i="209"/>
  <c r="I3644" i="209"/>
  <c r="H105" i="196" s="1"/>
  <c r="M105" i="196" s="1"/>
  <c r="O3639" i="209"/>
  <c r="D1536" i="210"/>
  <c r="K1490" i="210"/>
  <c r="G1495" i="210"/>
  <c r="K3532" i="209"/>
  <c r="I47" i="196"/>
  <c r="I161" i="196" s="1"/>
  <c r="D3789" i="209"/>
  <c r="M25" i="44"/>
  <c r="O3675" i="209"/>
  <c r="I1490" i="210"/>
  <c r="O1449" i="210"/>
  <c r="K3646" i="209"/>
  <c r="I48" i="196"/>
  <c r="I162" i="196" s="1"/>
  <c r="O3742" i="209"/>
  <c r="I3743" i="209"/>
  <c r="D2578" i="209"/>
  <c r="I2578" i="209" s="1"/>
  <c r="I2519" i="209"/>
  <c r="G2519" i="209"/>
  <c r="H161" i="196"/>
  <c r="D3780" i="209"/>
  <c r="G3672" i="209"/>
  <c r="M16" i="44"/>
  <c r="M22" i="44" s="1"/>
  <c r="L36" i="43"/>
  <c r="L55" i="43" s="1"/>
  <c r="L92" i="43" s="1"/>
  <c r="L96" i="43" s="1"/>
  <c r="L106" i="43" s="1"/>
  <c r="I3572" i="209"/>
  <c r="O3477" i="209"/>
  <c r="O3517" i="209" s="1"/>
  <c r="O3521" i="209" s="1"/>
  <c r="O3532" i="209" s="1"/>
  <c r="G1483" i="210"/>
  <c r="I1483" i="210"/>
  <c r="K3739" i="209"/>
  <c r="M47" i="196" l="1"/>
  <c r="M161" i="196"/>
  <c r="D1546" i="210"/>
  <c r="K1500" i="210"/>
  <c r="N89" i="43"/>
  <c r="N90" i="43" s="1"/>
  <c r="I3856" i="209"/>
  <c r="O3743" i="209"/>
  <c r="K1498" i="210"/>
  <c r="K1495" i="210"/>
  <c r="K3753" i="209"/>
  <c r="K3758" i="209" s="1"/>
  <c r="I106" i="196" s="1"/>
  <c r="D3953" i="209"/>
  <c r="G3853" i="209"/>
  <c r="K3839" i="209"/>
  <c r="N71" i="44"/>
  <c r="N85" i="44" s="1"/>
  <c r="D1541" i="210"/>
  <c r="D1544" i="210"/>
  <c r="G1544" i="210" s="1"/>
  <c r="G1536" i="210"/>
  <c r="G3758" i="209"/>
  <c r="D3867" i="209"/>
  <c r="D3970" i="209"/>
  <c r="G3857" i="209"/>
  <c r="N88" i="44"/>
  <c r="N89" i="44" s="1"/>
  <c r="O2519" i="209"/>
  <c r="G2578" i="209"/>
  <c r="O3572" i="209"/>
  <c r="I3591" i="209"/>
  <c r="I3631" i="209" s="1"/>
  <c r="I3635" i="209" s="1"/>
  <c r="G3580" i="209"/>
  <c r="D3591" i="209"/>
  <c r="D3631" i="209" s="1"/>
  <c r="D3635" i="209" s="1"/>
  <c r="G3789" i="209"/>
  <c r="M99" i="43"/>
  <c r="M104" i="43" s="1"/>
  <c r="I3753" i="209"/>
  <c r="O3644" i="209"/>
  <c r="O1490" i="210"/>
  <c r="I1495" i="210"/>
  <c r="I1498" i="210"/>
  <c r="O1498" i="210" s="1"/>
  <c r="N16" i="43"/>
  <c r="N22" i="43" s="1"/>
  <c r="O3672" i="209"/>
  <c r="I3780" i="209"/>
  <c r="F47" i="196"/>
  <c r="C161" i="196"/>
  <c r="F161" i="196" s="1"/>
  <c r="D1529" i="210"/>
  <c r="O1483" i="210"/>
  <c r="D3786" i="209"/>
  <c r="G3780" i="209"/>
  <c r="N25" i="43"/>
  <c r="I3789" i="209"/>
  <c r="N72" i="43"/>
  <c r="N86" i="43" s="1"/>
  <c r="O3739" i="209"/>
  <c r="I3839" i="209"/>
  <c r="F132" i="207"/>
  <c r="F133" i="207" s="1"/>
  <c r="F135" i="207" s="1"/>
  <c r="I1499" i="210" l="1"/>
  <c r="I3786" i="209"/>
  <c r="O3780" i="209"/>
  <c r="D3646" i="209"/>
  <c r="C48" i="196"/>
  <c r="D3694" i="209"/>
  <c r="L44" i="44"/>
  <c r="L55" i="44" s="1"/>
  <c r="L91" i="44" s="1"/>
  <c r="L101" i="44" s="1"/>
  <c r="G3591" i="209"/>
  <c r="G3631" i="209" s="1"/>
  <c r="G3635" i="209" s="1"/>
  <c r="G3646" i="209" s="1"/>
  <c r="K3853" i="209"/>
  <c r="O3856" i="209"/>
  <c r="I3857" i="209"/>
  <c r="O3753" i="209"/>
  <c r="I3758" i="209"/>
  <c r="H106" i="196" s="1"/>
  <c r="M106" i="196" s="1"/>
  <c r="G1529" i="210"/>
  <c r="I1529" i="210"/>
  <c r="G3867" i="209"/>
  <c r="D3872" i="209"/>
  <c r="C107" i="196" s="1"/>
  <c r="F107" i="196" s="1"/>
  <c r="I1536" i="210"/>
  <c r="O1495" i="210"/>
  <c r="G3970" i="209"/>
  <c r="D3971" i="209"/>
  <c r="G3953" i="209"/>
  <c r="D3967" i="209"/>
  <c r="I3853" i="209"/>
  <c r="O3839" i="209"/>
  <c r="D3894" i="209"/>
  <c r="G3786" i="209"/>
  <c r="N16" i="44"/>
  <c r="N22" i="44" s="1"/>
  <c r="D3903" i="209"/>
  <c r="N25" i="44"/>
  <c r="I3646" i="209"/>
  <c r="H48" i="196"/>
  <c r="O3789" i="209"/>
  <c r="M36" i="43"/>
  <c r="M55" i="43" s="1"/>
  <c r="M92" i="43" s="1"/>
  <c r="M96" i="43" s="1"/>
  <c r="M106" i="43" s="1"/>
  <c r="I3686" i="209"/>
  <c r="O3591" i="209"/>
  <c r="O3631" i="209" s="1"/>
  <c r="O3635" i="209" s="1"/>
  <c r="O3646" i="209" s="1"/>
  <c r="D1582" i="210"/>
  <c r="G1541" i="210"/>
  <c r="K1536" i="210"/>
  <c r="K1499" i="210"/>
  <c r="K3686" i="209" s="1"/>
  <c r="D2633" i="209"/>
  <c r="O2578" i="209"/>
  <c r="D1545" i="210"/>
  <c r="G1545" i="210" s="1"/>
  <c r="G1546" i="210" s="1"/>
  <c r="D1592" i="210" l="1"/>
  <c r="K1546" i="210"/>
  <c r="K1544" i="210"/>
  <c r="K1541" i="210"/>
  <c r="K3867" i="209"/>
  <c r="K3872" i="209" s="1"/>
  <c r="I107" i="196" s="1"/>
  <c r="G3872" i="209"/>
  <c r="D3981" i="209"/>
  <c r="O89" i="43"/>
  <c r="O90" i="43" s="1"/>
  <c r="I3970" i="209"/>
  <c r="O3857" i="209"/>
  <c r="G3694" i="209"/>
  <c r="D3705" i="209"/>
  <c r="D3745" i="209" s="1"/>
  <c r="D3749" i="209" s="1"/>
  <c r="G3903" i="209"/>
  <c r="D3900" i="209"/>
  <c r="G3894" i="209"/>
  <c r="D4067" i="209"/>
  <c r="G3967" i="209"/>
  <c r="K3953" i="209"/>
  <c r="O71" i="44"/>
  <c r="O85" i="44" s="1"/>
  <c r="C162" i="196"/>
  <c r="F162" i="196" s="1"/>
  <c r="F48" i="196"/>
  <c r="D1590" i="210"/>
  <c r="G1590" i="210" s="1"/>
  <c r="D1587" i="210"/>
  <c r="G1582" i="210"/>
  <c r="O72" i="43"/>
  <c r="O86" i="43" s="1"/>
  <c r="O3853" i="209"/>
  <c r="I3953" i="209"/>
  <c r="O25" i="43"/>
  <c r="I3903" i="209"/>
  <c r="G3971" i="209"/>
  <c r="D4084" i="209"/>
  <c r="O88" i="44"/>
  <c r="O89" i="44" s="1"/>
  <c r="O1529" i="210"/>
  <c r="D1575" i="210"/>
  <c r="O1499" i="210"/>
  <c r="O1500" i="210" s="1"/>
  <c r="I1546" i="210" s="1"/>
  <c r="O16" i="43"/>
  <c r="O22" i="43" s="1"/>
  <c r="I3894" i="209"/>
  <c r="O3786" i="209"/>
  <c r="K3705" i="209"/>
  <c r="K3745" i="209" s="1"/>
  <c r="K3749" i="209" s="1"/>
  <c r="H162" i="196"/>
  <c r="M162" i="196" s="1"/>
  <c r="M48" i="196"/>
  <c r="O1536" i="210"/>
  <c r="I1544" i="210"/>
  <c r="O1544" i="210" s="1"/>
  <c r="I1541" i="210"/>
  <c r="N99" i="43"/>
  <c r="N104" i="43" s="1"/>
  <c r="O3758" i="209"/>
  <c r="I3867" i="209"/>
  <c r="O3686" i="209"/>
  <c r="I3705" i="209"/>
  <c r="I3745" i="209" s="1"/>
  <c r="I3749" i="209" s="1"/>
  <c r="D2692" i="209"/>
  <c r="I2692" i="209" s="1"/>
  <c r="I2633" i="209"/>
  <c r="G2633" i="209"/>
  <c r="I1545" i="210" l="1"/>
  <c r="O1541" i="210"/>
  <c r="I1582" i="210"/>
  <c r="G1587" i="210"/>
  <c r="K1582" i="210"/>
  <c r="D1628" i="210"/>
  <c r="K3967" i="209"/>
  <c r="D3808" i="209"/>
  <c r="M44" i="44"/>
  <c r="M55" i="44" s="1"/>
  <c r="M91" i="44" s="1"/>
  <c r="M101" i="44" s="1"/>
  <c r="G3705" i="209"/>
  <c r="G3745" i="209" s="1"/>
  <c r="G3749" i="209" s="1"/>
  <c r="G3760" i="209" s="1"/>
  <c r="G4084" i="209"/>
  <c r="D4085" i="209"/>
  <c r="I3872" i="209"/>
  <c r="H107" i="196" s="1"/>
  <c r="M107" i="196" s="1"/>
  <c r="O3867" i="209"/>
  <c r="I3967" i="209"/>
  <c r="O3953" i="209"/>
  <c r="G4067" i="209"/>
  <c r="D4081" i="209"/>
  <c r="K3760" i="209"/>
  <c r="I49" i="196"/>
  <c r="I163" i="196" s="1"/>
  <c r="N126" i="195"/>
  <c r="Q126" i="195" s="1"/>
  <c r="R126" i="195" s="1"/>
  <c r="N105" i="195"/>
  <c r="Q105" i="195" s="1"/>
  <c r="R105" i="195" s="1"/>
  <c r="N101" i="195"/>
  <c r="Q101" i="195" s="1"/>
  <c r="R101" i="195" s="1"/>
  <c r="N96" i="195"/>
  <c r="Q96" i="195" s="1"/>
  <c r="N84" i="195"/>
  <c r="Q84" i="195" s="1"/>
  <c r="R84" i="195" s="1"/>
  <c r="N76" i="195"/>
  <c r="Q76" i="195" s="1"/>
  <c r="R76" i="195" s="1"/>
  <c r="N67" i="195"/>
  <c r="N128" i="195"/>
  <c r="Q128" i="195" s="1"/>
  <c r="R128" i="195" s="1"/>
  <c r="N98" i="195"/>
  <c r="Q98" i="195" s="1"/>
  <c r="N90" i="195"/>
  <c r="Q90" i="195" s="1"/>
  <c r="N86" i="195"/>
  <c r="Q86" i="195" s="1"/>
  <c r="R86" i="195" s="1"/>
  <c r="N82" i="195"/>
  <c r="Q82" i="195" s="1"/>
  <c r="R82" i="195" s="1"/>
  <c r="N78" i="195"/>
  <c r="Q78" i="195" s="1"/>
  <c r="R78" i="195" s="1"/>
  <c r="N74" i="195"/>
  <c r="Q74" i="195" s="1"/>
  <c r="R74" i="195" s="1"/>
  <c r="N73" i="195"/>
  <c r="Q73" i="195" s="1"/>
  <c r="R73" i="195" s="1"/>
  <c r="N85" i="195"/>
  <c r="Q85" i="195" s="1"/>
  <c r="R85" i="195" s="1"/>
  <c r="N77" i="195"/>
  <c r="Q77" i="195" s="1"/>
  <c r="R77" i="195" s="1"/>
  <c r="N71" i="195"/>
  <c r="Q71" i="195" s="1"/>
  <c r="N99" i="195"/>
  <c r="Q99" i="195" s="1"/>
  <c r="R99" i="195" s="1"/>
  <c r="N125" i="195"/>
  <c r="Q125" i="195" s="1"/>
  <c r="N106" i="195"/>
  <c r="Q106" i="195" s="1"/>
  <c r="R106" i="195" s="1"/>
  <c r="N83" i="195"/>
  <c r="Q83" i="195" s="1"/>
  <c r="R83" i="195" s="1"/>
  <c r="N75" i="195"/>
  <c r="Q75" i="195" s="1"/>
  <c r="R75" i="195" s="1"/>
  <c r="D4008" i="209"/>
  <c r="G3900" i="209"/>
  <c r="O16" i="44"/>
  <c r="O22" i="44" s="1"/>
  <c r="D3760" i="209"/>
  <c r="C49" i="196"/>
  <c r="I1575" i="210"/>
  <c r="G1575" i="210"/>
  <c r="O3903" i="209"/>
  <c r="O3970" i="209"/>
  <c r="I3971" i="209"/>
  <c r="O2633" i="209"/>
  <c r="G2692" i="209"/>
  <c r="N36" i="43"/>
  <c r="N55" i="43" s="1"/>
  <c r="N92" i="43" s="1"/>
  <c r="N96" i="43" s="1"/>
  <c r="N106" i="43" s="1"/>
  <c r="I3800" i="209"/>
  <c r="O3705" i="209"/>
  <c r="O3745" i="209" s="1"/>
  <c r="O3749" i="209" s="1"/>
  <c r="O3760" i="209" s="1"/>
  <c r="D4017" i="209"/>
  <c r="O25" i="44"/>
  <c r="K1545" i="210"/>
  <c r="K3800" i="209" s="1"/>
  <c r="I3760" i="209"/>
  <c r="H49" i="196"/>
  <c r="I3900" i="209"/>
  <c r="O3894" i="209"/>
  <c r="G3981" i="209"/>
  <c r="D3986" i="209"/>
  <c r="C108" i="196" s="1"/>
  <c r="F108" i="196" s="1"/>
  <c r="D1591" i="210"/>
  <c r="G1591" i="210" s="1"/>
  <c r="G1592" i="210" s="1"/>
  <c r="D1638" i="210" l="1"/>
  <c r="K1592" i="210"/>
  <c r="O3800" i="209"/>
  <c r="I3819" i="209"/>
  <c r="I3859" i="209" s="1"/>
  <c r="I3863" i="209" s="1"/>
  <c r="N127" i="195"/>
  <c r="Q127" i="195" s="1"/>
  <c r="R127" i="195" s="1"/>
  <c r="C163" i="196"/>
  <c r="F163" i="196" s="1"/>
  <c r="F49" i="196"/>
  <c r="G4085" i="209"/>
  <c r="P88" i="44"/>
  <c r="O25" i="69"/>
  <c r="Q25" i="69" s="1"/>
  <c r="D27" i="222" s="1"/>
  <c r="F27" i="222" s="1"/>
  <c r="R71" i="195"/>
  <c r="O28" i="69"/>
  <c r="Q28" i="69" s="1"/>
  <c r="D33" i="222" s="1"/>
  <c r="F33" i="222" s="1"/>
  <c r="R98" i="195"/>
  <c r="P72" i="43"/>
  <c r="P86" i="43" s="1"/>
  <c r="I4067" i="209"/>
  <c r="O3967" i="209"/>
  <c r="G4081" i="209"/>
  <c r="G22" i="120" s="1"/>
  <c r="K4067" i="209"/>
  <c r="P71" i="44"/>
  <c r="H163" i="196"/>
  <c r="M163" i="196" s="1"/>
  <c r="M49" i="196"/>
  <c r="O1545" i="210"/>
  <c r="O1546" i="210" s="1"/>
  <c r="I1592" i="210" s="1"/>
  <c r="K1590" i="210"/>
  <c r="K1587" i="210"/>
  <c r="K3981" i="209"/>
  <c r="K3986" i="209" s="1"/>
  <c r="I108" i="196" s="1"/>
  <c r="D4095" i="209"/>
  <c r="G3986" i="209"/>
  <c r="K3819" i="209"/>
  <c r="K3859" i="209" s="1"/>
  <c r="K3863" i="209" s="1"/>
  <c r="D2747" i="209"/>
  <c r="O2692" i="209"/>
  <c r="P25" i="43"/>
  <c r="I4017" i="209"/>
  <c r="G3808" i="209"/>
  <c r="D3819" i="209"/>
  <c r="D3859" i="209" s="1"/>
  <c r="D3863" i="209" s="1"/>
  <c r="P16" i="43"/>
  <c r="P22" i="43" s="1"/>
  <c r="O3900" i="209"/>
  <c r="I4008" i="209"/>
  <c r="G4017" i="209"/>
  <c r="O1575" i="210"/>
  <c r="D1621" i="210"/>
  <c r="R125" i="195"/>
  <c r="O26" i="69"/>
  <c r="Q26" i="69" s="1"/>
  <c r="D29" i="222" s="1"/>
  <c r="F29" i="222" s="1"/>
  <c r="R90" i="195"/>
  <c r="D4014" i="209"/>
  <c r="G4008" i="209"/>
  <c r="O27" i="69"/>
  <c r="Q27" i="69" s="1"/>
  <c r="D31" i="222" s="1"/>
  <c r="F31" i="222" s="1"/>
  <c r="R96" i="195"/>
  <c r="O99" i="43"/>
  <c r="O104" i="43" s="1"/>
  <c r="I3981" i="209"/>
  <c r="O3872" i="209"/>
  <c r="O1582" i="210"/>
  <c r="I1590" i="210"/>
  <c r="I1587" i="210"/>
  <c r="P89" i="43"/>
  <c r="P90" i="43" s="1"/>
  <c r="O3971" i="209"/>
  <c r="I4084" i="209"/>
  <c r="Q67" i="195"/>
  <c r="D1636" i="210"/>
  <c r="G1636" i="210" s="1"/>
  <c r="G1628" i="210"/>
  <c r="D1633" i="210"/>
  <c r="O1590" i="210" l="1"/>
  <c r="O23" i="69"/>
  <c r="R67" i="195"/>
  <c r="I3986" i="209"/>
  <c r="H108" i="196" s="1"/>
  <c r="M108" i="196" s="1"/>
  <c r="O3981" i="209"/>
  <c r="O4084" i="209"/>
  <c r="I4085" i="209"/>
  <c r="G1621" i="210"/>
  <c r="O1621" i="210" s="1"/>
  <c r="I1621" i="210"/>
  <c r="G2747" i="209"/>
  <c r="I2747" i="209"/>
  <c r="D2806" i="209"/>
  <c r="I2806" i="209" s="1"/>
  <c r="D3874" i="209"/>
  <c r="C50" i="196"/>
  <c r="D3922" i="209"/>
  <c r="N44" i="44"/>
  <c r="N55" i="44" s="1"/>
  <c r="N91" i="44" s="1"/>
  <c r="N101" i="44" s="1"/>
  <c r="G3819" i="209"/>
  <c r="G3859" i="209" s="1"/>
  <c r="G3863" i="209" s="1"/>
  <c r="G3874" i="209" s="1"/>
  <c r="I3874" i="209"/>
  <c r="H50" i="196"/>
  <c r="G4014" i="209"/>
  <c r="P16" i="44"/>
  <c r="K3874" i="209"/>
  <c r="I50" i="196"/>
  <c r="I164" i="196" s="1"/>
  <c r="I4081" i="209"/>
  <c r="O4067" i="209"/>
  <c r="O36" i="43"/>
  <c r="O55" i="43" s="1"/>
  <c r="O92" i="43" s="1"/>
  <c r="O96" i="43" s="1"/>
  <c r="O106" i="43" s="1"/>
  <c r="I3914" i="209"/>
  <c r="O3819" i="209"/>
  <c r="O3859" i="209" s="1"/>
  <c r="O3863" i="209" s="1"/>
  <c r="O3874" i="209" s="1"/>
  <c r="P25" i="44"/>
  <c r="G1633" i="210"/>
  <c r="K1628" i="210"/>
  <c r="O4017" i="209"/>
  <c r="I1591" i="210"/>
  <c r="D58" i="47"/>
  <c r="P85" i="44"/>
  <c r="Q71" i="44"/>
  <c r="K1591" i="210"/>
  <c r="K3914" i="209" s="1"/>
  <c r="I4014" i="209"/>
  <c r="O4008" i="209"/>
  <c r="O1587" i="210"/>
  <c r="I1628" i="210"/>
  <c r="D4100" i="209"/>
  <c r="C109" i="196" s="1"/>
  <c r="F109" i="196" s="1"/>
  <c r="G4095" i="209"/>
  <c r="G4100" i="209" s="1"/>
  <c r="K4081" i="209"/>
  <c r="D58" i="214"/>
  <c r="D75" i="47"/>
  <c r="P89" i="44"/>
  <c r="Q88" i="44"/>
  <c r="D1637" i="210"/>
  <c r="G1637" i="210" s="1"/>
  <c r="G1638" i="210" s="1"/>
  <c r="K1638" i="210" s="1"/>
  <c r="O3914" i="209" l="1"/>
  <c r="I3933" i="209"/>
  <c r="I3973" i="209" s="1"/>
  <c r="I3977" i="209" s="1"/>
  <c r="P22" i="44"/>
  <c r="D16" i="47"/>
  <c r="Q16" i="44"/>
  <c r="O2747" i="209"/>
  <c r="G2806" i="209"/>
  <c r="F80" i="48"/>
  <c r="F94" i="48" s="1"/>
  <c r="I75" i="130"/>
  <c r="I89" i="130" s="1"/>
  <c r="I58" i="47"/>
  <c r="I72" i="47" s="1"/>
  <c r="J28" i="46" s="1"/>
  <c r="Q85" i="44"/>
  <c r="C164" i="196"/>
  <c r="F164" i="196" s="1"/>
  <c r="F50" i="196"/>
  <c r="G19" i="45"/>
  <c r="F111" i="196"/>
  <c r="H19" i="45" s="1"/>
  <c r="P99" i="43"/>
  <c r="P104" i="43" s="1"/>
  <c r="I4095" i="209"/>
  <c r="O3986" i="209"/>
  <c r="F75" i="47"/>
  <c r="D76" i="47"/>
  <c r="I1636" i="210"/>
  <c r="O1628" i="210"/>
  <c r="O1633" i="210" s="1"/>
  <c r="I1633" i="210"/>
  <c r="D72" i="214"/>
  <c r="F58" i="214"/>
  <c r="F72" i="214" s="1"/>
  <c r="F58" i="47"/>
  <c r="D72" i="47"/>
  <c r="K1636" i="210"/>
  <c r="K1637" i="210" s="1"/>
  <c r="K4028" i="209" s="1"/>
  <c r="K1633" i="210"/>
  <c r="K4095" i="209"/>
  <c r="K4100" i="209" s="1"/>
  <c r="I109" i="196" s="1"/>
  <c r="I113" i="196" s="1"/>
  <c r="N102" i="195"/>
  <c r="O1591" i="210"/>
  <c r="O1592" i="210" s="1"/>
  <c r="I1638" i="210" s="1"/>
  <c r="Q72" i="43"/>
  <c r="O4081" i="209"/>
  <c r="K3933" i="209"/>
  <c r="K3973" i="209" s="1"/>
  <c r="K3977" i="209" s="1"/>
  <c r="G20" i="120"/>
  <c r="Q16" i="43"/>
  <c r="O4014" i="209"/>
  <c r="D25" i="47"/>
  <c r="Q25" i="44"/>
  <c r="F97" i="48"/>
  <c r="F98" i="48" s="1"/>
  <c r="I92" i="130"/>
  <c r="I93" i="130" s="1"/>
  <c r="Q89" i="44"/>
  <c r="Q25" i="43"/>
  <c r="H164" i="196"/>
  <c r="M164" i="196" s="1"/>
  <c r="M50" i="196"/>
  <c r="G3922" i="209"/>
  <c r="D3933" i="209"/>
  <c r="D3973" i="209" s="1"/>
  <c r="D3977" i="209" s="1"/>
  <c r="Q89" i="43"/>
  <c r="O4085" i="209"/>
  <c r="Q23" i="69"/>
  <c r="I1637" i="210" l="1"/>
  <c r="O1636" i="210"/>
  <c r="K4047" i="209"/>
  <c r="K4087" i="209" s="1"/>
  <c r="K4091" i="209" s="1"/>
  <c r="D36" i="214"/>
  <c r="F25" i="47"/>
  <c r="F72" i="47"/>
  <c r="H58" i="47"/>
  <c r="H72" i="47" s="1"/>
  <c r="E28" i="46" s="1"/>
  <c r="G28" i="46" s="1"/>
  <c r="I28" i="46" s="1"/>
  <c r="K3988" i="209"/>
  <c r="I51" i="196"/>
  <c r="I165" i="196" s="1"/>
  <c r="O4095" i="209"/>
  <c r="I4100" i="209"/>
  <c r="H109" i="196" s="1"/>
  <c r="M109" i="196" s="1"/>
  <c r="D23" i="222"/>
  <c r="G29" i="48"/>
  <c r="R25" i="43"/>
  <c r="N103" i="195"/>
  <c r="Q103" i="195" s="1"/>
  <c r="R103" i="195" s="1"/>
  <c r="F20" i="48"/>
  <c r="F26" i="48" s="1"/>
  <c r="I18" i="130"/>
  <c r="I24" i="130" s="1"/>
  <c r="I16" i="47"/>
  <c r="I22" i="47" s="1"/>
  <c r="Q22" i="44"/>
  <c r="F16" i="47"/>
  <c r="H16" i="47" s="1"/>
  <c r="H22" i="47" s="1"/>
  <c r="D22" i="47"/>
  <c r="Q90" i="43"/>
  <c r="G97" i="48"/>
  <c r="R89" i="43"/>
  <c r="G80" i="48"/>
  <c r="Q86" i="43"/>
  <c r="R72" i="43"/>
  <c r="Q102" i="195"/>
  <c r="D3988" i="209"/>
  <c r="C51" i="196"/>
  <c r="I3988" i="209"/>
  <c r="H51" i="196"/>
  <c r="D4036" i="209"/>
  <c r="O44" i="44"/>
  <c r="O55" i="44" s="1"/>
  <c r="O91" i="44" s="1"/>
  <c r="O101" i="44" s="1"/>
  <c r="G3933" i="209"/>
  <c r="G3973" i="209" s="1"/>
  <c r="G3977" i="209" s="1"/>
  <c r="G3988" i="209" s="1"/>
  <c r="O2806" i="209"/>
  <c r="D2861" i="209"/>
  <c r="P36" i="43"/>
  <c r="P55" i="43" s="1"/>
  <c r="P92" i="43" s="1"/>
  <c r="P96" i="43" s="1"/>
  <c r="P106" i="43" s="1"/>
  <c r="I4028" i="209"/>
  <c r="O3933" i="209"/>
  <c r="O3973" i="209" s="1"/>
  <c r="O3977" i="209" s="1"/>
  <c r="O3988" i="209" s="1"/>
  <c r="G20" i="48"/>
  <c r="Q22" i="43"/>
  <c r="R16" i="43"/>
  <c r="O1637" i="210"/>
  <c r="O1638" i="210" s="1"/>
  <c r="F29" i="48"/>
  <c r="I27" i="130"/>
  <c r="I25" i="47"/>
  <c r="H75" i="47"/>
  <c r="F76" i="47"/>
  <c r="N132" i="195" l="1"/>
  <c r="N143" i="195" s="1"/>
  <c r="N145" i="195" s="1"/>
  <c r="C165" i="196"/>
  <c r="F165" i="196" s="1"/>
  <c r="F51" i="196"/>
  <c r="I80" i="48"/>
  <c r="G94" i="48"/>
  <c r="I20" i="48"/>
  <c r="G26" i="48"/>
  <c r="I29" i="48"/>
  <c r="J18" i="46"/>
  <c r="G98" i="48"/>
  <c r="I97" i="48"/>
  <c r="R102" i="195"/>
  <c r="R132" i="195" s="1"/>
  <c r="O29" i="69"/>
  <c r="Q132" i="195"/>
  <c r="H25" i="47"/>
  <c r="I75" i="47"/>
  <c r="H76" i="47"/>
  <c r="E32" i="46"/>
  <c r="G32" i="46" s="1"/>
  <c r="L29" i="48"/>
  <c r="G4036" i="209"/>
  <c r="D4047" i="209"/>
  <c r="D4087" i="209" s="1"/>
  <c r="D4091" i="209" s="1"/>
  <c r="M51" i="196"/>
  <c r="H165" i="196"/>
  <c r="M165" i="196" s="1"/>
  <c r="F22" i="47"/>
  <c r="F37" i="201"/>
  <c r="F41" i="201" s="1"/>
  <c r="F23" i="222"/>
  <c r="R22" i="43"/>
  <c r="L20" i="48"/>
  <c r="L26" i="48" s="1"/>
  <c r="D2920" i="209"/>
  <c r="I2920" i="209" s="1"/>
  <c r="G2861" i="209"/>
  <c r="I2861" i="209"/>
  <c r="E18" i="46"/>
  <c r="G25" i="45"/>
  <c r="G27" i="45" s="1"/>
  <c r="G41" i="45" s="1"/>
  <c r="M111" i="196"/>
  <c r="H25" i="45" s="1"/>
  <c r="H27" i="45" s="1"/>
  <c r="H41" i="45" s="1"/>
  <c r="F36" i="214"/>
  <c r="F55" i="214" s="1"/>
  <c r="F78" i="214" s="1"/>
  <c r="D55" i="214"/>
  <c r="D78" i="214" s="1"/>
  <c r="R90" i="43"/>
  <c r="L97" i="48"/>
  <c r="L98" i="48" s="1"/>
  <c r="O4028" i="209"/>
  <c r="I4047" i="209"/>
  <c r="I4087" i="209" s="1"/>
  <c r="I4091" i="209" s="1"/>
  <c r="R86" i="43"/>
  <c r="L80" i="48"/>
  <c r="L94" i="48" s="1"/>
  <c r="Q99" i="43"/>
  <c r="O4100" i="209"/>
  <c r="K4102" i="209"/>
  <c r="I52" i="196"/>
  <c r="O2861" i="209" l="1"/>
  <c r="G2920" i="209"/>
  <c r="O2920" i="209" s="1"/>
  <c r="D2975" i="209"/>
  <c r="R92" i="78"/>
  <c r="R94" i="78" s="1"/>
  <c r="D25" i="155" s="1"/>
  <c r="F25" i="155" s="1"/>
  <c r="G25" i="155" s="1"/>
  <c r="K25" i="155" s="1"/>
  <c r="F43" i="201"/>
  <c r="Q104" i="43"/>
  <c r="R99" i="43"/>
  <c r="R104" i="43" s="1"/>
  <c r="G27" i="120"/>
  <c r="I32" i="46"/>
  <c r="K97" i="48"/>
  <c r="K98" i="48" s="1"/>
  <c r="I98" i="48"/>
  <c r="I26" i="48"/>
  <c r="K20" i="48"/>
  <c r="K26" i="48" s="1"/>
  <c r="J32" i="46"/>
  <c r="I76" i="47"/>
  <c r="I94" i="48"/>
  <c r="K80" i="48"/>
  <c r="K94" i="48" s="1"/>
  <c r="D4102" i="209"/>
  <c r="C52" i="196"/>
  <c r="Q36" i="43"/>
  <c r="O4047" i="209"/>
  <c r="O4087" i="209" s="1"/>
  <c r="O4091" i="209" s="1"/>
  <c r="O4102" i="209" s="1"/>
  <c r="G29" i="120" s="1"/>
  <c r="G18" i="46"/>
  <c r="P44" i="44"/>
  <c r="G4047" i="209"/>
  <c r="I4102" i="209"/>
  <c r="H52" i="196"/>
  <c r="I166" i="196"/>
  <c r="I170" i="196" s="1"/>
  <c r="I56" i="196"/>
  <c r="F13" i="203" s="1"/>
  <c r="F17" i="203" s="1"/>
  <c r="R98" i="78" s="1"/>
  <c r="R100" i="78" s="1"/>
  <c r="O134" i="195" s="1"/>
  <c r="Q29" i="69"/>
  <c r="K29" i="48"/>
  <c r="O141" i="195" l="1"/>
  <c r="O143" i="195" s="1"/>
  <c r="O145" i="195" s="1"/>
  <c r="Q134" i="195"/>
  <c r="D44" i="47"/>
  <c r="Q44" i="44"/>
  <c r="P55" i="44"/>
  <c r="P91" i="44" s="1"/>
  <c r="P101" i="44" s="1"/>
  <c r="I18" i="46"/>
  <c r="D35" i="222"/>
  <c r="M23" i="68"/>
  <c r="H166" i="196"/>
  <c r="M166" i="196" s="1"/>
  <c r="M52" i="196"/>
  <c r="M54" i="196" s="1"/>
  <c r="G40" i="48"/>
  <c r="R36" i="43"/>
  <c r="Q55" i="43"/>
  <c r="Q92" i="43" s="1"/>
  <c r="Q96" i="43" s="1"/>
  <c r="Q106" i="43" s="1"/>
  <c r="I2975" i="209"/>
  <c r="D3034" i="209"/>
  <c r="I3034" i="209" s="1"/>
  <c r="G2975" i="209"/>
  <c r="G21" i="120"/>
  <c r="G28" i="120" s="1"/>
  <c r="G30" i="120" s="1"/>
  <c r="G4087" i="209"/>
  <c r="G4091" i="209" s="1"/>
  <c r="G4102" i="209" s="1"/>
  <c r="G186" i="120" s="1"/>
  <c r="F52" i="196"/>
  <c r="F54" i="196" s="1"/>
  <c r="C166" i="196"/>
  <c r="F166" i="196" s="1"/>
  <c r="G3034" i="209" l="1"/>
  <c r="O2975" i="209"/>
  <c r="D25" i="45"/>
  <c r="J25" i="45" s="1"/>
  <c r="M168" i="196"/>
  <c r="E25" i="45" s="1"/>
  <c r="K25" i="45" s="1"/>
  <c r="F48" i="48"/>
  <c r="F59" i="48" s="1"/>
  <c r="F100" i="48" s="1"/>
  <c r="F104" i="48" s="1"/>
  <c r="F114" i="48" s="1"/>
  <c r="I46" i="130"/>
  <c r="I57" i="130" s="1"/>
  <c r="I95" i="130" s="1"/>
  <c r="I105" i="130" s="1"/>
  <c r="I44" i="47"/>
  <c r="I55" i="47" s="1"/>
  <c r="Q55" i="44"/>
  <c r="Q91" i="44" s="1"/>
  <c r="Q101" i="44" s="1"/>
  <c r="K23" i="68"/>
  <c r="G17" i="207"/>
  <c r="D27" i="155"/>
  <c r="F27" i="155" s="1"/>
  <c r="G27" i="155" s="1"/>
  <c r="K27" i="155" s="1"/>
  <c r="F44" i="47"/>
  <c r="D55" i="47"/>
  <c r="D78" i="47" s="1"/>
  <c r="D88" i="47" s="1"/>
  <c r="L40" i="48"/>
  <c r="L59" i="48" s="1"/>
  <c r="L100" i="48" s="1"/>
  <c r="L104" i="48" s="1"/>
  <c r="L114" i="48" s="1"/>
  <c r="R55" i="43"/>
  <c r="R92" i="43" s="1"/>
  <c r="R96" i="43" s="1"/>
  <c r="R106" i="43" s="1"/>
  <c r="F35" i="222"/>
  <c r="F37" i="222" s="1"/>
  <c r="D37" i="222"/>
  <c r="Q141" i="195"/>
  <c r="Q143" i="195" s="1"/>
  <c r="Q145" i="195" s="1"/>
  <c r="O31" i="69"/>
  <c r="R134" i="195"/>
  <c r="R141" i="195" s="1"/>
  <c r="R143" i="195" s="1"/>
  <c r="R145" i="195" s="1"/>
  <c r="D19" i="45"/>
  <c r="F168" i="196"/>
  <c r="E19" i="45" s="1"/>
  <c r="G39" i="120"/>
  <c r="G168" i="120"/>
  <c r="I40" i="48"/>
  <c r="G59" i="48"/>
  <c r="G100" i="48" s="1"/>
  <c r="G104" i="48" s="1"/>
  <c r="G114" i="48" s="1"/>
  <c r="D27" i="45" l="1"/>
  <c r="D41" i="45" s="1"/>
  <c r="J19" i="45"/>
  <c r="J27" i="45" s="1"/>
  <c r="J41" i="45" s="1"/>
  <c r="K19" i="45"/>
  <c r="K27" i="45" s="1"/>
  <c r="K41" i="45" s="1"/>
  <c r="E27" i="45"/>
  <c r="E41" i="45" s="1"/>
  <c r="J26" i="46"/>
  <c r="J34" i="46" s="1"/>
  <c r="J38" i="46" s="1"/>
  <c r="I78" i="47"/>
  <c r="I88" i="47" s="1"/>
  <c r="H44" i="47"/>
  <c r="H55" i="47" s="1"/>
  <c r="F55" i="47"/>
  <c r="F78" i="47" s="1"/>
  <c r="F88" i="47" s="1"/>
  <c r="K40" i="48"/>
  <c r="K59" i="48" s="1"/>
  <c r="K100" i="48" s="1"/>
  <c r="K104" i="48" s="1"/>
  <c r="K114" i="48" s="1"/>
  <c r="I59" i="48"/>
  <c r="I100" i="48" s="1"/>
  <c r="I104" i="48" s="1"/>
  <c r="I114" i="48" s="1"/>
  <c r="Q31" i="69"/>
  <c r="O38" i="69"/>
  <c r="O3034" i="209"/>
  <c r="D3089" i="209"/>
  <c r="M24" i="68" l="1"/>
  <c r="Q38" i="69"/>
  <c r="J71" i="153"/>
  <c r="J73" i="153" s="1"/>
  <c r="J20" i="153" s="1"/>
  <c r="G26" i="207"/>
  <c r="M36" i="68"/>
  <c r="F18" i="64"/>
  <c r="F26" i="64" s="1"/>
  <c r="D3148" i="209"/>
  <c r="I3148" i="209" s="1"/>
  <c r="G3089" i="209"/>
  <c r="I3089" i="209"/>
  <c r="E26" i="46"/>
  <c r="H78" i="47"/>
  <c r="H88" i="47" s="1"/>
  <c r="Q36" i="68" l="1"/>
  <c r="K36" i="68"/>
  <c r="G46" i="207"/>
  <c r="G66" i="207" s="1"/>
  <c r="G101" i="207" s="1"/>
  <c r="G121" i="207" s="1"/>
  <c r="G26" i="46"/>
  <c r="E34" i="46"/>
  <c r="E38" i="46" s="1"/>
  <c r="L20" i="153"/>
  <c r="D43" i="155" s="1"/>
  <c r="H20" i="153"/>
  <c r="O3089" i="209"/>
  <c r="G3148" i="209"/>
  <c r="G18" i="207"/>
  <c r="G20" i="207" s="1"/>
  <c r="Q24" i="68"/>
  <c r="K24" i="68"/>
  <c r="K27" i="68" s="1"/>
  <c r="D29" i="155"/>
  <c r="F29" i="155" s="1"/>
  <c r="G29" i="155" s="1"/>
  <c r="K29" i="155" s="1"/>
  <c r="G27" i="207" s="1"/>
  <c r="G47" i="207" s="1"/>
  <c r="G67" i="207" s="1"/>
  <c r="G102" i="207" s="1"/>
  <c r="G122" i="207" s="1"/>
  <c r="M27" i="68"/>
  <c r="I26" i="46" l="1"/>
  <c r="I34" i="46" s="1"/>
  <c r="I38" i="46" s="1"/>
  <c r="G34" i="46"/>
  <c r="G38" i="46" s="1"/>
  <c r="D3203" i="209"/>
  <c r="O3148" i="209"/>
  <c r="G28" i="207"/>
  <c r="G30" i="207" s="1"/>
  <c r="G45" i="207" s="1"/>
  <c r="J19" i="153"/>
  <c r="F43" i="155"/>
  <c r="G43" i="155" s="1"/>
  <c r="K43" i="155" s="1"/>
  <c r="G31" i="207" l="1"/>
  <c r="H19" i="153"/>
  <c r="H21" i="153" s="1"/>
  <c r="J21" i="153"/>
  <c r="D3262" i="209"/>
  <c r="I3262" i="209" s="1"/>
  <c r="G3203" i="209"/>
  <c r="I3203" i="209"/>
  <c r="H27" i="153" l="1"/>
  <c r="H29" i="153" s="1"/>
  <c r="H35" i="153" s="1"/>
  <c r="H39" i="153" s="1"/>
  <c r="H43" i="153" s="1"/>
  <c r="O3203" i="209"/>
  <c r="G3262" i="209"/>
  <c r="J27" i="153"/>
  <c r="J29" i="153" s="1"/>
  <c r="J33" i="153" s="1"/>
  <c r="J44" i="153" s="1"/>
  <c r="G35" i="207"/>
  <c r="G36" i="207" s="1"/>
  <c r="H63" i="153" l="1"/>
  <c r="J65" i="153"/>
  <c r="D38" i="155"/>
  <c r="F38" i="155" s="1"/>
  <c r="G38" i="155" s="1"/>
  <c r="K38" i="155" s="1"/>
  <c r="G43" i="207"/>
  <c r="G37" i="207"/>
  <c r="G38" i="207" s="1"/>
  <c r="G44" i="207" s="1"/>
  <c r="D3317" i="209"/>
  <c r="O3262" i="209"/>
  <c r="J35" i="153"/>
  <c r="J39" i="153" s="1"/>
  <c r="J43" i="153" s="1"/>
  <c r="H33" i="153"/>
  <c r="H44" i="153"/>
  <c r="H65" i="153" s="1"/>
  <c r="H67" i="153" s="1"/>
  <c r="H69" i="153" s="1"/>
  <c r="G40" i="207" l="1"/>
  <c r="Q42" i="69"/>
  <c r="D3376" i="209"/>
  <c r="I3376" i="209" s="1"/>
  <c r="I3317" i="209"/>
  <c r="G3317" i="209"/>
  <c r="H45" i="153"/>
  <c r="G48" i="207"/>
  <c r="G50" i="207" s="1"/>
  <c r="J63" i="153"/>
  <c r="Q41" i="69" s="1"/>
  <c r="J45" i="153"/>
  <c r="D37" i="155"/>
  <c r="J67" i="153" l="1"/>
  <c r="J69" i="153" s="1"/>
  <c r="G3376" i="209"/>
  <c r="O3317" i="209"/>
  <c r="O42" i="69"/>
  <c r="M31" i="68"/>
  <c r="K31" i="68" s="1"/>
  <c r="F37" i="155"/>
  <c r="G37" i="155" s="1"/>
  <c r="K37" i="155" s="1"/>
  <c r="G65" i="207"/>
  <c r="G51" i="207"/>
  <c r="O41" i="69"/>
  <c r="M30" i="68"/>
  <c r="Q44" i="69"/>
  <c r="Q46" i="69" s="1"/>
  <c r="G55" i="207" l="1"/>
  <c r="G56" i="207" s="1"/>
  <c r="G57" i="207" s="1"/>
  <c r="G58" i="207" s="1"/>
  <c r="G64" i="207" s="1"/>
  <c r="K30" i="68"/>
  <c r="K32" i="68" s="1"/>
  <c r="K34" i="68" s="1"/>
  <c r="M32" i="68"/>
  <c r="O44" i="69"/>
  <c r="O46" i="69" s="1"/>
  <c r="D3431" i="209"/>
  <c r="O3376" i="209"/>
  <c r="D39" i="155" l="1"/>
  <c r="M34" i="68"/>
  <c r="G63" i="207"/>
  <c r="G68" i="207" s="1"/>
  <c r="G70" i="207" s="1"/>
  <c r="G60" i="207"/>
  <c r="I3431" i="209"/>
  <c r="D3490" i="209"/>
  <c r="I3490" i="209" s="1"/>
  <c r="G3431" i="209"/>
  <c r="G100" i="207" l="1"/>
  <c r="G71" i="207"/>
  <c r="M38" i="68"/>
  <c r="F20" i="64"/>
  <c r="G3490" i="209"/>
  <c r="O3431" i="209"/>
  <c r="F39" i="155"/>
  <c r="G39" i="155" s="1"/>
  <c r="K39" i="155" s="1"/>
  <c r="K46" i="155" s="1"/>
  <c r="K52" i="155" s="1"/>
  <c r="D46" i="155"/>
  <c r="F46" i="155" s="1"/>
  <c r="G46" i="155" s="1"/>
  <c r="F22" i="64" l="1"/>
  <c r="F28" i="64"/>
  <c r="F32" i="64" s="1"/>
  <c r="O19" i="68" s="1"/>
  <c r="G75" i="207"/>
  <c r="G76" i="207" s="1"/>
  <c r="D3545" i="209"/>
  <c r="O3490" i="209"/>
  <c r="D3604" i="209" l="1"/>
  <c r="I3604" i="209" s="1"/>
  <c r="G3545" i="209"/>
  <c r="I3545" i="209"/>
  <c r="G98" i="207"/>
  <c r="O23" i="68"/>
  <c r="Q23" i="68" s="1"/>
  <c r="Q19" i="68"/>
  <c r="F34" i="64"/>
  <c r="F38" i="64" s="1"/>
  <c r="G77" i="207"/>
  <c r="G78" i="207" s="1"/>
  <c r="G99" i="207" s="1"/>
  <c r="Q27" i="68" l="1"/>
  <c r="L19" i="153" s="1"/>
  <c r="G103" i="207"/>
  <c r="G105" i="207" s="1"/>
  <c r="G120" i="207" s="1"/>
  <c r="O27" i="68"/>
  <c r="G80" i="207"/>
  <c r="O3545" i="209"/>
  <c r="G3604" i="209"/>
  <c r="G106" i="207" l="1"/>
  <c r="G110" i="207" s="1"/>
  <c r="G111" i="207" s="1"/>
  <c r="G112" i="207" s="1"/>
  <c r="G113" i="207" s="1"/>
  <c r="G119" i="207" s="1"/>
  <c r="D3659" i="209"/>
  <c r="O3604" i="209"/>
  <c r="K19" i="153"/>
  <c r="K21" i="153" s="1"/>
  <c r="L21" i="153"/>
  <c r="K27" i="153" l="1"/>
  <c r="K29" i="153" s="1"/>
  <c r="K35" i="153" s="1"/>
  <c r="K39" i="153" s="1"/>
  <c r="K43" i="153" s="1"/>
  <c r="G115" i="207"/>
  <c r="G118" i="207"/>
  <c r="G123" i="207" s="1"/>
  <c r="G125" i="207" s="1"/>
  <c r="G126" i="207" s="1"/>
  <c r="L27" i="153"/>
  <c r="L29" i="153" s="1"/>
  <c r="L35" i="153" s="1"/>
  <c r="L39" i="153" s="1"/>
  <c r="L43" i="153" s="1"/>
  <c r="D3718" i="209"/>
  <c r="I3718" i="209" s="1"/>
  <c r="I3659" i="209"/>
  <c r="G3659" i="209"/>
  <c r="L63" i="153" l="1"/>
  <c r="Q30" i="68" s="1"/>
  <c r="K63" i="153"/>
  <c r="L33" i="153"/>
  <c r="L44" i="153"/>
  <c r="L65" i="153" s="1"/>
  <c r="G130" i="207"/>
  <c r="G131" i="207" s="1"/>
  <c r="G132" i="207" s="1"/>
  <c r="G133" i="207" s="1"/>
  <c r="G3718" i="209"/>
  <c r="O3659" i="209"/>
  <c r="K33" i="153"/>
  <c r="K44" i="153"/>
  <c r="K65" i="153" s="1"/>
  <c r="K67" i="153" l="1"/>
  <c r="K69" i="153" s="1"/>
  <c r="G135" i="207"/>
  <c r="O30" i="68"/>
  <c r="L67" i="153"/>
  <c r="L69" i="153" s="1"/>
  <c r="Q31" i="68"/>
  <c r="O31" i="68" s="1"/>
  <c r="K45" i="153"/>
  <c r="O3718" i="209"/>
  <c r="D3773" i="209"/>
  <c r="L45" i="153"/>
  <c r="O32" i="68" l="1"/>
  <c r="O34" i="68" s="1"/>
  <c r="Q32" i="68"/>
  <c r="Q34" i="68" s="1"/>
  <c r="I3773" i="209"/>
  <c r="D3832" i="209"/>
  <c r="I3832" i="209" s="1"/>
  <c r="G3773" i="209"/>
  <c r="O3773" i="209" l="1"/>
  <c r="G3832" i="209"/>
  <c r="O3832" i="209" l="1"/>
  <c r="D3887" i="209"/>
  <c r="I3887" i="209" l="1"/>
  <c r="G3887" i="209"/>
  <c r="D3946" i="209"/>
  <c r="I3946" i="209" s="1"/>
  <c r="O3887" i="209" l="1"/>
  <c r="G3946" i="209"/>
  <c r="O3946" i="209" l="1"/>
  <c r="D4001" i="209"/>
  <c r="D4060" i="209" l="1"/>
  <c r="I4060" i="209" s="1"/>
  <c r="G4001" i="209"/>
  <c r="I4001" i="209"/>
  <c r="G4060" i="209" l="1"/>
  <c r="O4060" i="209" s="1"/>
  <c r="O4001" i="2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Shaeffer \ Tamaleh \ L</author>
  </authors>
  <commentList>
    <comment ref="I389" authorId="0" shapeId="0" xr:uid="{FCF72C7F-836F-4BD6-96E6-33EA16C3E7E6}">
      <text>
        <r>
          <rPr>
            <b/>
            <sz val="9"/>
            <color indexed="81"/>
            <rFont val="Tahoma"/>
            <family val="2"/>
          </rPr>
          <t>Shaeffer \ Tamaleh \ L:</t>
        </r>
        <r>
          <rPr>
            <sz val="9"/>
            <color indexed="81"/>
            <rFont val="Tahoma"/>
            <family val="2"/>
          </rPr>
          <t xml:space="preserve">
Adjusted for rounding</t>
        </r>
      </text>
    </comment>
    <comment ref="H437" authorId="0" shapeId="0" xr:uid="{A1DCED96-68A7-441B-ABD6-1A7CD435DA23}">
      <text>
        <r>
          <rPr>
            <b/>
            <sz val="9"/>
            <color indexed="81"/>
            <rFont val="Tahoma"/>
            <family val="2"/>
          </rPr>
          <t>Shaeffer \ Tamaleh \ L:</t>
        </r>
        <r>
          <rPr>
            <sz val="9"/>
            <color indexed="81"/>
            <rFont val="Tahoma"/>
            <family val="2"/>
          </rPr>
          <t xml:space="preserve">
Adjusted for rounding</t>
        </r>
      </text>
    </comment>
  </commentList>
</comments>
</file>

<file path=xl/sharedStrings.xml><?xml version="1.0" encoding="utf-8"?>
<sst xmlns="http://schemas.openxmlformats.org/spreadsheetml/2006/main" count="23069" uniqueCount="3122">
  <si>
    <t>COMPUTATION OF FEDERAL AND STATE INCOME TAX</t>
  </si>
  <si>
    <t>Operating Income Before Income Taxes</t>
  </si>
  <si>
    <t>Interest Charges</t>
  </si>
  <si>
    <t>Book Net Income before Income Tax &amp; Credits</t>
  </si>
  <si>
    <t>State Taxable Income</t>
  </si>
  <si>
    <t xml:space="preserve">State Income Tax </t>
  </si>
  <si>
    <t>Total State Income Tax</t>
  </si>
  <si>
    <t>Federal Taxable Income</t>
  </si>
  <si>
    <t>Federal Income Tax</t>
  </si>
  <si>
    <t>Prior Adjustment to Federal Income Tax</t>
  </si>
  <si>
    <t>Other Adjustments to Federal Income Tax</t>
  </si>
  <si>
    <t>Current Federal Income Tax</t>
  </si>
  <si>
    <t>Current State Income Tax</t>
  </si>
  <si>
    <t>Total Current Income Tax</t>
  </si>
  <si>
    <t>Amortization of Excess ADIT-Federal</t>
  </si>
  <si>
    <t>Provision for Deferred Federal Income Tax</t>
  </si>
  <si>
    <t>Deferred Federal Income Tax</t>
  </si>
  <si>
    <t>Amortization of Excess ADIT-State</t>
  </si>
  <si>
    <t>Provision for Deferred State Income Tax</t>
  </si>
  <si>
    <t>Deferred State Income Tax</t>
  </si>
  <si>
    <t>Total Provision for Deferred Income Taxes</t>
  </si>
  <si>
    <t>Total Federal Income Taxes</t>
  </si>
  <si>
    <t>Amortization of Investment Tax Credit</t>
  </si>
  <si>
    <t>Total Income Tax Expense</t>
  </si>
  <si>
    <t>AFUDC Equity</t>
  </si>
  <si>
    <t>State Bonus Disallowance</t>
  </si>
  <si>
    <t>MAJOR PROPERTY GROUPING</t>
  </si>
  <si>
    <t>ADJ 4</t>
  </si>
  <si>
    <t>ADJ 5</t>
  </si>
  <si>
    <t>ADJ 6</t>
  </si>
  <si>
    <t>ADJ 7</t>
  </si>
  <si>
    <t>ADJ 8</t>
  </si>
  <si>
    <t>ADJ 9</t>
  </si>
  <si>
    <t>ADJ 10</t>
  </si>
  <si>
    <t>MAINTENANCE OF GENERAL PLANT - A&amp;G</t>
  </si>
  <si>
    <t>ADJ 11</t>
  </si>
  <si>
    <t>ADJ 12</t>
  </si>
  <si>
    <t>ADJ 13</t>
  </si>
  <si>
    <t>ADJ 14</t>
  </si>
  <si>
    <t>ADJ 15</t>
  </si>
  <si>
    <t>Check</t>
  </si>
  <si>
    <t>SCHEDULE D-2.1</t>
  </si>
  <si>
    <t>Reference Supporting</t>
  </si>
  <si>
    <t>Purpose and Description</t>
  </si>
  <si>
    <t>Workpapers</t>
  </si>
  <si>
    <t>Amount</t>
  </si>
  <si>
    <t>OTHER GAS PURCHASES - THE PURPOSE OF THIS ADJUSTMENT IS TO REFLECT THE</t>
  </si>
  <si>
    <t>EXCHANGE GAS - THE PURPOSE OF THIS ADJUSTMENT IS TO REFLECT THE</t>
  </si>
  <si>
    <t>SCHEDULE D-2.2</t>
  </si>
  <si>
    <t>SCHEDULE D-2.3</t>
  </si>
  <si>
    <t>SHEET 1 of 1</t>
  </si>
  <si>
    <t>SCHEDULE D-2.4</t>
  </si>
  <si>
    <t>Adjustments</t>
  </si>
  <si>
    <t>Base Period</t>
  </si>
  <si>
    <t>SCHEDULE  F</t>
  </si>
  <si>
    <t>JURISDICTIONAL OTHER EXPENSES FOR THE BASE AND FORECASTED PERIOD</t>
  </si>
  <si>
    <t>ADVERTISING</t>
  </si>
  <si>
    <t>PAGE 1 OF 1</t>
  </si>
  <si>
    <t xml:space="preserve">WORKPAPER REFERENCE NO(S). </t>
  </si>
  <si>
    <t>SOCIAL ORGANIZATION / SERVICE CLUB</t>
  </si>
  <si>
    <t>DATA:___X___BASE PERIOD___X____FORECASTED PERIOD</t>
  </si>
  <si>
    <t>PAYEE</t>
  </si>
  <si>
    <t>VARIOUS</t>
  </si>
  <si>
    <t>DESCRIPTION OF</t>
  </si>
  <si>
    <t>CUSTOMER ASSISTANCE</t>
  </si>
  <si>
    <t>INFORMATIONAL ADVERTISING</t>
  </si>
  <si>
    <t>MISCELLANEOUS CUST. SERV. &amp; INFO.</t>
  </si>
  <si>
    <t>SALES EXPENSE</t>
  </si>
  <si>
    <t>DEMONSTRATING AND SELLING</t>
  </si>
  <si>
    <t>MISCELLANEOUS SALES EXPENSE</t>
  </si>
  <si>
    <t>GENERAL ADVERTISING EXPENSE</t>
  </si>
  <si>
    <t>RATE</t>
  </si>
  <si>
    <t>ANNUAL</t>
  </si>
  <si>
    <t>JURISDICTIONAL PAYROLL COST ANALYSIS FOR THE BASE AND FORECASTED PERIOD</t>
  </si>
  <si>
    <t>G-1</t>
  </si>
  <si>
    <t>PAYROLL COSTS</t>
  </si>
  <si>
    <t>G-2</t>
  </si>
  <si>
    <t>EXECUTIVE COMPENSATION</t>
  </si>
  <si>
    <t>JURIS.</t>
  </si>
  <si>
    <t>EMPLOYEE BENEFITS</t>
  </si>
  <si>
    <t>PAYROLL TAXES</t>
  </si>
  <si>
    <t>TOTAL PAYROLL COSTS</t>
  </si>
  <si>
    <t>Employee Benefits</t>
  </si>
  <si>
    <t>Payroll Taxes</t>
  </si>
  <si>
    <t>Gross Payroll</t>
  </si>
  <si>
    <t xml:space="preserve">    Total Salary and Compensation</t>
  </si>
  <si>
    <t xml:space="preserve">    Pensions</t>
  </si>
  <si>
    <t xml:space="preserve">    Other Benefits</t>
  </si>
  <si>
    <t xml:space="preserve">    Total Employee Benefits</t>
  </si>
  <si>
    <t xml:space="preserve">    F.I.C.A.</t>
  </si>
  <si>
    <t xml:space="preserve">    Federal Unemployment</t>
  </si>
  <si>
    <t xml:space="preserve">    State Unemployment</t>
  </si>
  <si>
    <t xml:space="preserve">    Total Payroll Taxes</t>
  </si>
  <si>
    <t>Total Compensation</t>
  </si>
  <si>
    <t>May</t>
  </si>
  <si>
    <t>SCHEDULE H</t>
  </si>
  <si>
    <t>COMPUTATION OF GROSS REVENUE CONVERSION FACTOR</t>
  </si>
  <si>
    <t>BASE PERIOD:</t>
  </si>
  <si>
    <t>H-1</t>
  </si>
  <si>
    <t>SCHEDULE H-1</t>
  </si>
  <si>
    <t xml:space="preserve">Workpaper Reference No(s). </t>
  </si>
  <si>
    <t>PERCENTAGE OF</t>
  </si>
  <si>
    <t>INCREMENTAL</t>
  </si>
  <si>
    <t>GROSS REVENUE</t>
  </si>
  <si>
    <t>LESS: UNCOLLECTIBLE ACCOUNTS EXPENSE</t>
  </si>
  <si>
    <t>LESS: PSC FEES</t>
  </si>
  <si>
    <t>NET REVENUES</t>
  </si>
  <si>
    <t>STATE INCOME TAX</t>
  </si>
  <si>
    <t>INCOME BEFORE FEDERAL INCOME TAX</t>
  </si>
  <si>
    <t>FEDERAL INCOME TAX</t>
  </si>
  <si>
    <t>OPERATING INCOME PERCENTAGE</t>
  </si>
  <si>
    <t>(100 % DIVIDED BY INCOME AFTER INCOME TAX)</t>
  </si>
  <si>
    <t xml:space="preserve">                            </t>
  </si>
  <si>
    <t>SCHEDULE I</t>
  </si>
  <si>
    <t>STATISTICAL DATA</t>
  </si>
  <si>
    <t>I-1</t>
  </si>
  <si>
    <t>I-2</t>
  </si>
  <si>
    <t>REVENUE STATISTICS - TOTAL COMPANY</t>
  </si>
  <si>
    <t>I-3</t>
  </si>
  <si>
    <t>SALES STATISTICS - TOTAL COMPANY</t>
  </si>
  <si>
    <t>SCHEDULE I-1</t>
  </si>
  <si>
    <t>MOST RECENT FIVE CALENDAR YEARS</t>
  </si>
  <si>
    <t>PROJECTED CALENDAR YEARS</t>
  </si>
  <si>
    <t>FORECAST</t>
  </si>
  <si>
    <t>GAS SERVICE</t>
  </si>
  <si>
    <t>TRANSPORTATION</t>
  </si>
  <si>
    <t>OTHER REVENUE</t>
  </si>
  <si>
    <t>TOTAL OPERATING REVENUES</t>
  </si>
  <si>
    <t>GAS PURCHASED</t>
  </si>
  <si>
    <t>OPERATION</t>
  </si>
  <si>
    <t>MAINTENANCE</t>
  </si>
  <si>
    <t>DEPRECIATION &amp; DEPLETION</t>
  </si>
  <si>
    <t>TAXES - OTHER THAN INCOME</t>
  </si>
  <si>
    <t>OPERATING INCOME (LOSS)</t>
  </si>
  <si>
    <t>OTHER INCOME (DEDUCTIONS)</t>
  </si>
  <si>
    <t>INCOME FROM INVESTMENT IN SUBSIDIARY</t>
  </si>
  <si>
    <t>INTEREST INCOME AND OTHER, NET</t>
  </si>
  <si>
    <t xml:space="preserve">INTEREST EXPENSE </t>
  </si>
  <si>
    <t>TOTAL OTHER INCOME</t>
  </si>
  <si>
    <t>INCOME BEFORE INCOME TAXES</t>
  </si>
  <si>
    <t>INCOME TAXES</t>
  </si>
  <si>
    <t>SCHEDULE I-2</t>
  </si>
  <si>
    <t>RESIDENTIAL</t>
  </si>
  <si>
    <t>COMMERCIAL</t>
  </si>
  <si>
    <t>INDUSTRIAL</t>
  </si>
  <si>
    <t>UNBILLED</t>
  </si>
  <si>
    <t>SCHEDULE I-3</t>
  </si>
  <si>
    <t>SALES BY CUSTOMER CLASS</t>
  </si>
  <si>
    <t>AVERAGE SALES PER CLASS</t>
  </si>
  <si>
    <t>SCHEDULE J</t>
  </si>
  <si>
    <t>J-1</t>
  </si>
  <si>
    <t>COST OF CAPITAL SUMMARY</t>
  </si>
  <si>
    <t>J-2</t>
  </si>
  <si>
    <t>EMBEDDED COST OF SHORT-TERM DEBT</t>
  </si>
  <si>
    <t>J-3</t>
  </si>
  <si>
    <t>EMBEDDED COST OF LONG-TERM DEBT</t>
  </si>
  <si>
    <t>J-4</t>
  </si>
  <si>
    <t>EMBEDDED COST OF PREFERRED STOCK</t>
  </si>
  <si>
    <t>SCHEDULE J-1</t>
  </si>
  <si>
    <t>WEIGHTED</t>
  </si>
  <si>
    <t>CLASS OF CAPITAL</t>
  </si>
  <si>
    <t>OF TOTAL</t>
  </si>
  <si>
    <t>COST RATE</t>
  </si>
  <si>
    <t>SHORT-TERM DEBT</t>
  </si>
  <si>
    <t>LONG-TERM DEBT</t>
  </si>
  <si>
    <t>PREFERRED STOCK</t>
  </si>
  <si>
    <t>COMMON EQUITY</t>
  </si>
  <si>
    <t>TOTAL CAPITAL</t>
  </si>
  <si>
    <t>SCHEDULE J-2</t>
  </si>
  <si>
    <t>EFFECTIVE</t>
  </si>
  <si>
    <t>COMPOSITE</t>
  </si>
  <si>
    <t>INTEREST</t>
  </si>
  <si>
    <t>ISSUE</t>
  </si>
  <si>
    <t>OUTSTANDING</t>
  </si>
  <si>
    <t>SCHEDULE J-3</t>
  </si>
  <si>
    <t>SCHEDULE J-4</t>
  </si>
  <si>
    <t>PREMIUM</t>
  </si>
  <si>
    <t>GAIN OR LOSS</t>
  </si>
  <si>
    <t>DIVIDEND RATE,</t>
  </si>
  <si>
    <t>OR</t>
  </si>
  <si>
    <t>ON REACQUIRED</t>
  </si>
  <si>
    <t xml:space="preserve">ANNUALIZED </t>
  </si>
  <si>
    <t>TYPE, PAR VALUE</t>
  </si>
  <si>
    <t>ISSUED</t>
  </si>
  <si>
    <t>DISCOUNT</t>
  </si>
  <si>
    <t>STOCK</t>
  </si>
  <si>
    <t>PROCEEDS</t>
  </si>
  <si>
    <t>AT ISSUE</t>
  </si>
  <si>
    <t>DIVIDENDS</t>
  </si>
  <si>
    <t>SCHEDULE K</t>
  </si>
  <si>
    <t>COMPARATIVE FINANCIAL DATA AND EARNINGS MEASURE FOR THE</t>
  </si>
  <si>
    <t>TEN MOST RECENT CALENDAR YEARS, BASE PERIOD AND FORECASTED PERIOD</t>
  </si>
  <si>
    <t>K</t>
  </si>
  <si>
    <t>COMPARATIVE FINANCIAL DATA</t>
  </si>
  <si>
    <t>MOST RECENT CALENDAR YEARS - AS REPORTED</t>
  </si>
  <si>
    <t>PLANT DATA: ($000)</t>
  </si>
  <si>
    <t xml:space="preserve">  2</t>
  </si>
  <si>
    <t xml:space="preserve">  PLANT IN SERVICE BY FUNCTIONAL CLASS</t>
  </si>
  <si>
    <t xml:space="preserve">  3</t>
  </si>
  <si>
    <t xml:space="preserve">   INTANGIBLE PLANT</t>
  </si>
  <si>
    <t xml:space="preserve">  4</t>
  </si>
  <si>
    <t xml:space="preserve">   DISTRIBUTION PLANT</t>
  </si>
  <si>
    <t xml:space="preserve">  5</t>
  </si>
  <si>
    <t xml:space="preserve">   GENERAL PLANT</t>
  </si>
  <si>
    <t xml:space="preserve">  6</t>
  </si>
  <si>
    <t xml:space="preserve">   PRODUCTION PLANT - LIQUEFIED GAS</t>
  </si>
  <si>
    <t xml:space="preserve">  7</t>
  </si>
  <si>
    <t xml:space="preserve">  8</t>
  </si>
  <si>
    <t xml:space="preserve">  9</t>
  </si>
  <si>
    <t xml:space="preserve">   GAS PLANT HELD FOR FUTURE USE</t>
  </si>
  <si>
    <t xml:space="preserve"> 10</t>
  </si>
  <si>
    <t xml:space="preserve">   GAS PLANT ACQUISITION ADJUSTMENTS</t>
  </si>
  <si>
    <t xml:space="preserve"> 11</t>
  </si>
  <si>
    <t xml:space="preserve"> 12</t>
  </si>
  <si>
    <t xml:space="preserve">   LESS: ACCUMLATED DEPRECIATION</t>
  </si>
  <si>
    <t xml:space="preserve"> 13</t>
  </si>
  <si>
    <t xml:space="preserve">   NET PLANT IN SERVICE</t>
  </si>
  <si>
    <t xml:space="preserve"> 14</t>
  </si>
  <si>
    <t xml:space="preserve"> 15</t>
  </si>
  <si>
    <t xml:space="preserve"> 16</t>
  </si>
  <si>
    <t xml:space="preserve"> 17</t>
  </si>
  <si>
    <t xml:space="preserve"> 18</t>
  </si>
  <si>
    <t xml:space="preserve"> 19</t>
  </si>
  <si>
    <t xml:space="preserve">    TOTAL CWIP</t>
  </si>
  <si>
    <t xml:space="preserve"> 20</t>
  </si>
  <si>
    <t>CAPITAL STRUCTURE:</t>
  </si>
  <si>
    <t xml:space="preserve"> (BASED ON YEAR-END ACCOUNTS)</t>
  </si>
  <si>
    <t xml:space="preserve">  SHORT-TERM DEBT ($000)</t>
  </si>
  <si>
    <t xml:space="preserve">  LONG-TERM DEBT ($000)</t>
  </si>
  <si>
    <t xml:space="preserve">  PREFERRED STOCK ($000)</t>
  </si>
  <si>
    <t>N/A</t>
  </si>
  <si>
    <t xml:space="preserve">  COMMON EQUITY ($000)</t>
  </si>
  <si>
    <t>CONDENSED INCOME STATEMENT DATA: ($000)</t>
  </si>
  <si>
    <t xml:space="preserve">  OPERATING REVENUES </t>
  </si>
  <si>
    <t xml:space="preserve">  OPERATING EXPENSES (EXCLUDING FEDERAL</t>
  </si>
  <si>
    <t xml:space="preserve">  AND STATE TAXES) </t>
  </si>
  <si>
    <t xml:space="preserve">  STATE INCOME TAX (CURRENT)</t>
  </si>
  <si>
    <t xml:space="preserve">  FEDERAL INCOME TAX (CURRENT)</t>
  </si>
  <si>
    <t xml:space="preserve">  FEDERAL AND STATE INCOME TAX NET</t>
  </si>
  <si>
    <t xml:space="preserve">  INVESTMENT TAX CREDITS</t>
  </si>
  <si>
    <t xml:space="preserve">  OPERATING INCOME</t>
  </si>
  <si>
    <t xml:space="preserve">  AFUDC</t>
  </si>
  <si>
    <t xml:space="preserve">  OTHER INCOME NET</t>
  </si>
  <si>
    <t xml:space="preserve">  INCOME AVAILABLE FOR FIXED CHARGES</t>
  </si>
  <si>
    <t xml:space="preserve">  INTEREST CHARGES</t>
  </si>
  <si>
    <t xml:space="preserve">  NET INCOME</t>
  </si>
  <si>
    <t xml:space="preserve">  CUMULATIVE CHANGE IN ACCTG PRIN</t>
  </si>
  <si>
    <t xml:space="preserve">  EARNINGS AVAILABLE FOR COMMON EQUITY</t>
  </si>
  <si>
    <t xml:space="preserve">  AFUDC - % OF NET INCOME</t>
  </si>
  <si>
    <t xml:space="preserve">  AFUDC - % OF EARNINGS AVAILABLE </t>
  </si>
  <si>
    <t xml:space="preserve">   FOR COMMON EQUITY</t>
  </si>
  <si>
    <t>SHEET 3 OF 4</t>
  </si>
  <si>
    <t>COSTS OF CAPITAL</t>
  </si>
  <si>
    <t xml:space="preserve">  EMBEDDED COST OF SHORT-TERM DEBT (%)</t>
  </si>
  <si>
    <t xml:space="preserve">  EMBEDDED COST OF LONG-TERM DEBT (%)</t>
  </si>
  <si>
    <t xml:space="preserve">  EMBEDDED COST OF PREFERRED STOCK (%)</t>
  </si>
  <si>
    <t>FIXED CHARGE COVERAGE:</t>
  </si>
  <si>
    <t xml:space="preserve">  PRE-TAX INTEREST COVERAGE</t>
  </si>
  <si>
    <t xml:space="preserve">  PRE-TAX INTEREST COVERAGE (EXCLUDING AFUDC)</t>
  </si>
  <si>
    <t xml:space="preserve">  AFTER TAX INTEREST COVERAGE</t>
  </si>
  <si>
    <t xml:space="preserve">  AFTER TAX INTEREST COVERAGE (EXCLUDING AFUDC)</t>
  </si>
  <si>
    <t xml:space="preserve">  INDENTURE PROVISION COVERAGE</t>
  </si>
  <si>
    <t xml:space="preserve">  AFTER TAX FIXED CHARGE COVERAGE</t>
  </si>
  <si>
    <t>STOCK AND BOND RATINGS:</t>
  </si>
  <si>
    <t xml:space="preserve">  MOODY'S BOND RATING</t>
  </si>
  <si>
    <t xml:space="preserve">  S&amp;P BOND RATING</t>
  </si>
  <si>
    <t>The stock is not publicly traded.</t>
  </si>
  <si>
    <t xml:space="preserve">  MOODY'S PREFERRED STOCK RATING</t>
  </si>
  <si>
    <t xml:space="preserve">  S&amp;P PREFERRED STOCK RATING</t>
  </si>
  <si>
    <t>COMMON STOCK RELATED DATA:</t>
  </si>
  <si>
    <t xml:space="preserve">  SHARES OUTSTANDING YEAR END (000)</t>
  </si>
  <si>
    <t xml:space="preserve">  SHARES OUTSTANDING - WEIGHTED</t>
  </si>
  <si>
    <t xml:space="preserve">   AVERAGE (MONTHLY) (000)</t>
  </si>
  <si>
    <t xml:space="preserve">  EARNINGS PER SHARE - WEIGHTED AVG. ($)</t>
  </si>
  <si>
    <t xml:space="preserve">  DIVIDENDS PAID PER SHARE ($)</t>
  </si>
  <si>
    <t xml:space="preserve">  DIVIDENDS DECLARED PER SHARE ($)</t>
  </si>
  <si>
    <t xml:space="preserve">   BASIS) (%)</t>
  </si>
  <si>
    <t xml:space="preserve">  MARKET PRICE - HIGH (LOW)</t>
  </si>
  <si>
    <t xml:space="preserve">   1ST QUARTER - HIGH ($)</t>
  </si>
  <si>
    <t xml:space="preserve">   1ST QUARTER - LOW ($)</t>
  </si>
  <si>
    <t xml:space="preserve">   2ND QUARTER - HIGH ($)</t>
  </si>
  <si>
    <t xml:space="preserve">   2ND QUARTER - LOW ($)</t>
  </si>
  <si>
    <t xml:space="preserve">   3RD QUARTER - HIGH ($)</t>
  </si>
  <si>
    <t xml:space="preserve">   3RD QUARTER - LOW ($)</t>
  </si>
  <si>
    <t xml:space="preserve">   4TH QUARTER - HIGH ($)</t>
  </si>
  <si>
    <t xml:space="preserve">   4TH QUARTER - LOW ($)</t>
  </si>
  <si>
    <t xml:space="preserve">  BOOK VALUE PER SHARE (YEAR-END) ($)</t>
  </si>
  <si>
    <t>SHEET 4 OF 4</t>
  </si>
  <si>
    <t>RATE OF RETURN MEARSURES:</t>
  </si>
  <si>
    <t xml:space="preserve">  RETURN ON COMMON EQUITY (AVERAGE)</t>
  </si>
  <si>
    <t xml:space="preserve">  RETURN ON TOTAL CAPITAL (AVERAGE)</t>
  </si>
  <si>
    <t xml:space="preserve">  RETURN ON NET PLANT IN SERVICE (AVERAGE)</t>
  </si>
  <si>
    <t>OTHER FINANCIAL AND OPERATING DATA:</t>
  </si>
  <si>
    <t xml:space="preserve">  MIX OF SALES:</t>
  </si>
  <si>
    <t>(MMcf)</t>
  </si>
  <si>
    <t xml:space="preserve">   RESIDENTIAL</t>
  </si>
  <si>
    <t xml:space="preserve">   COMMERCIAL</t>
  </si>
  <si>
    <t xml:space="preserve">   INDUSTRIAL</t>
  </si>
  <si>
    <t xml:space="preserve">   PUBLIC AUTHORITIES</t>
  </si>
  <si>
    <t xml:space="preserve">  TOTAL MIX OF SALES</t>
  </si>
  <si>
    <t xml:space="preserve">  MIX OF FUEL:</t>
  </si>
  <si>
    <t xml:space="preserve">   COLUMBIA GAS TRANSMISSION CORP.</t>
  </si>
  <si>
    <t xml:space="preserve">   OTHER</t>
  </si>
  <si>
    <t xml:space="preserve">  TOTAL MIX OF FUEL</t>
  </si>
  <si>
    <t>COMPOSITE DEPRECIATION RATE</t>
  </si>
  <si>
    <t>403 - 404</t>
  </si>
  <si>
    <t>DEPRECIATION AND AMORTIZATION EXPENSE</t>
  </si>
  <si>
    <t>COLUMBIA GAS OF KENTUCKY, INC.</t>
  </si>
  <si>
    <t>SCHEDULE B-1</t>
  </si>
  <si>
    <t>SHEET 1 OF 2</t>
  </si>
  <si>
    <t xml:space="preserve">13 MONTH </t>
  </si>
  <si>
    <t>SUPPORTING</t>
  </si>
  <si>
    <t>AVERAGE</t>
  </si>
  <si>
    <t>LINE</t>
  </si>
  <si>
    <t>SCHEDULE</t>
  </si>
  <si>
    <t>BASE</t>
  </si>
  <si>
    <t>NO.</t>
  </si>
  <si>
    <t>RATE BASE COMPONENT</t>
  </si>
  <si>
    <t>REFERENCE</t>
  </si>
  <si>
    <t>PERIOD</t>
  </si>
  <si>
    <t>$</t>
  </si>
  <si>
    <t>1</t>
  </si>
  <si>
    <t>PLANT IN SERVICE</t>
  </si>
  <si>
    <t>B-2</t>
  </si>
  <si>
    <t>2</t>
  </si>
  <si>
    <t>PROPERTY HELD FOR FUTURE USE</t>
  </si>
  <si>
    <t>B-2.6</t>
  </si>
  <si>
    <t>3</t>
  </si>
  <si>
    <t>PLANT AQUISITION ADJUSTMENTS</t>
  </si>
  <si>
    <t>B-2.4</t>
  </si>
  <si>
    <t>4</t>
  </si>
  <si>
    <t>ACCUMULATED DEPRECIATION AND AMORTIZATION</t>
  </si>
  <si>
    <t>B-3</t>
  </si>
  <si>
    <t>5</t>
  </si>
  <si>
    <t>NET PLANT IN SERVICE (1 THRU 4)</t>
  </si>
  <si>
    <t>6</t>
  </si>
  <si>
    <t>CONSTRUCTION WORK IN PROGRESS</t>
  </si>
  <si>
    <t>B-4</t>
  </si>
  <si>
    <t>7</t>
  </si>
  <si>
    <t>CASH WORKING CAPITAL ALLOWANCE</t>
  </si>
  <si>
    <t>B-5.2</t>
  </si>
  <si>
    <t>8</t>
  </si>
  <si>
    <t>OTHER WORKING CAPITAL ALLOWANCES</t>
  </si>
  <si>
    <t>B-5.1</t>
  </si>
  <si>
    <t>9</t>
  </si>
  <si>
    <t>10</t>
  </si>
  <si>
    <t>DEFERRED INC. TAXES AND INVESTMENT TAX CREDITS</t>
  </si>
  <si>
    <t>OTHER ITEMS</t>
  </si>
  <si>
    <t>SCHEDULE B-2</t>
  </si>
  <si>
    <t>TOTAL</t>
  </si>
  <si>
    <t>JURISDICTIONAL</t>
  </si>
  <si>
    <t>ADJUSTED</t>
  </si>
  <si>
    <t>13 MONTH</t>
  </si>
  <si>
    <t>COMPANY</t>
  </si>
  <si>
    <t>PERCENT</t>
  </si>
  <si>
    <t>ADJUSTMENTS</t>
  </si>
  <si>
    <t>INTANGIBLES</t>
  </si>
  <si>
    <t>PRODUCTION</t>
  </si>
  <si>
    <t xml:space="preserve"> </t>
  </si>
  <si>
    <t>STORAGE AND PROCESSING</t>
  </si>
  <si>
    <t>TRANSMISSION</t>
  </si>
  <si>
    <t>DISTRIBUTION</t>
  </si>
  <si>
    <t>GENERAL</t>
  </si>
  <si>
    <t>COMMON</t>
  </si>
  <si>
    <t>OTHER</t>
  </si>
  <si>
    <t xml:space="preserve">PLANT IN SERVICE BY ACCOUNTS AND SUBACCOUNTS </t>
  </si>
  <si>
    <t>SCHEDULE B-2.1</t>
  </si>
  <si>
    <t>WORKPAPER REFERENCE NO(S).: _______________</t>
  </si>
  <si>
    <t>ACCT.</t>
  </si>
  <si>
    <t>ACCOUNT /</t>
  </si>
  <si>
    <t>SUBACCOUNT TITLES</t>
  </si>
  <si>
    <t>TOTAL COMPANY</t>
  </si>
  <si>
    <t>JURISDICTION</t>
  </si>
  <si>
    <t>INTANGIBLE PLANT</t>
  </si>
  <si>
    <t>ORGANIZATION</t>
  </si>
  <si>
    <t>MISCELLANEOUS INTANGIBLE PLANT</t>
  </si>
  <si>
    <t>MISC INTANGIBLE PLANT-DIS SOFTWARE</t>
  </si>
  <si>
    <t>MISC INTANGIBLE PLANT-FARA SOFTWARE</t>
  </si>
  <si>
    <t>MISC INTANGIBLE PLANT-OTHER SOFTWARE</t>
  </si>
  <si>
    <t>TOTAL INTANGIBLE PLANT</t>
  </si>
  <si>
    <t>LAND</t>
  </si>
  <si>
    <t>DISTRIBUTION PLANT</t>
  </si>
  <si>
    <t>LAND-CITY GATE &amp; MAIN LINE IND. M &amp; R</t>
  </si>
  <si>
    <t>LAND-OTHER DISTRIBUTION SYSTEMS</t>
  </si>
  <si>
    <t>LAND RIGHTS-OTHER DISTR SYSTEMS</t>
  </si>
  <si>
    <t>RIGHTS OF WAY</t>
  </si>
  <si>
    <t>STRUC &amp; IMPROV-CITY GATE M &amp; R</t>
  </si>
  <si>
    <t>STRUC &amp; IMPROV-GENERAL M &amp; R</t>
  </si>
  <si>
    <t xml:space="preserve">STRUC &amp; IMPROV-REGULATING </t>
  </si>
  <si>
    <t>STRUC &amp; IMPROV-DISTR. IND. M &amp; R</t>
  </si>
  <si>
    <t>STRUC &amp; IMPROV-OTHER DISTR. SYSTEMS</t>
  </si>
  <si>
    <t>STRUC &amp; IMPROV-OTHER DISTR SYS-ILP</t>
  </si>
  <si>
    <t>STRUC &amp; IMPROV-COMMUNICATIONS</t>
  </si>
  <si>
    <t>MAINS</t>
  </si>
  <si>
    <t>M &amp; R STATION EQUIP-GENERAL</t>
  </si>
  <si>
    <t>M &amp; R STA EQUIP-GENERAL-REGULATING</t>
  </si>
  <si>
    <t>M &amp; R STA EQUIP-GEN-LOCAL GAS PURCH</t>
  </si>
  <si>
    <t>M &amp; R STA EQUIP-CITY GATE CHECK STA</t>
  </si>
  <si>
    <t>SERVICES</t>
  </si>
  <si>
    <t>METERS</t>
  </si>
  <si>
    <t>METER INSTALLATIONS</t>
  </si>
  <si>
    <t>HOUSE REGULATORS</t>
  </si>
  <si>
    <t>HOUSE REGULATOR INSTALLATIONS</t>
  </si>
  <si>
    <t>INDUSTRIAL M &amp; R STATION EQUIPMENT</t>
  </si>
  <si>
    <t>OTHER EQUIP-ODORIZATION</t>
  </si>
  <si>
    <t>OTHER EQUIP-TELEPHONE</t>
  </si>
  <si>
    <t>OTHER EQUIPMENT-RADIO</t>
  </si>
  <si>
    <t>OTHER EQUIP-OTHER COMMUNICATION</t>
  </si>
  <si>
    <t>OTHER EQUIP-TELEMETERING</t>
  </si>
  <si>
    <t>OTHER EQUIP-CUST INFO SERVICE</t>
  </si>
  <si>
    <t>TOTAL DISTRIBUTION PLANT</t>
  </si>
  <si>
    <t>GENERAL PLANT</t>
  </si>
  <si>
    <t>OFFICE FURN &amp; EQUIP-UNSPECIFIED</t>
  </si>
  <si>
    <t xml:space="preserve">OFFICE FURN &amp; EQUIP-DATA HANDLING </t>
  </si>
  <si>
    <t>OFFICE FURN &amp; EQUIP-INFO SYSTEMS</t>
  </si>
  <si>
    <t>TRANS EQUIP-TRAILERS $1,000 or LESS</t>
  </si>
  <si>
    <t>STORES EQUIPMENT</t>
  </si>
  <si>
    <t xml:space="preserve">TOOLS,SHOP, &amp; GAR EQ-GARAGE &amp; SERV </t>
  </si>
  <si>
    <t>TOOLS,SHOP, &amp; GAR EQ-CNG STATIONARY</t>
  </si>
  <si>
    <t>TOOLS,SHOP, &amp; GAR EQ-CNG PORTABLE</t>
  </si>
  <si>
    <t>TOOLS,SHOP, &amp; GAR EQ-SHOP EQUIP</t>
  </si>
  <si>
    <t xml:space="preserve">TOOLS,SHOP, &amp; GAR EQ-TOOLS &amp; OTHER </t>
  </si>
  <si>
    <t>LABORATORY</t>
  </si>
  <si>
    <t>POWER OPERATED EQUIP-GENERAL TOOLS</t>
  </si>
  <si>
    <t>MISCELLANEOUS EQUIPMENT</t>
  </si>
  <si>
    <t>TOTAL GENERAL PLANT</t>
  </si>
  <si>
    <t xml:space="preserve">PROPOSED ADJUSTMENTS TO PLANT IN SERVICE </t>
  </si>
  <si>
    <t>SCHEDULE B-2.2</t>
  </si>
  <si>
    <t>DESCRIPTION AND</t>
  </si>
  <si>
    <t>ACCOUNT</t>
  </si>
  <si>
    <t>WORKPAPER</t>
  </si>
  <si>
    <t xml:space="preserve">PURPOSE OF </t>
  </si>
  <si>
    <t>TITLE</t>
  </si>
  <si>
    <t>ADJUSTMENT</t>
  </si>
  <si>
    <t>REFERENCE NO.</t>
  </si>
  <si>
    <t>GROSS ADDITIONS, RETIREMENTS, AND TRANSFERS</t>
  </si>
  <si>
    <t>SCHEDULE B-2.3</t>
  </si>
  <si>
    <t>BEGINNING</t>
  </si>
  <si>
    <t>EXPLANATION</t>
  </si>
  <si>
    <t>ENDING</t>
  </si>
  <si>
    <t>ACCOUNT TITLE</t>
  </si>
  <si>
    <t>BALANCE</t>
  </si>
  <si>
    <t>ADDITIONS</t>
  </si>
  <si>
    <t>RETIREMENTS</t>
  </si>
  <si>
    <t>AMOUNT</t>
  </si>
  <si>
    <t>INVOLVED</t>
  </si>
  <si>
    <t xml:space="preserve"> 1</t>
  </si>
  <si>
    <t>TOTAL GAS PLANT IN SERVICE</t>
  </si>
  <si>
    <t>PROPERTY MERGED OR ACQUIRED</t>
  </si>
  <si>
    <t>SCHEDULE B-2.4</t>
  </si>
  <si>
    <t>COMMISSION</t>
  </si>
  <si>
    <t>DESCRIPTION</t>
  </si>
  <si>
    <t>ACQUISITION</t>
  </si>
  <si>
    <t>COST</t>
  </si>
  <si>
    <t>APPROVAL DATE</t>
  </si>
  <si>
    <t>DATE OF</t>
  </si>
  <si>
    <t>OF</t>
  </si>
  <si>
    <t>OF PROPERTY</t>
  </si>
  <si>
    <t>BASIS</t>
  </si>
  <si>
    <t>(DOCKET NO.)</t>
  </si>
  <si>
    <t>TREATMENT</t>
  </si>
  <si>
    <t>NONE</t>
  </si>
  <si>
    <t>LEASED PROPERTY</t>
  </si>
  <si>
    <t>SCHEDULE B-2.5</t>
  </si>
  <si>
    <t>DOLLAR</t>
  </si>
  <si>
    <t>IDENTIFICATION</t>
  </si>
  <si>
    <t>VALUE OF</t>
  </si>
  <si>
    <t>OR REFERENCE</t>
  </si>
  <si>
    <t>DESCRIPTION OF TYPE</t>
  </si>
  <si>
    <t>NAME OF</t>
  </si>
  <si>
    <t>FREQUENCY</t>
  </si>
  <si>
    <t>AMOUNT OF</t>
  </si>
  <si>
    <t>PROPERTY</t>
  </si>
  <si>
    <t>EXPLAIN METHOD OF</t>
  </si>
  <si>
    <t>NUMBER</t>
  </si>
  <si>
    <t>AND USE OF PROPERTY</t>
  </si>
  <si>
    <t>LESSEE</t>
  </si>
  <si>
    <t>OF PAYMENT</t>
  </si>
  <si>
    <t>LEASE PAYMENT</t>
  </si>
  <si>
    <t>CAPITALIZATION</t>
  </si>
  <si>
    <t>PROPERTY HELD FOR FUTURE USE INCLUDED IN RATE BASE</t>
  </si>
  <si>
    <t>SCHEDULE B-2.6</t>
  </si>
  <si>
    <t>NET</t>
  </si>
  <si>
    <t>REVENUE REALIZED</t>
  </si>
  <si>
    <t>AND LOCATION</t>
  </si>
  <si>
    <t>ORIGINAL</t>
  </si>
  <si>
    <t>ACCUMULATED</t>
  </si>
  <si>
    <t>DATE</t>
  </si>
  <si>
    <t>DEPRECIATION</t>
  </si>
  <si>
    <t xml:space="preserve">NONE </t>
  </si>
  <si>
    <t>PROPERTY EXCLUDED FROM RATE BASE</t>
  </si>
  <si>
    <t>SCHEDULE B-2.7</t>
  </si>
  <si>
    <t>ACCOUNT TITLE OR</t>
  </si>
  <si>
    <t>REVENUE AND EXPENSE</t>
  </si>
  <si>
    <t>REASONS</t>
  </si>
  <si>
    <t xml:space="preserve">DESCRIPTION OF </t>
  </si>
  <si>
    <t>IN-SERVICE</t>
  </si>
  <si>
    <t>FOR</t>
  </si>
  <si>
    <t>EXCLUDED PROPERTY</t>
  </si>
  <si>
    <t>EXCLUSION</t>
  </si>
  <si>
    <t>ACCUMULATED DEPRECIATION &amp; AMORTIZATION</t>
  </si>
  <si>
    <t>SCHEDULE B-3</t>
  </si>
  <si>
    <t>BASE PERIOD</t>
  </si>
  <si>
    <t>&lt; -------------------------- RESERVE BALANCES -------------------------- &gt;</t>
  </si>
  <si>
    <t>ACCOUNT TITLES</t>
  </si>
  <si>
    <t>INVESTMENT</t>
  </si>
  <si>
    <t>(A)</t>
  </si>
  <si>
    <t>(B)</t>
  </si>
  <si>
    <t>(C)</t>
  </si>
  <si>
    <t>(D)</t>
  </si>
  <si>
    <t>(E)</t>
  </si>
  <si>
    <t>(F)</t>
  </si>
  <si>
    <t>(G)</t>
  </si>
  <si>
    <t>(H)</t>
  </si>
  <si>
    <t>(I)</t>
  </si>
  <si>
    <t>TOOLS,SHOP, &amp; GAR EQ-UND TANK CLEANUP</t>
  </si>
  <si>
    <t>ADJUSTMENTS TO ACCUMULATED DEPRECIATION &amp; AMORTIZATION</t>
  </si>
  <si>
    <t>SCHEDULE B-3.1</t>
  </si>
  <si>
    <t>DESCRIPTION AND PURPOSE</t>
  </si>
  <si>
    <t>OF ADJUSTMENT</t>
  </si>
  <si>
    <t>EXPENSE</t>
  </si>
  <si>
    <t>(J)</t>
  </si>
  <si>
    <t>Workpaper Reference No(s).  ____________________</t>
  </si>
  <si>
    <t>PROPOSED</t>
  </si>
  <si>
    <t>TRANS EQUIP-TRAILERS OVER $1,000</t>
  </si>
  <si>
    <t>SCHEDULE B-4</t>
  </si>
  <si>
    <t>ACCUMULATED COSTS</t>
  </si>
  <si>
    <t xml:space="preserve">DESCRIPTION </t>
  </si>
  <si>
    <t>CONSTRUCTION</t>
  </si>
  <si>
    <t>%</t>
  </si>
  <si>
    <t>100.00</t>
  </si>
  <si>
    <t>SUBTOTAL</t>
  </si>
  <si>
    <t>(1)</t>
  </si>
  <si>
    <t>100.00%</t>
  </si>
  <si>
    <t>WPB-5.1</t>
  </si>
  <si>
    <t>WORKING CAPITAL COMPONENTS</t>
  </si>
  <si>
    <t>SHEET 1 OF 4</t>
  </si>
  <si>
    <t>SHEET 2 OF 4</t>
  </si>
  <si>
    <t xml:space="preserve">TOTAL </t>
  </si>
  <si>
    <t>FUEL STOCK</t>
  </si>
  <si>
    <t>MATERIAL &amp; SUPPLIES</t>
  </si>
  <si>
    <t>(2)</t>
  </si>
  <si>
    <t>(3)</t>
  </si>
  <si>
    <t>CASH WORKING CAPITAL</t>
  </si>
  <si>
    <t xml:space="preserve">      PURCHASED GAS EXPENSE</t>
  </si>
  <si>
    <t xml:space="preserve">      LIQUEFIED PETROLEUM GAS EXPENSE</t>
  </si>
  <si>
    <t>ALLOWANCE FOR WORKING CAPITAL</t>
  </si>
  <si>
    <t>SCHEDULE B-5</t>
  </si>
  <si>
    <t>DESCRIPTION OF METHODOLOGY</t>
  </si>
  <si>
    <t>WORKING CAPITAL</t>
  </si>
  <si>
    <t>USED TO DETERMINE</t>
  </si>
  <si>
    <t>COMPONENT</t>
  </si>
  <si>
    <t>JURISDICTIONAL REQUIREMENT</t>
  </si>
  <si>
    <t>13 MONTH AVERAGE BALANCE</t>
  </si>
  <si>
    <t xml:space="preserve">GAS STORED UNDERGROUND </t>
  </si>
  <si>
    <t>TOTAL WORKING CAPITAL REQUIREMENTS</t>
  </si>
  <si>
    <t>DEFERRED CREDITS AND ACCUMULATED DEFERRED INCOME TAXES</t>
  </si>
  <si>
    <t xml:space="preserve">WORKING CAPITAL COMPONENTS </t>
  </si>
  <si>
    <t>SCHEDULE B-5.1</t>
  </si>
  <si>
    <t>13 MONTH AVERAGE FOR PERIOD</t>
  </si>
  <si>
    <t>GAS STORED UNDERGROUND</t>
  </si>
  <si>
    <t>CWIP</t>
  </si>
  <si>
    <t>IN SERVICE</t>
  </si>
  <si>
    <t>MISC INTANGIBLE PLANT</t>
  </si>
  <si>
    <t>LAND RIGHTS - OTHER DIST</t>
  </si>
  <si>
    <t>REGULATING STRUCTURES</t>
  </si>
  <si>
    <t>OTHER STRUCTURES</t>
  </si>
  <si>
    <t>M&amp;R EQUIP-GENERAL-REG</t>
  </si>
  <si>
    <t>IND M&amp;R EQUIPMENT</t>
  </si>
  <si>
    <t>OTHER EQ-TELEMETERING</t>
  </si>
  <si>
    <t>OFF FUR &amp; EQ UNSPECIF</t>
  </si>
  <si>
    <t xml:space="preserve">TOTAL OTHER WORKING CAPITAL </t>
  </si>
  <si>
    <t>TYPE OF FILING:___X____ORIGINAL________UPDATED</t>
  </si>
  <si>
    <t>WORKPAPER REFERENCE NO(S).____________________</t>
  </si>
  <si>
    <t>ACCT</t>
  </si>
  <si>
    <t>WORKPAPER REFERENCE NO(S).</t>
  </si>
  <si>
    <t xml:space="preserve">MAINS </t>
  </si>
  <si>
    <t>(F=D-E)</t>
  </si>
  <si>
    <t>(H=F*G)</t>
  </si>
  <si>
    <t>X:\ERATE\CKY\RATECASE\1994\SCHC\INDEX.WK1</t>
  </si>
  <si>
    <t>SCHEDULE  B</t>
  </si>
  <si>
    <t>JURISDICTIONAL RATE BASE SUMMARY FOR THE BASE AND FORECASTED PERIOD</t>
  </si>
  <si>
    <t>B-1</t>
  </si>
  <si>
    <t>B-2.1</t>
  </si>
  <si>
    <t>B-2.2</t>
  </si>
  <si>
    <t>PLANT IN SERVICE BY MAJOR GROUPING</t>
  </si>
  <si>
    <t>PLANT IN SERVICE BY ACCOUNTS AND SUBACCOUNTS</t>
  </si>
  <si>
    <t>PROPOSED ADJUSTMENTS TO PLANT IN SERVICE</t>
  </si>
  <si>
    <t>B-2.3</t>
  </si>
  <si>
    <t>B-2.5</t>
  </si>
  <si>
    <t>GROSS ADDITIONS, RETIREMENTS AND TRANSFERS</t>
  </si>
  <si>
    <t>B-2.7</t>
  </si>
  <si>
    <t>B-3.1</t>
  </si>
  <si>
    <t>ADJUSTMENTS TO ACCUMULATED DEPRECIATION AND AMORTIZATION</t>
  </si>
  <si>
    <t>B-5</t>
  </si>
  <si>
    <t>ACCOUNT 101/106 GAS PLANT IN SERVICE - GENERAL</t>
  </si>
  <si>
    <t>Organization</t>
  </si>
  <si>
    <t>Miscellaneous Intangible Plant</t>
  </si>
  <si>
    <t>Misc Intangible Plant-Dis Software</t>
  </si>
  <si>
    <t>Misc Intangible Plant-Fara Software</t>
  </si>
  <si>
    <t>Misc Intangible Plant-Other Software</t>
  </si>
  <si>
    <t>Total Intangible Plant</t>
  </si>
  <si>
    <t>Land-City Gate &amp; Main Line Ind. M &amp; R</t>
  </si>
  <si>
    <t>Land-Other Distribution Systems</t>
  </si>
  <si>
    <t>Land Rights-Other Distr Systems</t>
  </si>
  <si>
    <t>Rights Of Way</t>
  </si>
  <si>
    <t>Struc &amp; Improv-City Gate M &amp; R</t>
  </si>
  <si>
    <t>Struc &amp; Improv-General M &amp; R</t>
  </si>
  <si>
    <t xml:space="preserve">Struc &amp; Improv-Regulating </t>
  </si>
  <si>
    <t>Struc &amp; Improv-Distr. Ind. M &amp; R</t>
  </si>
  <si>
    <t>Struc &amp; Improv-Other Distr. Systems</t>
  </si>
  <si>
    <t>Struc &amp; Improv-Other Distr Sys-Ilp</t>
  </si>
  <si>
    <t>Struc &amp; Improv-Communications</t>
  </si>
  <si>
    <t>M &amp; R Station Equip-General</t>
  </si>
  <si>
    <t>M &amp; R Sta Equip-Gen-Local Gas Purch</t>
  </si>
  <si>
    <t>M &amp; R Sta Equip-City Gate Check Sta</t>
  </si>
  <si>
    <t>Meters</t>
  </si>
  <si>
    <t>House Regulator Installations</t>
  </si>
  <si>
    <t>Industrial M &amp; R Station Equipment</t>
  </si>
  <si>
    <t>Other Equip-Odorization</t>
  </si>
  <si>
    <t>Other Equip-Telephone</t>
  </si>
  <si>
    <t>Other Equipment-Radio</t>
  </si>
  <si>
    <t>Other Equip-Other Communication</t>
  </si>
  <si>
    <t>Other Equip-Telemetering</t>
  </si>
  <si>
    <t>Other Equip-Cust Info Service</t>
  </si>
  <si>
    <t>Total Distribution Plant</t>
  </si>
  <si>
    <t>Office Furn &amp; Equip-Unspecified</t>
  </si>
  <si>
    <t xml:space="preserve">Office Furn &amp; Equip-Data Handling </t>
  </si>
  <si>
    <t>Office Furn &amp; Equip-Info Systems</t>
  </si>
  <si>
    <t>Trans Equip-Trailers Over $1,000</t>
  </si>
  <si>
    <t>Trans Equip-Trailers $1,000 Or Less</t>
  </si>
  <si>
    <t>Stores Equipment</t>
  </si>
  <si>
    <t xml:space="preserve">Tools,Shop, &amp; Gar Eq-Garage &amp; Serv </t>
  </si>
  <si>
    <t>Tools,Shop, &amp; Gar Eq-Cng Stationary</t>
  </si>
  <si>
    <t>Tools,Shop, &amp; Gar Eq-Und Tank Cleanup</t>
  </si>
  <si>
    <t>Tools,Shop, &amp; Gar Eq-Shop Equip</t>
  </si>
  <si>
    <t xml:space="preserve">Tools,Shop, &amp; Gar Eq-Tools &amp; Other </t>
  </si>
  <si>
    <t>Laboratory</t>
  </si>
  <si>
    <t>Power Operated Equip-General Tools</t>
  </si>
  <si>
    <t>Miscellaneous Equipment</t>
  </si>
  <si>
    <t>Total General Plant</t>
  </si>
  <si>
    <t>Line</t>
  </si>
  <si>
    <t>No.</t>
  </si>
  <si>
    <t>Description</t>
  </si>
  <si>
    <t>Additions</t>
  </si>
  <si>
    <t>Retirements</t>
  </si>
  <si>
    <t>Amort.</t>
  </si>
  <si>
    <t>Non-Dep.</t>
  </si>
  <si>
    <t>Actual</t>
  </si>
  <si>
    <t>Projected</t>
  </si>
  <si>
    <t>SHEET 2 OF 2</t>
  </si>
  <si>
    <t>FORECASTED</t>
  </si>
  <si>
    <t>TEST</t>
  </si>
  <si>
    <t>END OF</t>
  </si>
  <si>
    <t>END OF PERIOD</t>
  </si>
  <si>
    <t>METERS - AMI</t>
  </si>
  <si>
    <t>PERIOD TOTAL</t>
  </si>
  <si>
    <t>&lt; --------------------------------- RESERVE BALANCES --------------------------------- &gt;</t>
  </si>
  <si>
    <t>&lt; --------------------------------------------- RESERVE BALANCES ---------------------------------------------- &gt;</t>
  </si>
  <si>
    <t>Account</t>
  </si>
  <si>
    <t>WACOG</t>
  </si>
  <si>
    <t>Month</t>
  </si>
  <si>
    <t>Rate/Mcf</t>
  </si>
  <si>
    <t>(Mcf)</t>
  </si>
  <si>
    <t>($/Mcf)</t>
  </si>
  <si>
    <t>YTD adj</t>
  </si>
  <si>
    <t>LIFO adj for Net Gas Withdrawn</t>
  </si>
  <si>
    <t>OTHER WORKING CAPITAL ALLOWANCES (13 MO. AVG)</t>
  </si>
  <si>
    <t>(4)</t>
  </si>
  <si>
    <t>(5)</t>
  </si>
  <si>
    <t>(6)</t>
  </si>
  <si>
    <t>13 Month Average</t>
  </si>
  <si>
    <t>Miscellaneous Deferred Debits</t>
  </si>
  <si>
    <t>Plant Materials &amp; Supplies</t>
  </si>
  <si>
    <t>Account 154</t>
  </si>
  <si>
    <t>Mcf</t>
  </si>
  <si>
    <t>TRANSFERS</t>
  </si>
  <si>
    <t>Total</t>
  </si>
  <si>
    <t>Difference</t>
  </si>
  <si>
    <t>Adjustment</t>
  </si>
  <si>
    <t>OVERALL FINANCIAL SUMMARY</t>
  </si>
  <si>
    <t>SCHEDULE  A</t>
  </si>
  <si>
    <t>JURISDICTIONAL OVERALL FINANCIAL SUMMARY FOR THE BASE AND FORECASTED PERIOD</t>
  </si>
  <si>
    <t>BASE PERIOD :</t>
  </si>
  <si>
    <t>FORECASTED PERIOD:</t>
  </si>
  <si>
    <t>A</t>
  </si>
  <si>
    <t>SCHEDULE A</t>
  </si>
  <si>
    <t>TYPE OF FILING:___X___ORIGINAL______UPDATED</t>
  </si>
  <si>
    <t>FORECAST PERIOD</t>
  </si>
  <si>
    <t xml:space="preserve">SUPPORTING </t>
  </si>
  <si>
    <t xml:space="preserve">SCHEDULE </t>
  </si>
  <si>
    <t xml:space="preserve">REVENUE </t>
  </si>
  <si>
    <t>REQUIREMENT</t>
  </si>
  <si>
    <t>REVENUE</t>
  </si>
  <si>
    <t>FORECASTED PERIOD</t>
  </si>
  <si>
    <t>RATE BASE</t>
  </si>
  <si>
    <t>ADJUSTED OPERATING INCOME</t>
  </si>
  <si>
    <t>C-1</t>
  </si>
  <si>
    <t>EARNED RATE OF RETURN (2 / 1)</t>
  </si>
  <si>
    <t>REQUIRED RATE OF RETURN</t>
  </si>
  <si>
    <t>J</t>
  </si>
  <si>
    <t>REQUIRED OPERATING INCOME (1 x 4)</t>
  </si>
  <si>
    <t>OPERATING INCOME DEFICIENCY (5 - 2)</t>
  </si>
  <si>
    <t>GROSS REVENUE CONVERSION FACTOR</t>
  </si>
  <si>
    <t>REVENUE DEFICIENCY (6 x 7)</t>
  </si>
  <si>
    <t>REVENUE INCREASE REQUESTED</t>
  </si>
  <si>
    <t>ADJUSTED OPERATING REVENUES</t>
  </si>
  <si>
    <t>REVENUE REQUIREMENTS (9 + 10)</t>
  </si>
  <si>
    <t>SCHEDULE  C</t>
  </si>
  <si>
    <t>JURISDICTIONAL OPERATING INCOME SUMMARY FOR THE BASE AND FORECASTED PERIOD</t>
  </si>
  <si>
    <t xml:space="preserve">C-1       </t>
  </si>
  <si>
    <t>OPERATING INCOME SUMMARY</t>
  </si>
  <si>
    <t xml:space="preserve">C-2     </t>
  </si>
  <si>
    <t>SCHEDULE  D</t>
  </si>
  <si>
    <t>JURISDICTIONAL ADJUSTMENT OF OPERATING INCOME</t>
  </si>
  <si>
    <t>SUMMARY OF ADJUSTMENTS TO OPERATING INCOME</t>
  </si>
  <si>
    <t>D-2.1</t>
  </si>
  <si>
    <t>DETAILED ADJUSTMENTS</t>
  </si>
  <si>
    <t>D-2.2</t>
  </si>
  <si>
    <t>D-2.3</t>
  </si>
  <si>
    <t>D-2.4</t>
  </si>
  <si>
    <t>SCHEDULE C-1</t>
  </si>
  <si>
    <t>SHEET 1 OF 1</t>
  </si>
  <si>
    <t>RETURN AT</t>
  </si>
  <si>
    <t>ADJUSTMENTS AT</t>
  </si>
  <si>
    <t>CURRENT RATES</t>
  </si>
  <si>
    <t>INCREASE</t>
  </si>
  <si>
    <t>PROPOSED RATES</t>
  </si>
  <si>
    <t>OPERATING REVENUES</t>
  </si>
  <si>
    <t>OPERATING EXPENSES</t>
  </si>
  <si>
    <t xml:space="preserve">  GAS SUPPLY EXPENSES</t>
  </si>
  <si>
    <t xml:space="preserve">  OTHER OPERATING EXPENSES</t>
  </si>
  <si>
    <t xml:space="preserve">  TAXES OTHER THAN INCOME</t>
  </si>
  <si>
    <t>OPERATING INCOME BEFORE INCOME TAXES</t>
  </si>
  <si>
    <t xml:space="preserve">  FEDERAL INCOME TAXES</t>
  </si>
  <si>
    <t xml:space="preserve">  STATE INCOME TAXES</t>
  </si>
  <si>
    <t>TOTAL INCOME TAXES</t>
  </si>
  <si>
    <t>OPERATING INCOME</t>
  </si>
  <si>
    <t>RATE OF RETURN</t>
  </si>
  <si>
    <t>DATA:__X___BASE PERIOD___X___FORECASTED PERIOD</t>
  </si>
  <si>
    <t>SCHEDULE C-2</t>
  </si>
  <si>
    <t xml:space="preserve">FORECASTED </t>
  </si>
  <si>
    <t>REVENUE &amp;</t>
  </si>
  <si>
    <t>MAJOR GROUP CLASSIFICATION</t>
  </si>
  <si>
    <t>EXPENSES</t>
  </si>
  <si>
    <t xml:space="preserve">  1</t>
  </si>
  <si>
    <t>OPERATING REVENUE</t>
  </si>
  <si>
    <t xml:space="preserve">  PROPERTY</t>
  </si>
  <si>
    <t xml:space="preserve">  PAYROLL </t>
  </si>
  <si>
    <t xml:space="preserve">  OTHER</t>
  </si>
  <si>
    <t xml:space="preserve">  FEDERAL INCOME</t>
  </si>
  <si>
    <t xml:space="preserve">  STATE INCOME</t>
  </si>
  <si>
    <t>TOTAL OPERATING EXPENSES</t>
  </si>
  <si>
    <t>NET OPERATING INCOME</t>
  </si>
  <si>
    <t>SHEET 1 of  2</t>
  </si>
  <si>
    <t>UNADJUSTED</t>
  </si>
  <si>
    <t>ALLOCATION</t>
  </si>
  <si>
    <t>METHOD/</t>
  </si>
  <si>
    <t>NO. (S)</t>
  </si>
  <si>
    <t>UTILITY</t>
  </si>
  <si>
    <t>PERCENTAGE</t>
  </si>
  <si>
    <t>O P E R A T I N G  R E V E N U E</t>
  </si>
  <si>
    <t>480</t>
  </si>
  <si>
    <t xml:space="preserve">    RESIDENTIAL</t>
  </si>
  <si>
    <t>100%</t>
  </si>
  <si>
    <t>481.1</t>
  </si>
  <si>
    <t xml:space="preserve">    COMMERCIAL</t>
  </si>
  <si>
    <t>481.2</t>
  </si>
  <si>
    <t xml:space="preserve">    INDUSTRIAL</t>
  </si>
  <si>
    <t>481.9</t>
  </si>
  <si>
    <t xml:space="preserve">    OTHER</t>
  </si>
  <si>
    <t>487</t>
  </si>
  <si>
    <t xml:space="preserve">    FORFEITED DISCOUNTS</t>
  </si>
  <si>
    <t>488</t>
  </si>
  <si>
    <t xml:space="preserve">    MISC. SERVICE REVENUES</t>
  </si>
  <si>
    <t xml:space="preserve">  TOTAL OTHER OPERATING INCOME</t>
  </si>
  <si>
    <t>O P E R A T I N G  E X P E N S E S</t>
  </si>
  <si>
    <t>LIQUEFIED PETROLEUM GAS PRODUCTION EXPENSE</t>
  </si>
  <si>
    <t>717</t>
  </si>
  <si>
    <t>723</t>
  </si>
  <si>
    <t xml:space="preserve">      FUEL FOR LIQUEFIED PETROLEUM GAS PROCESS</t>
  </si>
  <si>
    <t>728</t>
  </si>
  <si>
    <t xml:space="preserve">      LIQUEFIED PETROLEUM GAS </t>
  </si>
  <si>
    <t>741</t>
  </si>
  <si>
    <t xml:space="preserve">      STRUCTURES &amp; IMPROVEMENTS</t>
  </si>
  <si>
    <t>742</t>
  </si>
  <si>
    <t xml:space="preserve">      PRODUCTION EQUIPMENT</t>
  </si>
  <si>
    <t>801-803</t>
  </si>
  <si>
    <t xml:space="preserve">      NATURAL GAS FIELD &amp; TRANSMISSION LINE PURCH</t>
  </si>
  <si>
    <t>804</t>
  </si>
  <si>
    <t xml:space="preserve">      NATURAL GAS CITY GATE PURCHASES</t>
  </si>
  <si>
    <t>805</t>
  </si>
  <si>
    <t xml:space="preserve">      OTHER GAS PURCHASES</t>
  </si>
  <si>
    <t>806</t>
  </si>
  <si>
    <t xml:space="preserve">      EXCHANGE GAS</t>
  </si>
  <si>
    <t>807</t>
  </si>
  <si>
    <t>808</t>
  </si>
  <si>
    <t>812</t>
  </si>
  <si>
    <t xml:space="preserve">      GAS USED FOR OTHER UTILITY OPERATIONS</t>
  </si>
  <si>
    <t xml:space="preserve">      EXCHANGE FEES</t>
  </si>
  <si>
    <t>870</t>
  </si>
  <si>
    <t xml:space="preserve">    SUPERVISION AND ENGINEERING</t>
  </si>
  <si>
    <t>871</t>
  </si>
  <si>
    <t xml:space="preserve">    DISTRIBUTION LOAD DISPATCHING</t>
  </si>
  <si>
    <t>874</t>
  </si>
  <si>
    <t xml:space="preserve">    MAINS AND SERVICES EXPENSES</t>
  </si>
  <si>
    <t>875</t>
  </si>
  <si>
    <t xml:space="preserve">    MEASURING AND REGULATION STA. EXPENSE - GEN.</t>
  </si>
  <si>
    <t>876</t>
  </si>
  <si>
    <t xml:space="preserve">    MEASURING AND REGULATION STA. EXPENSE - IND.</t>
  </si>
  <si>
    <t>878</t>
  </si>
  <si>
    <t xml:space="preserve">    METERS AND HOUSE REGULATOR EXPENSE</t>
  </si>
  <si>
    <t>879</t>
  </si>
  <si>
    <t xml:space="preserve">    CUSTOMER INSTALLATIONS EXPENSE</t>
  </si>
  <si>
    <t>880</t>
  </si>
  <si>
    <t xml:space="preserve">    OTHER EXPENSE</t>
  </si>
  <si>
    <t>881</t>
  </si>
  <si>
    <t xml:space="preserve">    TELECOMMUNICATION EXPENSE - ENGINEERING</t>
  </si>
  <si>
    <t>885</t>
  </si>
  <si>
    <t>886</t>
  </si>
  <si>
    <t xml:space="preserve">    STRUCTURES AND IMPROVEMENTS</t>
  </si>
  <si>
    <t>887</t>
  </si>
  <si>
    <t xml:space="preserve">    MAINS</t>
  </si>
  <si>
    <t>889</t>
  </si>
  <si>
    <t>890</t>
  </si>
  <si>
    <t>892</t>
  </si>
  <si>
    <t xml:space="preserve">    SERVICES</t>
  </si>
  <si>
    <t>893</t>
  </si>
  <si>
    <t xml:space="preserve">    METERS AND HOUSE REGULATORS</t>
  </si>
  <si>
    <t>894</t>
  </si>
  <si>
    <t xml:space="preserve">    OTHER EQUIPMENT</t>
  </si>
  <si>
    <t xml:space="preserve">  TOTAL DISTRIBUTION EXPENSES - MAINTENANCE</t>
  </si>
  <si>
    <t>SHEET 2 of 2</t>
  </si>
  <si>
    <t>901</t>
  </si>
  <si>
    <t xml:space="preserve">    SUPERVISION</t>
  </si>
  <si>
    <t>902</t>
  </si>
  <si>
    <t xml:space="preserve">    METER READING EXPENSES</t>
  </si>
  <si>
    <t>903</t>
  </si>
  <si>
    <t xml:space="preserve">    CUSTOMER RECORDS &amp; COLLECTIONS - UTIL. SERV</t>
  </si>
  <si>
    <t>904</t>
  </si>
  <si>
    <t xml:space="preserve">    UNCOLLECTIBLE ACCOUNTS</t>
  </si>
  <si>
    <t>905</t>
  </si>
  <si>
    <t xml:space="preserve">    MISCELLANEOUS CUSTOMER ACCOUNT EXPENSES</t>
  </si>
  <si>
    <t xml:space="preserve">    OFFICE SUPPLIES AND EXPENSES</t>
  </si>
  <si>
    <t xml:space="preserve">    MAINTENANCE OF GENERAL PLANT</t>
  </si>
  <si>
    <t>907</t>
  </si>
  <si>
    <t>908</t>
  </si>
  <si>
    <t xml:space="preserve">    CUSTOMER ASSISTANCE EXPENSES</t>
  </si>
  <si>
    <t>909</t>
  </si>
  <si>
    <t xml:space="preserve">    INFORMATIONAL AND INSTR. ADVERT. EXPENSES</t>
  </si>
  <si>
    <t>910</t>
  </si>
  <si>
    <t xml:space="preserve">    MISCELLANEOUS CUSTOMER ACCOUNT EXPENSE</t>
  </si>
  <si>
    <t xml:space="preserve">  SALES EXPENSES</t>
  </si>
  <si>
    <t>911</t>
  </si>
  <si>
    <t>912</t>
  </si>
  <si>
    <t xml:space="preserve">    DEMONSTRATING AND SELLING EXPENSES</t>
  </si>
  <si>
    <t>913</t>
  </si>
  <si>
    <t xml:space="preserve">    ADVERTISING EXPENSE</t>
  </si>
  <si>
    <t>916</t>
  </si>
  <si>
    <t xml:space="preserve">    MISCELLANEOUS SALES EXPENSE</t>
  </si>
  <si>
    <t>920</t>
  </si>
  <si>
    <t xml:space="preserve">    ADMINISTRATIVE AND GENERAL SALARIES</t>
  </si>
  <si>
    <t>921</t>
  </si>
  <si>
    <t>923</t>
  </si>
  <si>
    <t xml:space="preserve">    OUTSIDE SERVICES EMPLOYED</t>
  </si>
  <si>
    <t>924</t>
  </si>
  <si>
    <t xml:space="preserve">    PROPERTY INSURANCE PREMIUMS</t>
  </si>
  <si>
    <t>925</t>
  </si>
  <si>
    <t xml:space="preserve">    INJURIES AND DAMAGES</t>
  </si>
  <si>
    <t>926</t>
  </si>
  <si>
    <t xml:space="preserve">    EMPLOYEE PENSIONS AND BENEFITS</t>
  </si>
  <si>
    <t>928</t>
  </si>
  <si>
    <t xml:space="preserve">    REGULATORY COMMISSION EXPENSE</t>
  </si>
  <si>
    <t>931</t>
  </si>
  <si>
    <t xml:space="preserve">    RENTS</t>
  </si>
  <si>
    <t>935</t>
  </si>
  <si>
    <t>TOTAL OPERATION AND MAINT. EXP. ACCOUNTS</t>
  </si>
  <si>
    <t>403-404</t>
  </si>
  <si>
    <t xml:space="preserve">  DEPRECIATION AND AMORTIZATION</t>
  </si>
  <si>
    <t>408</t>
  </si>
  <si>
    <t xml:space="preserve">      NATURAL GAS FIELD &amp; TRANSMISSION LINE PURCHASES</t>
  </si>
  <si>
    <t xml:space="preserve">    CUSTOMER RECORDS &amp; COLLECTIONS - UTILITY SERVICES</t>
  </si>
  <si>
    <t>TOTAL OPERATION AND MAINTENANCE EXPENSE ACCOUNTS</t>
  </si>
  <si>
    <t>SHEET 1 of 2</t>
  </si>
  <si>
    <t>Acct No.</t>
  </si>
  <si>
    <t>Account Description</t>
  </si>
  <si>
    <t>SEP</t>
  </si>
  <si>
    <t>OCT</t>
  </si>
  <si>
    <t>NOV</t>
  </si>
  <si>
    <t>DEC</t>
  </si>
  <si>
    <t>JAN</t>
  </si>
  <si>
    <t>FEB</t>
  </si>
  <si>
    <t>MAR</t>
  </si>
  <si>
    <t>APR</t>
  </si>
  <si>
    <t>MAY</t>
  </si>
  <si>
    <t>JUN</t>
  </si>
  <si>
    <t>JUL</t>
  </si>
  <si>
    <t>AMORTIZATION-GAS PLANT ACQUISITION ADJUSTMENTS</t>
  </si>
  <si>
    <t>TAXES OTHER THAN INCOME TAXES - PROPERTY</t>
  </si>
  <si>
    <t>TAXES OTHER THAN INCOME TAXES - PAYROLL</t>
  </si>
  <si>
    <t>TAXES OTHER THAN INCOME TAXES - OTHER</t>
  </si>
  <si>
    <t>RESIDENTIAL REVENUE</t>
  </si>
  <si>
    <t>COMMERCIAL REVENUE</t>
  </si>
  <si>
    <t>INDUSTRIAL REVENUE</t>
  </si>
  <si>
    <t>PUBLIC UTILITIES</t>
  </si>
  <si>
    <t>FORFEITED DISCOUNTS</t>
  </si>
  <si>
    <t>MISCELLANEOUS SERVICE REVENUE</t>
  </si>
  <si>
    <t>RENTAL FROM GAS PROPERTY</t>
  </si>
  <si>
    <t>OTHER GAS REVENUE</t>
  </si>
  <si>
    <t>LIQUEFIED PETROLEUM GAS EXPENSES</t>
  </si>
  <si>
    <t>FUEL FOR LIQUEFIED PETROLEUM GAS PROCESS</t>
  </si>
  <si>
    <t xml:space="preserve">LIQUEFIED PETROLEUM GAS </t>
  </si>
  <si>
    <t>STRUCTURES &amp; IMPROVEMENTS</t>
  </si>
  <si>
    <t>PRODUCTION EQUIPMENT</t>
  </si>
  <si>
    <t>801 - 803</t>
  </si>
  <si>
    <t>NATURAL GAS FIELD &amp; TRANSMISSION LINE PURCHASES</t>
  </si>
  <si>
    <t>NATURAL GAS CITY GATE PURCHASES</t>
  </si>
  <si>
    <t>OTHER GAS PURCHASES</t>
  </si>
  <si>
    <t>EXCHANGE GAS</t>
  </si>
  <si>
    <t>PURCHASED GAS EXPENSE - BROKERAGE FEE</t>
  </si>
  <si>
    <t>PURCHASED GAS EXPENSE</t>
  </si>
  <si>
    <t>GAS WITHDRAWN FROM STORAGE</t>
  </si>
  <si>
    <t>TOTAL GAS USED IN OPERATIONS</t>
  </si>
  <si>
    <t>EXCHANGE FEES</t>
  </si>
  <si>
    <t>SUPERVISION AND ENGINEERING</t>
  </si>
  <si>
    <t>DISTRIBUTION LOAD DISPATCHING</t>
  </si>
  <si>
    <t>MAINS AND SERVICES EXPENSES</t>
  </si>
  <si>
    <t>MEASURING AND REGULATION STA. EXPENSE - GEN.</t>
  </si>
  <si>
    <t>MEASURING AND REGULATION STA. EXPENSE - IND.</t>
  </si>
  <si>
    <t>METERS AND HOUSE REGULATOR EXPENSE</t>
  </si>
  <si>
    <t>CUSTOMER INSTALLATIONS EXPENSE</t>
  </si>
  <si>
    <t>OTHER EXPENSE</t>
  </si>
  <si>
    <t>TELECOMMUNICATION EXPENSE - ENGINEERING</t>
  </si>
  <si>
    <t>STRUCTURES AND IMPROVEMENTS</t>
  </si>
  <si>
    <t>METERS AND HOUSE REGULATORS</t>
  </si>
  <si>
    <t>OTHER EQUIPMENT</t>
  </si>
  <si>
    <t>SUPERVISION</t>
  </si>
  <si>
    <t>METER READING EXPENSES</t>
  </si>
  <si>
    <t>CUSTOMER RECORDS &amp; COLLECTIONS - UTILITY SERVICES</t>
  </si>
  <si>
    <t>UNCOLLECTIBLE ACCOUNTS</t>
  </si>
  <si>
    <t>MISCELLANEOUS CUSTOMER ACCOUNT EXPENSES</t>
  </si>
  <si>
    <t>CUSTOMER ASSISTANCE EXPENSES</t>
  </si>
  <si>
    <t>INFORMATIONAL AND INSTR. ADVERT. EXPENSES</t>
  </si>
  <si>
    <t>MISCELLANEOUS CUSTOMER ACCOUNT EXPENSE</t>
  </si>
  <si>
    <t>DEMONSTRATING AND SELLING EXPENSES</t>
  </si>
  <si>
    <t>ADVERTISING EXPENSE</t>
  </si>
  <si>
    <t>OFFICE SUPPLIES ADMINISTRATIVE &amp; GENERAL</t>
  </si>
  <si>
    <t>ADMINISTRATIVE AND GENERAL SALARIES</t>
  </si>
  <si>
    <t>OFFICE SUPPLIES CUSTOMER ACCOUNTS</t>
  </si>
  <si>
    <t>OUTSIDE SERVICES EMPLOYED</t>
  </si>
  <si>
    <t>PROPERTY INSURANCE PREMIUMS</t>
  </si>
  <si>
    <t>INJURIES AND DAMAGES</t>
  </si>
  <si>
    <t>EMPLOYEE PENSIONS AND BENEFITS</t>
  </si>
  <si>
    <t>REGULATORY COMMISSION EXPENSE</t>
  </si>
  <si>
    <t>RENTS</t>
  </si>
  <si>
    <t>Forecasted</t>
  </si>
  <si>
    <t>AUG</t>
  </si>
  <si>
    <t>OPERATING INCOME BY MAJOR ACCOUNTS</t>
  </si>
  <si>
    <t xml:space="preserve">ACCOUNT NO. </t>
  </si>
  <si>
    <t>&amp; TITLE</t>
  </si>
  <si>
    <t>ADJ 1</t>
  </si>
  <si>
    <t>ADJ 2</t>
  </si>
  <si>
    <t>ADJ 3</t>
  </si>
  <si>
    <t>ADJUST.</t>
  </si>
  <si>
    <t>SALE OF GAS</t>
  </si>
  <si>
    <t xml:space="preserve">  TOTAL SALE OF GAS</t>
  </si>
  <si>
    <t>OTHER OPERATING INCOME</t>
  </si>
  <si>
    <t xml:space="preserve">  TOTAL OPERATING REVENUE</t>
  </si>
  <si>
    <t>OTHER GAS SUPPLY EXPENSES - OPERATION</t>
  </si>
  <si>
    <t xml:space="preserve">  TOTAL OTHER GAS SUPPLY EXPENSES - OPERATION</t>
  </si>
  <si>
    <t xml:space="preserve">  TOTAL PLANT REVENUE</t>
  </si>
  <si>
    <t>ACCOUNT 107 CONSTRUCTION WORK IN PROGRESS IN SERVICE</t>
  </si>
  <si>
    <t>SALES REVENUE BY CUSTOMER CLASS</t>
  </si>
  <si>
    <t>NUMBER OF SALES CUSTOMERS BY CLASS</t>
  </si>
  <si>
    <t>AVERAGE SALES REVENUE PER CLASS</t>
  </si>
  <si>
    <t>TRANSPORTATION REVENUE BY CUSTOMER CLASS</t>
  </si>
  <si>
    <t>TOTAL REVENUE</t>
  </si>
  <si>
    <t>TOTAL CUSTOMERS</t>
  </si>
  <si>
    <t>AVERAGE TRANSPORTATION REVENUE PER CLASS</t>
  </si>
  <si>
    <t>[1]</t>
  </si>
  <si>
    <t>Unadjusted</t>
  </si>
  <si>
    <t>TOTAL TAXES OTHER THAN INCOME TAXES</t>
  </si>
  <si>
    <t>GPA</t>
  </si>
  <si>
    <t>WORKPAPER REFERENCE NO(S).: WPB-2.2</t>
  </si>
  <si>
    <t>(7)</t>
  </si>
  <si>
    <t>(8)</t>
  </si>
  <si>
    <t>(9)</t>
  </si>
  <si>
    <t>(10)</t>
  </si>
  <si>
    <t>(11)</t>
  </si>
  <si>
    <t>(12)</t>
  </si>
  <si>
    <t>(13)</t>
  </si>
  <si>
    <t>(14)</t>
  </si>
  <si>
    <t>(15)</t>
  </si>
  <si>
    <t>(16)</t>
  </si>
  <si>
    <t>ACCT. NO.</t>
  </si>
  <si>
    <t>EXPENSES INCURRED</t>
  </si>
  <si>
    <t>WPB-3.1</t>
  </si>
  <si>
    <t>WORKPAPER REFERENCE NO(S).: WPB-3.1</t>
  </si>
  <si>
    <t>WPB-5.3</t>
  </si>
  <si>
    <t>FORECASTED TEST PERIOD:</t>
  </si>
  <si>
    <t>A LEVEL OF EXPENSE IN THE FORECASTED TEST PERIOD BASED ON A FIVE YEAR AVERAGE OF ACTUAL EXPENSE.</t>
  </si>
  <si>
    <t>ASC 712 (FAS 112) POST-EMPLOYMENT BENEFITS EXPENSE - THE PURPOSE OF THIS ADJUSTMENT IS TO INCLUDE</t>
  </si>
  <si>
    <t>SCHEDULE  G</t>
  </si>
  <si>
    <t>SCHEDULE  E</t>
  </si>
  <si>
    <t>JURISDICTIONAL FEDERAL AND STATE INCOME TAX SUMMARY</t>
  </si>
  <si>
    <t>E-1</t>
  </si>
  <si>
    <t>FERC</t>
  </si>
  <si>
    <t>MOST RECENT FIVE CALENDAR YEARS [1]</t>
  </si>
  <si>
    <t>Federal Net Operating Loss Carryforward</t>
  </si>
  <si>
    <t>WORKPAPER REFERENCE NO(S). WPB-5.1, WPB-5.3</t>
  </si>
  <si>
    <t>SCHEDULE G-1</t>
  </si>
  <si>
    <t>SCHEDULE G-2</t>
  </si>
  <si>
    <t>PREVIOUS RATE PROCEEDINGS, THE COMMISSION HAS DECLINED TO PERMIT RECOVERY OF CERTAIN MISCELLANEOUS</t>
  </si>
  <si>
    <t>RATE BASE (5 THROUGH 9)</t>
  </si>
  <si>
    <t>COST OF CAPITAL</t>
  </si>
  <si>
    <t>TYPE</t>
  </si>
  <si>
    <t>B-7</t>
  </si>
  <si>
    <t xml:space="preserve">JURISDICTIONAL PERCENTAGE </t>
  </si>
  <si>
    <t>SCHEDULE B-7</t>
  </si>
  <si>
    <t>DESCRIPTION OF FACTORS</t>
  </si>
  <si>
    <t>AND/OR METHOD OF ALLOCATION</t>
  </si>
  <si>
    <t>ALL DATA 100.00% JURISDICTIONAL.</t>
  </si>
  <si>
    <t>JURISDICTIONAL PERCENTAGE</t>
  </si>
  <si>
    <t xml:space="preserve">  DIVIDEND PAYOUT RATIO (DECLARED</t>
  </si>
  <si>
    <t>F-2</t>
  </si>
  <si>
    <t>F-9</t>
  </si>
  <si>
    <t>SCHEDULE F-2</t>
  </si>
  <si>
    <t>COLUMBIA GAS OF KENTUCKY, INC. HAS NO PREFERRED STOCK OUTSTANDING AT THIS TIME.</t>
  </si>
  <si>
    <t>Profit Sharing</t>
  </si>
  <si>
    <t>Materials &amp; Supplies</t>
  </si>
  <si>
    <t>Employee Expenses</t>
  </si>
  <si>
    <t>Utilities</t>
  </si>
  <si>
    <t>MAINTENANCE OF GENERAL PLANT</t>
  </si>
  <si>
    <t>TOOLS &amp; OTHER</t>
  </si>
  <si>
    <t>OFF FUR &amp; EQ INFORM. SYS.</t>
  </si>
  <si>
    <t>PLANT IN SERVICE BY GAS PLANT ACCOUNT</t>
  </si>
  <si>
    <t>M &amp; R Sta Equip Reg FMV</t>
  </si>
  <si>
    <t>M &amp; R STA EQUIP REG FMV</t>
  </si>
  <si>
    <t>OTHER PLANT</t>
  </si>
  <si>
    <t>All Columbia Gas of Kentucky, Inc's. stock is held by NiSource Distribution Group, Inc.</t>
  </si>
  <si>
    <t>SCHEDULE  L</t>
  </si>
  <si>
    <t>RATES AND TARIFFS</t>
  </si>
  <si>
    <t>FORECASTED TEST PERIOD :</t>
  </si>
  <si>
    <t>L</t>
  </si>
  <si>
    <t>NARRATIVE RATIONALE FOR TARIFF CHANGES</t>
  </si>
  <si>
    <t>L.1</t>
  </si>
  <si>
    <t>NEW OR REVISED PROPOSED TARIFFS</t>
  </si>
  <si>
    <t>L.2</t>
  </si>
  <si>
    <t>REVISED CURRENT TARIFFS - REDLINED</t>
  </si>
  <si>
    <t>SCHEDULE L</t>
  </si>
  <si>
    <t>SCHEDULE  M</t>
  </si>
  <si>
    <t>REVENUE SUMMARY FOR BASE PERIOD AND FORECASTED PERIOD</t>
  </si>
  <si>
    <t>M</t>
  </si>
  <si>
    <t>BASE AND FORECASTED PERIOD AT PRESENT RATES</t>
  </si>
  <si>
    <t>M-2.1</t>
  </si>
  <si>
    <t>PRESENT AND PROPOSED REVENUE AT FORECASTED PERIOD</t>
  </si>
  <si>
    <t>M-2.2</t>
  </si>
  <si>
    <t>BILLING ANALYSIS FOR THE FORECASTED PERIOD AT PRESENT RATES</t>
  </si>
  <si>
    <t>M-2.2B</t>
  </si>
  <si>
    <t>BILLING ANALYSIS FOR THE BASE PERIOD AT CURRENT RATES</t>
  </si>
  <si>
    <t>M-2.3</t>
  </si>
  <si>
    <t>BILLING ANALYSIS FOR THE FORECASTED PERIOD AT PROPOSED RATES</t>
  </si>
  <si>
    <t>ADJUSTMENTS ARE INCORPORATED INTO SCHEDULE B-2.1.</t>
  </si>
  <si>
    <t>ADJUSTMENTS ARE INCORPORATED INTO SCHEDULE B-3.</t>
  </si>
  <si>
    <t>[2]</t>
  </si>
  <si>
    <t>[1]  Unbilled Revenue is not included in the forecasted months of the Base and Forecast Period.  Additionally, the Forecast period does not include the revenue from this case.</t>
  </si>
  <si>
    <t xml:space="preserve">[1]  Unbilled volumes are not included in the forecasted months of the Base and Forecast Period. </t>
  </si>
  <si>
    <t>[1]  The Forecast period does not include the revenue from this case.</t>
  </si>
  <si>
    <t>PAGE 1 OF 3</t>
  </si>
  <si>
    <t>PAGE 2 OF 3</t>
  </si>
  <si>
    <t>PAGE 3 OF 3</t>
  </si>
  <si>
    <t>403 - 405</t>
  </si>
  <si>
    <t>MAINS - SMRP</t>
  </si>
  <si>
    <t>SERVICES - SMRP</t>
  </si>
  <si>
    <t>LEAD/LAG STUDY</t>
  </si>
  <si>
    <t>GPS PIPE LOCATORS</t>
  </si>
  <si>
    <t>GPS Pipe Locators</t>
  </si>
  <si>
    <t>TRANSMISSION EXP - OPERATIONS</t>
  </si>
  <si>
    <t>ADMIN. EXPENSE TRANSFERRED</t>
  </si>
  <si>
    <t>EQUIPMENT STRUCTURES AND IMPROVEMENTS</t>
  </si>
  <si>
    <t>DISTRIBUTION RENTS</t>
  </si>
  <si>
    <t>CUSTOMER RECORDS &amp; COLLECTIONS EXPENSES</t>
  </si>
  <si>
    <t>Cost Element Category</t>
  </si>
  <si>
    <t>Acct</t>
  </si>
  <si>
    <t>Outside Services</t>
  </si>
  <si>
    <t>Corporate Insurance</t>
  </si>
  <si>
    <t>Clearing Accounts</t>
  </si>
  <si>
    <t>401K</t>
  </si>
  <si>
    <t>Advertising Expense</t>
  </si>
  <si>
    <t>Amortizations</t>
  </si>
  <si>
    <t>Audit Fees</t>
  </si>
  <si>
    <t>Corporate Service Bill</t>
  </si>
  <si>
    <t>Dues &amp; Donations</t>
  </si>
  <si>
    <t>Gas Cost</t>
  </si>
  <si>
    <t>Incentive Compensation</t>
  </si>
  <si>
    <t>Injuries &amp; Damages</t>
  </si>
  <si>
    <t>Labor</t>
  </si>
  <si>
    <t>Leases Building &amp; Land</t>
  </si>
  <si>
    <t>Leases Other</t>
  </si>
  <si>
    <t>Legal Fees</t>
  </si>
  <si>
    <t>Miscellaneous &amp; Other</t>
  </si>
  <si>
    <t>Miscellaneous Revenue Adjustment</t>
  </si>
  <si>
    <t>Miscellaneous Revenue Tracker</t>
  </si>
  <si>
    <t>Postage</t>
  </si>
  <si>
    <t>Stock Compensation</t>
  </si>
  <si>
    <t>ADJ 16</t>
  </si>
  <si>
    <t>852</t>
  </si>
  <si>
    <t>Feb-20</t>
  </si>
  <si>
    <t>GAS USED FOR OTHER UTILITY OPERATIONS</t>
  </si>
  <si>
    <t>COMPANY:</t>
  </si>
  <si>
    <t>CASE NUMBER:</t>
  </si>
  <si>
    <t>WITNESSES:</t>
  </si>
  <si>
    <t>INDEX C : OPERATING INCOME SUMMARY</t>
  </si>
  <si>
    <t>INDEX D : ADJUSTMENTS TO OPERATING INCOME</t>
  </si>
  <si>
    <t>INDEX E : FEDERAL AND STATE INCOME TAX</t>
  </si>
  <si>
    <t>INDEX A : FINANCIAL SUMMARY</t>
  </si>
  <si>
    <t>INDEX B : RATE BASE SUMMARY</t>
  </si>
  <si>
    <t>INDEX F : OTHER EXPENSES</t>
  </si>
  <si>
    <t>INDEX G : PAYROLL COST ANALYSIS</t>
  </si>
  <si>
    <t>INDEX H : GROSS CONVERSION FACTOR</t>
  </si>
  <si>
    <t>INDEX I : STATISTICAL DATA</t>
  </si>
  <si>
    <t>INDEX J : COST OF CAPITAL</t>
  </si>
  <si>
    <t>INDEX K : COMPARATIVE FINANCIAL DATA</t>
  </si>
  <si>
    <t>INDEX L : RATES AND TARIFFS</t>
  </si>
  <si>
    <t>INDEX M : REVENUE SUMMARY</t>
  </si>
  <si>
    <t>GENERAL HEADERS FOR FILING</t>
  </si>
  <si>
    <t>TYPE OF FILING</t>
  </si>
  <si>
    <t>INDEX B : DEFERRED CREDITS AND ADIT TABS</t>
  </si>
  <si>
    <t>FORECASTED PLANT DETAIL FOR:</t>
  </si>
  <si>
    <t>MISC INTANGIBLE PLANT-CLOUD SOFTWARE</t>
  </si>
  <si>
    <t>REA</t>
  </si>
  <si>
    <t>13 MONTH PERIOD</t>
  </si>
  <si>
    <t>COMBINED BASE AND FORECAST PERIOD</t>
  </si>
  <si>
    <t>INDEX D : D-2.1</t>
  </si>
  <si>
    <t>LAST MONTH OF ACTUALS</t>
  </si>
  <si>
    <t>Misc Intangible Plant-Cloud Software</t>
  </si>
  <si>
    <t>PLEASE SEE THE TESTIMONY OF J. GORE.</t>
  </si>
  <si>
    <t>OPERATIONS &amp; MAINTENANCE EXPENSE</t>
  </si>
  <si>
    <t>NOTES:</t>
  </si>
  <si>
    <t>.</t>
  </si>
  <si>
    <t>BUDGET (NOT SEPARATELY IDENTIFIED BY COST ELEMENT)</t>
  </si>
  <si>
    <t>COLUMBIA GAS OF KENTUCKY, INC. DOES NOT HAVE ANY CAPITAL LEASES IN RATE BASE.</t>
  </si>
  <si>
    <t xml:space="preserve">    GENERAL ADVERTISING EXPENSES</t>
  </si>
  <si>
    <t xml:space="preserve">    MISCELLANEOUS GENERAL EXPENSES</t>
  </si>
  <si>
    <t>STRAIGHT-TIME HOURS [1]</t>
  </si>
  <si>
    <t>OVERTIME HOURS [1]</t>
  </si>
  <si>
    <t>GENERAL ADVERTISING EXPENSES</t>
  </si>
  <si>
    <t>MISCELLANEOUS GENERAL EXPENSES</t>
  </si>
  <si>
    <t>ADJ JURISDICTION</t>
  </si>
  <si>
    <t>(3) = (1 * 2)</t>
  </si>
  <si>
    <t>LN 1+2</t>
  </si>
  <si>
    <t>Federal Flow-Through Statutory Adjustments</t>
  </si>
  <si>
    <t>PG 2, LN 9</t>
  </si>
  <si>
    <t>Federal Timing Statutory Adjustments</t>
  </si>
  <si>
    <t>PG 2, LN 53</t>
  </si>
  <si>
    <t>PG 2, LN 56</t>
  </si>
  <si>
    <t>LN 3+5+6+7</t>
  </si>
  <si>
    <t>Prior Adjustment to State Income Tax</t>
  </si>
  <si>
    <t>PG 2, LN 73</t>
  </si>
  <si>
    <t>Other Adjustments to State Income Tax</t>
  </si>
  <si>
    <t>PG 2, LN 74</t>
  </si>
  <si>
    <t>Federal Benefit of Provision for Deferred State Income Tax</t>
  </si>
  <si>
    <t>Other Adjustments to Deferred Federal Income Tax</t>
  </si>
  <si>
    <t>Other Adjustments to Deferred State Income Tax</t>
  </si>
  <si>
    <t>Total State Income Taxes</t>
  </si>
  <si>
    <t>LN 45+47</t>
  </si>
  <si>
    <t>Permanent and Flow Through Items</t>
  </si>
  <si>
    <t>Lobbying</t>
  </si>
  <si>
    <t>Meals and Entertainment</t>
  </si>
  <si>
    <t>ESPP</t>
  </si>
  <si>
    <t>Parking</t>
  </si>
  <si>
    <t>Perm Taxes Allocation NCS</t>
  </si>
  <si>
    <t>Fines and Penalties</t>
  </si>
  <si>
    <t>Total Permanent and Flow Through Items</t>
  </si>
  <si>
    <t>Tax Timing Statutory Adjustments</t>
  </si>
  <si>
    <t xml:space="preserve">  NC Payroll Taxes Cares Act</t>
  </si>
  <si>
    <t xml:space="preserve">  Accd Liab-ST FAS112</t>
  </si>
  <si>
    <t xml:space="preserve">  Accum Provisions FAS 112</t>
  </si>
  <si>
    <t xml:space="preserve">  Accum Provisions OPEB</t>
  </si>
  <si>
    <t xml:space="preserve">  Inventory Capitalization</t>
  </si>
  <si>
    <t xml:space="preserve">  LIFO Storage Adjustment</t>
  </si>
  <si>
    <t xml:space="preserve">  Accd Liab-Incentive Compnstion</t>
  </si>
  <si>
    <t xml:space="preserve">  Accd Liab-Profit Sharing</t>
  </si>
  <si>
    <t xml:space="preserve">  Accd Liab-Vacation Pay CY</t>
  </si>
  <si>
    <t xml:space="preserve">  Accd Liab-Vacation Pay PY</t>
  </si>
  <si>
    <t xml:space="preserve">  Accum Prov-Banked Vacation</t>
  </si>
  <si>
    <t xml:space="preserve">  Stock Comp LTIP - Tax</t>
  </si>
  <si>
    <t xml:space="preserve">  Accrd Property Tax</t>
  </si>
  <si>
    <t xml:space="preserve">  Misc Assets-Property Tax</t>
  </si>
  <si>
    <t xml:space="preserve">  Accd Liab-Severance</t>
  </si>
  <si>
    <t xml:space="preserve">  Custmr Advn for Constr NonCur</t>
  </si>
  <si>
    <t xml:space="preserve">  Accd Liability - Pension ST-NQ</t>
  </si>
  <si>
    <t xml:space="preserve">  Accum Prov LT PenCost Non-Qual</t>
  </si>
  <si>
    <t xml:space="preserve">  Accum Provisions Pen Cost Qual</t>
  </si>
  <si>
    <t xml:space="preserve">  Funds Held in Trust</t>
  </si>
  <si>
    <t xml:space="preserve">  FAS 109 Basis Adjustment - TR</t>
  </si>
  <si>
    <t xml:space="preserve">  Excess Tax Depreciation</t>
  </si>
  <si>
    <t xml:space="preserve">  Bonus Depreciation</t>
  </si>
  <si>
    <t xml:space="preserve">  Repairs Deduction</t>
  </si>
  <si>
    <t xml:space="preserve">  263A Mixed Service Cost Deduction</t>
  </si>
  <si>
    <t xml:space="preserve">  Oblig Operating Lease</t>
  </si>
  <si>
    <t xml:space="preserve">  Right of Use Asset</t>
  </si>
  <si>
    <t xml:space="preserve">  NC Reg Asset COVID Costs</t>
  </si>
  <si>
    <t xml:space="preserve">  NC Reg Asset Def Depr Cap Lse</t>
  </si>
  <si>
    <t xml:space="preserve">  NC Reg Asset FAS 158 OPEB</t>
  </si>
  <si>
    <t xml:space="preserve">  NC Reg Asset FAS158 Pension</t>
  </si>
  <si>
    <t xml:space="preserve">  NC Reg Asset Pen NQulfd FAS158</t>
  </si>
  <si>
    <t xml:space="preserve">  NC Reg Asset Rate Case Non-Cur</t>
  </si>
  <si>
    <t xml:space="preserve">  Reg Asset EAP</t>
  </si>
  <si>
    <t xml:space="preserve">  Reg Asset GTI Funding</t>
  </si>
  <si>
    <t xml:space="preserve">  Reg Asset-Prf Base Rt Adj PBRA</t>
  </si>
  <si>
    <t xml:space="preserve">  Reg Lia Curr-AMRP</t>
  </si>
  <si>
    <t xml:space="preserve">  Reg Liab Curr-DSM Uncollect</t>
  </si>
  <si>
    <t xml:space="preserve">  Reg Liab Curr-Other</t>
  </si>
  <si>
    <t xml:space="preserve">  Reg Liab NC-BA Lost Credits</t>
  </si>
  <si>
    <t xml:space="preserve">  Reg Liab NC-State Tax Reform</t>
  </si>
  <si>
    <t xml:space="preserve">  Reg Liab Rate Reserve - Curren</t>
  </si>
  <si>
    <t xml:space="preserve">  Bad Debts</t>
  </si>
  <si>
    <t>Total Tax Timing Differences</t>
  </si>
  <si>
    <t>Total Statutory Adjustments to Taxable Income</t>
  </si>
  <si>
    <t>Federal Other</t>
  </si>
  <si>
    <t>Flow-Through Excess Book/Tax Depreciation</t>
  </si>
  <si>
    <t>Current Federal Prior Year Return-to-Provision True-up</t>
  </si>
  <si>
    <t>Deferred Federal Prior Year Return-to-Provision True-up</t>
  </si>
  <si>
    <t>Deferred Federal Prior Year True-up</t>
  </si>
  <si>
    <t>Federal Benefit of State Prior Year True-up</t>
  </si>
  <si>
    <t>State Other</t>
  </si>
  <si>
    <t>Current State Prior Year Return-to-Provision True-up</t>
  </si>
  <si>
    <t>Current State Payable True-up</t>
  </si>
  <si>
    <t>Deferred State Prior Year Return-to-Provision True-up</t>
  </si>
  <si>
    <t xml:space="preserve">CASH WORKING CAPITAL COMPONENTS </t>
  </si>
  <si>
    <t xml:space="preserve">DAILY </t>
  </si>
  <si>
    <t>NET LAG</t>
  </si>
  <si>
    <t>COST CATEGORY</t>
  </si>
  <si>
    <t>LAG DAYS</t>
  </si>
  <si>
    <t>LEAD DAYS</t>
  </si>
  <si>
    <t>DAYS</t>
  </si>
  <si>
    <t>PREPAID INSURANCE EXPENSE</t>
  </si>
  <si>
    <t>EMPLOYEE PAYROLL</t>
  </si>
  <si>
    <t>INCENTIVE COMPENSATION</t>
  </si>
  <si>
    <t>EMPLOYEE BENEFITS EXPENSE</t>
  </si>
  <si>
    <t>UNCOLLECTIBLE EXPENSE</t>
  </si>
  <si>
    <t>CORPORATE SERVICES</t>
  </si>
  <si>
    <t>OTHER O&amp;M COSTS</t>
  </si>
  <si>
    <t>DEPRECIATION AND AMORTIZATION</t>
  </si>
  <si>
    <t>PAYROLL TAX EXPENSE</t>
  </si>
  <si>
    <t>PROPERTY TAX EXPENSE</t>
  </si>
  <si>
    <t>OTHER TAXES</t>
  </si>
  <si>
    <t>CURRENT: FEDERAL</t>
  </si>
  <si>
    <t>CURRENT: STATE</t>
  </si>
  <si>
    <t>DEFERRED: FEDERAL &amp; STATE (INCLUDING ITC)</t>
  </si>
  <si>
    <t>OTHER EXPENSE/(INCOME)</t>
  </si>
  <si>
    <t>INTEREST ON DEBT</t>
  </si>
  <si>
    <t>INCOME AVAILABLE FOR COMMON EQUITY</t>
  </si>
  <si>
    <t>GROSS RECEIPTS TAX</t>
  </si>
  <si>
    <t>FRANCHISE TAX</t>
  </si>
  <si>
    <t>SALES AND USE TAX</t>
  </si>
  <si>
    <t>CASH WORKING CAPITAL (LEAD LAG)</t>
  </si>
  <si>
    <t>REQUESTED CASH WORKING CAPITAL</t>
  </si>
  <si>
    <t>COST CATEGORGY</t>
  </si>
  <si>
    <t>PROPERTY TAX EXPENSE - THE PURPOSE OF THIS ADJUSTMENT IS TO INCREASE PROPERTY TAX EXPENSE BASED</t>
  </si>
  <si>
    <t>OPERATING AND MAINTENANCE EXPENSE:</t>
  </si>
  <si>
    <t xml:space="preserve">Other O&amp;M </t>
  </si>
  <si>
    <t>Key</t>
  </si>
  <si>
    <t>January</t>
  </si>
  <si>
    <t>February</t>
  </si>
  <si>
    <t>March</t>
  </si>
  <si>
    <t>April</t>
  </si>
  <si>
    <t>June</t>
  </si>
  <si>
    <t>July</t>
  </si>
  <si>
    <t>August</t>
  </si>
  <si>
    <t>September</t>
  </si>
  <si>
    <t>October</t>
  </si>
  <si>
    <t>November</t>
  </si>
  <si>
    <t>December</t>
  </si>
  <si>
    <t xml:space="preserve">                     </t>
  </si>
  <si>
    <t>Reference</t>
  </si>
  <si>
    <t>Line 1 * Line 2</t>
  </si>
  <si>
    <t>Less: Test Year Gas Cost Uncollectible Expense</t>
  </si>
  <si>
    <t>Less: Test Year Non-Gas Cost Uncollectible Expense</t>
  </si>
  <si>
    <t>Total Uncollectible Accounts Expense Adjustment</t>
  </si>
  <si>
    <t>Line 5 - Line 6</t>
  </si>
  <si>
    <t>Estimated Rate Case Expense</t>
  </si>
  <si>
    <t>Years of Amortization</t>
  </si>
  <si>
    <t>Annual Rate Case Expense</t>
  </si>
  <si>
    <t>Line 1 / Line 2</t>
  </si>
  <si>
    <t>Less: Test Year Expense</t>
  </si>
  <si>
    <t>ASC 712 - Post Employment Benefits</t>
  </si>
  <si>
    <t>Five Year Average</t>
  </si>
  <si>
    <t>Total ASC 712 Adjustment</t>
  </si>
  <si>
    <t>Energy Assistance Program</t>
  </si>
  <si>
    <t>Energy Assistance Program Adjustment</t>
  </si>
  <si>
    <t>Line 1 - Line 2</t>
  </si>
  <si>
    <t>Energy Efficiency Conservation Program</t>
  </si>
  <si>
    <t>Line 4 - Line 5</t>
  </si>
  <si>
    <t>Total Tracker Expense Adjustment</t>
  </si>
  <si>
    <t>Property Tax Adjustment</t>
  </si>
  <si>
    <t>TAXABLE</t>
  </si>
  <si>
    <t>TAX RATE</t>
  </si>
  <si>
    <t>TAX AMOUNT</t>
  </si>
  <si>
    <t>Estimated Assessed Value at December 31, 2022</t>
  </si>
  <si>
    <t>Effective Property Tax Rate</t>
  </si>
  <si>
    <t>Gas Storage</t>
  </si>
  <si>
    <t>Assessment Rate</t>
  </si>
  <si>
    <t>West Virginia Storage Assessed Value</t>
  </si>
  <si>
    <t>Effective Tax Rate</t>
  </si>
  <si>
    <t>LN 9 x 5%</t>
  </si>
  <si>
    <t>NOTE 1/</t>
  </si>
  <si>
    <t xml:space="preserve">RATE BASE </t>
  </si>
  <si>
    <t>SCH B-1, LN 10</t>
  </si>
  <si>
    <t>WEIGHTED COST OF SHORT-TERM AND LONG-TERM DEBT</t>
  </si>
  <si>
    <t>SCH J-1 LN 1 + LN 2</t>
  </si>
  <si>
    <t>INTEREST CHARGES CALCULATED</t>
  </si>
  <si>
    <t>SCH E-1.1, LN 2</t>
  </si>
  <si>
    <t xml:space="preserve"> 1/</t>
  </si>
  <si>
    <t>LN 11+12+13</t>
  </si>
  <si>
    <t>LN 3+5+6-11-12</t>
  </si>
  <si>
    <t>LN 17+19 x 21%</t>
  </si>
  <si>
    <t>PG 3, LN 7</t>
  </si>
  <si>
    <t>LN 21+22+23</t>
  </si>
  <si>
    <t>LN 25+26</t>
  </si>
  <si>
    <t>LN -6 -19 * 21%</t>
  </si>
  <si>
    <t>LN -37 * 21%</t>
  </si>
  <si>
    <t>PG 3, LN 4</t>
  </si>
  <si>
    <t>PG 3, LN 3</t>
  </si>
  <si>
    <t>PG 3, LN 2</t>
  </si>
  <si>
    <t>PG 3, LN 8+9+10</t>
  </si>
  <si>
    <t>LN 29+30+31+32+33</t>
  </si>
  <si>
    <t>LN -6 -7 * 5%</t>
  </si>
  <si>
    <t>PG 3, LN 13</t>
  </si>
  <si>
    <t>PG 3, LN 14</t>
  </si>
  <si>
    <t>PG 3, LN 19+20</t>
  </si>
  <si>
    <t>LN 37+38+39+40</t>
  </si>
  <si>
    <t>LN 375+41</t>
  </si>
  <si>
    <t>LN 25+35</t>
  </si>
  <si>
    <t>LN 26+41</t>
  </si>
  <si>
    <t>SHEET 1 OF 3</t>
  </si>
  <si>
    <t>SHEET 2 OF 3</t>
  </si>
  <si>
    <t>SHEET 3 OF 3</t>
  </si>
  <si>
    <t>INDEX D : D-2.2</t>
  </si>
  <si>
    <t>INDEX D : D-2.3</t>
  </si>
  <si>
    <t>GORE</t>
  </si>
  <si>
    <t>SEE TESTIMONY OF J. COOPER.</t>
  </si>
  <si>
    <t>COOPER</t>
  </si>
  <si>
    <t>MATERIALS AND SUPPLIES - THE PURPOSE OF THIS ADJUSTMENT IS TO REFLECT THE ESTIMATED MATERIALS AND SUPPLIES REQUIRED FOR OPERATING PROJECTS AND ADMINISTRATION.</t>
  </si>
  <si>
    <t>OUTSIDE SERVICES - THE PURPOSE OF THIS ADJUSTMENT IS TO REFLECT THE ESTIMATED FEES PAID TO AUDITORS, FINANCIAL INSTITUTIONS, COLLECTION AGENCIES, BENEFITS ADMINSTRATORS, CONSULTANTS, OUTSIDE CONTRACTORS, TEMPORARY EMPLOYMENT SERVICES, OUTSIDE COUNSEL, AND OTHERS FOR SERVICES RENDERED.</t>
  </si>
  <si>
    <t>RENTS AND LEASES - THE PURPOSE OF THIS ADJUSTMENT IS TO REFLECT THE ESTIMATED RENTS AND LEASES RELATED TO BUILDINGS, COMMUNICATIONS EQUIPMENT, OFFICE EQUIPMENT AND FURNITURE, DEDICATED TELEPHONE LINES AND OTHER MISCELLANEOUS RENTS.</t>
  </si>
  <si>
    <t>MISCELLANEOUS REVENUE ADJUSTMENTS - THE PURPOSE OF THIS ADJUSTMENT IS TO REFLECT THE ESTIMATED AMOUNTS TO BE RECEIVED FOR INSTALLATION WORK ON CUSTOMER PREMISES AND AMOUNTS TO BE RECOVERED RELATED DAMAGES TO COMPANY FACILITIES.</t>
  </si>
  <si>
    <t>MISCELLANEOUS AND OTHER EXPENSES - THE PURPOSE OF THIS ADJUSTMENT IS TO REFLECT EACH BUDGET SPONSOR'S ESTIMATE OF EXPENSES FOR PUBLIC SERVICE COMMISSION FEE, AND OTHER ITEMS NOT INCLUDED IN OTHER COST ELEMENTS.</t>
  </si>
  <si>
    <t>CLEARING ACCOUNTS - THE PURPOSE OF THIS ADJUSTMENT IS TO REFLECT EACH BUDGET SPONSOR'S ESTIMATE OF AMOUNTS TO BE CLEARED FROM CLEARING ACCOUNTS FOR FLEET USAGE.  THIS INCLUDES COSTS OF MAINTAINING FLEET OF AUTOS, TRUCKS, AND GENERAL TOOLS AND HOURS OF USAGE.</t>
  </si>
  <si>
    <t xml:space="preserve">    Net Labor &amp; Benefits</t>
  </si>
  <si>
    <t>Forecasted Period</t>
  </si>
  <si>
    <t>By Account</t>
  </si>
  <si>
    <t>SCHEDULE B-6</t>
  </si>
  <si>
    <t>ADJ JURIS.</t>
  </si>
  <si>
    <t>REF</t>
  </si>
  <si>
    <t>(17)</t>
  </si>
  <si>
    <t>(18)</t>
  </si>
  <si>
    <t>(19)</t>
  </si>
  <si>
    <t>SUMMARY OF ACCUMULATED DEFERRED INCOME TAXES</t>
  </si>
  <si>
    <t>RATE BASE ADIT AND EXCESS ADIT</t>
  </si>
  <si>
    <t>ACCOUNT 190 - DEFERRED INCOME TAXES</t>
  </si>
  <si>
    <t>ACCOUNT 282 - DEFERRED INCOME TAXES - DEPRECIATION</t>
  </si>
  <si>
    <t>ACCOUNT 283 - DEFERRED INCOME TAXES - OTHER</t>
  </si>
  <si>
    <t>ACCOUNT 254 - EXCESS ADIT (BEFORE GROSS UP)</t>
  </si>
  <si>
    <t>ACCOUNT 255 - FEDERAL INVESTMENT TAX CREDIT</t>
  </si>
  <si>
    <t>TOTAL RATE BASE ADIT</t>
  </si>
  <si>
    <t>TOTAL CASH WORKING CAPITAL ADIT</t>
  </si>
  <si>
    <t>LEAD LAG ADIT</t>
  </si>
  <si>
    <t>NON RATE BASE ADIT</t>
  </si>
  <si>
    <t>TOTAL NON RATE BASE ADIT</t>
  </si>
  <si>
    <t xml:space="preserve">       TOTAL ADIT AND EXCESS ADIT</t>
  </si>
  <si>
    <t>NET OPERATING LOSS - FED</t>
  </si>
  <si>
    <t>RB</t>
  </si>
  <si>
    <t>NET OPERATING LOSS - STATE, NET</t>
  </si>
  <si>
    <t>NON</t>
  </si>
  <si>
    <t>CHARITABLE CONTRIBUTIONS - FED</t>
  </si>
  <si>
    <t>TAX CREDITS - FED</t>
  </si>
  <si>
    <t>CUST. ADVANCES - FED</t>
  </si>
  <si>
    <t>CUST. ADVANCES - STATE</t>
  </si>
  <si>
    <t>LIFO INVENTORY  &amp; CAPITALIZED INVENTORY - FED</t>
  </si>
  <si>
    <t>LIFO INVENTORY  &amp; CAPITALIZED INVENTORY -STATE</t>
  </si>
  <si>
    <t>ACCUM PROV-BANKED VACATION - FED</t>
  </si>
  <si>
    <t>ACCUM PROV-BANKED VACATION - STATE</t>
  </si>
  <si>
    <t>ACCD LIAB-VACATION PAY PY - FED</t>
  </si>
  <si>
    <t>ACCD LIAB-VACATION PAY PY - STATE</t>
  </si>
  <si>
    <t>ACCD LIAB-VACATION PAY CY - FED</t>
  </si>
  <si>
    <t>ACCD LIAB-VACATION PAY CY - STATE</t>
  </si>
  <si>
    <t>ACCD LIAB-PROFIT SHARING - FED</t>
  </si>
  <si>
    <t>ACCD LIAB-PROFIT SHARING - STATE</t>
  </si>
  <si>
    <t>ACCUM PROVISIONS FAS 112 - FED</t>
  </si>
  <si>
    <t>ACCUM PROVISIONS FAS 112 - STATE</t>
  </si>
  <si>
    <t>ACCUM PROVISIONS OPEB - FED</t>
  </si>
  <si>
    <t>ACCUM PROVISIONS OPEB - STATE</t>
  </si>
  <si>
    <t>ACCD LIAB-ST FAS112 - FED</t>
  </si>
  <si>
    <t>ACCD LIAB-ST FAS112 - STATE</t>
  </si>
  <si>
    <t>ACCD LIAB-INCENTIVE COMPNSTION - FED</t>
  </si>
  <si>
    <t>ACCD LIAB-INCENTIVE COMPNSTION - STATE</t>
  </si>
  <si>
    <t>STOCK COMP LTIP - TAX - FED</t>
  </si>
  <si>
    <t>LL</t>
  </si>
  <si>
    <t>STOCK COMP LTIP - TAX - STATE</t>
  </si>
  <si>
    <t>BAD DEBTS - FED</t>
  </si>
  <si>
    <t>NC REG ASSET FAS 158 OPEB - FED</t>
  </si>
  <si>
    <t>NC REG ASSET FAS 158 OPEB - STATE</t>
  </si>
  <si>
    <t>REG LIAB CURR-OTHER - FED</t>
  </si>
  <si>
    <t>REG LIAB CURR-OTHER - STATE</t>
  </si>
  <si>
    <t>REG LIA CURR-AMRP - FED</t>
  </si>
  <si>
    <t>REG LIA CURR-AMRP - STATE</t>
  </si>
  <si>
    <t>OBLIG OPERATING LEASE - FED</t>
  </si>
  <si>
    <t>OBLIG OPERATING LEASE - STATE</t>
  </si>
  <si>
    <t>ITC - REG LIAB FEDERAL</t>
  </si>
  <si>
    <t>ITC - REG LIAB STATE</t>
  </si>
  <si>
    <t>ASC 740 FED GROSS UP</t>
  </si>
  <si>
    <t>ASC 740 STATE GROSS UP</t>
  </si>
  <si>
    <t xml:space="preserve">       TOTAL ACCOUNT 190</t>
  </si>
  <si>
    <t>EXCESS ACCELERATED DEPRECIATION / REPAIRS / 263A - FED</t>
  </si>
  <si>
    <t>EXCESS ACCELERATED DEPRECIATION / REPAIRS / 263A - STATE</t>
  </si>
  <si>
    <t>OTHER BASIS ADJUSTMENTS - FED</t>
  </si>
  <si>
    <t>OTHER BASIS ADJUSTMENTS - STATE</t>
  </si>
  <si>
    <t>STATE - FAS 109 ST GROSS UP</t>
  </si>
  <si>
    <t xml:space="preserve">       TOTAL ACCOUNT 282</t>
  </si>
  <si>
    <t>MISC ASSETS-PROPERTY TAX - FED</t>
  </si>
  <si>
    <t>MISC ASSETS-PROPERTY TAX - STATE</t>
  </si>
  <si>
    <t>ACCRD PROPERTY TAX - FED</t>
  </si>
  <si>
    <t>ACCRD PROPERTY TAX - STATE</t>
  </si>
  <si>
    <t>REG ASSET GTI FUNDING - FED</t>
  </si>
  <si>
    <t>REG ASSET GTI FUNDING - STATE</t>
  </si>
  <si>
    <t>REG ASSET EAP - FED</t>
  </si>
  <si>
    <t>REG ASSET EAP - STATE</t>
  </si>
  <si>
    <t>REG ASSET-PRF BASE RT ADJ PBRA - FED</t>
  </si>
  <si>
    <t>REG ASSET-PRF BASE RT ADJ PBRA - STATE</t>
  </si>
  <si>
    <t>NC REG ASSET FAS158 PENSION - FED</t>
  </si>
  <si>
    <t>NC REG ASSET FAS158 PENSION - STATE</t>
  </si>
  <si>
    <t>NC REG ASSET RATE CASE NON-CUR - FED</t>
  </si>
  <si>
    <t>NC REG ASSET RATE CASE NON-CUR - STATE</t>
  </si>
  <si>
    <t>NC REG ASSET PEN NQULFD FAS158 - FED</t>
  </si>
  <si>
    <t>NC REG ASSET PEN NQULFD FAS158 - STATE</t>
  </si>
  <si>
    <t>NC REG ASSET DEF DEPR CAP LSE - FED</t>
  </si>
  <si>
    <t>NC REG ASSET DEF DEPR CAP LSE - STATE</t>
  </si>
  <si>
    <t>REG LIAB CURR-DSM UNCOLLECT - FED</t>
  </si>
  <si>
    <t>REG LIAB CURR-DSM UNCOLLECT - STATE</t>
  </si>
  <si>
    <t>NC REG ASSET COVID COSTS - FED</t>
  </si>
  <si>
    <t>NC REG ASSET COVID COSTS - STATE</t>
  </si>
  <si>
    <t>FUNDS HELD IN TRUST - FED</t>
  </si>
  <si>
    <t>FUNDS HELD IN TRUST - STATE</t>
  </si>
  <si>
    <t>RIGHT OF USE ASSET - FED</t>
  </si>
  <si>
    <t>RIGHT OF USE ASSET - STATE</t>
  </si>
  <si>
    <t xml:space="preserve">       TOTAL ACCOUNT 283</t>
  </si>
  <si>
    <t xml:space="preserve">       TOTAL RATE BASE ACCUMULATED DEFERRED INCOME TAXES</t>
  </si>
  <si>
    <t>ACCOUNT 254 - (TCJA) EXCESS ADIT (BEFORE GROSS UP)</t>
  </si>
  <si>
    <t>CUSTOMER ADVANCES</t>
  </si>
  <si>
    <t>LIFO INVENTORY  &amp; CAPITALIZED INVENTORY</t>
  </si>
  <si>
    <t>EXCESS ACCELERATED DEPRECIATION</t>
  </si>
  <si>
    <t xml:space="preserve">       TOTAL ACCOUNT 254 (BEFORE GROSS-UP)</t>
  </si>
  <si>
    <t>ACCOUNT 254 - (KY STATE TAX RATE) EXCESS ADIT (BEFORE GROSS UP)</t>
  </si>
  <si>
    <t>INVESTMENT TAX CREDIT-ITC</t>
  </si>
  <si>
    <t xml:space="preserve">       TOTAL RATE BASE ADIT AND EXCESS ADIT</t>
  </si>
  <si>
    <t xml:space="preserve">  Other Basis Difference</t>
  </si>
  <si>
    <t>Flow-Through Excess Book/Tax Depreciation-Federal</t>
  </si>
  <si>
    <t>Flow-Through Excess Book/Tax Depreciation-State</t>
  </si>
  <si>
    <t>Schedule H-1</t>
  </si>
  <si>
    <t>Uncollectible Gas Cost Revenue Adjustment</t>
  </si>
  <si>
    <t>Expected Gas Cost Commodity at Current Rate [1]</t>
  </si>
  <si>
    <t>Tariff Volumes [2]</t>
  </si>
  <si>
    <t>Uncollectible Gas Cost Tracker Revenue</t>
  </si>
  <si>
    <t>Line 3 * Line 4</t>
  </si>
  <si>
    <t>Less: Test Year Revenue [3]</t>
  </si>
  <si>
    <t>[2] Rate Schedules GSR, GSO, IS and IUS</t>
  </si>
  <si>
    <t>UNCOLLECTIBLE GAS COST REVENUE - THE PURPOSE OF THIS ADJUSTMENT IS TO DECREASE UNCOLLECTIBLE</t>
  </si>
  <si>
    <t>Uncollectible Gas Cost Rate per Mcf</t>
  </si>
  <si>
    <t>Schedule C-2.1B</t>
  </si>
  <si>
    <t>J-1.1/J-1.2</t>
  </si>
  <si>
    <t>AVG. FORECASTED PERIOD CAPITAL STRUCTURE</t>
  </si>
  <si>
    <t>NOTE (1)  SEE ATTACHMENT VVR-5 PAGE 1 OF 1 FROM VINCENT REA TESTIMONY</t>
  </si>
  <si>
    <t>NOTE (1)  SEE ATTACHMENT VVR-5 PAGE 1 OF 1 FROM VINCENT REA TESTIMONY.</t>
  </si>
  <si>
    <t>Weighted Cost of Short-term Debt</t>
  </si>
  <si>
    <t>INSTALLMENT PROMISSORY NOTES</t>
  </si>
  <si>
    <t>NEW INSTALLMENT PROMISSORY NOTE</t>
  </si>
  <si>
    <t>NOTE: (1) SEE ATTACHMENT VVR-6 PAGE 1 OF 1 FROM VINCENT REA TESTIMONY</t>
  </si>
  <si>
    <t>WITNESS: V.V. REA</t>
  </si>
  <si>
    <t>SCHEDULE J-1.1 / J-1.2</t>
  </si>
  <si>
    <t>WITNESS:  V.V. REA</t>
  </si>
  <si>
    <t>GAS STORAGE</t>
  </si>
  <si>
    <t>TRACKER EXPENSE</t>
  </si>
  <si>
    <t>PROPERTY TAX</t>
  </si>
  <si>
    <t/>
  </si>
  <si>
    <t/>
  </si>
  <si>
    <t>RESIDENTIAL REVENUE - GAS COST</t>
  </si>
  <si>
    <t>RESIDENTIAL REVENUE - NON-GAS COST</t>
  </si>
  <si>
    <t>COMMERCIAL REVENUE - GAS COST</t>
  </si>
  <si>
    <t>COMMERCIAL REVENUE - NON-GAS COST</t>
  </si>
  <si>
    <t>INDUSTRIAL REVENUE - GAS COST</t>
  </si>
  <si>
    <t>INDUSTRIAL REVENUE - NON-GAS COST</t>
  </si>
  <si>
    <t>OTHER CUSTOMER REVENUE - GAS COST</t>
  </si>
  <si>
    <t>OTHER CUSTOMER REVENUE - NON-GAS COST</t>
  </si>
  <si>
    <t>M&amp;R STATION EQUIPMENT</t>
  </si>
  <si>
    <t>Mar</t>
  </si>
  <si>
    <t>FOR THE TWELVE MONTHS ENDED AUGUST 31, 2024</t>
  </si>
  <si>
    <t>AS OF AUGUST 31, 2024</t>
  </si>
  <si>
    <t>BASE PERIOD 09/30/2023 TO 08/31/2024</t>
  </si>
  <si>
    <t>FOR THE BASE PERIOD AUGUST 31, 2024</t>
  </si>
  <si>
    <t>SEPTEMBER 2023 TO AUGUST 2024</t>
  </si>
  <si>
    <t>FOR THE TWELVE MONTHS ENDED DECEMBER 31, 2025</t>
  </si>
  <si>
    <t>AS OF DECEMBER 31, 2025</t>
  </si>
  <si>
    <t>FORECASTED TEST PERIOD 12/31/2024 to 12/31/2025</t>
  </si>
  <si>
    <t>JANUARY 2025 TO DECEMBER 2025</t>
  </si>
  <si>
    <t>FOR THE BASE PERIOD TME AUGUST 31, 2024 AND FORECAST PERIOD TME DECEMBER 31, 2025</t>
  </si>
  <si>
    <t>FOR THE TWELVE MONTHS ENDED AUGUST 31, 2024 AND THE TWELVE MONTHS ENDED DECEMBER 31, 2025</t>
  </si>
  <si>
    <t>FORECASTED PERIOD THIRTEEN MONTH AVERAGE DECEMBER 31, 2025</t>
  </si>
  <si>
    <t>13 MONTH AVG - FORECAST PERIOD 12/31/2024 TO 12/31/2025</t>
  </si>
  <si>
    <t>SHAEFFER</t>
  </si>
  <si>
    <t>INSCHO</t>
  </si>
  <si>
    <t>INDEX D : D-2.4</t>
  </si>
  <si>
    <t xml:space="preserve">    RESIDENTIAL - GAS COST</t>
  </si>
  <si>
    <t xml:space="preserve">    RESIDENTIAL - NON-GAS COST</t>
  </si>
  <si>
    <t xml:space="preserve">    COMMERCIAL - GAS COST</t>
  </si>
  <si>
    <t xml:space="preserve">    COMMERCIAL - NON-GAS COST</t>
  </si>
  <si>
    <t xml:space="preserve">    INDUSTRIAL - GAS COST</t>
  </si>
  <si>
    <t xml:space="preserve">    INDUSTRIAL - NON-GAS COST</t>
  </si>
  <si>
    <t xml:space="preserve">    OTHER - GAS COST</t>
  </si>
  <si>
    <t xml:space="preserve">    OTHER - NON-GAS COST</t>
  </si>
  <si>
    <t xml:space="preserve">    M&amp;R STATION EQUIPMENT</t>
  </si>
  <si>
    <t>410-411</t>
  </si>
  <si>
    <t>SYSTEM FINANCING INTEREST EXPENSE</t>
  </si>
  <si>
    <t>MISCELLANEOUS INTEREST EXPENSE</t>
  </si>
  <si>
    <t>AFUDC DEBT</t>
  </si>
  <si>
    <t>417-421</t>
  </si>
  <si>
    <t>OTHER INCOME</t>
  </si>
  <si>
    <t>421-426</t>
  </si>
  <si>
    <t>OTHER INCOME DEDUCTIONS</t>
  </si>
  <si>
    <t>Total Income Taxes</t>
  </si>
  <si>
    <t xml:space="preserve">  GAS SUPPLY EXPENSES - GAS COST</t>
  </si>
  <si>
    <t xml:space="preserve">  TAXES OTHER THAN INCOME TAXES - PROPERTY</t>
  </si>
  <si>
    <t xml:space="preserve">  TAXES OTHER THAN INCOME TAXES - PAYROLL</t>
  </si>
  <si>
    <t xml:space="preserve">  TAXES OTHER THAN INCOME TAXES - OTHER</t>
  </si>
  <si>
    <t>Total Non-Gas Cost Uncollectible Accounts</t>
  </si>
  <si>
    <t>Total Gas Cost Uncollectible Accounts Expense Adjustment</t>
  </si>
  <si>
    <t>Line 3 - Line 4</t>
  </si>
  <si>
    <t>Total Non-Gas Cost Uncollectible Accounts Expense Adjustment</t>
  </si>
  <si>
    <t xml:space="preserve">Non-Gas Cost Uncollectible Accounts Expense </t>
  </si>
  <si>
    <t xml:space="preserve">Gas Cost Uncollectible Accounts Expense </t>
  </si>
  <si>
    <t>Energy Assistance Program Tracker</t>
  </si>
  <si>
    <t>Estimated Assessed Value at December 31, 2024</t>
  </si>
  <si>
    <t>2023 Net Plant Additions</t>
  </si>
  <si>
    <t>2024 Net Plant Additions</t>
  </si>
  <si>
    <t>2025 Property Tax Expense - Storage</t>
  </si>
  <si>
    <t>2025 Property Tax Expense - Property, Plant and Equipment</t>
  </si>
  <si>
    <t>2025 Property Tax Expense - Total</t>
  </si>
  <si>
    <t>Source:</t>
  </si>
  <si>
    <t>R:\CKY\Rate Case Filings\Rate Case - 2024\Cost of Service\z-Model &amp; COS Schedules\1-O&amp;M Inc Stmnt &amp; CE to Acct Alloc WP Models\O&amp;M CE to Account Budget Allocation</t>
  </si>
  <si>
    <t>Employees' Insurance Plans</t>
  </si>
  <si>
    <t>OPEB Expenses (Service)</t>
  </si>
  <si>
    <t>OPEB Expenses (Non-Service)</t>
  </si>
  <si>
    <t>Post-Employment Benefits - FAS112</t>
  </si>
  <si>
    <t>Pension Expenses (Service)</t>
  </si>
  <si>
    <t>Pension Expenses (Non-Service)</t>
  </si>
  <si>
    <t>Uncollectible-Non-Gas Cost</t>
  </si>
  <si>
    <t>Uncollectible-Gas Cost</t>
  </si>
  <si>
    <t>Commission Fees</t>
  </si>
  <si>
    <t>Sales and Transportation Non-Gas Cost Revenues at Current Rates</t>
  </si>
  <si>
    <t>December 2024</t>
  </si>
  <si>
    <t>January 2025</t>
  </si>
  <si>
    <t>February 2025</t>
  </si>
  <si>
    <t>March 2025</t>
  </si>
  <si>
    <t>April 2025</t>
  </si>
  <si>
    <t>May 2025</t>
  </si>
  <si>
    <t>June 2025</t>
  </si>
  <si>
    <t>July 2025</t>
  </si>
  <si>
    <t>August 2025</t>
  </si>
  <si>
    <t>September 2025</t>
  </si>
  <si>
    <t>October 2025</t>
  </si>
  <si>
    <t>November 2025</t>
  </si>
  <si>
    <t>December 2025</t>
  </si>
  <si>
    <t>FILED FOR</t>
  </si>
  <si>
    <t>SMRP</t>
  </si>
  <si>
    <t>(LESS SMRP)</t>
  </si>
  <si>
    <t>TOTAL COMPANTY (LESS SMRP)</t>
  </si>
  <si>
    <t>(5) = (1 - 3)</t>
  </si>
  <si>
    <t>(6) = (2 - 4)</t>
  </si>
  <si>
    <t>TOTAL OTHER PLANT</t>
  </si>
  <si>
    <t>TOTAL PLANT IN SERVICE (Less SMRP)</t>
  </si>
  <si>
    <t>DISTRIBUTION PLANT (Less SMRP)</t>
  </si>
  <si>
    <t>MAINS (Less SMRP)</t>
  </si>
  <si>
    <t>M &amp; R STA EQUIP-GENERAL-REGULATING (Less SMRP)</t>
  </si>
  <si>
    <t>SERVICES (Less SMRP)</t>
  </si>
  <si>
    <t>METER INSTALLATIONS (Less SMRP)</t>
  </si>
  <si>
    <t>HOUSE REGULATORS (Less SMRP)</t>
  </si>
  <si>
    <t>TOTAL DISTRIBUTION PLANT (Less SMRP)</t>
  </si>
  <si>
    <t>09/30/2023</t>
  </si>
  <si>
    <t>10/31/2023</t>
  </si>
  <si>
    <t>11/30/2023</t>
  </si>
  <si>
    <t>12/31/2023</t>
  </si>
  <si>
    <t>01/31/2024</t>
  </si>
  <si>
    <t>02/29/2024</t>
  </si>
  <si>
    <t>03/31/2024</t>
  </si>
  <si>
    <t>04/30/2024</t>
  </si>
  <si>
    <t>05/31/2024</t>
  </si>
  <si>
    <t>06/30/2024</t>
  </si>
  <si>
    <t>07/31/2024</t>
  </si>
  <si>
    <t>08/31/2024</t>
  </si>
  <si>
    <t>DISTRIBUTION PLANT (LESS SMRP)</t>
  </si>
  <si>
    <t>TOTAL DISTRIBUTION PLANT (LESS SMRP)</t>
  </si>
  <si>
    <t>TOOLS,SHOP, &amp; GAR EQ-TOOLS &amp; OTHER</t>
  </si>
  <si>
    <t>TOTAL PLANT (LESS SMRP)</t>
  </si>
  <si>
    <t>01/31/2025</t>
  </si>
  <si>
    <t>02/28/2025</t>
  </si>
  <si>
    <t>03/31/2025</t>
  </si>
  <si>
    <t>04/30/2025</t>
  </si>
  <si>
    <t>05/31/2025</t>
  </si>
  <si>
    <t>06/30/2025</t>
  </si>
  <si>
    <t>07/31/2025</t>
  </si>
  <si>
    <t>08/31/2025</t>
  </si>
  <si>
    <t>09/30/2025</t>
  </si>
  <si>
    <t>10/31/2025</t>
  </si>
  <si>
    <t>11/30/2025</t>
  </si>
  <si>
    <t>12/31/2025</t>
  </si>
  <si>
    <t>2019 Actuals</t>
  </si>
  <si>
    <t>2020 Actuals</t>
  </si>
  <si>
    <t>2021 Actuals</t>
  </si>
  <si>
    <t>2022 Actuals</t>
  </si>
  <si>
    <t>2023 Actuals</t>
  </si>
  <si>
    <t>MAINS (LESS SMRP)</t>
  </si>
  <si>
    <t>M &amp; R STA EQUIP-GENERAL-REGULATING (LESS SMRP)</t>
  </si>
  <si>
    <t>SERVICES (LESS SMRP)</t>
  </si>
  <si>
    <t>METER INSTALLATIONS (LESS SMRP)</t>
  </si>
  <si>
    <t>HOUSE REGULATORS (LESS SMRP)</t>
  </si>
  <si>
    <t>13 Month Avg August 31, 2024</t>
  </si>
  <si>
    <t>13 Month Avg December 31, 2025</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</si>
  <si>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</si>
  <si>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</si>
  <si>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</si>
  <si>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</si>
  <si>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</si>
  <si>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</si>
  <si>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</si>
  <si>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</si>
  <si>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</si>
  <si>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</si>
  <si>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</si>
  <si>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</si>
  <si>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</si>
  <si>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</si>
  <si>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</si>
  <si>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</si>
  <si>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</si>
  <si>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</si>
  <si>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</si>
  <si>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</si>
  <si>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</si>
  <si>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</si>
  <si>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</si>
  <si>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</si>
  <si>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</si>
  <si>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</si>
  <si>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</si>
  <si>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</si>
  <si>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</si>
  <si>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</si>
  <si>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</si>
  <si>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</si>
  <si>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</si>
  <si>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</si>
  <si>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</si>
  <si>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</si>
  <si>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13 MONTH AVERAGE DECEMBER 31, 2025</t>
  </si>
  <si>
    <t>FORECASTED TEST PERIOD TME DECEMBER 31, 2025 DEPRECIATION EXPENSE</t>
  </si>
  <si>
    <t>Open Period</t>
  </si>
  <si>
    <t>Testing Dates</t>
  </si>
  <si>
    <t>Used file "Summary of Plant additions activity" amounts need pdated to Actuals when available</t>
  </si>
  <si>
    <t>2022</t>
  </si>
  <si>
    <t xml:space="preserve">Used file "Summary of Plant additions activity" </t>
  </si>
  <si>
    <t>Updated for Actuals</t>
  </si>
  <si>
    <t>I /P / D / G / O</t>
  </si>
  <si>
    <t>ACCT. NO. Case 2025-xxxxx</t>
  </si>
  <si>
    <t>DESCRIPTION B-SCHEDULES 2025-xxxxx</t>
  </si>
  <si>
    <t>Sum of end_bal</t>
  </si>
  <si>
    <t>Sum of begin_bal</t>
  </si>
  <si>
    <t>Sum of additions</t>
  </si>
  <si>
    <t>Sum of retirements</t>
  </si>
  <si>
    <t>Sum of trans_adj</t>
  </si>
  <si>
    <t>1 - INTANGIBLE</t>
  </si>
  <si>
    <t>1 - INTANGIBLE Total</t>
  </si>
  <si>
    <t>2 - PRODUCTION</t>
  </si>
  <si>
    <t>2 - PRODUCTION Total</t>
  </si>
  <si>
    <t>3 - DISTRIBUTION</t>
  </si>
  <si>
    <t>3 - DISTRIBUTION Total</t>
  </si>
  <si>
    <t>4 - GENERAL</t>
  </si>
  <si>
    <t>4 - GENERAL Total</t>
  </si>
  <si>
    <t>5 - OTHER</t>
  </si>
  <si>
    <t>5 - OTHER Total</t>
  </si>
  <si>
    <t>PowerPlant Grand Total</t>
  </si>
  <si>
    <t>PeopleSoft Trial Balance - Regulatory View</t>
  </si>
  <si>
    <t>10100000</t>
  </si>
  <si>
    <t>Plant In Service-Beg Bal</t>
  </si>
  <si>
    <t>10100001</t>
  </si>
  <si>
    <t>Plant In Service-Additions</t>
  </si>
  <si>
    <t>10100002</t>
  </si>
  <si>
    <t>Plant In Service-Retirements</t>
  </si>
  <si>
    <t>10140000</t>
  </si>
  <si>
    <t>Cloud Plant In Svc-Beg Bal</t>
  </si>
  <si>
    <t>10140001</t>
  </si>
  <si>
    <t>Cloud Plant in Svc-Additions</t>
  </si>
  <si>
    <t>Cloud Plant in Svc-Retirements</t>
  </si>
  <si>
    <t>10600000</t>
  </si>
  <si>
    <t>Comp Constr Not Class Beg Bal</t>
  </si>
  <si>
    <t>10600003</t>
  </si>
  <si>
    <t>Comp Const not Class Other</t>
  </si>
  <si>
    <t>11401000</t>
  </si>
  <si>
    <t>Tang Plant Acq Adj-BegBal</t>
  </si>
  <si>
    <t>Total Plant</t>
  </si>
  <si>
    <t>1020 Additons Ending Balance 12/2023</t>
  </si>
  <si>
    <t>Summary Plant Additions - Addtions Total 2024 Utiltiy 2</t>
  </si>
  <si>
    <t>Summary Plant Additions - Retirements Total 2024 Utility 2</t>
  </si>
  <si>
    <t>Summary Plant Additions - Addtions Total 2025 Utiltiy 2</t>
  </si>
  <si>
    <t>Summary Plant Additions - Addtions Total 2024 Other</t>
  </si>
  <si>
    <t>Summary Plant Additions - Retirements Total 2024 Other</t>
  </si>
  <si>
    <t>Summary Plant Additions - Retirements Total 2025 Utility 2</t>
  </si>
  <si>
    <t>303.30 Software Split per 1604c</t>
  </si>
  <si>
    <t>Summary Plant Additions - Addtions Total 2024 IT</t>
  </si>
  <si>
    <t>5 Year</t>
  </si>
  <si>
    <t>Summary Plant Additions - Retirements Total 2024 IT</t>
  </si>
  <si>
    <t>Summary Plant Additions - Addtions Total 2025 Other</t>
  </si>
  <si>
    <t>10 Year</t>
  </si>
  <si>
    <t>Summary Plant Additions - Retirements Total 2025 Other</t>
  </si>
  <si>
    <t>Roundng Difference</t>
  </si>
  <si>
    <t>Summary Plant Additions - Addtions Total 2025 IT</t>
  </si>
  <si>
    <t>Summary Plant Additions - Retirements Total 2025 IT</t>
  </si>
  <si>
    <t>PLANT INCLUDES SMRP</t>
  </si>
  <si>
    <t>SMRP Form 3.0</t>
  </si>
  <si>
    <t>Zero out 2023</t>
  </si>
  <si>
    <t>Page 1 of 2</t>
  </si>
  <si>
    <t>Columbia Gas of Kentucky, Inc.</t>
  </si>
  <si>
    <t>Annual Adjustment to the Safety Modification and Replacement Program ("SMRP")</t>
  </si>
  <si>
    <t xml:space="preserve">2023 Plant In Service </t>
  </si>
  <si>
    <t>Cumulative Total</t>
  </si>
  <si>
    <t>Cumulative</t>
  </si>
  <si>
    <t>Estimate</t>
  </si>
  <si>
    <t>376 Mains</t>
  </si>
  <si>
    <t>378 Plant Regulators</t>
  </si>
  <si>
    <t>380 Service Lines</t>
  </si>
  <si>
    <t>382 Meter Installations</t>
  </si>
  <si>
    <t>383 House Regulators</t>
  </si>
  <si>
    <t xml:space="preserve">   Total Monthly Additions</t>
  </si>
  <si>
    <t xml:space="preserve">   Total Cumulative Additions</t>
  </si>
  <si>
    <t xml:space="preserve">380 Service Lines </t>
  </si>
  <si>
    <t xml:space="preserve">   Total Monthly Retirements</t>
  </si>
  <si>
    <t xml:space="preserve">   Total Cumulative Retirements</t>
  </si>
  <si>
    <t>Total Plant In Service</t>
  </si>
  <si>
    <t xml:space="preserve">   Total Plant In Service Monthly Activity</t>
  </si>
  <si>
    <t xml:space="preserve">   Total Cumulative Plant In Service</t>
  </si>
  <si>
    <t>Case No. 2023-0335</t>
  </si>
  <si>
    <t>Page 2 of 2</t>
  </si>
  <si>
    <t>2024 Plant In Service</t>
  </si>
  <si>
    <t>2025 Not part of Case No. 2023-0335 filing</t>
  </si>
  <si>
    <t>Data from File: Summary of Plant additions activity, Tab: Utility 2</t>
  </si>
  <si>
    <t>2025 Plant In Service</t>
  </si>
  <si>
    <t>FROM JANUARY 01, 2023 THROUGH DECEMBER 31, 2025</t>
  </si>
  <si>
    <t>PLANT</t>
  </si>
  <si>
    <t>RESERVE</t>
  </si>
  <si>
    <t>AMORTIZATION</t>
  </si>
  <si>
    <t>COST OF</t>
  </si>
  <si>
    <t>MONTH</t>
  </si>
  <si>
    <t>ACCURAL</t>
  </si>
  <si>
    <t>REMOVAL</t>
  </si>
  <si>
    <t>(4)=(1+2+3)</t>
  </si>
  <si>
    <t>Base Period - Actuals</t>
  </si>
  <si>
    <t>Base Period - Forecasted</t>
  </si>
  <si>
    <t>DETAIL OF ACTUAL &amp; FORECASTED PLANT, ACCUMULATED RESERVE &amp; DEPRECIATION EXPENSE</t>
  </si>
  <si>
    <t>GAS PLANT IN SERVICE</t>
  </si>
  <si>
    <t>RESERVE FOR DEPRECIATION &amp; AMORTIZATION</t>
  </si>
  <si>
    <t xml:space="preserve">LINE </t>
  </si>
  <si>
    <t>ACCRUAL</t>
  </si>
  <si>
    <t>DEPRECIAITON</t>
  </si>
  <si>
    <t>RATES</t>
  </si>
  <si>
    <t>SMRP PLANT</t>
  </si>
  <si>
    <t>MAINS (SMRP)</t>
  </si>
  <si>
    <t>M &amp; R STA EQUIP-GENERAL-REGULATING (SMRP)</t>
  </si>
  <si>
    <t>SERVICES (SMRP)</t>
  </si>
  <si>
    <t>METER INSTALLATIONS (SMRP)</t>
  </si>
  <si>
    <t>HOUSE REGULATORS (SMRP)</t>
  </si>
  <si>
    <t>TOTAL SMRP PLANT</t>
  </si>
  <si>
    <t>Total Other Plant</t>
  </si>
  <si>
    <t>Total Plant (Less SMRP)</t>
  </si>
  <si>
    <t>Total SMRP Plant</t>
  </si>
  <si>
    <t>DETAIL OF ACTUAL &amp;  FORECASTED SMRP PLANT, ACCUMULATED RESERVE &amp; DEPRECIATION EXPENSE</t>
  </si>
  <si>
    <t>Reserve account balance at the beginning of the year</t>
  </si>
  <si>
    <t>Charges to reserve (accounts charged off)</t>
  </si>
  <si>
    <t>Credits to reserve account</t>
  </si>
  <si>
    <t>Current year provision</t>
  </si>
  <si>
    <t>Reserve account balance at the end of the year</t>
  </si>
  <si>
    <t>Total Company Revenue (Excludes Unbilled)</t>
  </si>
  <si>
    <t>Percent of provision to total revenue (Line 4/6)</t>
  </si>
  <si>
    <t>Three Year Average - 2023, 2022 &amp; 2019 (5-Year Adjusted)</t>
  </si>
  <si>
    <t>NORMALIZED CHARGE-OFF PERCENTAGE.</t>
  </si>
  <si>
    <t>UNCOLLECTIBLE ACCOUNTS EXPENSE BASED ON FORECASTED TEST PERIOD OPERATING REVENUES AND THE</t>
  </si>
  <si>
    <t>SCHEDULE D-1B</t>
  </si>
  <si>
    <t xml:space="preserve">717 - 742 </t>
  </si>
  <si>
    <t>LIQUEFIED PETROLEUM GAS PRODUCTION EXPENSES</t>
  </si>
  <si>
    <t>859</t>
  </si>
  <si>
    <t>865</t>
  </si>
  <si>
    <t xml:space="preserve">TOTAL OPERATION AND MAINTENANCE ACCOUNTS EXPENSES, EXCLUDING </t>
  </si>
  <si>
    <t>TOTAL OTHER OPERATING EXPENSES</t>
  </si>
  <si>
    <t xml:space="preserve">480 </t>
  </si>
  <si>
    <t xml:space="preserve">481.1 </t>
  </si>
  <si>
    <t xml:space="preserve">481.2 </t>
  </si>
  <si>
    <t xml:space="preserve">481.9 </t>
  </si>
  <si>
    <t xml:space="preserve">483  </t>
  </si>
  <si>
    <t xml:space="preserve">487 </t>
  </si>
  <si>
    <t xml:space="preserve">488 </t>
  </si>
  <si>
    <t>MISC. SERVICE REVENUES</t>
  </si>
  <si>
    <t xml:space="preserve">489 </t>
  </si>
  <si>
    <t>REVENUE FROM TRANSPORTING GAS TO OTHERS</t>
  </si>
  <si>
    <t xml:space="preserve">493 </t>
  </si>
  <si>
    <t xml:space="preserve">495 </t>
  </si>
  <si>
    <t xml:space="preserve">801-803 </t>
  </si>
  <si>
    <t xml:space="preserve">804 </t>
  </si>
  <si>
    <t xml:space="preserve">805 </t>
  </si>
  <si>
    <t xml:space="preserve">806 </t>
  </si>
  <si>
    <t xml:space="preserve">808 </t>
  </si>
  <si>
    <t xml:space="preserve">812 </t>
  </si>
  <si>
    <t xml:space="preserve">813 </t>
  </si>
  <si>
    <t xml:space="preserve">403 - 404 </t>
  </si>
  <si>
    <t>SHEET  1 OF 3</t>
  </si>
  <si>
    <t>SHEET  2 OF 3</t>
  </si>
  <si>
    <t>SHEET  3 OF 3</t>
  </si>
  <si>
    <t>TOTAL OPERATING EXPENSES BEFORE TAXES</t>
  </si>
  <si>
    <t>TOTAL OPERATING INCOME BEFORE TAXES</t>
  </si>
  <si>
    <t>GAS COST REVENUE BY APPLYING THE NORMALIZED CHARGE-OFF PERCENTAGE.</t>
  </si>
  <si>
    <t>SCHEDULE D1-A</t>
  </si>
  <si>
    <t xml:space="preserve">  CUSTOMER SERVICE &amp; INFORMATION EXPENSES</t>
  </si>
  <si>
    <t xml:space="preserve">  ADMINISTRATIVE AND GENERAL EXPENSES</t>
  </si>
  <si>
    <t xml:space="preserve">  DEPRECIATION AND AMORTIZATION EXPENSE</t>
  </si>
  <si>
    <t>SUMMARY OF ACTUAL &amp; FORECASTED PLANT, ACCUMULATED RESERVE &amp; DEPRECIATION EXPENSE</t>
  </si>
  <si>
    <t>12/31/2024</t>
  </si>
  <si>
    <t>August 31, 2023</t>
  </si>
  <si>
    <t>September 30, 2023</t>
  </si>
  <si>
    <t>October 31,  2023</t>
  </si>
  <si>
    <t>November 30, 2023</t>
  </si>
  <si>
    <t>December 31, 2023</t>
  </si>
  <si>
    <t>January 31, 2024</t>
  </si>
  <si>
    <t>February 28, 2024</t>
  </si>
  <si>
    <t>March 31, 2024</t>
  </si>
  <si>
    <t>April 30, 2024</t>
  </si>
  <si>
    <t>May 31, 2024</t>
  </si>
  <si>
    <t>June 30, 2024</t>
  </si>
  <si>
    <t>July 31, 2024</t>
  </si>
  <si>
    <t>August 31, 2024</t>
  </si>
  <si>
    <t>September 30, 2024</t>
  </si>
  <si>
    <t>October 31, 2024</t>
  </si>
  <si>
    <t>November 30, 2024</t>
  </si>
  <si>
    <t>December 31, 2024</t>
  </si>
  <si>
    <t>January 31, 2025</t>
  </si>
  <si>
    <t>February 28, 2025</t>
  </si>
  <si>
    <t>March 31, 2025</t>
  </si>
  <si>
    <t>April 30, 2025</t>
  </si>
  <si>
    <t>May 31, 2025</t>
  </si>
  <si>
    <t>June 30, 2025</t>
  </si>
  <si>
    <t>July 31, 2025</t>
  </si>
  <si>
    <t>August 31, 2025</t>
  </si>
  <si>
    <t>September 30, 2025</t>
  </si>
  <si>
    <t>October 31, 2025</t>
  </si>
  <si>
    <t>November 30, 2025</t>
  </si>
  <si>
    <t>December 31, 2025</t>
  </si>
  <si>
    <t xml:space="preserve">NON-RECOVERABLE CKY DIRECT LOBBYING EXPENSE - THE PURPOSE OF THIS ADJUSTMENT IS TO RECOGNIZE THAT, </t>
  </si>
  <si>
    <t>NON-RECOVERABLE CKY DIRECT NON-LABOR EXPENSE - THE PURPOSE OF THIS ADJUSTMENT IS TO RECOGNIZE THAT, IN</t>
  </si>
  <si>
    <t xml:space="preserve">NON-RECOVERABLE MANAGEMENT FEE LOBBYING EXPENSE - THE PURPOSE OF THIS ADJUSTMENT IS TO RECOGNIZE THAT, </t>
  </si>
  <si>
    <t xml:space="preserve">IN PREVIOUS RATE PROCEEDINGS, THE COMMISSION HAS DECLINED TO PERMIT RECOVERY OF LOBBYING RELATED </t>
  </si>
  <si>
    <t xml:space="preserve">ENERGY ASSISTANCE PROGRAM TRACKER EXPENSE - THE PURPOSE OF THIS ADJUSTMENT IS TO MATCH </t>
  </si>
  <si>
    <t>TRACKER EXPENSE WITH THE TRACKER REVENUE INCLUDED IN FORECASTED TEST PERIOD OPERATING REVENUES.</t>
  </si>
  <si>
    <t xml:space="preserve">ENERGY EFFICIENCY CONSERVATION PROGRAM TRACKER EXPENSE - THE PURPOSE OF THIS ADJUSTMENT IS TO MATCH </t>
  </si>
  <si>
    <t>[1] Expected Gas Cost Commodity Rate as of March 1, 2024 per PSC Order 2024-00011.</t>
  </si>
  <si>
    <t>[3] Uncollectible Gas Cost Rate of $.0103/Mcf per PSC Order 2024-00011.</t>
  </si>
  <si>
    <t>Schedule M-2.2, Column P</t>
  </si>
  <si>
    <t>Line 3 + Line 6</t>
  </si>
  <si>
    <t>WPM - A.2</t>
  </si>
  <si>
    <t>EXPENSE TRACKERS ADJUSTMENT</t>
  </si>
  <si>
    <t xml:space="preserve">BASE RATE UNCOLLECTIBLE ACCOUNTS EXPENSE - THE PURPOSE OF THIS ADJUSTMENT IS TO REDUCE </t>
  </si>
  <si>
    <t xml:space="preserve">GAS COST UNCOLLECTIBLE ACCOUNTS EXPENSE - THE PURPOSE OF THIS ADJUSTMENT IS TO REDUCE </t>
  </si>
  <si>
    <t xml:space="preserve">NON-RECOVERABLE MANAGEMENT FEE NON-LABOR EXPENSE - THE PURPOSE OF THIS ADJUSTMENT IS TO RECOGNIZE THAT, </t>
  </si>
  <si>
    <t>IN PREVIOUS RATEPROCEEDINGS, THE COMMISSION HAS DECLINED TO PERMIT RECOVERY OF CERTAIN EXPENSES BILLED</t>
  </si>
  <si>
    <t>Workpaper WPD-2.4H</t>
  </si>
  <si>
    <t>Rate Case Expense Adjustment</t>
  </si>
  <si>
    <t>Corporate Dues &amp; Memberships - Lobbying</t>
  </si>
  <si>
    <t>Charitable Contributions</t>
  </si>
  <si>
    <t>Advertising</t>
  </si>
  <si>
    <t>Total Lobbying Non-Recoverable O&amp;M Expenses</t>
  </si>
  <si>
    <t>Total Non-Lobbying Non-Recoverable O&amp;M Expenses</t>
  </si>
  <si>
    <t>Total Non-Recoverable O&amp;M Expenses</t>
  </si>
  <si>
    <t>Employee Expenses: Activities &amp; Business Expenses - Lobbying</t>
  </si>
  <si>
    <t>Corporate Dues &amp; Memberships</t>
  </si>
  <si>
    <t>Employee Expenses: Gifts</t>
  </si>
  <si>
    <t>Employee Expenses: Entertainment</t>
  </si>
  <si>
    <t>Employee Expenses: Activities &amp; Business Expenses</t>
  </si>
  <si>
    <t>Lines 1 - 4</t>
  </si>
  <si>
    <t>Miscellaneous &amp; Other [1]</t>
  </si>
  <si>
    <t>[1] Includes identified non-recoverable expenses Cost Categories: 1) Legal Fees, 2) Materials &amp; Supplies, 3) Utilities, 4) Rents and Leases, and 5) Miscellaneous &amp; Other.</t>
  </si>
  <si>
    <t>CY 2023</t>
  </si>
  <si>
    <t>FFTY</t>
  </si>
  <si>
    <t>Schedule</t>
  </si>
  <si>
    <t>ADJ #</t>
  </si>
  <si>
    <t>Adjustment Description</t>
  </si>
  <si>
    <t>Adjustment Amount</t>
  </si>
  <si>
    <t>Inflation Rate</t>
  </si>
  <si>
    <t>FERC Account</t>
  </si>
  <si>
    <t>Uncollectible Accounts - Non-Gas Cost</t>
  </si>
  <si>
    <t>Uncollectible Accounts - Gas Cost</t>
  </si>
  <si>
    <t>Allocate</t>
  </si>
  <si>
    <t>CKY Direct Exclusion</t>
  </si>
  <si>
    <t>Lobbying Exclusion - Dues &amp; Donations</t>
  </si>
  <si>
    <t>Charitables &amp; Other - Dues &amp; Donations</t>
  </si>
  <si>
    <t>AP Vendor Review - Employee Expenses</t>
  </si>
  <si>
    <t>AP Vendor Review - Misc. &amp; Other</t>
  </si>
  <si>
    <t>NCSC Exclusion</t>
  </si>
  <si>
    <t>Lobbying Exclusion - Employee Expenses</t>
  </si>
  <si>
    <t>Employee Expenses - Dues &amp; Donations</t>
  </si>
  <si>
    <t>AP Vendor Review - Legal Fees</t>
  </si>
  <si>
    <t>AP Vendor Review - M&amp;S</t>
  </si>
  <si>
    <t>AP Vendor Review - Misc. &amp; Other (Taxes)</t>
  </si>
  <si>
    <t>AP Vendor Review - Outside Services</t>
  </si>
  <si>
    <t>AP Vendor Review - Rents &amp; Leases</t>
  </si>
  <si>
    <t>AP Vendor Review - Utilities</t>
  </si>
  <si>
    <t>Work Order Review - Employee Expenses</t>
  </si>
  <si>
    <t>Work Order Review - M&amp;S</t>
  </si>
  <si>
    <t>Work Order Review - Misc. &amp; Other</t>
  </si>
  <si>
    <t>Work Order Review - Rents &amp; Leases</t>
  </si>
  <si>
    <t>Work Order Review - Outside Services</t>
  </si>
  <si>
    <t>Total Proforma Adj - O&amp;M Exclusions (CKY Direct) CHECK</t>
  </si>
  <si>
    <t>Total Proforma Adj - O&amp;M Lobbying Exclusions (CKY Direct) FYI</t>
  </si>
  <si>
    <t>Total Proforma Adj - O&amp;M Exclusions (CKY NCSC) CHECK</t>
  </si>
  <si>
    <t>Total Proforma Adj - O&amp;M Lobbying Exclusions (CKY NCSC) FYI</t>
  </si>
  <si>
    <t>Adjusted Depreciation and Amortization Expense</t>
  </si>
  <si>
    <t>Less: Test Year Depreciation and Amortization Expense</t>
  </si>
  <si>
    <t>Line 2 - Line 1</t>
  </si>
  <si>
    <t>ADJ 8.1</t>
  </si>
  <si>
    <t>ADJ 8.2</t>
  </si>
  <si>
    <t>Cost Category</t>
  </si>
  <si>
    <t>Other Rents &amp; Leases</t>
  </si>
  <si>
    <t>Rents &amp; Leases (Buildings)</t>
  </si>
  <si>
    <t>Account Allocation - CY2023 Basis</t>
  </si>
  <si>
    <t>NCSC</t>
  </si>
  <si>
    <t>8.2 TOTAL</t>
  </si>
  <si>
    <t>See "INPUT - O&amp;M Excld Allocates" tab</t>
  </si>
  <si>
    <t>TOTAL LONG-TERM DEBT - December 31, 2025</t>
  </si>
  <si>
    <t>Depreciation and Amortization Expense Adjustment</t>
  </si>
  <si>
    <t>AUG 31, 2023</t>
  </si>
  <si>
    <t>SEP 30, 2023</t>
  </si>
  <si>
    <t>OCT 31, 2023</t>
  </si>
  <si>
    <t>NOV 30, 2023</t>
  </si>
  <si>
    <t>DEC 31, 2023</t>
  </si>
  <si>
    <t>JAN 31, 2024</t>
  </si>
  <si>
    <t>FEB 28, 2024</t>
  </si>
  <si>
    <t>MAR 31, 2024</t>
  </si>
  <si>
    <t>APR 30, 2024</t>
  </si>
  <si>
    <t>MAY 31, 2024</t>
  </si>
  <si>
    <t>JUN 30, 2024</t>
  </si>
  <si>
    <t>JUL 31, 2024</t>
  </si>
  <si>
    <t>AUG 31, 2024</t>
  </si>
  <si>
    <t>BAD DEBTS - STATE</t>
  </si>
  <si>
    <t>FEDERAL - FAS 109 ST GROSS UP</t>
  </si>
  <si>
    <t>NET OPERATING LOSS - STATE (FBOS), NET</t>
  </si>
  <si>
    <t>REG ASSET RATE CASE CURRENT - FED</t>
  </si>
  <si>
    <t>REG ASSET RATE CASE CURRENT - STATE</t>
  </si>
  <si>
    <t>DEC 31, 2024</t>
  </si>
  <si>
    <t>JAN 31, 2025</t>
  </si>
  <si>
    <t>FEB 28, 2025</t>
  </si>
  <si>
    <t>MAR 31, 2025</t>
  </si>
  <si>
    <t>APR 30, 2025</t>
  </si>
  <si>
    <t>MAY 31, 2025</t>
  </si>
  <si>
    <t>JUN 30, 2025</t>
  </si>
  <si>
    <t>JUL 31, 2025</t>
  </si>
  <si>
    <t>AUG 31, 2025</t>
  </si>
  <si>
    <t>SEP 30, 2025</t>
  </si>
  <si>
    <t>OCT 31, 2025</t>
  </si>
  <si>
    <t>NOV 30, 2025</t>
  </si>
  <si>
    <t>DEC 31, 2025</t>
  </si>
  <si>
    <t>NORMALIZATION ADJUSTMENT UNDER TREAS. REG. §1.167(l)-1</t>
  </si>
  <si>
    <t>Projected Deferred Taxes at 12/31/2024</t>
  </si>
  <si>
    <t>B-6 (Forecast), Column 5, Line 143</t>
  </si>
  <si>
    <t>Projected Deferred Taxes at 12/31/2025</t>
  </si>
  <si>
    <t>B-6 (Forecast), Column 17, Line 143</t>
  </si>
  <si>
    <t>Increase in Deferred Taxes (Federal NOL &amp; Property)</t>
  </si>
  <si>
    <t>365/365</t>
  </si>
  <si>
    <t>335/365</t>
  </si>
  <si>
    <t>305/365</t>
  </si>
  <si>
    <t>274/365</t>
  </si>
  <si>
    <t>243/365</t>
  </si>
  <si>
    <t>215/365</t>
  </si>
  <si>
    <t>184/365</t>
  </si>
  <si>
    <t>154/365</t>
  </si>
  <si>
    <t>123/365</t>
  </si>
  <si>
    <t>93/365</t>
  </si>
  <si>
    <t>62/365</t>
  </si>
  <si>
    <t>31/365</t>
  </si>
  <si>
    <t>1/365</t>
  </si>
  <si>
    <t>Forecast Rate Base ADIT/EDIT 13-Month Average compared to December 31, 2025 Balance</t>
  </si>
  <si>
    <t>Normalization Proration Adjustment</t>
  </si>
  <si>
    <t>SCH C-1, LN 7</t>
  </si>
  <si>
    <t>Stock Excess</t>
  </si>
  <si>
    <t>(4) = (5) - (3)</t>
  </si>
  <si>
    <t>(7) = (5) + (6)</t>
  </si>
  <si>
    <t>2023 SMRP Net Plant Additions</t>
  </si>
  <si>
    <t>2024 SMRP Net Plant Additions</t>
  </si>
  <si>
    <t>Estimated SMRP Assessed Value at December 31, 2024</t>
  </si>
  <si>
    <t>2025 SMRP Property Tax Expense - Property, Plant and Equipment</t>
  </si>
  <si>
    <t>2024 Net Plant Additions, net of 2024 SMRP</t>
  </si>
  <si>
    <t>FOREFITED DISCOUNT REVENUES - THE PURPOSE OF THIS ADJUSTMENT IS TO REMOVE LATE PAYMENT PENALTIES</t>
  </si>
  <si>
    <t>ASSESSED TO RESIDENTIAL CUSTOMERS INCLUDED IN FORECASTED TEST PERIOD OPERATING REVENUES.</t>
  </si>
  <si>
    <t>C-2</t>
  </si>
  <si>
    <t>Total Current State and Federal Income Taxes</t>
  </si>
  <si>
    <t>Current Federal Income Tax @ 21%</t>
  </si>
  <si>
    <t>Current State Income Tax @ 5%</t>
  </si>
  <si>
    <t>Operating Income Before Reconciling Items</t>
  </si>
  <si>
    <t>Interest</t>
  </si>
  <si>
    <t>Weighted Cost of Debt</t>
  </si>
  <si>
    <t>Total Rate Base</t>
  </si>
  <si>
    <t>Cash Working Capital Exclusive of State and Federal Income Taxes and Interest</t>
  </si>
  <si>
    <t>Rate Base Excluding Cash Working Capital</t>
  </si>
  <si>
    <t>CWC Interest</t>
  </si>
  <si>
    <t>CWC FIT</t>
  </si>
  <si>
    <t>CWC SIT</t>
  </si>
  <si>
    <t>4th Interation</t>
  </si>
  <si>
    <t>3rd Interation</t>
  </si>
  <si>
    <t>2nd Interation</t>
  </si>
  <si>
    <t>J-1.1 / J-1.2</t>
  </si>
  <si>
    <t>1st Interation</t>
  </si>
  <si>
    <t>Line (1) - (Sum of Lines (2) - (4))</t>
  </si>
  <si>
    <t>Adjusted Income Before Income Tax</t>
  </si>
  <si>
    <t>Adjusted Taxes Other Than Income</t>
  </si>
  <si>
    <t>Adjusted Operation and Maintenance Expense</t>
  </si>
  <si>
    <t>Adjusted Operating Revenues</t>
  </si>
  <si>
    <t>Change in Current State Income Tax from CWC Interest Synchronization</t>
  </si>
  <si>
    <t>Change in Current Federal Income Tax from CWC Interest Synchronization</t>
  </si>
  <si>
    <t>Total Change in Current State and Federal Income Tax from CWC Interest Synchronization</t>
  </si>
  <si>
    <t>SCHEDULE E-1.1</t>
  </si>
  <si>
    <t>SCHEDULE E-1.2</t>
  </si>
  <si>
    <t>5th Interation</t>
  </si>
  <si>
    <t>Line (96) x 21%</t>
  </si>
  <si>
    <t>SUBTOTAL PLANT (LESS SMRP)</t>
  </si>
  <si>
    <t>RETIREMENT WORK IN PROGRESS</t>
  </si>
  <si>
    <t>RETIRED WORK IN PROGRESS</t>
  </si>
  <si>
    <t>Less: Test Year Rate Case Expense</t>
  </si>
  <si>
    <t>ACCOUNT 282 - SMRP DEFERRED INCOME TAXES - ADJUSTMENT</t>
  </si>
  <si>
    <t>SMRP EXCESS ACCELERATED DEPRECIATION / REPAIRS / 263A - FED</t>
  </si>
  <si>
    <t>SMRP EXCESS ACCELERATED DEPRECIATION / REPAIRS / 263A - STATE</t>
  </si>
  <si>
    <t xml:space="preserve">       TOTAL ACCOUNT 282 - SMRP</t>
  </si>
  <si>
    <t>ACCOUNT 254 - (TCJA) EXCESS ADIT (AFTER GROSS UP)</t>
  </si>
  <si>
    <t>ACCOUNT 254 - (KY STATE TAX RATE) EXCESS ADIT (AFTER GROSS UP)</t>
  </si>
  <si>
    <t xml:space="preserve">     Additions - 2024</t>
  </si>
  <si>
    <t>WAM</t>
  </si>
  <si>
    <t>Technology other than WAM</t>
  </si>
  <si>
    <t xml:space="preserve">   Total Misc Software Additions</t>
  </si>
  <si>
    <t xml:space="preserve">  Total Cloud Software Additions</t>
  </si>
  <si>
    <t xml:space="preserve">     Additions - 2025</t>
  </si>
  <si>
    <t xml:space="preserve">     Retirements - 2024</t>
  </si>
  <si>
    <t xml:space="preserve"> Intangible Plant  General</t>
  </si>
  <si>
    <t xml:space="preserve"> Intangible Plant  Misc Software</t>
  </si>
  <si>
    <t xml:space="preserve"> Intangible Plant  Cloud Software</t>
  </si>
  <si>
    <t>Total Retirements 2024</t>
  </si>
  <si>
    <t xml:space="preserve">     Retirements - 2025</t>
  </si>
  <si>
    <t xml:space="preserve">     Amortization Expense - 2024</t>
  </si>
  <si>
    <t>Total Amortization Expense 2024</t>
  </si>
  <si>
    <t xml:space="preserve">     Amortization Expense - 2025</t>
  </si>
  <si>
    <t>Total Amortization Expense 2025</t>
  </si>
  <si>
    <t>2023 Net Plant Additions, net of 2023 SMRP</t>
  </si>
  <si>
    <t>Estimated Assessed Value at December 31, 2024, net of 2023 &amp; 2024 SMRP</t>
  </si>
  <si>
    <t>2025 Property Tax Expense - Property, Plant and Equipment, net of 2023 &amp; 2024 SMRP</t>
  </si>
  <si>
    <t>Actual Gas Storage Balance at December 31, 2022</t>
  </si>
  <si>
    <t>West Virginia Gas Storage Balance at December 31, 2022</t>
  </si>
  <si>
    <t>Percent in West Virginia at December 31, 2022</t>
  </si>
  <si>
    <t>Projected Gas Storage Balance at December 31, 2023</t>
  </si>
  <si>
    <t>Percent in West Virginia Based on December 31, 2022</t>
  </si>
  <si>
    <t>West Virginia Projected Gas Storage Balance at December 31, 2023</t>
  </si>
  <si>
    <t>Property, Plant and Equipment - Total Company</t>
  </si>
  <si>
    <t>Property, Plant and Equipment - 2023 &amp; 2024 SMRP</t>
  </si>
  <si>
    <t>Property, Plant and Equipment - Total Company, Less 2023 &amp; 2024 SMRP</t>
  </si>
  <si>
    <t>ADJ 2.1</t>
  </si>
  <si>
    <t>ADJ 2.2</t>
  </si>
  <si>
    <t>RESERVE FOR DEPRECIATION &amp; AMORTIZATION w/o 2023, 2024, &amp; 2025 SMRP</t>
  </si>
  <si>
    <t>GAS PLANT IN SERVICE w/o 2023, 2024, &amp; 2025 SMRP</t>
  </si>
  <si>
    <t>Adjusted Depreciation and Amortization Expense, 
Less 2023, 2024, &amp; 2025 SMRP</t>
  </si>
  <si>
    <t>Line 6 - Line 7</t>
  </si>
  <si>
    <t>Line 5 + Line 8</t>
  </si>
  <si>
    <t xml:space="preserve">  SMRP Book / Tax Basis Difference - Adjustment</t>
  </si>
  <si>
    <t xml:space="preserve">  8c</t>
  </si>
  <si>
    <t xml:space="preserve">  8a</t>
  </si>
  <si>
    <t xml:space="preserve">  8b</t>
  </si>
  <si>
    <t>B-6, Line 9</t>
  </si>
  <si>
    <t>B-6, Line 17</t>
  </si>
  <si>
    <t>B-6.1, Line 19</t>
  </si>
  <si>
    <t>2023 &amp; 2024</t>
  </si>
  <si>
    <t>2023, 2024 &amp; 2025 SMRP</t>
  </si>
  <si>
    <t>SMRP investments for years 2023 &amp; 2024</t>
  </si>
  <si>
    <t>SMRP investments for years 2023, 2024 &amp; 2025</t>
  </si>
  <si>
    <t>W/O SMRP</t>
  </si>
  <si>
    <t>PUBLIC UTILITIES - GAS COST</t>
  </si>
  <si>
    <t>PUBLIC UTILITIES - NON-GAS COST</t>
  </si>
  <si>
    <t>TRANSPORTATION REVENUE - RESIDENTIAL</t>
  </si>
  <si>
    <t>TRANSPORTATION REVENUE - COMMERCIAL</t>
  </si>
  <si>
    <t>TRANSPORTATION REVENUE - INDUSTRIAL</t>
  </si>
  <si>
    <t xml:space="preserve">    PUBLIC UTILITIES - GAS COST</t>
  </si>
  <si>
    <t xml:space="preserve">    PUBLIC UTILITIES - NON-GAS COST</t>
  </si>
  <si>
    <t xml:space="preserve">    REVENUE FROM TRANSPORTATION OF GAS OF OTHERS - RESIDENTIAL</t>
  </si>
  <si>
    <t xml:space="preserve">    REVENUE FROM TRANSPORTATION OF GAS OF OTHERS - COMMERCIAL</t>
  </si>
  <si>
    <t xml:space="preserve">    REVENUE FROM TRANSPORTATION OF GAS OF OTHERS - INDUSTRIAL</t>
  </si>
  <si>
    <t xml:space="preserve">    OTHER GAS REVENUES</t>
  </si>
  <si>
    <t>2023 / 2024 Annualized Corporate Insurance Premiums Expense</t>
  </si>
  <si>
    <t>Less: Test Year Corporate Insurance Expense</t>
  </si>
  <si>
    <t>Corporate Insurance Expense Adjustment</t>
  </si>
  <si>
    <t>CORPORATE INSURANCE EXPENSE - THE PURPOSE OF THIS ADJUSTMENT IS TO DECREASE CORPORATE INSURANCE</t>
  </si>
  <si>
    <t xml:space="preserve">EXPENSE TO REFLECT THE LATEST KNOWN ANNUALIZED PREMIUMS FOR THE COMPANY'S PROPERTY, CASUALTY, </t>
  </si>
  <si>
    <t>RATE CASE EXPENSE - THE PURPOSE OF THIS ADJUSTMENT IS TO REMOVE THE ANNUAL AMORTIZATION RATE CASE</t>
  </si>
  <si>
    <t xml:space="preserve">EXPENSE FROM THE COMPANY'S PRIOR CASE (CASE 2021-00183) OF $196,503 AND INCLUDE PROJECTED RATE CASE </t>
  </si>
  <si>
    <t xml:space="preserve">WORKERS COMPENSATION, MEDICAL STOP LOSS, AND OTHER MISC. INSURANCE FOR 2023 / 2024 POLICY PERIODS. </t>
  </si>
  <si>
    <t xml:space="preserve">  DEFERRED INCOME TAX EXPENSE - FEDERAL</t>
  </si>
  <si>
    <t>OPEB EXPENSE</t>
  </si>
  <si>
    <t>PENSION EXPENSE</t>
  </si>
  <si>
    <t>Schedule D-2.4 
(B4 Inflation)</t>
  </si>
  <si>
    <t>Schedule D-2.4 
(After Inflation)</t>
  </si>
  <si>
    <t>Entertainment - Employee Expenses</t>
  </si>
  <si>
    <t>Gifts - Employee Expenses</t>
  </si>
  <si>
    <t>Employee Expenses (ERS) - Employee Expenses</t>
  </si>
  <si>
    <t>Employee Expenses (ERS) - M&amp;S</t>
  </si>
  <si>
    <t>Employee Expenses (ERS) - Misc. &amp; Other</t>
  </si>
  <si>
    <t>Employee Expenses (ERS) - Other Rents &amp; Leases</t>
  </si>
  <si>
    <t>Outside Services and Materials &amp; Supplies - Lobbying</t>
  </si>
  <si>
    <t>Lobbying Allocate</t>
  </si>
  <si>
    <t>Non-Lobbying Allocate</t>
  </si>
  <si>
    <t>9.2 TOTAL</t>
  </si>
  <si>
    <t>EXPENSES INCLUDING DUES AND DONATIONS.</t>
  </si>
  <si>
    <t>EXPENSES INCLUDING DUES AND DONATIONS, ADVERTISING, EMPLOYEE EXPENSES, OUTSIDE SERVICES, AND MATERIALS</t>
  </si>
  <si>
    <t>AND SUPPLIES EXPENSES.</t>
  </si>
  <si>
    <t>ADVERTISING, EMPLOYEE EXPENSES, AND OTHER MISCELLANEOUS EXPENSES.</t>
  </si>
  <si>
    <t xml:space="preserve">EXPENSES. INCLUDED IN THIS ADJUSTMENT ARE DUES AND DONATIONS, CHARITABLE CONTRIBUTIONS, PROMOTIONAL </t>
  </si>
  <si>
    <t>ADVERTISING, EMPLOYEE EXPENSES, OUTSIDE SERVICES, AND OTHER MISCELLANEOUS EXPENSES.</t>
  </si>
  <si>
    <t>EXPENSE OF $1,142,250, TO BE AMORTIZED OVER A ONE YEAR PERIOD.</t>
  </si>
  <si>
    <t>Charitables - Employee Expenses (ERS) - M&amp;S</t>
  </si>
  <si>
    <t>Charitables - Employee Expenses (ERS) - Misc. &amp; Other</t>
  </si>
  <si>
    <t>Charitables - AP Vendor Review - Legal Fees</t>
  </si>
  <si>
    <t>Charitables - AP Vendor Review - Misc. &amp; Other</t>
  </si>
  <si>
    <t>Charitables - AP Vendor Review - Outside Services</t>
  </si>
  <si>
    <t>GAS WITHDRAWN / DELIVERED FROM / TO STORAGE</t>
  </si>
  <si>
    <t xml:space="preserve">    RENTAL FROM GAS PROPERTY</t>
  </si>
  <si>
    <t>OTHER GAS REVENUES</t>
  </si>
  <si>
    <t>OTHER CUSTOMER REVENUE</t>
  </si>
  <si>
    <t>GAS USED FOR OTHER UTILITY OPERATIONS - CONTRA</t>
  </si>
  <si>
    <t>INCOME TAXES-FEDERAL (CURRENT)</t>
  </si>
  <si>
    <t>INCOME TAXES-STATE (CURRENT)</t>
  </si>
  <si>
    <t>INCOME TAXES-FEDERAL (DEFERRED)</t>
  </si>
  <si>
    <t>INCOME TAXES-STATE (DEFERRED)</t>
  </si>
  <si>
    <t>DATA PERIOD:</t>
  </si>
  <si>
    <t>WORKPAPER REFERENCE NO(S).:</t>
  </si>
  <si>
    <t>SHEET 72 OF 72</t>
  </si>
  <si>
    <t>SHEET 71 OF 72</t>
  </si>
  <si>
    <t>SHEET 70 OF 72</t>
  </si>
  <si>
    <t>SHEET 69 OF 72</t>
  </si>
  <si>
    <t>SHEET 68 OF 72</t>
  </si>
  <si>
    <t>SHEET 67 OF 72</t>
  </si>
  <si>
    <t>SHEET 66 OF 72</t>
  </si>
  <si>
    <t>SHEET 65 OF 72</t>
  </si>
  <si>
    <t>SHEET 64 OF 72</t>
  </si>
  <si>
    <t>SHEET 63 OF 72</t>
  </si>
  <si>
    <t>SHEET 62 OF 72</t>
  </si>
  <si>
    <t>SHEET 61 OF 72</t>
  </si>
  <si>
    <t>SHEET 60 OF 72</t>
  </si>
  <si>
    <t>SHEET 59 OF 72</t>
  </si>
  <si>
    <t>SHEET 58 OF 72</t>
  </si>
  <si>
    <t>SHEET 57 OF 72</t>
  </si>
  <si>
    <t>SHEET 56 OF 72</t>
  </si>
  <si>
    <t>SHEET 55 OF 72</t>
  </si>
  <si>
    <t>SHEET 54 OF 72</t>
  </si>
  <si>
    <t>SHEET 53 OF 72</t>
  </si>
  <si>
    <t>SHEET 52 OF 72</t>
  </si>
  <si>
    <t>SHEET 51 OF 72</t>
  </si>
  <si>
    <t>SHEET 50 OF 72</t>
  </si>
  <si>
    <t>SHEET 49 OF 72</t>
  </si>
  <si>
    <t>SHEET 48 OF 72</t>
  </si>
  <si>
    <t>SHEET 47 OF 72</t>
  </si>
  <si>
    <t>SHEET 46 OF 72</t>
  </si>
  <si>
    <t>SHEET 45 OF 72</t>
  </si>
  <si>
    <t>SHEET 44 OF 72</t>
  </si>
  <si>
    <t>SHEET 43 OF 72</t>
  </si>
  <si>
    <t>SHEET 42 OF 72</t>
  </si>
  <si>
    <t>SHEET 41 OF 72</t>
  </si>
  <si>
    <t>SHEET 40 OF 72</t>
  </si>
  <si>
    <t>SHEET 39 OF 72</t>
  </si>
  <si>
    <t>SHEET 38 OF 72</t>
  </si>
  <si>
    <t>SHEET 37 OF 72</t>
  </si>
  <si>
    <t>SHEET 36 OF 72</t>
  </si>
  <si>
    <t>SHEET 35 OF 72</t>
  </si>
  <si>
    <t>SHEET 34 OF 72</t>
  </si>
  <si>
    <t>SHEET 33 OF 72</t>
  </si>
  <si>
    <t>SHEET 32 OF 72</t>
  </si>
  <si>
    <t>SHEET 31 OF 72</t>
  </si>
  <si>
    <t>SHEET 30 OF 72</t>
  </si>
  <si>
    <t>SHEET 29 OF 72</t>
  </si>
  <si>
    <t>SHEET 28 OF 72</t>
  </si>
  <si>
    <t>SHEET 27 OF 72</t>
  </si>
  <si>
    <t>SHEET 26 OF 72</t>
  </si>
  <si>
    <t>SHEET 25 OF 72</t>
  </si>
  <si>
    <t>SHEET 24 OF 72</t>
  </si>
  <si>
    <t>SHEET 23 OF 72</t>
  </si>
  <si>
    <t>SHEET 22 OF 72</t>
  </si>
  <si>
    <t>SHEET 21 OF 72</t>
  </si>
  <si>
    <t>SHEET 20 OF 72</t>
  </si>
  <si>
    <t>SHEET 19 OF 72</t>
  </si>
  <si>
    <t>SHEET 18 OF 72</t>
  </si>
  <si>
    <t>SHEET 17 OF 72</t>
  </si>
  <si>
    <t>SHEET 16 OF 72</t>
  </si>
  <si>
    <t>SHEET 15 OF 72</t>
  </si>
  <si>
    <t>SHEET 14 OF 72</t>
  </si>
  <si>
    <t>SHEET 13 OF 72</t>
  </si>
  <si>
    <t>SHEET 12 OF 72</t>
  </si>
  <si>
    <t>SHEET 11 OF 72</t>
  </si>
  <si>
    <t>SHEET 10 OF 72</t>
  </si>
  <si>
    <t>SHEET 9 OF 72</t>
  </si>
  <si>
    <t>SHEET 8 OF 72</t>
  </si>
  <si>
    <t>SHEET 7 OF 72</t>
  </si>
  <si>
    <t>SHEET 6 OF 72</t>
  </si>
  <si>
    <t>SHEET 5 OF 72</t>
  </si>
  <si>
    <t>SHEET 4 OF 72</t>
  </si>
  <si>
    <t>SHEET 3 OF 72</t>
  </si>
  <si>
    <t>SHEET 2 OF 72</t>
  </si>
  <si>
    <t>SHEET 1 OF 72</t>
  </si>
  <si>
    <t>SHEET 1 OF 36</t>
  </si>
  <si>
    <t>SHEET 2 OF 36</t>
  </si>
  <si>
    <t>SHEET 3 OF 36</t>
  </si>
  <si>
    <t>SHEET 4 OF 36</t>
  </si>
  <si>
    <t>SHEET 5 OF 36</t>
  </si>
  <si>
    <t>SHEET 6 OF 36</t>
  </si>
  <si>
    <t>SHEET 7 OF 36</t>
  </si>
  <si>
    <t>SHEET 8 OF 36</t>
  </si>
  <si>
    <t>SHEET 9 OF 36</t>
  </si>
  <si>
    <t>SHEET 10 OF 36</t>
  </si>
  <si>
    <t>SHEET 11 OF 36</t>
  </si>
  <si>
    <t>SHEET 12 OF 36</t>
  </si>
  <si>
    <t>SHEET 13 OF 36</t>
  </si>
  <si>
    <t>SHEET 14 OF 36</t>
  </si>
  <si>
    <t>SHEET 15 OF 36</t>
  </si>
  <si>
    <t>SHEET 16 OF 36</t>
  </si>
  <si>
    <t>SHEET 17 OF 36</t>
  </si>
  <si>
    <t>SHEET 18 OF 36</t>
  </si>
  <si>
    <t>SHEET 19 OF 36</t>
  </si>
  <si>
    <t>SHEET 20 OF 36</t>
  </si>
  <si>
    <t>SHEET 21 OF 36</t>
  </si>
  <si>
    <t>SHEET 22 OF 36</t>
  </si>
  <si>
    <t>SHEET 23 OF 36</t>
  </si>
  <si>
    <t>SHEET 24 OF 36</t>
  </si>
  <si>
    <t>SHEET 25 OF 36</t>
  </si>
  <si>
    <t>SHEET 26 OF 36</t>
  </si>
  <si>
    <t>SHEET 27 OF 36</t>
  </si>
  <si>
    <t>SHEET 28 OF 36</t>
  </si>
  <si>
    <t>SHEET 29 OF 36</t>
  </si>
  <si>
    <t>SHEET 30 OF 36</t>
  </si>
  <si>
    <t>SHEET 31 OF 36</t>
  </si>
  <si>
    <t>SHEET 32 OF 36</t>
  </si>
  <si>
    <t>SHEET 33 OF 36</t>
  </si>
  <si>
    <t>SHEET 34 OF 36</t>
  </si>
  <si>
    <t>SHEET 35 OF 36</t>
  </si>
  <si>
    <t>SHEET 36 OF 36</t>
  </si>
  <si>
    <t>SUMMARY OF INTANGIBLE PLANT ACTIVITY - 2024 AND 2025</t>
  </si>
  <si>
    <t>JANUARY</t>
  </si>
  <si>
    <t>FEBRUARY</t>
  </si>
  <si>
    <t>MARCH</t>
  </si>
  <si>
    <t>APRIL</t>
  </si>
  <si>
    <t>JUNE</t>
  </si>
  <si>
    <t>JULY</t>
  </si>
  <si>
    <t>AUGUST</t>
  </si>
  <si>
    <t>SEPTEMBER</t>
  </si>
  <si>
    <t>OCTOBER</t>
  </si>
  <si>
    <t>NOVEMBER</t>
  </si>
  <si>
    <t>DECEMBER</t>
  </si>
  <si>
    <t>MONTHS</t>
  </si>
  <si>
    <t>HARDING</t>
  </si>
  <si>
    <t>FROM JANUARY 01, 2024 THROUGH DECEMBER 31, 2025</t>
  </si>
  <si>
    <t xml:space="preserve">    PUBLIC UTILITIES</t>
  </si>
  <si>
    <t xml:space="preserve">      GAS WITHDRAWN / DELIVERED FROM / TO STORAGE</t>
  </si>
  <si>
    <t>ELECTRIC EXPENSE (MISCLASSIFICATIONS)</t>
  </si>
  <si>
    <t>BASE PERIOD TO</t>
  </si>
  <si>
    <t>FUTURE PERIOD ADJ.</t>
  </si>
  <si>
    <t>till Jan 2032</t>
  </si>
  <si>
    <t>Lobbying Exclusion - Employee Expenses Dues &amp; Donations</t>
  </si>
  <si>
    <t>Lobbying Exclusion - Employee Expenses (ERS)</t>
  </si>
  <si>
    <t>Lobbying Exclusion - Misc &amp; Other - ERS</t>
  </si>
  <si>
    <t>Charitables &amp; Other - Employee Expenses (ERS)</t>
  </si>
  <si>
    <t>Employee Expenses  - Dues &amp; Donations</t>
  </si>
  <si>
    <t>D-2.5</t>
  </si>
  <si>
    <t>D-2.6</t>
  </si>
  <si>
    <t>D-2.7</t>
  </si>
  <si>
    <t>D-2.8</t>
  </si>
  <si>
    <t>AP Vendor Review - Charitables &amp; Other - Misc. &amp; Other</t>
  </si>
  <si>
    <t>ANNUAL AVERAGE INFLATION FACTOR</t>
  </si>
  <si>
    <t>Annual Average Inflation Factor [1]</t>
  </si>
  <si>
    <t xml:space="preserve">Annual </t>
  </si>
  <si>
    <t>Year</t>
  </si>
  <si>
    <t>Quarter</t>
  </si>
  <si>
    <t>GDPIPD</t>
  </si>
  <si>
    <t>Average</t>
  </si>
  <si>
    <t>Increase</t>
  </si>
  <si>
    <t>I</t>
  </si>
  <si>
    <t>II</t>
  </si>
  <si>
    <t>III</t>
  </si>
  <si>
    <t>IV</t>
  </si>
  <si>
    <t>Rate of Inflation 2021 to 2025:</t>
  </si>
  <si>
    <t>Rate of Inflation 2022 to 2025:</t>
  </si>
  <si>
    <t>Rate of Inflation 2023 to 2025:</t>
  </si>
  <si>
    <t>Footnote:</t>
  </si>
  <si>
    <t>Reflects the annual percentage rates of growth reported for the GDP Implicit Price Deflator, or Gross Domestic Product Implicit Price Deflator (GDPIPD).</t>
  </si>
  <si>
    <t>[1] Source: Source for GDPIPD Index is IHS Global Insight as of March 2024.</t>
  </si>
  <si>
    <t>Miscellaneous &amp; Other - Lobbying</t>
  </si>
  <si>
    <t>DIRECT</t>
  </si>
  <si>
    <t>EMPLOYEE BENEFITS - THE PURPOSE OF THIS ADJUSTMENT IS TO REFLECT THE APPROPRIATE LEVEL OF PENSION, INSURED PLANS (MEDICAL, DENTAL, GROUP LIFE, LONG-TERM DISABILITY, EMPLOYEE ASSISTANCE PLAN, POST-EMPLOYMENT, VISION) AND THRIFT PLAN NET OF RELATED BENEFITS TRANSFERS ASSOCIATED WITH CAPITALIZED BENEFITS COSTS AND BILLINGS TO AND FROM AFFILIATES.  THE INCREASE REPRESENTS INCREASED COSTS IN MEDICAL INSURANCE, PENSION AND POST-EMPLOYMENT.</t>
  </si>
  <si>
    <t>INJURIES &amp; DAMAGES - THE PURPOSE OF THIS ADJUSTMENT IS TO REFECT THE LOSSES AND CLAIMS ASSOCIATED WITH AUTO AND GENERAL INJURIES AND DAMAGES, AS WELL AS WORKERS' COMPENSATION.</t>
  </si>
  <si>
    <t>ADJ 17</t>
  </si>
  <si>
    <t>UTILITIES/FUEL - THE PURPOSE OF THIS ADJUSTMENT IS TO REFLECT THE ESTIMATED UTILITIES USED IN COMPANY OPERATIONS INCLUDING ELECTRICITY, GAS, WATER AND SEWER, TELEPHONE, AND TELECOMMUNICATIONS.</t>
  </si>
  <si>
    <t>Base Period Starting Month, Year:</t>
  </si>
  <si>
    <t>Total BP to FFTY</t>
  </si>
  <si>
    <t>Base Period Expense by Cost Element, by Account</t>
  </si>
  <si>
    <t>FTP</t>
  </si>
  <si>
    <t>TME August 2024</t>
  </si>
  <si>
    <t>TME December 2025</t>
  </si>
  <si>
    <t>Sum of Adjustments</t>
  </si>
  <si>
    <t>Row Labels</t>
  </si>
  <si>
    <t>Grand Total</t>
  </si>
  <si>
    <t>Pivot from Tab:</t>
  </si>
  <si>
    <t>INPUT - BP to FTP O&amp;M Allocates</t>
  </si>
  <si>
    <t>By Cost Category</t>
  </si>
  <si>
    <t>(Multiple Items)</t>
  </si>
  <si>
    <t>Check to Tab "INPUT - BP &amp; FTP O&amp;M by CE":</t>
  </si>
  <si>
    <t>D-2.2 Adjustments:</t>
  </si>
  <si>
    <t>Check to Acct. Alloc. Pivot Below:</t>
  </si>
  <si>
    <t>(15 = 2 thru 14)</t>
  </si>
  <si>
    <t>(16 = 1 + 15)</t>
  </si>
  <si>
    <t>SCHEDULE D-2.6</t>
  </si>
  <si>
    <t>ADVERTISING - THE PURPOSE OF THIS ADJUSTMENT IS TO REFLECT THE ESTIMATED 811 PUBLIC AWARENESS ADVERTISING EXPENSES. THIS CATEGORY IS FURTHER ADJUSTED FOR NON-RECOVERABLE EXPENSES ON SCHEDULE D-2.6.</t>
  </si>
  <si>
    <t>CORPORATE INSURANCE - THE PURPOSE OF THIS ADJUSTMENT IS TO REFLECT THE CORPORATE INSURANCE DEPARTMENT'S ESTIMATE OF PREMIUMS FOR PROPERTY AND LIABILITY.  THE ADJUSTMENT REFLECTS A PROJECTED INCREASE IN EXCESS LIABILITY PREMIUMS DUE TO MARKET CONDITIONS AND PROPERTY PREMIUMS DUE TO HIGHER INSURANCE MARKET RATES DUE TO LARGE CATASTROPHIC LOSSES. THIS CATEGORY IS FURTHER ADJUSTED TO REFLECT CURRENT EFFECTIVE POLICIES AND ALLOCATIONS ON SCHEDULE D-2.6.</t>
  </si>
  <si>
    <t>EMPLOYEE EXPENSES - THE PURPOSE OF THIS ADJUSTMENT IS TO REFLECT THE ESTIMATED EXPENSES INCURRED BY EMPLOYEES FOR BUSINESS TRAVEL, MEALS AND MEETINGS; MEMBERSHIP DUES; RELOCATION EXPENSES; AND UNIFORMS, SAFETY SHOES AND GLASSES. THIS CATEGORY IS FURTHER ADJUSTED ON SCHEDULE D-2.6.</t>
  </si>
  <si>
    <t>COMPANY MEMBERSHIPS - THE PURPOSE OF THIS ADJUSTMENT IS TO REFLECT THE ESTIMATED MEMBERSHIPS TO INDUSTRY AND CIVIC ORGANIZATIONS INCLUDING THE AMERICAN GAS ASSOCIATION, KENTUCKY GAS ASSOCIATION, KENTUCKY CHAMBER OF COMMERCE, AND VARIOUS LOCAL CHAMBERS. THIS CATEGORY IS FURTHER ADJUSTED FOR NON-RECOVERABLE EXPENSES ON SCHEDULE D-2.6.</t>
  </si>
  <si>
    <t>MANAGEMENT FEE - THE PURPOSE OF THIS ADJUSTMENT IS TO REFLECT THE NISOURCE CORPORATE SERVICES COMPANY ESTIMATE OF SERVICES RENDERED TO COLUMBIA GAS OF KENTUCKY, INC. SERVICES INCLUDE FINANCE, INFORMATION TECHNOLOGY, CUSTOMER EXPERIENCE, COMMUNICATIONS, HUMAN RESOURCES, LEGAL AND OTHER CORPORATE FUNCTIONS, SUPPLY &amp; OPTIMIZATION, SAFETY SERVICES, AND GAS DISTRIBUTION RELATED FUNCTIONS INCLUDING UTILITY OPERATIONS, AND REGULATORY &amp; UTILITY PLANNING. THE INCREASE IS DRIVEN BY NORMAL INFLATION. THIS CATEGORY IS FURTHER ADJUSTED FOR NON-RECOVERABLE EXPENSES ON SCHEDULE D-2.6.</t>
  </si>
  <si>
    <t>ENERGY ASSISTANCE PROGRAM TRACKER AND MISCELLANEIOUS REVENUE TRACKER - THE PURPOSE OF THIS ADJUSTMENT IS TO REFLECT THE AMOUNTS TO BE RECOVERED THROUGH COMPANY'S APPROVED O&amp;M TRACKER MECHANISMS, SPECIFICALLY THE ENERGY ASSISTANCE PROGRAM (EAP) AND ENERGY EFFICIENCY CONSERVATION PROGRAM (EECP) TRACKERS.  THIS CATEGORY IS FURTHER ADJUSTED ON SCHEDULE D-2.6 TO MATCH THE O&amp;M TRACKER EXPENSE TO REVENUE IN THE FORECASTED TEST PERIOD.</t>
  </si>
  <si>
    <t>SUMMARY OF D-2.6</t>
  </si>
  <si>
    <t>DEPRECIATION AND AMORTIZATION EXPENSE - THE PURPOSE OF THIS ADJUSTMENT IS TO REFLECT THE INCREASED LEVEL OF DEPRECIABLE PLANT INVESTMENT AND THE DEPRECIATION RATES PER THE DEPRECIATION STUDY FILED IN THIS PROCEEDING. THIS CATEGORY IS FURTHER ADJUSTED ON SCHEDULES D-2.5 AND D-2.6.</t>
  </si>
  <si>
    <t>TAXES OTHER THAN INCOME TAXES - THE PURPOSE OF THIS ADJUSTMENT IS TO REFLECT AN INCREASED LEVEL PROPERTY TAX RELATED TO PROPERTY, PLANT AND EQUIPMENT, CHANGES IN TAXABLE STORAGE GAS AND AN INCREASED LEVEL OF PAYROLL TAXES. THIS CATEGORY IS FURTHER ADJUSTED ON SCHEDULES D-2.5 AND D-2.6.</t>
  </si>
  <si>
    <t>TOTAL ADJUSTED</t>
  </si>
  <si>
    <t>PERIOD ADJ.</t>
  </si>
  <si>
    <t>(4 = 2 + 3)</t>
  </si>
  <si>
    <t>(5 = 1 + 4)</t>
  </si>
  <si>
    <t>(9 = 6 thru 8)</t>
  </si>
  <si>
    <t>SCHEDULE D-2.5</t>
  </si>
  <si>
    <t>(10 = 4 + 9)</t>
  </si>
  <si>
    <t>(11 = 1 + 4 + 9)</t>
  </si>
  <si>
    <t>ELECTRIC O&amp;M EXPENSE (MISCLASSIFIED) - THE PURPOSE OF THIS ADJUSTMENT IS TO REMOVE MISCLASSIFIED BASE PERIOD ELECTRIC OPERATIONS AND MAINTENEANCE EXPENSES.</t>
  </si>
  <si>
    <t>Schedule / Workpapers</t>
  </si>
  <si>
    <t>BASE-ADJUSTED</t>
  </si>
  <si>
    <t>DEPRECIATION AND AMORTIZATION EXPENSE - THE PURPOSE OF THIS ADJUSTMENT IS TO REFLECT THE INCREASED LEVEL OF DEPRECIABLE PLANT INVESTMENT AND THE DEPRECIATION RATES PER THE DEPRECIATION STUDY FILED IN THIS PROCEEDING. THIS ADJUSTMENT ALSO REMOVES DEPRECIATION EXPENSE RELATED TO 2023, 2024, AND 2025 SMRP INVESTMENTS. THIS CATEGORY IS FURTHER ADJUSTED ON SCHEDULES D-2.5 AND D-2.6.</t>
  </si>
  <si>
    <t>TAXES OTHER THAN INCOME TAXES - PROPERTY TAXES - THE PURPOSE OF THIS ADJUSTMENT IS TO REMOVE PROPERTY TAXES RELATED TO 2023, 2024, AND 2025 SMRP INVESTMENTS. THIS CATEGORY IS FURTHER ADJUSTED ON SCHEDULES D-2.5 AND D-2.6.</t>
  </si>
  <si>
    <t>TOTAL O&amp;M</t>
  </si>
  <si>
    <t>(13 = 1 thru 12)</t>
  </si>
  <si>
    <t>500 - 599</t>
  </si>
  <si>
    <t>ELECTRIC EXPENSES (MISCLASSIFIED)</t>
  </si>
  <si>
    <t xml:space="preserve">    ELECTRIC EXPENSES (MISCLASSIFIED)</t>
  </si>
  <si>
    <t>SUMMARY OF D-2.1 - 2.2</t>
  </si>
  <si>
    <t>SUMMARY OF D-2.3 - 2.5</t>
  </si>
  <si>
    <t>(3 = 1 + 2)</t>
  </si>
  <si>
    <t>(5 = 3 + 4)</t>
  </si>
  <si>
    <t>(7 = 5 + 6)</t>
  </si>
  <si>
    <t>BASE PERIOD DEPRECIATION EXPENSE</t>
  </si>
  <si>
    <t>METERS - AMR</t>
  </si>
  <si>
    <t>Lobbying Exclusion - Employee Expenses (Activity Codes)</t>
  </si>
  <si>
    <t>Lobbying Exclusion - AP Vendor Review - Outside Services</t>
  </si>
  <si>
    <t>Lobbying Exclusion - M&amp;S (Activity Codes)</t>
  </si>
  <si>
    <t>Charitables - Employee Expenses</t>
  </si>
  <si>
    <t>Dues &amp; Donations - (This is EEI)</t>
  </si>
  <si>
    <t>Cost Object AC09 - NIPSCO Electric Helicopter (Misclassified)</t>
  </si>
  <si>
    <t>REQUESTED CASH WORKING CAPITAL (LEAD LAG)</t>
  </si>
  <si>
    <t>If CWC is $0, SIT Interest Syncronization is $0.</t>
  </si>
  <si>
    <t>If CWC is $0, FIT Interest Syncronization is $0.</t>
  </si>
  <si>
    <t>Line (20) + Line (22) + Line (23)</t>
  </si>
  <si>
    <t>Line (18) x 21%</t>
  </si>
  <si>
    <t>Line (15) + Line (16) + Line (17) - Line (20)</t>
  </si>
  <si>
    <t>Line (19) x 5%</t>
  </si>
  <si>
    <t>Sum of Lines (15) - (18)</t>
  </si>
  <si>
    <t>Line (5) - Line (14)</t>
  </si>
  <si>
    <t>Line (12) x Line (13)</t>
  </si>
  <si>
    <t>Sum of Lines (8) - (11)</t>
  </si>
  <si>
    <t>Line (20) / 365 x B-5.2 SIT Lag Days</t>
  </si>
  <si>
    <t>Line (22) / 365 x B-5.2 FIT Lag Days</t>
  </si>
  <si>
    <t>Line (14) / 365 x B-5.2 Interest Lag Days</t>
  </si>
  <si>
    <t>Sum of Lines (26) - (30)</t>
  </si>
  <si>
    <t>Line (31) x Line (32)</t>
  </si>
  <si>
    <t>Line (5) - Line (33)</t>
  </si>
  <si>
    <t>Sum of Lines (34) - (37)</t>
  </si>
  <si>
    <t>Line (38) x 5%</t>
  </si>
  <si>
    <t>Line (34) + Line (35) + Line (36) - Line (39)</t>
  </si>
  <si>
    <t>Line (40) x 21%</t>
  </si>
  <si>
    <t>Line (39) + Line (41) + Line (42)</t>
  </si>
  <si>
    <t>Line (39) / 365 x B-5.2 SIT Lag Days</t>
  </si>
  <si>
    <t>Line (41) / 365 x B-5.2 FIT Lag Days</t>
  </si>
  <si>
    <t>Line (33) / 365 x B-5.2 Interest Lag Days</t>
  </si>
  <si>
    <t>Sum of Lines (45) - (49)</t>
  </si>
  <si>
    <t>Line (50) x Line (51)</t>
  </si>
  <si>
    <t>Line (5) - Line (52)</t>
  </si>
  <si>
    <t>Sum of Lines (53) - (56)</t>
  </si>
  <si>
    <t>Line (57) x 5%</t>
  </si>
  <si>
    <t>Line (53) + Line (54) + Line (55) - Line (58)</t>
  </si>
  <si>
    <t>Line (59) x 21%</t>
  </si>
  <si>
    <t>Line (58) + Line (60) + Line (61)</t>
  </si>
  <si>
    <t>Line (58) / 365 x B-5.2 SIT Lag Days</t>
  </si>
  <si>
    <t>Line (60) / 365 x B-5.2 FIT Lag Days</t>
  </si>
  <si>
    <t>Line (52) / 365 x B-5.2 Interest Lag Days</t>
  </si>
  <si>
    <t>Sum of Lines (64) - (68)</t>
  </si>
  <si>
    <t>Line (69) x Line (70)</t>
  </si>
  <si>
    <t>Line (5) - Line (71)</t>
  </si>
  <si>
    <t>Sum of Lines (72) - (75)</t>
  </si>
  <si>
    <t>Line (76) x 5%</t>
  </si>
  <si>
    <t>Line (72) + Line (73) + Line (74) - Line (77)</t>
  </si>
  <si>
    <t>Line (78) x 21%</t>
  </si>
  <si>
    <t>Line (77) + Line (79) + Line (80)</t>
  </si>
  <si>
    <t>Line (77) / 365 x B-5.2 SIT Lag Days</t>
  </si>
  <si>
    <t>Line (79) / 365 x B-5.2 FIT Lag Days</t>
  </si>
  <si>
    <t>Line (71) / 365 x B-5.2 Interest Lag Days</t>
  </si>
  <si>
    <t>Sum of Lines (83) - (87)</t>
  </si>
  <si>
    <t>Line (88) x Line (89)</t>
  </si>
  <si>
    <t>Line (5) - Line (90)</t>
  </si>
  <si>
    <t>Sum of Lines (91) - (94)</t>
  </si>
  <si>
    <t>Line (95) x 5%</t>
  </si>
  <si>
    <t>Line (91) + Line (92) + Line (93) - Line (96)</t>
  </si>
  <si>
    <t>Line (96) + Line (98) + Line (99)</t>
  </si>
  <si>
    <t xml:space="preserve">FUTURE </t>
  </si>
  <si>
    <t>ADJUSTMENTS TO</t>
  </si>
  <si>
    <t>BASE PERIOD AT</t>
  </si>
  <si>
    <t>BASE PERIOD-ACTUAL</t>
  </si>
  <si>
    <t>(7 = 1 thru 6)</t>
  </si>
  <si>
    <t>RESIDENTIAL - SMRP RIDER REVENUES</t>
  </si>
  <si>
    <t>COMMERCIAL - SMRP RIDER REVENUES</t>
  </si>
  <si>
    <t>INDUSTRIAL - SMRP RIDER REVENUES</t>
  </si>
  <si>
    <t>OTHER - SMRP RIDER REVENUES</t>
  </si>
  <si>
    <t>PUBLIC UTILITIES - SMRP RIDER REVENUES</t>
  </si>
  <si>
    <t>REVENUE FROM TRANSPORTING GAS TO OTHERS - 
       SMRP RIDER REVENUES</t>
  </si>
  <si>
    <t xml:space="preserve">SALE OF GAS-RESIDENTIAL - THE PURPOSE OF THIS ADJUSTMENT IS TO REMOVE ACTUAL BASE PERIOD </t>
  </si>
  <si>
    <t>(SEPTEMBER 2023 TO FEBRUARY 2024) SMRP RIDER REVENUES.</t>
  </si>
  <si>
    <t xml:space="preserve">SALE OF GAS-COMMERCIAL - THE PURPOSE OF THIS ADJUSTMENT IS TO REMOVE ACTUAL BASE PERIOD </t>
  </si>
  <si>
    <t xml:space="preserve">SALE OF GAS-INDUSTRIAL - THE PURPOSE OF THIS ADJUSTMENT IS TO REMOVE ACTUAL BASE PERIOD </t>
  </si>
  <si>
    <t xml:space="preserve">SALE OF GAS-OTHER - THE PURPOSE OF THIS ADJUSTMENT IS TO REMOVE ACTUAL BASE PERIOD </t>
  </si>
  <si>
    <t xml:space="preserve">SALE OF GAS-PUBLIC UTILITIES - THE PURPOSE OF THIS ADJUSTMENT IS TO REMOVE ACTUAL BASE PERIOD </t>
  </si>
  <si>
    <t xml:space="preserve">  8d</t>
  </si>
  <si>
    <t>TRACKERS EXPENSE ADJUSTMENT</t>
  </si>
  <si>
    <t>ADJ 4.1</t>
  </si>
  <si>
    <t>ADJ 4.2</t>
  </si>
  <si>
    <t>ADJ 4.3</t>
  </si>
  <si>
    <t>ADJ 7.1</t>
  </si>
  <si>
    <t>ADJ 7.2</t>
  </si>
  <si>
    <t>ACTUAL BASE PERIOD (SEPTEMBER 2023 TO FEBRUARY 2024) SMRP RIDER REVENUES.</t>
  </si>
  <si>
    <t>REVENUE FROM GAS TRANSPORTATION TO OTHERS - THE PURPOSE OF THIS ADJUSTMENT IS TO REMOVE</t>
  </si>
  <si>
    <t xml:space="preserve">ON NET PLANT ADDITIONS AND GAS STORAGE BALANCE AS INCLUDED IN THIS RATE PROCEEDING, EXCLUSIVE OF 2023 </t>
  </si>
  <si>
    <t>AND 2024 SMRP NET PLANT ADDITIONS.</t>
  </si>
  <si>
    <t>INDEX B : CWC - LEAD LAG STUDY</t>
  </si>
  <si>
    <t>JOHNSON</t>
  </si>
  <si>
    <t>ADJUSTED OPERATING INCOME SUMMARY</t>
  </si>
  <si>
    <t>(2 = 3 - 1)</t>
  </si>
  <si>
    <t>(4 = 5 - 3)</t>
  </si>
  <si>
    <t xml:space="preserve">  OPERATING AND MAINTENANCE EXPENSES</t>
  </si>
  <si>
    <t>WPB-2.1.D</t>
  </si>
  <si>
    <t>WPB-2.1.C</t>
  </si>
  <si>
    <t>WPB-2.1.B</t>
  </si>
  <si>
    <t>WPB-2.1.A</t>
  </si>
  <si>
    <t>WPB-2.1.E</t>
  </si>
  <si>
    <t>WPB-2.1.F</t>
  </si>
  <si>
    <t>DEPRECIATION BY GAS PLANT ACCOUNT</t>
  </si>
  <si>
    <t>DETAIL OF ACTUAL &amp; FORECASTED SMRP PLANT, ACCUMULATED RESERVE &amp; DEPRECIATION EXPENSE</t>
  </si>
  <si>
    <t>WORKPAPER REFERENCE NO(S).: WPB-2.1.C</t>
  </si>
  <si>
    <t>WORKPAPER REFERENCE NO(S).:WPB-2.1.C</t>
  </si>
  <si>
    <t>WORKPAPER REFERENCE NO(S).: WPB-2.1.A</t>
  </si>
  <si>
    <t>WORKPAPER REFERENCE NO(S).:WPB.2.1.C</t>
  </si>
  <si>
    <t xml:space="preserve">WORKPAPER REFERENCE NO(S).  </t>
  </si>
  <si>
    <t>MATERIALS &amp; SUPPLIES</t>
  </si>
  <si>
    <t>SCHEDULE B-6.1</t>
  </si>
  <si>
    <t>B-6.1</t>
  </si>
  <si>
    <t>ACCUMULATED DEFERRED INCOME TAXES NORMALIZATION ADJUSTMENT UNDER TREAS. REG. §1.167(l)-1</t>
  </si>
  <si>
    <t>BLY</t>
  </si>
  <si>
    <t xml:space="preserve">DEPRECIATION AND AMORTIZATION EXPENSE - THE PURPOSE OF THIS ADJUSTMENT IS TO INCREASE DEPRECIATION AND </t>
  </si>
  <si>
    <t>SMRP INVESTMENTS AS INCLUDED IN THIS RATE PROCEEDING.</t>
  </si>
  <si>
    <t>AMORTIZATION EXPENSE BASED ON NET PLANT BALANCES, UPDATED DEPRECIATION RATES, LESS 2023, 2024 &amp; 2025</t>
  </si>
  <si>
    <t>AS OF FEBRUARY 29, 2024</t>
  </si>
  <si>
    <t>FROM FEBRUARY 29, 2024 THROUGH DECEMBER 31, 2025</t>
  </si>
  <si>
    <t>INDEX D : D-2.5</t>
  </si>
  <si>
    <t>INDEX D : D-2.6</t>
  </si>
  <si>
    <t>UNASSIGNED</t>
  </si>
  <si>
    <t>Employee Expenses - Entertainment</t>
  </si>
  <si>
    <t>Employee Expenses - Gifts</t>
  </si>
  <si>
    <t>Lobbying Exclusion - Charitable Contributions (Advertising)</t>
  </si>
  <si>
    <t>Charitable Contributions - Lobbying</t>
  </si>
  <si>
    <t>PAYROLL COSTS (INCLUDES INCENTIVE COMPENSATION)</t>
  </si>
  <si>
    <t>Charitables &amp; Other - Advertising (Misclassified as Advertising)</t>
  </si>
  <si>
    <t>[1] Base Period figures are reflective of six months of actual payroll data from September 2023 through February 2024.</t>
  </si>
  <si>
    <t>Outside Services - Lobbying</t>
  </si>
  <si>
    <t>(3 = 1 x 2)</t>
  </si>
  <si>
    <t>(4 = 3 / 365 Days)</t>
  </si>
  <si>
    <t>(7 = 5 - 6)</t>
  </si>
  <si>
    <t>1 / 8 METHOD</t>
  </si>
  <si>
    <t>TOTAL O &amp; M EXPENSES</t>
  </si>
  <si>
    <t>OPERATIONS AND MAINTENANCE EXPENSES:</t>
  </si>
  <si>
    <t>(Schedule C-2)</t>
  </si>
  <si>
    <t>OTHER OPERATING EXPENSES</t>
  </si>
  <si>
    <t xml:space="preserve">  DISTRIBUTION EXPENSES</t>
  </si>
  <si>
    <t>DISTRIBUTION EXPENSES</t>
  </si>
  <si>
    <t xml:space="preserve">  LIQUEFIED PETROLEUM GAS PRODUCTION EXPENSES</t>
  </si>
  <si>
    <t xml:space="preserve">  CUSTOMER ACCOUNTS &amp; COLLECTING EXPENSES</t>
  </si>
  <si>
    <t>CUSTOMER ACCOUNTS &amp; COLLECTING EXPENSES</t>
  </si>
  <si>
    <t>CUSTOMER SERVICE &amp; INFORMATION EXPENSES</t>
  </si>
  <si>
    <t>SALES EXPENSES</t>
  </si>
  <si>
    <t>ADMINISTRATIVE AND GENERAL EXPENSES</t>
  </si>
  <si>
    <t>KING</t>
  </si>
  <si>
    <t>Property, Plant and Equipment - 2023 SMRP</t>
  </si>
  <si>
    <t>Estimated SMRP Assessed Value at December 31, 2023</t>
  </si>
  <si>
    <t>TME August 2024 SMRP Property Tax Expense - Property, Plant and Equipment</t>
  </si>
  <si>
    <t>Property, Plant and Equipment - 2022 SMRP</t>
  </si>
  <si>
    <t>2022 SMRP Net Plant Additions</t>
  </si>
  <si>
    <t>Estimated SMRP Assessed Value at December 31, 2022</t>
  </si>
  <si>
    <t>January - August 2024 SMRP Property Tax Expense - Property, Plant and Equipment</t>
  </si>
  <si>
    <t>September - December 2023 SMRP Property Tax Expense - Property, Plant and Equipment</t>
  </si>
  <si>
    <t>COMMERCE LEXINGTON</t>
  </si>
  <si>
    <t>KENTUCKY CHAMBER FOUNDATION INC</t>
  </si>
  <si>
    <t>LEXINGTON FORUM INC</t>
  </si>
  <si>
    <t>THE SALVATION ARMY</t>
  </si>
  <si>
    <t>AMERICAN GAS ASSOCIATION</t>
  </si>
  <si>
    <t>BUILDING INDUSTRY ASSOCIATION OF CENTRAL KENTUCKY</t>
  </si>
  <si>
    <t>EDISON ELECTRIC INSTITUTE</t>
  </si>
  <si>
    <t>GEORGETOWN SCOTT COUNTY CHAMBER OF COMMERCE</t>
  </si>
  <si>
    <t>KENTUCKY ASSOCIATION OF MANUFACTURERS</t>
  </si>
  <si>
    <t>KENTUCKY ASSOCIATION OF MASTER CONTRACTORS</t>
  </si>
  <si>
    <t>KENTUCKY GAS ASSOCIATION</t>
  </si>
  <si>
    <t>KENTUCKY LEAGUE OF CITIES INC.</t>
  </si>
  <si>
    <t>MAYSVILLE MASON COUNTY CHAMBER OF COMMERCE</t>
  </si>
  <si>
    <t>MT STERLING MONTGOMERY CO</t>
  </si>
  <si>
    <t>OUR NATIONS ENERGY FUTURE COALITION INC</t>
  </si>
  <si>
    <t>SAMS CLUB DIRECT</t>
  </si>
  <si>
    <t>SOUTHERN GAS ASSOCIATION</t>
  </si>
  <si>
    <t>UTILITY PENSION FUND STUDY GROUP</t>
  </si>
  <si>
    <t>BUDGET (NOT SEPARATELY IDENTIFIED BY ORGANIZATION)</t>
  </si>
  <si>
    <t>F-1B / F-1C</t>
  </si>
  <si>
    <t>O&amp;M EXCLUSION - BUILDING INDUSTRY ASSOCIATION OF CENTRAL KENTUCKY LOBBYING 3.85%</t>
  </si>
  <si>
    <t>O&amp;M EXCLUSION - COMMERCE LEXINGTON LOBBYING 100.00%</t>
  </si>
  <si>
    <t>O&amp;M EXCLUSION - EDISON ELECTRIC INSTITUTE</t>
  </si>
  <si>
    <t>O&amp;M EXCLUSION - KENTUCKY NIGHT AT THE SOUTHERN LEGISLATION</t>
  </si>
  <si>
    <t>O&amp;M EXCLUSION - NCSL BLUEGRASS SOCIAL, MCBRAYER MCGINNIS</t>
  </si>
  <si>
    <t>O&amp;M EXCLUSION - CARLTON CLUB OF THE DISTRICT OF COLUMBIA</t>
  </si>
  <si>
    <t>O&amp;M EXCLUSION - COALITION FOR RENEWABLE NATURAL GAS, INC LOBBYING 40.00%</t>
  </si>
  <si>
    <t>O&amp;M EXCLUSION - LINES UP INC</t>
  </si>
  <si>
    <t>O&amp;M EXCLUSION - THE LEADERSHIP COUNCIL ON LEGAL DIVERSITY</t>
  </si>
  <si>
    <t>O&amp;M EXCLUSION - AMERICAN GAS ASSOCIATION LOBBYING 3.40%</t>
  </si>
  <si>
    <t>O&amp;M EXCLUSION - COMMON GROUND ALLIANCE</t>
  </si>
  <si>
    <t>O&amp;M EXCLUSION - KENTUCKY LEAGUE OF CITIES INC. LOBBYING 100.00%</t>
  </si>
  <si>
    <t>O&amp;M EXCLUSION - OHIO MINORITY SUPPLIER DEVELOPMENT COUNCIL</t>
  </si>
  <si>
    <t>O&amp;M EXCLUSION - SAMS CLUB DIRECT</t>
  </si>
  <si>
    <t>NOTE:  ALL AMOUNTS ARE 100% JURISDICTIONAL.</t>
  </si>
  <si>
    <t>AMERICAN CANCER SOCIETY</t>
  </si>
  <si>
    <t>COMMONWEALTH STRATEGY CONSULTING</t>
  </si>
  <si>
    <t>CONFERENCE BOARD INC</t>
  </si>
  <si>
    <t>FIRE AND FOCUS SCHOLARSHIP FUND INC</t>
  </si>
  <si>
    <t>MARYHAVEN INC</t>
  </si>
  <si>
    <t>MONTGOMERY CENTER OF EXCELLENCE</t>
  </si>
  <si>
    <t>NATIONAL SAFETY COUNCIL</t>
  </si>
  <si>
    <t>SOME INC</t>
  </si>
  <si>
    <t>ST JUDE CHILDRENS RESEARCH</t>
  </si>
  <si>
    <t>THE CENTER FOR HEALTHY FAMILIES</t>
  </si>
  <si>
    <t>UNITED WAY OF CENTRAL OHIO</t>
  </si>
  <si>
    <t>WOMENS BUSINESS ENTERPRISE NATIONAL COUNCIL</t>
  </si>
  <si>
    <t xml:space="preserve">BUDGET (NOT SEPARATELY IDENTIFIED BY ORGANIZATION) </t>
  </si>
  <si>
    <t>F-3B / F-3C</t>
  </si>
  <si>
    <t>O&amp;M EXCLUSION - THE BREATHING ASSOCIATION</t>
  </si>
  <si>
    <t>O&amp;M EXCLUSION - AMERICAN HEART ASSOCIATION</t>
  </si>
  <si>
    <t>O&amp;M EXCLUSION - CENTER FOR WOMEN, CHILDREN AND FAMILIES</t>
  </si>
  <si>
    <t>O&amp;M EXCLUSION - CHILDRENS ADVOCACY CENTER</t>
  </si>
  <si>
    <t>O&amp;M EXCLUSION - GODS PANTRY FOOD BANK</t>
  </si>
  <si>
    <t>O&amp;M EXCLUSION - KENTUCKY CHAMBER FOUNDATION INC</t>
  </si>
  <si>
    <t>O&amp;M EXCLUSION - SHRINERS HOSPITAL FOR CHILDREN</t>
  </si>
  <si>
    <t>O&amp;M EXCLUSION - THE SALVATION ARMY</t>
  </si>
  <si>
    <t>O&amp;M EXCLUSION - AMERICAN ASSOCIATION OF BLACKS IN ENERGY</t>
  </si>
  <si>
    <t>O&amp;M EXCLUSION - AMERICAN CIVIL LIBERTIES UNION OF ALABAMA</t>
  </si>
  <si>
    <t>O&amp;M EXCLUSION - BRYAN CAVE LLP</t>
  </si>
  <si>
    <t>O&amp;M EXCLUSION - CHAMBER OF COMMERCE OF THE USA LOBBYING 35.00%</t>
  </si>
  <si>
    <t>O&amp;M EXCLUSION - COALITION FOR RENEWABLE NATURAL GAS, INC</t>
  </si>
  <si>
    <t>O&amp;M EXCLUSION - ECIER FOUNDATION</t>
  </si>
  <si>
    <t>O&amp;M EXCLUSION - LATINOS COUNT</t>
  </si>
  <si>
    <t>O&amp;M EXCLUSION - NATIONAL BLACK MBA ASSOCIATION</t>
  </si>
  <si>
    <t>O&amp;M EXCLUSION - NATIONAL ENERGY FOUNDATION</t>
  </si>
  <si>
    <t>O&amp;M EXCLUSION - NATIONAL SAFETY COUNCIL</t>
  </si>
  <si>
    <t>O&amp;M EXCLUSION - THE WOMEN'S INTERNATIONAL NETWORK OF UTILITIES</t>
  </si>
  <si>
    <t>O&amp;M EXCLUSION - UNIVERSITY OF COLORADO FOUNDATION</t>
  </si>
  <si>
    <t>O&amp;M EXCLUSION - FRANKFORT AREA CHAMBER OF COMMERCE</t>
  </si>
  <si>
    <t>O&amp;M EXCLUSION - KENTUCKY ASSOCIATION OF MANUFACTURERS</t>
  </si>
  <si>
    <t>O&amp;M EXCLUSION - MAYSVILLE MASON COUNTY CHAMBER OF COMMERCE</t>
  </si>
  <si>
    <t>O&amp;M EXCLUSION - NATIONAL GAY AND LESBIAN CHAMBER OF COMM</t>
  </si>
  <si>
    <t>O&amp;M EXCLUSION - NATIONAL VETERANS BUSINESS DEVELOPMENT COUNCIL</t>
  </si>
  <si>
    <t>O&amp;M EXCLUSION - PIKE COUNTY CHAMBER OF COMMERCE</t>
  </si>
  <si>
    <t>O&amp;M EXCLUSION - PUBLIC COMPANY ACCOUNTING OVERSIGHT</t>
  </si>
  <si>
    <t>O&amp;M EXCLUSION - URBAN LEAGUE OF GREATER SOUTHWESTERN OHIO</t>
  </si>
  <si>
    <t>O&amp;M EXCLUSION - WINCHESTER CLARK COUNTY CHAMBER</t>
  </si>
  <si>
    <t>O&amp;M EXCLUSION - WOODFORD COUNY CHAMBER COMMERCE</t>
  </si>
  <si>
    <t>O&amp;M EXCLUSION - AIR CHARTER SAFETY FOUNDATION</t>
  </si>
  <si>
    <t xml:space="preserve">ALPHA BETA LAMBDA CHAPTER EDUCATION FOUNDATION  </t>
  </si>
  <si>
    <t xml:space="preserve">AMERICAN RED CROSS  </t>
  </si>
  <si>
    <t xml:space="preserve">COMMONWEALTH FUND FOR KET  </t>
  </si>
  <si>
    <t xml:space="preserve">URBAN LEAGUE OF LEXINGTON-FAYEET COUNTY  </t>
  </si>
  <si>
    <t>F-4B / F-4C</t>
  </si>
  <si>
    <t>INSTITUTIONAL ADVERTISING</t>
  </si>
  <si>
    <t>CONSERVATION ADVERTISING</t>
  </si>
  <si>
    <t>CONSUMER OR INFORMATIONAL ADVERTISING</t>
  </si>
  <si>
    <t>OTHER ADVERTISING</t>
  </si>
  <si>
    <t>O&amp;M EXCLUSION - HALO BRANDED SOLUTIONS INC</t>
  </si>
  <si>
    <t>O&amp;M EXCLUSION - APOGEE INTERACTIVE INC</t>
  </si>
  <si>
    <t>O&amp;M EXCLUSION - BLUE SKIES HD VIDEO &amp; FILM PRODUCTIONS</t>
  </si>
  <si>
    <t>O&amp;M EXCLUSION - BORSHOFF INC</t>
  </si>
  <si>
    <t>O&amp;M EXCLUSION - BULLETPROOF</t>
  </si>
  <si>
    <t>O&amp;M EXCLUSION - CORPORATE THREAD</t>
  </si>
  <si>
    <t>O&amp;M EXCLUSION - CRA COMMUNICATIONS, LLC</t>
  </si>
  <si>
    <t>O&amp;M EXCLUSION - FAHLGREN MORTINE</t>
  </si>
  <si>
    <t>O&amp;M EXCLUSION - HALLMARK CARDS INC</t>
  </si>
  <si>
    <t>O&amp;M EXCLUSION - JENNIFER L. BROWN</t>
  </si>
  <si>
    <t>O&amp;M EXCLUSION - REAL TIMES WHO'S WHO PUBLISHING LLC</t>
  </si>
  <si>
    <t>O&amp;M EXCLUSION - STATISTA INC</t>
  </si>
  <si>
    <t>O&amp;M EXCLUSION - THE LANE REPORT, INC.</t>
  </si>
  <si>
    <t>F-6B / F-6C</t>
  </si>
  <si>
    <t xml:space="preserve">NOTE:  ALL AMOUNTS ARE 100% JURISDICTIONAL. </t>
  </si>
  <si>
    <t>NOTE:  THESE ITEMS ARE EXCLUDED FROM THE REVENUE REQUIREMENT.</t>
  </si>
  <si>
    <t>NOTE:  THESE AMOUNTS DO NOT INCLUDE AMOUNTS IN ACCOUNT 426.</t>
  </si>
  <si>
    <t>O&amp;M EXCLUSION - EMPLOYEE EXPENSES - ENTERTAINMENT</t>
  </si>
  <si>
    <t>O&amp;M EXCLUSION - EMPLOYEE EXPENSES - GIFTS</t>
  </si>
  <si>
    <t>O&amp;M EXCLUSION - EMPLOYEE EXPENSES - ACTIVITIES &amp; BUSINESS EXPENSES [1]</t>
  </si>
  <si>
    <t>[1] BUSINESS EXPENSES INCLUDE BUSINESS TRAVEL EXPENSES, MEALS, EMPLOYEE DUES AND MEMBERSHIPS, AND CLOTHING ALLOWANCES.</t>
  </si>
  <si>
    <t>F-8B / F-8C</t>
  </si>
  <si>
    <t>F-4B</t>
  </si>
  <si>
    <t>TOTAL COMPANY PROJECTED RATE CASE EXPENSES</t>
  </si>
  <si>
    <t>(3 = 1 - 2)</t>
  </si>
  <si>
    <t>(3 = 1)</t>
  </si>
  <si>
    <t>(5 = 1 + 2 + 3 + 4)</t>
  </si>
  <si>
    <t>(2 = 4)</t>
  </si>
  <si>
    <t>(6 = 4 + 5)</t>
  </si>
  <si>
    <t>(4 = 2)</t>
  </si>
  <si>
    <t>(14 = Avg 1 through 13)</t>
  </si>
  <si>
    <t>(2 = 1 - 3)</t>
  </si>
  <si>
    <t>(5 = 3)</t>
  </si>
  <si>
    <t>(4)=(5-3)</t>
  </si>
  <si>
    <t>SCHEDULE F-9</t>
  </si>
  <si>
    <t>CONSULTING</t>
  </si>
  <si>
    <t>(Case Preparation, Allocated Cost of Service, Cost of Capital &amp; Depreciation)</t>
  </si>
  <si>
    <t>LEGAL FEES</t>
  </si>
  <si>
    <t>CUSTOMER NOTIFICATIONS</t>
  </si>
  <si>
    <t>ALL OTHER</t>
  </si>
  <si>
    <t xml:space="preserve">  (Travel, Printing, Postage, Copying, Advertising) </t>
  </si>
  <si>
    <t>TOTAL PROJECTED RATE CASE EXPENSES</t>
  </si>
  <si>
    <t>RATE CASE EXPENSE AMORTIZATION</t>
  </si>
  <si>
    <t>RATE CASE</t>
  </si>
  <si>
    <t>TOTAL EXPENSE TO BE AMORTIZED</t>
  </si>
  <si>
    <t xml:space="preserve">PROJECTED RATE CASE EXPENSE </t>
  </si>
  <si>
    <t>AMORTIZATION PERIOD (YEAR(S))</t>
  </si>
  <si>
    <t>ONE (1) YEAR AMORTIZATION OF RATE CASE EXPENSES</t>
  </si>
  <si>
    <t>Note:  All amounts are 100% jurisdictional.</t>
  </si>
  <si>
    <t>Schedule F-9</t>
  </si>
  <si>
    <t>F-1C (Allocated from NCSC)</t>
  </si>
  <si>
    <t>NOTE:  O&amp;M EXCLUSIONS INCLUDED IN SCHEDULE D-2.6 ADJUSTMENTS 7.1 &amp; 7.2 (Direct) and 8.1 &amp; 8.2 (Allocated from NCSC) BASED ON INFLATED 2023 ACTUALS.</t>
  </si>
  <si>
    <t>F-1B (Company Direct)</t>
  </si>
  <si>
    <t>O&amp;M EXCLUSION - NATIONAL GAY AND LESBIAN CHAMBER OF COMMERCE</t>
  </si>
  <si>
    <t>[2]  COSTS RECORDED TO FERC ACCOUNT 426-OTHER INCOME &amp; DEDUCTIONS ARE NOT REFLECTD IN THE REVENUE REQUIREMENT.</t>
  </si>
  <si>
    <t>KENTUCKY OIL &amp; GAS ASSOCIATION</t>
  </si>
  <si>
    <t>F-3B (Company Direct)</t>
  </si>
  <si>
    <t>F-3C (Allocated from NCSC)</t>
  </si>
  <si>
    <t>CASH WORKING CAPITAL INCOME TAXES INTEREST SYNCHRONIZATION</t>
  </si>
  <si>
    <t/>
  </si>
  <si>
    <t>TOTAL OTHER INCOME &amp; DEDUCTIONS - CHARITABLE CONTRIBUTIONS</t>
  </si>
  <si>
    <t>TOTAL O&amp;M EXPENSE AND OTHER INCOME &amp; DEDUCTIONS - CHARITABLE CONTRIBUTIONS</t>
  </si>
  <si>
    <t>[1]  CHARITABLE CONTRIBUTIONS RECORDED TO O&amp;M EXPENSE HAVE BEEN REMOVED FROM COST OF SERVICE AND ARE NOT REFLECTED IN THE REVENUE REQUIREMENT.</t>
  </si>
  <si>
    <t>MANUAL JOURNALS - MY SPEND (EMPLOYEE EXPENSE REIMBURSEMENT SYSTEM)</t>
  </si>
  <si>
    <t>O&amp;M EXCLUSION - MANUAL JOURNALS - MY SPEND (EMPLOYEE EXPENSE REIMBURSEMENT SYSTEM)</t>
  </si>
  <si>
    <t>TOTAL O&amp;M EXPENSE EXCLUSIONS - CHARITABLE CONTRIBUTIONS</t>
  </si>
  <si>
    <t>O&amp;M EXPENSE EXCLUSIONS - CHARITABLE CONTRIBUTIONS</t>
  </si>
  <si>
    <t>TOTAL O&amp;M EXPENSE - CHARITABLE CONTRIBUTIONS</t>
  </si>
  <si>
    <t xml:space="preserve">BUDGET (SEE O&amp;M EXCLUSIONS BELOW) </t>
  </si>
  <si>
    <t>TOTAL COMPANY CORPORATE DUES AND MEMBERSHIPS</t>
  </si>
  <si>
    <t>COMPANY DIRECT CORPORATE DUES AND MEMBERSHIPS</t>
  </si>
  <si>
    <t>NISOURCE SERVICE COMPANY ALLOCATED CORPORATE DUES AND MEMBERSHIPS</t>
  </si>
  <si>
    <t>TOTAL COMPANY INITIATION FEES &amp; COUNTRY CLUB EXPENSES</t>
  </si>
  <si>
    <t>TOTAL COMPANY CHARITABLE CONTRIBUTIONS</t>
  </si>
  <si>
    <t>COMPANY DIRECT CHARITABLE CONTRIBUTIONS</t>
  </si>
  <si>
    <t>NISOURCE SERVICE COMPANY ALLOCATED CHARITABLE CONTRIBUTIONS</t>
  </si>
  <si>
    <t>TOTAL CUSTOMER SERVICE AND INFORMATIONAL SALES AND GENERAL ADVERTISING EXPENSE</t>
  </si>
  <si>
    <t>COMPANY DIRECT CUSTOMER SERVICE AND INFORMATIONAL SALES AND GENERAL ADVERTISING EXPENSE</t>
  </si>
  <si>
    <t>NISOURCE SERVICE COMPANY ALLOCATED CUSTOMER SERVICE AND INFORMATIONAL SALES AND GENERAL ADVERTISING EXPENSE</t>
  </si>
  <si>
    <t>TOTAL COMPANY ADVERTISING</t>
  </si>
  <si>
    <t>COMPANY DIRECT ADVERTISING</t>
  </si>
  <si>
    <t>NISOURCE SERVICE COMPANY ALLOCATED ADVERTISING</t>
  </si>
  <si>
    <t xml:space="preserve">TOTAL COMPANY PROFESSIONAL SERVICE EXPENSES </t>
  </si>
  <si>
    <t xml:space="preserve">COMPANY DIRECT PROFESSIONAL SERVICE EXPENSES </t>
  </si>
  <si>
    <t xml:space="preserve">NISOURCE SERVICE COMPANY ALLOCATED PROFESSIONAL SERVICE EXPENSES </t>
  </si>
  <si>
    <t>TOTAL COMPANY CIVIC, POLITICAL AND RELATED ACTIVITIES</t>
  </si>
  <si>
    <t>COMPANY DIRECT CIVIC, POLITICAL AND RELATED ACTIVITIES</t>
  </si>
  <si>
    <t>NISOURCE SERVICE COMPANY ALLOCATED CIVIC, POLITICAL AND RELATED ACTIVITIES</t>
  </si>
  <si>
    <t>TOTAL COMPANY EMPLOYEE PARTY, OUTING, AND GIFT EXPENSES</t>
  </si>
  <si>
    <t>COMPANY DIRECT EMPLOYEE PARTY, OUTING, AND GIFT EXPENSES</t>
  </si>
  <si>
    <t>NISOURCE SERVICE COMPANY ALLOCATED EMPLOYEE PARTY, OUTING, AND GIFT EXPENSES</t>
  </si>
  <si>
    <t>TOTAL COMPANY CUSTOMER SERVICE AND INFORMATIONAL SALES AND GENERAL ADVERTISING EXPENSE</t>
  </si>
  <si>
    <t>CUSTOMER SERVICE &amp; INFORMATIONAL EXPENSES</t>
  </si>
  <si>
    <t>TOTAL CUSTOMER SERVICE &amp; INFORMATIONAL EXPENSES</t>
  </si>
  <si>
    <t>TOTAL SALES EXPENSES</t>
  </si>
  <si>
    <t>O&amp;M EXPENSE - CORPORATE DUES AND MEMBERSHIPS</t>
  </si>
  <si>
    <t>TOTAL O&amp;M EXPESE - CORPORATE DUES AND MEMBERSHIPS</t>
  </si>
  <si>
    <t>O&amp;M EXPENSE EXCLUSIONS - CORPORATE DUES AND MEMBERSHIPS</t>
  </si>
  <si>
    <t>TOTAL O&amp;M EXCLUSIONS - CORPORATE DUES AND MEMBERSHIPS</t>
  </si>
  <si>
    <t>TOTAL O&amp;M EXPENSE - CORPORATE DUES AND MEMBERSHIPS</t>
  </si>
  <si>
    <t>TOTAL O&amp;M EXPENSE EXCLUSIONS - CORPORATE DUES AND MEMBERSHIPS</t>
  </si>
  <si>
    <t>O&amp;M EXPENSE - ADVERTISING</t>
  </si>
  <si>
    <t>TOTAL O&amp;M EXPENSE - ADVERTISING</t>
  </si>
  <si>
    <t>O&amp;M EXPENSE EXCLUSIONS - ADVERTISING</t>
  </si>
  <si>
    <t>F-5C (Allocated from NCSC)</t>
  </si>
  <si>
    <t>BUDGET (NOT SEPARATELY IDENTIFIED BY TYPE OR ORGANIZATION)</t>
  </si>
  <si>
    <t xml:space="preserve">[1] CONSULTING SERVICES BUDGET IS NOT SEPARATELY IDENTIFIED. CONSULTING SERVICES BUDGET IS DERIVED UTILIZING </t>
  </si>
  <si>
    <t>2023 ACTUALS AS A BASIS OF ALLOCATION.</t>
  </si>
  <si>
    <t>O&amp;M EXPENSE - CIVIC DONATIONS</t>
  </si>
  <si>
    <t>O&amp;M EXPENSE - AUDITING SERVICES</t>
  </si>
  <si>
    <t>O&amp;M EXPENSE - CONSULTING SERVICES [1]</t>
  </si>
  <si>
    <t>TOTAL O&amp;M EXPENSE - PROFESSIONAL SERVICES</t>
  </si>
  <si>
    <t xml:space="preserve">O&amp;M EXPENSE - POLITICAL ACTIVITIES </t>
  </si>
  <si>
    <t>TOTAL O&amp;M EXPENSE - CIVIC, POLITICAL AND RELATED ACTIVITIES</t>
  </si>
  <si>
    <t>O&amp;M EXPENSE - EMPLOYEE EXPENSES</t>
  </si>
  <si>
    <t>TOTAL O&amp;M EXPENSE - EMPLOYEE EXPENSES</t>
  </si>
  <si>
    <t>O&amp;M EXPENSE EXCLUSIONS - EMPLOYEE EXPENSES</t>
  </si>
  <si>
    <t>TOTAL O&amp;M EXPENSE EXCLUSIONS - EMPLOYEE EXPENSES</t>
  </si>
  <si>
    <t>Attachment CI-1</t>
  </si>
  <si>
    <t>WPB-2.1.B, Line 57</t>
  </si>
  <si>
    <t>CASE NO. 2024 - 00092</t>
  </si>
  <si>
    <t>O&amp;M EXCLUSION - AMERICAN GAS ASSOCIATION (MISCLASSIFIED - ELECTRIC)</t>
  </si>
  <si>
    <t>O&amp;M EXCLUSION - DISABILITY:IN (DISABILITY INCLUSION)</t>
  </si>
  <si>
    <t>TOTAL O&amp;M EXPENSE EXCLUSIONS - ADVERTISING</t>
  </si>
  <si>
    <t>Corporate Dues &amp; Memberships - Charitable Contributions</t>
  </si>
  <si>
    <t>Dues &amp; Donations - Charitables</t>
  </si>
  <si>
    <t>F-7B / F-7C</t>
  </si>
  <si>
    <t>Lines 5 - 12</t>
  </si>
  <si>
    <t>Line 13 + Line 14</t>
  </si>
  <si>
    <t>E-1.1</t>
  </si>
  <si>
    <t>E-1.2</t>
  </si>
  <si>
    <t>NCSC ALLOCATED O&amp;M NON-RECOVERABLE EXPENSES</t>
  </si>
  <si>
    <t>COLUMBIA GAS OF KENTUKEY DIRECT EXCLUSIONS</t>
  </si>
  <si>
    <t>RATE CASE EXPENSE ADJUSTMENT</t>
  </si>
  <si>
    <t>CORPORATE INSURANCE</t>
  </si>
  <si>
    <t>UNCOLLECTIBLE GAS COST REVENUE ADJUSTMENT</t>
  </si>
  <si>
    <t>UNCOLLECTIBLE RATE</t>
  </si>
  <si>
    <t>ASC 712 AMORTIZATION ADJUSTMENT</t>
  </si>
  <si>
    <t>PROPERTY TAX ADJUSTMENTS</t>
  </si>
  <si>
    <t>SALE OF GAS-RESIDENTIAL - THE PURPOSE OF THIS ADJUSTMENT IS TO REFLECT</t>
  </si>
  <si>
    <t>FROM THE BASE PERIOD TO THE BUDGETED FORECASTED PERIOD.</t>
  </si>
  <si>
    <t xml:space="preserve">THE CHANGE IN REVENUE AT CURRENT RATES DUE TO THE CHANGE IN BILLING DETERMINANTS </t>
  </si>
  <si>
    <t xml:space="preserve">SALE OF GAS-COMMERCIAL - THE PURPOSE OF THIS ADJUSTMENT IS TO REFLECT </t>
  </si>
  <si>
    <t>THE CHANGE IN REVENUE AT CURRENT RATES DUE TO THE CHANGE IN BILLING DETERMINANTS</t>
  </si>
  <si>
    <t>SALE OF GAS-INDUSTRIAL - THE PURPOSE OF THIS ADJUSTMENT IS TO REFLECT</t>
  </si>
  <si>
    <t xml:space="preserve">SALE OF GAS-OTHER - THE PURPOSE OF THIS ADJUSTMENT IS TO REFLECT </t>
  </si>
  <si>
    <t xml:space="preserve">SALE OF GAS-PUBLIC UTILITIES - THE PURPOSE OF THIS ADJUSTMENT IS TO REFLECT </t>
  </si>
  <si>
    <t>FORFEITED DISCOUNTS - THE PURPOSE OF THIS ADJUSTMENT IS TO REFLECT CHANGE</t>
  </si>
  <si>
    <t>PERIOD LEVEL IS BASED ON A HISTORIC MULTI-YEAR AVERAGE OF FORFEITED DISCOUNTS.</t>
  </si>
  <si>
    <t xml:space="preserve">FROM THE BASE PERIOD LEVEL TO THE FORECASTED PERIOD LEVEL. THE FORECASTED </t>
  </si>
  <si>
    <t xml:space="preserve">MISC. SERVICE REVENUE - THE PURPOSE OF THIS ADJUSTMENT IS TO REFLECT CHANGE </t>
  </si>
  <si>
    <t>PERIOD LEVEL IS BASED ON A HISTORIC MULTI-YEAR AVERAGE OF MISC. SERVICE REVENUE.</t>
  </si>
  <si>
    <t>REVENUE FROM GAS TRANSPORTATION - THE PURPOSE OF THIS ADJUSTMENT IS TO</t>
  </si>
  <si>
    <t>BILLING DETERMINANTS FROM THE BASE PERIOD TO THE BUDGETED FORECASTED PERIOD.</t>
  </si>
  <si>
    <t>REFLECT THE CHANGE IN REVENUE AT CURRENT RATES DUE TO THE CHANGE IN</t>
  </si>
  <si>
    <t>THE CHANGE IN RENTAL REVENUE FROM BASE YEAR TO FORECASTED PERIOD.</t>
  </si>
  <si>
    <t>RENTAL FROM GAS PROPERTY - THE PURPOSE OF THIS ADJUSTMENT IS TO REFECT</t>
  </si>
  <si>
    <t xml:space="preserve">OTHER GAS REVENUE - THE PURPOSE OF THIS ADJUSTMENT IS TO REFELCT </t>
  </si>
  <si>
    <t>REVENUE RECORDED DURING THE BASE PERIOD.</t>
  </si>
  <si>
    <t>THE CHANGE IN OTHER GAS REVENUE AND ALSO TO ELIMINATE UNBILLED</t>
  </si>
  <si>
    <t>NATURAL GAS FIELD &amp; TRANSMISSION LINE PURCHASES - THE PURPOSE OF THIS ADJUSTMENT</t>
  </si>
  <si>
    <t>FROM BASE YEAR TO FORECASTED VOLUMES.</t>
  </si>
  <si>
    <t>IS TO REFLECT THE NORMALIZATION OF GAS COST RECOVERIES DUE TO THE CHANGE</t>
  </si>
  <si>
    <t>NATURAL GAS CITY GATE PURCHASES - THE PURPOSE OF THIS ADJUSTMENT</t>
  </si>
  <si>
    <t>TO REFLECT THE NORMALIZATION OF GAS COST RECOVERIES DUE TO THE CHANGE</t>
  </si>
  <si>
    <t xml:space="preserve">NORMALIZATION OF GAS COST RECOVERIES DUE TO THE CHANGE </t>
  </si>
  <si>
    <t>NORMALIZATION OF GAS COST RECOVERIES DUE TO THE CHANGE</t>
  </si>
  <si>
    <t>GAS WITHDRAWN FROM STORAGE - THE PURPOSE OF THIS ADJUSTMENT</t>
  </si>
  <si>
    <t xml:space="preserve">IS TO REFLECT THE NORMALIZATION OF GAS COST RECOVERIES DUE TO THE CHANGE </t>
  </si>
  <si>
    <t>GAS USED FOR OTHER UTILITY OPERATIONS - THE PURPOSE OF THIS ADJUSTMENT</t>
  </si>
  <si>
    <t xml:space="preserve">EXCHANGE FEES - THE PURPOSE OF THIS ADJUSTMENT IS TO REFLECT </t>
  </si>
  <si>
    <t>THE NORMALIZATION OF GAS COST RECOVERIES DUE TO THE CHANGE</t>
  </si>
  <si>
    <t>BASE PERIOD OPERATING REVENUE AND EXPENSES, BY ACCOUNT - JURISDICTIONAL</t>
  </si>
  <si>
    <t>FORECASTED PERIOD OPERATING REVENUE AND EXPENSES, BY ACCOUNT - JURISDICTIONAL</t>
  </si>
  <si>
    <t>BASE PERIOD COMPARISON OF TOTAL COMPANY ACCOUNT ACTIVITY</t>
  </si>
  <si>
    <t>FORECASTED PERIOD COMPARISON OF TOTAL COMPANY ACCOUNT ACTIVITY</t>
  </si>
  <si>
    <t>F-5B / F-5C</t>
  </si>
  <si>
    <t>DATA:___X___BASE PERIOD___X___FORECASTED PERIOD</t>
  </si>
  <si>
    <t>DATA:__X___BASE PERIOD______FORECASTED PERIOD</t>
  </si>
  <si>
    <t>DATA:_____BASE PERIOD___X___FORECASTED PERIOD</t>
  </si>
  <si>
    <t>DATA:_____BASE PERIOD__X___FORECASTED PERIOD</t>
  </si>
  <si>
    <t xml:space="preserve">DATA: _X_ BASE PERIOD ___ FORECASTED PERIOD     </t>
  </si>
  <si>
    <t xml:space="preserve">DATA: ____ BASE PERIOD __X__ FORECASTED PERIOD     </t>
  </si>
  <si>
    <t xml:space="preserve">DATA: ___ BASE PERIOD __X__ FORECASTED PERIOD     </t>
  </si>
  <si>
    <t xml:space="preserve">DATA: __ BASE PERIOD __X__ FORECASTED PERIOD     </t>
  </si>
  <si>
    <t>1/5/2006</t>
  </si>
  <si>
    <t>ISSUE DATE</t>
  </si>
  <si>
    <t>MATURITY DATE</t>
  </si>
  <si>
    <t>(7=6/4)</t>
  </si>
  <si>
    <t>12/16/2010</t>
  </si>
  <si>
    <t>1/7/2013</t>
  </si>
  <si>
    <t>12/23/2013</t>
  </si>
  <si>
    <t>12/16/2014</t>
  </si>
  <si>
    <t>9/30/2016</t>
  </si>
  <si>
    <t>12/31/2019</t>
  </si>
  <si>
    <t>12/31/2018</t>
  </si>
  <si>
    <t>6/30/2020</t>
  </si>
  <si>
    <t>6/30/2021</t>
  </si>
  <si>
    <t>9/30/2021</t>
  </si>
  <si>
    <t>12/31/2021</t>
  </si>
  <si>
    <t>3/31/2022</t>
  </si>
  <si>
    <t>6/30/2022</t>
  </si>
  <si>
    <t>9/29/2023</t>
  </si>
  <si>
    <t>2024</t>
  </si>
  <si>
    <t>2025</t>
  </si>
  <si>
    <t>1/5/2026</t>
  </si>
  <si>
    <t>12/16/2030</t>
  </si>
  <si>
    <t>1/7/2043</t>
  </si>
  <si>
    <t>12/23/2043</t>
  </si>
  <si>
    <t>12/16/2044</t>
  </si>
  <si>
    <t>9/30/2046</t>
  </si>
  <si>
    <t>12/31/2048</t>
  </si>
  <si>
    <t>12/31/2049</t>
  </si>
  <si>
    <t>6/30/2050</t>
  </si>
  <si>
    <t>6/30/2051</t>
  </si>
  <si>
    <t>9/30/2051</t>
  </si>
  <si>
    <t>12/31/2051</t>
  </si>
  <si>
    <t>3/31/2052</t>
  </si>
  <si>
    <t>6/30/2052</t>
  </si>
  <si>
    <t>9/29/2053</t>
  </si>
  <si>
    <t>2054</t>
  </si>
  <si>
    <t>2055</t>
  </si>
  <si>
    <t>DATA:___X___BASE PERIOD______FORECASTED PERIOD</t>
  </si>
  <si>
    <t>DATA:__X__BASE PERIOD___X___FORECASTED PERIOD</t>
  </si>
  <si>
    <t>DATA:______BASE PERIOD___X___FORECASTED PERIOD</t>
  </si>
  <si>
    <t>DATA:___X___BASE PERIOD_______FORECASTED PERIOD</t>
  </si>
  <si>
    <t>DATA:_______BASE PERIOD___X___FORECASTED PERIOD</t>
  </si>
  <si>
    <t>(4=2x3)</t>
  </si>
  <si>
    <t>(6=5x4)</t>
  </si>
  <si>
    <t>(6=2+3-4+5)</t>
  </si>
  <si>
    <t>(8=7x2)</t>
  </si>
  <si>
    <t>Data:___X___Base Period___X___Forecasted Period</t>
  </si>
  <si>
    <t>AFUDC EQUITY</t>
  </si>
  <si>
    <t>COMMUNICATION SYSTEM EXPENSES</t>
  </si>
  <si>
    <t>ELECTRIC EXPENSE (MISCLASSIFIED)</t>
  </si>
  <si>
    <t>OPERATION AND MAINTENANCE EXPENSE ACCOUNTS</t>
  </si>
  <si>
    <t>DISTRIBUTION EXPENSES - OPERATION</t>
  </si>
  <si>
    <t>TOTAL OPERATING REVENUE</t>
  </si>
  <si>
    <t>TOTAL SALES OF GAS</t>
  </si>
  <si>
    <t>TOTAL OTHER OPERATING INCOME</t>
  </si>
  <si>
    <t>TOTAL ELECTRIC EXPENSE (MISCLASSIFIED)</t>
  </si>
  <si>
    <t>TOTAL LIQUEFIED PETROLEUM GAS PROD. EXPENSE</t>
  </si>
  <si>
    <t>SALES OF GAS</t>
  </si>
  <si>
    <t>TOTAL DISTRIBUTION EXPENSES - OPERATION</t>
  </si>
  <si>
    <t>DISTRIBUTION EXPENSES - MAINTENANCE</t>
  </si>
  <si>
    <t>CUSTOMER ACCOUNTS EXPENSES - OPERATION</t>
  </si>
  <si>
    <t>TOTAL CUSTOMER ACCOUNTS EXPENSE</t>
  </si>
  <si>
    <t>CUSTOMER SERVICE &amp; INFORMATION - OPERATION</t>
  </si>
  <si>
    <t>TOTAL CUST. ACCOUNTS EXPENSES - OPERATION</t>
  </si>
  <si>
    <t>ADMINISTRATIVE AND GENERAL EXPENSES - OPERATION</t>
  </si>
  <si>
    <t>TOTAL ADMIN. AND GENERAL EXP. - OPERATION</t>
  </si>
  <si>
    <t>ADMINISTRATIVE AND GENERAL EXPENSES - MAINTENANCE</t>
  </si>
  <si>
    <t>TOTAL ADMIN. AND GEN. EXP. - MAINTENANCE</t>
  </si>
  <si>
    <t>TOTAL LIQUEFIED PETROLEUM GAS PRODUCTION EXPENSE</t>
  </si>
  <si>
    <t>TOTAL OTHER GAS SUPPLY EXPENSES - OPERATION</t>
  </si>
  <si>
    <t>TOTAL CUSTOMER ACCOUNTS EXPENSE - OPERATION</t>
  </si>
  <si>
    <t>TOTAL CUSTOMER SERVICE &amp; INFORMATION EXPENSES - OPERATION</t>
  </si>
  <si>
    <t>TOTAL ADMINISTRATIVE AND GENERAL EXP. - OPERATION</t>
  </si>
  <si>
    <t>TOTAL ADMINISTRATIVE AND GEN. EXP. - MAINTENANCE</t>
  </si>
  <si>
    <t xml:space="preserve">    DEPRECIATION AND AMORTIZATION EXPENSE</t>
  </si>
  <si>
    <t xml:space="preserve">    TAXES OTHER THAN INCOME TAXES - PROPERTY</t>
  </si>
  <si>
    <t xml:space="preserve">    TAXES OTHER THAN INCOME TAXES - PAYROLL</t>
  </si>
  <si>
    <t xml:space="preserve">    TAXES OTHER THAN INCOME TAXES - OTHER</t>
  </si>
  <si>
    <t xml:space="preserve">    FEDERAL INCOME TAXES</t>
  </si>
  <si>
    <t xml:space="preserve">    STATE INCOME TAXES</t>
  </si>
  <si>
    <t xml:space="preserve">    DEFERRED INCOME TAX EXPENSE - FEDERAL</t>
  </si>
  <si>
    <t xml:space="preserve">    DEFERRED INCOME TAX EXPENSE - STATE</t>
  </si>
  <si>
    <t>TOTAL INTEREST EXPENSE</t>
  </si>
  <si>
    <t>TOTAL OTHER INCOME, DEDUCTIONS</t>
  </si>
  <si>
    <t>OPERATING (INCOME) LOSS, BEFORE INTEREST &amp; TAXES</t>
  </si>
  <si>
    <t>LEAD LAG</t>
  </si>
  <si>
    <t>REQUESTED LEAD LAG ADJUSTMENT</t>
  </si>
  <si>
    <t>NORMALIZATION</t>
  </si>
  <si>
    <t>TOTAL OTHER PLANT (LESS SMRP)</t>
  </si>
  <si>
    <t>TOTAL INTAGIBLE PLANT</t>
  </si>
  <si>
    <t>TOTAL PLAN (LESS SMRP)</t>
  </si>
  <si>
    <t xml:space="preserve">TOTAL DISTRIBUTION PLANT (LESS SMRP) </t>
  </si>
  <si>
    <t>GAS PLANT IN SERVICE 2023, 2024, &amp; 2025 SMRP</t>
  </si>
  <si>
    <t>RESERVE FOR DEPRECIATION &amp; AMORTIZATION 2023, 2024, &amp; 2025 SMRP</t>
  </si>
  <si>
    <t>Services (Less SMRP)</t>
  </si>
  <si>
    <t>Mains (Less SMRP)</t>
  </si>
  <si>
    <t>M &amp; R Sta Equip-General-Regulating (Less SMRP)</t>
  </si>
  <si>
    <t>Meters - AMR</t>
  </si>
  <si>
    <t>Meter Installations (Less SMRP)</t>
  </si>
  <si>
    <t>House Regulators (Less SMRP)</t>
  </si>
  <si>
    <t>Total Gas Plant in Service</t>
  </si>
  <si>
    <t>TAXES OTHER THAN INCOME</t>
  </si>
  <si>
    <t>OTHER EXPENSES</t>
  </si>
  <si>
    <t>ACCOUNT 164</t>
  </si>
  <si>
    <t>FIRM STOR SERV</t>
  </si>
  <si>
    <t>INJECTION</t>
  </si>
  <si>
    <t>ACTIVITY</t>
  </si>
  <si>
    <t>WITHDRAW</t>
  </si>
  <si>
    <t>CALCULATION OF GAS STORAGE BALANCES</t>
  </si>
  <si>
    <t>DECRIPTION</t>
  </si>
  <si>
    <t>PROPERTY ADIT/EDIT  BALANCE</t>
  </si>
  <si>
    <t>FEDERAL NOL &amp;</t>
  </si>
  <si>
    <t>MONTHLY</t>
  </si>
  <si>
    <t>MONTHLY PRO RATA</t>
  </si>
  <si>
    <t>BASED ON 365 DAYS</t>
  </si>
  <si>
    <t>ADJUSMENT</t>
  </si>
  <si>
    <t>PER REG. §1.167(l)-1</t>
  </si>
  <si>
    <t>GAS PLANT IN SERVICE TOTAL COMPANY</t>
  </si>
  <si>
    <t>RESERVE FOR DEPRECIATION &amp; AMORTIZATION TOTAL COMPANY</t>
  </si>
  <si>
    <t>TOTAL (Less SMRP)</t>
  </si>
  <si>
    <t>DISTRIBUTION (SMRP)</t>
  </si>
  <si>
    <t xml:space="preserve">M &amp; R STA EQUIP-GENERAL-REGULATING </t>
  </si>
  <si>
    <t xml:space="preserve">METER INSTALLATIONS </t>
  </si>
  <si>
    <t xml:space="preserve">HOUSE REGULATORS </t>
  </si>
  <si>
    <t xml:space="preserve">SERVICES </t>
  </si>
  <si>
    <t>TRAMSMISSION EXPENSES</t>
  </si>
  <si>
    <t>TRANSMISSION EXPENSES - OPERATIONS</t>
  </si>
  <si>
    <t xml:space="preserve">    COMMUNICATION SYSTEM EXPENSES</t>
  </si>
  <si>
    <t xml:space="preserve">  TOTAL TRANSMISSION EXPESES - OPERATIONS</t>
  </si>
  <si>
    <t>TRANSMISSION EXPENSES - MAINTENANCE</t>
  </si>
  <si>
    <t xml:space="preserve">  TOTAL TRANSMISSION EXPESES - MAINTENANCE</t>
  </si>
  <si>
    <t xml:space="preserve">  DEFERRED INCOME TAX EXPENSE - STATE</t>
  </si>
  <si>
    <t xml:space="preserve">   CAPITALIZED LEASES NET [1]</t>
  </si>
  <si>
    <t xml:space="preserve">   RIGHT OF USE [1]</t>
  </si>
  <si>
    <t xml:space="preserve">   CONSTRUCTION WORK IN PROGRESS [1]</t>
  </si>
  <si>
    <t xml:space="preserve">   GROSS PLANT</t>
  </si>
  <si>
    <t>[1] Indicated items above (Capitalized Leases, Right of Use, and Construction Work In Progress plant) are not included in the calculation of Total Company Rate Base.</t>
  </si>
  <si>
    <t>PERIOD [1]</t>
  </si>
  <si>
    <t>(LIFO METHOD)</t>
  </si>
  <si>
    <t>PER BOOKS</t>
  </si>
  <si>
    <t>WOZNIAK</t>
  </si>
  <si>
    <t>[2]  Projected calender years 2026 and 2027 do not reflect what is presented in the current case or potential subsequent cases, if any.</t>
  </si>
  <si>
    <t>COMPARATIVE INCOME STATEMENT - TOTAL COMPANY</t>
  </si>
  <si>
    <t xml:space="preserve">  TRANSMISSION EXPENSES</t>
  </si>
  <si>
    <t>NUMBER OF TRANSPORTATION CUSTOMERS BY CLASS</t>
  </si>
  <si>
    <t>Actual / Forecast</t>
  </si>
  <si>
    <t>Forecast</t>
  </si>
  <si>
    <t>SCHEDULE B-5.2.A</t>
  </si>
  <si>
    <t>SCHEDULE B-5.2.B</t>
  </si>
  <si>
    <t>B-5.2.A &amp; B</t>
  </si>
  <si>
    <t>SHEET 1 OF 6</t>
  </si>
  <si>
    <t>SHEET 2 OF 6</t>
  </si>
  <si>
    <t>SHEET 3 OF 6</t>
  </si>
  <si>
    <t>SHEET 4 OF 6</t>
  </si>
  <si>
    <t>SHEET 5 OF 6</t>
  </si>
  <si>
    <t>SHEET 6 OF 6</t>
  </si>
  <si>
    <t>SCHEDULE B-6.A</t>
  </si>
  <si>
    <t>B-6.A &amp; B</t>
  </si>
  <si>
    <t>SCHEDULE B-6.B</t>
  </si>
  <si>
    <t>NORMALIZATION ADJUSTMENT UNDER TREAS. REG. §1.167(l)-1 [1]</t>
  </si>
  <si>
    <t>[1]  NORMALIZATION ADJUSTMENT UNDER TREAS. REG. §1.167(l)-1 is calculated as Account 190 Federal NOL, Account 282 Federal Excess Accelerated Depreciation / Repairs / 263A, and Account 254 Federal NOL and Excess Accelerated Depreciation.</t>
  </si>
  <si>
    <t>(4) = 2 X 3</t>
  </si>
  <si>
    <t>(6) = 5 - 1</t>
  </si>
  <si>
    <t>C-2.1.A</t>
  </si>
  <si>
    <t>C-2.1.B</t>
  </si>
  <si>
    <t>C-2.2.A</t>
  </si>
  <si>
    <t>C-2.2.B</t>
  </si>
  <si>
    <t>SCHEDULE C-2.1.A</t>
  </si>
  <si>
    <t>SCHEDULE C-2.1.B</t>
  </si>
  <si>
    <t>SCHEDULE C-2.2.A</t>
  </si>
  <si>
    <t>SCHEDULE C-2.2.B</t>
  </si>
  <si>
    <t>D-1.A</t>
  </si>
  <si>
    <t>D-1.B</t>
  </si>
  <si>
    <t>WPD-2.1.A</t>
  </si>
  <si>
    <t>WPD-2.2.A</t>
  </si>
  <si>
    <t>WPD-2.4.A</t>
  </si>
  <si>
    <t>WPD-2.4.B</t>
  </si>
  <si>
    <t>WPD-2.6.A</t>
  </si>
  <si>
    <t>WPD-2.6.B</t>
  </si>
  <si>
    <t>WPD-2.6.C</t>
  </si>
  <si>
    <t>WPD-2.6.D(1)</t>
  </si>
  <si>
    <t>WPD-2.6.D(2)</t>
  </si>
  <si>
    <t>WPD-2.6.D(3)</t>
  </si>
  <si>
    <t>WPD-2.6.J</t>
  </si>
  <si>
    <t>WPD-2.6.E</t>
  </si>
  <si>
    <t>WPD-2.6.F</t>
  </si>
  <si>
    <t>WPD-2.6.G</t>
  </si>
  <si>
    <t>WPD-2.6.H</t>
  </si>
  <si>
    <t>WPD-2.6.I</t>
  </si>
  <si>
    <t>SCHEDULE D-1.A</t>
  </si>
  <si>
    <t>SCHEDULE D-1.B</t>
  </si>
  <si>
    <t>Workpaper WPD-2.1.A</t>
  </si>
  <si>
    <t>Workpaper WPD-2.2.A</t>
  </si>
  <si>
    <t>Workpaper WPD-2.4.A</t>
  </si>
  <si>
    <t>Workpaper WPD-2.4.B</t>
  </si>
  <si>
    <t>Workpaper WPD-2.6.A</t>
  </si>
  <si>
    <t>Workpaper WPD-2.6.B</t>
  </si>
  <si>
    <t>Workpaper WPD-2.6.C</t>
  </si>
  <si>
    <t>Workpaper WPD-2.6.D(1)</t>
  </si>
  <si>
    <t>Workpaper WPD-2.6.D(2)</t>
  </si>
  <si>
    <t>Workpaper WPD-2.6.D(3)</t>
  </si>
  <si>
    <t>Workpaper WPD-2.6.E</t>
  </si>
  <si>
    <t>Workpaper WPD-2.6.F</t>
  </si>
  <si>
    <t>Workpaper WPD-2.6.G</t>
  </si>
  <si>
    <t>Workpaper WPD-2.6.H</t>
  </si>
  <si>
    <t>Workpaper WPD-2.6.I</t>
  </si>
  <si>
    <t>Workpaper WPD-2.6.J</t>
  </si>
  <si>
    <t>Attachment JCW-2</t>
  </si>
  <si>
    <t>Less: Test Year Expense, Sch. C-2.1.B</t>
  </si>
  <si>
    <t>SCHEDULE F-1.A</t>
  </si>
  <si>
    <t>SCHEDULE F-1.B</t>
  </si>
  <si>
    <t>SCHEDULE F-1.C</t>
  </si>
  <si>
    <t>SCHEDULE F-3.A</t>
  </si>
  <si>
    <t>SCHEDULE F-3.B</t>
  </si>
  <si>
    <t>SCHEDULE F-3.C</t>
  </si>
  <si>
    <t>SCHEDULE F-4.A</t>
  </si>
  <si>
    <t>SCHEDULE F-4.B</t>
  </si>
  <si>
    <t>SCHEDULE F-4.C</t>
  </si>
  <si>
    <t>F-1.A</t>
  </si>
  <si>
    <t>F-1.B</t>
  </si>
  <si>
    <t>F-1.C</t>
  </si>
  <si>
    <t>F-3.A</t>
  </si>
  <si>
    <t>F-3.B</t>
  </si>
  <si>
    <t>F-3.C</t>
  </si>
  <si>
    <t>F-4.A</t>
  </si>
  <si>
    <t>F-4.C</t>
  </si>
  <si>
    <t>F-5.A</t>
  </si>
  <si>
    <t>F-5.B</t>
  </si>
  <si>
    <t>F-5.C</t>
  </si>
  <si>
    <t>F-6.A</t>
  </si>
  <si>
    <t>F-6.B</t>
  </si>
  <si>
    <t>F-6.C</t>
  </si>
  <si>
    <t>F-7.A</t>
  </si>
  <si>
    <t>F-7.B</t>
  </si>
  <si>
    <t>F-7.C</t>
  </si>
  <si>
    <t>F-8.A</t>
  </si>
  <si>
    <t>F-8.B</t>
  </si>
  <si>
    <t>F-8.C</t>
  </si>
  <si>
    <t>SCHEDULE F-5.B</t>
  </si>
  <si>
    <t>SCHEDULE F-5.A</t>
  </si>
  <si>
    <t>SCHEDULE F-5.C</t>
  </si>
  <si>
    <t>SCHEDULE F-6.A</t>
  </si>
  <si>
    <t>SCHEDULE F-6.B</t>
  </si>
  <si>
    <t>SCHEDULE F-6.C</t>
  </si>
  <si>
    <t>SCHEDULE F-7.A</t>
  </si>
  <si>
    <t>SCHEDULE F-7.B</t>
  </si>
  <si>
    <t>SCHEDULE F-7.C</t>
  </si>
  <si>
    <t>SCHEDULE F-8.A</t>
  </si>
  <si>
    <t>SCHEDULE F-8.B</t>
  </si>
  <si>
    <t>SCHEDULE F-8.C</t>
  </si>
  <si>
    <t>Kimra Cole, Columbia Gas of Kentucky President &amp; Chief Operating Officer</t>
  </si>
  <si>
    <t>Donald Ayers began tenature as Columbia Gas of Kentucky Vice President Gas Operations on December 1, 2023.</t>
  </si>
  <si>
    <t>OWENS</t>
  </si>
  <si>
    <t>Lloyd Yates, NiSource President and Chief Executive Officer [1]</t>
  </si>
  <si>
    <t>Shawn Anderson, NiSource Executive Vice President and Chief Financial Officer [1]</t>
  </si>
  <si>
    <t>Melody Brimingham, NiSource Executive Vice President and Group Utilities President [1]</t>
  </si>
  <si>
    <t>William Jefferson, NiSource Executive Vice President and Chief Operating and Safety Officer [1]</t>
  </si>
  <si>
    <t>Michael Luhrs, NiSource Executive Vice President Strategy, Risk, and Chief Commercial Officer [1]</t>
  </si>
  <si>
    <t>David Roy, Columbia Gas of Kentucky Vice President Gas Operations [1]</t>
  </si>
  <si>
    <t>Donald Ayers, Columbia Gas of Kentucky Vice President Gas Operations [1]</t>
  </si>
  <si>
    <t>[1] Columbia Gas of Kentucky's Vice President of Operations role was occupied by David Roy during the month of September 2023.</t>
  </si>
  <si>
    <t>(2)=(3-1)</t>
  </si>
  <si>
    <t xml:space="preserve">DATA: ___ BASE PERIOD _X_ FORECASTED PERIOD     </t>
  </si>
  <si>
    <t xml:space="preserve">DATA: _X_ BASE PERIOD _X_ FORECASTED PERIOD     </t>
  </si>
  <si>
    <t>NET INCOME (LOSS)</t>
  </si>
  <si>
    <r>
      <t>Data:</t>
    </r>
    <r>
      <rPr>
        <u/>
        <sz val="12"/>
        <rFont val="Arial"/>
        <family val="2"/>
      </rPr>
      <t xml:space="preserve"> __</t>
    </r>
    <r>
      <rPr>
        <sz val="12"/>
        <rFont val="Arial"/>
        <family val="2"/>
      </rPr>
      <t xml:space="preserve"> Base Period_</t>
    </r>
    <r>
      <rPr>
        <u/>
        <sz val="12"/>
        <rFont val="Arial"/>
        <family val="2"/>
      </rPr>
      <t>X</t>
    </r>
    <r>
      <rPr>
        <sz val="12"/>
        <rFont val="Arial"/>
        <family val="2"/>
      </rPr>
      <t>_Forecasted Period</t>
    </r>
  </si>
  <si>
    <r>
      <t xml:space="preserve">Type of Filing: </t>
    </r>
    <r>
      <rPr>
        <u/>
        <sz val="12"/>
        <rFont val="Arial"/>
        <family val="2"/>
      </rPr>
      <t>X</t>
    </r>
    <r>
      <rPr>
        <sz val="12"/>
        <rFont val="Arial"/>
        <family val="2"/>
      </rPr>
      <t xml:space="preserve"> Original _ Update _ Revised</t>
    </r>
  </si>
  <si>
    <r>
      <t>WORKPAPER REFERENCE NO(S). _</t>
    </r>
    <r>
      <rPr>
        <u/>
        <sz val="9"/>
        <rFont val="Arial"/>
        <family val="2"/>
      </rPr>
      <t>WPD-2.6</t>
    </r>
    <r>
      <rPr>
        <sz val="9"/>
        <rFont val="Arial"/>
        <family val="2"/>
      </rPr>
      <t>___</t>
    </r>
  </si>
  <si>
    <r>
      <t>Data:</t>
    </r>
    <r>
      <rPr>
        <u/>
        <sz val="12"/>
        <rFont val="Arial"/>
        <family val="2"/>
      </rPr>
      <t xml:space="preserve"> _X_</t>
    </r>
    <r>
      <rPr>
        <sz val="12"/>
        <rFont val="Arial"/>
        <family val="2"/>
      </rPr>
      <t xml:space="preserve"> Base Period__Forecasted Period</t>
    </r>
  </si>
  <si>
    <t>WORKPAPER REFERENCE NO(S). ATTACHMENT KLJ-CWC-1</t>
  </si>
  <si>
    <t>Less: Test Year Forfeited Discounts Revenue</t>
  </si>
  <si>
    <t>FORFEITED DISCOUNTS REVENUE ADJUSTMENT</t>
  </si>
  <si>
    <t>NET LABOR - THE PURPOSE OF THIS ADJUSTMENT IS TO REFLECT COLUMBIA'S ESTIMATED EMPLOYEE HEADCOUNT, PAYROLL, CHARGES TO BALANCE SHEET, AND CHARGES TO AND FROM AFFILIATES TO ARRIVE AT NET LABOR INCLUDED IN O&amp;M EXPENSE.  THE ADJUSTMENT REFLETS A WAGE GUIDELINE INCREASE OF 3%, CORPORATE INCENTIVE PLAN, LONG TERM INCENTIVE PLAN, AND PROFIT SHARING.</t>
  </si>
  <si>
    <t>UNCOLLECTIBLE ACCOUNTS - THE PURPOSE OF THIS ADJUSTMENT IS TO REFLECT AN APPROPRIATE AMOUNT OF EXPENSE AND CORRESPONDING RESERVE ACCRUAL FOR ACCOUNTS RECEIVABLE - UTILITY SERVICE ESTIMATED TO BE UNCOLLECTIBLE.  THIS CATEGORY IS FURTHER ADJUSTED IN SCHEDULE D-2.6 TO REFLECT THE EXPECTED UNCOLLECTIBLE EXPENSE BASED ON REVENUES IN THE FORECASTED TEST PERIOD.</t>
  </si>
  <si>
    <t>OPERATING (INCOME) LOSS AFTER TAXES, BEFORE INTEREST</t>
  </si>
  <si>
    <t>NET OPERATING (INCOME) LOSS</t>
  </si>
  <si>
    <t>RATE BASE SUMMARY - JURISDICTIONAL</t>
  </si>
  <si>
    <t>Adjustment to Remove Residential Customers' Late Payment Penalties from Forfeited Discounts Revenues</t>
  </si>
  <si>
    <t>Non-Residential Customers' Late Payment Penalties</t>
  </si>
  <si>
    <t>TOTAL UNADJ.</t>
  </si>
  <si>
    <t>BASE-UNADJUSTED</t>
  </si>
  <si>
    <t>Deferred Taxes, ITC, &amp; EDIT Amortization</t>
  </si>
  <si>
    <t>Uncollectible Provision Rate</t>
  </si>
  <si>
    <t>TOTAL SMRP</t>
  </si>
  <si>
    <t>TOTAL - MAINS</t>
  </si>
  <si>
    <t>TOTAL - M &amp; R STA EQUIP-GENERAL-REGULATING</t>
  </si>
  <si>
    <t>TOTAL - SERVICES</t>
  </si>
  <si>
    <t>TOTAL - METER INSTALLATIONS</t>
  </si>
  <si>
    <t>TOTAL - HOUSE REGULATORS</t>
  </si>
  <si>
    <r>
      <t>O&amp;M EXPENSE - CHARITABLE CONTRIBUTIONS</t>
    </r>
    <r>
      <rPr>
        <sz val="10"/>
        <rFont val="Arial"/>
        <family val="2"/>
      </rPr>
      <t xml:space="preserve"> [1]</t>
    </r>
  </si>
  <si>
    <t>CONFIDENTIAL</t>
  </si>
  <si>
    <t>WITNESSES: SHAEFFER</t>
  </si>
  <si>
    <t>CASH WORKING CAPITAL - 1 / 8 METHOD</t>
  </si>
  <si>
    <t>Labor - Lobbying</t>
  </si>
  <si>
    <t>Lines 1 - 5</t>
  </si>
  <si>
    <t>Lines 6 - 13</t>
  </si>
  <si>
    <t>Line 14 + Line 15</t>
  </si>
  <si>
    <t>Lobbying Exclusion - Labor</t>
  </si>
  <si>
    <t>[2] Salary is reflective of the officer's annual gross base salary.</t>
  </si>
  <si>
    <t>[3] Other Allowances and Compensation is inclusive of: (1) Gross Short-Term Incentive (STI) Compensation paid during the Base Period (BP), and target budget STI in the Forecated Test Period (FTP); (2) Long-Term Incentive (LTI) Compensation granted or distributed during the Base Period; note, the FTP reflectes the same BP amount for LTI as it is the most current information known; and (3) Other Compensation includes relocation and / or signing bonus. As Other Compensation costs are one-time and non-recurring they are not included in Columbia's Forecasted Period budget nor are these costs included in Columbia's revenue requirement.</t>
  </si>
  <si>
    <t>[1] Non-Columbia officer compensation reflects only the portion allocated to Columbia Gas of Kentucky.</t>
  </si>
  <si>
    <t>[4] The role of NiSource Executive Vice President &amp; Chief Innovation Officer ceased effective May 1, 2024.</t>
  </si>
  <si>
    <t>Donald Brown, NiSource Chief Innovation Officer [1,4]</t>
  </si>
  <si>
    <t xml:space="preserve">    Salary [2]</t>
  </si>
  <si>
    <t xml:space="preserve">    Other Allowances and Compensation [3]</t>
  </si>
  <si>
    <t>KENTUCKY CHAMBER OF COMMERCE  [1]</t>
  </si>
  <si>
    <t>COMMON GROUND ALLIANCE  [1]</t>
  </si>
  <si>
    <t>KEENELAND ASSOCIATION INC  [1]</t>
  </si>
  <si>
    <t>NATIONAL MINORITY SUPPLIER DEVELOPMENT  [1]</t>
  </si>
  <si>
    <t>PIKE COUNTY CHAMBER OF COMMERCE  [1]</t>
  </si>
  <si>
    <t>WINCHESTER CLARK COUNTY CHAMBER  [1]</t>
  </si>
  <si>
    <t>WOODFORD COUNY CHAMBER COMMERCE  [1]</t>
  </si>
  <si>
    <t>MISCELLANEOUS CUST. SERV. &amp; INFO.  [1]</t>
  </si>
  <si>
    <t>GENERAL ADVERTISING EXPENSE  [1]</t>
  </si>
  <si>
    <t>SALES OR PROMOTIONAL ADVERTISING  [1]</t>
  </si>
  <si>
    <t>O&amp;M EXPENSE - CONSULTING SERVICES [1, 2]</t>
  </si>
  <si>
    <t>EMPLOYEE EXPENSES - GIFTS  [1]</t>
  </si>
  <si>
    <t>EMPLOYEE EXPENSES - ACTIVITIES &amp; BUSINESS EXPENSES [1, 2]</t>
  </si>
  <si>
    <t>EMPLOYEE EXPENSES - ENTERTAINMENT  [1]</t>
  </si>
  <si>
    <t>INSTITUTIONAL ADVERTISING  [1]</t>
  </si>
  <si>
    <t>OTHER ADVERTISING  [1]</t>
  </si>
  <si>
    <t>[1] THE ITEMS INDICATED ABOVE ARE GENERAL LEDGER ACTUAL TRANSACTIONS RECORDED IN JANUARY OR FEBRUARY 2024. IN THE PREPARATION OF THIS SCHEDULE THESE COSTS WERE IDENTIFIED AS MISCLASSIFICATIONS TO O&amp;M EXPENSE PARTIALLY OR IN ENTIRETY. THE IDENTIFIED O&amp;M EXPENSE MISCLASSIFICATIONS WILL BE RECLASSIFIED AS BELOW-THE-LINE EXPENSES (426), OR RECLASSIFIED TO THE PROPER AFFILIATE COMPANY PRIOR TO THE END OF THE BASE PERIOD, AND REFLECTED IN THE COMPANY'S FUTURE UPDATES. AS THESE COSTS WILL BE RECLASSIFIED OUT OF O&amp;M EXPENSE WITHIN THE BASE PERIOD, THESE COSTS ARE NOT REFLECTED IN COLUMBIA'S FORECASTED TEST PERIOD AND THEREFORE ARE NOT INCLUDED IN THE COMPANY'S REVENUE REQUIREMENT.</t>
  </si>
  <si>
    <t>[1] THE ITEMS INDICATED ABOVE ARE GENERAL LEDGER ACTUAL TRANSACTIONS RECORDED IN JANUARY OR FEBRUARY 2024. IN THE PREPARATION OF THIS SCHEDULE THESE COSTS WERE IDENTIFIED AS MISCLASSIFICATIONS TO O&amp;M-ADVERTISING EXPENSE PARTIALLY OR IN ENTIRETY. THE IDENTIFIED O&amp;M-ADVERTISING EXPENSE MISCLASSIFICATIONS WILL BE RECLASSIFIED TO EITHER THE PROPER O&amp;M CATEGORY, MOVED TO BELOW-THE-LINE EXPENSES (426), OR RECLASSIFIED TO THE PROPER AFFILIATE COMPANY PRIOR TO THE END OF THE BASE PERIOD, AND REFLECTED IN THE COMPANY'S FUTURE UPDATES. AS THESE COSTS WILL BE RECLASSIFIED OUT OF O&amp;M EXPENSE WITHIN THE BASE PERIOD, THESE COSTS ARE NOT REFLECTED IN COLUMBIA'S FORECASTED TEST PERIOD AND THEREFORE ARE NOT INCLUDED IN THE COMPANY'S REVENUE REQUIREMENT.</t>
  </si>
  <si>
    <t>[2] THE ITEMS INDICATED ABOVE ARE GENERAL LEDGER ACTUAL TRANSACTIONS RECORDED IN JANUARY OR FEBRUARY 2024. IN THE PREPARATION OF THIS SCHEDULE THESE COSTS WERE IDENTIFIED AS MISCLASSIFICATIONS TO O&amp;M EXPENSE PARTIALLY OR IN ENTIRETY. THE IDENTIFIED O&amp;M EXPENSE MISCLASSIFICATIONS WILL BE RECLASSIFIED AS BELOW-THE-LINE EXPENSES (426), OR RECLASSIFIED TO THE PROPER AFFILIATE COMPANY PRIOR TO THE END OF THE BASE PERIOD, AND REFLECTED IN THE COMPANY'S FUTURE UPDATES. AS THESE COSTS WILL BE RECLASSIFIED OUT OF O&amp;M EXPENSE WITHIN THE BASE PERIOD, THESE COSTS ARE NOT REFLECTED IN COLUMBIA'S FORECASTED TEST PERIOD AND THEREFORE ARE NOT INCLUDED IN THE COMPANY'S REVENUE REQUIREMENT.</t>
  </si>
  <si>
    <t>BASE AND FORECASTED PERIOD AT PRESENT AND PROPOSED RATES, AND BILLING ANALYSIS</t>
  </si>
  <si>
    <t>SCHEDULE M</t>
  </si>
  <si>
    <t>SEE TESTIMONY OF J. WOZNIAK.</t>
  </si>
  <si>
    <t>409.2 &amp; 411.2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</si>
</sst>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
    <numFmt numFmtId="165" formatCode="#,##0.0_);\(#,##0.0\)"/>
    <numFmt numFmtId="166" formatCode=";;;"/>
    <numFmt numFmtId="167" formatCode="_(* #,##0_);_(* \(#,##0\);_(* &quot;-&quot;??_);_(@_)"/>
    <numFmt numFmtId="168" formatCode="#,##0.0000_);\(#,##0.0000\)"/>
    <numFmt numFmtId="169" formatCode="0.00_);\(0.00\)"/>
    <numFmt numFmtId="170" formatCode="_([$€-2]* #,##0.00_);_([$€-2]* \(#,##0.00\);_([$€-2]* &quot;-&quot;??_)"/>
    <numFmt numFmtId="171" formatCode="&quot;$&quot;#,##0.00"/>
    <numFmt numFmtId="172" formatCode="0.0"/>
    <numFmt numFmtId="173" formatCode="0.0%"/>
    <numFmt numFmtId="174" formatCode="0.000%"/>
    <numFmt numFmtId="175" formatCode="_(&quot;$&quot;* #,##0_);_(&quot;$&quot;* \(#,##0\);_(&quot;$&quot;* &quot;-&quot;??_);_(@_)"/>
    <numFmt numFmtId="176" formatCode="0.0000"/>
    <numFmt numFmtId="177" formatCode="0.000000_)"/>
    <numFmt numFmtId="178" formatCode="0.000_)"/>
    <numFmt numFmtId="179" formatCode="#,##0.000000_);\(#,##0.000000\)"/>
    <numFmt numFmtId="180" formatCode="mm/dd/yy_)"/>
    <numFmt numFmtId="181" formatCode="hh:mm:ss_)"/>
    <numFmt numFmtId="182" formatCode="0.0000%"/>
    <numFmt numFmtId="183" formatCode="0.000000%"/>
    <numFmt numFmtId="184" formatCode="_(* #,##0.000000_);_(* \(#,##0.000000\);_(* &quot;-&quot;??_);_(@_)"/>
    <numFmt numFmtId="185" formatCode="_(* #,##0.0_);_(* \(#,##0.0\);_(* &quot;-&quot;??_);_(@_)"/>
    <numFmt numFmtId="186" formatCode="[$-409]mmm\-yy;@"/>
    <numFmt numFmtId="187" formatCode="#,##0.000000000000_);\(#,##0.000000000000\)"/>
    <numFmt numFmtId="188" formatCode="_(&quot;$&quot;* #,##0.0000_);_(&quot;$&quot;* \(#,##0.0000\);_(&quot;$&quot;* &quot;-&quot;??_);_(@_)"/>
    <numFmt numFmtId="189" formatCode="#,##0.00000000_);\(#,##0.00000000\)"/>
    <numFmt numFmtId="190" formatCode="yyyy\-mm\-dd;@"/>
    <numFmt numFmtId="191" formatCode="mm/dd/yy;@"/>
    <numFmt numFmtId="192" formatCode="_(* #,##0.0000000_);_(* \(#,##0.0000000\);_(* &quot;-&quot;??_);_(@_)"/>
    <numFmt numFmtId="193" formatCode="_(* #,##0.0000_);_(* \(#,##0.0000\);_(* &quot;-&quot;??_);_(@_)"/>
    <numFmt numFmtId="194" formatCode="0_);\(0\)"/>
  </numFmts>
  <fonts count="107">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7"/>
      <name val="Helv"/>
    </font>
    <font>
      <sz val="10"/>
      <color indexed="12"/>
      <name val="Arial"/>
      <family val="2"/>
    </font>
    <font>
      <u/>
      <sz val="10"/>
      <name val="Arial"/>
      <family val="2"/>
    </font>
    <font>
      <b/>
      <sz val="10"/>
      <name val="Arial"/>
      <family val="2"/>
    </font>
    <font>
      <sz val="8"/>
      <name val="Helv"/>
    </font>
    <font>
      <sz val="10"/>
      <name val="Helv"/>
    </font>
    <font>
      <sz val="8"/>
      <name val="Arial"/>
      <family val="2"/>
    </font>
    <font>
      <u val="double"/>
      <sz val="10"/>
      <name val="Arial"/>
      <family val="2"/>
    </font>
    <font>
      <b/>
      <u/>
      <sz val="10"/>
      <name val="Arial"/>
      <family val="2"/>
    </font>
    <font>
      <b/>
      <u val="double"/>
      <sz val="10"/>
      <name val="Arial"/>
      <family val="2"/>
    </font>
    <font>
      <u/>
      <sz val="8"/>
      <name val="Helv"/>
    </font>
    <font>
      <sz val="10"/>
      <color indexed="8"/>
      <name val="MS Sans Serif"/>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MS Sans Serif"/>
      <family val="2"/>
    </font>
    <font>
      <b/>
      <sz val="10"/>
      <name val="MS Sans Serif"/>
      <family val="2"/>
    </font>
    <font>
      <sz val="8"/>
      <color indexed="38"/>
      <name val="Arial"/>
      <family val="2"/>
    </font>
    <font>
      <b/>
      <sz val="9"/>
      <name val="Arial"/>
      <family val="2"/>
    </font>
    <font>
      <b/>
      <i/>
      <sz val="16"/>
      <color indexed="8"/>
      <name val="Arial"/>
      <family val="2"/>
    </font>
    <font>
      <b/>
      <sz val="12"/>
      <color indexed="8"/>
      <name val="Arial"/>
      <family val="2"/>
    </font>
    <font>
      <i/>
      <sz val="11"/>
      <name val="Arial"/>
      <family val="2"/>
    </font>
    <font>
      <sz val="11"/>
      <name val="Arial"/>
      <family val="2"/>
    </font>
    <font>
      <sz val="12"/>
      <name val="Times New Roman"/>
      <family val="1"/>
    </font>
    <font>
      <u/>
      <sz val="8"/>
      <name val="Arial"/>
      <family val="2"/>
    </font>
    <font>
      <sz val="11"/>
      <color indexed="8"/>
      <name val="Calibri"/>
      <family val="2"/>
    </font>
    <font>
      <sz val="7"/>
      <name val="Times New Roman"/>
      <family val="1"/>
    </font>
    <font>
      <i/>
      <sz val="8"/>
      <name val="Arial"/>
      <family val="2"/>
    </font>
    <font>
      <sz val="7"/>
      <name val="Arial"/>
      <family val="2"/>
    </font>
    <font>
      <strike/>
      <sz val="10"/>
      <name val="Arial"/>
      <family val="2"/>
    </font>
    <font>
      <u/>
      <sz val="9"/>
      <name val="Arial"/>
      <family val="2"/>
    </font>
    <font>
      <u val="double"/>
      <sz val="9"/>
      <name val="Arial"/>
      <family val="2"/>
    </font>
    <font>
      <u val="singleAccounting"/>
      <sz val="10"/>
      <name val="Arial"/>
      <family val="2"/>
    </font>
    <font>
      <sz val="6"/>
      <name val="Helv"/>
    </font>
    <font>
      <sz val="8"/>
      <name val="Times New Roman"/>
      <family val="1"/>
    </font>
    <font>
      <sz val="10"/>
      <name val="Times New Roman"/>
      <family val="1"/>
    </font>
    <font>
      <sz val="10"/>
      <color indexed="8"/>
      <name val="Tahoma"/>
      <family val="2"/>
    </font>
    <font>
      <u val="double"/>
      <sz val="8"/>
      <name val="Arial"/>
      <family val="2"/>
    </font>
    <font>
      <sz val="10"/>
      <name val="Arial Unicode MS"/>
      <family val="2"/>
    </font>
    <font>
      <b/>
      <sz val="10"/>
      <name val="Arial Unicode MS"/>
      <family val="2"/>
    </font>
    <font>
      <sz val="10"/>
      <color rgb="FF0000FF"/>
      <name val="Arial"/>
      <family val="2"/>
    </font>
    <font>
      <sz val="10"/>
      <color rgb="FFFF0000"/>
      <name val="Arial"/>
      <family val="2"/>
    </font>
    <font>
      <sz val="10"/>
      <color rgb="FF0000CC"/>
      <name val="Arial"/>
      <family val="2"/>
    </font>
    <font>
      <b/>
      <sz val="10"/>
      <color rgb="FFFF0000"/>
      <name val="Arial"/>
      <family val="2"/>
    </font>
    <font>
      <b/>
      <sz val="10"/>
      <color theme="1"/>
      <name val="Arial"/>
      <family val="2"/>
    </font>
    <font>
      <sz val="10"/>
      <color theme="1"/>
      <name val="Arial"/>
      <family val="2"/>
    </font>
    <font>
      <sz val="10"/>
      <color theme="1"/>
      <name val="Tahoma"/>
      <family val="2"/>
    </font>
    <font>
      <u/>
      <sz val="10"/>
      <color theme="1"/>
      <name val="Arial"/>
      <family val="2"/>
    </font>
    <font>
      <sz val="8"/>
      <name val="Tms Rmn"/>
    </font>
    <font>
      <b/>
      <u/>
      <sz val="12"/>
      <name val="Arial"/>
      <family val="2"/>
    </font>
    <font>
      <u/>
      <sz val="12"/>
      <name val="Arial"/>
      <family val="2"/>
    </font>
    <font>
      <u val="singleAccounting"/>
      <sz val="12"/>
      <name val="Arial"/>
      <family val="2"/>
    </font>
    <font>
      <b/>
      <sz val="12"/>
      <color rgb="FF0000FF"/>
      <name val="Arial"/>
      <family val="2"/>
    </font>
    <font>
      <u/>
      <sz val="8"/>
      <color theme="10"/>
      <name val="Helv"/>
    </font>
    <font>
      <strike/>
      <sz val="12"/>
      <name val="Arial"/>
      <family val="2"/>
    </font>
    <font>
      <b/>
      <sz val="11"/>
      <color theme="1"/>
      <name val="Calibri"/>
      <family val="2"/>
      <scheme val="minor"/>
    </font>
    <font>
      <b/>
      <sz val="11"/>
      <name val="Calibri"/>
      <family val="2"/>
      <scheme val="minor"/>
    </font>
    <font>
      <b/>
      <sz val="11"/>
      <color rgb="FFFF0000"/>
      <name val="Calibri"/>
      <family val="2"/>
      <scheme val="minor"/>
    </font>
    <font>
      <b/>
      <sz val="11"/>
      <color rgb="FF0070C0"/>
      <name val="Calibri"/>
      <family val="2"/>
      <scheme val="minor"/>
    </font>
    <font>
      <b/>
      <sz val="12"/>
      <color rgb="FFFF0000"/>
      <name val="Arial"/>
      <family val="2"/>
    </font>
    <font>
      <sz val="12"/>
      <color theme="1"/>
      <name val="Arial"/>
      <family val="2"/>
    </font>
    <font>
      <i/>
      <sz val="10"/>
      <color rgb="FFFF0000"/>
      <name val="Arial"/>
      <family val="2"/>
    </font>
    <font>
      <u/>
      <sz val="10"/>
      <color theme="10"/>
      <name val="Arial"/>
      <family val="2"/>
    </font>
    <font>
      <sz val="10"/>
      <color rgb="FFFF0000"/>
      <name val="Tahoma"/>
      <family val="2"/>
    </font>
    <font>
      <b/>
      <sz val="10"/>
      <color rgb="FF0000CC"/>
      <name val="Arial"/>
      <family val="2"/>
    </font>
    <font>
      <sz val="10"/>
      <name val="Tms Rmn"/>
    </font>
    <font>
      <sz val="9"/>
      <color theme="1"/>
      <name val="Times New Roman"/>
      <family val="2"/>
    </font>
    <font>
      <b/>
      <sz val="10"/>
      <name val="Times New Roman"/>
      <family val="1"/>
    </font>
    <font>
      <u/>
      <sz val="10"/>
      <name val="Times New Roman"/>
      <family val="1"/>
    </font>
    <font>
      <sz val="10"/>
      <name val="Tahoma"/>
      <family val="2"/>
    </font>
    <font>
      <u/>
      <sz val="10"/>
      <name val="Tahoma"/>
      <family val="2"/>
    </font>
    <font>
      <b/>
      <i/>
      <sz val="10"/>
      <color rgb="FFFF0000"/>
      <name val="Arial"/>
      <family val="2"/>
    </font>
    <font>
      <sz val="10"/>
      <color rgb="FF0000CC"/>
      <name val="Tahoma"/>
      <family val="2"/>
    </font>
    <font>
      <b/>
      <sz val="10"/>
      <color rgb="FF0000CC"/>
      <name val="Tahoma"/>
      <family val="2"/>
    </font>
    <font>
      <u/>
      <sz val="10"/>
      <color rgb="FFFF0000"/>
      <name val="Tahoma"/>
      <family val="2"/>
    </font>
    <font>
      <b/>
      <u val="singleAccounting"/>
      <sz val="10"/>
      <name val="Arial"/>
      <family val="2"/>
    </font>
    <font>
      <b/>
      <u/>
      <sz val="10"/>
      <color theme="1"/>
      <name val="Arial"/>
      <family val="2"/>
    </font>
    <font>
      <sz val="10"/>
      <name val="Arial "/>
    </font>
    <font>
      <b/>
      <u/>
      <sz val="10"/>
      <color rgb="FFC00000"/>
      <name val="Arial"/>
      <family val="2"/>
    </font>
    <font>
      <sz val="9"/>
      <color theme="1"/>
      <name val="Arial"/>
      <family val="2"/>
    </font>
    <font>
      <b/>
      <sz val="9"/>
      <color indexed="81"/>
      <name val="Tahoma"/>
      <family val="2"/>
    </font>
    <font>
      <sz val="9"/>
      <color indexed="81"/>
      <name val="Tahoma"/>
      <family val="2"/>
    </font>
    <font>
      <u val="singleAccounting"/>
      <sz val="9"/>
      <name val="Arial"/>
      <family val="2"/>
    </font>
    <font>
      <u val="doubleAccounting"/>
      <sz val="9"/>
      <name val="Arial"/>
      <family val="2"/>
    </font>
    <font>
      <sz val="9"/>
      <name val="Helv"/>
    </font>
    <font>
      <b/>
      <sz val="9"/>
      <color rgb="FFFF0000"/>
      <name val="Arial"/>
      <family val="2"/>
    </font>
  </fonts>
  <fills count="21">
    <fill>
      <patternFill patternType="none"/>
    </fill>
    <fill>
      <patternFill patternType="gray125"/>
    </fill>
    <fill>
      <patternFill patternType="mediumGray">
        <fgColor indexed="22"/>
      </patternFill>
    </fill>
    <fill>
      <patternFill patternType="solid">
        <fgColor indexed="22"/>
        <bgColor indexed="64"/>
      </patternFill>
    </fill>
    <fill>
      <patternFill patternType="solid">
        <fgColor rgb="FFFFFF99"/>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CFFCC"/>
        <bgColor indexed="64"/>
      </patternFill>
    </fill>
    <fill>
      <patternFill patternType="solid">
        <fgColor theme="1"/>
        <bgColor indexed="64"/>
      </patternFill>
    </fill>
  </fills>
  <borders count="26">
    <border>
      <left/>
      <right/>
      <top/>
      <bottom/>
      <diagonal/>
    </border>
    <border>
      <left/>
      <right/>
      <top style="double">
        <color indexed="64"/>
      </top>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style="thin">
        <color indexed="8"/>
      </top>
      <bottom/>
      <diagonal/>
    </border>
    <border>
      <left/>
      <right/>
      <top style="thin">
        <color indexed="64"/>
      </top>
      <bottom style="thin">
        <color indexed="8"/>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bottom style="thin">
        <color indexed="8"/>
      </bottom>
      <diagonal/>
    </border>
    <border>
      <left/>
      <right/>
      <top/>
      <bottom style="thin">
        <color indexed="64"/>
      </bottom>
      <diagonal/>
    </border>
  </borders>
  <cellStyleXfs count="238">
    <xf numFmtId="0" fontId="0" fillId="0" borderId="0"/>
    <xf numFmtId="0" fontId="7" fillId="0" borderId="0"/>
    <xf numFmtId="0" fontId="7" fillId="0" borderId="0"/>
    <xf numFmtId="0" fontId="7" fillId="0" borderId="0"/>
    <xf numFmtId="0" fontId="20" fillId="0" borderId="0" applyNumberFormat="0" applyFill="0" applyBorder="0" applyAlignment="0" applyProtection="0"/>
    <xf numFmtId="0" fontId="20" fillId="0" borderId="0" applyNumberFormat="0" applyFill="0" applyBorder="0" applyAlignment="0" applyProtection="0"/>
    <xf numFmtId="0" fontId="7" fillId="0" borderId="0"/>
    <xf numFmtId="171" fontId="15" fillId="0" borderId="0" applyFill="0"/>
    <xf numFmtId="171" fontId="15" fillId="0" borderId="0">
      <alignment horizontal="center"/>
    </xf>
    <xf numFmtId="0" fontId="15" fillId="0" borderId="0" applyFill="0">
      <alignment horizontal="center"/>
    </xf>
    <xf numFmtId="171" fontId="21" fillId="0" borderId="1" applyFill="0"/>
    <xf numFmtId="0" fontId="7" fillId="0" borderId="0" applyFont="0" applyAlignment="0"/>
    <xf numFmtId="0" fontId="22" fillId="0" borderId="0" applyFill="0">
      <alignment vertical="top"/>
    </xf>
    <xf numFmtId="0" fontId="21" fillId="0" borderId="0" applyFill="0">
      <alignment horizontal="left" vertical="top"/>
    </xf>
    <xf numFmtId="171" fontId="23" fillId="0" borderId="2" applyFill="0"/>
    <xf numFmtId="0" fontId="7" fillId="0" borderId="0" applyNumberFormat="0" applyFont="0" applyAlignment="0"/>
    <xf numFmtId="0" fontId="22" fillId="0" borderId="0" applyFill="0">
      <alignment wrapText="1"/>
    </xf>
    <xf numFmtId="0" fontId="21" fillId="0" borderId="0" applyFill="0">
      <alignment horizontal="left" vertical="top" wrapText="1"/>
    </xf>
    <xf numFmtId="171" fontId="24" fillId="0" borderId="0" applyFill="0"/>
    <xf numFmtId="0" fontId="25" fillId="0" borderId="0" applyNumberFormat="0" applyFont="0" applyAlignment="0">
      <alignment horizontal="center"/>
    </xf>
    <xf numFmtId="0" fontId="26" fillId="0" borderId="0" applyFill="0">
      <alignment vertical="top" wrapText="1"/>
    </xf>
    <xf numFmtId="0" fontId="23" fillId="0" borderId="0" applyFill="0">
      <alignment horizontal="left" vertical="top" wrapText="1"/>
    </xf>
    <xf numFmtId="171" fontId="7" fillId="0" borderId="0" applyFill="0"/>
    <xf numFmtId="0" fontId="25" fillId="0" borderId="0" applyNumberFormat="0" applyFont="0" applyAlignment="0">
      <alignment horizontal="center"/>
    </xf>
    <xf numFmtId="0" fontId="27" fillId="0" borderId="0" applyFill="0">
      <alignment vertical="center" wrapText="1"/>
    </xf>
    <xf numFmtId="0" fontId="28" fillId="0" borderId="0">
      <alignment horizontal="left" vertical="center" wrapText="1"/>
    </xf>
    <xf numFmtId="171" fontId="29" fillId="0" borderId="0" applyFill="0"/>
    <xf numFmtId="0" fontId="25" fillId="0" borderId="0" applyNumberFormat="0" applyFont="0" applyAlignment="0">
      <alignment horizontal="center"/>
    </xf>
    <xf numFmtId="0" fontId="30" fillId="0" borderId="0" applyFill="0">
      <alignment horizontal="center" vertical="center" wrapText="1"/>
    </xf>
    <xf numFmtId="0" fontId="8" fillId="0" borderId="0" applyFill="0">
      <alignment horizontal="center" vertical="center" wrapText="1"/>
    </xf>
    <xf numFmtId="171" fontId="31" fillId="0" borderId="0" applyFill="0"/>
    <xf numFmtId="0" fontId="25" fillId="0" borderId="0" applyNumberFormat="0" applyFont="0" applyAlignment="0">
      <alignment horizontal="center"/>
    </xf>
    <xf numFmtId="0" fontId="32" fillId="0" borderId="0" applyFill="0">
      <alignment horizontal="center" vertical="center" wrapText="1"/>
    </xf>
    <xf numFmtId="0" fontId="33" fillId="0" borderId="0" applyFill="0">
      <alignment horizontal="center" vertical="center" wrapText="1"/>
    </xf>
    <xf numFmtId="171" fontId="34" fillId="0" borderId="0" applyFill="0"/>
    <xf numFmtId="0" fontId="25" fillId="0" borderId="0" applyNumberFormat="0" applyFont="0" applyAlignment="0">
      <alignment horizontal="center"/>
    </xf>
    <xf numFmtId="0" fontId="35" fillId="0" borderId="0">
      <alignment horizontal="center" wrapText="1"/>
    </xf>
    <xf numFmtId="0" fontId="31" fillId="0" borderId="0" applyFill="0">
      <alignment horizontal="center"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70" fontId="7" fillId="0" borderId="0" applyFont="0" applyFill="0" applyBorder="0" applyAlignment="0" applyProtection="0"/>
    <xf numFmtId="0" fontId="8" fillId="0" borderId="0"/>
    <xf numFmtId="37" fontId="13" fillId="0" borderId="0"/>
    <xf numFmtId="0" fontId="14" fillId="0" borderId="0"/>
    <xf numFmtId="0" fontId="9" fillId="0" borderId="0"/>
    <xf numFmtId="0" fontId="59" fillId="0" borderId="0"/>
    <xf numFmtId="0" fontId="8" fillId="0" borderId="0"/>
    <xf numFmtId="0" fontId="13" fillId="0" borderId="0"/>
    <xf numFmtId="0" fontId="9" fillId="0" borderId="0"/>
    <xf numFmtId="0" fontId="9" fillId="0" borderId="0"/>
    <xf numFmtId="0" fontId="9" fillId="0" borderId="0"/>
    <xf numFmtId="0" fontId="9" fillId="0" borderId="0"/>
    <xf numFmtId="0" fontId="9" fillId="0" borderId="0"/>
    <xf numFmtId="37" fontId="9" fillId="0" borderId="0"/>
    <xf numFmtId="0" fontId="9" fillId="0" borderId="0"/>
    <xf numFmtId="0" fontId="54" fillId="0" borderId="0"/>
    <xf numFmtId="37" fontId="13" fillId="0" borderId="0" applyFill="0" applyBorder="0"/>
    <xf numFmtId="0" fontId="14" fillId="0" borderId="0"/>
    <xf numFmtId="0" fontId="13" fillId="0" borderId="0"/>
    <xf numFmtId="0" fontId="13" fillId="0" borderId="0"/>
    <xf numFmtId="0" fontId="55" fillId="0" borderId="0"/>
    <xf numFmtId="0" fontId="56" fillId="0" borderId="0"/>
    <xf numFmtId="0" fontId="47" fillId="0" borderId="0"/>
    <xf numFmtId="0" fontId="55" fillId="0" borderId="0"/>
    <xf numFmtId="0" fontId="47" fillId="0" borderId="0"/>
    <xf numFmtId="0" fontId="13" fillId="0" borderId="0" applyFill="0" applyBorder="0"/>
    <xf numFmtId="0" fontId="13" fillId="0" borderId="0"/>
    <xf numFmtId="0" fontId="14" fillId="0" borderId="0"/>
    <xf numFmtId="9" fontId="8" fillId="0" borderId="0" applyFont="0" applyFill="0" applyBorder="0" applyAlignment="0" applyProtection="0"/>
    <xf numFmtId="9" fontId="8" fillId="0" borderId="0" applyFont="0" applyFill="0" applyBorder="0" applyAlignment="0" applyProtection="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37" fillId="0" borderId="3">
      <alignment horizontal="center"/>
    </xf>
    <xf numFmtId="3" fontId="36" fillId="0" borderId="0" applyFont="0" applyFill="0" applyBorder="0" applyAlignment="0" applyProtection="0"/>
    <xf numFmtId="0" fontId="36" fillId="2" borderId="0" applyNumberFormat="0" applyFont="0" applyBorder="0" applyAlignment="0" applyProtection="0"/>
    <xf numFmtId="39" fontId="15" fillId="3" borderId="0" applyFill="0"/>
    <xf numFmtId="0" fontId="38" fillId="0" borderId="0">
      <alignment horizontal="left" indent="7"/>
    </xf>
    <xf numFmtId="0" fontId="15" fillId="0" borderId="0" applyFill="0">
      <alignment horizontal="left" indent="7"/>
    </xf>
    <xf numFmtId="7" fontId="39" fillId="0" borderId="4" applyFill="0">
      <alignment horizontal="right"/>
    </xf>
    <xf numFmtId="0" fontId="23" fillId="0" borderId="0" applyNumberFormat="0">
      <alignment horizontal="right"/>
    </xf>
    <xf numFmtId="0" fontId="40" fillId="0" borderId="4" applyFont="0" applyFill="0"/>
    <xf numFmtId="0" fontId="23" fillId="0" borderId="4" applyFill="0"/>
    <xf numFmtId="39" fontId="39" fillId="0" borderId="0" applyFill="0"/>
    <xf numFmtId="0" fontId="7" fillId="0" borderId="0" applyNumberFormat="0" applyFont="0" applyBorder="0" applyAlignment="0"/>
    <xf numFmtId="0" fontId="26" fillId="0" borderId="0" applyFill="0">
      <alignment horizontal="left" indent="1"/>
    </xf>
    <xf numFmtId="0" fontId="23" fillId="0" borderId="0" applyFill="0">
      <alignment horizontal="left" indent="1"/>
    </xf>
    <xf numFmtId="39" fontId="29" fillId="0" borderId="0" applyFill="0"/>
    <xf numFmtId="0" fontId="7" fillId="0" borderId="0" applyNumberFormat="0" applyFont="0" applyFill="0" applyBorder="0" applyAlignment="0"/>
    <xf numFmtId="0" fontId="26" fillId="0" borderId="0" applyFill="0">
      <alignment horizontal="left" indent="2"/>
    </xf>
    <xf numFmtId="0" fontId="41" fillId="0" borderId="0" applyFill="0">
      <alignment horizontal="left" indent="2"/>
    </xf>
    <xf numFmtId="39" fontId="29"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39" fontId="29" fillId="0" borderId="0" applyFill="0"/>
    <xf numFmtId="0" fontId="7" fillId="0" borderId="0" applyNumberFormat="0" applyFont="0" applyBorder="0" applyAlignment="0"/>
    <xf numFmtId="0" fontId="30" fillId="0" borderId="0">
      <alignment horizontal="left" indent="4"/>
    </xf>
    <xf numFmtId="0" fontId="8" fillId="0" borderId="0" applyFill="0">
      <alignment horizontal="left" indent="4"/>
    </xf>
    <xf numFmtId="39" fontId="29" fillId="0" borderId="0" applyFill="0"/>
    <xf numFmtId="0" fontId="7" fillId="0" borderId="0" applyNumberFormat="0" applyFont="0" applyBorder="0" applyAlignment="0"/>
    <xf numFmtId="0" fontId="32" fillId="0" borderId="0">
      <alignment horizontal="left" indent="5"/>
    </xf>
    <xf numFmtId="0" fontId="33" fillId="0" borderId="0" applyFill="0">
      <alignment horizontal="left" indent="5"/>
    </xf>
    <xf numFmtId="39" fontId="34" fillId="0" borderId="0" applyFill="0"/>
    <xf numFmtId="0" fontId="7" fillId="0" borderId="0" applyNumberFormat="0" applyFont="0" applyFill="0" applyBorder="0" applyAlignment="0"/>
    <xf numFmtId="0" fontId="35" fillId="0" borderId="0" applyFill="0">
      <alignment horizontal="left" indent="6"/>
    </xf>
    <xf numFmtId="0" fontId="31" fillId="0" borderId="0" applyFill="0">
      <alignment horizontal="left" indent="6"/>
    </xf>
    <xf numFmtId="0" fontId="44"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9" fillId="0" borderId="0"/>
    <xf numFmtId="43" fontId="69" fillId="0" borderId="0" applyFont="0" applyFill="0" applyBorder="0" applyAlignment="0" applyProtection="0"/>
    <xf numFmtId="43" fontId="13" fillId="0" borderId="0" applyFont="0" applyFill="0" applyBorder="0" applyAlignment="0" applyProtection="0"/>
    <xf numFmtId="0" fontId="74" fillId="0" borderId="0" applyNumberFormat="0" applyFill="0" applyBorder="0" applyAlignment="0" applyProtection="0"/>
    <xf numFmtId="0" fontId="67"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13" fillId="0" borderId="0"/>
    <xf numFmtId="0" fontId="13" fillId="0" borderId="0"/>
    <xf numFmtId="0" fontId="2" fillId="0" borderId="0"/>
    <xf numFmtId="0" fontId="14" fillId="0" borderId="0"/>
    <xf numFmtId="43" fontId="2" fillId="0" borderId="0" applyFont="0" applyFill="0" applyBorder="0" applyAlignment="0" applyProtection="0"/>
    <xf numFmtId="0" fontId="8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87" fillId="0" borderId="0" applyFont="0" applyFill="0" applyBorder="0" applyAlignment="0" applyProtection="0"/>
  </cellStyleXfs>
  <cellXfs count="1359">
    <xf numFmtId="0" fontId="0" fillId="0" borderId="0" xfId="0"/>
    <xf numFmtId="0" fontId="10" fillId="0" borderId="0" xfId="0" applyFont="1"/>
    <xf numFmtId="0" fontId="11" fillId="0" borderId="0" xfId="163" applyFont="1" applyAlignment="1">
      <alignment horizontal="left"/>
    </xf>
    <xf numFmtId="0" fontId="11" fillId="0" borderId="0" xfId="163" applyFont="1"/>
    <xf numFmtId="0" fontId="7" fillId="0" borderId="0" xfId="0" applyFont="1" applyAlignment="1">
      <alignment horizontal="left"/>
    </xf>
    <xf numFmtId="0" fontId="7" fillId="0" borderId="0" xfId="0" applyFont="1"/>
    <xf numFmtId="0" fontId="7" fillId="0" borderId="0" xfId="0" applyFont="1" applyAlignment="1">
      <alignment horizontal="center"/>
    </xf>
    <xf numFmtId="0" fontId="15" fillId="0" borderId="0" xfId="0" applyFont="1"/>
    <xf numFmtId="166" fontId="7" fillId="0" borderId="0" xfId="163" applyNumberFormat="1" applyFont="1" applyAlignment="1">
      <alignment horizontal="left"/>
    </xf>
    <xf numFmtId="0" fontId="7" fillId="0" borderId="0" xfId="163" applyFont="1"/>
    <xf numFmtId="0" fontId="7" fillId="0" borderId="0" xfId="163" applyFont="1" applyAlignment="1">
      <alignment horizontal="left"/>
    </xf>
    <xf numFmtId="0" fontId="7" fillId="0" borderId="0" xfId="205"/>
    <xf numFmtId="0" fontId="17" fillId="0" borderId="0" xfId="0" applyFont="1" applyAlignment="1">
      <alignment horizontal="center" vertical="center"/>
    </xf>
    <xf numFmtId="0" fontId="65" fillId="0" borderId="0" xfId="0" applyFont="1"/>
    <xf numFmtId="0" fontId="65" fillId="0" borderId="2" xfId="0" applyFont="1" applyBorder="1" applyAlignment="1">
      <alignment horizontal="center"/>
    </xf>
    <xf numFmtId="0" fontId="65" fillId="0" borderId="0" xfId="0" applyFont="1" applyAlignment="1">
      <alignment horizontal="center"/>
    </xf>
    <xf numFmtId="0" fontId="65" fillId="0" borderId="10" xfId="0" applyFont="1" applyBorder="1" applyAlignment="1">
      <alignment horizontal="center"/>
    </xf>
    <xf numFmtId="0" fontId="12" fillId="0" borderId="3" xfId="0" applyFont="1" applyBorder="1" applyAlignment="1">
      <alignment horizontal="center"/>
    </xf>
    <xf numFmtId="0" fontId="61" fillId="0" borderId="0" xfId="163" applyFont="1" applyAlignment="1">
      <alignment horizontal="left"/>
    </xf>
    <xf numFmtId="0" fontId="7" fillId="0" borderId="0" xfId="163" applyFont="1" applyAlignment="1">
      <alignment horizontal="left" indent="3"/>
    </xf>
    <xf numFmtId="0" fontId="61" fillId="0" borderId="0" xfId="0" applyFont="1"/>
    <xf numFmtId="0" fontId="7" fillId="0" borderId="0" xfId="163" applyFont="1" applyAlignment="1">
      <alignment horizontal="left" indent="5"/>
    </xf>
    <xf numFmtId="0" fontId="61" fillId="0" borderId="0" xfId="163" quotePrefix="1" applyFont="1" applyAlignment="1">
      <alignment horizontal="left"/>
    </xf>
    <xf numFmtId="0" fontId="7" fillId="0" borderId="0" xfId="0" applyFont="1" applyAlignment="1">
      <alignment horizontal="right"/>
    </xf>
    <xf numFmtId="167" fontId="12" fillId="0" borderId="0" xfId="211" applyNumberFormat="1" applyFont="1" applyFill="1" applyBorder="1" applyAlignment="1">
      <alignment horizontal="center" vertical="center"/>
    </xf>
    <xf numFmtId="167" fontId="65" fillId="0" borderId="10" xfId="211" applyNumberFormat="1" applyFont="1" applyBorder="1"/>
    <xf numFmtId="167" fontId="7" fillId="0" borderId="0" xfId="211" applyNumberFormat="1" applyFont="1"/>
    <xf numFmtId="37" fontId="62" fillId="0" borderId="0" xfId="0" applyNumberFormat="1" applyFont="1"/>
    <xf numFmtId="167" fontId="7" fillId="0" borderId="0" xfId="0" applyNumberFormat="1" applyFont="1"/>
    <xf numFmtId="0" fontId="7" fillId="0" borderId="0" xfId="145" applyFont="1" applyAlignment="1">
      <alignment horizontal="left"/>
    </xf>
    <xf numFmtId="0" fontId="12" fillId="0" borderId="0" xfId="0" applyFont="1" applyAlignment="1">
      <alignment horizontal="center"/>
    </xf>
    <xf numFmtId="167" fontId="62" fillId="0" borderId="0" xfId="211" applyNumberFormat="1" applyFont="1"/>
    <xf numFmtId="37" fontId="7" fillId="0" borderId="0" xfId="139" applyFont="1" applyAlignment="1">
      <alignment vertical="center"/>
    </xf>
    <xf numFmtId="0" fontId="66" fillId="0" borderId="0" xfId="0" applyFont="1" applyAlignment="1">
      <alignment horizontal="center"/>
    </xf>
    <xf numFmtId="0" fontId="61" fillId="0" borderId="0" xfId="0" applyFont="1" applyAlignment="1">
      <alignment horizontal="center"/>
    </xf>
    <xf numFmtId="0" fontId="73" fillId="0" borderId="0" xfId="213" applyFont="1" applyAlignment="1">
      <alignment horizontal="right"/>
    </xf>
    <xf numFmtId="0" fontId="28" fillId="0" borderId="0" xfId="213" applyFont="1" applyAlignment="1">
      <alignment horizontal="center" vertical="center"/>
    </xf>
    <xf numFmtId="0" fontId="28" fillId="0" borderId="0" xfId="213" applyFont="1" applyAlignment="1">
      <alignment vertical="center" wrapText="1"/>
    </xf>
    <xf numFmtId="0" fontId="28" fillId="0" borderId="0" xfId="213" applyFont="1" applyAlignment="1">
      <alignment vertical="center"/>
    </xf>
    <xf numFmtId="0" fontId="7" fillId="0" borderId="0" xfId="0" applyFont="1" applyAlignment="1">
      <alignment horizontal="center" vertical="center" wrapText="1"/>
    </xf>
    <xf numFmtId="0" fontId="66" fillId="0" borderId="0" xfId="0" applyFont="1"/>
    <xf numFmtId="0" fontId="76" fillId="0" borderId="0" xfId="218" applyFont="1"/>
    <xf numFmtId="0" fontId="76" fillId="0" borderId="0" xfId="218" applyFont="1" applyAlignment="1">
      <alignment horizontal="left"/>
    </xf>
    <xf numFmtId="0" fontId="76" fillId="0" borderId="0" xfId="218" applyFont="1" applyAlignment="1">
      <alignment horizontal="center"/>
    </xf>
    <xf numFmtId="0" fontId="76" fillId="10" borderId="0" xfId="218" applyFont="1" applyFill="1" applyAlignment="1">
      <alignment horizontal="center"/>
    </xf>
    <xf numFmtId="0" fontId="77" fillId="5" borderId="0" xfId="218" applyFont="1" applyFill="1"/>
    <xf numFmtId="0" fontId="77" fillId="5" borderId="0" xfId="218" applyFont="1" applyFill="1" applyAlignment="1">
      <alignment horizontal="left"/>
    </xf>
    <xf numFmtId="186" fontId="77" fillId="5" borderId="0" xfId="218" applyNumberFormat="1" applyFont="1" applyFill="1" applyAlignment="1">
      <alignment horizontal="center"/>
    </xf>
    <xf numFmtId="186" fontId="77" fillId="10" borderId="0" xfId="218" applyNumberFormat="1" applyFont="1" applyFill="1" applyAlignment="1">
      <alignment horizontal="center"/>
    </xf>
    <xf numFmtId="0" fontId="77" fillId="11" borderId="0" xfId="218" applyFont="1" applyFill="1"/>
    <xf numFmtId="186" fontId="77" fillId="11" borderId="0" xfId="218" applyNumberFormat="1" applyFont="1" applyFill="1" applyAlignment="1">
      <alignment horizontal="center"/>
    </xf>
    <xf numFmtId="0" fontId="78" fillId="5" borderId="0" xfId="218" applyFont="1" applyFill="1"/>
    <xf numFmtId="0" fontId="76" fillId="5" borderId="0" xfId="218" applyFont="1" applyFill="1"/>
    <xf numFmtId="0" fontId="76" fillId="10" borderId="0" xfId="218" applyFont="1" applyFill="1"/>
    <xf numFmtId="0" fontId="78" fillId="0" borderId="0" xfId="218" applyFont="1"/>
    <xf numFmtId="186" fontId="77" fillId="7" borderId="0" xfId="218" applyNumberFormat="1" applyFont="1" applyFill="1" applyAlignment="1">
      <alignment horizontal="center"/>
    </xf>
    <xf numFmtId="190" fontId="76" fillId="10" borderId="0" xfId="218" applyNumberFormat="1" applyFont="1" applyFill="1"/>
    <xf numFmtId="0" fontId="5" fillId="0" borderId="0" xfId="218"/>
    <xf numFmtId="2" fontId="5" fillId="0" borderId="0" xfId="218" applyNumberFormat="1" applyAlignment="1">
      <alignment horizontal="left"/>
    </xf>
    <xf numFmtId="39" fontId="5" fillId="0" borderId="0" xfId="218" applyNumberFormat="1"/>
    <xf numFmtId="39" fontId="79" fillId="0" borderId="0" xfId="218" applyNumberFormat="1" applyFont="1"/>
    <xf numFmtId="0" fontId="76" fillId="12" borderId="0" xfId="218" applyFont="1" applyFill="1"/>
    <xf numFmtId="0" fontId="76" fillId="12" borderId="0" xfId="218" applyFont="1" applyFill="1" applyAlignment="1">
      <alignment horizontal="left"/>
    </xf>
    <xf numFmtId="39" fontId="76" fillId="12" borderId="0" xfId="218" applyNumberFormat="1" applyFont="1" applyFill="1"/>
    <xf numFmtId="39" fontId="76" fillId="0" borderId="0" xfId="218" applyNumberFormat="1" applyFont="1"/>
    <xf numFmtId="39" fontId="77" fillId="12" borderId="0" xfId="218" applyNumberFormat="1" applyFont="1" applyFill="1"/>
    <xf numFmtId="39" fontId="77" fillId="0" borderId="0" xfId="218" applyNumberFormat="1" applyFont="1"/>
    <xf numFmtId="2" fontId="5" fillId="13" borderId="0" xfId="218" applyNumberFormat="1" applyFill="1" applyAlignment="1">
      <alignment horizontal="left"/>
    </xf>
    <xf numFmtId="0" fontId="5" fillId="13" borderId="0" xfId="218" applyFill="1"/>
    <xf numFmtId="39" fontId="5" fillId="13" borderId="0" xfId="218" applyNumberFormat="1" applyFill="1"/>
    <xf numFmtId="39" fontId="79" fillId="13" borderId="0" xfId="218" applyNumberFormat="1" applyFont="1" applyFill="1"/>
    <xf numFmtId="2" fontId="5" fillId="9" borderId="0" xfId="218" applyNumberFormat="1" applyFill="1" applyAlignment="1">
      <alignment horizontal="left"/>
    </xf>
    <xf numFmtId="0" fontId="5" fillId="9" borderId="0" xfId="218" applyFill="1"/>
    <xf numFmtId="39" fontId="5" fillId="9" borderId="0" xfId="218" applyNumberFormat="1" applyFill="1"/>
    <xf numFmtId="39" fontId="79" fillId="9" borderId="0" xfId="218" applyNumberFormat="1" applyFont="1" applyFill="1"/>
    <xf numFmtId="2" fontId="5" fillId="8" borderId="0" xfId="218" applyNumberFormat="1" applyFill="1" applyAlignment="1">
      <alignment horizontal="left"/>
    </xf>
    <xf numFmtId="0" fontId="5" fillId="8" borderId="0" xfId="218" applyFill="1"/>
    <xf numFmtId="39" fontId="5" fillId="8" borderId="0" xfId="218" applyNumberFormat="1" applyFill="1"/>
    <xf numFmtId="39" fontId="79" fillId="8" borderId="0" xfId="218" applyNumberFormat="1" applyFont="1" applyFill="1"/>
    <xf numFmtId="39" fontId="5" fillId="5" borderId="0" xfId="218" applyNumberFormat="1" applyFill="1"/>
    <xf numFmtId="0" fontId="76" fillId="6" borderId="0" xfId="218" applyFont="1" applyFill="1"/>
    <xf numFmtId="0" fontId="76" fillId="6" borderId="0" xfId="218" applyFont="1" applyFill="1" applyAlignment="1">
      <alignment horizontal="left"/>
    </xf>
    <xf numFmtId="39" fontId="76" fillId="6" borderId="0" xfId="218" applyNumberFormat="1" applyFont="1" applyFill="1"/>
    <xf numFmtId="39" fontId="77" fillId="6" borderId="0" xfId="218" applyNumberFormat="1" applyFont="1" applyFill="1"/>
    <xf numFmtId="39" fontId="76" fillId="0" borderId="0" xfId="219" applyNumberFormat="1" applyFont="1"/>
    <xf numFmtId="39" fontId="76" fillId="0" borderId="0" xfId="219" applyNumberFormat="1" applyFont="1" applyBorder="1"/>
    <xf numFmtId="39" fontId="76" fillId="0" borderId="10" xfId="218" applyNumberFormat="1" applyFont="1" applyBorder="1"/>
    <xf numFmtId="0" fontId="5" fillId="0" borderId="0" xfId="218" applyAlignment="1">
      <alignment horizontal="right"/>
    </xf>
    <xf numFmtId="0" fontId="5" fillId="5" borderId="0" xfId="218" applyFill="1"/>
    <xf numFmtId="37" fontId="5" fillId="0" borderId="0" xfId="218" applyNumberFormat="1"/>
    <xf numFmtId="0" fontId="28" fillId="0" borderId="0" xfId="220" applyFont="1"/>
    <xf numFmtId="0" fontId="23" fillId="0" borderId="0" xfId="220" applyFont="1" applyAlignment="1">
      <alignment horizontal="right"/>
    </xf>
    <xf numFmtId="0" fontId="80" fillId="0" borderId="0" xfId="220" applyFont="1"/>
    <xf numFmtId="0" fontId="23" fillId="0" borderId="0" xfId="220" applyFont="1" applyAlignment="1">
      <alignment horizontal="center"/>
    </xf>
    <xf numFmtId="0" fontId="23" fillId="0" borderId="0" xfId="220" applyFont="1"/>
    <xf numFmtId="43" fontId="28" fillId="0" borderId="0" xfId="221" applyFont="1" applyFill="1"/>
    <xf numFmtId="0" fontId="80" fillId="0" borderId="0" xfId="220" applyFont="1" applyAlignment="1">
      <alignment horizontal="center"/>
    </xf>
    <xf numFmtId="43" fontId="28" fillId="0" borderId="0" xfId="220" applyNumberFormat="1" applyFont="1"/>
    <xf numFmtId="0" fontId="71" fillId="0" borderId="0" xfId="220" applyFont="1"/>
    <xf numFmtId="167" fontId="28" fillId="0" borderId="0" xfId="221" applyNumberFormat="1" applyFont="1" applyFill="1"/>
    <xf numFmtId="167" fontId="28" fillId="0" borderId="0" xfId="220" applyNumberFormat="1" applyFont="1"/>
    <xf numFmtId="167" fontId="28" fillId="0" borderId="2" xfId="221" applyNumberFormat="1" applyFont="1" applyFill="1" applyBorder="1"/>
    <xf numFmtId="167" fontId="28" fillId="0" borderId="0" xfId="221" applyNumberFormat="1" applyFont="1" applyFill="1" applyBorder="1"/>
    <xf numFmtId="167" fontId="81" fillId="0" borderId="0" xfId="221" applyNumberFormat="1" applyFont="1" applyFill="1"/>
    <xf numFmtId="167" fontId="66" fillId="0" borderId="0" xfId="0" applyNumberFormat="1" applyFont="1"/>
    <xf numFmtId="0" fontId="83" fillId="0" borderId="0" xfId="216" applyFont="1"/>
    <xf numFmtId="0" fontId="68" fillId="0" borderId="0" xfId="0" applyFont="1" applyAlignment="1">
      <alignment horizontal="center"/>
    </xf>
    <xf numFmtId="0" fontId="7" fillId="14" borderId="0" xfId="0" applyFont="1" applyFill="1"/>
    <xf numFmtId="0" fontId="63" fillId="14" borderId="0" xfId="211" applyNumberFormat="1" applyFont="1" applyFill="1" applyAlignment="1">
      <alignment horizontal="center"/>
    </xf>
    <xf numFmtId="0" fontId="63" fillId="14" borderId="0" xfId="0" applyFont="1" applyFill="1" applyAlignment="1">
      <alignment horizontal="left"/>
    </xf>
    <xf numFmtId="167" fontId="7" fillId="14" borderId="0" xfId="211" applyNumberFormat="1" applyFont="1" applyFill="1"/>
    <xf numFmtId="167" fontId="62" fillId="0" borderId="0" xfId="211" applyNumberFormat="1" applyFont="1" applyFill="1" applyAlignment="1">
      <alignment wrapText="1"/>
    </xf>
    <xf numFmtId="167" fontId="7" fillId="0" borderId="0" xfId="211" applyNumberFormat="1" applyFont="1" applyFill="1" applyAlignment="1">
      <alignment wrapText="1"/>
    </xf>
    <xf numFmtId="167" fontId="7" fillId="0" borderId="0" xfId="211" applyNumberFormat="1" applyFont="1" applyFill="1" applyAlignment="1"/>
    <xf numFmtId="167" fontId="63" fillId="14" borderId="0" xfId="211" applyNumberFormat="1" applyFont="1" applyFill="1"/>
    <xf numFmtId="167" fontId="7" fillId="15" borderId="0" xfId="211" applyNumberFormat="1" applyFont="1" applyFill="1"/>
    <xf numFmtId="167" fontId="62" fillId="0" borderId="0" xfId="211" applyNumberFormat="1" applyFont="1" applyFill="1" applyAlignment="1"/>
    <xf numFmtId="0" fontId="62" fillId="0" borderId="0" xfId="0" applyFont="1" applyAlignment="1">
      <alignment horizontal="right"/>
    </xf>
    <xf numFmtId="167" fontId="62" fillId="0" borderId="0" xfId="0" applyNumberFormat="1" applyFont="1"/>
    <xf numFmtId="167" fontId="85" fillId="14" borderId="0" xfId="211" applyNumberFormat="1" applyFont="1" applyFill="1"/>
    <xf numFmtId="167" fontId="12" fillId="15" borderId="0" xfId="211" applyNumberFormat="1" applyFont="1" applyFill="1"/>
    <xf numFmtId="0" fontId="85" fillId="14" borderId="0" xfId="211" applyNumberFormat="1" applyFont="1" applyFill="1" applyAlignment="1">
      <alignment horizontal="center"/>
    </xf>
    <xf numFmtId="0" fontId="85" fillId="14" borderId="0" xfId="0" applyFont="1" applyFill="1" applyAlignment="1">
      <alignment horizontal="left"/>
    </xf>
    <xf numFmtId="167" fontId="12" fillId="14" borderId="0" xfId="211" applyNumberFormat="1" applyFont="1" applyFill="1"/>
    <xf numFmtId="0" fontId="62" fillId="0" borderId="0" xfId="0" applyFont="1" applyAlignment="1">
      <alignment horizontal="center"/>
    </xf>
    <xf numFmtId="0" fontId="12" fillId="14" borderId="0" xfId="0" applyFont="1" applyFill="1"/>
    <xf numFmtId="167" fontId="7" fillId="0" borderId="0" xfId="0" applyNumberFormat="1" applyFont="1" applyAlignment="1">
      <alignment horizontal="center"/>
    </xf>
    <xf numFmtId="167" fontId="12" fillId="0" borderId="0" xfId="0" applyNumberFormat="1" applyFont="1"/>
    <xf numFmtId="167" fontId="12" fillId="0" borderId="0" xfId="211" applyNumberFormat="1" applyFont="1" applyFill="1" applyAlignment="1">
      <alignment wrapText="1"/>
    </xf>
    <xf numFmtId="167" fontId="12" fillId="0" borderId="0" xfId="211" applyNumberFormat="1" applyFont="1"/>
    <xf numFmtId="167" fontId="12" fillId="0" borderId="0" xfId="211" applyNumberFormat="1" applyFont="1" applyFill="1" applyAlignment="1"/>
    <xf numFmtId="167" fontId="82" fillId="0" borderId="0" xfId="211" applyNumberFormat="1" applyFont="1" applyFill="1" applyAlignment="1"/>
    <xf numFmtId="0" fontId="68" fillId="4" borderId="0" xfId="0" applyFont="1" applyFill="1" applyAlignment="1">
      <alignment horizontal="center"/>
    </xf>
    <xf numFmtId="0" fontId="29" fillId="0" borderId="0" xfId="161" applyFont="1" applyAlignment="1">
      <alignment vertical="center"/>
    </xf>
    <xf numFmtId="0" fontId="90" fillId="0" borderId="0" xfId="0" applyFont="1" applyAlignment="1">
      <alignment horizontal="center" wrapText="1"/>
    </xf>
    <xf numFmtId="0" fontId="91" fillId="0" borderId="0" xfId="0" applyFont="1" applyAlignment="1">
      <alignment horizontal="center"/>
    </xf>
    <xf numFmtId="167" fontId="7" fillId="15" borderId="12" xfId="211" applyNumberFormat="1" applyFont="1" applyFill="1" applyBorder="1" applyAlignment="1">
      <alignment vertical="center"/>
    </xf>
    <xf numFmtId="167" fontId="92" fillId="0" borderId="0" xfId="211" applyNumberFormat="1" applyFont="1" applyFill="1" applyAlignment="1"/>
    <xf numFmtId="167" fontId="12" fillId="15" borderId="12" xfId="211" applyNumberFormat="1" applyFont="1" applyFill="1" applyBorder="1" applyAlignment="1">
      <alignment vertical="center"/>
    </xf>
    <xf numFmtId="0" fontId="64" fillId="0" borderId="0" xfId="0" applyFont="1" applyAlignment="1">
      <alignment horizontal="center"/>
    </xf>
    <xf numFmtId="0" fontId="61" fillId="0" borderId="0" xfId="224" applyFont="1"/>
    <xf numFmtId="167" fontId="7" fillId="17" borderId="12" xfId="211" applyNumberFormat="1" applyFont="1" applyFill="1" applyBorder="1" applyAlignment="1">
      <alignment vertical="center"/>
    </xf>
    <xf numFmtId="167" fontId="12" fillId="17" borderId="12" xfId="211" applyNumberFormat="1" applyFont="1" applyFill="1" applyBorder="1" applyAlignment="1">
      <alignment vertical="center"/>
    </xf>
    <xf numFmtId="174" fontId="7" fillId="14" borderId="0" xfId="0" applyNumberFormat="1" applyFont="1" applyFill="1"/>
    <xf numFmtId="0" fontId="93" fillId="14" borderId="0" xfId="211" applyNumberFormat="1" applyFont="1" applyFill="1" applyAlignment="1">
      <alignment horizontal="center"/>
    </xf>
    <xf numFmtId="0" fontId="93" fillId="14" borderId="0" xfId="0" applyFont="1" applyFill="1" applyAlignment="1">
      <alignment horizontal="left"/>
    </xf>
    <xf numFmtId="0" fontId="94" fillId="14" borderId="0" xfId="211" applyNumberFormat="1" applyFont="1" applyFill="1" applyAlignment="1">
      <alignment horizontal="center"/>
    </xf>
    <xf numFmtId="0" fontId="94" fillId="14" borderId="0" xfId="0" applyFont="1" applyFill="1" applyAlignment="1">
      <alignment horizontal="left"/>
    </xf>
    <xf numFmtId="167" fontId="7" fillId="17" borderId="16" xfId="211" applyNumberFormat="1" applyFont="1" applyFill="1" applyBorder="1" applyAlignment="1">
      <alignment vertical="center"/>
    </xf>
    <xf numFmtId="0" fontId="28" fillId="0" borderId="0" xfId="233" applyFont="1" applyAlignment="1">
      <alignment horizontal="left"/>
    </xf>
    <xf numFmtId="0" fontId="28" fillId="0" borderId="0" xfId="233" applyFont="1"/>
    <xf numFmtId="1" fontId="28" fillId="0" borderId="0" xfId="233" applyNumberFormat="1" applyFont="1" applyAlignment="1">
      <alignment horizontal="right"/>
    </xf>
    <xf numFmtId="1" fontId="28" fillId="0" borderId="0" xfId="233" applyNumberFormat="1" applyFont="1"/>
    <xf numFmtId="0" fontId="23" fillId="0" borderId="0" xfId="233" applyFont="1" applyAlignment="1">
      <alignment horizontal="center"/>
    </xf>
    <xf numFmtId="176" fontId="28" fillId="0" borderId="0" xfId="233" applyNumberFormat="1" applyFont="1"/>
    <xf numFmtId="10" fontId="28" fillId="0" borderId="0" xfId="233" applyNumberFormat="1" applyFont="1"/>
    <xf numFmtId="0" fontId="28" fillId="0" borderId="0" xfId="233" applyFont="1" applyAlignment="1">
      <alignment horizontal="center"/>
    </xf>
    <xf numFmtId="0" fontId="70" fillId="0" borderId="0" xfId="233" applyFont="1" applyAlignment="1">
      <alignment horizontal="center"/>
    </xf>
    <xf numFmtId="193" fontId="28" fillId="0" borderId="0" xfId="208" applyNumberFormat="1" applyFont="1" applyFill="1" applyBorder="1"/>
    <xf numFmtId="0" fontId="23" fillId="0" borderId="0" xfId="233" applyFont="1" applyAlignment="1">
      <alignment horizontal="right"/>
    </xf>
    <xf numFmtId="10" fontId="23" fillId="0" borderId="0" xfId="233" applyNumberFormat="1" applyFont="1"/>
    <xf numFmtId="0" fontId="23" fillId="0" borderId="0" xfId="233" applyFont="1"/>
    <xf numFmtId="0" fontId="71" fillId="0" borderId="0" xfId="233" applyFont="1"/>
    <xf numFmtId="0" fontId="73" fillId="0" borderId="0" xfId="233" applyFont="1" applyAlignment="1">
      <alignment horizontal="left"/>
    </xf>
    <xf numFmtId="174" fontId="28" fillId="0" borderId="0" xfId="233" applyNumberFormat="1" applyFont="1"/>
    <xf numFmtId="174" fontId="23" fillId="0" borderId="0" xfId="233" applyNumberFormat="1" applyFont="1"/>
    <xf numFmtId="174" fontId="62" fillId="14" borderId="0" xfId="0" applyNumberFormat="1" applyFont="1" applyFill="1"/>
    <xf numFmtId="167" fontId="12" fillId="5" borderId="0" xfId="0" applyNumberFormat="1" applyFont="1" applyFill="1"/>
    <xf numFmtId="167" fontId="12" fillId="15" borderId="13" xfId="211" applyNumberFormat="1" applyFont="1" applyFill="1" applyBorder="1" applyAlignment="1">
      <alignment vertical="center"/>
    </xf>
    <xf numFmtId="167" fontId="12" fillId="17" borderId="13" xfId="211" applyNumberFormat="1" applyFont="1" applyFill="1" applyBorder="1" applyAlignment="1">
      <alignment vertical="center"/>
    </xf>
    <xf numFmtId="167" fontId="63" fillId="14" borderId="0" xfId="211" applyNumberFormat="1" applyFont="1" applyFill="1" applyBorder="1"/>
    <xf numFmtId="167" fontId="7" fillId="15" borderId="0" xfId="211" applyNumberFormat="1" applyFont="1" applyFill="1" applyBorder="1"/>
    <xf numFmtId="0" fontId="93" fillId="14" borderId="0" xfId="211" applyNumberFormat="1" applyFont="1" applyFill="1" applyBorder="1" applyAlignment="1">
      <alignment horizontal="center"/>
    </xf>
    <xf numFmtId="167" fontId="7" fillId="14" borderId="0" xfId="211" applyNumberFormat="1" applyFont="1" applyFill="1" applyBorder="1"/>
    <xf numFmtId="167" fontId="82" fillId="0" borderId="0" xfId="211" applyNumberFormat="1" applyFont="1" applyFill="1" applyBorder="1" applyAlignment="1"/>
    <xf numFmtId="0" fontId="12" fillId="14" borderId="3" xfId="0" applyFont="1" applyFill="1" applyBorder="1"/>
    <xf numFmtId="167" fontId="85" fillId="14" borderId="3" xfId="211" applyNumberFormat="1" applyFont="1" applyFill="1" applyBorder="1"/>
    <xf numFmtId="174" fontId="7" fillId="14" borderId="3" xfId="0" applyNumberFormat="1" applyFont="1" applyFill="1" applyBorder="1"/>
    <xf numFmtId="167" fontId="12" fillId="15" borderId="3" xfId="211" applyNumberFormat="1" applyFont="1" applyFill="1" applyBorder="1"/>
    <xf numFmtId="167" fontId="12" fillId="15" borderId="17" xfId="211" applyNumberFormat="1" applyFont="1" applyFill="1" applyBorder="1" applyAlignment="1">
      <alignment vertical="center"/>
    </xf>
    <xf numFmtId="167" fontId="12" fillId="17" borderId="17" xfId="211" applyNumberFormat="1" applyFont="1" applyFill="1" applyBorder="1" applyAlignment="1">
      <alignment vertical="center"/>
    </xf>
    <xf numFmtId="0" fontId="94" fillId="14" borderId="3" xfId="211" applyNumberFormat="1" applyFont="1" applyFill="1" applyBorder="1" applyAlignment="1">
      <alignment horizontal="center"/>
    </xf>
    <xf numFmtId="0" fontId="94" fillId="14" borderId="3" xfId="0" applyFont="1" applyFill="1" applyBorder="1" applyAlignment="1">
      <alignment horizontal="left"/>
    </xf>
    <xf numFmtId="167" fontId="12" fillId="14" borderId="3" xfId="211" applyNumberFormat="1" applyFont="1" applyFill="1" applyBorder="1"/>
    <xf numFmtId="167" fontId="92" fillId="0" borderId="3" xfId="211" applyNumberFormat="1" applyFont="1" applyFill="1" applyBorder="1" applyAlignment="1"/>
    <xf numFmtId="0" fontId="12" fillId="0" borderId="0" xfId="0" applyFont="1" applyAlignment="1">
      <alignment horizontal="center" vertical="center"/>
    </xf>
    <xf numFmtId="167" fontId="66" fillId="0" borderId="0" xfId="211" applyNumberFormat="1" applyFont="1"/>
    <xf numFmtId="17" fontId="12" fillId="0" borderId="0" xfId="0" applyNumberFormat="1" applyFont="1" applyAlignment="1">
      <alignment horizontal="center" vertical="center"/>
    </xf>
    <xf numFmtId="167" fontId="65" fillId="0" borderId="0" xfId="211" applyNumberFormat="1" applyFont="1" applyAlignment="1">
      <alignment horizontal="center"/>
    </xf>
    <xf numFmtId="0" fontId="12" fillId="0" borderId="0" xfId="0" applyFont="1" applyAlignment="1">
      <alignment vertical="center"/>
    </xf>
    <xf numFmtId="37" fontId="12" fillId="0" borderId="0" xfId="0" applyNumberFormat="1" applyFont="1" applyAlignment="1">
      <alignment horizontal="center" vertical="center"/>
    </xf>
    <xf numFmtId="37" fontId="17" fillId="0" borderId="0" xfId="0" applyNumberFormat="1" applyFont="1" applyAlignment="1">
      <alignment horizontal="center" vertical="center"/>
    </xf>
    <xf numFmtId="167" fontId="96" fillId="0" borderId="0" xfId="211" applyNumberFormat="1" applyFont="1" applyFill="1" applyBorder="1" applyAlignment="1">
      <alignment horizontal="center" vertical="center"/>
    </xf>
    <xf numFmtId="167" fontId="12" fillId="0" borderId="0" xfId="211" applyNumberFormat="1" applyFont="1" applyBorder="1"/>
    <xf numFmtId="167" fontId="12" fillId="0" borderId="0" xfId="211" applyNumberFormat="1" applyFont="1" applyFill="1" applyBorder="1"/>
    <xf numFmtId="167" fontId="65" fillId="0" borderId="0" xfId="0" applyNumberFormat="1" applyFont="1"/>
    <xf numFmtId="167" fontId="12" fillId="0" borderId="0" xfId="211" applyNumberFormat="1" applyFont="1" applyFill="1"/>
    <xf numFmtId="0" fontId="66" fillId="0" borderId="2" xfId="0" applyFont="1" applyBorder="1" applyAlignment="1">
      <alignment horizontal="center"/>
    </xf>
    <xf numFmtId="0" fontId="7" fillId="0" borderId="0" xfId="0" pivotButton="1" applyFont="1"/>
    <xf numFmtId="0" fontId="97" fillId="0" borderId="0" xfId="0" applyFont="1"/>
    <xf numFmtId="0" fontId="97" fillId="0" borderId="0" xfId="0" applyFont="1" applyAlignment="1">
      <alignment horizontal="center"/>
    </xf>
    <xf numFmtId="37" fontId="12" fillId="0" borderId="0" xfId="0" applyNumberFormat="1" applyFont="1"/>
    <xf numFmtId="0" fontId="99" fillId="0" borderId="0" xfId="0" applyFont="1" applyAlignment="1">
      <alignment horizontal="left"/>
    </xf>
    <xf numFmtId="5" fontId="62" fillId="0" borderId="0" xfId="0" applyNumberFormat="1" applyFont="1"/>
    <xf numFmtId="5" fontId="7" fillId="4" borderId="0" xfId="0" applyNumberFormat="1" applyFont="1" applyFill="1"/>
    <xf numFmtId="0" fontId="29" fillId="0" borderId="0" xfId="161" applyFont="1" applyAlignment="1">
      <alignment horizontal="center" vertical="center"/>
    </xf>
    <xf numFmtId="49" fontId="29" fillId="0" borderId="0" xfId="161" applyNumberFormat="1" applyFont="1" applyAlignment="1" applyProtection="1">
      <alignment horizontal="left" vertical="center"/>
      <protection locked="0"/>
    </xf>
    <xf numFmtId="0" fontId="29" fillId="0" borderId="0" xfId="161" quotePrefix="1" applyFont="1" applyAlignment="1">
      <alignment horizontal="center" vertical="center"/>
    </xf>
    <xf numFmtId="0" fontId="29" fillId="0" borderId="0" xfId="217" applyFont="1" applyAlignment="1">
      <alignment vertical="center"/>
    </xf>
    <xf numFmtId="0" fontId="29" fillId="0" borderId="0" xfId="210" applyFont="1" applyAlignment="1">
      <alignment vertical="center"/>
    </xf>
    <xf numFmtId="167" fontId="7" fillId="15" borderId="16" xfId="211" applyNumberFormat="1" applyFont="1" applyFill="1" applyBorder="1" applyAlignment="1">
      <alignment vertical="center"/>
    </xf>
    <xf numFmtId="167" fontId="12" fillId="14" borderId="0" xfId="211" applyNumberFormat="1" applyFont="1" applyFill="1" applyBorder="1"/>
    <xf numFmtId="174" fontId="12" fillId="14" borderId="0" xfId="0" applyNumberFormat="1" applyFont="1" applyFill="1"/>
    <xf numFmtId="167" fontId="65" fillId="16" borderId="0" xfId="211" applyNumberFormat="1" applyFont="1" applyFill="1"/>
    <xf numFmtId="49" fontId="29" fillId="0" borderId="0" xfId="161" applyNumberFormat="1" applyFont="1" applyAlignment="1">
      <alignment horizontal="left" vertical="center"/>
    </xf>
    <xf numFmtId="0" fontId="7" fillId="0" borderId="0" xfId="163" applyFont="1" applyAlignment="1">
      <alignment horizontal="left" indent="4"/>
    </xf>
    <xf numFmtId="167" fontId="7" fillId="17" borderId="20" xfId="211" applyNumberFormat="1" applyFont="1" applyFill="1" applyBorder="1" applyAlignment="1">
      <alignment horizontal="center" vertical="center"/>
    </xf>
    <xf numFmtId="0" fontId="7" fillId="0" borderId="0" xfId="0" applyFont="1" applyAlignment="1">
      <alignment horizontal="center" vertical="center"/>
    </xf>
    <xf numFmtId="0" fontId="7" fillId="0" borderId="0" xfId="205" applyAlignment="1">
      <alignment vertical="center"/>
    </xf>
    <xf numFmtId="0" fontId="7" fillId="0" borderId="0" xfId="205" applyAlignment="1">
      <alignment horizontal="center" vertical="center"/>
    </xf>
    <xf numFmtId="0" fontId="7" fillId="0" borderId="0" xfId="0" applyFont="1" applyAlignment="1">
      <alignment vertical="center"/>
    </xf>
    <xf numFmtId="42" fontId="7" fillId="0" borderId="0" xfId="0" applyNumberFormat="1" applyFont="1" applyAlignment="1">
      <alignment horizontal="center" vertical="center"/>
    </xf>
    <xf numFmtId="42" fontId="7" fillId="0" borderId="0" xfId="206" applyNumberFormat="1" applyFont="1" applyFill="1" applyAlignment="1">
      <alignment vertical="center"/>
    </xf>
    <xf numFmtId="41" fontId="7" fillId="0" borderId="0" xfId="0" applyNumberFormat="1" applyFont="1" applyAlignment="1">
      <alignment horizontal="center" vertical="center"/>
    </xf>
    <xf numFmtId="41" fontId="7" fillId="0" borderId="0" xfId="206" applyNumberFormat="1" applyFont="1" applyFill="1" applyBorder="1" applyAlignment="1">
      <alignment vertical="center"/>
    </xf>
    <xf numFmtId="175" fontId="7" fillId="0" borderId="0" xfId="206" applyNumberFormat="1" applyFont="1" applyFill="1" applyAlignment="1">
      <alignment vertical="center"/>
    </xf>
    <xf numFmtId="41" fontId="7" fillId="0" borderId="0" xfId="206" applyNumberFormat="1" applyFont="1" applyFill="1" applyAlignment="1">
      <alignment vertical="center"/>
    </xf>
    <xf numFmtId="167" fontId="7" fillId="0" borderId="0" xfId="208" applyNumberFormat="1" applyFont="1" applyFill="1" applyAlignment="1">
      <alignment vertical="center"/>
    </xf>
    <xf numFmtId="42" fontId="7" fillId="0" borderId="10" xfId="206" applyNumberFormat="1" applyFont="1" applyFill="1" applyBorder="1" applyAlignment="1">
      <alignment vertical="center"/>
    </xf>
    <xf numFmtId="0" fontId="7" fillId="0" borderId="0" xfId="0" applyFont="1" applyAlignment="1">
      <alignment horizontal="left" vertical="center"/>
    </xf>
    <xf numFmtId="42" fontId="7" fillId="0" borderId="0" xfId="206" applyNumberFormat="1" applyFont="1" applyFill="1" applyAlignment="1">
      <alignment horizontal="center" vertical="center"/>
    </xf>
    <xf numFmtId="41" fontId="7" fillId="0" borderId="0" xfId="206" applyNumberFormat="1" applyFont="1" applyFill="1" applyAlignment="1">
      <alignment horizontal="center" vertical="center"/>
    </xf>
    <xf numFmtId="175" fontId="7" fillId="0" borderId="0" xfId="206" applyNumberFormat="1" applyFont="1" applyFill="1" applyAlignment="1">
      <alignment horizontal="center" vertical="center"/>
    </xf>
    <xf numFmtId="167" fontId="7" fillId="0" borderId="0" xfId="208" applyNumberFormat="1" applyFont="1" applyFill="1" applyAlignment="1">
      <alignment horizontal="center" vertical="center"/>
    </xf>
    <xf numFmtId="42" fontId="7" fillId="0" borderId="10" xfId="206" applyNumberFormat="1" applyFont="1" applyFill="1" applyBorder="1" applyAlignment="1">
      <alignment horizontal="center" vertical="center"/>
    </xf>
    <xf numFmtId="175" fontId="7" fillId="0" borderId="10" xfId="206" applyNumberFormat="1" applyFont="1" applyFill="1" applyBorder="1" applyAlignment="1">
      <alignment horizontal="center" vertical="center"/>
    </xf>
    <xf numFmtId="167" fontId="7" fillId="0" borderId="0" xfId="208" applyNumberFormat="1" applyFont="1" applyAlignment="1">
      <alignment vertical="center"/>
    </xf>
    <xf numFmtId="175" fontId="7" fillId="0" borderId="10" xfId="206" applyNumberFormat="1" applyFont="1" applyFill="1" applyBorder="1" applyAlignment="1">
      <alignment vertical="center"/>
    </xf>
    <xf numFmtId="0" fontId="7" fillId="0" borderId="0" xfId="0" applyFont="1" applyAlignment="1">
      <alignment horizontal="centerContinuous" vertical="center"/>
    </xf>
    <xf numFmtId="37" fontId="7" fillId="0" borderId="0" xfId="0" applyNumberFormat="1" applyFont="1" applyAlignment="1">
      <alignment horizontal="centerContinuous" vertical="center"/>
    </xf>
    <xf numFmtId="10" fontId="7" fillId="0" borderId="0" xfId="0" applyNumberFormat="1" applyFont="1" applyAlignment="1">
      <alignment horizontal="centerContinuous" vertical="center"/>
    </xf>
    <xf numFmtId="42" fontId="7" fillId="0" borderId="0" xfId="206" applyNumberFormat="1" applyFont="1" applyFill="1" applyBorder="1" applyAlignment="1">
      <alignment vertical="center"/>
    </xf>
    <xf numFmtId="175" fontId="7" fillId="0" borderId="0" xfId="206" applyNumberFormat="1" applyFont="1" applyFill="1" applyBorder="1" applyAlignment="1">
      <alignment vertical="center"/>
    </xf>
    <xf numFmtId="42" fontId="7" fillId="0" borderId="0" xfId="206" applyNumberFormat="1" applyFont="1" applyAlignment="1">
      <alignment vertical="center"/>
    </xf>
    <xf numFmtId="41" fontId="7" fillId="0" borderId="0" xfId="208" applyNumberFormat="1" applyFont="1" applyAlignment="1">
      <alignment vertical="center"/>
    </xf>
    <xf numFmtId="41" fontId="7" fillId="0" borderId="0" xfId="208" applyNumberFormat="1" applyFont="1" applyFill="1" applyAlignment="1">
      <alignment vertical="center"/>
    </xf>
    <xf numFmtId="42" fontId="7" fillId="0" borderId="10" xfId="206" applyNumberFormat="1" applyFont="1" applyBorder="1" applyAlignment="1">
      <alignment vertical="center"/>
    </xf>
    <xf numFmtId="42" fontId="7" fillId="0" borderId="0" xfId="206" applyNumberFormat="1" applyFont="1" applyBorder="1" applyAlignment="1">
      <alignment vertical="center"/>
    </xf>
    <xf numFmtId="0" fontId="16" fillId="0" borderId="0" xfId="205" applyFont="1" applyAlignment="1">
      <alignment horizontal="left" vertical="center"/>
    </xf>
    <xf numFmtId="0" fontId="16" fillId="0" borderId="0" xfId="205" applyFont="1" applyAlignment="1">
      <alignment horizontal="center" vertical="center"/>
    </xf>
    <xf numFmtId="41" fontId="7" fillId="0" borderId="0" xfId="208" applyNumberFormat="1" applyFont="1" applyFill="1" applyBorder="1" applyAlignment="1">
      <alignment vertical="center"/>
    </xf>
    <xf numFmtId="42" fontId="7" fillId="0" borderId="0" xfId="208" applyNumberFormat="1" applyFont="1" applyFill="1" applyBorder="1" applyAlignment="1">
      <alignment vertical="center"/>
    </xf>
    <xf numFmtId="167" fontId="7" fillId="0" borderId="0" xfId="208" applyNumberFormat="1" applyFont="1" applyFill="1" applyBorder="1" applyAlignment="1">
      <alignment vertical="center"/>
    </xf>
    <xf numFmtId="41" fontId="7" fillId="0" borderId="2" xfId="208" applyNumberFormat="1" applyFont="1" applyFill="1" applyBorder="1" applyAlignment="1">
      <alignment vertical="center"/>
    </xf>
    <xf numFmtId="0" fontId="7" fillId="0" borderId="0" xfId="163" applyFont="1" applyAlignment="1">
      <alignment horizontal="center" vertical="center"/>
    </xf>
    <xf numFmtId="0" fontId="7" fillId="0" borderId="0" xfId="163" applyFont="1" applyAlignment="1">
      <alignment vertical="center"/>
    </xf>
    <xf numFmtId="0" fontId="7" fillId="0" borderId="0" xfId="205" quotePrefix="1" applyAlignment="1">
      <alignment horizontal="center" vertical="center"/>
    </xf>
    <xf numFmtId="0" fontId="7" fillId="0" borderId="0" xfId="0" applyFont="1" applyAlignment="1">
      <alignment horizontal="left" vertical="center" wrapText="1"/>
    </xf>
    <xf numFmtId="41" fontId="7" fillId="0" borderId="0" xfId="206" applyNumberFormat="1" applyFont="1" applyFill="1" applyBorder="1" applyAlignment="1">
      <alignment horizontal="center" vertical="center"/>
    </xf>
    <xf numFmtId="0" fontId="7" fillId="0" borderId="0" xfId="0" applyFont="1" applyAlignment="1">
      <alignment vertical="center" wrapText="1"/>
    </xf>
    <xf numFmtId="0" fontId="11" fillId="0" borderId="0" xfId="205" applyFont="1" applyAlignment="1">
      <alignment vertical="center" wrapText="1"/>
    </xf>
    <xf numFmtId="0" fontId="12" fillId="0" borderId="0" xfId="205" applyFont="1" applyAlignment="1">
      <alignment horizontal="left" vertical="center"/>
    </xf>
    <xf numFmtId="0" fontId="12" fillId="0" borderId="0" xfId="205" applyFont="1" applyAlignment="1">
      <alignment vertical="center"/>
    </xf>
    <xf numFmtId="0" fontId="11" fillId="0" borderId="0" xfId="205" applyFont="1" applyAlignment="1">
      <alignment vertical="center"/>
    </xf>
    <xf numFmtId="0" fontId="11" fillId="0" borderId="0" xfId="205" applyFont="1" applyAlignment="1">
      <alignment horizontal="left" vertical="center"/>
    </xf>
    <xf numFmtId="167" fontId="12" fillId="17" borderId="16" xfId="211" applyNumberFormat="1" applyFont="1" applyFill="1" applyBorder="1" applyAlignment="1">
      <alignment vertical="center"/>
    </xf>
    <xf numFmtId="0" fontId="29" fillId="0" borderId="0" xfId="163" applyFont="1" applyAlignment="1" applyProtection="1">
      <alignment horizontal="center" vertical="center"/>
      <protection locked="0"/>
    </xf>
    <xf numFmtId="0" fontId="29" fillId="0" borderId="0" xfId="163" applyFont="1" applyAlignment="1">
      <alignment horizontal="left" vertical="center" wrapText="1"/>
    </xf>
    <xf numFmtId="37" fontId="29" fillId="0" borderId="0" xfId="163" applyNumberFormat="1" applyFont="1" applyAlignment="1">
      <alignment vertical="center"/>
    </xf>
    <xf numFmtId="175" fontId="28" fillId="0" borderId="0" xfId="206" applyNumberFormat="1" applyFont="1" applyFill="1" applyAlignment="1">
      <alignment vertical="center"/>
    </xf>
    <xf numFmtId="0" fontId="7" fillId="0" borderId="2" xfId="205" quotePrefix="1" applyBorder="1" applyAlignment="1">
      <alignment horizontal="center" vertical="center"/>
    </xf>
    <xf numFmtId="0" fontId="7" fillId="0" borderId="0" xfId="205" applyAlignment="1">
      <alignment horizontal="right" vertical="center"/>
    </xf>
    <xf numFmtId="0" fontId="7" fillId="0" borderId="2" xfId="205" applyBorder="1" applyAlignment="1">
      <alignment horizontal="center" vertical="center"/>
    </xf>
    <xf numFmtId="0" fontId="7" fillId="0" borderId="2" xfId="205" applyBorder="1" applyAlignment="1">
      <alignment vertical="center"/>
    </xf>
    <xf numFmtId="0" fontId="7" fillId="0" borderId="0" xfId="205" applyAlignment="1">
      <alignment horizontal="left" vertical="center"/>
    </xf>
    <xf numFmtId="41" fontId="7" fillId="0" borderId="0" xfId="205" applyNumberFormat="1" applyAlignment="1">
      <alignment vertical="center"/>
    </xf>
    <xf numFmtId="0" fontId="7" fillId="0" borderId="0" xfId="205" applyAlignment="1">
      <alignment vertical="center" wrapText="1"/>
    </xf>
    <xf numFmtId="41" fontId="7" fillId="0" borderId="0" xfId="205" applyNumberFormat="1" applyAlignment="1">
      <alignment horizontal="center" vertical="center"/>
    </xf>
    <xf numFmtId="0" fontId="7" fillId="0" borderId="0" xfId="205" applyAlignment="1">
      <alignment horizontal="left" vertical="center" wrapText="1"/>
    </xf>
    <xf numFmtId="0" fontId="7" fillId="0" borderId="0" xfId="205" applyAlignment="1">
      <alignment horizontal="centerContinuous" vertical="center"/>
    </xf>
    <xf numFmtId="42" fontId="7" fillId="0" borderId="0" xfId="205" quotePrefix="1" applyNumberFormat="1" applyAlignment="1">
      <alignment vertical="center"/>
    </xf>
    <xf numFmtId="42" fontId="7" fillId="0" borderId="0" xfId="205" applyNumberFormat="1" applyAlignment="1">
      <alignment vertical="center"/>
    </xf>
    <xf numFmtId="37" fontId="7" fillId="0" borderId="0" xfId="205" applyNumberFormat="1" applyAlignment="1">
      <alignment vertical="center"/>
    </xf>
    <xf numFmtId="37" fontId="7" fillId="0" borderId="0" xfId="205" applyNumberFormat="1" applyAlignment="1">
      <alignment horizontal="left" vertical="center"/>
    </xf>
    <xf numFmtId="41" fontId="7" fillId="0" borderId="2" xfId="205" applyNumberFormat="1" applyBorder="1" applyAlignment="1">
      <alignment vertical="center"/>
    </xf>
    <xf numFmtId="0" fontId="29" fillId="0" borderId="0" xfId="205" applyFont="1" applyAlignment="1">
      <alignment vertical="center"/>
    </xf>
    <xf numFmtId="0" fontId="7" fillId="0" borderId="0" xfId="163" applyFont="1" applyAlignment="1">
      <alignment horizontal="left" vertical="center"/>
    </xf>
    <xf numFmtId="0" fontId="11" fillId="0" borderId="0" xfId="163" applyFont="1" applyAlignment="1">
      <alignment horizontal="left" vertical="center"/>
    </xf>
    <xf numFmtId="0" fontId="11" fillId="0" borderId="0" xfId="163" applyFont="1" applyAlignment="1">
      <alignment vertical="center"/>
    </xf>
    <xf numFmtId="0" fontId="11" fillId="0" borderId="0" xfId="163" applyFont="1" applyAlignment="1">
      <alignment horizontal="center" vertical="center"/>
    </xf>
    <xf numFmtId="0" fontId="7" fillId="0" borderId="0" xfId="145" applyFont="1" applyAlignment="1">
      <alignment horizontal="center" vertical="center"/>
    </xf>
    <xf numFmtId="0" fontId="7" fillId="0" borderId="0" xfId="145" applyFont="1" applyAlignment="1">
      <alignment vertical="center"/>
    </xf>
    <xf numFmtId="0" fontId="7" fillId="0" borderId="0" xfId="145" quotePrefix="1" applyFont="1" applyAlignment="1">
      <alignment horizontal="center" vertical="center"/>
    </xf>
    <xf numFmtId="2" fontId="7" fillId="0" borderId="0" xfId="145" applyNumberFormat="1" applyFont="1" applyAlignment="1">
      <alignment vertical="center"/>
    </xf>
    <xf numFmtId="39" fontId="7" fillId="0" borderId="0" xfId="145" applyNumberFormat="1" applyFont="1" applyAlignment="1">
      <alignment vertical="center"/>
    </xf>
    <xf numFmtId="39" fontId="7" fillId="0" borderId="0" xfId="145" applyNumberFormat="1" applyFont="1" applyAlignment="1">
      <alignment horizontal="center" vertical="center"/>
    </xf>
    <xf numFmtId="39" fontId="7" fillId="0" borderId="0" xfId="145" applyNumberFormat="1" applyFont="1" applyAlignment="1">
      <alignment horizontal="right" vertical="center"/>
    </xf>
    <xf numFmtId="0" fontId="7" fillId="0" borderId="0" xfId="145" applyFont="1" applyAlignment="1">
      <alignment horizontal="left" vertical="center"/>
    </xf>
    <xf numFmtId="2" fontId="7" fillId="0" borderId="0" xfId="145" applyNumberFormat="1" applyFont="1" applyAlignment="1">
      <alignment horizontal="center" vertical="center"/>
    </xf>
    <xf numFmtId="0" fontId="7" fillId="0" borderId="6" xfId="0" applyFont="1" applyBorder="1" applyAlignment="1">
      <alignment vertical="center"/>
    </xf>
    <xf numFmtId="0" fontId="7" fillId="0" borderId="0" xfId="0" quotePrefix="1" applyFont="1" applyAlignment="1">
      <alignment horizontal="center" vertical="center"/>
    </xf>
    <xf numFmtId="0" fontId="11" fillId="0" borderId="0" xfId="0" applyFont="1" applyAlignment="1">
      <alignment vertical="center"/>
    </xf>
    <xf numFmtId="39" fontId="11" fillId="0" borderId="0" xfId="145" applyNumberFormat="1" applyFont="1" applyAlignment="1">
      <alignment horizontal="left" vertical="center"/>
    </xf>
    <xf numFmtId="2" fontId="7" fillId="0" borderId="0" xfId="0" applyNumberFormat="1" applyFont="1" applyAlignment="1">
      <alignment horizontal="left" vertical="center"/>
    </xf>
    <xf numFmtId="39" fontId="7" fillId="0" borderId="0" xfId="145" applyNumberFormat="1" applyFont="1" applyAlignment="1">
      <alignment horizontal="left" vertical="center"/>
    </xf>
    <xf numFmtId="39" fontId="7" fillId="0" borderId="0" xfId="145" quotePrefix="1" applyNumberFormat="1" applyFont="1" applyAlignment="1">
      <alignment horizontal="center" vertical="center"/>
    </xf>
    <xf numFmtId="39" fontId="7" fillId="0" borderId="10" xfId="145" applyNumberFormat="1" applyFont="1" applyBorder="1" applyAlignment="1">
      <alignment vertical="center"/>
    </xf>
    <xf numFmtId="0" fontId="66" fillId="0" borderId="0" xfId="234" applyFont="1" applyAlignment="1">
      <alignment horizontal="left" vertical="center"/>
    </xf>
    <xf numFmtId="0" fontId="66" fillId="0" borderId="0" xfId="234" applyFont="1" applyAlignment="1">
      <alignment vertical="center"/>
    </xf>
    <xf numFmtId="167" fontId="7" fillId="0" borderId="0" xfId="145" applyNumberFormat="1" applyFont="1" applyAlignment="1">
      <alignment vertical="center"/>
    </xf>
    <xf numFmtId="2" fontId="66" fillId="0" borderId="0" xfId="234" applyNumberFormat="1" applyFont="1" applyAlignment="1">
      <alignment horizontal="left" vertical="center"/>
    </xf>
    <xf numFmtId="43" fontId="7" fillId="0" borderId="2" xfId="208" applyFont="1" applyFill="1" applyBorder="1" applyAlignment="1">
      <alignment vertical="center"/>
    </xf>
    <xf numFmtId="0" fontId="7" fillId="0" borderId="0" xfId="145" applyFont="1" applyAlignment="1">
      <alignment horizontal="right" vertical="center"/>
    </xf>
    <xf numFmtId="37" fontId="7" fillId="0" borderId="0" xfId="145" applyNumberFormat="1" applyFont="1" applyAlignment="1">
      <alignment vertical="center"/>
    </xf>
    <xf numFmtId="17" fontId="7" fillId="0" borderId="0" xfId="145" applyNumberFormat="1" applyFont="1" applyAlignment="1">
      <alignment horizontal="center" vertical="center"/>
    </xf>
    <xf numFmtId="0" fontId="7" fillId="0" borderId="2" xfId="145" applyFont="1" applyBorder="1" applyAlignment="1">
      <alignment vertical="center"/>
    </xf>
    <xf numFmtId="0" fontId="7" fillId="0" borderId="2" xfId="145" applyFont="1" applyBorder="1" applyAlignment="1">
      <alignment horizontal="left" vertical="center"/>
    </xf>
    <xf numFmtId="39" fontId="7" fillId="0" borderId="2" xfId="145" applyNumberFormat="1" applyFont="1" applyBorder="1" applyAlignment="1">
      <alignment horizontal="center" vertical="center"/>
    </xf>
    <xf numFmtId="39" fontId="7" fillId="0" borderId="2" xfId="145" applyNumberFormat="1" applyFont="1" applyBorder="1" applyAlignment="1">
      <alignment vertical="center"/>
    </xf>
    <xf numFmtId="39" fontId="7" fillId="0" borderId="2" xfId="145" applyNumberFormat="1" applyFont="1" applyBorder="1" applyAlignment="1">
      <alignment horizontal="left" vertical="center"/>
    </xf>
    <xf numFmtId="9" fontId="16" fillId="0" borderId="0" xfId="145" applyNumberFormat="1" applyFont="1" applyAlignment="1">
      <alignment vertical="center"/>
    </xf>
    <xf numFmtId="10" fontId="16" fillId="0" borderId="0" xfId="145" applyNumberFormat="1" applyFont="1" applyAlignment="1">
      <alignment vertical="center"/>
    </xf>
    <xf numFmtId="0" fontId="66" fillId="0" borderId="0" xfId="234" applyFont="1" applyAlignment="1">
      <alignment horizontal="center" vertical="center"/>
    </xf>
    <xf numFmtId="167" fontId="7" fillId="0" borderId="2" xfId="208" applyNumberFormat="1" applyFont="1" applyFill="1" applyBorder="1" applyAlignment="1">
      <alignment vertical="center"/>
    </xf>
    <xf numFmtId="0" fontId="7" fillId="0" borderId="2" xfId="145" applyFont="1" applyBorder="1" applyAlignment="1">
      <alignment horizontal="center" vertical="center"/>
    </xf>
    <xf numFmtId="0" fontId="68" fillId="0" borderId="0" xfId="234" applyFont="1" applyAlignment="1">
      <alignment horizontal="left" vertical="center"/>
    </xf>
    <xf numFmtId="0" fontId="7" fillId="0" borderId="0" xfId="0" applyFont="1" applyAlignment="1">
      <alignment horizontal="right" vertical="center"/>
    </xf>
    <xf numFmtId="0" fontId="7" fillId="0" borderId="5" xfId="0" applyFont="1" applyBorder="1" applyAlignment="1">
      <alignment horizontal="center" vertical="center"/>
    </xf>
    <xf numFmtId="37" fontId="7" fillId="0" borderId="0" xfId="0" applyNumberFormat="1" applyFont="1" applyAlignment="1">
      <alignment vertical="center"/>
    </xf>
    <xf numFmtId="10" fontId="7" fillId="0" borderId="0" xfId="0" applyNumberFormat="1" applyFont="1" applyAlignment="1">
      <alignment vertical="center"/>
    </xf>
    <xf numFmtId="37" fontId="16" fillId="0" borderId="0" xfId="0" applyNumberFormat="1" applyFont="1" applyAlignment="1">
      <alignment vertical="center"/>
    </xf>
    <xf numFmtId="37" fontId="7" fillId="0" borderId="10" xfId="0" applyNumberFormat="1" applyFont="1" applyBorder="1" applyAlignment="1">
      <alignment vertical="center"/>
    </xf>
    <xf numFmtId="0" fontId="66" fillId="0" borderId="0" xfId="0" applyFont="1" applyAlignment="1">
      <alignment vertical="center"/>
    </xf>
    <xf numFmtId="0" fontId="7" fillId="0" borderId="6" xfId="0" applyFont="1" applyBorder="1" applyAlignment="1">
      <alignment horizontal="center" vertical="center"/>
    </xf>
    <xf numFmtId="0" fontId="7" fillId="0" borderId="0" xfId="147" applyFont="1" applyAlignment="1">
      <alignment horizontal="center" vertical="center"/>
    </xf>
    <xf numFmtId="37" fontId="7" fillId="0" borderId="7" xfId="0" applyNumberFormat="1" applyFont="1" applyBorder="1" applyAlignment="1">
      <alignment vertical="center"/>
    </xf>
    <xf numFmtId="0" fontId="7" fillId="0" borderId="0" xfId="163" quotePrefix="1" applyFont="1" applyAlignment="1">
      <alignment horizontal="center" vertical="center"/>
    </xf>
    <xf numFmtId="166" fontId="7" fillId="0" borderId="0" xfId="163" applyNumberFormat="1" applyFont="1"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10" fontId="7" fillId="0" borderId="0" xfId="165" applyNumberFormat="1" applyFont="1" applyFill="1" applyAlignment="1">
      <alignment vertical="center"/>
    </xf>
    <xf numFmtId="179" fontId="7" fillId="0" borderId="0" xfId="0" applyNumberFormat="1" applyFont="1" applyAlignment="1">
      <alignment vertical="center"/>
    </xf>
    <xf numFmtId="10" fontId="7" fillId="0" borderId="0" xfId="165" applyNumberFormat="1" applyFont="1" applyAlignment="1">
      <alignment vertical="center"/>
    </xf>
    <xf numFmtId="0" fontId="7" fillId="0" borderId="0" xfId="224" applyFont="1" applyAlignment="1">
      <alignment vertical="center"/>
    </xf>
    <xf numFmtId="0" fontId="7" fillId="0" borderId="0" xfId="224" applyFont="1" applyAlignment="1">
      <alignment horizontal="left" vertical="center"/>
    </xf>
    <xf numFmtId="0" fontId="7" fillId="0" borderId="0" xfId="224" applyFont="1" applyAlignment="1">
      <alignment horizontal="center" vertical="center"/>
    </xf>
    <xf numFmtId="0" fontId="11" fillId="0" borderId="0" xfId="224" applyFont="1" applyAlignment="1">
      <alignment horizontal="center" vertical="center"/>
    </xf>
    <xf numFmtId="49" fontId="7" fillId="0" borderId="0" xfId="224" applyNumberFormat="1" applyFont="1" applyAlignment="1">
      <alignment vertical="center"/>
    </xf>
    <xf numFmtId="39" fontId="7" fillId="0" borderId="0" xfId="0" applyNumberFormat="1" applyFont="1" applyAlignment="1">
      <alignment vertical="center"/>
    </xf>
    <xf numFmtId="39" fontId="7" fillId="0" borderId="0" xfId="224" applyNumberFormat="1" applyFont="1" applyAlignment="1">
      <alignment vertical="center"/>
    </xf>
    <xf numFmtId="39" fontId="66" fillId="0" borderId="0" xfId="224" applyNumberFormat="1" applyFont="1" applyAlignment="1">
      <alignment vertical="center"/>
    </xf>
    <xf numFmtId="0" fontId="66" fillId="0" borderId="0" xfId="224" applyFont="1" applyAlignment="1">
      <alignment horizontal="center" vertical="center"/>
    </xf>
    <xf numFmtId="43" fontId="66" fillId="0" borderId="0" xfId="225" applyFont="1" applyAlignment="1">
      <alignment vertical="center"/>
    </xf>
    <xf numFmtId="39" fontId="66" fillId="0" borderId="0" xfId="225" applyNumberFormat="1" applyFont="1" applyAlignment="1">
      <alignment vertical="center"/>
    </xf>
    <xf numFmtId="43" fontId="66" fillId="0" borderId="0" xfId="224" applyNumberFormat="1" applyFont="1" applyAlignment="1">
      <alignment vertical="center"/>
    </xf>
    <xf numFmtId="43" fontId="7" fillId="0" borderId="0" xfId="225" applyFont="1" applyAlignment="1">
      <alignment vertical="center"/>
    </xf>
    <xf numFmtId="43" fontId="7" fillId="0" borderId="0" xfId="224" applyNumberFormat="1" applyFont="1" applyAlignment="1">
      <alignment vertical="center"/>
    </xf>
    <xf numFmtId="0" fontId="61" fillId="0" borderId="0" xfId="145" applyFont="1" applyAlignment="1">
      <alignment vertical="center"/>
    </xf>
    <xf numFmtId="0" fontId="7" fillId="0" borderId="0" xfId="234" applyFont="1" applyAlignment="1">
      <alignment vertical="center"/>
    </xf>
    <xf numFmtId="0" fontId="7" fillId="0" borderId="0" xfId="234" applyFont="1" applyAlignment="1">
      <alignment horizontal="left" vertical="center"/>
    </xf>
    <xf numFmtId="191" fontId="7" fillId="0" borderId="0" xfId="234" applyNumberFormat="1" applyFont="1" applyAlignment="1">
      <alignment horizontal="center" vertical="center"/>
    </xf>
    <xf numFmtId="0" fontId="7" fillId="0" borderId="0" xfId="234" applyFont="1" applyAlignment="1">
      <alignment horizontal="center" vertical="center"/>
    </xf>
    <xf numFmtId="0" fontId="11" fillId="0" borderId="0" xfId="234" applyFont="1" applyAlignment="1">
      <alignment vertical="center"/>
    </xf>
    <xf numFmtId="0" fontId="11" fillId="0" borderId="0" xfId="234" applyFont="1" applyAlignment="1">
      <alignment horizontal="left" vertical="center"/>
    </xf>
    <xf numFmtId="0" fontId="11" fillId="0" borderId="0" xfId="234" applyFont="1" applyAlignment="1">
      <alignment horizontal="center" vertical="center"/>
    </xf>
    <xf numFmtId="2" fontId="7" fillId="0" borderId="0" xfId="234" applyNumberFormat="1" applyFont="1" applyAlignment="1">
      <alignment horizontal="left" vertical="center"/>
    </xf>
    <xf numFmtId="37" fontId="7" fillId="0" borderId="0" xfId="234" applyNumberFormat="1" applyFont="1" applyAlignment="1">
      <alignment vertical="center"/>
    </xf>
    <xf numFmtId="2" fontId="12" fillId="0" borderId="0" xfId="234" applyNumberFormat="1" applyFont="1" applyAlignment="1">
      <alignment horizontal="left" vertical="center"/>
    </xf>
    <xf numFmtId="0" fontId="12" fillId="0" borderId="0" xfId="234" applyFont="1" applyAlignment="1">
      <alignment vertical="center"/>
    </xf>
    <xf numFmtId="39" fontId="7" fillId="0" borderId="0" xfId="234" applyNumberFormat="1" applyFont="1" applyAlignment="1">
      <alignment vertical="center"/>
    </xf>
    <xf numFmtId="0" fontId="12" fillId="0" borderId="0" xfId="234" applyFont="1" applyAlignment="1">
      <alignment horizontal="left" vertical="center"/>
    </xf>
    <xf numFmtId="10" fontId="7" fillId="0" borderId="0" xfId="236" applyNumberFormat="1" applyFont="1" applyFill="1" applyAlignment="1">
      <alignment vertical="center"/>
    </xf>
    <xf numFmtId="37" fontId="7" fillId="0" borderId="0" xfId="147" applyNumberFormat="1" applyFont="1" applyAlignment="1">
      <alignment vertical="center"/>
    </xf>
    <xf numFmtId="43" fontId="7" fillId="0" borderId="0" xfId="235" applyFont="1" applyFill="1" applyAlignment="1">
      <alignment vertical="center"/>
    </xf>
    <xf numFmtId="37" fontId="7" fillId="0" borderId="0" xfId="147" applyNumberFormat="1" applyFont="1" applyAlignment="1">
      <alignment horizontal="center" vertical="center"/>
    </xf>
    <xf numFmtId="39" fontId="7" fillId="0" borderId="0" xfId="234" applyNumberFormat="1" applyFont="1" applyAlignment="1">
      <alignment horizontal="center" vertical="center"/>
    </xf>
    <xf numFmtId="10" fontId="7" fillId="0" borderId="0" xfId="236" applyNumberFormat="1" applyFont="1" applyFill="1" applyAlignment="1">
      <alignment horizontal="center" vertical="center"/>
    </xf>
    <xf numFmtId="10" fontId="7" fillId="0" borderId="0" xfId="207" applyNumberFormat="1" applyFont="1" applyFill="1" applyAlignment="1" applyProtection="1">
      <alignment horizontal="center" vertical="center"/>
    </xf>
    <xf numFmtId="39" fontId="7" fillId="0" borderId="0" xfId="235" applyNumberFormat="1" applyFont="1" applyFill="1" applyAlignment="1">
      <alignment vertical="center"/>
    </xf>
    <xf numFmtId="39" fontId="7" fillId="0" borderId="4" xfId="234" applyNumberFormat="1" applyFont="1" applyBorder="1" applyAlignment="1">
      <alignment vertical="center"/>
    </xf>
    <xf numFmtId="39" fontId="7" fillId="0" borderId="0" xfId="147" applyNumberFormat="1" applyFont="1" applyAlignment="1">
      <alignment vertical="center"/>
    </xf>
    <xf numFmtId="39" fontId="7" fillId="0" borderId="10" xfId="234" applyNumberFormat="1" applyFont="1" applyBorder="1" applyAlignment="1">
      <alignment vertical="center"/>
    </xf>
    <xf numFmtId="191" fontId="66" fillId="0" borderId="0" xfId="234" applyNumberFormat="1" applyFont="1" applyAlignment="1">
      <alignment horizontal="center" vertical="center"/>
    </xf>
    <xf numFmtId="39" fontId="12" fillId="0" borderId="0" xfId="235" applyNumberFormat="1" applyFont="1" applyAlignment="1">
      <alignment vertical="center"/>
    </xf>
    <xf numFmtId="39" fontId="12" fillId="0" borderId="0" xfId="234" applyNumberFormat="1" applyFont="1" applyAlignment="1">
      <alignment vertical="center"/>
    </xf>
    <xf numFmtId="43" fontId="7" fillId="0" borderId="0" xfId="234" applyNumberFormat="1" applyFont="1" applyAlignment="1">
      <alignment vertical="center"/>
    </xf>
    <xf numFmtId="0" fontId="7" fillId="0" borderId="0" xfId="147" applyFont="1" applyAlignment="1">
      <alignment vertical="center"/>
    </xf>
    <xf numFmtId="0" fontId="7" fillId="0" borderId="0" xfId="147" applyFont="1" applyAlignment="1">
      <alignment horizontal="left" vertical="center"/>
    </xf>
    <xf numFmtId="0" fontId="7" fillId="0" borderId="0" xfId="147" applyFont="1" applyAlignment="1">
      <alignment horizontal="right" vertical="center"/>
    </xf>
    <xf numFmtId="0" fontId="88" fillId="0" borderId="0" xfId="0" applyFont="1" applyAlignment="1">
      <alignment vertical="center"/>
    </xf>
    <xf numFmtId="0" fontId="88" fillId="0" borderId="0" xfId="237" applyNumberFormat="1" applyFont="1" applyBorder="1" applyAlignment="1">
      <alignment horizontal="center" vertical="center"/>
    </xf>
    <xf numFmtId="37" fontId="89" fillId="0" borderId="0" xfId="205" applyNumberFormat="1" applyFont="1" applyAlignment="1">
      <alignment horizontal="center" vertical="center"/>
    </xf>
    <xf numFmtId="43" fontId="56" fillId="0" borderId="0" xfId="237" applyFont="1" applyBorder="1" applyAlignment="1">
      <alignment vertical="center"/>
    </xf>
    <xf numFmtId="0" fontId="12" fillId="0" borderId="0" xfId="0" applyFont="1" applyAlignment="1">
      <alignment horizontal="left" vertical="center"/>
    </xf>
    <xf numFmtId="1" fontId="7" fillId="0" borderId="0" xfId="234" applyNumberFormat="1" applyFont="1" applyAlignment="1">
      <alignment horizontal="left" vertical="center"/>
    </xf>
    <xf numFmtId="167" fontId="7" fillId="0" borderId="0" xfId="237" applyNumberFormat="1" applyFont="1" applyBorder="1" applyAlignment="1">
      <alignment vertical="center"/>
    </xf>
    <xf numFmtId="167" fontId="7" fillId="0" borderId="10" xfId="237" applyNumberFormat="1" applyFont="1" applyBorder="1" applyAlignment="1">
      <alignment vertical="center"/>
    </xf>
    <xf numFmtId="167" fontId="7" fillId="0" borderId="0" xfId="0" applyNumberFormat="1" applyFont="1" applyAlignment="1">
      <alignment vertical="center"/>
    </xf>
    <xf numFmtId="2" fontId="7" fillId="0" borderId="0" xfId="0" applyNumberFormat="1" applyFont="1" applyAlignment="1">
      <alignment vertical="center"/>
    </xf>
    <xf numFmtId="0" fontId="7" fillId="0" borderId="0" xfId="145" quotePrefix="1" applyFont="1" applyAlignment="1">
      <alignment vertical="center"/>
    </xf>
    <xf numFmtId="17" fontId="7" fillId="0" borderId="0" xfId="0" applyNumberFormat="1" applyFont="1" applyAlignment="1">
      <alignment horizontal="center" vertical="center"/>
    </xf>
    <xf numFmtId="2" fontId="7" fillId="0" borderId="0" xfId="234" applyNumberFormat="1" applyFont="1" applyAlignment="1">
      <alignment horizontal="center" vertical="center"/>
    </xf>
    <xf numFmtId="39" fontId="7" fillId="0" borderId="10" xfId="0" applyNumberFormat="1" applyFont="1" applyBorder="1" applyAlignment="1">
      <alignment vertical="center"/>
    </xf>
    <xf numFmtId="0" fontId="7" fillId="0" borderId="0" xfId="146" applyFont="1" applyAlignment="1">
      <alignment horizontal="left" vertical="center"/>
    </xf>
    <xf numFmtId="0" fontId="7" fillId="0" borderId="2" xfId="147" applyFont="1" applyBorder="1" applyAlignment="1">
      <alignment horizontal="center" vertical="center"/>
    </xf>
    <xf numFmtId="0" fontId="7" fillId="0" borderId="2" xfId="147" applyFont="1" applyBorder="1" applyAlignment="1">
      <alignment vertical="center"/>
    </xf>
    <xf numFmtId="0" fontId="11" fillId="0" borderId="2" xfId="147" applyFont="1" applyBorder="1" applyAlignment="1">
      <alignment horizontal="center" vertical="center"/>
    </xf>
    <xf numFmtId="0" fontId="11" fillId="0" borderId="0" xfId="147" applyFont="1" applyAlignment="1">
      <alignment horizontal="left" vertical="center"/>
    </xf>
    <xf numFmtId="0" fontId="11" fillId="0" borderId="0" xfId="147" applyFont="1" applyAlignment="1">
      <alignment vertical="center"/>
    </xf>
    <xf numFmtId="43" fontId="7" fillId="0" borderId="0" xfId="147" applyNumberFormat="1" applyFont="1" applyAlignment="1">
      <alignment vertical="center"/>
    </xf>
    <xf numFmtId="37" fontId="7" fillId="0" borderId="10" xfId="147" applyNumberFormat="1" applyFont="1" applyBorder="1" applyAlignment="1">
      <alignment vertical="center"/>
    </xf>
    <xf numFmtId="0" fontId="7" fillId="0" borderId="0" xfId="148" applyFont="1" applyAlignment="1">
      <alignment vertical="center"/>
    </xf>
    <xf numFmtId="43" fontId="7" fillId="0" borderId="0" xfId="208" applyFont="1" applyFill="1" applyAlignment="1">
      <alignment vertical="center"/>
    </xf>
    <xf numFmtId="37" fontId="7" fillId="0" borderId="0" xfId="148" applyNumberFormat="1" applyFont="1" applyAlignment="1">
      <alignment vertical="center"/>
    </xf>
    <xf numFmtId="37" fontId="7" fillId="0" borderId="10" xfId="148" applyNumberFormat="1" applyFont="1" applyBorder="1" applyAlignment="1">
      <alignment vertical="center"/>
    </xf>
    <xf numFmtId="0" fontId="7" fillId="0" borderId="0" xfId="147" quotePrefix="1" applyFont="1" applyAlignment="1">
      <alignment horizontal="center" vertical="center"/>
    </xf>
    <xf numFmtId="167" fontId="7" fillId="0" borderId="0" xfId="208" applyNumberFormat="1" applyFont="1" applyFill="1" applyAlignment="1" applyProtection="1">
      <alignment vertical="center"/>
    </xf>
    <xf numFmtId="0" fontId="15" fillId="0" borderId="0" xfId="0" applyFont="1" applyAlignment="1">
      <alignment vertical="center"/>
    </xf>
    <xf numFmtId="0" fontId="7" fillId="0" borderId="0" xfId="228" applyFont="1" applyAlignment="1">
      <alignment horizontal="center" vertical="center"/>
    </xf>
    <xf numFmtId="0" fontId="7" fillId="0" borderId="0" xfId="228" applyFont="1" applyAlignment="1">
      <alignment vertical="center"/>
    </xf>
    <xf numFmtId="0" fontId="7" fillId="0" borderId="0" xfId="229" applyFont="1" applyAlignment="1">
      <alignment vertical="center"/>
    </xf>
    <xf numFmtId="0" fontId="61" fillId="0" borderId="0" xfId="228" applyFont="1" applyAlignment="1">
      <alignment vertical="center"/>
    </xf>
    <xf numFmtId="0" fontId="7" fillId="0" borderId="0" xfId="228" applyFont="1" applyAlignment="1">
      <alignment horizontal="left" vertical="center"/>
    </xf>
    <xf numFmtId="0" fontId="7" fillId="0" borderId="0" xfId="228" applyFont="1" applyAlignment="1">
      <alignment horizontal="right" vertical="center"/>
    </xf>
    <xf numFmtId="0" fontId="7" fillId="0" borderId="2" xfId="229" applyFont="1" applyBorder="1" applyAlignment="1">
      <alignment horizontal="center" vertical="center"/>
    </xf>
    <xf numFmtId="167" fontId="7" fillId="0" borderId="2" xfId="208" quotePrefix="1" applyNumberFormat="1" applyFont="1" applyFill="1" applyBorder="1" applyAlignment="1">
      <alignment horizontal="center" vertical="center"/>
    </xf>
    <xf numFmtId="0" fontId="7" fillId="0" borderId="0" xfId="229" applyFont="1" applyAlignment="1">
      <alignment horizontal="center" vertical="center"/>
    </xf>
    <xf numFmtId="167" fontId="7" fillId="0" borderId="0" xfId="208" applyNumberFormat="1" applyFont="1" applyFill="1" applyBorder="1" applyAlignment="1">
      <alignment horizontal="center" vertical="center"/>
    </xf>
    <xf numFmtId="0" fontId="7" fillId="0" borderId="0" xfId="230" applyFont="1" applyAlignment="1">
      <alignment horizontal="center" vertical="center"/>
    </xf>
    <xf numFmtId="0" fontId="7" fillId="0" borderId="2" xfId="230" quotePrefix="1" applyFont="1" applyBorder="1" applyAlignment="1">
      <alignment horizontal="center" vertical="center"/>
    </xf>
    <xf numFmtId="49" fontId="7" fillId="0" borderId="0" xfId="231" applyNumberFormat="1" applyFont="1" applyAlignment="1">
      <alignment horizontal="left" vertical="center"/>
    </xf>
    <xf numFmtId="167" fontId="7" fillId="0" borderId="0" xfId="230" applyNumberFormat="1" applyFont="1" applyAlignment="1">
      <alignment vertical="center"/>
    </xf>
    <xf numFmtId="17" fontId="7" fillId="0" borderId="0" xfId="231" quotePrefix="1" applyNumberFormat="1" applyFont="1" applyAlignment="1">
      <alignment horizontal="left" vertical="center"/>
    </xf>
    <xf numFmtId="167" fontId="7" fillId="0" borderId="0" xfId="208" quotePrefix="1" applyNumberFormat="1" applyFont="1" applyFill="1" applyAlignment="1">
      <alignment horizontal="center" vertical="center"/>
    </xf>
    <xf numFmtId="167" fontId="7" fillId="0" borderId="0" xfId="229" applyNumberFormat="1" applyFont="1" applyAlignment="1">
      <alignment vertical="center"/>
    </xf>
    <xf numFmtId="167" fontId="7" fillId="0" borderId="10" xfId="208" applyNumberFormat="1" applyFont="1" applyFill="1" applyBorder="1" applyAlignment="1">
      <alignment vertical="center"/>
    </xf>
    <xf numFmtId="167" fontId="7" fillId="0" borderId="0" xfId="232" applyNumberFormat="1" applyFont="1" applyFill="1" applyAlignment="1">
      <alignment vertical="center"/>
    </xf>
    <xf numFmtId="0" fontId="12" fillId="0" borderId="0" xfId="229" quotePrefix="1" applyFont="1" applyAlignment="1">
      <alignment vertical="center"/>
    </xf>
    <xf numFmtId="167" fontId="7" fillId="0" borderId="11" xfId="229" applyNumberFormat="1" applyFont="1" applyBorder="1" applyAlignment="1">
      <alignment vertical="center"/>
    </xf>
    <xf numFmtId="0" fontId="7" fillId="0" borderId="2" xfId="0" applyFont="1" applyBorder="1" applyAlignment="1">
      <alignment horizontal="center" vertical="center"/>
    </xf>
    <xf numFmtId="0" fontId="7" fillId="0" borderId="2" xfId="0" quotePrefix="1" applyFont="1" applyBorder="1" applyAlignment="1">
      <alignment horizontal="center" vertical="center"/>
    </xf>
    <xf numFmtId="0" fontId="7" fillId="0" borderId="6" xfId="163" applyFont="1" applyBorder="1" applyAlignment="1">
      <alignment horizontal="center" vertical="center"/>
    </xf>
    <xf numFmtId="167" fontId="7" fillId="0" borderId="0" xfId="215" applyNumberFormat="1" applyFont="1" applyFill="1" applyAlignment="1">
      <alignment vertical="center"/>
    </xf>
    <xf numFmtId="167" fontId="7" fillId="0" borderId="0" xfId="215" applyNumberFormat="1" applyFont="1" applyFill="1" applyBorder="1" applyAlignment="1" applyProtection="1">
      <alignment vertical="center"/>
    </xf>
    <xf numFmtId="167" fontId="7" fillId="0" borderId="10" xfId="215" applyNumberFormat="1" applyFont="1" applyFill="1" applyBorder="1" applyAlignment="1">
      <alignment vertical="center"/>
    </xf>
    <xf numFmtId="167" fontId="7" fillId="0" borderId="0" xfId="215" applyNumberFormat="1" applyFont="1" applyFill="1" applyBorder="1" applyAlignment="1">
      <alignment vertical="center"/>
    </xf>
    <xf numFmtId="0" fontId="7" fillId="0" borderId="0" xfId="229" applyFont="1" applyAlignment="1">
      <alignment horizontal="left" vertical="center"/>
    </xf>
    <xf numFmtId="10" fontId="7" fillId="0" borderId="0" xfId="229" applyNumberFormat="1" applyFont="1" applyAlignment="1">
      <alignment vertical="center"/>
    </xf>
    <xf numFmtId="167" fontId="7" fillId="0" borderId="0" xfId="215" applyNumberFormat="1" applyFont="1" applyFill="1" applyAlignment="1" applyProtection="1">
      <alignment vertical="center"/>
    </xf>
    <xf numFmtId="37" fontId="7" fillId="0" borderId="0" xfId="229" applyNumberFormat="1" applyFont="1" applyAlignment="1">
      <alignment vertical="center"/>
    </xf>
    <xf numFmtId="0" fontId="7" fillId="0" borderId="0" xfId="215" applyNumberFormat="1" applyFont="1" applyFill="1" applyBorder="1" applyAlignment="1" applyProtection="1">
      <alignment vertical="center"/>
    </xf>
    <xf numFmtId="167" fontId="7" fillId="0" borderId="10" xfId="215" applyNumberFormat="1" applyFont="1" applyFill="1" applyBorder="1" applyAlignment="1" applyProtection="1">
      <alignment vertical="center"/>
    </xf>
    <xf numFmtId="0" fontId="7" fillId="0" borderId="0" xfId="215" applyNumberFormat="1" applyFont="1" applyFill="1" applyAlignment="1" applyProtection="1">
      <alignment vertical="center"/>
    </xf>
    <xf numFmtId="0" fontId="7" fillId="0" borderId="0" xfId="229" quotePrefix="1" applyFont="1" applyAlignment="1">
      <alignment horizontal="left" vertical="center"/>
    </xf>
    <xf numFmtId="0" fontId="11" fillId="0" borderId="0" xfId="229" applyFont="1" applyAlignment="1">
      <alignment horizontal="left" vertical="center"/>
    </xf>
    <xf numFmtId="0" fontId="7" fillId="0" borderId="0" xfId="215" applyNumberFormat="1" applyFont="1" applyFill="1" applyAlignment="1">
      <alignment vertical="center"/>
    </xf>
    <xf numFmtId="167" fontId="7" fillId="0" borderId="10" xfId="229" applyNumberFormat="1" applyFont="1" applyBorder="1" applyAlignment="1">
      <alignment vertical="center"/>
    </xf>
    <xf numFmtId="37" fontId="7" fillId="0" borderId="0" xfId="208" applyNumberFormat="1" applyFont="1" applyFill="1" applyBorder="1" applyAlignment="1">
      <alignment horizontal="right" vertical="center"/>
    </xf>
    <xf numFmtId="37" fontId="7" fillId="0" borderId="0" xfId="208" applyNumberFormat="1" applyFont="1" applyFill="1" applyAlignment="1">
      <alignment horizontal="right" vertical="center"/>
    </xf>
    <xf numFmtId="37" fontId="7" fillId="0" borderId="0" xfId="139" applyFont="1" applyAlignment="1">
      <alignment horizontal="right" vertical="center"/>
    </xf>
    <xf numFmtId="37" fontId="7" fillId="0" borderId="0" xfId="205" applyNumberFormat="1" applyAlignment="1">
      <alignment horizontal="right" vertical="center"/>
    </xf>
    <xf numFmtId="168" fontId="7" fillId="0" borderId="0" xfId="0" applyNumberFormat="1" applyFont="1" applyAlignment="1">
      <alignment vertical="center"/>
    </xf>
    <xf numFmtId="37" fontId="7" fillId="0" borderId="0" xfId="0" applyNumberFormat="1" applyFont="1" applyAlignment="1">
      <alignment horizontal="right" vertical="center"/>
    </xf>
    <xf numFmtId="168" fontId="7" fillId="0" borderId="0" xfId="205" applyNumberFormat="1" applyAlignment="1">
      <alignment vertical="center"/>
    </xf>
    <xf numFmtId="0" fontId="11" fillId="0" borderId="0" xfId="0" applyFont="1" applyAlignment="1">
      <alignment horizontal="center" vertical="center"/>
    </xf>
    <xf numFmtId="0" fontId="7" fillId="0" borderId="2" xfId="0" applyFont="1" applyBorder="1" applyAlignment="1">
      <alignment vertical="center"/>
    </xf>
    <xf numFmtId="167" fontId="7" fillId="0" borderId="0" xfId="209" applyNumberFormat="1" applyFont="1" applyFill="1" applyAlignment="1" applyProtection="1">
      <alignment vertical="center"/>
    </xf>
    <xf numFmtId="10" fontId="7" fillId="0" borderId="0" xfId="205" applyNumberFormat="1" applyAlignment="1">
      <alignment horizontal="center" vertical="center"/>
    </xf>
    <xf numFmtId="37" fontId="7" fillId="0" borderId="0" xfId="0" applyNumberFormat="1" applyFont="1" applyAlignment="1" applyProtection="1">
      <alignment vertical="center"/>
      <protection locked="0"/>
    </xf>
    <xf numFmtId="7" fontId="7" fillId="0" borderId="0" xfId="0" applyNumberFormat="1" applyFont="1" applyAlignment="1">
      <alignment vertical="center"/>
    </xf>
    <xf numFmtId="43" fontId="7" fillId="0" borderId="0" xfId="209" applyFont="1" applyFill="1" applyAlignment="1" applyProtection="1">
      <alignment vertical="center"/>
    </xf>
    <xf numFmtId="167" fontId="7" fillId="0" borderId="10" xfId="209" applyNumberFormat="1" applyFont="1" applyFill="1" applyBorder="1" applyAlignment="1" applyProtection="1">
      <alignment vertical="center"/>
    </xf>
    <xf numFmtId="1" fontId="7" fillId="0" borderId="10" xfId="0" applyNumberFormat="1" applyFont="1" applyBorder="1" applyAlignment="1">
      <alignment vertical="center"/>
    </xf>
    <xf numFmtId="37" fontId="7" fillId="0" borderId="0" xfId="208" applyNumberFormat="1" applyFont="1" applyFill="1" applyAlignment="1">
      <alignment vertical="center"/>
    </xf>
    <xf numFmtId="167" fontId="7" fillId="0" borderId="0" xfId="0" applyNumberFormat="1" applyFont="1" applyAlignment="1" applyProtection="1">
      <alignment vertical="center"/>
      <protection locked="0"/>
    </xf>
    <xf numFmtId="41" fontId="7" fillId="0" borderId="0" xfId="0" applyNumberFormat="1" applyFont="1" applyAlignment="1" applyProtection="1">
      <alignment vertical="center"/>
      <protection locked="0"/>
    </xf>
    <xf numFmtId="0" fontId="7" fillId="0" borderId="0" xfId="164" applyFont="1" applyAlignment="1">
      <alignment horizontal="center" vertical="center"/>
    </xf>
    <xf numFmtId="0" fontId="7" fillId="0" borderId="0" xfId="164" applyFont="1" applyAlignment="1">
      <alignment vertical="center"/>
    </xf>
    <xf numFmtId="0" fontId="7" fillId="0" borderId="0" xfId="164" applyFont="1" applyAlignment="1">
      <alignment horizontal="right" vertical="center"/>
    </xf>
    <xf numFmtId="0" fontId="7" fillId="0" borderId="2" xfId="164" applyFont="1" applyBorder="1" applyAlignment="1">
      <alignment horizontal="center" vertical="center"/>
    </xf>
    <xf numFmtId="0" fontId="12" fillId="0" borderId="0" xfId="164" applyFont="1" applyAlignment="1">
      <alignment vertical="center"/>
    </xf>
    <xf numFmtId="0" fontId="12" fillId="0" borderId="0" xfId="164" applyFont="1" applyAlignment="1">
      <alignment horizontal="center" vertical="center"/>
    </xf>
    <xf numFmtId="49" fontId="7" fillId="0" borderId="0" xfId="164" applyNumberFormat="1" applyFont="1" applyAlignment="1">
      <alignment horizontal="left" vertical="center"/>
    </xf>
    <xf numFmtId="37" fontId="7" fillId="0" borderId="0" xfId="164" applyNumberFormat="1" applyFont="1" applyAlignment="1">
      <alignment vertical="center"/>
    </xf>
    <xf numFmtId="49" fontId="12" fillId="0" borderId="0" xfId="164" applyNumberFormat="1" applyFont="1" applyAlignment="1">
      <alignment horizontal="left" vertical="center"/>
    </xf>
    <xf numFmtId="0" fontId="7" fillId="0" borderId="0" xfId="164" applyFont="1" applyAlignment="1">
      <alignment horizontal="left" vertical="center"/>
    </xf>
    <xf numFmtId="37" fontId="18" fillId="0" borderId="0" xfId="164" applyNumberFormat="1"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xf>
    <xf numFmtId="37" fontId="11" fillId="0" borderId="0" xfId="0" applyNumberFormat="1" applyFont="1" applyAlignment="1">
      <alignment vertical="center"/>
    </xf>
    <xf numFmtId="37" fontId="15" fillId="0" borderId="0" xfId="0" applyNumberFormat="1" applyFont="1" applyAlignment="1">
      <alignment vertical="center"/>
    </xf>
    <xf numFmtId="10" fontId="15" fillId="0" borderId="0" xfId="0" applyNumberFormat="1" applyFont="1" applyAlignment="1">
      <alignment vertical="center"/>
    </xf>
    <xf numFmtId="37" fontId="7" fillId="0" borderId="0" xfId="150" applyFont="1" applyAlignment="1">
      <alignment vertical="center"/>
    </xf>
    <xf numFmtId="37" fontId="7" fillId="0" borderId="0" xfId="150" applyFont="1" applyAlignment="1">
      <alignment horizontal="center" vertical="center"/>
    </xf>
    <xf numFmtId="37" fontId="7" fillId="0" borderId="0" xfId="150" applyFont="1" applyAlignment="1">
      <alignment horizontal="right" vertical="center"/>
    </xf>
    <xf numFmtId="0" fontId="7" fillId="0" borderId="0" xfId="144" applyFont="1" applyAlignment="1">
      <alignment horizontal="left" vertical="center"/>
    </xf>
    <xf numFmtId="37" fontId="7" fillId="0" borderId="0" xfId="150" applyFont="1" applyAlignment="1">
      <alignment horizontal="left" vertical="center"/>
    </xf>
    <xf numFmtId="37" fontId="7" fillId="0" borderId="2" xfId="150" applyFont="1" applyBorder="1" applyAlignment="1">
      <alignment vertical="center"/>
    </xf>
    <xf numFmtId="37" fontId="11" fillId="0" borderId="2" xfId="150" applyFont="1" applyBorder="1" applyAlignment="1">
      <alignment vertical="center"/>
    </xf>
    <xf numFmtId="37" fontId="11" fillId="0" borderId="2" xfId="150" applyFont="1" applyBorder="1" applyAlignment="1">
      <alignment horizontal="center" vertical="center"/>
    </xf>
    <xf numFmtId="37" fontId="11" fillId="0" borderId="0" xfId="150" applyFont="1" applyAlignment="1">
      <alignment vertical="center"/>
    </xf>
    <xf numFmtId="169" fontId="7" fillId="0" borderId="0" xfId="150" applyNumberFormat="1" applyFont="1" applyAlignment="1">
      <alignment vertical="center"/>
    </xf>
    <xf numFmtId="39" fontId="7" fillId="0" borderId="0" xfId="150" applyNumberFormat="1" applyFont="1" applyAlignment="1">
      <alignment horizontal="left" vertical="center"/>
    </xf>
    <xf numFmtId="39" fontId="7" fillId="0" borderId="0" xfId="148" applyNumberFormat="1" applyFont="1" applyAlignment="1">
      <alignment horizontal="left" vertical="center"/>
    </xf>
    <xf numFmtId="39" fontId="7" fillId="0" borderId="0" xfId="150" applyNumberFormat="1" applyFont="1" applyAlignment="1">
      <alignment vertical="center"/>
    </xf>
    <xf numFmtId="0" fontId="11" fillId="0" borderId="0" xfId="0" applyFont="1" applyAlignment="1">
      <alignment horizontal="left" vertical="center"/>
    </xf>
    <xf numFmtId="2" fontId="7" fillId="0" borderId="0" xfId="150" applyNumberFormat="1" applyFont="1" applyAlignment="1">
      <alignment vertical="center"/>
    </xf>
    <xf numFmtId="37" fontId="7" fillId="0" borderId="7" xfId="150" applyFont="1" applyBorder="1" applyAlignment="1">
      <alignment vertical="center"/>
    </xf>
    <xf numFmtId="0" fontId="7" fillId="0" borderId="0" xfId="151" applyFont="1" applyAlignment="1">
      <alignment horizontal="right" vertical="center"/>
    </xf>
    <xf numFmtId="0" fontId="7" fillId="0" borderId="0" xfId="151" applyFont="1" applyAlignment="1">
      <alignment vertical="center"/>
    </xf>
    <xf numFmtId="0" fontId="13" fillId="0" borderId="0" xfId="151" applyFont="1" applyAlignment="1">
      <alignment vertical="center"/>
    </xf>
    <xf numFmtId="0" fontId="7" fillId="0" borderId="0" xfId="149" applyFont="1" applyAlignment="1">
      <alignment horizontal="center" vertical="center"/>
    </xf>
    <xf numFmtId="0" fontId="7" fillId="0" borderId="0" xfId="149" applyFont="1" applyAlignment="1">
      <alignment horizontal="left" vertical="center"/>
    </xf>
    <xf numFmtId="0" fontId="7" fillId="0" borderId="0" xfId="149" applyFont="1" applyAlignment="1">
      <alignment horizontal="right" vertical="center"/>
    </xf>
    <xf numFmtId="0" fontId="7" fillId="0" borderId="8" xfId="149" applyFont="1" applyBorder="1" applyAlignment="1">
      <alignment vertical="center"/>
    </xf>
    <xf numFmtId="0" fontId="7" fillId="0" borderId="8" xfId="149" applyFont="1" applyBorder="1" applyAlignment="1">
      <alignment horizontal="center" vertical="center"/>
    </xf>
    <xf numFmtId="39" fontId="7" fillId="0" borderId="0" xfId="149" applyNumberFormat="1" applyFont="1" applyAlignment="1">
      <alignment vertical="center"/>
    </xf>
    <xf numFmtId="39" fontId="11" fillId="0" borderId="0" xfId="149" applyNumberFormat="1" applyFont="1" applyAlignment="1">
      <alignment vertical="center"/>
    </xf>
    <xf numFmtId="0" fontId="7" fillId="0" borderId="0" xfId="145" applyFont="1" applyAlignment="1" applyProtection="1">
      <alignment vertical="center"/>
      <protection locked="0"/>
    </xf>
    <xf numFmtId="0" fontId="12" fillId="0" borderId="0" xfId="145" applyFont="1" applyAlignment="1">
      <alignment vertical="center"/>
    </xf>
    <xf numFmtId="0" fontId="7" fillId="0" borderId="0" xfId="148" applyFont="1" applyAlignment="1">
      <alignment horizontal="center" vertical="center"/>
    </xf>
    <xf numFmtId="0" fontId="7" fillId="0" borderId="0" xfId="148" applyFont="1" applyAlignment="1">
      <alignment horizontal="left" vertical="center"/>
    </xf>
    <xf numFmtId="0" fontId="7" fillId="0" borderId="0" xfId="148" applyFont="1" applyAlignment="1">
      <alignment horizontal="right" vertical="center"/>
    </xf>
    <xf numFmtId="0" fontId="7" fillId="0" borderId="8" xfId="148" applyFont="1" applyBorder="1" applyAlignment="1">
      <alignment vertical="center"/>
    </xf>
    <xf numFmtId="39" fontId="7" fillId="0" borderId="0" xfId="148" applyNumberFormat="1" applyFont="1" applyAlignment="1">
      <alignment vertical="center"/>
    </xf>
    <xf numFmtId="39" fontId="11" fillId="0" borderId="0" xfId="148" applyNumberFormat="1" applyFont="1" applyAlignment="1">
      <alignment horizontal="left" vertical="center"/>
    </xf>
    <xf numFmtId="0" fontId="7" fillId="0" borderId="8" xfId="148" applyFont="1" applyBorder="1" applyAlignment="1">
      <alignment horizontal="center" vertical="center"/>
    </xf>
    <xf numFmtId="0" fontId="11" fillId="0" borderId="2" xfId="0" applyFont="1" applyBorder="1" applyAlignment="1">
      <alignment vertical="center"/>
    </xf>
    <xf numFmtId="0" fontId="13" fillId="0" borderId="0" xfId="163" applyAlignment="1">
      <alignment vertical="center"/>
    </xf>
    <xf numFmtId="0" fontId="29" fillId="0" borderId="0" xfId="163" applyFont="1" applyAlignment="1">
      <alignment vertical="center"/>
    </xf>
    <xf numFmtId="0" fontId="29" fillId="0" borderId="0" xfId="163" applyFont="1" applyAlignment="1" applyProtection="1">
      <alignment vertical="center"/>
      <protection locked="0"/>
    </xf>
    <xf numFmtId="0" fontId="51" fillId="0" borderId="0" xfId="163" applyFont="1" applyAlignment="1">
      <alignment vertical="center"/>
    </xf>
    <xf numFmtId="0" fontId="29" fillId="0" borderId="0" xfId="163" applyFont="1" applyAlignment="1">
      <alignment horizontal="left" vertical="center"/>
    </xf>
    <xf numFmtId="0" fontId="29" fillId="0" borderId="0" xfId="163" applyFont="1" applyAlignment="1" applyProtection="1">
      <alignment horizontal="left" vertical="center"/>
      <protection locked="0"/>
    </xf>
    <xf numFmtId="0" fontId="29" fillId="0" borderId="0" xfId="163" applyFont="1" applyAlignment="1" applyProtection="1">
      <alignment horizontal="right" vertical="center"/>
      <protection locked="0"/>
    </xf>
    <xf numFmtId="0" fontId="29" fillId="0" borderId="8" xfId="163" applyFont="1" applyBorder="1" applyAlignment="1" applyProtection="1">
      <alignment horizontal="center" vertical="center"/>
      <protection locked="0"/>
    </xf>
    <xf numFmtId="0" fontId="29" fillId="0" borderId="8" xfId="163" applyFont="1" applyBorder="1" applyAlignment="1" applyProtection="1">
      <alignment vertical="center"/>
      <protection locked="0"/>
    </xf>
    <xf numFmtId="0" fontId="29" fillId="0" borderId="0" xfId="163" applyFont="1" applyAlignment="1">
      <alignment horizontal="center" vertical="center"/>
    </xf>
    <xf numFmtId="2" fontId="29" fillId="0" borderId="0" xfId="163" applyNumberFormat="1" applyFont="1" applyAlignment="1">
      <alignment horizontal="center" vertical="center"/>
    </xf>
    <xf numFmtId="37" fontId="29" fillId="0" borderId="0" xfId="139" applyFont="1" applyAlignment="1">
      <alignment vertical="center"/>
    </xf>
    <xf numFmtId="37" fontId="29" fillId="0" borderId="0" xfId="139" applyFont="1" applyAlignment="1">
      <alignment horizontal="left" vertical="center"/>
    </xf>
    <xf numFmtId="187" fontId="29" fillId="0" borderId="0" xfId="163" applyNumberFormat="1" applyFont="1" applyAlignment="1">
      <alignment vertical="center"/>
    </xf>
    <xf numFmtId="37" fontId="29" fillId="0" borderId="0" xfId="139" applyFont="1" applyAlignment="1">
      <alignment horizontal="center" vertical="center"/>
    </xf>
    <xf numFmtId="0" fontId="7" fillId="0" borderId="0" xfId="163" applyFont="1" applyAlignment="1" applyProtection="1">
      <alignment horizontal="center" vertical="center"/>
      <protection locked="0"/>
    </xf>
    <xf numFmtId="0" fontId="7" fillId="0" borderId="0" xfId="163" applyFont="1" applyAlignment="1" applyProtection="1">
      <alignment vertical="center"/>
      <protection locked="0"/>
    </xf>
    <xf numFmtId="0" fontId="7" fillId="0" borderId="0" xfId="163" applyFont="1" applyAlignment="1">
      <alignment horizontal="right" vertical="center"/>
    </xf>
    <xf numFmtId="0" fontId="15" fillId="0" borderId="0" xfId="163" applyFont="1" applyAlignment="1">
      <alignment vertical="center"/>
    </xf>
    <xf numFmtId="0" fontId="7" fillId="0" borderId="0" xfId="163" applyFont="1" applyAlignment="1" applyProtection="1">
      <alignment horizontal="right" vertical="center"/>
      <protection locked="0"/>
    </xf>
    <xf numFmtId="0" fontId="7" fillId="0" borderId="5" xfId="163" applyFont="1" applyBorder="1" applyAlignment="1">
      <alignment vertical="center"/>
    </xf>
    <xf numFmtId="0" fontId="7" fillId="0" borderId="5" xfId="163" applyFont="1" applyBorder="1" applyAlignment="1" applyProtection="1">
      <alignment horizontal="center" vertical="center"/>
      <protection locked="0"/>
    </xf>
    <xf numFmtId="0" fontId="11" fillId="0" borderId="0" xfId="163" applyFont="1" applyAlignment="1" applyProtection="1">
      <alignment horizontal="left" vertical="center"/>
      <protection locked="0"/>
    </xf>
    <xf numFmtId="0" fontId="7" fillId="0" borderId="0" xfId="163" applyFont="1" applyAlignment="1" applyProtection="1">
      <alignment horizontal="left" vertical="center"/>
      <protection locked="0"/>
    </xf>
    <xf numFmtId="37" fontId="7" fillId="0" borderId="0" xfId="163" applyNumberFormat="1" applyFont="1" applyAlignment="1" applyProtection="1">
      <alignment vertical="center"/>
      <protection locked="0"/>
    </xf>
    <xf numFmtId="9" fontId="7" fillId="0" borderId="0" xfId="163" applyNumberFormat="1" applyFont="1" applyAlignment="1">
      <alignment horizontal="center" vertical="center"/>
    </xf>
    <xf numFmtId="37" fontId="7" fillId="0" borderId="0" xfId="163" applyNumberFormat="1" applyFont="1" applyAlignment="1">
      <alignment vertical="center"/>
    </xf>
    <xf numFmtId="9" fontId="7" fillId="0" borderId="0" xfId="163" applyNumberFormat="1" applyFont="1" applyAlignment="1" applyProtection="1">
      <alignment horizontal="center" vertical="center"/>
      <protection locked="0"/>
    </xf>
    <xf numFmtId="2" fontId="7" fillId="0" borderId="0" xfId="163" applyNumberFormat="1" applyFont="1" applyAlignment="1" applyProtection="1">
      <alignment horizontal="center" vertical="center"/>
      <protection locked="0"/>
    </xf>
    <xf numFmtId="9" fontId="61" fillId="0" borderId="0" xfId="163" applyNumberFormat="1" applyFont="1" applyAlignment="1" applyProtection="1">
      <alignment horizontal="center" vertical="center"/>
      <protection locked="0"/>
    </xf>
    <xf numFmtId="37" fontId="13" fillId="0" borderId="0" xfId="163" applyNumberFormat="1" applyAlignment="1">
      <alignment vertical="center"/>
    </xf>
    <xf numFmtId="0" fontId="7" fillId="0" borderId="0" xfId="163" quotePrefix="1" applyFont="1" applyAlignment="1" applyProtection="1">
      <alignment horizontal="left" vertical="center"/>
      <protection locked="0"/>
    </xf>
    <xf numFmtId="37" fontId="7" fillId="0" borderId="0" xfId="163" applyNumberFormat="1" applyFont="1" applyAlignment="1" applyProtection="1">
      <alignment horizontal="left" vertical="center"/>
      <protection locked="0"/>
    </xf>
    <xf numFmtId="9" fontId="7" fillId="0" borderId="0" xfId="163" applyNumberFormat="1" applyFont="1" applyAlignment="1">
      <alignment horizontal="left" vertical="center"/>
    </xf>
    <xf numFmtId="178" fontId="7" fillId="0" borderId="0" xfId="163" applyNumberFormat="1" applyFont="1" applyAlignment="1" applyProtection="1">
      <alignment vertical="center"/>
      <protection locked="0"/>
    </xf>
    <xf numFmtId="164" fontId="7" fillId="0" borderId="0" xfId="163" applyNumberFormat="1" applyFont="1" applyAlignment="1">
      <alignment horizontal="center" vertical="center"/>
    </xf>
    <xf numFmtId="178" fontId="7" fillId="0" borderId="0" xfId="163" applyNumberFormat="1" applyFont="1" applyAlignment="1" applyProtection="1">
      <alignment horizontal="center" vertical="center"/>
      <protection locked="0"/>
    </xf>
    <xf numFmtId="178" fontId="7" fillId="0" borderId="0" xfId="163" applyNumberFormat="1" applyFont="1" applyAlignment="1">
      <alignment horizontal="center" vertical="center"/>
    </xf>
    <xf numFmtId="0" fontId="15" fillId="0" borderId="0" xfId="163" applyFont="1" applyAlignment="1">
      <alignment horizontal="center" vertical="center"/>
    </xf>
    <xf numFmtId="189" fontId="15" fillId="0" borderId="0" xfId="163" applyNumberFormat="1" applyFont="1" applyAlignment="1">
      <alignment vertical="center"/>
    </xf>
    <xf numFmtId="0" fontId="15" fillId="0" borderId="0" xfId="163" applyFont="1" applyAlignment="1">
      <alignment horizontal="right" vertical="center"/>
    </xf>
    <xf numFmtId="37" fontId="15" fillId="0" borderId="0" xfId="163" applyNumberFormat="1" applyFont="1" applyAlignment="1">
      <alignment vertical="center"/>
    </xf>
    <xf numFmtId="0" fontId="61" fillId="0" borderId="0" xfId="163" applyFont="1" applyAlignment="1" applyProtection="1">
      <alignment horizontal="center" vertical="center"/>
      <protection locked="0"/>
    </xf>
    <xf numFmtId="0" fontId="49" fillId="0" borderId="0" xfId="163" applyFont="1" applyAlignment="1">
      <alignment vertical="center"/>
    </xf>
    <xf numFmtId="0" fontId="61" fillId="0" borderId="0" xfId="163" applyFont="1" applyAlignment="1" applyProtection="1">
      <alignment horizontal="right" vertical="center"/>
      <protection locked="0"/>
    </xf>
    <xf numFmtId="0" fontId="7" fillId="0" borderId="6" xfId="163" applyFont="1" applyBorder="1" applyAlignment="1">
      <alignment vertical="center"/>
    </xf>
    <xf numFmtId="0" fontId="7" fillId="0" borderId="5" xfId="163" applyFont="1" applyBorder="1" applyAlignment="1">
      <alignment horizontal="center" vertical="center"/>
    </xf>
    <xf numFmtId="0" fontId="50" fillId="0" borderId="0" xfId="163" applyFont="1" applyAlignment="1">
      <alignment horizontal="center" vertical="center"/>
    </xf>
    <xf numFmtId="0" fontId="11" fillId="0" borderId="0" xfId="163" applyFont="1" applyAlignment="1" applyProtection="1">
      <alignment vertical="center"/>
      <protection locked="0"/>
    </xf>
    <xf numFmtId="37" fontId="9" fillId="0" borderId="0" xfId="163" applyNumberFormat="1" applyFont="1" applyAlignment="1">
      <alignment vertical="center"/>
    </xf>
    <xf numFmtId="37" fontId="50" fillId="0" borderId="0" xfId="163" applyNumberFormat="1" applyFont="1" applyAlignment="1">
      <alignment vertical="center"/>
    </xf>
    <xf numFmtId="10" fontId="7" fillId="0" borderId="0" xfId="163" applyNumberFormat="1" applyFont="1" applyAlignment="1">
      <alignment vertical="center"/>
    </xf>
    <xf numFmtId="37" fontId="9" fillId="0" borderId="0" xfId="163" applyNumberFormat="1" applyFont="1" applyAlignment="1" applyProtection="1">
      <alignment vertical="center"/>
      <protection locked="0"/>
    </xf>
    <xf numFmtId="10" fontId="7" fillId="0" borderId="7" xfId="163" applyNumberFormat="1" applyFont="1" applyBorder="1" applyAlignment="1">
      <alignment vertical="center"/>
    </xf>
    <xf numFmtId="0" fontId="48" fillId="0" borderId="0" xfId="163" applyFont="1" applyAlignment="1">
      <alignment vertical="center"/>
    </xf>
    <xf numFmtId="37" fontId="48" fillId="0" borderId="0" xfId="163" applyNumberFormat="1" applyFont="1" applyAlignment="1">
      <alignment vertical="center"/>
    </xf>
    <xf numFmtId="0" fontId="48" fillId="0" borderId="0" xfId="163" applyFont="1" applyAlignment="1">
      <alignment horizontal="left" vertical="center"/>
    </xf>
    <xf numFmtId="37" fontId="15" fillId="0" borderId="0" xfId="163" applyNumberFormat="1" applyFont="1" applyAlignment="1">
      <alignment horizontal="left" vertical="center"/>
    </xf>
    <xf numFmtId="0" fontId="48" fillId="0" borderId="0" xfId="163" quotePrefix="1" applyFont="1" applyAlignment="1">
      <alignment vertical="center"/>
    </xf>
    <xf numFmtId="9" fontId="15" fillId="0" borderId="0" xfId="163" applyNumberFormat="1" applyFont="1" applyAlignment="1">
      <alignment vertical="center"/>
    </xf>
    <xf numFmtId="0" fontId="28" fillId="0" borderId="0" xfId="213" applyFont="1" applyAlignment="1">
      <alignment horizontal="left" vertical="center"/>
    </xf>
    <xf numFmtId="0" fontId="28" fillId="0" borderId="0" xfId="213" applyFont="1" applyAlignment="1">
      <alignment horizontal="right" vertical="center"/>
    </xf>
    <xf numFmtId="0" fontId="71" fillId="0" borderId="0" xfId="213" applyFont="1" applyAlignment="1">
      <alignment horizontal="center" vertical="center"/>
    </xf>
    <xf numFmtId="0" fontId="71" fillId="0" borderId="0" xfId="213" applyFont="1" applyAlignment="1">
      <alignment horizontal="left" vertical="center"/>
    </xf>
    <xf numFmtId="167" fontId="28" fillId="0" borderId="0" xfId="214" applyNumberFormat="1" applyFont="1" applyFill="1" applyAlignment="1">
      <alignment vertical="center"/>
    </xf>
    <xf numFmtId="167" fontId="28" fillId="0" borderId="0" xfId="214" applyNumberFormat="1" applyFont="1" applyFill="1" applyBorder="1" applyAlignment="1">
      <alignment vertical="center"/>
    </xf>
    <xf numFmtId="167" fontId="28" fillId="0" borderId="0" xfId="213" applyNumberFormat="1" applyFont="1" applyAlignment="1">
      <alignment vertical="center"/>
    </xf>
    <xf numFmtId="174" fontId="28" fillId="0" borderId="0" xfId="207" applyNumberFormat="1" applyFont="1" applyFill="1" applyAlignment="1">
      <alignment vertical="center"/>
    </xf>
    <xf numFmtId="182" fontId="28" fillId="0" borderId="0" xfId="207" applyNumberFormat="1" applyFont="1" applyFill="1" applyAlignment="1">
      <alignment vertical="center"/>
    </xf>
    <xf numFmtId="175" fontId="28" fillId="0" borderId="0" xfId="206" applyNumberFormat="1" applyFont="1" applyFill="1" applyBorder="1" applyAlignment="1">
      <alignment vertical="center"/>
    </xf>
    <xf numFmtId="192" fontId="72" fillId="0" borderId="0" xfId="214" applyNumberFormat="1" applyFont="1" applyFill="1" applyAlignment="1">
      <alignment vertical="center"/>
    </xf>
    <xf numFmtId="183" fontId="28" fillId="0" borderId="0" xfId="207" applyNumberFormat="1" applyFont="1" applyFill="1" applyBorder="1" applyAlignment="1">
      <alignment vertical="center"/>
    </xf>
    <xf numFmtId="167" fontId="28" fillId="0" borderId="2" xfId="213" applyNumberFormat="1" applyFont="1" applyBorder="1" applyAlignment="1">
      <alignment vertical="center"/>
    </xf>
    <xf numFmtId="175" fontId="72" fillId="0" borderId="0" xfId="206" applyNumberFormat="1" applyFont="1" applyFill="1" applyBorder="1" applyAlignment="1">
      <alignment vertical="center"/>
    </xf>
    <xf numFmtId="0" fontId="71" fillId="0" borderId="0" xfId="213" applyFont="1" applyAlignment="1">
      <alignment vertical="center"/>
    </xf>
    <xf numFmtId="37" fontId="28" fillId="0" borderId="0" xfId="213" applyNumberFormat="1" applyFont="1" applyAlignment="1">
      <alignment vertical="center"/>
    </xf>
    <xf numFmtId="182" fontId="28" fillId="0" borderId="0" xfId="213" applyNumberFormat="1" applyFont="1" applyAlignment="1">
      <alignment vertical="center"/>
    </xf>
    <xf numFmtId="175" fontId="28" fillId="0" borderId="7" xfId="213" applyNumberFormat="1" applyFont="1" applyBorder="1" applyAlignment="1">
      <alignment vertical="center"/>
    </xf>
    <xf numFmtId="0" fontId="23" fillId="0" borderId="0" xfId="213" applyFont="1" applyAlignment="1">
      <alignment vertical="center"/>
    </xf>
    <xf numFmtId="0" fontId="23" fillId="0" borderId="0" xfId="213" applyFont="1" applyAlignment="1">
      <alignment horizontal="center" vertical="center"/>
    </xf>
    <xf numFmtId="175" fontId="28" fillId="0" borderId="7" xfId="206" applyNumberFormat="1" applyFont="1" applyFill="1" applyBorder="1" applyAlignment="1">
      <alignment vertical="center"/>
    </xf>
    <xf numFmtId="183" fontId="28" fillId="0" borderId="0" xfId="213" applyNumberFormat="1" applyFont="1" applyAlignment="1">
      <alignment vertical="center"/>
    </xf>
    <xf numFmtId="175" fontId="28" fillId="0" borderId="0" xfId="213" applyNumberFormat="1" applyFont="1" applyAlignment="1">
      <alignment vertical="center"/>
    </xf>
    <xf numFmtId="167" fontId="72" fillId="0" borderId="0" xfId="214" applyNumberFormat="1" applyFont="1" applyFill="1" applyAlignment="1">
      <alignment vertical="center"/>
    </xf>
    <xf numFmtId="0" fontId="28" fillId="0" borderId="2" xfId="213" applyFont="1" applyBorder="1" applyAlignment="1">
      <alignment horizontal="center" vertical="center"/>
    </xf>
    <xf numFmtId="0" fontId="28" fillId="0" borderId="2" xfId="213" applyFont="1" applyBorder="1" applyAlignment="1">
      <alignment vertical="center"/>
    </xf>
    <xf numFmtId="188" fontId="28" fillId="0" borderId="0" xfId="206" applyNumberFormat="1" applyFont="1" applyFill="1" applyAlignment="1">
      <alignment vertical="center"/>
    </xf>
    <xf numFmtId="185" fontId="28" fillId="0" borderId="0" xfId="214" applyNumberFormat="1" applyFont="1" applyFill="1" applyAlignment="1">
      <alignment vertical="center"/>
    </xf>
    <xf numFmtId="0" fontId="7" fillId="0" borderId="0" xfId="154" applyFont="1" applyAlignment="1">
      <alignment horizontal="center" vertical="center"/>
    </xf>
    <xf numFmtId="0" fontId="7" fillId="0" borderId="0" xfId="154" applyFont="1" applyAlignment="1">
      <alignment horizontal="left" vertical="center"/>
    </xf>
    <xf numFmtId="5" fontId="7" fillId="0" borderId="0" xfId="0" applyNumberFormat="1" applyFont="1" applyAlignment="1">
      <alignment vertical="center"/>
    </xf>
    <xf numFmtId="182" fontId="7" fillId="0" borderId="0" xfId="0" applyNumberFormat="1" applyFont="1" applyAlignment="1">
      <alignment vertical="center"/>
    </xf>
    <xf numFmtId="188" fontId="28" fillId="0" borderId="0" xfId="206" applyNumberFormat="1" applyFont="1" applyFill="1" applyBorder="1" applyAlignment="1">
      <alignment vertical="center"/>
    </xf>
    <xf numFmtId="0" fontId="75" fillId="0" borderId="0" xfId="213" applyFont="1" applyAlignment="1">
      <alignment vertical="center"/>
    </xf>
    <xf numFmtId="0" fontId="29" fillId="0" borderId="0" xfId="161" applyFont="1" applyAlignment="1" applyProtection="1">
      <alignment horizontal="center" vertical="center"/>
      <protection locked="0"/>
    </xf>
    <xf numFmtId="0" fontId="29" fillId="0" borderId="0" xfId="161" applyFont="1" applyAlignment="1" applyProtection="1">
      <alignment vertical="center"/>
      <protection locked="0"/>
    </xf>
    <xf numFmtId="0" fontId="29" fillId="0" borderId="0" xfId="161" applyFont="1" applyAlignment="1" applyProtection="1">
      <alignment horizontal="right" vertical="center"/>
      <protection locked="0"/>
    </xf>
    <xf numFmtId="0" fontId="29" fillId="0" borderId="0" xfId="161" applyFont="1" applyAlignment="1">
      <alignment horizontal="left" vertical="center"/>
    </xf>
    <xf numFmtId="0" fontId="29" fillId="0" borderId="8" xfId="161" applyFont="1" applyBorder="1" applyAlignment="1">
      <alignment vertical="center"/>
    </xf>
    <xf numFmtId="0" fontId="29" fillId="0" borderId="8" xfId="161" applyFont="1" applyBorder="1" applyAlignment="1">
      <alignment horizontal="center" vertical="center"/>
    </xf>
    <xf numFmtId="0" fontId="51" fillId="0" borderId="0" xfId="161" applyFont="1" applyAlignment="1">
      <alignment vertical="center"/>
    </xf>
    <xf numFmtId="5" fontId="29" fillId="0" borderId="0" xfId="161" applyNumberFormat="1" applyFont="1" applyAlignment="1">
      <alignment vertical="center"/>
    </xf>
    <xf numFmtId="0" fontId="51" fillId="0" borderId="0" xfId="161" applyFont="1" applyAlignment="1">
      <alignment horizontal="left" vertical="center"/>
    </xf>
    <xf numFmtId="37" fontId="29" fillId="0" borderId="0" xfId="161" applyNumberFormat="1" applyFont="1" applyAlignment="1">
      <alignment vertical="center"/>
    </xf>
    <xf numFmtId="0" fontId="29" fillId="0" borderId="0" xfId="161" quotePrefix="1" applyFont="1" applyAlignment="1">
      <alignment horizontal="left" vertical="center"/>
    </xf>
    <xf numFmtId="37" fontId="29" fillId="0" borderId="0" xfId="161" applyNumberFormat="1" applyFont="1" applyAlignment="1" applyProtection="1">
      <alignment vertical="center"/>
      <protection locked="0"/>
    </xf>
    <xf numFmtId="164" fontId="29" fillId="0" borderId="0" xfId="161" applyNumberFormat="1" applyFont="1" applyAlignment="1">
      <alignment vertical="center"/>
    </xf>
    <xf numFmtId="178" fontId="29" fillId="0" borderId="0" xfId="161" applyNumberFormat="1" applyFont="1" applyAlignment="1">
      <alignment vertical="center"/>
    </xf>
    <xf numFmtId="178" fontId="29" fillId="0" borderId="0" xfId="161" applyNumberFormat="1" applyFont="1" applyAlignment="1" applyProtection="1">
      <alignment vertical="center"/>
      <protection locked="0"/>
    </xf>
    <xf numFmtId="180" fontId="29" fillId="0" borderId="0" xfId="161" applyNumberFormat="1" applyFont="1" applyAlignment="1">
      <alignment vertical="center"/>
    </xf>
    <xf numFmtId="181" fontId="29" fillId="0" borderId="0" xfId="161" applyNumberFormat="1" applyFont="1" applyAlignment="1">
      <alignment vertical="center"/>
    </xf>
    <xf numFmtId="0" fontId="29" fillId="0" borderId="0" xfId="161" applyFont="1" applyAlignment="1">
      <alignment horizontal="left" vertical="center" wrapText="1"/>
    </xf>
    <xf numFmtId="5" fontId="29" fillId="0" borderId="4" xfId="161" applyNumberFormat="1" applyFont="1" applyBorder="1" applyAlignment="1">
      <alignment vertical="center"/>
    </xf>
    <xf numFmtId="173" fontId="29" fillId="0" borderId="0" xfId="161" applyNumberFormat="1" applyFont="1" applyAlignment="1">
      <alignment vertical="center"/>
    </xf>
    <xf numFmtId="165" fontId="29" fillId="0" borderId="0" xfId="161" applyNumberFormat="1" applyFont="1" applyAlignment="1">
      <alignment vertical="center"/>
    </xf>
    <xf numFmtId="164" fontId="29" fillId="0" borderId="0" xfId="161" applyNumberFormat="1" applyFont="1" applyAlignment="1" applyProtection="1">
      <alignment vertical="center"/>
      <protection locked="0"/>
    </xf>
    <xf numFmtId="0" fontId="100" fillId="0" borderId="0" xfId="210" applyFont="1" applyAlignment="1">
      <alignment vertical="center"/>
    </xf>
    <xf numFmtId="0" fontId="29" fillId="0" borderId="0" xfId="213" applyFont="1" applyAlignment="1">
      <alignment horizontal="right" vertical="center"/>
    </xf>
    <xf numFmtId="37" fontId="29" fillId="0" borderId="0" xfId="210" applyNumberFormat="1" applyFont="1" applyAlignment="1">
      <alignment horizontal="center" vertical="center"/>
    </xf>
    <xf numFmtId="37" fontId="29" fillId="0" borderId="0" xfId="210" applyNumberFormat="1" applyFont="1" applyAlignment="1">
      <alignment vertical="center"/>
    </xf>
    <xf numFmtId="0" fontId="29" fillId="0" borderId="0" xfId="161" applyFont="1" applyAlignment="1" applyProtection="1">
      <alignment horizontal="left" vertical="center"/>
      <protection locked="0"/>
    </xf>
    <xf numFmtId="186" fontId="29" fillId="0" borderId="0" xfId="210" quotePrefix="1" applyNumberFormat="1" applyFont="1" applyAlignment="1">
      <alignment horizontal="center" vertical="center"/>
    </xf>
    <xf numFmtId="0" fontId="51" fillId="0" borderId="0" xfId="210" applyFont="1" applyAlignment="1">
      <alignment horizontal="center" vertical="center"/>
    </xf>
    <xf numFmtId="0" fontId="29" fillId="0" borderId="0" xfId="210" applyFont="1" applyAlignment="1">
      <alignment horizontal="center" vertical="center"/>
    </xf>
    <xf numFmtId="37" fontId="39" fillId="0" borderId="0" xfId="210" applyNumberFormat="1" applyFont="1" applyAlignment="1">
      <alignment vertical="center"/>
    </xf>
    <xf numFmtId="0" fontId="39" fillId="0" borderId="0" xfId="210" applyFont="1" applyAlignment="1">
      <alignment vertical="center"/>
    </xf>
    <xf numFmtId="37" fontId="29" fillId="0" borderId="0" xfId="161" applyNumberFormat="1" applyFont="1" applyAlignment="1">
      <alignment horizontal="center" vertical="center"/>
    </xf>
    <xf numFmtId="5" fontId="51" fillId="0" borderId="0" xfId="161" applyNumberFormat="1" applyFont="1" applyAlignment="1">
      <alignment vertical="center"/>
    </xf>
    <xf numFmtId="37" fontId="51" fillId="0" borderId="0" xfId="161" applyNumberFormat="1" applyFont="1" applyAlignment="1">
      <alignment vertical="center"/>
    </xf>
    <xf numFmtId="0" fontId="70" fillId="0" borderId="0" xfId="213" applyFont="1" applyAlignment="1">
      <alignment horizontal="center" vertical="center"/>
    </xf>
    <xf numFmtId="0" fontId="29" fillId="0" borderId="0" xfId="161" applyFont="1" applyAlignment="1">
      <alignment vertical="center" wrapText="1"/>
    </xf>
    <xf numFmtId="49" fontId="51" fillId="0" borderId="0" xfId="161" applyNumberFormat="1" applyFont="1" applyAlignment="1">
      <alignment horizontal="left" vertical="center"/>
    </xf>
    <xf numFmtId="49" fontId="29" fillId="0" borderId="0" xfId="161" applyNumberFormat="1" applyFont="1" applyAlignment="1">
      <alignment vertical="center"/>
    </xf>
    <xf numFmtId="0" fontId="29" fillId="0" borderId="0" xfId="161" applyFont="1" applyAlignment="1">
      <alignment horizontal="right" vertical="center"/>
    </xf>
    <xf numFmtId="49" fontId="29" fillId="0" borderId="0" xfId="161" quotePrefix="1" applyNumberFormat="1" applyFont="1" applyAlignment="1" applyProtection="1">
      <alignment horizontal="left" vertical="center"/>
      <protection locked="0"/>
    </xf>
    <xf numFmtId="172" fontId="29" fillId="0" borderId="0" xfId="161" applyNumberFormat="1" applyFont="1" applyAlignment="1" applyProtection="1">
      <alignment horizontal="left" vertical="center"/>
      <protection locked="0"/>
    </xf>
    <xf numFmtId="0" fontId="29" fillId="0" borderId="0" xfId="163" quotePrefix="1" applyFont="1" applyAlignment="1">
      <alignment horizontal="left" vertical="center"/>
    </xf>
    <xf numFmtId="49" fontId="29" fillId="0" borderId="0" xfId="161" applyNumberFormat="1" applyFont="1" applyAlignment="1" applyProtection="1">
      <alignment vertical="center"/>
      <protection locked="0"/>
    </xf>
    <xf numFmtId="49" fontId="29" fillId="0" borderId="0" xfId="161" quotePrefix="1" applyNumberFormat="1" applyFont="1" applyAlignment="1">
      <alignment vertical="center"/>
    </xf>
    <xf numFmtId="0" fontId="7" fillId="0" borderId="0" xfId="213" applyFont="1" applyAlignment="1">
      <alignment horizontal="center" vertical="center"/>
    </xf>
    <xf numFmtId="0" fontId="12" fillId="0" borderId="0" xfId="213" applyFont="1" applyAlignment="1">
      <alignment horizontal="center" vertical="center"/>
    </xf>
    <xf numFmtId="0" fontId="12" fillId="0" borderId="0" xfId="213" applyFont="1" applyAlignment="1">
      <alignment vertical="center"/>
    </xf>
    <xf numFmtId="37" fontId="7" fillId="0" borderId="0" xfId="153" applyFont="1" applyFill="1" applyAlignment="1">
      <alignment horizontal="right" vertical="center"/>
    </xf>
    <xf numFmtId="0" fontId="7" fillId="0" borderId="0" xfId="213" applyFont="1" applyAlignment="1">
      <alignment horizontal="right" vertical="center"/>
    </xf>
    <xf numFmtId="0" fontId="7" fillId="0" borderId="2" xfId="213" applyFont="1" applyBorder="1" applyAlignment="1">
      <alignment vertical="center"/>
    </xf>
    <xf numFmtId="0" fontId="11" fillId="0" borderId="0" xfId="213" applyFont="1" applyAlignment="1">
      <alignment horizontal="center" vertical="center"/>
    </xf>
    <xf numFmtId="0" fontId="7" fillId="0" borderId="0" xfId="233" applyFont="1" applyAlignment="1">
      <alignment horizontal="center" vertical="center"/>
    </xf>
    <xf numFmtId="0" fontId="7" fillId="0" borderId="0" xfId="233" applyFont="1" applyAlignment="1">
      <alignment vertical="center"/>
    </xf>
    <xf numFmtId="37" fontId="7" fillId="0" borderId="0" xfId="233" applyNumberFormat="1" applyFont="1" applyAlignment="1">
      <alignment vertical="center"/>
    </xf>
    <xf numFmtId="37" fontId="11" fillId="0" borderId="0" xfId="233" applyNumberFormat="1" applyFont="1" applyAlignment="1">
      <alignment vertical="center"/>
    </xf>
    <xf numFmtId="0" fontId="7" fillId="0" borderId="0" xfId="233" applyFont="1" applyAlignment="1">
      <alignment horizontal="center" vertical="center" wrapText="1"/>
    </xf>
    <xf numFmtId="0" fontId="11" fillId="0" borderId="0" xfId="233" applyFont="1" applyAlignment="1">
      <alignment vertical="center"/>
    </xf>
    <xf numFmtId="37" fontId="11" fillId="0" borderId="0" xfId="208" applyNumberFormat="1" applyFont="1" applyAlignment="1">
      <alignment vertical="center"/>
    </xf>
    <xf numFmtId="182" fontId="11" fillId="0" borderId="0" xfId="233" applyNumberFormat="1" applyFont="1" applyAlignment="1">
      <alignment vertical="center"/>
    </xf>
    <xf numFmtId="167" fontId="7" fillId="0" borderId="0" xfId="233" applyNumberFormat="1" applyFont="1" applyAlignment="1">
      <alignment vertical="center"/>
    </xf>
    <xf numFmtId="37" fontId="7" fillId="0" borderId="0" xfId="233" applyNumberFormat="1" applyFont="1" applyAlignment="1">
      <alignment horizontal="center" vertical="center"/>
    </xf>
    <xf numFmtId="0" fontId="30" fillId="0" borderId="0" xfId="233" applyFont="1" applyAlignment="1">
      <alignment horizontal="center" vertical="center"/>
    </xf>
    <xf numFmtId="167" fontId="53" fillId="0" borderId="0" xfId="233" applyNumberFormat="1" applyFont="1" applyAlignment="1">
      <alignment vertical="center"/>
    </xf>
    <xf numFmtId="167" fontId="11" fillId="0" borderId="0" xfId="233" applyNumberFormat="1" applyFont="1" applyAlignment="1">
      <alignment vertical="center"/>
    </xf>
    <xf numFmtId="37" fontId="7" fillId="0" borderId="0" xfId="153" applyFont="1" applyFill="1" applyAlignment="1">
      <alignment horizontal="center" vertical="center"/>
    </xf>
    <xf numFmtId="37" fontId="7" fillId="0" borderId="0" xfId="153" applyFont="1" applyFill="1" applyAlignment="1">
      <alignment vertical="center"/>
    </xf>
    <xf numFmtId="37" fontId="7" fillId="0" borderId="0" xfId="153" applyFont="1" applyFill="1" applyBorder="1" applyAlignment="1">
      <alignment vertical="center"/>
    </xf>
    <xf numFmtId="37" fontId="7" fillId="0" borderId="0" xfId="153" applyFont="1" applyFill="1" applyBorder="1" applyAlignment="1">
      <alignment horizontal="right" vertical="center"/>
    </xf>
    <xf numFmtId="0" fontId="7" fillId="0" borderId="2" xfId="163" applyFont="1" applyBorder="1" applyAlignment="1">
      <alignment horizontal="left" vertical="center"/>
    </xf>
    <xf numFmtId="37" fontId="7" fillId="0" borderId="2" xfId="153" applyFont="1" applyFill="1" applyBorder="1" applyAlignment="1">
      <alignment vertical="center"/>
    </xf>
    <xf numFmtId="37" fontId="7" fillId="0" borderId="2" xfId="153" applyFont="1" applyFill="1" applyBorder="1" applyAlignment="1">
      <alignment horizontal="center" vertical="center"/>
    </xf>
    <xf numFmtId="37" fontId="7" fillId="0" borderId="0" xfId="153" applyFont="1" applyFill="1" applyBorder="1" applyAlignment="1">
      <alignment horizontal="center" vertical="center"/>
    </xf>
    <xf numFmtId="37" fontId="7" fillId="0" borderId="0" xfId="153" quotePrefix="1" applyFont="1" applyFill="1" applyAlignment="1">
      <alignment horizontal="center" vertical="center"/>
    </xf>
    <xf numFmtId="9" fontId="7" fillId="0" borderId="0" xfId="207" applyFont="1" applyFill="1" applyAlignment="1">
      <alignment horizontal="center" vertical="center"/>
    </xf>
    <xf numFmtId="10" fontId="7" fillId="0" borderId="0" xfId="207" applyNumberFormat="1" applyFont="1" applyFill="1" applyAlignment="1">
      <alignment vertical="center"/>
    </xf>
    <xf numFmtId="10" fontId="12" fillId="0" borderId="0" xfId="207" applyNumberFormat="1" applyFont="1" applyFill="1" applyAlignment="1">
      <alignment vertical="center"/>
    </xf>
    <xf numFmtId="37" fontId="7" fillId="0" borderId="10" xfId="153" applyFont="1" applyFill="1" applyBorder="1" applyAlignment="1">
      <alignment vertical="center"/>
    </xf>
    <xf numFmtId="0" fontId="7" fillId="0" borderId="2" xfId="163" applyFont="1" applyBorder="1" applyAlignment="1">
      <alignment horizontal="center" vertical="center"/>
    </xf>
    <xf numFmtId="37" fontId="7" fillId="0" borderId="0" xfId="153" applyFont="1" applyFill="1" applyAlignment="1">
      <alignment horizontal="left" vertical="center"/>
    </xf>
    <xf numFmtId="175" fontId="7" fillId="0" borderId="10" xfId="206" applyNumberFormat="1" applyFont="1" applyBorder="1" applyAlignment="1">
      <alignment vertical="center"/>
    </xf>
    <xf numFmtId="175" fontId="7" fillId="0" borderId="0" xfId="206" applyNumberFormat="1" applyFont="1" applyBorder="1" applyAlignment="1">
      <alignment vertical="center"/>
    </xf>
    <xf numFmtId="0" fontId="45" fillId="0" borderId="0" xfId="163" applyFont="1" applyAlignment="1">
      <alignment vertical="center"/>
    </xf>
    <xf numFmtId="9" fontId="11" fillId="0" borderId="0" xfId="205" applyNumberFormat="1" applyFont="1" applyAlignment="1">
      <alignment horizontal="center" vertical="center"/>
    </xf>
    <xf numFmtId="10" fontId="7" fillId="0" borderId="0" xfId="207" applyNumberFormat="1" applyFont="1" applyFill="1" applyBorder="1" applyAlignment="1">
      <alignment vertical="center"/>
    </xf>
    <xf numFmtId="0" fontId="7" fillId="0" borderId="0" xfId="156" applyFont="1" applyAlignment="1">
      <alignment horizontal="left" vertical="center"/>
    </xf>
    <xf numFmtId="0" fontId="7" fillId="0" borderId="0" xfId="152" applyFont="1" applyAlignment="1" applyProtection="1">
      <alignment vertical="center"/>
      <protection locked="0"/>
    </xf>
    <xf numFmtId="0" fontId="7" fillId="0" borderId="0" xfId="152" applyFont="1" applyAlignment="1">
      <alignment horizontal="left" vertical="center"/>
    </xf>
    <xf numFmtId="0" fontId="7" fillId="0" borderId="0" xfId="152" applyFont="1" applyAlignment="1">
      <alignment vertical="center"/>
    </xf>
    <xf numFmtId="0" fontId="7" fillId="0" borderId="0" xfId="152" applyFont="1" applyAlignment="1" applyProtection="1">
      <alignment horizontal="right" vertical="center"/>
      <protection locked="0"/>
    </xf>
    <xf numFmtId="0" fontId="7" fillId="0" borderId="0" xfId="152" applyFont="1" applyAlignment="1">
      <alignment horizontal="center" vertical="center"/>
    </xf>
    <xf numFmtId="14" fontId="7" fillId="0" borderId="0" xfId="152" applyNumberFormat="1" applyFont="1" applyAlignment="1">
      <alignment horizontal="center" vertical="center"/>
    </xf>
    <xf numFmtId="0" fontId="7" fillId="0" borderId="0" xfId="152" applyFont="1" applyAlignment="1">
      <alignment horizontal="right" vertical="center"/>
    </xf>
    <xf numFmtId="0" fontId="12" fillId="0" borderId="0" xfId="152" applyFont="1" applyAlignment="1">
      <alignment horizontal="center" vertical="center"/>
    </xf>
    <xf numFmtId="0" fontId="7" fillId="0" borderId="0" xfId="156" applyFont="1" applyAlignment="1">
      <alignment vertical="center"/>
    </xf>
    <xf numFmtId="0" fontId="7" fillId="0" borderId="0" xfId="156" applyFont="1" applyAlignment="1">
      <alignment horizontal="center" vertical="center"/>
    </xf>
    <xf numFmtId="0" fontId="11" fillId="0" borderId="0" xfId="156" applyFont="1" applyAlignment="1">
      <alignment horizontal="left" vertical="center"/>
    </xf>
    <xf numFmtId="0" fontId="11" fillId="0" borderId="0" xfId="156" applyFont="1" applyAlignment="1">
      <alignment vertical="center"/>
    </xf>
    <xf numFmtId="0" fontId="29" fillId="0" borderId="0" xfId="154" applyFont="1" applyAlignment="1">
      <alignment vertical="center"/>
    </xf>
    <xf numFmtId="0" fontId="7" fillId="0" borderId="0" xfId="154" applyFont="1" applyAlignment="1">
      <alignment vertical="center"/>
    </xf>
    <xf numFmtId="0" fontId="7" fillId="0" borderId="0" xfId="154" applyFont="1" applyAlignment="1">
      <alignment horizontal="right" vertical="center"/>
    </xf>
    <xf numFmtId="0" fontId="7" fillId="0" borderId="2" xfId="154" applyFont="1" applyBorder="1" applyAlignment="1">
      <alignment horizontal="left" vertical="center"/>
    </xf>
    <xf numFmtId="0" fontId="7" fillId="0" borderId="2" xfId="154" applyFont="1" applyBorder="1" applyAlignment="1">
      <alignment vertical="center"/>
    </xf>
    <xf numFmtId="0" fontId="7" fillId="0" borderId="2" xfId="154" applyFont="1" applyBorder="1" applyAlignment="1">
      <alignment horizontal="center" vertical="center"/>
    </xf>
    <xf numFmtId="0" fontId="29" fillId="0" borderId="0" xfId="154" applyFont="1" applyAlignment="1">
      <alignment horizontal="center" vertical="center"/>
    </xf>
    <xf numFmtId="0" fontId="15" fillId="0" borderId="0" xfId="154" applyFont="1" applyAlignment="1">
      <alignment vertical="center"/>
    </xf>
    <xf numFmtId="0" fontId="15" fillId="0" borderId="0" xfId="154" applyFont="1" applyAlignment="1">
      <alignment horizontal="center" vertical="center"/>
    </xf>
    <xf numFmtId="183" fontId="7" fillId="0" borderId="0" xfId="154" applyNumberFormat="1" applyFont="1" applyAlignment="1">
      <alignment vertical="center"/>
    </xf>
    <xf numFmtId="183" fontId="15" fillId="0" borderId="0" xfId="154" applyNumberFormat="1" applyFont="1" applyAlignment="1">
      <alignment vertical="center"/>
    </xf>
    <xf numFmtId="10" fontId="7" fillId="0" borderId="0" xfId="154" applyNumberFormat="1" applyFont="1" applyAlignment="1">
      <alignment vertical="center"/>
    </xf>
    <xf numFmtId="177" fontId="16" fillId="0" borderId="0" xfId="154" applyNumberFormat="1" applyFont="1" applyAlignment="1">
      <alignment vertical="center"/>
    </xf>
    <xf numFmtId="177" fontId="58" fillId="0" borderId="0" xfId="154" applyNumberFormat="1" applyFont="1" applyAlignment="1">
      <alignment vertical="center"/>
    </xf>
    <xf numFmtId="0" fontId="29" fillId="0" borderId="0" xfId="154" applyFont="1" applyAlignment="1">
      <alignment horizontal="left" vertical="center"/>
    </xf>
    <xf numFmtId="0" fontId="7" fillId="0" borderId="0" xfId="162" applyFont="1" applyFill="1" applyAlignment="1">
      <alignment vertical="center"/>
    </xf>
    <xf numFmtId="0" fontId="15" fillId="0" borderId="0" xfId="162" applyFont="1" applyFill="1" applyAlignment="1">
      <alignment vertical="center"/>
    </xf>
    <xf numFmtId="0" fontId="13" fillId="0" borderId="0" xfId="162" applyFill="1" applyAlignment="1">
      <alignment vertical="center"/>
    </xf>
    <xf numFmtId="0" fontId="7" fillId="0" borderId="0" xfId="162" applyFont="1" applyFill="1" applyAlignment="1">
      <alignment horizontal="center" vertical="center"/>
    </xf>
    <xf numFmtId="0" fontId="11" fillId="0" borderId="0" xfId="162" applyFont="1" applyFill="1" applyBorder="1" applyAlignment="1">
      <alignment vertical="center"/>
    </xf>
    <xf numFmtId="0" fontId="45" fillId="0" borderId="0" xfId="162" applyFont="1" applyFill="1" applyBorder="1" applyAlignment="1">
      <alignment vertical="center"/>
    </xf>
    <xf numFmtId="0" fontId="19" fillId="0" borderId="0" xfId="162" applyFont="1" applyFill="1" applyBorder="1" applyAlignment="1">
      <alignment vertical="center"/>
    </xf>
    <xf numFmtId="0" fontId="7" fillId="0" borderId="0" xfId="162" applyFont="1" applyAlignment="1">
      <alignment vertical="center"/>
    </xf>
    <xf numFmtId="0" fontId="7" fillId="0" borderId="0" xfId="160" applyFont="1" applyAlignment="1">
      <alignment horizontal="center" vertical="center"/>
    </xf>
    <xf numFmtId="0" fontId="7" fillId="0" borderId="0" xfId="162" applyFont="1" applyFill="1" applyAlignment="1">
      <alignment horizontal="left" vertical="center"/>
    </xf>
    <xf numFmtId="0" fontId="7" fillId="0" borderId="0" xfId="160" applyFont="1" applyAlignment="1">
      <alignment horizontal="right" vertical="center"/>
    </xf>
    <xf numFmtId="37" fontId="7" fillId="0" borderId="0" xfId="160" applyNumberFormat="1" applyFont="1" applyAlignment="1">
      <alignment vertical="center"/>
    </xf>
    <xf numFmtId="164" fontId="7" fillId="0" borderId="0" xfId="160" applyNumberFormat="1" applyFont="1" applyAlignment="1">
      <alignment vertical="center"/>
    </xf>
    <xf numFmtId="0" fontId="7" fillId="0" borderId="0" xfId="159" applyFont="1" applyAlignment="1">
      <alignment horizontal="center" vertical="center"/>
    </xf>
    <xf numFmtId="0" fontId="7" fillId="0" borderId="0" xfId="159" applyFont="1" applyAlignment="1">
      <alignment vertical="center"/>
    </xf>
    <xf numFmtId="0" fontId="7" fillId="0" borderId="0" xfId="157" applyFont="1" applyAlignment="1">
      <alignment horizontal="center" vertical="center"/>
    </xf>
    <xf numFmtId="0" fontId="7" fillId="0" borderId="0" xfId="159" applyFont="1" applyAlignment="1">
      <alignment horizontal="right" vertical="center"/>
    </xf>
    <xf numFmtId="0" fontId="7" fillId="0" borderId="0" xfId="159" quotePrefix="1" applyFont="1" applyAlignment="1">
      <alignment horizontal="center" vertical="center"/>
    </xf>
    <xf numFmtId="0" fontId="7" fillId="0" borderId="0" xfId="159" quotePrefix="1" applyFont="1" applyAlignment="1">
      <alignment vertical="center"/>
    </xf>
    <xf numFmtId="1" fontId="7" fillId="0" borderId="0" xfId="159" applyNumberFormat="1" applyFont="1" applyAlignment="1">
      <alignment horizontal="center" vertical="center"/>
    </xf>
    <xf numFmtId="0" fontId="7" fillId="0" borderId="0" xfId="159" applyFont="1" applyAlignment="1">
      <alignment horizontal="left" vertical="center"/>
    </xf>
    <xf numFmtId="14" fontId="7" fillId="0" borderId="0" xfId="159" quotePrefix="1" applyNumberFormat="1" applyFont="1" applyAlignment="1">
      <alignment vertical="center"/>
    </xf>
    <xf numFmtId="37" fontId="7" fillId="0" borderId="0" xfId="159" applyNumberFormat="1" applyFont="1" applyAlignment="1">
      <alignment vertical="center"/>
    </xf>
    <xf numFmtId="182" fontId="7" fillId="0" borderId="0" xfId="207" applyNumberFormat="1" applyFont="1" applyFill="1" applyBorder="1" applyAlignment="1">
      <alignment horizontal="right" vertical="center"/>
    </xf>
    <xf numFmtId="164" fontId="7" fillId="0" borderId="0" xfId="159" applyNumberFormat="1" applyFont="1" applyAlignment="1">
      <alignment vertical="center"/>
    </xf>
    <xf numFmtId="10" fontId="7" fillId="0" borderId="0" xfId="159" applyNumberFormat="1" applyFont="1" applyAlignment="1">
      <alignment vertical="center"/>
    </xf>
    <xf numFmtId="37" fontId="16" fillId="0" borderId="0" xfId="159" applyNumberFormat="1" applyFont="1" applyAlignment="1">
      <alignment vertical="center"/>
    </xf>
    <xf numFmtId="10" fontId="16" fillId="0" borderId="0" xfId="159" applyNumberFormat="1" applyFont="1" applyAlignment="1">
      <alignment vertical="center"/>
    </xf>
    <xf numFmtId="174" fontId="7" fillId="0" borderId="0" xfId="159" applyNumberFormat="1" applyFont="1" applyAlignment="1">
      <alignment vertical="center"/>
    </xf>
    <xf numFmtId="181" fontId="7" fillId="0" borderId="0" xfId="159" applyNumberFormat="1" applyFont="1" applyAlignment="1">
      <alignment vertical="center"/>
    </xf>
    <xf numFmtId="181" fontId="7" fillId="0" borderId="0" xfId="159" applyNumberFormat="1" applyFont="1" applyAlignment="1">
      <alignment horizontal="center" vertical="center"/>
    </xf>
    <xf numFmtId="0" fontId="7" fillId="0" borderId="0" xfId="158" applyFont="1" applyAlignment="1">
      <alignment vertical="center"/>
    </xf>
    <xf numFmtId="0" fontId="7" fillId="0" borderId="0" xfId="158" applyFont="1" applyAlignment="1">
      <alignment horizontal="center" vertical="center"/>
    </xf>
    <xf numFmtId="0" fontId="7" fillId="0" borderId="0" xfId="157" applyFont="1" applyAlignment="1">
      <alignment vertical="center"/>
    </xf>
    <xf numFmtId="0" fontId="7" fillId="0" borderId="0" xfId="158" applyFont="1" applyAlignment="1">
      <alignment horizontal="right" vertical="center"/>
    </xf>
    <xf numFmtId="0" fontId="7" fillId="0" borderId="0" xfId="158" quotePrefix="1" applyFont="1" applyAlignment="1">
      <alignment horizontal="center" vertical="center"/>
    </xf>
    <xf numFmtId="0" fontId="7" fillId="0" borderId="0" xfId="158" applyFont="1" applyAlignment="1">
      <alignment horizontal="left" vertical="center"/>
    </xf>
    <xf numFmtId="37" fontId="7" fillId="0" borderId="0" xfId="158" applyNumberFormat="1" applyFont="1" applyAlignment="1">
      <alignment vertical="center"/>
    </xf>
    <xf numFmtId="0" fontId="7" fillId="0" borderId="0" xfId="158" quotePrefix="1" applyFont="1" applyAlignment="1">
      <alignment vertical="center"/>
    </xf>
    <xf numFmtId="175" fontId="7" fillId="0" borderId="7" xfId="206" applyNumberFormat="1" applyFont="1" applyFill="1" applyBorder="1" applyAlignment="1">
      <alignment vertical="center"/>
    </xf>
    <xf numFmtId="10" fontId="7" fillId="0" borderId="7" xfId="158" applyNumberFormat="1" applyFont="1" applyBorder="1" applyAlignment="1">
      <alignment vertical="center"/>
    </xf>
    <xf numFmtId="10" fontId="7" fillId="0" borderId="7" xfId="207" applyNumberFormat="1" applyFont="1" applyFill="1" applyBorder="1" applyAlignment="1">
      <alignment vertical="center"/>
    </xf>
    <xf numFmtId="164" fontId="7" fillId="0" borderId="0" xfId="158" applyNumberFormat="1" applyFont="1" applyAlignment="1">
      <alignment vertical="center"/>
    </xf>
    <xf numFmtId="10" fontId="7" fillId="0" borderId="0" xfId="158" applyNumberFormat="1" applyFont="1" applyAlignment="1">
      <alignment vertical="center"/>
    </xf>
    <xf numFmtId="181" fontId="7" fillId="0" borderId="0" xfId="158" applyNumberFormat="1" applyFont="1" applyAlignment="1">
      <alignment vertical="center"/>
    </xf>
    <xf numFmtId="174" fontId="7" fillId="0" borderId="0" xfId="158" applyNumberFormat="1" applyFont="1" applyAlignment="1">
      <alignment vertical="center"/>
    </xf>
    <xf numFmtId="37" fontId="16" fillId="0" borderId="0" xfId="158" applyNumberFormat="1" applyFont="1" applyAlignment="1">
      <alignment vertical="center"/>
    </xf>
    <xf numFmtId="10" fontId="16" fillId="0" borderId="0" xfId="158" applyNumberFormat="1" applyFont="1" applyAlignment="1">
      <alignment vertical="center"/>
    </xf>
    <xf numFmtId="0" fontId="7" fillId="0" borderId="0" xfId="162" applyFont="1" applyFill="1" applyAlignment="1">
      <alignment horizontal="right" vertical="center"/>
    </xf>
    <xf numFmtId="0" fontId="7" fillId="0" borderId="0" xfId="162" applyFont="1" applyFill="1" applyBorder="1" applyAlignment="1">
      <alignment horizontal="center" vertical="center"/>
    </xf>
    <xf numFmtId="0" fontId="7" fillId="0" borderId="0" xfId="162" quotePrefix="1" applyFont="1" applyFill="1" applyAlignment="1">
      <alignment horizontal="center" vertical="center"/>
    </xf>
    <xf numFmtId="0" fontId="7" fillId="0" borderId="0" xfId="162" quotePrefix="1" applyFont="1" applyFill="1" applyBorder="1" applyAlignment="1">
      <alignment horizontal="center" vertical="center"/>
    </xf>
    <xf numFmtId="6" fontId="7" fillId="0" borderId="0" xfId="162" applyNumberFormat="1" applyFont="1" applyFill="1" applyAlignment="1">
      <alignment horizontal="center" vertical="center"/>
    </xf>
    <xf numFmtId="37" fontId="7" fillId="0" borderId="0" xfId="162" applyNumberFormat="1" applyFont="1" applyFill="1" applyAlignment="1">
      <alignment vertical="center"/>
    </xf>
    <xf numFmtId="10" fontId="7" fillId="0" borderId="0" xfId="162" applyNumberFormat="1" applyFont="1" applyFill="1" applyAlignment="1">
      <alignment vertical="center"/>
    </xf>
    <xf numFmtId="0" fontId="15" fillId="0" borderId="0" xfId="162" applyFont="1" applyFill="1" applyAlignment="1">
      <alignment horizontal="right" vertical="center"/>
    </xf>
    <xf numFmtId="0" fontId="7" fillId="0" borderId="0" xfId="162" applyFont="1" applyFill="1" applyBorder="1" applyAlignment="1">
      <alignment horizontal="left" vertical="center"/>
    </xf>
    <xf numFmtId="0" fontId="7" fillId="0" borderId="0" xfId="162" applyFont="1" applyFill="1" applyBorder="1" applyAlignment="1">
      <alignment vertical="center"/>
    </xf>
    <xf numFmtId="0" fontId="15" fillId="0" borderId="0" xfId="162" applyFont="1" applyFill="1" applyBorder="1" applyAlignment="1">
      <alignment vertical="center"/>
    </xf>
    <xf numFmtId="0" fontId="7" fillId="0" borderId="0" xfId="155" applyFont="1" applyAlignment="1">
      <alignment horizontal="left" vertical="center"/>
    </xf>
    <xf numFmtId="0" fontId="7" fillId="0" borderId="0" xfId="155" applyFont="1" applyAlignment="1">
      <alignment vertical="center"/>
    </xf>
    <xf numFmtId="0" fontId="7" fillId="0" borderId="0" xfId="155" applyFont="1" applyAlignment="1">
      <alignment horizontal="center" vertical="center"/>
    </xf>
    <xf numFmtId="0" fontId="11" fillId="0" borderId="0" xfId="155" applyFont="1" applyAlignment="1">
      <alignment horizontal="left" vertical="center"/>
    </xf>
    <xf numFmtId="0" fontId="11" fillId="0" borderId="0" xfId="155" applyFont="1" applyAlignment="1">
      <alignment vertical="center"/>
    </xf>
    <xf numFmtId="0" fontId="29" fillId="0" borderId="0" xfId="141" applyFont="1" applyAlignment="1">
      <alignment horizontal="center" vertical="center"/>
    </xf>
    <xf numFmtId="0" fontId="29" fillId="0" borderId="0" xfId="141" applyFont="1" applyAlignment="1">
      <alignment vertical="center"/>
    </xf>
    <xf numFmtId="0" fontId="29" fillId="0" borderId="0" xfId="141" applyFont="1" applyAlignment="1">
      <alignment horizontal="left" vertical="center"/>
    </xf>
    <xf numFmtId="0" fontId="29" fillId="0" borderId="0" xfId="141" applyFont="1" applyAlignment="1">
      <alignment horizontal="right" vertical="center"/>
    </xf>
    <xf numFmtId="0" fontId="51" fillId="0" borderId="0" xfId="141" applyFont="1" applyAlignment="1">
      <alignment horizontal="left" vertical="center"/>
    </xf>
    <xf numFmtId="0" fontId="51" fillId="0" borderId="0" xfId="141" applyFont="1" applyAlignment="1">
      <alignment vertical="center"/>
    </xf>
    <xf numFmtId="37" fontId="29" fillId="0" borderId="0" xfId="141" applyNumberFormat="1" applyFont="1" applyAlignment="1">
      <alignment vertical="center"/>
    </xf>
    <xf numFmtId="37" fontId="29" fillId="0" borderId="0" xfId="0" applyNumberFormat="1" applyFont="1" applyAlignment="1">
      <alignment vertical="center"/>
    </xf>
    <xf numFmtId="37" fontId="52" fillId="0" borderId="0" xfId="141" applyNumberFormat="1" applyFont="1" applyAlignment="1">
      <alignment vertical="center"/>
    </xf>
    <xf numFmtId="164" fontId="29" fillId="0" borderId="0" xfId="141" applyNumberFormat="1" applyFont="1" applyAlignment="1">
      <alignment vertical="center"/>
    </xf>
    <xf numFmtId="37" fontId="29" fillId="0" borderId="0" xfId="0" applyNumberFormat="1" applyFont="1" applyAlignment="1" applyProtection="1">
      <alignment vertical="center"/>
      <protection locked="0"/>
    </xf>
    <xf numFmtId="37" fontId="29" fillId="0" borderId="0" xfId="141" applyNumberFormat="1" applyFont="1" applyAlignment="1" applyProtection="1">
      <alignment vertical="center"/>
      <protection locked="0"/>
    </xf>
    <xf numFmtId="37" fontId="29" fillId="0" borderId="0" xfId="0" applyNumberFormat="1" applyFont="1" applyAlignment="1">
      <alignment horizontal="right" vertical="center"/>
    </xf>
    <xf numFmtId="37" fontId="29" fillId="0" borderId="0" xfId="141" applyNumberFormat="1" applyFont="1" applyAlignment="1">
      <alignment horizontal="right" vertical="center"/>
    </xf>
    <xf numFmtId="37" fontId="29" fillId="0" borderId="0" xfId="141" quotePrefix="1" applyNumberFormat="1" applyFont="1" applyAlignment="1" applyProtection="1">
      <alignment vertical="center"/>
      <protection locked="0"/>
    </xf>
    <xf numFmtId="10" fontId="29" fillId="0" borderId="0" xfId="141" applyNumberFormat="1" applyFont="1" applyAlignment="1">
      <alignment vertical="center"/>
    </xf>
    <xf numFmtId="10" fontId="29" fillId="0" borderId="0" xfId="0" applyNumberFormat="1" applyFont="1" applyAlignment="1">
      <alignment vertical="center"/>
    </xf>
    <xf numFmtId="39" fontId="29" fillId="0" borderId="0" xfId="0" applyNumberFormat="1" applyFont="1" applyAlignment="1">
      <alignment vertical="center"/>
    </xf>
    <xf numFmtId="37" fontId="29" fillId="0" borderId="0" xfId="141" applyNumberFormat="1" applyFont="1" applyAlignment="1">
      <alignment horizontal="left" vertical="center"/>
    </xf>
    <xf numFmtId="39" fontId="29" fillId="0" borderId="0" xfId="141" applyNumberFormat="1" applyFont="1" applyAlignment="1">
      <alignment vertical="center"/>
    </xf>
    <xf numFmtId="39" fontId="29" fillId="0" borderId="0" xfId="141" applyNumberFormat="1" applyFont="1" applyAlignment="1">
      <alignment horizontal="right" vertical="center"/>
    </xf>
    <xf numFmtId="9" fontId="29" fillId="0" borderId="0" xfId="141" applyNumberFormat="1" applyFont="1" applyAlignment="1">
      <alignment horizontal="right" vertical="center"/>
    </xf>
    <xf numFmtId="9" fontId="29" fillId="0" borderId="0" xfId="141" applyNumberFormat="1" applyFont="1" applyAlignment="1">
      <alignment vertical="center"/>
    </xf>
    <xf numFmtId="173" fontId="29" fillId="0" borderId="0" xfId="0" applyNumberFormat="1" applyFont="1" applyAlignment="1">
      <alignment vertical="center"/>
    </xf>
    <xf numFmtId="37" fontId="51" fillId="0" borderId="0" xfId="141" applyNumberFormat="1" applyFont="1" applyAlignment="1">
      <alignment vertical="center"/>
    </xf>
    <xf numFmtId="0" fontId="13" fillId="0" borderId="0" xfId="0" applyFont="1" applyAlignment="1">
      <alignment horizontal="center" vertical="center"/>
    </xf>
    <xf numFmtId="0" fontId="7" fillId="0" borderId="0" xfId="149" applyFont="1" applyAlignment="1">
      <alignment horizontal="centerContinuous" vertical="center"/>
    </xf>
    <xf numFmtId="39" fontId="7" fillId="0" borderId="0" xfId="149" applyNumberFormat="1" applyFont="1" applyAlignment="1">
      <alignment horizontal="centerContinuous" vertical="center"/>
    </xf>
    <xf numFmtId="37" fontId="7" fillId="0" borderId="0" xfId="160" applyNumberFormat="1" applyFont="1" applyAlignment="1">
      <alignment horizontal="centerContinuous" vertical="center"/>
    </xf>
    <xf numFmtId="0" fontId="7" fillId="0" borderId="0" xfId="160" applyFont="1" applyAlignment="1">
      <alignment horizontal="centerContinuous" vertical="center"/>
    </xf>
    <xf numFmtId="164" fontId="7" fillId="0" borderId="0" xfId="160" applyNumberFormat="1" applyFont="1" applyAlignment="1">
      <alignment horizontal="centerContinuous" vertical="center"/>
    </xf>
    <xf numFmtId="49" fontId="29" fillId="0" borderId="8" xfId="161" applyNumberFormat="1" applyFont="1" applyBorder="1" applyAlignment="1" applyProtection="1">
      <alignment horizontal="left" vertical="center"/>
      <protection locked="0"/>
    </xf>
    <xf numFmtId="0" fontId="29" fillId="0" borderId="8" xfId="161" quotePrefix="1" applyFont="1" applyBorder="1" applyAlignment="1">
      <alignment horizontal="center" vertical="center"/>
    </xf>
    <xf numFmtId="0" fontId="7" fillId="0" borderId="4" xfId="205" applyBorder="1"/>
    <xf numFmtId="0" fontId="7" fillId="0" borderId="19" xfId="0" applyFont="1" applyBorder="1" applyAlignment="1">
      <alignment vertical="center"/>
    </xf>
    <xf numFmtId="0" fontId="7" fillId="0" borderId="19" xfId="0" applyFont="1" applyBorder="1" applyAlignment="1">
      <alignment horizontal="right" vertical="center"/>
    </xf>
    <xf numFmtId="194" fontId="7" fillId="0" borderId="0" xfId="234" applyNumberFormat="1" applyFont="1" applyAlignment="1">
      <alignment horizontal="center" vertical="center"/>
    </xf>
    <xf numFmtId="0" fontId="7" fillId="0" borderId="23" xfId="0" applyFont="1" applyBorder="1" applyAlignment="1">
      <alignment vertical="center"/>
    </xf>
    <xf numFmtId="0" fontId="7" fillId="0" borderId="23" xfId="0" applyFont="1" applyBorder="1" applyAlignment="1">
      <alignment horizontal="left" vertical="center"/>
    </xf>
    <xf numFmtId="0" fontId="7" fillId="0" borderId="23" xfId="0" applyFont="1" applyBorder="1" applyAlignment="1">
      <alignment horizontal="right" vertical="center"/>
    </xf>
    <xf numFmtId="0" fontId="11" fillId="0" borderId="0" xfId="148" applyFont="1" applyAlignment="1">
      <alignment vertical="center"/>
    </xf>
    <xf numFmtId="0" fontId="17" fillId="0" borderId="0" xfId="234" applyFont="1" applyAlignment="1">
      <alignment vertical="center"/>
    </xf>
    <xf numFmtId="0" fontId="7" fillId="0" borderId="23" xfId="148" applyFont="1" applyBorder="1" applyAlignment="1">
      <alignment horizontal="left" vertical="center"/>
    </xf>
    <xf numFmtId="0" fontId="7" fillId="0" borderId="23" xfId="145" applyFont="1" applyBorder="1" applyAlignment="1">
      <alignment vertical="center"/>
    </xf>
    <xf numFmtId="2" fontId="7" fillId="0" borderId="23" xfId="145" applyNumberFormat="1" applyFont="1" applyBorder="1" applyAlignment="1">
      <alignment vertical="center"/>
    </xf>
    <xf numFmtId="0" fontId="7" fillId="0" borderId="23" xfId="145" applyFont="1" applyBorder="1" applyAlignment="1">
      <alignment horizontal="right" vertical="center"/>
    </xf>
    <xf numFmtId="0" fontId="7" fillId="0" borderId="23" xfId="145" applyFont="1" applyBorder="1" applyAlignment="1">
      <alignment horizontal="left" vertical="center"/>
    </xf>
    <xf numFmtId="0" fontId="7" fillId="0" borderId="23" xfId="0" applyFont="1" applyBorder="1" applyAlignment="1">
      <alignment horizontal="center" vertical="center"/>
    </xf>
    <xf numFmtId="0" fontId="7" fillId="0" borderId="23" xfId="229" applyFont="1" applyBorder="1" applyAlignment="1">
      <alignment horizontal="center" vertical="center"/>
    </xf>
    <xf numFmtId="0" fontId="7" fillId="0" borderId="23" xfId="229" applyFont="1" applyBorder="1" applyAlignment="1">
      <alignment vertical="center"/>
    </xf>
    <xf numFmtId="167" fontId="7" fillId="0" borderId="23" xfId="208" applyNumberFormat="1" applyFont="1" applyFill="1" applyBorder="1" applyAlignment="1">
      <alignment vertical="center"/>
    </xf>
    <xf numFmtId="0" fontId="7" fillId="0" borderId="23" xfId="163" applyFont="1" applyBorder="1" applyAlignment="1">
      <alignment horizontal="left" vertical="center"/>
    </xf>
    <xf numFmtId="0" fontId="7" fillId="0" borderId="23" xfId="163" applyFont="1" applyBorder="1" applyAlignment="1">
      <alignment vertical="center"/>
    </xf>
    <xf numFmtId="0" fontId="15" fillId="0" borderId="23" xfId="163" applyFont="1" applyBorder="1" applyAlignment="1">
      <alignment vertical="center"/>
    </xf>
    <xf numFmtId="0" fontId="7" fillId="0" borderId="23" xfId="163" applyFont="1" applyBorder="1" applyAlignment="1">
      <alignment horizontal="right" vertical="center"/>
    </xf>
    <xf numFmtId="0" fontId="49" fillId="0" borderId="23" xfId="163" applyFont="1" applyBorder="1" applyAlignment="1">
      <alignment vertical="center"/>
    </xf>
    <xf numFmtId="0" fontId="29" fillId="0" borderId="23" xfId="163" applyFont="1" applyBorder="1" applyAlignment="1">
      <alignment horizontal="left" vertical="center"/>
    </xf>
    <xf numFmtId="0" fontId="29" fillId="0" borderId="23" xfId="163" applyFont="1" applyBorder="1" applyAlignment="1">
      <alignment vertical="center"/>
    </xf>
    <xf numFmtId="0" fontId="29" fillId="0" borderId="23" xfId="163" applyFont="1" applyBorder="1" applyAlignment="1" applyProtection="1">
      <alignment horizontal="left" vertical="center"/>
      <protection locked="0"/>
    </xf>
    <xf numFmtId="0" fontId="29" fillId="0" borderId="23" xfId="163" applyFont="1" applyBorder="1" applyAlignment="1" applyProtection="1">
      <alignment horizontal="right" vertical="center"/>
      <protection locked="0"/>
    </xf>
    <xf numFmtId="0" fontId="29" fillId="0" borderId="0" xfId="163" applyFont="1" applyAlignment="1">
      <alignment horizontal="right" vertical="center"/>
    </xf>
    <xf numFmtId="0" fontId="29" fillId="0" borderId="23" xfId="163" applyFont="1" applyBorder="1" applyAlignment="1">
      <alignment horizontal="right" vertical="center"/>
    </xf>
    <xf numFmtId="49" fontId="29" fillId="0" borderId="23" xfId="161" applyNumberFormat="1" applyFont="1" applyBorder="1" applyAlignment="1">
      <alignment vertical="center"/>
    </xf>
    <xf numFmtId="0" fontId="29" fillId="0" borderId="23" xfId="161" applyFont="1" applyBorder="1" applyAlignment="1">
      <alignment vertical="center"/>
    </xf>
    <xf numFmtId="0" fontId="29" fillId="0" borderId="23" xfId="161" applyFont="1" applyBorder="1" applyAlignment="1">
      <alignment horizontal="right" vertical="center"/>
    </xf>
    <xf numFmtId="0" fontId="29" fillId="0" borderId="23" xfId="161" applyFont="1" applyBorder="1" applyAlignment="1">
      <alignment horizontal="left" vertical="center"/>
    </xf>
    <xf numFmtId="37" fontId="29" fillId="0" borderId="23" xfId="210" applyNumberFormat="1" applyFont="1" applyBorder="1" applyAlignment="1">
      <alignment vertical="center"/>
    </xf>
    <xf numFmtId="0" fontId="29" fillId="0" borderId="23" xfId="161" applyFont="1" applyBorder="1" applyAlignment="1" applyProtection="1">
      <alignment horizontal="right" vertical="center"/>
      <protection locked="0"/>
    </xf>
    <xf numFmtId="0" fontId="28" fillId="0" borderId="23" xfId="213" applyFont="1" applyBorder="1" applyAlignment="1">
      <alignment horizontal="center" vertical="center"/>
    </xf>
    <xf numFmtId="0" fontId="28" fillId="0" borderId="23" xfId="213" applyFont="1" applyBorder="1" applyAlignment="1">
      <alignment vertical="center"/>
    </xf>
    <xf numFmtId="0" fontId="28" fillId="0" borderId="0" xfId="213" applyFont="1" applyAlignment="1">
      <alignment horizontal="left" vertical="center" indent="1"/>
    </xf>
    <xf numFmtId="182" fontId="7" fillId="0" borderId="16" xfId="0" applyNumberFormat="1" applyFont="1" applyBorder="1" applyAlignment="1">
      <alignment vertical="center"/>
    </xf>
    <xf numFmtId="0" fontId="7" fillId="0" borderId="23" xfId="152" applyFont="1" applyBorder="1" applyAlignment="1">
      <alignment vertical="center"/>
    </xf>
    <xf numFmtId="0" fontId="7" fillId="0" borderId="23" xfId="152" applyFont="1" applyBorder="1" applyAlignment="1">
      <alignment horizontal="right" vertical="center"/>
    </xf>
    <xf numFmtId="0" fontId="7" fillId="0" borderId="23" xfId="152" applyFont="1" applyBorder="1" applyAlignment="1">
      <alignment horizontal="left" vertical="center"/>
    </xf>
    <xf numFmtId="0" fontId="7" fillId="0" borderId="24" xfId="152" applyFont="1" applyBorder="1" applyAlignment="1">
      <alignment horizontal="left" vertical="center"/>
    </xf>
    <xf numFmtId="0" fontId="7" fillId="0" borderId="24" xfId="152" applyFont="1" applyBorder="1" applyAlignment="1">
      <alignment vertical="center"/>
    </xf>
    <xf numFmtId="0" fontId="7" fillId="0" borderId="24" xfId="152" applyFont="1" applyBorder="1" applyAlignment="1">
      <alignment horizontal="right" vertical="center"/>
    </xf>
    <xf numFmtId="0" fontId="29" fillId="0" borderId="2" xfId="141" applyFont="1" applyBorder="1" applyAlignment="1">
      <alignment vertical="center"/>
    </xf>
    <xf numFmtId="0" fontId="29" fillId="0" borderId="2" xfId="141" applyFont="1" applyBorder="1" applyAlignment="1">
      <alignment horizontal="center" vertical="center"/>
    </xf>
    <xf numFmtId="0" fontId="7" fillId="0" borderId="25" xfId="205" applyBorder="1" applyAlignment="1">
      <alignment horizontal="center" vertical="center"/>
    </xf>
    <xf numFmtId="0" fontId="7" fillId="0" borderId="25" xfId="205" applyBorder="1" applyAlignment="1">
      <alignment vertical="center"/>
    </xf>
    <xf numFmtId="0" fontId="23" fillId="0" borderId="0" xfId="141" applyFont="1" applyAlignment="1">
      <alignment horizontal="center"/>
    </xf>
    <xf numFmtId="0" fontId="7" fillId="0" borderId="23" xfId="152" applyFont="1" applyBorder="1" applyAlignment="1">
      <alignment horizontal="center" vertical="center"/>
    </xf>
    <xf numFmtId="0" fontId="7" fillId="0" borderId="0" xfId="163" applyFont="1" applyAlignment="1">
      <alignment horizontal="centerContinuous" vertical="center"/>
    </xf>
    <xf numFmtId="0" fontId="7" fillId="0" borderId="25" xfId="0" applyFont="1" applyBorder="1" applyAlignment="1">
      <alignment vertical="center"/>
    </xf>
    <xf numFmtId="0" fontId="7" fillId="0" borderId="25" xfId="0" applyFont="1" applyBorder="1" applyAlignment="1">
      <alignment horizontal="center" vertical="center"/>
    </xf>
    <xf numFmtId="42" fontId="7" fillId="0" borderId="0" xfId="208" applyNumberFormat="1" applyFont="1" applyFill="1" applyAlignment="1">
      <alignment vertical="center"/>
    </xf>
    <xf numFmtId="42" fontId="7" fillId="0" borderId="0" xfId="38" applyNumberFormat="1" applyFont="1" applyFill="1" applyAlignment="1">
      <alignment vertical="center"/>
    </xf>
    <xf numFmtId="42" fontId="7" fillId="0" borderId="0" xfId="0" applyNumberFormat="1" applyFont="1" applyAlignment="1">
      <alignment vertical="center"/>
    </xf>
    <xf numFmtId="42" fontId="7" fillId="0" borderId="7" xfId="0" applyNumberFormat="1" applyFont="1" applyBorder="1" applyAlignment="1">
      <alignment vertical="center"/>
    </xf>
    <xf numFmtId="0" fontId="7" fillId="0" borderId="24" xfId="0" applyFont="1" applyBorder="1" applyAlignment="1">
      <alignment horizontal="center" vertical="center"/>
    </xf>
    <xf numFmtId="0" fontId="7" fillId="0" borderId="24" xfId="0" applyFont="1" applyBorder="1" applyAlignment="1">
      <alignment horizontal="left" vertical="center"/>
    </xf>
    <xf numFmtId="0" fontId="7" fillId="0" borderId="24" xfId="0" applyFont="1" applyBorder="1" applyAlignment="1">
      <alignment vertical="center"/>
    </xf>
    <xf numFmtId="0" fontId="7" fillId="0" borderId="24" xfId="0" applyFont="1" applyBorder="1" applyAlignment="1">
      <alignment horizontal="right" vertical="center"/>
    </xf>
    <xf numFmtId="37" fontId="7" fillId="0" borderId="25" xfId="0" applyNumberFormat="1" applyFont="1" applyBorder="1" applyAlignment="1">
      <alignment vertical="center"/>
    </xf>
    <xf numFmtId="0" fontId="7" fillId="0" borderId="24" xfId="145" applyFont="1" applyBorder="1" applyAlignment="1">
      <alignment horizontal="center" vertical="center"/>
    </xf>
    <xf numFmtId="37" fontId="7" fillId="0" borderId="25" xfId="145" applyNumberFormat="1" applyFont="1" applyBorder="1" applyAlignment="1">
      <alignment vertical="center"/>
    </xf>
    <xf numFmtId="39" fontId="7" fillId="0" borderId="24" xfId="145" applyNumberFormat="1" applyFont="1" applyBorder="1" applyAlignment="1">
      <alignment horizontal="center" vertical="center"/>
    </xf>
    <xf numFmtId="39" fontId="7" fillId="0" borderId="25" xfId="145" applyNumberFormat="1" applyFont="1" applyBorder="1" applyAlignment="1">
      <alignment horizontal="center" vertical="center"/>
    </xf>
    <xf numFmtId="0" fontId="7" fillId="0" borderId="24" xfId="145" applyFont="1" applyBorder="1" applyAlignment="1">
      <alignment horizontal="left" vertical="center"/>
    </xf>
    <xf numFmtId="2" fontId="7" fillId="0" borderId="24" xfId="145" applyNumberFormat="1" applyFont="1" applyBorder="1" applyAlignment="1">
      <alignment vertical="center"/>
    </xf>
    <xf numFmtId="0" fontId="7" fillId="0" borderId="24" xfId="145" applyFont="1" applyBorder="1" applyAlignment="1">
      <alignment vertical="center"/>
    </xf>
    <xf numFmtId="0" fontId="7" fillId="0" borderId="25" xfId="145" applyFont="1" applyBorder="1" applyAlignment="1">
      <alignment vertical="center"/>
    </xf>
    <xf numFmtId="0" fontId="7" fillId="0" borderId="25" xfId="145" applyFont="1" applyBorder="1" applyAlignment="1">
      <alignment horizontal="center" vertical="center"/>
    </xf>
    <xf numFmtId="2" fontId="7" fillId="0" borderId="25" xfId="145" applyNumberFormat="1" applyFont="1" applyBorder="1" applyAlignment="1">
      <alignment horizontal="center" vertical="center"/>
    </xf>
    <xf numFmtId="0" fontId="7" fillId="0" borderId="25" xfId="145" quotePrefix="1" applyFont="1" applyBorder="1" applyAlignment="1">
      <alignment horizontal="center" vertical="center"/>
    </xf>
    <xf numFmtId="39" fontId="7" fillId="0" borderId="25" xfId="145" applyNumberFormat="1" applyFont="1" applyBorder="1" applyAlignment="1">
      <alignment vertical="center"/>
    </xf>
    <xf numFmtId="0" fontId="7" fillId="0" borderId="25" xfId="145" applyFont="1" applyBorder="1" applyAlignment="1">
      <alignment horizontal="left" vertical="center"/>
    </xf>
    <xf numFmtId="17" fontId="7" fillId="0" borderId="25" xfId="145" applyNumberFormat="1" applyFont="1" applyBorder="1" applyAlignment="1">
      <alignment horizontal="center" vertical="center"/>
    </xf>
    <xf numFmtId="39" fontId="7" fillId="0" borderId="24" xfId="145" applyNumberFormat="1" applyFont="1" applyBorder="1" applyAlignment="1">
      <alignment vertical="center"/>
    </xf>
    <xf numFmtId="14" fontId="7" fillId="0" borderId="25" xfId="145" quotePrefix="1" applyNumberFormat="1" applyFont="1" applyBorder="1" applyAlignment="1">
      <alignment horizontal="center" vertical="center"/>
    </xf>
    <xf numFmtId="39" fontId="7" fillId="0" borderId="25" xfId="145" quotePrefix="1" applyNumberFormat="1" applyFont="1" applyBorder="1" applyAlignment="1">
      <alignment horizontal="center" vertical="center"/>
    </xf>
    <xf numFmtId="39" fontId="7" fillId="0" borderId="25" xfId="145" applyNumberFormat="1" applyFont="1" applyBorder="1" applyAlignment="1">
      <alignment horizontal="left" vertical="center"/>
    </xf>
    <xf numFmtId="14" fontId="7" fillId="0" borderId="25" xfId="145" applyNumberFormat="1" applyFont="1" applyBorder="1" applyAlignment="1">
      <alignment horizontal="center" vertical="center"/>
    </xf>
    <xf numFmtId="0" fontId="7" fillId="0" borderId="25" xfId="224" applyFont="1" applyBorder="1" applyAlignment="1">
      <alignment vertical="center"/>
    </xf>
    <xf numFmtId="0" fontId="7" fillId="0" borderId="25" xfId="224" applyFont="1" applyBorder="1" applyAlignment="1">
      <alignment horizontal="left" vertical="center"/>
    </xf>
    <xf numFmtId="0" fontId="7" fillId="0" borderId="25" xfId="224" applyFont="1" applyBorder="1" applyAlignment="1">
      <alignment horizontal="right" vertical="center"/>
    </xf>
    <xf numFmtId="0" fontId="66" fillId="0" borderId="0" xfId="224" applyFont="1" applyAlignment="1">
      <alignment vertical="center"/>
    </xf>
    <xf numFmtId="0" fontId="7" fillId="0" borderId="25" xfId="234" applyFont="1" applyBorder="1" applyAlignment="1">
      <alignment vertical="center"/>
    </xf>
    <xf numFmtId="0" fontId="7" fillId="0" borderId="25" xfId="234" applyFont="1" applyBorder="1" applyAlignment="1">
      <alignment horizontal="left" vertical="center"/>
    </xf>
    <xf numFmtId="0" fontId="7" fillId="0" borderId="25" xfId="234" applyFont="1" applyBorder="1" applyAlignment="1">
      <alignment horizontal="right" vertical="center"/>
    </xf>
    <xf numFmtId="0" fontId="7" fillId="0" borderId="25" xfId="234" applyFont="1" applyBorder="1" applyAlignment="1">
      <alignment horizontal="center" vertical="center"/>
    </xf>
    <xf numFmtId="37" fontId="7" fillId="0" borderId="25" xfId="147" applyNumberFormat="1" applyFont="1" applyBorder="1" applyAlignment="1">
      <alignment vertical="center"/>
    </xf>
    <xf numFmtId="39" fontId="7" fillId="0" borderId="25" xfId="234" applyNumberFormat="1" applyFont="1" applyBorder="1" applyAlignment="1">
      <alignment vertical="center"/>
    </xf>
    <xf numFmtId="39" fontId="7" fillId="0" borderId="25" xfId="235" applyNumberFormat="1" applyFont="1" applyFill="1" applyBorder="1" applyAlignment="1">
      <alignment vertical="center"/>
    </xf>
    <xf numFmtId="39" fontId="7" fillId="0" borderId="25" xfId="147" applyNumberFormat="1" applyFont="1" applyBorder="1" applyAlignment="1">
      <alignment vertical="center"/>
    </xf>
    <xf numFmtId="0" fontId="7" fillId="0" borderId="25" xfId="163" applyFont="1" applyBorder="1" applyAlignment="1">
      <alignment horizontal="centerContinuous"/>
    </xf>
    <xf numFmtId="0" fontId="61" fillId="0" borderId="25" xfId="163" applyFont="1" applyBorder="1" applyAlignment="1">
      <alignment horizontal="centerContinuous"/>
    </xf>
    <xf numFmtId="39" fontId="76" fillId="0" borderId="25" xfId="219" applyNumberFormat="1" applyFont="1" applyBorder="1"/>
    <xf numFmtId="39" fontId="76" fillId="0" borderId="25" xfId="218" applyNumberFormat="1" applyFont="1" applyBorder="1"/>
    <xf numFmtId="39" fontId="5" fillId="0" borderId="25" xfId="218" applyNumberFormat="1" applyBorder="1"/>
    <xf numFmtId="43" fontId="0" fillId="0" borderId="25" xfId="219" applyFont="1" applyBorder="1"/>
    <xf numFmtId="0" fontId="5" fillId="0" borderId="0" xfId="218" applyAlignment="1">
      <alignment horizontal="left"/>
    </xf>
    <xf numFmtId="43" fontId="62" fillId="0" borderId="0" xfId="208" applyFont="1"/>
    <xf numFmtId="167" fontId="98" fillId="0" borderId="0" xfId="208" applyNumberFormat="1" applyFont="1"/>
    <xf numFmtId="167" fontId="98" fillId="0" borderId="3" xfId="208" applyNumberFormat="1" applyFont="1" applyBorder="1"/>
    <xf numFmtId="43" fontId="65" fillId="0" borderId="0" xfId="208" applyFont="1"/>
    <xf numFmtId="43" fontId="66" fillId="0" borderId="0" xfId="208" applyFont="1"/>
    <xf numFmtId="43" fontId="7" fillId="0" borderId="0" xfId="208" applyFont="1" applyAlignment="1">
      <alignment vertical="center"/>
    </xf>
    <xf numFmtId="39" fontId="7" fillId="0" borderId="0" xfId="208" applyNumberFormat="1" applyFont="1" applyFill="1" applyAlignment="1">
      <alignment vertical="center"/>
    </xf>
    <xf numFmtId="39" fontId="7" fillId="0" borderId="25" xfId="208" applyNumberFormat="1" applyFont="1" applyFill="1" applyBorder="1" applyAlignment="1">
      <alignment vertical="center"/>
    </xf>
    <xf numFmtId="0" fontId="56" fillId="0" borderId="25" xfId="146" applyFont="1" applyBorder="1" applyAlignment="1">
      <alignment horizontal="center" vertical="center"/>
    </xf>
    <xf numFmtId="0" fontId="7" fillId="0" borderId="25" xfId="147" applyFont="1" applyBorder="1" applyAlignment="1">
      <alignment vertical="center"/>
    </xf>
    <xf numFmtId="0" fontId="7" fillId="0" borderId="25" xfId="147" applyFont="1" applyBorder="1" applyAlignment="1">
      <alignment horizontal="center" vertical="center"/>
    </xf>
    <xf numFmtId="43" fontId="88" fillId="0" borderId="25" xfId="237" applyFont="1" applyBorder="1" applyAlignment="1">
      <alignment horizontal="center" vertical="center"/>
    </xf>
    <xf numFmtId="0" fontId="7" fillId="0" borderId="25" xfId="147" applyFont="1" applyBorder="1" applyAlignment="1">
      <alignment horizontal="left" vertical="center"/>
    </xf>
    <xf numFmtId="0" fontId="13" fillId="0" borderId="25" xfId="0" applyFont="1" applyBorder="1" applyAlignment="1">
      <alignment vertical="center"/>
    </xf>
    <xf numFmtId="0" fontId="7" fillId="0" borderId="25" xfId="147" applyFont="1" applyBorder="1" applyAlignment="1">
      <alignment horizontal="right" vertical="center"/>
    </xf>
    <xf numFmtId="0" fontId="0" fillId="0" borderId="0" xfId="0" applyAlignment="1">
      <alignment vertical="center"/>
    </xf>
    <xf numFmtId="0" fontId="56" fillId="0" borderId="0" xfId="0" applyFont="1" applyAlignment="1">
      <alignment vertical="center"/>
    </xf>
    <xf numFmtId="0" fontId="56" fillId="0" borderId="0" xfId="0" applyFont="1" applyAlignment="1">
      <alignment horizontal="center" vertical="center"/>
    </xf>
    <xf numFmtId="167" fontId="7" fillId="0" borderId="25" xfId="237" applyNumberFormat="1" applyFont="1" applyBorder="1" applyAlignment="1">
      <alignment vertical="center"/>
    </xf>
    <xf numFmtId="167" fontId="7" fillId="0" borderId="25" xfId="0" applyNumberFormat="1" applyFont="1" applyBorder="1" applyAlignment="1">
      <alignment vertical="center"/>
    </xf>
    <xf numFmtId="0" fontId="13" fillId="0" borderId="0" xfId="0" applyFont="1" applyAlignment="1">
      <alignment vertical="center"/>
    </xf>
    <xf numFmtId="39" fontId="7" fillId="0" borderId="25" xfId="0" applyNumberFormat="1" applyFont="1" applyBorder="1" applyAlignment="1">
      <alignment vertical="center"/>
    </xf>
    <xf numFmtId="0" fontId="7" fillId="0" borderId="25" xfId="0" applyFont="1" applyBorder="1" applyAlignment="1">
      <alignment horizontal="left" vertical="center"/>
    </xf>
    <xf numFmtId="0" fontId="7" fillId="0" borderId="25" xfId="0" applyFont="1" applyBorder="1" applyAlignment="1">
      <alignment horizontal="right" vertical="center"/>
    </xf>
    <xf numFmtId="167" fontId="7" fillId="0" borderId="0" xfId="208" applyNumberFormat="1" applyFont="1" applyFill="1" applyAlignment="1" applyProtection="1">
      <alignment horizontal="left" vertical="center"/>
    </xf>
    <xf numFmtId="0" fontId="7" fillId="0" borderId="24" xfId="147" applyFont="1" applyBorder="1" applyAlignment="1">
      <alignment horizontal="center" vertical="center"/>
    </xf>
    <xf numFmtId="37" fontId="7" fillId="0" borderId="24" xfId="147" applyNumberFormat="1" applyFont="1" applyBorder="1" applyAlignment="1">
      <alignment vertical="center"/>
    </xf>
    <xf numFmtId="0" fontId="7" fillId="0" borderId="24" xfId="148" applyFont="1" applyBorder="1" applyAlignment="1">
      <alignment horizontal="center" vertical="center"/>
    </xf>
    <xf numFmtId="0" fontId="7" fillId="0" borderId="24" xfId="148" applyFont="1" applyBorder="1" applyAlignment="1">
      <alignment vertical="center"/>
    </xf>
    <xf numFmtId="9" fontId="16" fillId="0" borderId="0" xfId="207" applyFont="1" applyFill="1" applyAlignment="1" applyProtection="1">
      <alignment horizontal="center" vertical="center"/>
    </xf>
    <xf numFmtId="37" fontId="7" fillId="0" borderId="25" xfId="148" applyNumberFormat="1" applyFont="1" applyBorder="1" applyAlignment="1">
      <alignment vertical="center"/>
    </xf>
    <xf numFmtId="37" fontId="7" fillId="0" borderId="24" xfId="148" applyNumberFormat="1" applyFont="1" applyBorder="1" applyAlignment="1">
      <alignment vertical="center"/>
    </xf>
    <xf numFmtId="0" fontId="7" fillId="0" borderId="25" xfId="148" applyFont="1" applyBorder="1" applyAlignment="1">
      <alignment vertical="center"/>
    </xf>
    <xf numFmtId="2" fontId="7" fillId="0" borderId="23" xfId="145" applyNumberFormat="1" applyFont="1" applyBorder="1" applyAlignment="1">
      <alignment horizontal="center" vertical="center"/>
    </xf>
    <xf numFmtId="0" fontId="7" fillId="0" borderId="23" xfId="145" quotePrefix="1" applyFont="1" applyBorder="1" applyAlignment="1">
      <alignment horizontal="center" vertical="center"/>
    </xf>
    <xf numFmtId="0" fontId="7" fillId="0" borderId="25" xfId="148" applyFont="1" applyBorder="1" applyAlignment="1">
      <alignment horizontal="left" vertical="center"/>
    </xf>
    <xf numFmtId="2" fontId="7" fillId="0" borderId="25" xfId="145" applyNumberFormat="1" applyFont="1" applyBorder="1" applyAlignment="1">
      <alignment vertical="center"/>
    </xf>
    <xf numFmtId="0" fontId="7" fillId="0" borderId="25" xfId="145" applyFont="1" applyBorder="1" applyAlignment="1">
      <alignment horizontal="right" vertical="center"/>
    </xf>
    <xf numFmtId="0" fontId="7" fillId="0" borderId="25" xfId="148" applyFont="1" applyBorder="1" applyAlignment="1">
      <alignment horizontal="right" vertical="center"/>
    </xf>
    <xf numFmtId="0" fontId="7" fillId="0" borderId="0" xfId="149" applyFont="1" applyAlignment="1">
      <alignment vertical="center"/>
    </xf>
    <xf numFmtId="0" fontId="7" fillId="0" borderId="24" xfId="149" applyFont="1" applyBorder="1" applyAlignment="1">
      <alignment horizontal="center" vertical="center"/>
    </xf>
    <xf numFmtId="0" fontId="7" fillId="0" borderId="24" xfId="149" applyFont="1" applyBorder="1" applyAlignment="1">
      <alignment vertical="center"/>
    </xf>
    <xf numFmtId="37" fontId="13" fillId="0" borderId="0" xfId="150" applyFont="1" applyAlignment="1">
      <alignment vertical="center"/>
    </xf>
    <xf numFmtId="37" fontId="7" fillId="0" borderId="24" xfId="150" applyFont="1" applyBorder="1" applyAlignment="1">
      <alignment horizontal="center" vertical="center"/>
    </xf>
    <xf numFmtId="37" fontId="7" fillId="0" borderId="24" xfId="150" applyFont="1" applyBorder="1" applyAlignment="1">
      <alignment vertical="center"/>
    </xf>
    <xf numFmtId="37" fontId="7" fillId="0" borderId="24" xfId="150" quotePrefix="1" applyFont="1" applyBorder="1" applyAlignment="1">
      <alignment horizontal="center" vertical="center"/>
    </xf>
    <xf numFmtId="37" fontId="7" fillId="0" borderId="25" xfId="150" applyFont="1" applyBorder="1" applyAlignment="1">
      <alignment vertical="center"/>
    </xf>
    <xf numFmtId="0" fontId="7" fillId="0" borderId="0" xfId="151" applyFont="1" applyAlignment="1">
      <alignment horizontal="centerContinuous" vertical="center"/>
    </xf>
    <xf numFmtId="0" fontId="7" fillId="0" borderId="25" xfId="164" applyFont="1" applyBorder="1" applyAlignment="1">
      <alignment horizontal="center" vertical="center"/>
    </xf>
    <xf numFmtId="0" fontId="7" fillId="0" borderId="24" xfId="205" applyBorder="1" applyAlignment="1">
      <alignment horizontal="center" vertical="center"/>
    </xf>
    <xf numFmtId="2" fontId="7" fillId="0" borderId="0" xfId="205" applyNumberFormat="1" applyAlignment="1">
      <alignment vertical="center"/>
    </xf>
    <xf numFmtId="167" fontId="7" fillId="0" borderId="25" xfId="208" applyNumberFormat="1" applyFont="1" applyFill="1" applyBorder="1" applyAlignment="1">
      <alignment vertical="center"/>
    </xf>
    <xf numFmtId="167" fontId="7" fillId="0" borderId="25" xfId="209" applyNumberFormat="1" applyFont="1" applyFill="1" applyBorder="1" applyAlignment="1" applyProtection="1">
      <alignment vertical="center"/>
    </xf>
    <xf numFmtId="167" fontId="7" fillId="0" borderId="0" xfId="208" applyNumberFormat="1" applyFont="1" applyFill="1" applyAlignment="1" applyProtection="1">
      <alignment vertical="center"/>
      <protection locked="0"/>
    </xf>
    <xf numFmtId="37" fontId="7" fillId="0" borderId="0" xfId="208" applyNumberFormat="1" applyFont="1" applyFill="1" applyAlignment="1" applyProtection="1">
      <alignment vertical="center"/>
    </xf>
    <xf numFmtId="0" fontId="12" fillId="0" borderId="0" xfId="205" applyFont="1" applyAlignment="1">
      <alignment horizontal="center" vertical="center"/>
    </xf>
    <xf numFmtId="17" fontId="7" fillId="0" borderId="0" xfId="205" quotePrefix="1" applyNumberFormat="1" applyAlignment="1">
      <alignment horizontal="left" vertical="center"/>
    </xf>
    <xf numFmtId="186" fontId="7" fillId="0" borderId="0" xfId="205" quotePrefix="1" applyNumberFormat="1" applyAlignment="1">
      <alignment horizontal="left" vertical="center"/>
    </xf>
    <xf numFmtId="39" fontId="7" fillId="0" borderId="0" xfId="205" applyNumberFormat="1" applyAlignment="1">
      <alignment horizontal="right" vertical="center"/>
    </xf>
    <xf numFmtId="39" fontId="7" fillId="0" borderId="0" xfId="205" applyNumberFormat="1" applyAlignment="1">
      <alignment vertical="center"/>
    </xf>
    <xf numFmtId="17" fontId="7" fillId="0" borderId="0" xfId="205" applyNumberFormat="1" applyAlignment="1">
      <alignment vertical="center"/>
    </xf>
    <xf numFmtId="0" fontId="7" fillId="0" borderId="23" xfId="205" applyBorder="1" applyAlignment="1">
      <alignment horizontal="center" vertical="center"/>
    </xf>
    <xf numFmtId="0" fontId="7" fillId="0" borderId="25" xfId="228" applyFont="1" applyBorder="1" applyAlignment="1">
      <alignment horizontal="center" vertical="center"/>
    </xf>
    <xf numFmtId="0" fontId="7" fillId="0" borderId="25" xfId="228" applyFont="1" applyBorder="1" applyAlignment="1">
      <alignment horizontal="left" vertical="center"/>
    </xf>
    <xf numFmtId="0" fontId="7" fillId="0" borderId="25" xfId="228" applyFont="1" applyBorder="1" applyAlignment="1">
      <alignment vertical="center"/>
    </xf>
    <xf numFmtId="0" fontId="7" fillId="0" borderId="25" xfId="228" applyFont="1" applyBorder="1" applyAlignment="1">
      <alignment horizontal="right" vertical="center"/>
    </xf>
    <xf numFmtId="0" fontId="7" fillId="0" borderId="23" xfId="163" applyFont="1" applyBorder="1" applyAlignment="1">
      <alignment horizontal="center" vertical="center"/>
    </xf>
    <xf numFmtId="0" fontId="12" fillId="0" borderId="0" xfId="229" applyFont="1" applyAlignment="1">
      <alignment vertical="center"/>
    </xf>
    <xf numFmtId="0" fontId="7" fillId="5" borderId="0" xfId="229" applyFont="1" applyFill="1" applyAlignment="1">
      <alignment vertical="center"/>
    </xf>
    <xf numFmtId="0" fontId="7" fillId="18" borderId="0" xfId="229" applyFont="1" applyFill="1" applyAlignment="1">
      <alignment vertical="center"/>
    </xf>
    <xf numFmtId="10" fontId="7" fillId="0" borderId="0" xfId="205" applyNumberFormat="1" applyAlignment="1">
      <alignment vertical="center"/>
    </xf>
    <xf numFmtId="0" fontId="7" fillId="0" borderId="0" xfId="205" quotePrefix="1" applyAlignment="1">
      <alignment horizontal="left" vertical="center"/>
    </xf>
    <xf numFmtId="9" fontId="7" fillId="0" borderId="0" xfId="207" applyFont="1" applyFill="1" applyAlignment="1">
      <alignment vertical="center"/>
    </xf>
    <xf numFmtId="0" fontId="7" fillId="19" borderId="0" xfId="229" applyFont="1" applyFill="1" applyAlignment="1">
      <alignment vertical="center"/>
    </xf>
    <xf numFmtId="167" fontId="7" fillId="0" borderId="10" xfId="208" applyNumberFormat="1" applyFont="1" applyFill="1" applyBorder="1" applyAlignment="1" applyProtection="1">
      <alignment vertical="center"/>
    </xf>
    <xf numFmtId="0" fontId="7" fillId="5" borderId="0" xfId="205" applyFill="1" applyAlignment="1">
      <alignment vertical="center"/>
    </xf>
    <xf numFmtId="0" fontId="62" fillId="0" borderId="0" xfId="205" applyFont="1" applyAlignment="1">
      <alignment vertical="center"/>
    </xf>
    <xf numFmtId="0" fontId="13" fillId="0" borderId="0" xfId="163" applyAlignment="1">
      <alignment horizontal="center" vertical="center"/>
    </xf>
    <xf numFmtId="0" fontId="7" fillId="0" borderId="24" xfId="163" applyFont="1" applyBorder="1" applyAlignment="1">
      <alignment horizontal="center" vertical="center"/>
    </xf>
    <xf numFmtId="167" fontId="15" fillId="0" borderId="0" xfId="208" applyNumberFormat="1" applyFont="1" applyFill="1" applyAlignment="1">
      <alignment vertical="center"/>
    </xf>
    <xf numFmtId="10" fontId="15" fillId="0" borderId="0" xfId="207" applyNumberFormat="1" applyFont="1" applyFill="1" applyAlignment="1">
      <alignment vertical="center"/>
    </xf>
    <xf numFmtId="10" fontId="15" fillId="0" borderId="0" xfId="207" applyNumberFormat="1" applyFont="1" applyFill="1" applyAlignment="1" applyProtection="1">
      <alignment vertical="center"/>
    </xf>
    <xf numFmtId="167" fontId="15" fillId="0" borderId="0" xfId="208" applyNumberFormat="1" applyFont="1" applyAlignment="1">
      <alignment vertical="center"/>
    </xf>
    <xf numFmtId="0" fontId="7" fillId="0" borderId="0" xfId="163" applyFont="1" applyAlignment="1" applyProtection="1">
      <alignment horizontal="centerContinuous" vertical="center"/>
      <protection locked="0"/>
    </xf>
    <xf numFmtId="0" fontId="7" fillId="0" borderId="24" xfId="163" applyFont="1" applyBorder="1" applyAlignment="1" applyProtection="1">
      <alignment horizontal="center" vertical="center"/>
      <protection locked="0"/>
    </xf>
    <xf numFmtId="37" fontId="13" fillId="0" borderId="0" xfId="139" applyAlignment="1">
      <alignment vertical="center"/>
    </xf>
    <xf numFmtId="0" fontId="7" fillId="0" borderId="23" xfId="163" applyFont="1" applyBorder="1" applyAlignment="1" applyProtection="1">
      <alignment horizontal="center" vertical="center"/>
      <protection locked="0"/>
    </xf>
    <xf numFmtId="0" fontId="29" fillId="0" borderId="24" xfId="163" applyFont="1" applyBorder="1" applyAlignment="1" applyProtection="1">
      <alignment horizontal="center" vertical="center"/>
      <protection locked="0"/>
    </xf>
    <xf numFmtId="49" fontId="29" fillId="0" borderId="24" xfId="163" applyNumberFormat="1" applyFont="1" applyBorder="1" applyAlignment="1">
      <alignment horizontal="center" vertical="center"/>
    </xf>
    <xf numFmtId="49" fontId="29" fillId="0" borderId="23" xfId="163" applyNumberFormat="1" applyFont="1" applyBorder="1" applyAlignment="1">
      <alignment horizontal="center" vertical="center"/>
    </xf>
    <xf numFmtId="0" fontId="29" fillId="0" borderId="24" xfId="163" applyFont="1" applyBorder="1" applyAlignment="1">
      <alignment horizontal="center" vertical="center"/>
    </xf>
    <xf numFmtId="0" fontId="29" fillId="0" borderId="0" xfId="205" applyFont="1" applyAlignment="1">
      <alignment horizontal="center" vertical="center"/>
    </xf>
    <xf numFmtId="37" fontId="29" fillId="0" borderId="0" xfId="205" applyNumberFormat="1" applyFont="1" applyAlignment="1">
      <alignment vertical="center"/>
    </xf>
    <xf numFmtId="0" fontId="29" fillId="0" borderId="0" xfId="205" applyFont="1" applyAlignment="1">
      <alignment vertical="center" wrapText="1"/>
    </xf>
    <xf numFmtId="49" fontId="29" fillId="0" borderId="25" xfId="163" applyNumberFormat="1" applyFont="1" applyBorder="1" applyAlignment="1">
      <alignment horizontal="center" vertical="center"/>
    </xf>
    <xf numFmtId="0" fontId="29" fillId="0" borderId="23" xfId="205" applyFont="1" applyBorder="1" applyAlignment="1">
      <alignment vertical="center"/>
    </xf>
    <xf numFmtId="0" fontId="29" fillId="0" borderId="24" xfId="161" applyFont="1" applyBorder="1" applyAlignment="1">
      <alignment horizontal="center" vertical="center"/>
    </xf>
    <xf numFmtId="49" fontId="29" fillId="0" borderId="24" xfId="161" applyNumberFormat="1" applyFont="1" applyBorder="1" applyAlignment="1" applyProtection="1">
      <alignment horizontal="left" vertical="center"/>
      <protection locked="0"/>
    </xf>
    <xf numFmtId="0" fontId="29" fillId="0" borderId="24" xfId="161" applyFont="1" applyBorder="1" applyAlignment="1">
      <alignment vertical="center"/>
    </xf>
    <xf numFmtId="37" fontId="29" fillId="0" borderId="25" xfId="161" applyNumberFormat="1" applyFont="1" applyBorder="1" applyAlignment="1">
      <alignment vertical="center"/>
    </xf>
    <xf numFmtId="0" fontId="29" fillId="0" borderId="24" xfId="161" applyFont="1" applyBorder="1" applyAlignment="1">
      <alignment horizontal="center" vertical="center" wrapText="1"/>
    </xf>
    <xf numFmtId="0" fontId="29" fillId="0" borderId="25" xfId="205" applyFont="1" applyBorder="1" applyAlignment="1">
      <alignment vertical="center"/>
    </xf>
    <xf numFmtId="49" fontId="29" fillId="0" borderId="25" xfId="161" applyNumberFormat="1" applyFont="1" applyBorder="1" applyAlignment="1">
      <alignment vertical="center"/>
    </xf>
    <xf numFmtId="0" fontId="29" fillId="0" borderId="25" xfId="161" applyFont="1" applyBorder="1" applyAlignment="1">
      <alignment vertical="center"/>
    </xf>
    <xf numFmtId="0" fontId="29" fillId="0" borderId="25" xfId="161" applyFont="1" applyBorder="1" applyAlignment="1">
      <alignment horizontal="right" vertical="center"/>
    </xf>
    <xf numFmtId="0" fontId="29" fillId="0" borderId="24" xfId="161" applyFont="1" applyBorder="1" applyAlignment="1" applyProtection="1">
      <alignment horizontal="left" vertical="center"/>
      <protection locked="0"/>
    </xf>
    <xf numFmtId="0" fontId="29" fillId="0" borderId="24" xfId="161" applyFont="1" applyBorder="1" applyAlignment="1" applyProtection="1">
      <alignment vertical="center"/>
      <protection locked="0"/>
    </xf>
    <xf numFmtId="0" fontId="29" fillId="0" borderId="23" xfId="163" applyFont="1" applyBorder="1" applyAlignment="1" applyProtection="1">
      <alignment horizontal="center" vertical="center"/>
      <protection locked="0"/>
    </xf>
    <xf numFmtId="0" fontId="29" fillId="0" borderId="23" xfId="161" applyFont="1" applyBorder="1" applyAlignment="1" applyProtection="1">
      <alignment horizontal="left" vertical="center"/>
      <protection locked="0"/>
    </xf>
    <xf numFmtId="186" fontId="29" fillId="0" borderId="23" xfId="210" applyNumberFormat="1" applyFont="1" applyBorder="1" applyAlignment="1">
      <alignment horizontal="center" vertical="center"/>
    </xf>
    <xf numFmtId="0" fontId="66" fillId="0" borderId="25" xfId="0" applyFont="1" applyBorder="1" applyAlignment="1">
      <alignment horizontal="center"/>
    </xf>
    <xf numFmtId="0" fontId="12" fillId="0" borderId="0" xfId="0" applyFont="1"/>
    <xf numFmtId="167" fontId="12" fillId="17" borderId="20" xfId="211" applyNumberFormat="1" applyFont="1" applyFill="1" applyBorder="1" applyAlignment="1">
      <alignment vertical="center"/>
    </xf>
    <xf numFmtId="167" fontId="7" fillId="15" borderId="20" xfId="211" applyNumberFormat="1" applyFont="1" applyFill="1" applyBorder="1" applyAlignment="1">
      <alignment vertical="center"/>
    </xf>
    <xf numFmtId="167" fontId="62" fillId="0" borderId="0" xfId="208" applyNumberFormat="1" applyFont="1"/>
    <xf numFmtId="167" fontId="7" fillId="0" borderId="0" xfId="208" applyNumberFormat="1" applyFont="1"/>
    <xf numFmtId="10" fontId="7" fillId="0" borderId="0" xfId="207" applyNumberFormat="1" applyFont="1" applyFill="1" applyAlignment="1">
      <alignment wrapText="1"/>
    </xf>
    <xf numFmtId="10" fontId="7" fillId="0" borderId="0" xfId="207" applyNumberFormat="1" applyFont="1"/>
    <xf numFmtId="10" fontId="7" fillId="0" borderId="0" xfId="207" applyNumberFormat="1" applyFont="1" applyFill="1" applyAlignment="1"/>
    <xf numFmtId="167" fontId="12" fillId="0" borderId="0" xfId="208" applyNumberFormat="1" applyFont="1"/>
    <xf numFmtId="167" fontId="12" fillId="5" borderId="0" xfId="208" applyNumberFormat="1" applyFont="1" applyFill="1"/>
    <xf numFmtId="43" fontId="7" fillId="0" borderId="0" xfId="208" applyFont="1"/>
    <xf numFmtId="44" fontId="29" fillId="0" borderId="0" xfId="206" applyFont="1" applyFill="1" applyBorder="1" applyAlignment="1">
      <alignment vertical="center"/>
    </xf>
    <xf numFmtId="49" fontId="29" fillId="0" borderId="23" xfId="210" applyNumberFormat="1" applyFont="1" applyBorder="1" applyAlignment="1">
      <alignment horizontal="center" vertical="center"/>
    </xf>
    <xf numFmtId="0" fontId="28" fillId="0" borderId="25" xfId="213" applyFont="1" applyBorder="1" applyAlignment="1">
      <alignment horizontal="left" vertical="center"/>
    </xf>
    <xf numFmtId="0" fontId="28" fillId="0" borderId="25" xfId="213" applyFont="1" applyBorder="1" applyAlignment="1">
      <alignment vertical="center"/>
    </xf>
    <xf numFmtId="0" fontId="28" fillId="0" borderId="25" xfId="213" applyFont="1" applyBorder="1" applyAlignment="1">
      <alignment horizontal="right" vertical="center"/>
    </xf>
    <xf numFmtId="175" fontId="28" fillId="0" borderId="23" xfId="206" applyNumberFormat="1" applyFont="1" applyFill="1" applyBorder="1" applyAlignment="1">
      <alignment vertical="center"/>
    </xf>
    <xf numFmtId="183" fontId="28" fillId="0" borderId="23" xfId="207" applyNumberFormat="1" applyFont="1" applyFill="1" applyBorder="1" applyAlignment="1">
      <alignment vertical="center"/>
    </xf>
    <xf numFmtId="167" fontId="28" fillId="0" borderId="23" xfId="214" applyNumberFormat="1" applyFont="1" applyFill="1" applyBorder="1" applyAlignment="1">
      <alignment vertical="center"/>
    </xf>
    <xf numFmtId="167" fontId="28" fillId="0" borderId="23" xfId="213" applyNumberFormat="1" applyFont="1" applyBorder="1" applyAlignment="1">
      <alignment vertical="center"/>
    </xf>
    <xf numFmtId="37" fontId="7" fillId="0" borderId="23" xfId="153" applyFont="1" applyFill="1" applyBorder="1" applyAlignment="1">
      <alignment vertical="center"/>
    </xf>
    <xf numFmtId="37" fontId="7" fillId="0" borderId="23" xfId="153" applyFont="1" applyFill="1" applyBorder="1" applyAlignment="1">
      <alignment horizontal="right" vertical="center"/>
    </xf>
    <xf numFmtId="37" fontId="7" fillId="0" borderId="23" xfId="153" applyFont="1" applyFill="1" applyBorder="1" applyAlignment="1">
      <alignment horizontal="center" vertical="center"/>
    </xf>
    <xf numFmtId="0" fontId="7" fillId="0" borderId="23" xfId="145" applyFont="1" applyBorder="1" applyAlignment="1">
      <alignment horizontal="center" vertical="center"/>
    </xf>
    <xf numFmtId="37" fontId="12" fillId="0" borderId="0" xfId="153" applyFont="1" applyFill="1" applyAlignment="1">
      <alignment vertical="center"/>
    </xf>
    <xf numFmtId="0" fontId="7" fillId="0" borderId="0" xfId="213" applyFont="1" applyAlignment="1">
      <alignment vertical="center"/>
    </xf>
    <xf numFmtId="0" fontId="7" fillId="0" borderId="23" xfId="213" applyFont="1" applyBorder="1" applyAlignment="1">
      <alignment horizontal="center" vertical="center"/>
    </xf>
    <xf numFmtId="0" fontId="7" fillId="0" borderId="23" xfId="213" applyFont="1" applyBorder="1" applyAlignment="1">
      <alignment vertical="center"/>
    </xf>
    <xf numFmtId="0" fontId="14" fillId="0" borderId="0" xfId="163" applyFont="1" applyAlignment="1">
      <alignment vertical="center"/>
    </xf>
    <xf numFmtId="0" fontId="7" fillId="0" borderId="23" xfId="205" applyBorder="1" applyAlignment="1">
      <alignment vertical="center"/>
    </xf>
    <xf numFmtId="175" fontId="7" fillId="0" borderId="0" xfId="205" applyNumberFormat="1" applyAlignment="1">
      <alignment horizontal="center" vertical="center"/>
    </xf>
    <xf numFmtId="167" fontId="7" fillId="0" borderId="0" xfId="208" applyNumberFormat="1" applyFont="1" applyFill="1" applyAlignment="1">
      <alignment horizontal="right" vertical="center"/>
    </xf>
    <xf numFmtId="0" fontId="29" fillId="0" borderId="0" xfId="205" applyFont="1" applyAlignment="1">
      <alignment horizontal="right" vertical="center"/>
    </xf>
    <xf numFmtId="0" fontId="29" fillId="0" borderId="0" xfId="205" applyFont="1" applyAlignment="1">
      <alignment horizontal="left" vertical="center"/>
    </xf>
    <xf numFmtId="0" fontId="29" fillId="0" borderId="2" xfId="205" applyFont="1" applyBorder="1" applyAlignment="1">
      <alignment horizontal="center" vertical="center"/>
    </xf>
    <xf numFmtId="0" fontId="29" fillId="0" borderId="23" xfId="205" applyFont="1" applyBorder="1" applyAlignment="1">
      <alignment horizontal="center" vertical="center"/>
    </xf>
    <xf numFmtId="0" fontId="29" fillId="0" borderId="0" xfId="205" quotePrefix="1" applyFont="1" applyAlignment="1">
      <alignment horizontal="center" vertical="center"/>
    </xf>
    <xf numFmtId="0" fontId="39" fillId="0" borderId="0" xfId="205" applyFont="1" applyAlignment="1">
      <alignment vertical="center"/>
    </xf>
    <xf numFmtId="0" fontId="51" fillId="0" borderId="0" xfId="205" applyFont="1" applyAlignment="1">
      <alignment vertical="center"/>
    </xf>
    <xf numFmtId="175" fontId="29" fillId="0" borderId="0" xfId="206" applyNumberFormat="1" applyFont="1" applyFill="1" applyBorder="1" applyAlignment="1">
      <alignment vertical="center"/>
    </xf>
    <xf numFmtId="9" fontId="51" fillId="0" borderId="0" xfId="205" applyNumberFormat="1" applyFont="1" applyAlignment="1">
      <alignment horizontal="center" vertical="center"/>
    </xf>
    <xf numFmtId="10" fontId="29" fillId="0" borderId="0" xfId="207" applyNumberFormat="1" applyFont="1" applyFill="1" applyBorder="1" applyAlignment="1">
      <alignment vertical="center"/>
    </xf>
    <xf numFmtId="175" fontId="29" fillId="0" borderId="0" xfId="206" applyNumberFormat="1" applyFont="1" applyFill="1" applyBorder="1"/>
    <xf numFmtId="10" fontId="29" fillId="0" borderId="0" xfId="207" applyNumberFormat="1" applyFont="1" applyFill="1" applyBorder="1"/>
    <xf numFmtId="10" fontId="29" fillId="0" borderId="0" xfId="207" applyNumberFormat="1" applyFont="1" applyFill="1" applyAlignment="1">
      <alignment vertical="center"/>
    </xf>
    <xf numFmtId="0" fontId="29" fillId="0" borderId="0" xfId="205" applyFont="1"/>
    <xf numFmtId="0" fontId="51" fillId="0" borderId="0" xfId="205" applyFont="1"/>
    <xf numFmtId="175" fontId="104" fillId="0" borderId="0" xfId="205" applyNumberFormat="1" applyFont="1" applyAlignment="1">
      <alignment vertical="center"/>
    </xf>
    <xf numFmtId="0" fontId="29" fillId="0" borderId="0" xfId="205" applyFont="1" applyAlignment="1">
      <alignment horizontal="center"/>
    </xf>
    <xf numFmtId="175" fontId="104" fillId="0" borderId="0" xfId="205" applyNumberFormat="1" applyFont="1"/>
    <xf numFmtId="175" fontId="29" fillId="0" borderId="0" xfId="205" applyNumberFormat="1" applyFont="1"/>
    <xf numFmtId="0" fontId="29" fillId="0" borderId="0" xfId="205" applyFont="1" applyAlignment="1">
      <alignment horizontal="left" vertical="top"/>
    </xf>
    <xf numFmtId="0" fontId="39" fillId="0" borderId="0" xfId="205" applyFont="1"/>
    <xf numFmtId="9" fontId="51" fillId="0" borderId="0" xfId="205" applyNumberFormat="1" applyFont="1" applyAlignment="1">
      <alignment horizontal="center"/>
    </xf>
    <xf numFmtId="10" fontId="29" fillId="0" borderId="0" xfId="207" applyNumberFormat="1" applyFont="1" applyFill="1"/>
    <xf numFmtId="167" fontId="29" fillId="0" borderId="0" xfId="208" applyNumberFormat="1" applyFont="1" applyFill="1" applyBorder="1" applyAlignment="1">
      <alignment vertical="center"/>
    </xf>
    <xf numFmtId="167" fontId="29" fillId="0" borderId="0" xfId="208" applyNumberFormat="1" applyFont="1" applyFill="1" applyBorder="1"/>
    <xf numFmtId="0" fontId="105" fillId="0" borderId="0" xfId="154" applyFont="1" applyAlignment="1">
      <alignment vertical="center"/>
    </xf>
    <xf numFmtId="0" fontId="105" fillId="0" borderId="0" xfId="154" applyFont="1" applyAlignment="1">
      <alignment horizontal="center" vertical="center"/>
    </xf>
    <xf numFmtId="0" fontId="7" fillId="0" borderId="23" xfId="154" applyFont="1" applyBorder="1" applyAlignment="1">
      <alignment horizontal="center" vertical="center"/>
    </xf>
    <xf numFmtId="37" fontId="7" fillId="0" borderId="23" xfId="154" applyNumberFormat="1" applyFont="1" applyBorder="1" applyAlignment="1">
      <alignment horizontal="center" vertical="center"/>
    </xf>
    <xf numFmtId="0" fontId="11" fillId="0" borderId="23" xfId="154" applyFont="1" applyBorder="1" applyAlignment="1">
      <alignment horizontal="center" vertical="center"/>
    </xf>
    <xf numFmtId="183" fontId="15" fillId="0" borderId="0" xfId="207" applyNumberFormat="1" applyFont="1" applyFill="1" applyAlignment="1">
      <alignment vertical="center"/>
    </xf>
    <xf numFmtId="183" fontId="7" fillId="0" borderId="24" xfId="154" applyNumberFormat="1" applyFont="1" applyBorder="1" applyAlignment="1">
      <alignment vertical="center"/>
    </xf>
    <xf numFmtId="184" fontId="15" fillId="0" borderId="0" xfId="208" applyNumberFormat="1" applyFont="1" applyFill="1" applyAlignment="1">
      <alignment vertical="center"/>
    </xf>
    <xf numFmtId="0" fontId="13" fillId="0" borderId="0" xfId="156" applyAlignment="1">
      <alignment vertical="center"/>
    </xf>
    <xf numFmtId="0" fontId="7" fillId="0" borderId="23" xfId="152" applyFont="1" applyBorder="1" applyAlignment="1">
      <alignment horizontal="centerContinuous" vertical="center"/>
    </xf>
    <xf numFmtId="14" fontId="7" fillId="0" borderId="23" xfId="152" applyNumberFormat="1" applyFont="1" applyBorder="1" applyAlignment="1">
      <alignment horizontal="center" vertical="center"/>
    </xf>
    <xf numFmtId="37" fontId="7" fillId="0" borderId="23" xfId="205" applyNumberFormat="1" applyBorder="1" applyAlignment="1">
      <alignment vertical="center"/>
    </xf>
    <xf numFmtId="37" fontId="7" fillId="0" borderId="0" xfId="205" applyNumberFormat="1" applyAlignment="1">
      <alignment horizontal="center" vertical="center"/>
    </xf>
    <xf numFmtId="5" fontId="7" fillId="0" borderId="0" xfId="205" applyNumberFormat="1" applyAlignment="1">
      <alignment vertical="center"/>
    </xf>
    <xf numFmtId="0" fontId="30" fillId="0" borderId="0" xfId="205" applyFont="1" applyAlignment="1">
      <alignment vertical="center"/>
    </xf>
    <xf numFmtId="37" fontId="12" fillId="0" borderId="0" xfId="205" applyNumberFormat="1" applyFont="1" applyAlignment="1">
      <alignment vertical="center"/>
    </xf>
    <xf numFmtId="0" fontId="7" fillId="0" borderId="24" xfId="162" applyFont="1" applyFill="1" applyBorder="1" applyAlignment="1">
      <alignment horizontal="left" vertical="center"/>
    </xf>
    <xf numFmtId="0" fontId="15" fillId="0" borderId="23" xfId="162" applyFont="1" applyFill="1" applyBorder="1" applyAlignment="1">
      <alignment vertical="center"/>
    </xf>
    <xf numFmtId="0" fontId="13" fillId="0" borderId="0" xfId="162" applyFill="1" applyAlignment="1">
      <alignment horizontal="center" vertical="center"/>
    </xf>
    <xf numFmtId="0" fontId="7" fillId="0" borderId="24" xfId="162" applyFont="1" applyFill="1" applyBorder="1" applyAlignment="1">
      <alignment horizontal="center" vertical="center"/>
    </xf>
    <xf numFmtId="37" fontId="7" fillId="0" borderId="24" xfId="162" applyNumberFormat="1" applyFont="1" applyFill="1" applyBorder="1" applyAlignment="1">
      <alignment vertical="center"/>
    </xf>
    <xf numFmtId="10" fontId="7" fillId="0" borderId="23" xfId="162" applyNumberFormat="1" applyFont="1" applyFill="1" applyBorder="1" applyAlignment="1">
      <alignment vertical="center"/>
    </xf>
    <xf numFmtId="0" fontId="7" fillId="0" borderId="0" xfId="162" applyFont="1" applyFill="1" applyBorder="1" applyAlignment="1">
      <alignment horizontal="right" vertical="center"/>
    </xf>
    <xf numFmtId="0" fontId="7" fillId="0" borderId="23" xfId="162" applyFont="1" applyFill="1" applyBorder="1" applyAlignment="1">
      <alignment horizontal="left" vertical="center"/>
    </xf>
    <xf numFmtId="0" fontId="7" fillId="0" borderId="23" xfId="162" applyFont="1" applyFill="1" applyBorder="1" applyAlignment="1">
      <alignment vertical="center"/>
    </xf>
    <xf numFmtId="0" fontId="7" fillId="0" borderId="23" xfId="162" applyFont="1" applyFill="1" applyBorder="1" applyAlignment="1">
      <alignment horizontal="right" vertical="center"/>
    </xf>
    <xf numFmtId="0" fontId="13" fillId="0" borderId="23" xfId="162" applyFill="1" applyBorder="1" applyAlignment="1">
      <alignment vertical="center"/>
    </xf>
    <xf numFmtId="0" fontId="7" fillId="0" borderId="24" xfId="158" applyFont="1" applyBorder="1" applyAlignment="1">
      <alignment vertical="center"/>
    </xf>
    <xf numFmtId="0" fontId="7" fillId="0" borderId="24" xfId="158" applyFont="1" applyBorder="1" applyAlignment="1">
      <alignment horizontal="right" vertical="center"/>
    </xf>
    <xf numFmtId="0" fontId="7" fillId="0" borderId="24" xfId="158" applyFont="1" applyBorder="1" applyAlignment="1">
      <alignment horizontal="center" vertical="center"/>
    </xf>
    <xf numFmtId="37" fontId="7" fillId="0" borderId="23" xfId="158" applyNumberFormat="1" applyFont="1" applyBorder="1" applyAlignment="1">
      <alignment vertical="center"/>
    </xf>
    <xf numFmtId="175" fontId="7" fillId="0" borderId="23" xfId="206" applyNumberFormat="1" applyFont="1" applyFill="1" applyBorder="1" applyAlignment="1">
      <alignment vertical="center"/>
    </xf>
    <xf numFmtId="0" fontId="13" fillId="0" borderId="0" xfId="162" applyFill="1" applyBorder="1" applyAlignment="1">
      <alignment vertical="center"/>
    </xf>
    <xf numFmtId="0" fontId="7" fillId="0" borderId="24" xfId="159" applyFont="1" applyBorder="1" applyAlignment="1">
      <alignment vertical="center"/>
    </xf>
    <xf numFmtId="0" fontId="7" fillId="0" borderId="24" xfId="159" applyFont="1" applyBorder="1" applyAlignment="1">
      <alignment horizontal="right" vertical="center"/>
    </xf>
    <xf numFmtId="0" fontId="7" fillId="0" borderId="24" xfId="159" applyFont="1" applyBorder="1" applyAlignment="1">
      <alignment horizontal="center" vertical="center"/>
    </xf>
    <xf numFmtId="0" fontId="7" fillId="0" borderId="0" xfId="160" applyFont="1" applyAlignment="1">
      <alignment vertical="center"/>
    </xf>
    <xf numFmtId="0" fontId="7" fillId="0" borderId="24" xfId="160" applyFont="1" applyBorder="1" applyAlignment="1">
      <alignment vertical="center"/>
    </xf>
    <xf numFmtId="0" fontId="7" fillId="0" borderId="24" xfId="160" applyFont="1" applyBorder="1" applyAlignment="1">
      <alignment horizontal="right" vertical="center"/>
    </xf>
    <xf numFmtId="0" fontId="7" fillId="0" borderId="24" xfId="160" quotePrefix="1" applyFont="1" applyBorder="1" applyAlignment="1">
      <alignment horizontal="center" vertical="center"/>
    </xf>
    <xf numFmtId="0" fontId="7" fillId="0" borderId="24" xfId="160" applyFont="1" applyBorder="1" applyAlignment="1">
      <alignment horizontal="center" vertical="center"/>
    </xf>
    <xf numFmtId="0" fontId="7" fillId="0" borderId="0" xfId="155" applyFont="1" applyAlignment="1">
      <alignment horizontal="centerContinuous" vertical="center"/>
    </xf>
    <xf numFmtId="0" fontId="29" fillId="0" borderId="24" xfId="141" applyFont="1" applyBorder="1" applyAlignment="1">
      <alignment vertical="center"/>
    </xf>
    <xf numFmtId="0" fontId="29" fillId="0" borderId="24" xfId="141" applyFont="1" applyBorder="1" applyAlignment="1">
      <alignment horizontal="center" vertical="center"/>
    </xf>
    <xf numFmtId="0" fontId="29" fillId="0" borderId="24" xfId="141" applyFont="1" applyBorder="1" applyAlignment="1">
      <alignment horizontal="left" vertical="center"/>
    </xf>
    <xf numFmtId="37" fontId="29" fillId="0" borderId="24" xfId="141" applyNumberFormat="1" applyFont="1" applyBorder="1" applyAlignment="1">
      <alignment vertical="center"/>
    </xf>
    <xf numFmtId="37" fontId="29" fillId="0" borderId="24" xfId="0" applyNumberFormat="1" applyFont="1" applyBorder="1" applyAlignment="1">
      <alignment vertical="center"/>
    </xf>
    <xf numFmtId="37" fontId="29" fillId="0" borderId="24" xfId="0" applyNumberFormat="1" applyFont="1" applyBorder="1" applyAlignment="1" applyProtection="1">
      <alignment vertical="center"/>
      <protection locked="0"/>
    </xf>
    <xf numFmtId="37" fontId="29" fillId="0" borderId="24" xfId="141" applyNumberFormat="1" applyFont="1" applyBorder="1" applyAlignment="1" applyProtection="1">
      <alignment vertical="center"/>
      <protection locked="0"/>
    </xf>
    <xf numFmtId="37" fontId="29" fillId="0" borderId="25" xfId="141" applyNumberFormat="1" applyFont="1" applyBorder="1" applyAlignment="1" applyProtection="1">
      <alignment vertical="center"/>
      <protection locked="0"/>
    </xf>
    <xf numFmtId="37" fontId="29" fillId="0" borderId="24" xfId="141" applyNumberFormat="1" applyFont="1" applyBorder="1" applyAlignment="1">
      <alignment horizontal="right" vertical="center"/>
    </xf>
    <xf numFmtId="0" fontId="45" fillId="0" borderId="0" xfId="0" applyFont="1" applyAlignment="1">
      <alignment vertical="center"/>
    </xf>
    <xf numFmtId="0" fontId="15" fillId="0" borderId="0" xfId="0" applyFont="1" applyAlignment="1">
      <alignment horizontal="left" vertical="center"/>
    </xf>
    <xf numFmtId="0" fontId="0" fillId="0" borderId="0" xfId="0" applyAlignment="1">
      <alignment horizontal="centerContinuous" vertical="center"/>
    </xf>
    <xf numFmtId="0" fontId="7" fillId="0" borderId="24" xfId="0" applyFont="1" applyBorder="1" applyAlignment="1">
      <alignment horizontal="left"/>
    </xf>
    <xf numFmtId="0" fontId="7" fillId="0" borderId="24" xfId="0" applyFont="1" applyBorder="1"/>
    <xf numFmtId="0" fontId="7" fillId="0" borderId="25" xfId="0" applyFont="1" applyBorder="1"/>
    <xf numFmtId="0" fontId="15" fillId="0" borderId="25" xfId="0" applyFont="1" applyBorder="1"/>
    <xf numFmtId="0" fontId="7" fillId="0" borderId="25" xfId="0" applyFont="1" applyBorder="1" applyAlignment="1">
      <alignment horizontal="right"/>
    </xf>
    <xf numFmtId="0" fontId="13" fillId="0" borderId="0" xfId="163"/>
    <xf numFmtId="0" fontId="61" fillId="0" borderId="0" xfId="205" applyFont="1" applyAlignment="1">
      <alignment vertical="center"/>
    </xf>
    <xf numFmtId="41" fontId="7" fillId="0" borderId="25" xfId="206" applyNumberFormat="1" applyFont="1" applyFill="1" applyBorder="1" applyAlignment="1">
      <alignment vertical="center"/>
    </xf>
    <xf numFmtId="41" fontId="7" fillId="0" borderId="25" xfId="206" applyNumberFormat="1" applyFont="1" applyFill="1" applyBorder="1" applyAlignment="1">
      <alignment horizontal="center" vertical="center"/>
    </xf>
    <xf numFmtId="41" fontId="7" fillId="0" borderId="25" xfId="208" applyNumberFormat="1" applyFont="1" applyBorder="1" applyAlignment="1">
      <alignment vertical="center"/>
    </xf>
    <xf numFmtId="41" fontId="7" fillId="0" borderId="25" xfId="208" applyNumberFormat="1" applyFont="1" applyFill="1" applyBorder="1" applyAlignment="1">
      <alignment vertical="center"/>
    </xf>
    <xf numFmtId="0" fontId="7" fillId="0" borderId="25" xfId="0" applyFont="1" applyBorder="1" applyAlignment="1">
      <alignment horizontal="center" vertical="center" wrapText="1"/>
    </xf>
    <xf numFmtId="0" fontId="84" fillId="0" borderId="0" xfId="210" applyFont="1" applyAlignment="1">
      <alignment horizontal="center" vertical="center"/>
    </xf>
    <xf numFmtId="41" fontId="7" fillId="0" borderId="0" xfId="0" applyNumberFormat="1" applyFont="1" applyAlignment="1">
      <alignment vertical="center"/>
    </xf>
    <xf numFmtId="41" fontId="0" fillId="0" borderId="0" xfId="0" applyNumberFormat="1"/>
    <xf numFmtId="41" fontId="7" fillId="0" borderId="6" xfId="0" applyNumberFormat="1" applyFont="1" applyBorder="1" applyAlignment="1">
      <alignment vertical="center"/>
    </xf>
    <xf numFmtId="41" fontId="7" fillId="0" borderId="14" xfId="0" applyNumberFormat="1" applyFont="1" applyBorder="1" applyAlignment="1">
      <alignment vertical="center"/>
    </xf>
    <xf numFmtId="41" fontId="7" fillId="0" borderId="19" xfId="0" applyNumberFormat="1" applyFont="1" applyBorder="1" applyAlignment="1">
      <alignment vertical="center"/>
    </xf>
    <xf numFmtId="41" fontId="7" fillId="0" borderId="23" xfId="0" applyNumberFormat="1" applyFont="1" applyBorder="1" applyAlignment="1">
      <alignment vertical="center"/>
    </xf>
    <xf numFmtId="41" fontId="7" fillId="0" borderId="0" xfId="0" applyNumberFormat="1" applyFont="1" applyAlignment="1">
      <alignment horizontal="left" vertical="center"/>
    </xf>
    <xf numFmtId="41" fontId="7" fillId="0" borderId="0" xfId="208" applyNumberFormat="1" applyFont="1" applyFill="1" applyAlignment="1">
      <alignment horizontal="left" vertical="center"/>
    </xf>
    <xf numFmtId="41" fontId="7" fillId="0" borderId="23" xfId="208" applyNumberFormat="1" applyFont="1" applyFill="1" applyBorder="1" applyAlignment="1">
      <alignment vertical="center"/>
    </xf>
    <xf numFmtId="41" fontId="7" fillId="0" borderId="10" xfId="0" applyNumberFormat="1" applyFont="1" applyBorder="1" applyAlignment="1">
      <alignment vertical="center"/>
    </xf>
    <xf numFmtId="41" fontId="7" fillId="0" borderId="25" xfId="0" applyNumberFormat="1" applyFont="1" applyBorder="1" applyAlignment="1">
      <alignment vertical="center"/>
    </xf>
    <xf numFmtId="41" fontId="7" fillId="0" borderId="0" xfId="145" applyNumberFormat="1" applyFont="1" applyAlignment="1">
      <alignment vertical="center"/>
    </xf>
    <xf numFmtId="41" fontId="7" fillId="0" borderId="24" xfId="145" applyNumberFormat="1" applyFont="1" applyBorder="1" applyAlignment="1">
      <alignment vertical="center"/>
    </xf>
    <xf numFmtId="41" fontId="7" fillId="0" borderId="0" xfId="145" applyNumberFormat="1" applyFont="1" applyAlignment="1">
      <alignment horizontal="left" vertical="center"/>
    </xf>
    <xf numFmtId="41" fontId="7" fillId="0" borderId="25" xfId="145" applyNumberFormat="1" applyFont="1" applyBorder="1" applyAlignment="1">
      <alignment vertical="center"/>
    </xf>
    <xf numFmtId="41" fontId="7" fillId="0" borderId="10" xfId="145" applyNumberFormat="1" applyFont="1" applyBorder="1" applyAlignment="1">
      <alignment vertical="center"/>
    </xf>
    <xf numFmtId="41" fontId="7" fillId="0" borderId="2" xfId="145" applyNumberFormat="1" applyFont="1" applyBorder="1" applyAlignment="1">
      <alignment vertical="center"/>
    </xf>
    <xf numFmtId="41" fontId="7" fillId="0" borderId="0" xfId="163" applyNumberFormat="1" applyFont="1" applyAlignment="1">
      <alignment vertical="center"/>
    </xf>
    <xf numFmtId="41" fontId="7" fillId="0" borderId="0" xfId="163" applyNumberFormat="1" applyFont="1" applyAlignment="1">
      <alignment horizontal="left" vertical="center"/>
    </xf>
    <xf numFmtId="41" fontId="30" fillId="0" borderId="0" xfId="163" applyNumberFormat="1" applyFont="1" applyAlignment="1">
      <alignment horizontal="right" vertical="center"/>
    </xf>
    <xf numFmtId="41" fontId="7" fillId="0" borderId="23" xfId="163" applyNumberFormat="1" applyFont="1" applyBorder="1" applyAlignment="1">
      <alignment vertical="center"/>
    </xf>
    <xf numFmtId="41" fontId="30" fillId="0" borderId="0" xfId="163" applyNumberFormat="1" applyFont="1" applyAlignment="1">
      <alignment horizontal="center" vertical="center"/>
    </xf>
    <xf numFmtId="41" fontId="13" fillId="0" borderId="0" xfId="163" applyNumberFormat="1" applyAlignment="1">
      <alignment vertical="center"/>
    </xf>
    <xf numFmtId="41" fontId="7" fillId="0" borderId="24" xfId="163" applyNumberFormat="1" applyFont="1" applyBorder="1" applyAlignment="1">
      <alignment vertical="center"/>
    </xf>
    <xf numFmtId="41" fontId="7" fillId="0" borderId="7" xfId="163" applyNumberFormat="1" applyFont="1" applyBorder="1" applyAlignment="1">
      <alignment vertical="center"/>
    </xf>
    <xf numFmtId="41" fontId="7" fillId="0" borderId="0" xfId="163" applyNumberFormat="1" applyFont="1" applyAlignment="1" applyProtection="1">
      <alignment vertical="center"/>
      <protection locked="0"/>
    </xf>
    <xf numFmtId="41" fontId="11" fillId="0" borderId="0" xfId="163" applyNumberFormat="1" applyFont="1" applyAlignment="1">
      <alignment vertical="center"/>
    </xf>
    <xf numFmtId="41" fontId="7" fillId="0" borderId="0" xfId="163" applyNumberFormat="1" applyFont="1" applyAlignment="1" applyProtection="1">
      <alignment horizontal="left" vertical="center"/>
      <protection locked="0"/>
    </xf>
    <xf numFmtId="41" fontId="7" fillId="0" borderId="6" xfId="163" applyNumberFormat="1" applyFont="1" applyBorder="1" applyAlignment="1">
      <alignment vertical="center"/>
    </xf>
    <xf numFmtId="41" fontId="7" fillId="0" borderId="15" xfId="163" applyNumberFormat="1" applyFont="1" applyBorder="1" applyAlignment="1">
      <alignment vertical="center"/>
    </xf>
    <xf numFmtId="41" fontId="7" fillId="0" borderId="15" xfId="163" applyNumberFormat="1" applyFont="1" applyBorder="1" applyAlignment="1" applyProtection="1">
      <alignment vertical="center"/>
      <protection locked="0"/>
    </xf>
    <xf numFmtId="41" fontId="9" fillId="0" borderId="0" xfId="163" applyNumberFormat="1" applyFont="1" applyAlignment="1">
      <alignment vertical="center"/>
    </xf>
    <xf numFmtId="41" fontId="7" fillId="0" borderId="5" xfId="163" applyNumberFormat="1" applyFont="1" applyBorder="1" applyAlignment="1">
      <alignment vertical="center"/>
    </xf>
    <xf numFmtId="41" fontId="7" fillId="0" borderId="19" xfId="163" applyNumberFormat="1" applyFont="1" applyBorder="1" applyAlignment="1" applyProtection="1">
      <alignment vertical="center"/>
      <protection locked="0"/>
    </xf>
    <xf numFmtId="41" fontId="7" fillId="0" borderId="23" xfId="163" applyNumberFormat="1" applyFont="1" applyBorder="1" applyAlignment="1" applyProtection="1">
      <alignment vertical="center"/>
      <protection locked="0"/>
    </xf>
    <xf numFmtId="41" fontId="7" fillId="0" borderId="24" xfId="163" applyNumberFormat="1" applyFont="1" applyBorder="1" applyAlignment="1" applyProtection="1">
      <alignment vertical="center"/>
      <protection locked="0"/>
    </xf>
    <xf numFmtId="41" fontId="7" fillId="0" borderId="7" xfId="163" applyNumberFormat="1" applyFont="1" applyBorder="1" applyAlignment="1" applyProtection="1">
      <alignment vertical="center"/>
      <protection locked="0"/>
    </xf>
    <xf numFmtId="41" fontId="29" fillId="0" borderId="0" xfId="163" applyNumberFormat="1" applyFont="1" applyAlignment="1">
      <alignment vertical="center"/>
    </xf>
    <xf numFmtId="41" fontId="29" fillId="0" borderId="10" xfId="163" applyNumberFormat="1" applyFont="1" applyBorder="1" applyAlignment="1">
      <alignment vertical="center"/>
    </xf>
    <xf numFmtId="41" fontId="29" fillId="0" borderId="25" xfId="163" applyNumberFormat="1" applyFont="1" applyBorder="1" applyAlignment="1">
      <alignment vertical="center"/>
    </xf>
    <xf numFmtId="41" fontId="29" fillId="0" borderId="0" xfId="208" applyNumberFormat="1" applyFont="1" applyFill="1" applyAlignment="1">
      <alignment vertical="center"/>
    </xf>
    <xf numFmtId="41" fontId="29" fillId="0" borderId="0" xfId="205" applyNumberFormat="1" applyFont="1" applyAlignment="1">
      <alignment vertical="center"/>
    </xf>
    <xf numFmtId="41" fontId="29" fillId="0" borderId="0" xfId="161" applyNumberFormat="1" applyFont="1" applyAlignment="1">
      <alignment vertical="center"/>
    </xf>
    <xf numFmtId="41" fontId="29" fillId="0" borderId="23" xfId="161" applyNumberFormat="1" applyFont="1" applyBorder="1" applyAlignment="1">
      <alignment vertical="center"/>
    </xf>
    <xf numFmtId="41" fontId="29" fillId="0" borderId="2" xfId="161" applyNumberFormat="1" applyFont="1" applyBorder="1" applyAlignment="1">
      <alignment vertical="center"/>
    </xf>
    <xf numFmtId="41" fontId="52" fillId="0" borderId="0" xfId="161" applyNumberFormat="1" applyFont="1" applyAlignment="1">
      <alignment vertical="center"/>
    </xf>
    <xf numFmtId="41" fontId="29" fillId="0" borderId="25" xfId="161" applyNumberFormat="1" applyFont="1" applyBorder="1" applyAlignment="1">
      <alignment vertical="center"/>
    </xf>
    <xf numFmtId="41" fontId="29" fillId="0" borderId="7" xfId="161" applyNumberFormat="1" applyFont="1" applyBorder="1" applyAlignment="1">
      <alignment vertical="center"/>
    </xf>
    <xf numFmtId="41" fontId="29" fillId="0" borderId="0" xfId="210" applyNumberFormat="1" applyFont="1" applyAlignment="1">
      <alignment vertical="center"/>
    </xf>
    <xf numFmtId="41" fontId="29" fillId="0" borderId="23" xfId="210" applyNumberFormat="1" applyFont="1" applyBorder="1" applyAlignment="1">
      <alignment vertical="center"/>
    </xf>
    <xf numFmtId="41" fontId="29" fillId="0" borderId="10" xfId="210" applyNumberFormat="1" applyFont="1" applyBorder="1" applyAlignment="1">
      <alignment vertical="center"/>
    </xf>
    <xf numFmtId="41" fontId="39" fillId="0" borderId="0" xfId="210" applyNumberFormat="1" applyFont="1" applyAlignment="1">
      <alignment vertical="center"/>
    </xf>
    <xf numFmtId="41" fontId="29" fillId="0" borderId="4" xfId="210" applyNumberFormat="1" applyFont="1" applyBorder="1" applyAlignment="1">
      <alignment vertical="center"/>
    </xf>
    <xf numFmtId="175" fontId="28" fillId="0" borderId="25" xfId="206" applyNumberFormat="1" applyFont="1" applyFill="1" applyBorder="1" applyAlignment="1">
      <alignment vertical="center"/>
    </xf>
    <xf numFmtId="43" fontId="28" fillId="0" borderId="25" xfId="214" applyFont="1" applyFill="1" applyBorder="1" applyAlignment="1">
      <alignment vertical="center"/>
    </xf>
    <xf numFmtId="167" fontId="28" fillId="0" borderId="25" xfId="214" applyNumberFormat="1" applyFont="1" applyFill="1" applyBorder="1" applyAlignment="1">
      <alignment vertical="center"/>
    </xf>
    <xf numFmtId="42" fontId="28" fillId="0" borderId="0" xfId="206" applyNumberFormat="1" applyFont="1" applyFill="1" applyAlignment="1">
      <alignment vertical="center"/>
    </xf>
    <xf numFmtId="42" fontId="72" fillId="0" borderId="0" xfId="214" applyNumberFormat="1" applyFont="1" applyFill="1" applyAlignment="1">
      <alignment vertical="center"/>
    </xf>
    <xf numFmtId="42" fontId="0" fillId="0" borderId="0" xfId="0" applyNumberFormat="1" applyAlignment="1">
      <alignment vertical="center"/>
    </xf>
    <xf numFmtId="42" fontId="28" fillId="0" borderId="0" xfId="0" applyNumberFormat="1" applyFont="1" applyAlignment="1">
      <alignment vertical="center"/>
    </xf>
    <xf numFmtId="42" fontId="28" fillId="0" borderId="23" xfId="206" applyNumberFormat="1" applyFont="1" applyFill="1" applyBorder="1" applyAlignment="1">
      <alignment vertical="center"/>
    </xf>
    <xf numFmtId="42" fontId="28" fillId="0" borderId="7" xfId="206" applyNumberFormat="1" applyFont="1" applyFill="1" applyBorder="1" applyAlignment="1">
      <alignment vertical="center"/>
    </xf>
    <xf numFmtId="175" fontId="28" fillId="0" borderId="0" xfId="136" applyNumberFormat="1" applyFont="1" applyFill="1" applyAlignment="1">
      <alignment vertical="center"/>
    </xf>
    <xf numFmtId="175" fontId="72" fillId="0" borderId="0" xfId="136" applyNumberFormat="1" applyFont="1" applyFill="1" applyAlignment="1">
      <alignment vertical="center"/>
    </xf>
    <xf numFmtId="175" fontId="0" fillId="0" borderId="0" xfId="136" applyNumberFormat="1" applyFont="1" applyAlignment="1">
      <alignment vertical="center"/>
    </xf>
    <xf numFmtId="175" fontId="28" fillId="0" borderId="23" xfId="136" applyNumberFormat="1" applyFont="1" applyFill="1" applyBorder="1" applyAlignment="1">
      <alignment vertical="center"/>
    </xf>
    <xf numFmtId="175" fontId="28" fillId="0" borderId="7" xfId="136" applyNumberFormat="1" applyFont="1" applyFill="1" applyBorder="1" applyAlignment="1">
      <alignment vertical="center"/>
    </xf>
    <xf numFmtId="42" fontId="28" fillId="0" borderId="0" xfId="206" applyNumberFormat="1" applyFont="1" applyFill="1" applyBorder="1" applyAlignment="1">
      <alignment vertical="center"/>
    </xf>
    <xf numFmtId="41" fontId="7" fillId="0" borderId="23" xfId="205" applyNumberFormat="1" applyBorder="1" applyAlignment="1">
      <alignment vertical="center"/>
    </xf>
    <xf numFmtId="41" fontId="7" fillId="0" borderId="7" xfId="205" applyNumberFormat="1" applyBorder="1" applyAlignment="1">
      <alignment vertical="center"/>
    </xf>
    <xf numFmtId="167" fontId="7" fillId="0" borderId="7" xfId="0" applyNumberFormat="1" applyFont="1" applyBorder="1" applyAlignment="1">
      <alignment vertical="center"/>
    </xf>
    <xf numFmtId="167" fontId="7" fillId="0" borderId="10" xfId="0" applyNumberFormat="1" applyFont="1" applyBorder="1" applyAlignment="1">
      <alignment vertical="center"/>
    </xf>
    <xf numFmtId="41" fontId="28" fillId="0" borderId="0" xfId="213" applyNumberFormat="1" applyFont="1" applyAlignment="1">
      <alignment horizontal="center" vertical="center"/>
    </xf>
    <xf numFmtId="0" fontId="28" fillId="0" borderId="25" xfId="213" applyFont="1" applyBorder="1" applyAlignment="1">
      <alignment horizontal="center" vertical="center"/>
    </xf>
    <xf numFmtId="43" fontId="7" fillId="0" borderId="2" xfId="38" applyFont="1" applyBorder="1" applyAlignment="1">
      <alignment vertical="center"/>
    </xf>
    <xf numFmtId="43" fontId="7" fillId="0" borderId="0" xfId="38" applyFont="1" applyAlignment="1">
      <alignment vertical="center"/>
    </xf>
    <xf numFmtId="43" fontId="7" fillId="0" borderId="25" xfId="38" applyFont="1" applyBorder="1" applyAlignment="1">
      <alignment vertical="center"/>
    </xf>
    <xf numFmtId="43" fontId="7" fillId="0" borderId="0" xfId="38" applyFont="1" applyFill="1" applyAlignment="1">
      <alignment vertical="center"/>
    </xf>
    <xf numFmtId="43" fontId="7" fillId="0" borderId="25" xfId="38" applyFont="1" applyFill="1" applyBorder="1" applyAlignment="1">
      <alignment vertical="center"/>
    </xf>
    <xf numFmtId="43" fontId="7" fillId="0" borderId="4" xfId="38" applyFont="1" applyBorder="1" applyAlignment="1">
      <alignment vertical="center"/>
    </xf>
    <xf numFmtId="43" fontId="7" fillId="0" borderId="10" xfId="38" applyFont="1" applyBorder="1" applyAlignment="1">
      <alignment vertical="center"/>
    </xf>
    <xf numFmtId="43" fontId="7" fillId="0" borderId="0" xfId="38" applyFont="1" applyBorder="1" applyAlignment="1">
      <alignment vertical="center"/>
    </xf>
    <xf numFmtId="9" fontId="7" fillId="0" borderId="0" xfId="165" applyFont="1" applyAlignment="1">
      <alignment horizontal="center" vertical="center"/>
    </xf>
    <xf numFmtId="10" fontId="7" fillId="0" borderId="0" xfId="165" applyNumberFormat="1" applyFont="1" applyAlignment="1">
      <alignment horizontal="center" vertical="center"/>
    </xf>
    <xf numFmtId="0" fontId="7" fillId="0" borderId="0" xfId="148" applyFont="1"/>
    <xf numFmtId="0" fontId="7" fillId="0" borderId="0" xfId="148" applyFont="1" applyAlignment="1">
      <alignment horizontal="center"/>
    </xf>
    <xf numFmtId="41" fontId="7" fillId="0" borderId="0" xfId="148" applyNumberFormat="1" applyFont="1" applyAlignment="1">
      <alignment vertical="center"/>
    </xf>
    <xf numFmtId="41" fontId="7" fillId="0" borderId="4" xfId="148" applyNumberFormat="1" applyFont="1" applyBorder="1" applyAlignment="1">
      <alignment vertical="center"/>
    </xf>
    <xf numFmtId="167" fontId="7" fillId="0" borderId="0" xfId="148" applyNumberFormat="1" applyFont="1" applyAlignment="1">
      <alignment vertical="center"/>
    </xf>
    <xf numFmtId="167" fontId="7" fillId="0" borderId="2" xfId="148" applyNumberFormat="1" applyFont="1" applyBorder="1" applyAlignment="1">
      <alignment vertical="center"/>
    </xf>
    <xf numFmtId="167" fontId="7" fillId="0" borderId="4" xfId="148" applyNumberFormat="1" applyFont="1" applyBorder="1" applyAlignment="1">
      <alignment vertical="center"/>
    </xf>
    <xf numFmtId="37" fontId="7" fillId="0" borderId="2" xfId="0" applyNumberFormat="1" applyFont="1" applyBorder="1" applyAlignment="1">
      <alignment vertical="center"/>
    </xf>
    <xf numFmtId="37" fontId="7" fillId="0" borderId="2" xfId="148" applyNumberFormat="1" applyFont="1" applyBorder="1" applyAlignment="1">
      <alignment vertical="center"/>
    </xf>
    <xf numFmtId="0" fontId="11" fillId="0" borderId="0" xfId="148" applyFont="1"/>
    <xf numFmtId="39" fontId="7" fillId="0" borderId="0" xfId="148" applyNumberFormat="1" applyFont="1" applyAlignment="1">
      <alignment horizontal="center" vertical="center"/>
    </xf>
    <xf numFmtId="43" fontId="7" fillId="0" borderId="0" xfId="208" applyFont="1" applyFill="1" applyAlignment="1">
      <alignment horizontal="center"/>
    </xf>
    <xf numFmtId="2" fontId="7" fillId="0" borderId="0" xfId="145" applyNumberFormat="1" applyFont="1" applyAlignment="1">
      <alignment horizontal="right" vertical="center"/>
    </xf>
    <xf numFmtId="0" fontId="12" fillId="0" borderId="0" xfId="0" applyFont="1" applyAlignment="1">
      <alignment horizontal="right" vertical="center"/>
    </xf>
    <xf numFmtId="43" fontId="7" fillId="0" borderId="0" xfId="208" applyFont="1" applyFill="1" applyAlignment="1">
      <alignment horizontal="right" vertical="center"/>
    </xf>
    <xf numFmtId="0" fontId="106" fillId="0" borderId="0" xfId="205" applyFont="1" applyAlignment="1">
      <alignment horizontal="right" vertical="center"/>
    </xf>
    <xf numFmtId="175" fontId="100" fillId="20" borderId="0" xfId="206" applyNumberFormat="1" applyFont="1" applyFill="1" applyBorder="1" applyAlignment="1">
      <alignment vertical="center"/>
    </xf>
    <xf numFmtId="175" fontId="100" fillId="20" borderId="23" xfId="206" applyNumberFormat="1" applyFont="1" applyFill="1" applyBorder="1" applyAlignment="1">
      <alignment vertical="center"/>
    </xf>
    <xf numFmtId="175" fontId="29" fillId="20" borderId="0" xfId="206" applyNumberFormat="1" applyFont="1" applyFill="1" applyBorder="1"/>
    <xf numFmtId="175" fontId="29" fillId="20" borderId="0" xfId="206" applyNumberFormat="1" applyFont="1" applyFill="1" applyBorder="1" applyAlignment="1">
      <alignment vertical="center"/>
    </xf>
    <xf numFmtId="175" fontId="29" fillId="20" borderId="23" xfId="206" applyNumberFormat="1" applyFont="1" applyFill="1" applyBorder="1" applyAlignment="1">
      <alignment vertical="center"/>
    </xf>
    <xf numFmtId="10" fontId="29" fillId="20" borderId="0" xfId="207" applyNumberFormat="1" applyFont="1" applyFill="1" applyBorder="1" applyAlignment="1">
      <alignment vertical="center"/>
    </xf>
    <xf numFmtId="10" fontId="29" fillId="20" borderId="0" xfId="207" applyNumberFormat="1" applyFont="1" applyFill="1" applyBorder="1"/>
    <xf numFmtId="167" fontId="103" fillId="20" borderId="0" xfId="208" applyNumberFormat="1" applyFont="1" applyFill="1" applyBorder="1" applyAlignment="1">
      <alignment vertical="center"/>
    </xf>
    <xf numFmtId="0" fontId="29" fillId="20" borderId="0" xfId="205" applyFont="1" applyFill="1" applyAlignment="1">
      <alignment vertical="center"/>
    </xf>
    <xf numFmtId="9" fontId="29" fillId="20" borderId="0" xfId="207" applyFont="1" applyFill="1" applyBorder="1" applyAlignment="1">
      <alignment vertical="center"/>
    </xf>
    <xf numFmtId="0" fontId="29" fillId="20" borderId="0" xfId="205" applyFont="1" applyFill="1"/>
    <xf numFmtId="0" fontId="51" fillId="20" borderId="0" xfId="205" applyFont="1" applyFill="1"/>
    <xf numFmtId="175" fontId="29" fillId="20" borderId="10" xfId="206" applyNumberFormat="1" applyFont="1" applyFill="1" applyBorder="1" applyAlignment="1">
      <alignment vertical="center"/>
    </xf>
    <xf numFmtId="175" fontId="29" fillId="20" borderId="23" xfId="206" applyNumberFormat="1" applyFont="1" applyFill="1" applyBorder="1"/>
    <xf numFmtId="175" fontId="29" fillId="20" borderId="0" xfId="207" applyNumberFormat="1" applyFont="1" applyFill="1" applyBorder="1"/>
    <xf numFmtId="167" fontId="103" fillId="20" borderId="0" xfId="208" applyNumberFormat="1" applyFont="1" applyFill="1" applyBorder="1"/>
    <xf numFmtId="9" fontId="29" fillId="20" borderId="0" xfId="207" applyFont="1" applyFill="1" applyBorder="1"/>
    <xf numFmtId="167" fontId="29" fillId="20" borderId="23" xfId="208" applyNumberFormat="1" applyFont="1" applyFill="1" applyBorder="1"/>
    <xf numFmtId="174" fontId="61" fillId="14" borderId="0" xfId="0" applyNumberFormat="1" applyFont="1" applyFill="1"/>
    <xf numFmtId="37" fontId="7" fillId="0" borderId="0" xfId="208" applyNumberFormat="1" applyFont="1" applyAlignment="1">
      <alignment vertical="center"/>
    </xf>
    <xf numFmtId="0" fontId="29" fillId="0" borderId="0" xfId="163" applyFont="1" applyAlignment="1" applyProtection="1">
      <alignment horizontal="center"/>
      <protection locked="0"/>
    </xf>
    <xf numFmtId="0" fontId="29" fillId="0" borderId="0" xfId="163" applyFont="1" applyAlignment="1">
      <alignment horizontal="left" wrapText="1"/>
    </xf>
    <xf numFmtId="0" fontId="23" fillId="0" borderId="0" xfId="220" applyFont="1" applyAlignment="1">
      <alignment horizontal="center"/>
    </xf>
    <xf numFmtId="175" fontId="28" fillId="0" borderId="0" xfId="222" applyNumberFormat="1" applyFont="1" applyFill="1" applyBorder="1" applyAlignment="1">
      <alignment horizontal="center"/>
    </xf>
    <xf numFmtId="0" fontId="65" fillId="0" borderId="3" xfId="0" applyFont="1" applyBorder="1" applyAlignment="1">
      <alignment horizontal="center"/>
    </xf>
    <xf numFmtId="0" fontId="95" fillId="0" borderId="0" xfId="216" applyFont="1" applyAlignment="1">
      <alignment horizontal="center" wrapText="1"/>
    </xf>
    <xf numFmtId="167" fontId="7" fillId="15" borderId="12" xfId="211" applyNumberFormat="1" applyFont="1" applyFill="1" applyBorder="1" applyAlignment="1">
      <alignment horizontal="center" vertical="center"/>
    </xf>
    <xf numFmtId="167" fontId="7" fillId="15" borderId="13" xfId="211" applyNumberFormat="1" applyFont="1" applyFill="1" applyBorder="1" applyAlignment="1">
      <alignment horizontal="center" vertical="center"/>
    </xf>
    <xf numFmtId="167" fontId="7" fillId="15" borderId="20" xfId="211" applyNumberFormat="1" applyFont="1" applyFill="1" applyBorder="1" applyAlignment="1">
      <alignment horizontal="center" vertical="center"/>
    </xf>
    <xf numFmtId="167" fontId="7" fillId="17" borderId="12" xfId="211" applyNumberFormat="1" applyFont="1" applyFill="1" applyBorder="1" applyAlignment="1">
      <alignment horizontal="center" vertical="center"/>
    </xf>
    <xf numFmtId="167" fontId="7" fillId="17" borderId="13" xfId="211" applyNumberFormat="1" applyFont="1" applyFill="1" applyBorder="1" applyAlignment="1">
      <alignment horizontal="center" vertical="center"/>
    </xf>
    <xf numFmtId="167" fontId="7" fillId="17" borderId="20" xfId="211" applyNumberFormat="1" applyFont="1" applyFill="1" applyBorder="1" applyAlignment="1">
      <alignment horizontal="center" vertical="center"/>
    </xf>
    <xf numFmtId="0" fontId="90" fillId="0" borderId="0" xfId="0" applyFont="1" applyAlignment="1">
      <alignment horizontal="center" wrapText="1"/>
    </xf>
    <xf numFmtId="0" fontId="91" fillId="0" borderId="0" xfId="0" applyFont="1" applyAlignment="1">
      <alignment horizontal="center"/>
    </xf>
    <xf numFmtId="167" fontId="7" fillId="17" borderId="18" xfId="211" applyNumberFormat="1" applyFont="1" applyFill="1" applyBorder="1" applyAlignment="1">
      <alignment horizontal="center" vertical="center"/>
    </xf>
    <xf numFmtId="0" fontId="7" fillId="0" borderId="0" xfId="0" applyFont="1" applyAlignment="1">
      <alignment horizontal="center"/>
    </xf>
    <xf numFmtId="0" fontId="62" fillId="0" borderId="0" xfId="0" applyFont="1" applyAlignment="1">
      <alignment horizontal="center"/>
    </xf>
    <xf numFmtId="0" fontId="28" fillId="0" borderId="0" xfId="233" applyFont="1" applyAlignment="1">
      <alignment horizontal="left" vertical="top" wrapText="1"/>
    </xf>
    <xf numFmtId="0" fontId="7" fillId="0" borderId="0" xfId="0" applyFont="1" applyAlignment="1">
      <alignment horizontal="center" vertical="center"/>
    </xf>
    <xf numFmtId="0" fontId="7" fillId="0" borderId="0" xfId="0" quotePrefix="1" applyFont="1" applyAlignment="1">
      <alignment horizontal="center" vertical="center"/>
    </xf>
    <xf numFmtId="0" fontId="7" fillId="0" borderId="0" xfId="145" applyFont="1" applyAlignment="1">
      <alignment horizontal="center" vertical="center"/>
    </xf>
    <xf numFmtId="0" fontId="7" fillId="0" borderId="0" xfId="145" quotePrefix="1" applyFont="1" applyAlignment="1">
      <alignment horizontal="center" vertical="center"/>
    </xf>
    <xf numFmtId="0" fontId="7" fillId="0" borderId="25" xfId="224" applyFont="1" applyBorder="1" applyAlignment="1">
      <alignment horizontal="center" vertical="center"/>
    </xf>
    <xf numFmtId="0" fontId="7" fillId="0" borderId="4" xfId="234" applyFont="1" applyBorder="1" applyAlignment="1">
      <alignment horizontal="center" vertical="center"/>
    </xf>
    <xf numFmtId="0" fontId="7" fillId="0" borderId="25" xfId="234" applyFont="1" applyBorder="1" applyAlignment="1">
      <alignment horizontal="center" vertical="center"/>
    </xf>
    <xf numFmtId="0" fontId="7" fillId="0" borderId="0" xfId="147" applyFont="1" applyAlignment="1">
      <alignment horizontal="center" vertical="center"/>
    </xf>
    <xf numFmtId="167" fontId="7" fillId="0" borderId="0" xfId="208" quotePrefix="1" applyNumberFormat="1" applyFont="1" applyFill="1" applyAlignment="1">
      <alignment horizontal="center" vertical="center"/>
    </xf>
    <xf numFmtId="0" fontId="11" fillId="0" borderId="0" xfId="0" applyFont="1" applyAlignment="1">
      <alignment horizontal="center" vertical="center"/>
    </xf>
    <xf numFmtId="0" fontId="7" fillId="0" borderId="0" xfId="148" applyFont="1" applyAlignment="1">
      <alignment horizontal="center" vertical="center"/>
    </xf>
    <xf numFmtId="0" fontId="7" fillId="0" borderId="0" xfId="149" applyFont="1" applyAlignment="1">
      <alignment horizontal="center" vertical="center"/>
    </xf>
    <xf numFmtId="0" fontId="7" fillId="0" borderId="0" xfId="164" applyFont="1" applyAlignment="1">
      <alignment horizontal="center" vertical="center"/>
    </xf>
    <xf numFmtId="0" fontId="7" fillId="0" borderId="2" xfId="0" applyFont="1" applyBorder="1" applyAlignment="1">
      <alignment horizontal="center" vertical="center"/>
    </xf>
    <xf numFmtId="0" fontId="7" fillId="0" borderId="0" xfId="205" applyAlignment="1">
      <alignment horizontal="center" vertical="center"/>
    </xf>
    <xf numFmtId="0" fontId="7" fillId="0" borderId="0" xfId="0" applyFont="1" applyAlignment="1">
      <alignment horizontal="left" vertical="center" wrapText="1"/>
    </xf>
    <xf numFmtId="0" fontId="7" fillId="0" borderId="0" xfId="228" applyFont="1" applyAlignment="1">
      <alignment horizontal="center" vertical="center"/>
    </xf>
    <xf numFmtId="0" fontId="7" fillId="0" borderId="0" xfId="163" applyFont="1" applyAlignment="1">
      <alignment horizontal="center" vertical="center"/>
    </xf>
    <xf numFmtId="0" fontId="7" fillId="0" borderId="0" xfId="163" applyFont="1" applyAlignment="1" applyProtection="1">
      <alignment horizontal="center" vertical="center"/>
      <protection locked="0"/>
    </xf>
    <xf numFmtId="0" fontId="7" fillId="0" borderId="0" xfId="163" applyFont="1" applyAlignment="1">
      <alignment vertical="center"/>
    </xf>
    <xf numFmtId="0" fontId="29" fillId="0" borderId="0" xfId="163" applyFont="1" applyAlignment="1" applyProtection="1">
      <alignment horizontal="center" vertical="center"/>
      <protection locked="0"/>
    </xf>
    <xf numFmtId="0" fontId="29" fillId="0" borderId="0" xfId="163" applyFont="1" applyAlignment="1">
      <alignment vertical="center"/>
    </xf>
    <xf numFmtId="0" fontId="29" fillId="0" borderId="0" xfId="161" applyFont="1" applyAlignment="1" applyProtection="1">
      <alignment horizontal="center" vertical="center"/>
      <protection locked="0"/>
    </xf>
    <xf numFmtId="0" fontId="29" fillId="0" borderId="24" xfId="161" applyFont="1" applyBorder="1" applyAlignment="1">
      <alignment horizontal="center" vertical="center"/>
    </xf>
    <xf numFmtId="0" fontId="29" fillId="0" borderId="8" xfId="161" applyFont="1" applyBorder="1" applyAlignment="1">
      <alignment horizontal="center" vertical="center"/>
    </xf>
    <xf numFmtId="0" fontId="29" fillId="0" borderId="0" xfId="161" applyFont="1" applyAlignment="1">
      <alignment horizontal="left" vertical="top" wrapText="1"/>
    </xf>
    <xf numFmtId="0" fontId="29" fillId="0" borderId="0" xfId="161" applyFont="1" applyAlignment="1">
      <alignment horizontal="left" vertical="center" wrapText="1"/>
    </xf>
    <xf numFmtId="0" fontId="28" fillId="0" borderId="0" xfId="213" applyFont="1" applyAlignment="1">
      <alignment horizontal="center" vertical="center"/>
    </xf>
    <xf numFmtId="0" fontId="7" fillId="0" borderId="0" xfId="205" applyAlignment="1">
      <alignment horizontal="left" vertical="center" wrapText="1"/>
    </xf>
    <xf numFmtId="37" fontId="7" fillId="0" borderId="0" xfId="153" applyFont="1" applyFill="1" applyAlignment="1">
      <alignment horizontal="center" vertical="center"/>
    </xf>
    <xf numFmtId="0" fontId="7" fillId="0" borderId="0" xfId="213" applyFont="1" applyAlignment="1">
      <alignment horizontal="center" vertical="center"/>
    </xf>
    <xf numFmtId="0" fontId="7" fillId="0" borderId="0" xfId="205" applyAlignment="1">
      <alignment horizontal="left" vertical="center"/>
    </xf>
    <xf numFmtId="0" fontId="7" fillId="0" borderId="25" xfId="0" applyFont="1" applyBorder="1" applyAlignment="1">
      <alignment horizontal="left" vertical="center" wrapText="1"/>
    </xf>
    <xf numFmtId="0" fontId="7" fillId="0" borderId="2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205" applyBorder="1" applyAlignment="1">
      <alignment horizontal="center" vertical="center"/>
    </xf>
    <xf numFmtId="0" fontId="29" fillId="0" borderId="0" xfId="205" applyFont="1" applyAlignment="1">
      <alignment horizontal="center" vertical="center"/>
    </xf>
    <xf numFmtId="0" fontId="29" fillId="0" borderId="0" xfId="205" applyFont="1" applyAlignment="1">
      <alignment horizontal="left" vertical="top" wrapText="1"/>
    </xf>
    <xf numFmtId="0" fontId="7" fillId="0" borderId="0" xfId="154" applyFont="1" applyAlignment="1">
      <alignment horizontal="center" vertical="center"/>
    </xf>
    <xf numFmtId="0" fontId="7" fillId="0" borderId="0" xfId="156" applyFont="1" applyAlignment="1">
      <alignment horizontal="center" vertical="center"/>
    </xf>
    <xf numFmtId="0" fontId="7" fillId="0" borderId="23" xfId="152" applyFont="1" applyBorder="1" applyAlignment="1">
      <alignment horizontal="center" vertical="center"/>
    </xf>
    <xf numFmtId="0" fontId="7" fillId="0" borderId="0" xfId="152" applyFont="1" applyAlignment="1" applyProtection="1">
      <alignment horizontal="center" vertical="center"/>
      <protection locked="0"/>
    </xf>
    <xf numFmtId="0" fontId="7" fillId="0" borderId="0" xfId="152" applyFont="1" applyAlignment="1">
      <alignment horizontal="center" vertical="center"/>
    </xf>
    <xf numFmtId="0" fontId="30" fillId="0" borderId="0" xfId="205" applyFont="1" applyAlignment="1">
      <alignment horizontal="left" vertical="center"/>
    </xf>
    <xf numFmtId="0" fontId="7" fillId="0" borderId="0" xfId="162" applyFont="1" applyFill="1" applyAlignment="1">
      <alignment horizontal="center" vertical="center"/>
    </xf>
    <xf numFmtId="0" fontId="7" fillId="0" borderId="0" xfId="158" applyFont="1" applyAlignment="1">
      <alignment horizontal="center" vertical="center"/>
    </xf>
    <xf numFmtId="0" fontId="7" fillId="0" borderId="0" xfId="157" applyFont="1" applyAlignment="1">
      <alignment horizontal="center" vertical="center"/>
    </xf>
    <xf numFmtId="0" fontId="7" fillId="0" borderId="0" xfId="159" applyFont="1" applyAlignment="1">
      <alignment horizontal="center" vertical="center"/>
    </xf>
    <xf numFmtId="0" fontId="7" fillId="0" borderId="0" xfId="160" applyFont="1" applyAlignment="1">
      <alignment horizontal="center" vertical="center"/>
    </xf>
    <xf numFmtId="0" fontId="29" fillId="0" borderId="0" xfId="141" applyFont="1" applyAlignment="1">
      <alignment horizontal="center" vertical="center"/>
    </xf>
    <xf numFmtId="0" fontId="29" fillId="0" borderId="0" xfId="0" applyFont="1" applyAlignment="1">
      <alignment horizontal="center" vertical="center"/>
    </xf>
    <xf numFmtId="0" fontId="7" fillId="0" borderId="0" xfId="163" applyFont="1" applyAlignment="1">
      <alignment horizontal="center"/>
    </xf>
  </cellXfs>
  <cellStyles count="238">
    <cellStyle name="%" xfId="1" xr:uid="{00000000-0005-0000-0000-000000000000}"/>
    <cellStyle name="_Ebill Paper Bill ARC Recovery" xfId="2" xr:uid="{00000000-0005-0000-0000-000001000000}"/>
    <cellStyle name="_MTC Resource Unit Baseline by state 050920 v2" xfId="3" xr:uid="{00000000-0005-0000-0000-000002000000}"/>
    <cellStyle name="_Term for Change of Control" xfId="4" xr:uid="{00000000-0005-0000-0000-000003000000}"/>
    <cellStyle name="_Term for Convenience" xfId="5" xr:uid="{00000000-0005-0000-0000-000004000000}"/>
    <cellStyle name="_Transformation Projects Cap vs Exp Master" xfId="6" xr:uid="{00000000-0005-0000-0000-000005000000}"/>
    <cellStyle name="C00A" xfId="7" xr:uid="{00000000-0005-0000-0000-000006000000}"/>
    <cellStyle name="C00B" xfId="8" xr:uid="{00000000-0005-0000-0000-000007000000}"/>
    <cellStyle name="C00L" xfId="9" xr:uid="{00000000-0005-0000-0000-000008000000}"/>
    <cellStyle name="C01A" xfId="10" xr:uid="{00000000-0005-0000-0000-000009000000}"/>
    <cellStyle name="C01B" xfId="11" xr:uid="{00000000-0005-0000-0000-00000A000000}"/>
    <cellStyle name="C01H" xfId="12" xr:uid="{00000000-0005-0000-0000-00000B000000}"/>
    <cellStyle name="C01L" xfId="13" xr:uid="{00000000-0005-0000-0000-00000C000000}"/>
    <cellStyle name="C02A" xfId="14" xr:uid="{00000000-0005-0000-0000-00000D000000}"/>
    <cellStyle name="C02B" xfId="15" xr:uid="{00000000-0005-0000-0000-00000E000000}"/>
    <cellStyle name="C02H" xfId="16" xr:uid="{00000000-0005-0000-0000-00000F000000}"/>
    <cellStyle name="C02L" xfId="17" xr:uid="{00000000-0005-0000-0000-000010000000}"/>
    <cellStyle name="C03A" xfId="18" xr:uid="{00000000-0005-0000-0000-000011000000}"/>
    <cellStyle name="C03B" xfId="19" xr:uid="{00000000-0005-0000-0000-000012000000}"/>
    <cellStyle name="C03H" xfId="20" xr:uid="{00000000-0005-0000-0000-000013000000}"/>
    <cellStyle name="C03L" xfId="21" xr:uid="{00000000-0005-0000-0000-000014000000}"/>
    <cellStyle name="C04A" xfId="22" xr:uid="{00000000-0005-0000-0000-000015000000}"/>
    <cellStyle name="C04B" xfId="23" xr:uid="{00000000-0005-0000-0000-000016000000}"/>
    <cellStyle name="C04H" xfId="24" xr:uid="{00000000-0005-0000-0000-000017000000}"/>
    <cellStyle name="C04L" xfId="25" xr:uid="{00000000-0005-0000-0000-000018000000}"/>
    <cellStyle name="C05A" xfId="26" xr:uid="{00000000-0005-0000-0000-000019000000}"/>
    <cellStyle name="C05B" xfId="27" xr:uid="{00000000-0005-0000-0000-00001A000000}"/>
    <cellStyle name="C05H" xfId="28" xr:uid="{00000000-0005-0000-0000-00001B000000}"/>
    <cellStyle name="C05L" xfId="29" xr:uid="{00000000-0005-0000-0000-00001C000000}"/>
    <cellStyle name="C06A" xfId="30" xr:uid="{00000000-0005-0000-0000-00001D000000}"/>
    <cellStyle name="C06B" xfId="31" xr:uid="{00000000-0005-0000-0000-00001E000000}"/>
    <cellStyle name="C06H" xfId="32" xr:uid="{00000000-0005-0000-0000-00001F000000}"/>
    <cellStyle name="C06L" xfId="33" xr:uid="{00000000-0005-0000-0000-000020000000}"/>
    <cellStyle name="C07A" xfId="34" xr:uid="{00000000-0005-0000-0000-000021000000}"/>
    <cellStyle name="C07B" xfId="35" xr:uid="{00000000-0005-0000-0000-000022000000}"/>
    <cellStyle name="C07H" xfId="36" xr:uid="{00000000-0005-0000-0000-000023000000}"/>
    <cellStyle name="C07L" xfId="37" xr:uid="{00000000-0005-0000-0000-000024000000}"/>
    <cellStyle name="Comma" xfId="38" builtinId="3"/>
    <cellStyle name="Comma 10" xfId="39" xr:uid="{00000000-0005-0000-0000-000026000000}"/>
    <cellStyle name="Comma 100" xfId="40" xr:uid="{00000000-0005-0000-0000-000027000000}"/>
    <cellStyle name="Comma 101" xfId="41" xr:uid="{00000000-0005-0000-0000-000028000000}"/>
    <cellStyle name="Comma 102" xfId="42" xr:uid="{00000000-0005-0000-0000-000029000000}"/>
    <cellStyle name="Comma 103" xfId="43" xr:uid="{00000000-0005-0000-0000-00002A000000}"/>
    <cellStyle name="Comma 104" xfId="44" xr:uid="{00000000-0005-0000-0000-00002B000000}"/>
    <cellStyle name="Comma 105" xfId="45" xr:uid="{00000000-0005-0000-0000-00002C000000}"/>
    <cellStyle name="Comma 106" xfId="46" xr:uid="{00000000-0005-0000-0000-00002D000000}"/>
    <cellStyle name="Comma 11" xfId="47" xr:uid="{00000000-0005-0000-0000-00002E000000}"/>
    <cellStyle name="Comma 12" xfId="48" xr:uid="{00000000-0005-0000-0000-00002F000000}"/>
    <cellStyle name="Comma 13" xfId="49" xr:uid="{00000000-0005-0000-0000-000030000000}"/>
    <cellStyle name="Comma 14" xfId="50" xr:uid="{00000000-0005-0000-0000-000031000000}"/>
    <cellStyle name="Comma 15" xfId="211" xr:uid="{00000000-0005-0000-0000-000032000000}"/>
    <cellStyle name="Comma 16" xfId="51" xr:uid="{00000000-0005-0000-0000-000033000000}"/>
    <cellStyle name="Comma 17" xfId="52" xr:uid="{00000000-0005-0000-0000-000034000000}"/>
    <cellStyle name="Comma 18" xfId="53" xr:uid="{00000000-0005-0000-0000-000035000000}"/>
    <cellStyle name="Comma 19" xfId="54" xr:uid="{00000000-0005-0000-0000-000036000000}"/>
    <cellStyle name="Comma 2" xfId="55" xr:uid="{00000000-0005-0000-0000-000037000000}"/>
    <cellStyle name="Comma 2 2" xfId="56" xr:uid="{00000000-0005-0000-0000-000038000000}"/>
    <cellStyle name="Comma 2 3" xfId="57" xr:uid="{00000000-0005-0000-0000-000039000000}"/>
    <cellStyle name="Comma 2 4" xfId="208" xr:uid="{00000000-0005-0000-0000-00003A000000}"/>
    <cellStyle name="Comma 20" xfId="58" xr:uid="{00000000-0005-0000-0000-00003B000000}"/>
    <cellStyle name="Comma 21" xfId="59" xr:uid="{00000000-0005-0000-0000-00003C000000}"/>
    <cellStyle name="Comma 22" xfId="60" xr:uid="{00000000-0005-0000-0000-00003D000000}"/>
    <cellStyle name="Comma 23" xfId="214" xr:uid="{00000000-0005-0000-0000-00003E000000}"/>
    <cellStyle name="Comma 24" xfId="61" xr:uid="{00000000-0005-0000-0000-00003F000000}"/>
    <cellStyle name="Comma 25" xfId="62" xr:uid="{00000000-0005-0000-0000-000040000000}"/>
    <cellStyle name="Comma 26" xfId="63" xr:uid="{00000000-0005-0000-0000-000041000000}"/>
    <cellStyle name="Comma 27" xfId="64" xr:uid="{00000000-0005-0000-0000-000042000000}"/>
    <cellStyle name="Comma 28" xfId="65" xr:uid="{00000000-0005-0000-0000-000043000000}"/>
    <cellStyle name="Comma 29" xfId="66" xr:uid="{00000000-0005-0000-0000-000044000000}"/>
    <cellStyle name="Comma 3" xfId="67" xr:uid="{00000000-0005-0000-0000-000045000000}"/>
    <cellStyle name="Comma 3 2" xfId="68" xr:uid="{00000000-0005-0000-0000-000046000000}"/>
    <cellStyle name="Comma 3 3" xfId="221" xr:uid="{36D907D1-5840-4CC1-8498-840984C0D79C}"/>
    <cellStyle name="Comma 3 4" xfId="232" xr:uid="{11779190-EB99-4952-9C0F-5C5B1F1CC59D}"/>
    <cellStyle name="Comma 30" xfId="69" xr:uid="{00000000-0005-0000-0000-000047000000}"/>
    <cellStyle name="Comma 31" xfId="70" xr:uid="{00000000-0005-0000-0000-000048000000}"/>
    <cellStyle name="Comma 32" xfId="215" xr:uid="{00000000-0005-0000-0000-000049000000}"/>
    <cellStyle name="Comma 33" xfId="71" xr:uid="{00000000-0005-0000-0000-00004A000000}"/>
    <cellStyle name="Comma 34" xfId="72" xr:uid="{00000000-0005-0000-0000-00004B000000}"/>
    <cellStyle name="Comma 35" xfId="73" xr:uid="{00000000-0005-0000-0000-00004C000000}"/>
    <cellStyle name="Comma 36" xfId="74" xr:uid="{00000000-0005-0000-0000-00004D000000}"/>
    <cellStyle name="Comma 37" xfId="75" xr:uid="{00000000-0005-0000-0000-00004E000000}"/>
    <cellStyle name="Comma 38" xfId="76" xr:uid="{00000000-0005-0000-0000-00004F000000}"/>
    <cellStyle name="Comma 39" xfId="77" xr:uid="{00000000-0005-0000-0000-000050000000}"/>
    <cellStyle name="Comma 4" xfId="78" xr:uid="{00000000-0005-0000-0000-000051000000}"/>
    <cellStyle name="Comma 40" xfId="79" xr:uid="{00000000-0005-0000-0000-000052000000}"/>
    <cellStyle name="Comma 41" xfId="80" xr:uid="{00000000-0005-0000-0000-000053000000}"/>
    <cellStyle name="Comma 42" xfId="219" xr:uid="{DDD649C0-9278-43CD-B23F-6F4B34557AAE}"/>
    <cellStyle name="Comma 43" xfId="81" xr:uid="{00000000-0005-0000-0000-000054000000}"/>
    <cellStyle name="Comma 44" xfId="82" xr:uid="{00000000-0005-0000-0000-000055000000}"/>
    <cellStyle name="Comma 45" xfId="83" xr:uid="{00000000-0005-0000-0000-000056000000}"/>
    <cellStyle name="Comma 46" xfId="84" xr:uid="{00000000-0005-0000-0000-000057000000}"/>
    <cellStyle name="Comma 47" xfId="225" xr:uid="{66C95FCD-E02B-46A6-BAB7-895C27ADD35C}"/>
    <cellStyle name="Comma 48" xfId="85" xr:uid="{00000000-0005-0000-0000-000058000000}"/>
    <cellStyle name="Comma 49" xfId="86" xr:uid="{00000000-0005-0000-0000-000059000000}"/>
    <cellStyle name="Comma 5" xfId="87" xr:uid="{00000000-0005-0000-0000-00005A000000}"/>
    <cellStyle name="Comma 50" xfId="235" xr:uid="{ED16AAE1-5105-4E6F-8BFF-6BF9AA8B894E}"/>
    <cellStyle name="Comma 51" xfId="88" xr:uid="{00000000-0005-0000-0000-00005B000000}"/>
    <cellStyle name="Comma 52" xfId="89" xr:uid="{00000000-0005-0000-0000-00005C000000}"/>
    <cellStyle name="Comma 53" xfId="90" xr:uid="{00000000-0005-0000-0000-00005D000000}"/>
    <cellStyle name="Comma 54" xfId="91" xr:uid="{00000000-0005-0000-0000-00005E000000}"/>
    <cellStyle name="Comma 55" xfId="92" xr:uid="{00000000-0005-0000-0000-00005F000000}"/>
    <cellStyle name="Comma 56" xfId="93" xr:uid="{00000000-0005-0000-0000-000060000000}"/>
    <cellStyle name="Comma 57" xfId="94" xr:uid="{00000000-0005-0000-0000-000061000000}"/>
    <cellStyle name="Comma 58" xfId="95" xr:uid="{00000000-0005-0000-0000-000062000000}"/>
    <cellStyle name="Comma 59" xfId="96" xr:uid="{00000000-0005-0000-0000-000063000000}"/>
    <cellStyle name="Comma 6" xfId="209" xr:uid="{00000000-0005-0000-0000-000064000000}"/>
    <cellStyle name="Comma 60" xfId="97" xr:uid="{00000000-0005-0000-0000-000065000000}"/>
    <cellStyle name="Comma 61" xfId="98" xr:uid="{00000000-0005-0000-0000-000066000000}"/>
    <cellStyle name="Comma 62" xfId="99" xr:uid="{00000000-0005-0000-0000-000067000000}"/>
    <cellStyle name="Comma 63" xfId="100" xr:uid="{00000000-0005-0000-0000-000068000000}"/>
    <cellStyle name="Comma 64" xfId="101" xr:uid="{00000000-0005-0000-0000-000069000000}"/>
    <cellStyle name="Comma 65" xfId="102" xr:uid="{00000000-0005-0000-0000-00006A000000}"/>
    <cellStyle name="Comma 66" xfId="103" xr:uid="{00000000-0005-0000-0000-00006B000000}"/>
    <cellStyle name="Comma 67" xfId="104" xr:uid="{00000000-0005-0000-0000-00006C000000}"/>
    <cellStyle name="Comma 68" xfId="105" xr:uid="{00000000-0005-0000-0000-00006D000000}"/>
    <cellStyle name="Comma 69" xfId="237" xr:uid="{761A083D-D035-4606-8732-D36AD280A9D1}"/>
    <cellStyle name="Comma 7" xfId="106" xr:uid="{00000000-0005-0000-0000-00006E000000}"/>
    <cellStyle name="Comma 70" xfId="107" xr:uid="{00000000-0005-0000-0000-00006F000000}"/>
    <cellStyle name="Comma 72" xfId="108" xr:uid="{00000000-0005-0000-0000-000070000000}"/>
    <cellStyle name="Comma 73" xfId="109" xr:uid="{00000000-0005-0000-0000-000071000000}"/>
    <cellStyle name="Comma 74" xfId="110" xr:uid="{00000000-0005-0000-0000-000072000000}"/>
    <cellStyle name="Comma 75" xfId="111" xr:uid="{00000000-0005-0000-0000-000073000000}"/>
    <cellStyle name="Comma 76" xfId="112" xr:uid="{00000000-0005-0000-0000-000074000000}"/>
    <cellStyle name="Comma 77" xfId="113" xr:uid="{00000000-0005-0000-0000-000075000000}"/>
    <cellStyle name="Comma 78" xfId="114" xr:uid="{00000000-0005-0000-0000-000076000000}"/>
    <cellStyle name="Comma 79" xfId="115" xr:uid="{00000000-0005-0000-0000-000077000000}"/>
    <cellStyle name="Comma 8" xfId="116" xr:uid="{00000000-0005-0000-0000-000078000000}"/>
    <cellStyle name="Comma 80" xfId="117" xr:uid="{00000000-0005-0000-0000-000079000000}"/>
    <cellStyle name="Comma 81" xfId="118" xr:uid="{00000000-0005-0000-0000-00007A000000}"/>
    <cellStyle name="Comma 82" xfId="119" xr:uid="{00000000-0005-0000-0000-00007B000000}"/>
    <cellStyle name="Comma 83" xfId="120" xr:uid="{00000000-0005-0000-0000-00007C000000}"/>
    <cellStyle name="Comma 84" xfId="121" xr:uid="{00000000-0005-0000-0000-00007D000000}"/>
    <cellStyle name="Comma 85" xfId="122" xr:uid="{00000000-0005-0000-0000-00007E000000}"/>
    <cellStyle name="Comma 86" xfId="123" xr:uid="{00000000-0005-0000-0000-00007F000000}"/>
    <cellStyle name="Comma 87" xfId="124" xr:uid="{00000000-0005-0000-0000-000080000000}"/>
    <cellStyle name="Comma 88" xfId="125" xr:uid="{00000000-0005-0000-0000-000081000000}"/>
    <cellStyle name="Comma 89" xfId="126" xr:uid="{00000000-0005-0000-0000-000082000000}"/>
    <cellStyle name="Comma 9" xfId="127" xr:uid="{00000000-0005-0000-0000-000083000000}"/>
    <cellStyle name="Comma 91" xfId="128" xr:uid="{00000000-0005-0000-0000-000084000000}"/>
    <cellStyle name="Comma 92" xfId="129" xr:uid="{00000000-0005-0000-0000-000085000000}"/>
    <cellStyle name="Comma 93" xfId="130" xr:uid="{00000000-0005-0000-0000-000086000000}"/>
    <cellStyle name="Comma 94" xfId="131" xr:uid="{00000000-0005-0000-0000-000087000000}"/>
    <cellStyle name="Comma 95" xfId="132" xr:uid="{00000000-0005-0000-0000-000088000000}"/>
    <cellStyle name="Comma 96" xfId="133" xr:uid="{00000000-0005-0000-0000-000089000000}"/>
    <cellStyle name="Comma 98" xfId="134" xr:uid="{00000000-0005-0000-0000-00008A000000}"/>
    <cellStyle name="Comma 99" xfId="135" xr:uid="{00000000-0005-0000-0000-00008B000000}"/>
    <cellStyle name="Currency" xfId="136" builtinId="4"/>
    <cellStyle name="Currency 2" xfId="206" xr:uid="{00000000-0005-0000-0000-00008D000000}"/>
    <cellStyle name="Currency 3" xfId="222" xr:uid="{9515AD6B-8BAE-4343-8968-369558ACD1DD}"/>
    <cellStyle name="Euro" xfId="137" xr:uid="{00000000-0005-0000-0000-00008E000000}"/>
    <cellStyle name="Hyperlink" xfId="216" builtinId="8"/>
    <cellStyle name="Normal" xfId="0" builtinId="0"/>
    <cellStyle name="Normal 10" xfId="224" xr:uid="{821F11D6-9C16-45AA-B568-4044C507D0F9}"/>
    <cellStyle name="Normal 11" xfId="227" xr:uid="{246B8025-44AD-4E95-A6FC-A7C5E41DF18B}"/>
    <cellStyle name="Normal 12" xfId="233" xr:uid="{3061210D-5632-44CB-9BD9-0995ACFD87BB}"/>
    <cellStyle name="Normal 13" xfId="234" xr:uid="{E5C3FD37-A45C-4A2D-B23A-7BEC14A1E8B3}"/>
    <cellStyle name="Normal 2" xfId="138" xr:uid="{00000000-0005-0000-0000-000090000000}"/>
    <cellStyle name="Normal 2 2" xfId="139" xr:uid="{00000000-0005-0000-0000-000091000000}"/>
    <cellStyle name="Normal 2 2 2" xfId="229" xr:uid="{5E751940-D175-4C39-B3FE-B5E7DD4AB18E}"/>
    <cellStyle name="Normal 2 3" xfId="205" xr:uid="{00000000-0005-0000-0000-000092000000}"/>
    <cellStyle name="Normal 2 4" xfId="228" xr:uid="{2D9F21CF-DB08-4378-B6BF-EE18AE5C5712}"/>
    <cellStyle name="Normal 3" xfId="140" xr:uid="{00000000-0005-0000-0000-000093000000}"/>
    <cellStyle name="Normal 3 2" xfId="230" xr:uid="{65AE817A-5247-42E9-8F80-0683CF6FE5C1}"/>
    <cellStyle name="Normal 4" xfId="141" xr:uid="{00000000-0005-0000-0000-000094000000}"/>
    <cellStyle name="Normal 4 2" xfId="220" xr:uid="{FE45F447-A212-445D-90B7-1B95D6EDC901}"/>
    <cellStyle name="Normal 5" xfId="142" xr:uid="{00000000-0005-0000-0000-000095000000}"/>
    <cellStyle name="Normal 6" xfId="143" xr:uid="{00000000-0005-0000-0000-000096000000}"/>
    <cellStyle name="Normal 7" xfId="210" xr:uid="{00000000-0005-0000-0000-000097000000}"/>
    <cellStyle name="Normal 7 2" xfId="217" xr:uid="{3E07316E-03C1-41ED-9E85-C8A04F921177}"/>
    <cellStyle name="Normal 8" xfId="213" xr:uid="{00000000-0005-0000-0000-000098000000}"/>
    <cellStyle name="Normal 9" xfId="218" xr:uid="{3C023629-BFB7-4974-8FA3-110FE4EA11A8}"/>
    <cellStyle name="Normal_B-1" xfId="144" xr:uid="{00000000-0005-0000-0000-000099000000}"/>
    <cellStyle name="Normal_B2x1" xfId="145" xr:uid="{00000000-0005-0000-0000-00009A000000}"/>
    <cellStyle name="Normal_B2x1a" xfId="146" xr:uid="{00000000-0005-0000-0000-00009B000000}"/>
    <cellStyle name="Normal_B-2x3" xfId="147" xr:uid="{00000000-0005-0000-0000-00009C000000}"/>
    <cellStyle name="Normal_B-3" xfId="148" xr:uid="{00000000-0005-0000-0000-00009D000000}"/>
    <cellStyle name="Normal_B-3x1" xfId="149" xr:uid="{00000000-0005-0000-0000-00009E000000}"/>
    <cellStyle name="Normal_B-4" xfId="150" xr:uid="{00000000-0005-0000-0000-00009F000000}"/>
    <cellStyle name="Normal_B-4 CWIP" xfId="151" xr:uid="{00000000-0005-0000-0000-0000A0000000}"/>
    <cellStyle name="Normal_B-8 Comparative" xfId="152" xr:uid="{00000000-0005-0000-0000-0000A1000000}"/>
    <cellStyle name="Normal_E-1 Income Taxes" xfId="153" xr:uid="{00000000-0005-0000-0000-0000A2000000}"/>
    <cellStyle name="Normal_H-1 GR Conversion Factor" xfId="154" xr:uid="{00000000-0005-0000-0000-0000A3000000}"/>
    <cellStyle name="Normal_Index" xfId="155" xr:uid="{00000000-0005-0000-0000-0000A4000000}"/>
    <cellStyle name="Normal_Index-I" xfId="156" xr:uid="{00000000-0005-0000-0000-0000A5000000}"/>
    <cellStyle name="Normal_J-1x2" xfId="157" xr:uid="{00000000-0005-0000-0000-0000A6000000}"/>
    <cellStyle name="Normal_J-2" xfId="158" xr:uid="{00000000-0005-0000-0000-0000A7000000}"/>
    <cellStyle name="Normal_J-3" xfId="159" xr:uid="{00000000-0005-0000-0000-0000A8000000}"/>
    <cellStyle name="Normal_J-4" xfId="160" xr:uid="{00000000-0005-0000-0000-0000A9000000}"/>
    <cellStyle name="Normal_Schedule D Adjustments" xfId="161" xr:uid="{00000000-0005-0000-0000-0000AA000000}"/>
    <cellStyle name="Normal_Schedule J" xfId="162" xr:uid="{00000000-0005-0000-0000-0000AB000000}"/>
    <cellStyle name="Normal_Schedules A thru L Cost of Servive June 30, 2009" xfId="163" xr:uid="{00000000-0005-0000-0000-0000AC000000}"/>
    <cellStyle name="Normal_WPB-5.1 Working Capital Componets" xfId="164" xr:uid="{00000000-0005-0000-0000-0000AD000000}"/>
    <cellStyle name="Normal_WPB-6 - Deferred Credits &amp; Accumulated Deferred Income Taxes" xfId="231" xr:uid="{ABFE4BCB-59F5-47A8-B1EF-A634B7B3508E}"/>
    <cellStyle name="Percent" xfId="165" builtinId="5"/>
    <cellStyle name="Percent 2" xfId="166" xr:uid="{00000000-0005-0000-0000-0000AF000000}"/>
    <cellStyle name="Percent 2 2" xfId="207" xr:uid="{00000000-0005-0000-0000-0000B0000000}"/>
    <cellStyle name="Percent 3" xfId="212" xr:uid="{00000000-0005-0000-0000-0000B1000000}"/>
    <cellStyle name="Percent 4" xfId="223" xr:uid="{012830BD-C58C-477C-8461-01DA92B4CA4D}"/>
    <cellStyle name="Percent 5" xfId="226" xr:uid="{CA2B2408-6E03-403A-ADB2-33A55BEBE797}"/>
    <cellStyle name="Percent 6" xfId="236" xr:uid="{C163BF5E-5F16-41BA-ADB3-B605D262C974}"/>
    <cellStyle name="PSChar" xfId="167" xr:uid="{00000000-0005-0000-0000-0000B2000000}"/>
    <cellStyle name="PSDate" xfId="168" xr:uid="{00000000-0005-0000-0000-0000B3000000}"/>
    <cellStyle name="PSDec" xfId="169" xr:uid="{00000000-0005-0000-0000-0000B4000000}"/>
    <cellStyle name="PSHeading" xfId="170" xr:uid="{00000000-0005-0000-0000-0000B5000000}"/>
    <cellStyle name="PSInt" xfId="171" xr:uid="{00000000-0005-0000-0000-0000B6000000}"/>
    <cellStyle name="PSSpacer" xfId="172" xr:uid="{00000000-0005-0000-0000-0000B7000000}"/>
    <cellStyle name="R00A" xfId="173" xr:uid="{00000000-0005-0000-0000-0000B8000000}"/>
    <cellStyle name="R00B" xfId="174" xr:uid="{00000000-0005-0000-0000-0000B9000000}"/>
    <cellStyle name="R00L" xfId="175" xr:uid="{00000000-0005-0000-0000-0000BA000000}"/>
    <cellStyle name="R01A" xfId="176" xr:uid="{00000000-0005-0000-0000-0000BB000000}"/>
    <cellStyle name="R01B" xfId="177" xr:uid="{00000000-0005-0000-0000-0000BC000000}"/>
    <cellStyle name="R01H" xfId="178" xr:uid="{00000000-0005-0000-0000-0000BD000000}"/>
    <cellStyle name="R01L" xfId="179" xr:uid="{00000000-0005-0000-0000-0000BE000000}"/>
    <cellStyle name="R02A" xfId="180" xr:uid="{00000000-0005-0000-0000-0000BF000000}"/>
    <cellStyle name="R02B" xfId="181" xr:uid="{00000000-0005-0000-0000-0000C0000000}"/>
    <cellStyle name="R02H" xfId="182" xr:uid="{00000000-0005-0000-0000-0000C1000000}"/>
    <cellStyle name="R02L" xfId="183" xr:uid="{00000000-0005-0000-0000-0000C2000000}"/>
    <cellStyle name="R03A" xfId="184" xr:uid="{00000000-0005-0000-0000-0000C3000000}"/>
    <cellStyle name="R03B" xfId="185" xr:uid="{00000000-0005-0000-0000-0000C4000000}"/>
    <cellStyle name="R03H" xfId="186" xr:uid="{00000000-0005-0000-0000-0000C5000000}"/>
    <cellStyle name="R03L" xfId="187" xr:uid="{00000000-0005-0000-0000-0000C6000000}"/>
    <cellStyle name="R04A" xfId="188" xr:uid="{00000000-0005-0000-0000-0000C7000000}"/>
    <cellStyle name="R04B" xfId="189" xr:uid="{00000000-0005-0000-0000-0000C8000000}"/>
    <cellStyle name="R04H" xfId="190" xr:uid="{00000000-0005-0000-0000-0000C9000000}"/>
    <cellStyle name="R04L" xfId="191" xr:uid="{00000000-0005-0000-0000-0000CA000000}"/>
    <cellStyle name="R05A" xfId="192" xr:uid="{00000000-0005-0000-0000-0000CB000000}"/>
    <cellStyle name="R05B" xfId="193" xr:uid="{00000000-0005-0000-0000-0000CC000000}"/>
    <cellStyle name="R05H" xfId="194" xr:uid="{00000000-0005-0000-0000-0000CD000000}"/>
    <cellStyle name="R05L" xfId="195" xr:uid="{00000000-0005-0000-0000-0000CE000000}"/>
    <cellStyle name="R06A" xfId="196" xr:uid="{00000000-0005-0000-0000-0000CF000000}"/>
    <cellStyle name="R06B" xfId="197" xr:uid="{00000000-0005-0000-0000-0000D0000000}"/>
    <cellStyle name="R06H" xfId="198" xr:uid="{00000000-0005-0000-0000-0000D1000000}"/>
    <cellStyle name="R06L" xfId="199" xr:uid="{00000000-0005-0000-0000-0000D2000000}"/>
    <cellStyle name="R07A" xfId="200" xr:uid="{00000000-0005-0000-0000-0000D3000000}"/>
    <cellStyle name="R07B" xfId="201" xr:uid="{00000000-0005-0000-0000-0000D4000000}"/>
    <cellStyle name="R07H" xfId="202" xr:uid="{00000000-0005-0000-0000-0000D5000000}"/>
    <cellStyle name="R07L" xfId="203" xr:uid="{00000000-0005-0000-0000-0000D6000000}"/>
    <cellStyle name="Style 1" xfId="204" xr:uid="{00000000-0005-0000-0000-0000D7000000}"/>
  </cellStyles>
  <dxfs count="30">
    <dxf>
      <font>
        <sz val="10"/>
      </font>
    </dxf>
    <dxf>
      <font>
        <sz val="10"/>
      </font>
    </dxf>
    <dxf>
      <font>
        <sz val="10"/>
      </font>
    </dxf>
    <dxf>
      <font>
        <name val="Arial"/>
        <family val="2"/>
      </font>
    </dxf>
    <dxf>
      <font>
        <name val="Arial"/>
        <family val="2"/>
      </font>
    </dxf>
    <dxf>
      <font>
        <name val="Arial"/>
        <family val="2"/>
      </font>
    </dxf>
    <dxf>
      <numFmt numFmtId="167" formatCode="_(* #,##0_);_(* \(#,##0\);_(* &quot;-&quot;??_);_(@_)"/>
    </dxf>
    <dxf>
      <font>
        <sz val="10"/>
      </font>
    </dxf>
    <dxf>
      <font>
        <sz val="10"/>
      </font>
    </dxf>
    <dxf>
      <font>
        <sz val="10"/>
      </font>
    </dxf>
    <dxf>
      <font>
        <sz val="10"/>
      </font>
    </dxf>
    <dxf>
      <font>
        <sz val="10"/>
      </font>
    </dxf>
    <dxf>
      <font>
        <sz val="10"/>
      </font>
    </dxf>
    <dxf>
      <font>
        <name val="Arial"/>
        <family val="2"/>
      </font>
    </dxf>
    <dxf>
      <font>
        <name val="Arial"/>
        <family val="2"/>
      </font>
    </dxf>
    <dxf>
      <font>
        <name val="Arial"/>
        <family val="2"/>
      </font>
    </dxf>
    <dxf>
      <font>
        <name val="Arial"/>
        <family val="2"/>
      </font>
    </dxf>
    <dxf>
      <font>
        <name val="Arial"/>
        <family val="2"/>
      </font>
    </dxf>
    <dxf>
      <font>
        <name val="Arial"/>
        <family val="2"/>
      </font>
    </dxf>
    <dxf>
      <numFmt numFmtId="167" formatCode="_(* #,##0_);_(* \(#,##0\);_(* &quot;-&quot;??_);_(@_)"/>
    </dxf>
    <dxf>
      <font>
        <sz val="10"/>
      </font>
    </dxf>
    <dxf>
      <font>
        <sz val="10"/>
      </font>
    </dxf>
    <dxf>
      <font>
        <sz val="10"/>
      </font>
    </dxf>
    <dxf>
      <font>
        <sz val="10"/>
      </font>
    </dxf>
    <dxf>
      <font>
        <sz val="10"/>
      </font>
    </dxf>
    <dxf>
      <font>
        <name val="Arial"/>
        <family val="2"/>
      </font>
    </dxf>
    <dxf>
      <font>
        <name val="Arial"/>
        <family val="2"/>
      </font>
    </dxf>
    <dxf>
      <font>
        <name val="Arial"/>
        <family val="2"/>
      </font>
    </dxf>
    <dxf>
      <font>
        <name val="Arial"/>
        <family val="2"/>
      </font>
    </dxf>
    <dxf>
      <font>
        <name val="Arial"/>
        <family val="2"/>
      </font>
    </dxf>
  </dxfs>
  <tableStyles count="0" defaultTableStyle="TableStyleMedium2" defaultPivotStyle="PivotStyleLight16"/>
  <colors>
    <mruColors>
      <color rgb="FFFFFFCC"/>
      <color rgb="FFFFFF99"/>
      <color rgb="FFCC3300"/>
      <color rgb="FFFF00FF"/>
      <color rgb="FF0000FF"/>
      <color rgb="FFCCFFCC"/>
      <color rgb="FFFF66FF"/>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pivotCacheDefinition" Target="pivotCache/pivotCacheDefinition1.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pivotCacheDefinition" Target="pivotCache/pivotCacheDefinition2.xml"/><Relationship Id="rId14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14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Z:\CKY\Rate%20Case%20Filings\Rate%20Case%20-%202024\Cost%20of%20Service\z-Model%20&amp;%20COS%20Schedules\AS%20FILED%202024%20CKY%20Rate%20Case%20-%20Rev%20Req-COS%20Model%20-%205.9.2024%20(wNOTE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effer \ Tamaleh \ L" refreshedDate="45371.520076273147" createdVersion="8" refreshedVersion="8" minRefreshableVersion="3" recordCount="1711" xr:uid="{142DE8EB-D845-4573-ACEF-991449766A94}">
  <cacheSource type="worksheet">
    <worksheetSource ref="A7:D1718" sheet="INPUT - BPtoFTP O&amp;M Allocates"/>
  </cacheSource>
  <cacheFields count="4">
    <cacheField name="Cost Element Category" numFmtId="0">
      <sharedItems count="36">
        <s v="401K"/>
        <s v="Advertising Expense"/>
        <s v="Amortizations"/>
        <s v="Audit Fees"/>
        <s v="Charitable Contributions"/>
        <s v="Clearing Accounts"/>
        <s v="Commission Fees"/>
        <s v="Corporate Insurance"/>
        <s v="Corporate Service Bill"/>
        <s v="Dues &amp; Donations"/>
        <s v="Employee Expenses"/>
        <s v="Employees' Insurance Plans"/>
        <s v="Energy Assistance Program Tracker"/>
        <s v="Gas Cost"/>
        <s v="Incentive Compensation"/>
        <s v="Injuries &amp; Damages"/>
        <s v="Labor"/>
        <s v="Legal Fees"/>
        <s v="Materials &amp; Supplies"/>
        <s v="Miscellaneous &amp; Other"/>
        <s v="Miscellaneous Revenue Adjustment"/>
        <s v="Miscellaneous Revenue Tracker"/>
        <s v="OPEB Expenses (Non-Service)"/>
        <s v="OPEB Expenses (Service)"/>
        <s v="Other Rents &amp; Leases"/>
        <s v="Outside Services"/>
        <s v="Pension Expenses (Non-Service)"/>
        <s v="Pension Expenses (Service)"/>
        <s v="Postage"/>
        <s v="Post-Employment Benefits - FAS112"/>
        <s v="Profit Sharing"/>
        <s v="Rents &amp; Leases (Buildings)"/>
        <s v="Stock Compensation"/>
        <s v="Uncollectible Accounts - Non-Gas Cost"/>
        <s v="Uncollectible Accounts - Gas Cost"/>
        <s v="Utilities"/>
      </sharedItems>
    </cacheField>
    <cacheField name="Acct" numFmtId="0">
      <sharedItems containsString="0" containsBlank="1" containsNumber="1" containsInteger="1" minValue="500" maxValue="9302" count="60">
        <n v="801"/>
        <n v="803"/>
        <n v="804"/>
        <n v="805"/>
        <n v="806"/>
        <n v="807"/>
        <n v="808"/>
        <n v="812"/>
        <n v="870"/>
        <n v="871"/>
        <n v="874"/>
        <n v="875"/>
        <n v="876"/>
        <n v="878"/>
        <n v="879"/>
        <n v="880"/>
        <n v="881"/>
        <n v="885"/>
        <n v="886"/>
        <n v="887"/>
        <n v="889"/>
        <n v="890"/>
        <n v="892"/>
        <n v="893"/>
        <n v="894"/>
        <n v="902"/>
        <n v="903"/>
        <n v="904"/>
        <n v="905"/>
        <n v="907"/>
        <n v="908"/>
        <n v="909"/>
        <n v="910"/>
        <n v="911"/>
        <n v="912"/>
        <n v="913"/>
        <n v="920"/>
        <n v="921"/>
        <n v="923"/>
        <n v="924"/>
        <n v="925"/>
        <n v="926"/>
        <n v="928"/>
        <n v="9301"/>
        <n v="9302"/>
        <n v="931"/>
        <n v="932"/>
        <n v="935"/>
        <m/>
        <n v="930"/>
        <n v="500"/>
        <n v="505"/>
        <n v="901"/>
        <n v="8071"/>
        <n v="557"/>
        <n v="852"/>
        <n v="594"/>
        <n v="859"/>
        <n v="865"/>
        <n v="813"/>
      </sharedItems>
    </cacheField>
    <cacheField name="Key" numFmtId="0">
      <sharedItems containsBlank="1"/>
    </cacheField>
    <cacheField name="Adjustments" numFmtId="167">
      <sharedItems containsSemiMixedTypes="0" containsString="0" containsNumber="1" minValue="-12860942.590000002" maxValue="1089908.819999996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effer \ Tamaleh \ L" refreshedDate="45371.520076273147" createdVersion="8" refreshedVersion="8" minRefreshableVersion="3" recordCount="1711" xr:uid="{357E9E04-E1F0-4BFD-8A66-7BACF25BCA97}">
  <cacheSource type="worksheet">
    <worksheetSource ref="A7:D1718" sheet="INPUT - BPtoFTP O&amp;M Allocates" r:id="rId2"/>
  </cacheSource>
  <cacheFields count="4">
    <cacheField name="Cost Element Category" numFmtId="0">
      <sharedItems count="36">
        <s v="401K"/>
        <s v="Advertising Expense"/>
        <s v="Amortizations"/>
        <s v="Audit Fees"/>
        <s v="Charitable Contributions"/>
        <s v="Clearing Accounts"/>
        <s v="Commission Fees"/>
        <s v="Corporate Insurance"/>
        <s v="Corporate Service Bill"/>
        <s v="Dues &amp; Donations"/>
        <s v="Employee Expenses"/>
        <s v="Employees' Insurance Plans"/>
        <s v="Energy Assistance Program Tracker"/>
        <s v="Gas Cost"/>
        <s v="Incentive Compensation"/>
        <s v="Injuries &amp; Damages"/>
        <s v="Labor"/>
        <s v="Legal Fees"/>
        <s v="Materials &amp; Supplies"/>
        <s v="Miscellaneous &amp; Other"/>
        <s v="Miscellaneous Revenue Adjustment"/>
        <s v="Miscellaneous Revenue Tracker"/>
        <s v="OPEB Expenses (Non-Service)"/>
        <s v="OPEB Expenses (Service)"/>
        <s v="Other Rents &amp; Leases"/>
        <s v="Outside Services"/>
        <s v="Pension Expenses (Non-Service)"/>
        <s v="Pension Expenses (Service)"/>
        <s v="Postage"/>
        <s v="Post-Employment Benefits - FAS112"/>
        <s v="Profit Sharing"/>
        <s v="Rents &amp; Leases (Buildings)"/>
        <s v="Stock Compensation"/>
        <s v="Uncollectible Accounts - Non-Gas Cost"/>
        <s v="Uncollectible Accounts - Gas Cost"/>
        <s v="Utilities"/>
      </sharedItems>
    </cacheField>
    <cacheField name="Acct" numFmtId="0">
      <sharedItems containsString="0" containsBlank="1" containsNumber="1" containsInteger="1" minValue="500" maxValue="9302" count="60">
        <n v="801"/>
        <n v="803"/>
        <n v="804"/>
        <n v="805"/>
        <n v="806"/>
        <n v="807"/>
        <n v="808"/>
        <n v="812"/>
        <n v="870"/>
        <n v="871"/>
        <n v="874"/>
        <n v="875"/>
        <n v="876"/>
        <n v="878"/>
        <n v="879"/>
        <n v="880"/>
        <n v="881"/>
        <n v="885"/>
        <n v="886"/>
        <n v="887"/>
        <n v="889"/>
        <n v="890"/>
        <n v="892"/>
        <n v="893"/>
        <n v="894"/>
        <n v="902"/>
        <n v="903"/>
        <n v="904"/>
        <n v="905"/>
        <n v="907"/>
        <n v="908"/>
        <n v="909"/>
        <n v="910"/>
        <n v="911"/>
        <n v="912"/>
        <n v="913"/>
        <n v="920"/>
        <n v="921"/>
        <n v="923"/>
        <n v="924"/>
        <n v="925"/>
        <n v="926"/>
        <n v="928"/>
        <n v="9301"/>
        <n v="9302"/>
        <n v="931"/>
        <n v="932"/>
        <n v="935"/>
        <m/>
        <n v="930"/>
        <n v="500"/>
        <n v="505"/>
        <n v="901"/>
        <n v="8071"/>
        <n v="557"/>
        <n v="852"/>
        <n v="594"/>
        <n v="859"/>
        <n v="865"/>
        <n v="813"/>
      </sharedItems>
    </cacheField>
    <cacheField name="Key" numFmtId="0">
      <sharedItems containsBlank="1"/>
    </cacheField>
    <cacheField name="Adjustments" numFmtId="167">
      <sharedItems containsSemiMixedTypes="0" containsString="0" containsNumber="1" minValue="-12860942.590000002" maxValue="1089908.81999999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1">
  <r>
    <x v="0"/>
    <x v="0"/>
    <s v="401K801"/>
    <n v="0"/>
  </r>
  <r>
    <x v="0"/>
    <x v="1"/>
    <s v="401K803"/>
    <n v="0"/>
  </r>
  <r>
    <x v="0"/>
    <x v="2"/>
    <s v="401K804"/>
    <n v="0"/>
  </r>
  <r>
    <x v="0"/>
    <x v="3"/>
    <s v="401K805"/>
    <n v="0"/>
  </r>
  <r>
    <x v="0"/>
    <x v="4"/>
    <s v="401K806"/>
    <n v="0"/>
  </r>
  <r>
    <x v="0"/>
    <x v="5"/>
    <s v="401K807"/>
    <n v="0"/>
  </r>
  <r>
    <x v="0"/>
    <x v="6"/>
    <s v="401K808"/>
    <n v="0"/>
  </r>
  <r>
    <x v="0"/>
    <x v="7"/>
    <s v="401K812"/>
    <n v="0"/>
  </r>
  <r>
    <x v="0"/>
    <x v="8"/>
    <s v="401K870"/>
    <n v="0"/>
  </r>
  <r>
    <x v="0"/>
    <x v="9"/>
    <s v="401K871"/>
    <n v="0"/>
  </r>
  <r>
    <x v="0"/>
    <x v="10"/>
    <s v="401K874"/>
    <n v="-6.2299999999999986"/>
  </r>
  <r>
    <x v="0"/>
    <x v="11"/>
    <s v="401K875"/>
    <n v="0"/>
  </r>
  <r>
    <x v="0"/>
    <x v="12"/>
    <s v="401K876"/>
    <n v="0"/>
  </r>
  <r>
    <x v="0"/>
    <x v="13"/>
    <s v="401K878"/>
    <n v="0"/>
  </r>
  <r>
    <x v="0"/>
    <x v="14"/>
    <s v="401K879"/>
    <n v="0"/>
  </r>
  <r>
    <x v="0"/>
    <x v="15"/>
    <s v="401K880"/>
    <n v="61.400000000000034"/>
  </r>
  <r>
    <x v="0"/>
    <x v="16"/>
    <s v="401K881"/>
    <n v="0"/>
  </r>
  <r>
    <x v="0"/>
    <x v="17"/>
    <s v="401K885"/>
    <n v="0"/>
  </r>
  <r>
    <x v="0"/>
    <x v="18"/>
    <s v="401K886"/>
    <n v="0"/>
  </r>
  <r>
    <x v="0"/>
    <x v="19"/>
    <s v="401K887"/>
    <n v="0"/>
  </r>
  <r>
    <x v="0"/>
    <x v="20"/>
    <s v="401K889"/>
    <n v="0"/>
  </r>
  <r>
    <x v="0"/>
    <x v="21"/>
    <s v="401K890"/>
    <n v="0"/>
  </r>
  <r>
    <x v="0"/>
    <x v="22"/>
    <s v="401K892"/>
    <n v="0"/>
  </r>
  <r>
    <x v="0"/>
    <x v="23"/>
    <s v="401K893"/>
    <n v="0"/>
  </r>
  <r>
    <x v="0"/>
    <x v="24"/>
    <s v="401K894"/>
    <n v="0"/>
  </r>
  <r>
    <x v="0"/>
    <x v="25"/>
    <s v="401K902"/>
    <n v="0"/>
  </r>
  <r>
    <x v="0"/>
    <x v="26"/>
    <s v="401K903"/>
    <n v="0"/>
  </r>
  <r>
    <x v="0"/>
    <x v="27"/>
    <s v="401K904"/>
    <n v="0"/>
  </r>
  <r>
    <x v="0"/>
    <x v="28"/>
    <s v="401K905"/>
    <n v="0"/>
  </r>
  <r>
    <x v="0"/>
    <x v="29"/>
    <s v="401K907"/>
    <n v="0"/>
  </r>
  <r>
    <x v="0"/>
    <x v="30"/>
    <s v="401K908"/>
    <n v="0"/>
  </r>
  <r>
    <x v="0"/>
    <x v="31"/>
    <s v="401K909"/>
    <n v="0"/>
  </r>
  <r>
    <x v="0"/>
    <x v="32"/>
    <s v="401K910"/>
    <n v="0"/>
  </r>
  <r>
    <x v="0"/>
    <x v="33"/>
    <s v="401K911"/>
    <n v="0"/>
  </r>
  <r>
    <x v="0"/>
    <x v="34"/>
    <s v="401K912"/>
    <n v="0"/>
  </r>
  <r>
    <x v="0"/>
    <x v="35"/>
    <s v="401K913"/>
    <n v="0"/>
  </r>
  <r>
    <x v="0"/>
    <x v="36"/>
    <s v="401K920"/>
    <n v="0"/>
  </r>
  <r>
    <x v="0"/>
    <x v="37"/>
    <s v="401K921"/>
    <n v="0"/>
  </r>
  <r>
    <x v="0"/>
    <x v="38"/>
    <s v="401K923"/>
    <n v="0"/>
  </r>
  <r>
    <x v="0"/>
    <x v="39"/>
    <s v="401K924"/>
    <n v="0"/>
  </r>
  <r>
    <x v="0"/>
    <x v="40"/>
    <s v="401K925"/>
    <n v="0"/>
  </r>
  <r>
    <x v="0"/>
    <x v="41"/>
    <s v="401K926"/>
    <n v="21410.100000000093"/>
  </r>
  <r>
    <x v="0"/>
    <x v="42"/>
    <s v="401K928"/>
    <n v="0"/>
  </r>
  <r>
    <x v="0"/>
    <x v="43"/>
    <s v="401K9301"/>
    <n v="0"/>
  </r>
  <r>
    <x v="0"/>
    <x v="44"/>
    <s v="401K9302"/>
    <n v="0"/>
  </r>
  <r>
    <x v="0"/>
    <x v="45"/>
    <s v="401K931"/>
    <n v="0"/>
  </r>
  <r>
    <x v="0"/>
    <x v="46"/>
    <s v="401K932"/>
    <n v="0"/>
  </r>
  <r>
    <x v="0"/>
    <x v="47"/>
    <s v="401K935"/>
    <n v="0"/>
  </r>
  <r>
    <x v="0"/>
    <x v="48"/>
    <m/>
    <n v="21465.270000000091"/>
  </r>
  <r>
    <x v="1"/>
    <x v="0"/>
    <s v="Advertising Expense801"/>
    <n v="0"/>
  </r>
  <r>
    <x v="1"/>
    <x v="1"/>
    <s v="Advertising Expense803"/>
    <n v="0"/>
  </r>
  <r>
    <x v="1"/>
    <x v="2"/>
    <s v="Advertising Expense804"/>
    <n v="0"/>
  </r>
  <r>
    <x v="1"/>
    <x v="3"/>
    <s v="Advertising Expense805"/>
    <n v="0"/>
  </r>
  <r>
    <x v="1"/>
    <x v="4"/>
    <s v="Advertising Expense806"/>
    <n v="0"/>
  </r>
  <r>
    <x v="1"/>
    <x v="5"/>
    <s v="Advertising Expense807"/>
    <n v="0"/>
  </r>
  <r>
    <x v="1"/>
    <x v="6"/>
    <s v="Advertising Expense808"/>
    <n v="0"/>
  </r>
  <r>
    <x v="1"/>
    <x v="7"/>
    <s v="Advertising Expense812"/>
    <n v="0"/>
  </r>
  <r>
    <x v="1"/>
    <x v="8"/>
    <s v="Advertising Expense870"/>
    <n v="0"/>
  </r>
  <r>
    <x v="1"/>
    <x v="9"/>
    <s v="Advertising Expense871"/>
    <n v="0"/>
  </r>
  <r>
    <x v="1"/>
    <x v="10"/>
    <s v="Advertising Expense874"/>
    <n v="0"/>
  </r>
  <r>
    <x v="1"/>
    <x v="11"/>
    <s v="Advertising Expense875"/>
    <n v="0"/>
  </r>
  <r>
    <x v="1"/>
    <x v="12"/>
    <s v="Advertising Expense876"/>
    <n v="0"/>
  </r>
  <r>
    <x v="1"/>
    <x v="13"/>
    <s v="Advertising Expense878"/>
    <n v="0"/>
  </r>
  <r>
    <x v="1"/>
    <x v="14"/>
    <s v="Advertising Expense879"/>
    <n v="0"/>
  </r>
  <r>
    <x v="1"/>
    <x v="15"/>
    <s v="Advertising Expense880"/>
    <n v="0"/>
  </r>
  <r>
    <x v="1"/>
    <x v="16"/>
    <s v="Advertising Expense881"/>
    <n v="0"/>
  </r>
  <r>
    <x v="1"/>
    <x v="17"/>
    <s v="Advertising Expense885"/>
    <n v="0"/>
  </r>
  <r>
    <x v="1"/>
    <x v="18"/>
    <s v="Advertising Expense886"/>
    <n v="0"/>
  </r>
  <r>
    <x v="1"/>
    <x v="19"/>
    <s v="Advertising Expense887"/>
    <n v="0"/>
  </r>
  <r>
    <x v="1"/>
    <x v="20"/>
    <s v="Advertising Expense889"/>
    <n v="0"/>
  </r>
  <r>
    <x v="1"/>
    <x v="21"/>
    <s v="Advertising Expense890"/>
    <n v="0"/>
  </r>
  <r>
    <x v="1"/>
    <x v="22"/>
    <s v="Advertising Expense892"/>
    <n v="0"/>
  </r>
  <r>
    <x v="1"/>
    <x v="23"/>
    <s v="Advertising Expense893"/>
    <n v="0"/>
  </r>
  <r>
    <x v="1"/>
    <x v="24"/>
    <s v="Advertising Expense894"/>
    <n v="0"/>
  </r>
  <r>
    <x v="1"/>
    <x v="25"/>
    <s v="Advertising Expense902"/>
    <n v="0"/>
  </r>
  <r>
    <x v="1"/>
    <x v="26"/>
    <s v="Advertising Expense903"/>
    <n v="0"/>
  </r>
  <r>
    <x v="1"/>
    <x v="27"/>
    <s v="Advertising Expense904"/>
    <n v="0"/>
  </r>
  <r>
    <x v="1"/>
    <x v="28"/>
    <s v="Advertising Expense905"/>
    <n v="0"/>
  </r>
  <r>
    <x v="1"/>
    <x v="29"/>
    <s v="Advertising Expense907"/>
    <n v="0"/>
  </r>
  <r>
    <x v="1"/>
    <x v="30"/>
    <s v="Advertising Expense908"/>
    <n v="0"/>
  </r>
  <r>
    <x v="1"/>
    <x v="31"/>
    <s v="Advertising Expense909"/>
    <n v="-187.50000000000006"/>
  </r>
  <r>
    <x v="1"/>
    <x v="32"/>
    <s v="Advertising Expense910"/>
    <n v="0"/>
  </r>
  <r>
    <x v="1"/>
    <x v="33"/>
    <s v="Advertising Expense911"/>
    <n v="0"/>
  </r>
  <r>
    <x v="1"/>
    <x v="34"/>
    <s v="Advertising Expense912"/>
    <n v="0"/>
  </r>
  <r>
    <x v="1"/>
    <x v="35"/>
    <s v="Advertising Expense913"/>
    <n v="0"/>
  </r>
  <r>
    <x v="1"/>
    <x v="36"/>
    <s v="Advertising Expense920"/>
    <n v="0"/>
  </r>
  <r>
    <x v="1"/>
    <x v="37"/>
    <s v="Advertising Expense921"/>
    <n v="0"/>
  </r>
  <r>
    <x v="1"/>
    <x v="38"/>
    <s v="Advertising Expense923"/>
    <n v="-762.33000000000038"/>
  </r>
  <r>
    <x v="1"/>
    <x v="39"/>
    <s v="Advertising Expense924"/>
    <n v="0"/>
  </r>
  <r>
    <x v="1"/>
    <x v="40"/>
    <s v="Advertising Expense925"/>
    <n v="0"/>
  </r>
  <r>
    <x v="1"/>
    <x v="41"/>
    <s v="Advertising Expense926"/>
    <n v="0"/>
  </r>
  <r>
    <x v="1"/>
    <x v="42"/>
    <s v="Advertising Expense928"/>
    <n v="0"/>
  </r>
  <r>
    <x v="1"/>
    <x v="43"/>
    <s v="Advertising Expense9301"/>
    <n v="-97.179999999999993"/>
  </r>
  <r>
    <x v="1"/>
    <x v="44"/>
    <s v="Advertising Expense9302"/>
    <n v="-1794.6999999999998"/>
  </r>
  <r>
    <x v="1"/>
    <x v="45"/>
    <s v="Advertising Expense931"/>
    <n v="0"/>
  </r>
  <r>
    <x v="1"/>
    <x v="46"/>
    <s v="Advertising Expense932"/>
    <n v="0"/>
  </r>
  <r>
    <x v="1"/>
    <x v="47"/>
    <s v="Advertising Expense935"/>
    <n v="0"/>
  </r>
  <r>
    <x v="1"/>
    <x v="48"/>
    <m/>
    <n v="-2841.71"/>
  </r>
  <r>
    <x v="2"/>
    <x v="0"/>
    <s v="Amortizations801"/>
    <n v="0"/>
  </r>
  <r>
    <x v="2"/>
    <x v="1"/>
    <s v="Amortizations803"/>
    <n v="0"/>
  </r>
  <r>
    <x v="2"/>
    <x v="2"/>
    <s v="Amortizations804"/>
    <n v="0"/>
  </r>
  <r>
    <x v="2"/>
    <x v="3"/>
    <s v="Amortizations805"/>
    <n v="0"/>
  </r>
  <r>
    <x v="2"/>
    <x v="4"/>
    <s v="Amortizations806"/>
    <n v="0"/>
  </r>
  <r>
    <x v="2"/>
    <x v="5"/>
    <s v="Amortizations807"/>
    <n v="0"/>
  </r>
  <r>
    <x v="2"/>
    <x v="6"/>
    <s v="Amortizations808"/>
    <n v="0"/>
  </r>
  <r>
    <x v="2"/>
    <x v="7"/>
    <s v="Amortizations812"/>
    <n v="0"/>
  </r>
  <r>
    <x v="2"/>
    <x v="8"/>
    <s v="Amortizations870"/>
    <n v="0"/>
  </r>
  <r>
    <x v="2"/>
    <x v="9"/>
    <s v="Amortizations871"/>
    <n v="0"/>
  </r>
  <r>
    <x v="2"/>
    <x v="10"/>
    <s v="Amortizations874"/>
    <n v="0"/>
  </r>
  <r>
    <x v="2"/>
    <x v="11"/>
    <s v="Amortizations875"/>
    <n v="0"/>
  </r>
  <r>
    <x v="2"/>
    <x v="12"/>
    <s v="Amortizations876"/>
    <n v="0"/>
  </r>
  <r>
    <x v="2"/>
    <x v="13"/>
    <s v="Amortizations878"/>
    <n v="0"/>
  </r>
  <r>
    <x v="2"/>
    <x v="14"/>
    <s v="Amortizations879"/>
    <n v="0"/>
  </r>
  <r>
    <x v="2"/>
    <x v="15"/>
    <s v="Amortizations880"/>
    <n v="0"/>
  </r>
  <r>
    <x v="2"/>
    <x v="16"/>
    <s v="Amortizations881"/>
    <n v="0"/>
  </r>
  <r>
    <x v="2"/>
    <x v="17"/>
    <s v="Amortizations885"/>
    <n v="0"/>
  </r>
  <r>
    <x v="2"/>
    <x v="18"/>
    <s v="Amortizations886"/>
    <n v="0"/>
  </r>
  <r>
    <x v="2"/>
    <x v="19"/>
    <s v="Amortizations887"/>
    <n v="0"/>
  </r>
  <r>
    <x v="2"/>
    <x v="20"/>
    <s v="Amortizations889"/>
    <n v="0"/>
  </r>
  <r>
    <x v="2"/>
    <x v="21"/>
    <s v="Amortizations890"/>
    <n v="0"/>
  </r>
  <r>
    <x v="2"/>
    <x v="22"/>
    <s v="Amortizations892"/>
    <n v="0"/>
  </r>
  <r>
    <x v="2"/>
    <x v="23"/>
    <s v="Amortizations893"/>
    <n v="0"/>
  </r>
  <r>
    <x v="2"/>
    <x v="24"/>
    <s v="Amortizations894"/>
    <n v="0"/>
  </r>
  <r>
    <x v="2"/>
    <x v="25"/>
    <s v="Amortizations902"/>
    <n v="0"/>
  </r>
  <r>
    <x v="2"/>
    <x v="26"/>
    <s v="Amortizations903"/>
    <n v="0"/>
  </r>
  <r>
    <x v="2"/>
    <x v="27"/>
    <s v="Amortizations904"/>
    <n v="0"/>
  </r>
  <r>
    <x v="2"/>
    <x v="28"/>
    <s v="Amortizations905"/>
    <n v="0"/>
  </r>
  <r>
    <x v="2"/>
    <x v="29"/>
    <s v="Amortizations907"/>
    <n v="0"/>
  </r>
  <r>
    <x v="2"/>
    <x v="30"/>
    <s v="Amortizations908"/>
    <n v="0"/>
  </r>
  <r>
    <x v="2"/>
    <x v="31"/>
    <s v="Amortizations909"/>
    <n v="0"/>
  </r>
  <r>
    <x v="2"/>
    <x v="32"/>
    <s v="Amortizations910"/>
    <n v="0"/>
  </r>
  <r>
    <x v="2"/>
    <x v="33"/>
    <s v="Amortizations911"/>
    <n v="0"/>
  </r>
  <r>
    <x v="2"/>
    <x v="34"/>
    <s v="Amortizations912"/>
    <n v="0"/>
  </r>
  <r>
    <x v="2"/>
    <x v="35"/>
    <s v="Amortizations913"/>
    <n v="0"/>
  </r>
  <r>
    <x v="2"/>
    <x v="36"/>
    <s v="Amortizations920"/>
    <n v="0"/>
  </r>
  <r>
    <x v="2"/>
    <x v="37"/>
    <s v="Amortizations921"/>
    <n v="0"/>
  </r>
  <r>
    <x v="2"/>
    <x v="38"/>
    <s v="Amortizations923"/>
    <n v="0"/>
  </r>
  <r>
    <x v="2"/>
    <x v="39"/>
    <s v="Amortizations924"/>
    <n v="0"/>
  </r>
  <r>
    <x v="2"/>
    <x v="40"/>
    <s v="Amortizations925"/>
    <n v="0"/>
  </r>
  <r>
    <x v="2"/>
    <x v="41"/>
    <s v="Amortizations926"/>
    <n v="0"/>
  </r>
  <r>
    <x v="2"/>
    <x v="42"/>
    <s v="Amortizations928"/>
    <n v="-0.23999999999068677"/>
  </r>
  <r>
    <x v="2"/>
    <x v="43"/>
    <s v="Amortizations9301"/>
    <n v="0"/>
  </r>
  <r>
    <x v="2"/>
    <x v="44"/>
    <s v="Amortizations9302"/>
    <n v="0"/>
  </r>
  <r>
    <x v="2"/>
    <x v="45"/>
    <s v="Amortizations931"/>
    <n v="0"/>
  </r>
  <r>
    <x v="2"/>
    <x v="46"/>
    <s v="Amortizations932"/>
    <n v="0"/>
  </r>
  <r>
    <x v="2"/>
    <x v="47"/>
    <s v="Amortizations935"/>
    <n v="0"/>
  </r>
  <r>
    <x v="2"/>
    <x v="48"/>
    <m/>
    <n v="-0.23999999999068677"/>
  </r>
  <r>
    <x v="3"/>
    <x v="0"/>
    <s v="Audit Fees801"/>
    <n v="0"/>
  </r>
  <r>
    <x v="3"/>
    <x v="1"/>
    <s v="Audit Fees803"/>
    <n v="0"/>
  </r>
  <r>
    <x v="3"/>
    <x v="2"/>
    <s v="Audit Fees804"/>
    <n v="0"/>
  </r>
  <r>
    <x v="3"/>
    <x v="3"/>
    <s v="Audit Fees805"/>
    <n v="0"/>
  </r>
  <r>
    <x v="3"/>
    <x v="4"/>
    <s v="Audit Fees806"/>
    <n v="0"/>
  </r>
  <r>
    <x v="3"/>
    <x v="5"/>
    <s v="Audit Fees807"/>
    <n v="0"/>
  </r>
  <r>
    <x v="3"/>
    <x v="6"/>
    <s v="Audit Fees808"/>
    <n v="0"/>
  </r>
  <r>
    <x v="3"/>
    <x v="7"/>
    <s v="Audit Fees812"/>
    <n v="0"/>
  </r>
  <r>
    <x v="3"/>
    <x v="8"/>
    <s v="Audit Fees870"/>
    <n v="0"/>
  </r>
  <r>
    <x v="3"/>
    <x v="9"/>
    <s v="Audit Fees871"/>
    <n v="0"/>
  </r>
  <r>
    <x v="3"/>
    <x v="10"/>
    <s v="Audit Fees874"/>
    <n v="0"/>
  </r>
  <r>
    <x v="3"/>
    <x v="11"/>
    <s v="Audit Fees875"/>
    <n v="0"/>
  </r>
  <r>
    <x v="3"/>
    <x v="12"/>
    <s v="Audit Fees876"/>
    <n v="0"/>
  </r>
  <r>
    <x v="3"/>
    <x v="13"/>
    <s v="Audit Fees878"/>
    <n v="0"/>
  </r>
  <r>
    <x v="3"/>
    <x v="14"/>
    <s v="Audit Fees879"/>
    <n v="0"/>
  </r>
  <r>
    <x v="3"/>
    <x v="15"/>
    <s v="Audit Fees880"/>
    <n v="0"/>
  </r>
  <r>
    <x v="3"/>
    <x v="16"/>
    <s v="Audit Fees881"/>
    <n v="0"/>
  </r>
  <r>
    <x v="3"/>
    <x v="17"/>
    <s v="Audit Fees885"/>
    <n v="0"/>
  </r>
  <r>
    <x v="3"/>
    <x v="18"/>
    <s v="Audit Fees886"/>
    <n v="0"/>
  </r>
  <r>
    <x v="3"/>
    <x v="19"/>
    <s v="Audit Fees887"/>
    <n v="0"/>
  </r>
  <r>
    <x v="3"/>
    <x v="20"/>
    <s v="Audit Fees889"/>
    <n v="0"/>
  </r>
  <r>
    <x v="3"/>
    <x v="21"/>
    <s v="Audit Fees890"/>
    <n v="0"/>
  </r>
  <r>
    <x v="3"/>
    <x v="22"/>
    <s v="Audit Fees892"/>
    <n v="0"/>
  </r>
  <r>
    <x v="3"/>
    <x v="23"/>
    <s v="Audit Fees893"/>
    <n v="0"/>
  </r>
  <r>
    <x v="3"/>
    <x v="24"/>
    <s v="Audit Fees894"/>
    <n v="0"/>
  </r>
  <r>
    <x v="3"/>
    <x v="25"/>
    <s v="Audit Fees902"/>
    <n v="0"/>
  </r>
  <r>
    <x v="3"/>
    <x v="26"/>
    <s v="Audit Fees903"/>
    <n v="0"/>
  </r>
  <r>
    <x v="3"/>
    <x v="27"/>
    <s v="Audit Fees904"/>
    <n v="0"/>
  </r>
  <r>
    <x v="3"/>
    <x v="28"/>
    <s v="Audit Fees905"/>
    <n v="0"/>
  </r>
  <r>
    <x v="3"/>
    <x v="29"/>
    <s v="Audit Fees907"/>
    <n v="0"/>
  </r>
  <r>
    <x v="3"/>
    <x v="30"/>
    <s v="Audit Fees908"/>
    <n v="0"/>
  </r>
  <r>
    <x v="3"/>
    <x v="31"/>
    <s v="Audit Fees909"/>
    <n v="0"/>
  </r>
  <r>
    <x v="3"/>
    <x v="32"/>
    <s v="Audit Fees910"/>
    <n v="0"/>
  </r>
  <r>
    <x v="3"/>
    <x v="33"/>
    <s v="Audit Fees911"/>
    <n v="0"/>
  </r>
  <r>
    <x v="3"/>
    <x v="34"/>
    <s v="Audit Fees912"/>
    <n v="0"/>
  </r>
  <r>
    <x v="3"/>
    <x v="35"/>
    <s v="Audit Fees913"/>
    <n v="0"/>
  </r>
  <r>
    <x v="3"/>
    <x v="36"/>
    <s v="Audit Fees920"/>
    <n v="0"/>
  </r>
  <r>
    <x v="3"/>
    <x v="37"/>
    <s v="Audit Fees921"/>
    <n v="0"/>
  </r>
  <r>
    <x v="3"/>
    <x v="38"/>
    <s v="Audit Fees923"/>
    <n v="2476.3000000000175"/>
  </r>
  <r>
    <x v="3"/>
    <x v="39"/>
    <s v="Audit Fees924"/>
    <n v="0"/>
  </r>
  <r>
    <x v="3"/>
    <x v="40"/>
    <s v="Audit Fees925"/>
    <n v="0"/>
  </r>
  <r>
    <x v="3"/>
    <x v="41"/>
    <s v="Audit Fees926"/>
    <n v="0"/>
  </r>
  <r>
    <x v="3"/>
    <x v="42"/>
    <s v="Audit Fees928"/>
    <n v="0"/>
  </r>
  <r>
    <x v="3"/>
    <x v="43"/>
    <s v="Audit Fees9301"/>
    <n v="0"/>
  </r>
  <r>
    <x v="3"/>
    <x v="44"/>
    <s v="Audit Fees9302"/>
    <n v="0"/>
  </r>
  <r>
    <x v="3"/>
    <x v="45"/>
    <s v="Audit Fees931"/>
    <n v="0"/>
  </r>
  <r>
    <x v="3"/>
    <x v="46"/>
    <s v="Audit Fees932"/>
    <n v="0"/>
  </r>
  <r>
    <x v="3"/>
    <x v="47"/>
    <s v="Audit Fees935"/>
    <n v="0"/>
  </r>
  <r>
    <x v="3"/>
    <x v="48"/>
    <m/>
    <n v="2476.3000000000175"/>
  </r>
  <r>
    <x v="4"/>
    <x v="36"/>
    <s v="Charitable Contributions920"/>
    <n v="0"/>
  </r>
  <r>
    <x v="4"/>
    <x v="37"/>
    <s v="Charitable Contributions921"/>
    <n v="0"/>
  </r>
  <r>
    <x v="4"/>
    <x v="48"/>
    <m/>
    <n v="0"/>
  </r>
  <r>
    <x v="5"/>
    <x v="0"/>
    <s v="Clearing Accounts801"/>
    <n v="0"/>
  </r>
  <r>
    <x v="5"/>
    <x v="1"/>
    <s v="Clearing Accounts803"/>
    <n v="0"/>
  </r>
  <r>
    <x v="5"/>
    <x v="2"/>
    <s v="Clearing Accounts804"/>
    <n v="0"/>
  </r>
  <r>
    <x v="5"/>
    <x v="3"/>
    <s v="Clearing Accounts805"/>
    <n v="0"/>
  </r>
  <r>
    <x v="5"/>
    <x v="4"/>
    <s v="Clearing Accounts806"/>
    <n v="0"/>
  </r>
  <r>
    <x v="5"/>
    <x v="5"/>
    <s v="Clearing Accounts807"/>
    <n v="0"/>
  </r>
  <r>
    <x v="5"/>
    <x v="6"/>
    <s v="Clearing Accounts808"/>
    <n v="0"/>
  </r>
  <r>
    <x v="5"/>
    <x v="7"/>
    <s v="Clearing Accounts812"/>
    <n v="0"/>
  </r>
  <r>
    <x v="5"/>
    <x v="8"/>
    <s v="Clearing Accounts870"/>
    <n v="1516.7400000000016"/>
  </r>
  <r>
    <x v="5"/>
    <x v="9"/>
    <s v="Clearing Accounts871"/>
    <n v="-12726.830000000009"/>
  </r>
  <r>
    <x v="5"/>
    <x v="10"/>
    <s v="Clearing Accounts874"/>
    <n v="-139589.50999999995"/>
  </r>
  <r>
    <x v="5"/>
    <x v="11"/>
    <s v="Clearing Accounts875"/>
    <n v="-13240.099999999984"/>
  </r>
  <r>
    <x v="5"/>
    <x v="12"/>
    <s v="Clearing Accounts876"/>
    <n v="-549.88000000000466"/>
  </r>
  <r>
    <x v="5"/>
    <x v="13"/>
    <s v="Clearing Accounts878"/>
    <n v="-61582.960000000079"/>
  </r>
  <r>
    <x v="5"/>
    <x v="14"/>
    <s v="Clearing Accounts879"/>
    <n v="-56225.669999999984"/>
  </r>
  <r>
    <x v="5"/>
    <x v="15"/>
    <s v="Clearing Accounts880"/>
    <n v="-38725.22000000003"/>
  </r>
  <r>
    <x v="5"/>
    <x v="16"/>
    <s v="Clearing Accounts881"/>
    <n v="0"/>
  </r>
  <r>
    <x v="5"/>
    <x v="17"/>
    <s v="Clearing Accounts885"/>
    <n v="-230.00000000000091"/>
  </r>
  <r>
    <x v="5"/>
    <x v="18"/>
    <s v="Clearing Accounts886"/>
    <n v="322.2800000000002"/>
  </r>
  <r>
    <x v="5"/>
    <x v="19"/>
    <s v="Clearing Accounts887"/>
    <n v="-21104.089999999997"/>
  </r>
  <r>
    <x v="5"/>
    <x v="20"/>
    <s v="Clearing Accounts889"/>
    <n v="33999.579999999958"/>
  </r>
  <r>
    <x v="5"/>
    <x v="21"/>
    <s v="Clearing Accounts890"/>
    <n v="-1215.4800000000014"/>
  </r>
  <r>
    <x v="5"/>
    <x v="22"/>
    <s v="Clearing Accounts892"/>
    <n v="7415.2299999999959"/>
  </r>
  <r>
    <x v="5"/>
    <x v="23"/>
    <s v="Clearing Accounts893"/>
    <n v="3215.4700000000012"/>
  </r>
  <r>
    <x v="5"/>
    <x v="24"/>
    <s v="Clearing Accounts894"/>
    <n v="-11782.389999999978"/>
  </r>
  <r>
    <x v="5"/>
    <x v="25"/>
    <s v="Clearing Accounts902"/>
    <n v="129.18999999999505"/>
  </r>
  <r>
    <x v="5"/>
    <x v="26"/>
    <s v="Clearing Accounts903"/>
    <n v="-18870.50999999998"/>
  </r>
  <r>
    <x v="5"/>
    <x v="27"/>
    <s v="Clearing Accounts904"/>
    <n v="0"/>
  </r>
  <r>
    <x v="5"/>
    <x v="28"/>
    <s v="Clearing Accounts905"/>
    <n v="0"/>
  </r>
  <r>
    <x v="5"/>
    <x v="29"/>
    <s v="Clearing Accounts907"/>
    <n v="0"/>
  </r>
  <r>
    <x v="5"/>
    <x v="30"/>
    <s v="Clearing Accounts908"/>
    <n v="0"/>
  </r>
  <r>
    <x v="5"/>
    <x v="31"/>
    <s v="Clearing Accounts909"/>
    <n v="0"/>
  </r>
  <r>
    <x v="5"/>
    <x v="32"/>
    <s v="Clearing Accounts910"/>
    <n v="0"/>
  </r>
  <r>
    <x v="5"/>
    <x v="33"/>
    <s v="Clearing Accounts911"/>
    <n v="0"/>
  </r>
  <r>
    <x v="5"/>
    <x v="34"/>
    <s v="Clearing Accounts912"/>
    <n v="0"/>
  </r>
  <r>
    <x v="5"/>
    <x v="35"/>
    <s v="Clearing Accounts913"/>
    <n v="0"/>
  </r>
  <r>
    <x v="5"/>
    <x v="36"/>
    <s v="Clearing Accounts920"/>
    <n v="8484.9600000000064"/>
  </r>
  <r>
    <x v="5"/>
    <x v="37"/>
    <s v="Clearing Accounts921"/>
    <n v="-1309.1399999999999"/>
  </r>
  <r>
    <x v="5"/>
    <x v="38"/>
    <s v="Clearing Accounts923"/>
    <n v="0"/>
  </r>
  <r>
    <x v="5"/>
    <x v="39"/>
    <s v="Clearing Accounts924"/>
    <n v="0"/>
  </r>
  <r>
    <x v="5"/>
    <x v="40"/>
    <s v="Clearing Accounts925"/>
    <n v="0"/>
  </r>
  <r>
    <x v="5"/>
    <x v="41"/>
    <s v="Clearing Accounts926"/>
    <n v="0"/>
  </r>
  <r>
    <x v="5"/>
    <x v="42"/>
    <s v="Clearing Accounts928"/>
    <n v="0"/>
  </r>
  <r>
    <x v="5"/>
    <x v="43"/>
    <s v="Clearing Accounts9301"/>
    <n v="0"/>
  </r>
  <r>
    <x v="5"/>
    <x v="44"/>
    <s v="Clearing Accounts9302"/>
    <n v="0"/>
  </r>
  <r>
    <x v="5"/>
    <x v="45"/>
    <s v="Clearing Accounts931"/>
    <n v="0"/>
  </r>
  <r>
    <x v="5"/>
    <x v="46"/>
    <s v="Clearing Accounts932"/>
    <n v="0"/>
  </r>
  <r>
    <x v="5"/>
    <x v="47"/>
    <s v="Clearing Accounts935"/>
    <n v="0"/>
  </r>
  <r>
    <x v="5"/>
    <x v="48"/>
    <m/>
    <n v="-322068.33"/>
  </r>
  <r>
    <x v="6"/>
    <x v="0"/>
    <s v="Commission Fees801"/>
    <n v="0"/>
  </r>
  <r>
    <x v="6"/>
    <x v="1"/>
    <s v="Commission Fees803"/>
    <n v="0"/>
  </r>
  <r>
    <x v="6"/>
    <x v="2"/>
    <s v="Commission Fees804"/>
    <n v="0"/>
  </r>
  <r>
    <x v="6"/>
    <x v="3"/>
    <s v="Commission Fees805"/>
    <n v="0"/>
  </r>
  <r>
    <x v="6"/>
    <x v="4"/>
    <s v="Commission Fees806"/>
    <n v="0"/>
  </r>
  <r>
    <x v="6"/>
    <x v="5"/>
    <s v="Commission Fees807"/>
    <n v="0"/>
  </r>
  <r>
    <x v="6"/>
    <x v="6"/>
    <s v="Commission Fees808"/>
    <n v="0"/>
  </r>
  <r>
    <x v="6"/>
    <x v="7"/>
    <s v="Commission Fees812"/>
    <n v="0"/>
  </r>
  <r>
    <x v="6"/>
    <x v="8"/>
    <s v="Commission Fees870"/>
    <n v="0"/>
  </r>
  <r>
    <x v="6"/>
    <x v="9"/>
    <s v="Commission Fees871"/>
    <n v="0"/>
  </r>
  <r>
    <x v="6"/>
    <x v="10"/>
    <s v="Commission Fees874"/>
    <n v="0"/>
  </r>
  <r>
    <x v="6"/>
    <x v="11"/>
    <s v="Commission Fees875"/>
    <n v="0"/>
  </r>
  <r>
    <x v="6"/>
    <x v="12"/>
    <s v="Commission Fees876"/>
    <n v="0"/>
  </r>
  <r>
    <x v="6"/>
    <x v="13"/>
    <s v="Commission Fees878"/>
    <n v="0"/>
  </r>
  <r>
    <x v="6"/>
    <x v="14"/>
    <s v="Commission Fees879"/>
    <n v="0"/>
  </r>
  <r>
    <x v="6"/>
    <x v="15"/>
    <s v="Commission Fees880"/>
    <n v="0"/>
  </r>
  <r>
    <x v="6"/>
    <x v="16"/>
    <s v="Commission Fees881"/>
    <n v="0"/>
  </r>
  <r>
    <x v="6"/>
    <x v="17"/>
    <s v="Commission Fees885"/>
    <n v="0"/>
  </r>
  <r>
    <x v="6"/>
    <x v="18"/>
    <s v="Commission Fees886"/>
    <n v="0"/>
  </r>
  <r>
    <x v="6"/>
    <x v="19"/>
    <s v="Commission Fees887"/>
    <n v="0"/>
  </r>
  <r>
    <x v="6"/>
    <x v="20"/>
    <s v="Commission Fees889"/>
    <n v="0"/>
  </r>
  <r>
    <x v="6"/>
    <x v="21"/>
    <s v="Commission Fees890"/>
    <n v="0"/>
  </r>
  <r>
    <x v="6"/>
    <x v="22"/>
    <s v="Commission Fees892"/>
    <n v="0"/>
  </r>
  <r>
    <x v="6"/>
    <x v="23"/>
    <s v="Commission Fees893"/>
    <n v="0"/>
  </r>
  <r>
    <x v="6"/>
    <x v="24"/>
    <s v="Commission Fees894"/>
    <n v="0"/>
  </r>
  <r>
    <x v="6"/>
    <x v="25"/>
    <s v="Commission Fees902"/>
    <n v="0"/>
  </r>
  <r>
    <x v="6"/>
    <x v="26"/>
    <s v="Commission Fees903"/>
    <n v="0"/>
  </r>
  <r>
    <x v="6"/>
    <x v="27"/>
    <s v="Commission Fees904"/>
    <n v="0"/>
  </r>
  <r>
    <x v="6"/>
    <x v="28"/>
    <s v="Commission Fees905"/>
    <n v="0"/>
  </r>
  <r>
    <x v="6"/>
    <x v="29"/>
    <s v="Commission Fees907"/>
    <n v="0"/>
  </r>
  <r>
    <x v="6"/>
    <x v="30"/>
    <s v="Commission Fees908"/>
    <n v="0"/>
  </r>
  <r>
    <x v="6"/>
    <x v="31"/>
    <s v="Commission Fees909"/>
    <n v="0"/>
  </r>
  <r>
    <x v="6"/>
    <x v="32"/>
    <s v="Commission Fees910"/>
    <n v="0"/>
  </r>
  <r>
    <x v="6"/>
    <x v="33"/>
    <s v="Commission Fees911"/>
    <n v="0"/>
  </r>
  <r>
    <x v="6"/>
    <x v="34"/>
    <s v="Commission Fees912"/>
    <n v="0"/>
  </r>
  <r>
    <x v="6"/>
    <x v="35"/>
    <s v="Commission Fees913"/>
    <n v="0"/>
  </r>
  <r>
    <x v="6"/>
    <x v="36"/>
    <s v="Commission Fees920"/>
    <n v="0"/>
  </r>
  <r>
    <x v="6"/>
    <x v="37"/>
    <s v="Commission Fees921"/>
    <n v="0"/>
  </r>
  <r>
    <x v="6"/>
    <x v="38"/>
    <s v="Commission Fees923"/>
    <n v="0"/>
  </r>
  <r>
    <x v="6"/>
    <x v="39"/>
    <s v="Commission Fees924"/>
    <n v="0"/>
  </r>
  <r>
    <x v="6"/>
    <x v="40"/>
    <s v="Commission Fees925"/>
    <n v="0"/>
  </r>
  <r>
    <x v="6"/>
    <x v="41"/>
    <s v="Commission Fees926"/>
    <n v="0"/>
  </r>
  <r>
    <x v="6"/>
    <x v="42"/>
    <s v="Commission Fees928"/>
    <n v="0"/>
  </r>
  <r>
    <x v="6"/>
    <x v="43"/>
    <s v="Commission Fees9301"/>
    <n v="0"/>
  </r>
  <r>
    <x v="6"/>
    <x v="44"/>
    <s v="Commission Fees9302"/>
    <n v="0"/>
  </r>
  <r>
    <x v="6"/>
    <x v="45"/>
    <s v="Commission Fees931"/>
    <n v="0"/>
  </r>
  <r>
    <x v="6"/>
    <x v="46"/>
    <s v="Commission Fees932"/>
    <n v="0"/>
  </r>
  <r>
    <x v="6"/>
    <x v="47"/>
    <s v="Commission Fees935"/>
    <n v="0"/>
  </r>
  <r>
    <x v="6"/>
    <x v="48"/>
    <m/>
    <n v="0"/>
  </r>
  <r>
    <x v="7"/>
    <x v="0"/>
    <s v="Corporate Insurance801"/>
    <n v="0"/>
  </r>
  <r>
    <x v="7"/>
    <x v="1"/>
    <s v="Corporate Insurance803"/>
    <n v="0"/>
  </r>
  <r>
    <x v="7"/>
    <x v="2"/>
    <s v="Corporate Insurance804"/>
    <n v="0"/>
  </r>
  <r>
    <x v="7"/>
    <x v="3"/>
    <s v="Corporate Insurance805"/>
    <n v="0"/>
  </r>
  <r>
    <x v="7"/>
    <x v="4"/>
    <s v="Corporate Insurance806"/>
    <n v="0"/>
  </r>
  <r>
    <x v="7"/>
    <x v="5"/>
    <s v="Corporate Insurance807"/>
    <n v="0"/>
  </r>
  <r>
    <x v="7"/>
    <x v="6"/>
    <s v="Corporate Insurance808"/>
    <n v="0"/>
  </r>
  <r>
    <x v="7"/>
    <x v="7"/>
    <s v="Corporate Insurance812"/>
    <n v="0"/>
  </r>
  <r>
    <x v="7"/>
    <x v="8"/>
    <s v="Corporate Insurance870"/>
    <n v="0"/>
  </r>
  <r>
    <x v="7"/>
    <x v="9"/>
    <s v="Corporate Insurance871"/>
    <n v="0"/>
  </r>
  <r>
    <x v="7"/>
    <x v="10"/>
    <s v="Corporate Insurance874"/>
    <n v="-1.9800000000000004"/>
  </r>
  <r>
    <x v="7"/>
    <x v="11"/>
    <s v="Corporate Insurance875"/>
    <n v="0"/>
  </r>
  <r>
    <x v="7"/>
    <x v="12"/>
    <s v="Corporate Insurance876"/>
    <n v="0"/>
  </r>
  <r>
    <x v="7"/>
    <x v="13"/>
    <s v="Corporate Insurance878"/>
    <n v="0"/>
  </r>
  <r>
    <x v="7"/>
    <x v="14"/>
    <s v="Corporate Insurance879"/>
    <n v="0"/>
  </r>
  <r>
    <x v="7"/>
    <x v="15"/>
    <s v="Corporate Insurance880"/>
    <n v="14.989999999999988"/>
  </r>
  <r>
    <x v="7"/>
    <x v="16"/>
    <s v="Corporate Insurance881"/>
    <n v="0"/>
  </r>
  <r>
    <x v="7"/>
    <x v="17"/>
    <s v="Corporate Insurance885"/>
    <n v="0"/>
  </r>
  <r>
    <x v="7"/>
    <x v="18"/>
    <s v="Corporate Insurance886"/>
    <n v="0"/>
  </r>
  <r>
    <x v="7"/>
    <x v="19"/>
    <s v="Corporate Insurance887"/>
    <n v="0"/>
  </r>
  <r>
    <x v="7"/>
    <x v="20"/>
    <s v="Corporate Insurance889"/>
    <n v="0"/>
  </r>
  <r>
    <x v="7"/>
    <x v="21"/>
    <s v="Corporate Insurance890"/>
    <n v="0"/>
  </r>
  <r>
    <x v="7"/>
    <x v="22"/>
    <s v="Corporate Insurance892"/>
    <n v="0"/>
  </r>
  <r>
    <x v="7"/>
    <x v="23"/>
    <s v="Corporate Insurance893"/>
    <n v="0"/>
  </r>
  <r>
    <x v="7"/>
    <x v="24"/>
    <s v="Corporate Insurance894"/>
    <n v="0"/>
  </r>
  <r>
    <x v="7"/>
    <x v="25"/>
    <s v="Corporate Insurance902"/>
    <n v="0"/>
  </r>
  <r>
    <x v="7"/>
    <x v="26"/>
    <s v="Corporate Insurance903"/>
    <n v="0"/>
  </r>
  <r>
    <x v="7"/>
    <x v="27"/>
    <s v="Corporate Insurance904"/>
    <n v="0"/>
  </r>
  <r>
    <x v="7"/>
    <x v="28"/>
    <s v="Corporate Insurance905"/>
    <n v="0"/>
  </r>
  <r>
    <x v="7"/>
    <x v="29"/>
    <s v="Corporate Insurance907"/>
    <n v="0"/>
  </r>
  <r>
    <x v="7"/>
    <x v="30"/>
    <s v="Corporate Insurance908"/>
    <n v="0"/>
  </r>
  <r>
    <x v="7"/>
    <x v="31"/>
    <s v="Corporate Insurance909"/>
    <n v="0"/>
  </r>
  <r>
    <x v="7"/>
    <x v="32"/>
    <s v="Corporate Insurance910"/>
    <n v="0"/>
  </r>
  <r>
    <x v="7"/>
    <x v="33"/>
    <s v="Corporate Insurance911"/>
    <n v="0"/>
  </r>
  <r>
    <x v="7"/>
    <x v="34"/>
    <s v="Corporate Insurance912"/>
    <n v="0"/>
  </r>
  <r>
    <x v="7"/>
    <x v="35"/>
    <s v="Corporate Insurance913"/>
    <n v="0"/>
  </r>
  <r>
    <x v="7"/>
    <x v="36"/>
    <s v="Corporate Insurance920"/>
    <n v="0"/>
  </r>
  <r>
    <x v="7"/>
    <x v="37"/>
    <s v="Corporate Insurance921"/>
    <n v="0"/>
  </r>
  <r>
    <x v="7"/>
    <x v="38"/>
    <s v="Corporate Insurance923"/>
    <n v="0"/>
  </r>
  <r>
    <x v="7"/>
    <x v="39"/>
    <s v="Corporate Insurance924"/>
    <n v="6109.7100000000064"/>
  </r>
  <r>
    <x v="7"/>
    <x v="40"/>
    <s v="Corporate Insurance925"/>
    <n v="123064.42999999993"/>
  </r>
  <r>
    <x v="7"/>
    <x v="41"/>
    <s v="Corporate Insurance926"/>
    <n v="9005.1899999999987"/>
  </r>
  <r>
    <x v="7"/>
    <x v="42"/>
    <s v="Corporate Insurance928"/>
    <n v="0"/>
  </r>
  <r>
    <x v="7"/>
    <x v="49"/>
    <s v="Corporate Insurance930"/>
    <n v="0"/>
  </r>
  <r>
    <x v="7"/>
    <x v="45"/>
    <s v="Corporate Insurance931"/>
    <n v="0"/>
  </r>
  <r>
    <x v="7"/>
    <x v="46"/>
    <s v="Corporate Insurance932"/>
    <n v="0"/>
  </r>
  <r>
    <x v="7"/>
    <x v="47"/>
    <s v="Corporate Insurance935"/>
    <n v="0"/>
  </r>
  <r>
    <x v="7"/>
    <x v="48"/>
    <m/>
    <n v="138192.33999999994"/>
  </r>
  <r>
    <x v="8"/>
    <x v="50"/>
    <s v="Corporate Service Bill500"/>
    <n v="-10.050000000000001"/>
  </r>
  <r>
    <x v="8"/>
    <x v="51"/>
    <s v="Corporate Service Bill505"/>
    <n v="1.0000000000000675E-2"/>
  </r>
  <r>
    <x v="8"/>
    <x v="0"/>
    <s v="Corporate Service Bill801"/>
    <n v="0"/>
  </r>
  <r>
    <x v="8"/>
    <x v="1"/>
    <s v="Corporate Service Bill803"/>
    <n v="0"/>
  </r>
  <r>
    <x v="8"/>
    <x v="2"/>
    <s v="Corporate Service Bill804"/>
    <n v="0"/>
  </r>
  <r>
    <x v="8"/>
    <x v="3"/>
    <s v="Corporate Service Bill805"/>
    <n v="0"/>
  </r>
  <r>
    <x v="8"/>
    <x v="4"/>
    <s v="Corporate Service Bill806"/>
    <n v="0"/>
  </r>
  <r>
    <x v="8"/>
    <x v="5"/>
    <s v="Corporate Service Bill807"/>
    <n v="-1342.5599999999977"/>
  </r>
  <r>
    <x v="8"/>
    <x v="6"/>
    <s v="Corporate Service Bill808"/>
    <n v="0"/>
  </r>
  <r>
    <x v="8"/>
    <x v="7"/>
    <s v="Corporate Service Bill812"/>
    <n v="0"/>
  </r>
  <r>
    <x v="8"/>
    <x v="8"/>
    <s v="Corporate Service Bill870"/>
    <n v="-27000.359999999986"/>
  </r>
  <r>
    <x v="8"/>
    <x v="9"/>
    <s v="Corporate Service Bill871"/>
    <n v="0"/>
  </r>
  <r>
    <x v="8"/>
    <x v="10"/>
    <s v="Corporate Service Bill874"/>
    <n v="-7930.6699999999837"/>
  </r>
  <r>
    <x v="8"/>
    <x v="11"/>
    <s v="Corporate Service Bill875"/>
    <n v="5562.4599999999991"/>
  </r>
  <r>
    <x v="8"/>
    <x v="12"/>
    <s v="Corporate Service Bill876"/>
    <n v="4550.5200000000004"/>
  </r>
  <r>
    <x v="8"/>
    <x v="13"/>
    <s v="Corporate Service Bill878"/>
    <n v="-5529.0499999999884"/>
  </r>
  <r>
    <x v="8"/>
    <x v="14"/>
    <s v="Corporate Service Bill879"/>
    <n v="-5479.6399999999849"/>
  </r>
  <r>
    <x v="8"/>
    <x v="15"/>
    <s v="Corporate Service Bill880"/>
    <n v="-3042.320000000007"/>
  </r>
  <r>
    <x v="8"/>
    <x v="16"/>
    <s v="Corporate Service Bill881"/>
    <n v="0"/>
  </r>
  <r>
    <x v="8"/>
    <x v="17"/>
    <s v="Corporate Service Bill885"/>
    <n v="0"/>
  </r>
  <r>
    <x v="8"/>
    <x v="18"/>
    <s v="Corporate Service Bill886"/>
    <n v="0"/>
  </r>
  <r>
    <x v="8"/>
    <x v="19"/>
    <s v="Corporate Service Bill887"/>
    <n v="-10092.709999999999"/>
  </r>
  <r>
    <x v="8"/>
    <x v="20"/>
    <s v="Corporate Service Bill889"/>
    <n v="5562.4599999999991"/>
  </r>
  <r>
    <x v="8"/>
    <x v="21"/>
    <s v="Corporate Service Bill890"/>
    <n v="4821.1499999999978"/>
  </r>
  <r>
    <x v="8"/>
    <x v="22"/>
    <s v="Corporate Service Bill892"/>
    <n v="3512.0099999999984"/>
  </r>
  <r>
    <x v="8"/>
    <x v="23"/>
    <s v="Corporate Service Bill893"/>
    <n v="-5044.2100000000009"/>
  </r>
  <r>
    <x v="8"/>
    <x v="24"/>
    <s v="Corporate Service Bill894"/>
    <n v="5728.79"/>
  </r>
  <r>
    <x v="8"/>
    <x v="52"/>
    <s v="Corporate Service Bill901"/>
    <n v="1.18"/>
  </r>
  <r>
    <x v="8"/>
    <x v="25"/>
    <s v="Corporate Service Bill902"/>
    <n v="0"/>
  </r>
  <r>
    <x v="8"/>
    <x v="26"/>
    <s v="Corporate Service Bill903"/>
    <n v="-129188.48000000021"/>
  </r>
  <r>
    <x v="8"/>
    <x v="27"/>
    <s v="Corporate Service Bill904"/>
    <n v="0"/>
  </r>
  <r>
    <x v="8"/>
    <x v="28"/>
    <s v="Corporate Service Bill905"/>
    <n v="0"/>
  </r>
  <r>
    <x v="8"/>
    <x v="29"/>
    <s v="Corporate Service Bill907"/>
    <n v="0"/>
  </r>
  <r>
    <x v="8"/>
    <x v="30"/>
    <s v="Corporate Service Bill908"/>
    <n v="-65.539999999999992"/>
  </r>
  <r>
    <x v="8"/>
    <x v="31"/>
    <s v="Corporate Service Bill909"/>
    <n v="0"/>
  </r>
  <r>
    <x v="8"/>
    <x v="32"/>
    <s v="Corporate Service Bill910"/>
    <n v="-16959.819999999949"/>
  </r>
  <r>
    <x v="8"/>
    <x v="33"/>
    <s v="Corporate Service Bill911"/>
    <n v="0"/>
  </r>
  <r>
    <x v="8"/>
    <x v="34"/>
    <s v="Corporate Service Bill912"/>
    <n v="-717.56999999999789"/>
  </r>
  <r>
    <x v="8"/>
    <x v="35"/>
    <s v="Corporate Service Bill913"/>
    <n v="-4192.1399999999985"/>
  </r>
  <r>
    <x v="8"/>
    <x v="36"/>
    <s v="Corporate Service Bill920"/>
    <n v="-890667.98999999929"/>
  </r>
  <r>
    <x v="8"/>
    <x v="37"/>
    <s v="Corporate Service Bill921"/>
    <n v="-28261.460000000021"/>
  </r>
  <r>
    <x v="8"/>
    <x v="38"/>
    <s v="Corporate Service Bill923"/>
    <n v="-843946.41999999993"/>
  </r>
  <r>
    <x v="8"/>
    <x v="39"/>
    <s v="Corporate Service Bill924"/>
    <n v="-201.08000000000015"/>
  </r>
  <r>
    <x v="8"/>
    <x v="40"/>
    <s v="Corporate Service Bill925"/>
    <n v="-8755.2000000000044"/>
  </r>
  <r>
    <x v="8"/>
    <x v="41"/>
    <s v="Corporate Service Bill926"/>
    <n v="-269926.39999999991"/>
  </r>
  <r>
    <x v="8"/>
    <x v="42"/>
    <s v="Corporate Service Bill928"/>
    <n v="6.7600000000000016"/>
  </r>
  <r>
    <x v="8"/>
    <x v="43"/>
    <s v="Corporate Service Bill9301"/>
    <n v="-7489.9399999999987"/>
  </r>
  <r>
    <x v="8"/>
    <x v="44"/>
    <s v="Corporate Service Bill9302"/>
    <n v="-12571.960000000003"/>
  </r>
  <r>
    <x v="8"/>
    <x v="45"/>
    <s v="Corporate Service Bill931"/>
    <n v="-35065.550000000047"/>
  </r>
  <r>
    <x v="8"/>
    <x v="46"/>
    <s v="Corporate Service Bill932"/>
    <n v="-130440.81000000006"/>
  </r>
  <r>
    <x v="8"/>
    <x v="47"/>
    <s v="Corporate Service Bill935"/>
    <n v="0"/>
  </r>
  <r>
    <x v="8"/>
    <x v="48"/>
    <m/>
    <n v="-2414176.5899999994"/>
  </r>
  <r>
    <x v="9"/>
    <x v="0"/>
    <s v="Dues &amp; Donations801"/>
    <n v="0"/>
  </r>
  <r>
    <x v="9"/>
    <x v="1"/>
    <s v="Dues &amp; Donations803"/>
    <n v="0"/>
  </r>
  <r>
    <x v="9"/>
    <x v="2"/>
    <s v="Dues &amp; Donations804"/>
    <n v="0"/>
  </r>
  <r>
    <x v="9"/>
    <x v="3"/>
    <s v="Dues &amp; Donations805"/>
    <n v="0"/>
  </r>
  <r>
    <x v="9"/>
    <x v="4"/>
    <s v="Dues &amp; Donations806"/>
    <n v="0"/>
  </r>
  <r>
    <x v="9"/>
    <x v="5"/>
    <s v="Dues &amp; Donations807"/>
    <n v="0"/>
  </r>
  <r>
    <x v="9"/>
    <x v="6"/>
    <s v="Dues &amp; Donations808"/>
    <n v="0"/>
  </r>
  <r>
    <x v="9"/>
    <x v="7"/>
    <s v="Dues &amp; Donations812"/>
    <n v="0"/>
  </r>
  <r>
    <x v="9"/>
    <x v="8"/>
    <s v="Dues &amp; Donations870"/>
    <n v="0"/>
  </r>
  <r>
    <x v="9"/>
    <x v="9"/>
    <s v="Dues &amp; Donations871"/>
    <n v="0"/>
  </r>
  <r>
    <x v="9"/>
    <x v="10"/>
    <s v="Dues &amp; Donations874"/>
    <n v="0"/>
  </r>
  <r>
    <x v="9"/>
    <x v="11"/>
    <s v="Dues &amp; Donations875"/>
    <n v="0"/>
  </r>
  <r>
    <x v="9"/>
    <x v="12"/>
    <s v="Dues &amp; Donations876"/>
    <n v="0"/>
  </r>
  <r>
    <x v="9"/>
    <x v="13"/>
    <s v="Dues &amp; Donations878"/>
    <n v="0"/>
  </r>
  <r>
    <x v="9"/>
    <x v="14"/>
    <s v="Dues &amp; Donations879"/>
    <n v="0"/>
  </r>
  <r>
    <x v="9"/>
    <x v="15"/>
    <s v="Dues &amp; Donations880"/>
    <n v="0"/>
  </r>
  <r>
    <x v="9"/>
    <x v="16"/>
    <s v="Dues &amp; Donations881"/>
    <n v="0"/>
  </r>
  <r>
    <x v="9"/>
    <x v="17"/>
    <s v="Dues &amp; Donations885"/>
    <n v="0"/>
  </r>
  <r>
    <x v="9"/>
    <x v="18"/>
    <s v="Dues &amp; Donations886"/>
    <n v="0"/>
  </r>
  <r>
    <x v="9"/>
    <x v="19"/>
    <s v="Dues &amp; Donations887"/>
    <n v="0"/>
  </r>
  <r>
    <x v="9"/>
    <x v="20"/>
    <s v="Dues &amp; Donations889"/>
    <n v="0"/>
  </r>
  <r>
    <x v="9"/>
    <x v="21"/>
    <s v="Dues &amp; Donations890"/>
    <n v="0"/>
  </r>
  <r>
    <x v="9"/>
    <x v="22"/>
    <s v="Dues &amp; Donations892"/>
    <n v="0"/>
  </r>
  <r>
    <x v="9"/>
    <x v="23"/>
    <s v="Dues &amp; Donations893"/>
    <n v="0"/>
  </r>
  <r>
    <x v="9"/>
    <x v="24"/>
    <s v="Dues &amp; Donations894"/>
    <n v="0"/>
  </r>
  <r>
    <x v="9"/>
    <x v="25"/>
    <s v="Dues &amp; Donations902"/>
    <n v="0"/>
  </r>
  <r>
    <x v="9"/>
    <x v="26"/>
    <s v="Dues &amp; Donations903"/>
    <n v="0"/>
  </r>
  <r>
    <x v="9"/>
    <x v="27"/>
    <s v="Dues &amp; Donations904"/>
    <n v="0"/>
  </r>
  <r>
    <x v="9"/>
    <x v="28"/>
    <s v="Dues &amp; Donations905"/>
    <n v="0"/>
  </r>
  <r>
    <x v="9"/>
    <x v="29"/>
    <s v="Dues &amp; Donations907"/>
    <n v="0"/>
  </r>
  <r>
    <x v="9"/>
    <x v="30"/>
    <s v="Dues &amp; Donations908"/>
    <n v="0"/>
  </r>
  <r>
    <x v="9"/>
    <x v="31"/>
    <s v="Dues &amp; Donations909"/>
    <n v="0"/>
  </r>
  <r>
    <x v="9"/>
    <x v="32"/>
    <s v="Dues &amp; Donations910"/>
    <n v="0"/>
  </r>
  <r>
    <x v="9"/>
    <x v="33"/>
    <s v="Dues &amp; Donations911"/>
    <n v="0"/>
  </r>
  <r>
    <x v="9"/>
    <x v="34"/>
    <s v="Dues &amp; Donations912"/>
    <n v="0"/>
  </r>
  <r>
    <x v="9"/>
    <x v="35"/>
    <s v="Dues &amp; Donations913"/>
    <n v="0"/>
  </r>
  <r>
    <x v="9"/>
    <x v="36"/>
    <s v="Dues &amp; Donations920"/>
    <n v="0"/>
  </r>
  <r>
    <x v="9"/>
    <x v="37"/>
    <s v="Dues &amp; Donations921"/>
    <n v="268.15999999999985"/>
  </r>
  <r>
    <x v="9"/>
    <x v="38"/>
    <s v="Dues &amp; Donations923"/>
    <n v="-531.26"/>
  </r>
  <r>
    <x v="9"/>
    <x v="39"/>
    <s v="Dues &amp; Donations924"/>
    <n v="0"/>
  </r>
  <r>
    <x v="9"/>
    <x v="40"/>
    <s v="Dues &amp; Donations925"/>
    <n v="0"/>
  </r>
  <r>
    <x v="9"/>
    <x v="41"/>
    <s v="Dues &amp; Donations926"/>
    <n v="0"/>
  </r>
  <r>
    <x v="9"/>
    <x v="42"/>
    <s v="Dues &amp; Donations928"/>
    <n v="0"/>
  </r>
  <r>
    <x v="9"/>
    <x v="43"/>
    <s v="Dues &amp; Donations9301"/>
    <n v="0"/>
  </r>
  <r>
    <x v="9"/>
    <x v="44"/>
    <s v="Dues &amp; Donations9302"/>
    <n v="-8617.14"/>
  </r>
  <r>
    <x v="9"/>
    <x v="45"/>
    <s v="Dues &amp; Donations931"/>
    <n v="0"/>
  </r>
  <r>
    <x v="9"/>
    <x v="46"/>
    <s v="Dues &amp; Donations932"/>
    <n v="0"/>
  </r>
  <r>
    <x v="9"/>
    <x v="47"/>
    <s v="Dues &amp; Donations935"/>
    <n v="0"/>
  </r>
  <r>
    <x v="9"/>
    <x v="48"/>
    <m/>
    <n v="-8880.24"/>
  </r>
  <r>
    <x v="10"/>
    <x v="0"/>
    <s v="Employee Expenses801"/>
    <n v="0"/>
  </r>
  <r>
    <x v="10"/>
    <x v="1"/>
    <s v="Employee Expenses803"/>
    <n v="0"/>
  </r>
  <r>
    <x v="10"/>
    <x v="2"/>
    <s v="Employee Expenses804"/>
    <n v="0"/>
  </r>
  <r>
    <x v="10"/>
    <x v="3"/>
    <s v="Employee Expenses805"/>
    <n v="0"/>
  </r>
  <r>
    <x v="10"/>
    <x v="4"/>
    <s v="Employee Expenses806"/>
    <n v="0"/>
  </r>
  <r>
    <x v="10"/>
    <x v="5"/>
    <s v="Employee Expenses807"/>
    <n v="0"/>
  </r>
  <r>
    <x v="10"/>
    <x v="6"/>
    <s v="Employee Expenses808"/>
    <n v="0"/>
  </r>
  <r>
    <x v="10"/>
    <x v="7"/>
    <s v="Employee Expenses812"/>
    <n v="0"/>
  </r>
  <r>
    <x v="10"/>
    <x v="8"/>
    <s v="Employee Expenses870"/>
    <n v="1808.739999999998"/>
  </r>
  <r>
    <x v="10"/>
    <x v="9"/>
    <s v="Employee Expenses871"/>
    <n v="0"/>
  </r>
  <r>
    <x v="10"/>
    <x v="10"/>
    <s v="Employee Expenses874"/>
    <n v="16456.630000000005"/>
  </r>
  <r>
    <x v="10"/>
    <x v="11"/>
    <s v="Employee Expenses875"/>
    <n v="60.039999999999964"/>
  </r>
  <r>
    <x v="10"/>
    <x v="12"/>
    <s v="Employee Expenses876"/>
    <n v="-105.24000000000001"/>
  </r>
  <r>
    <x v="10"/>
    <x v="13"/>
    <s v="Employee Expenses878"/>
    <n v="4560.9000000000015"/>
  </r>
  <r>
    <x v="10"/>
    <x v="14"/>
    <s v="Employee Expenses879"/>
    <n v="640.75999999999931"/>
  </r>
  <r>
    <x v="10"/>
    <x v="15"/>
    <s v="Employee Expenses880"/>
    <n v="-2016.7200000000012"/>
  </r>
  <r>
    <x v="10"/>
    <x v="16"/>
    <s v="Employee Expenses881"/>
    <n v="0"/>
  </r>
  <r>
    <x v="10"/>
    <x v="17"/>
    <s v="Employee Expenses885"/>
    <n v="231.09000000000106"/>
  </r>
  <r>
    <x v="10"/>
    <x v="18"/>
    <s v="Employee Expenses886"/>
    <n v="0"/>
  </r>
  <r>
    <x v="10"/>
    <x v="19"/>
    <s v="Employee Expenses887"/>
    <n v="1313.9800000000014"/>
  </r>
  <r>
    <x v="10"/>
    <x v="20"/>
    <s v="Employee Expenses889"/>
    <n v="60.039999999999964"/>
  </r>
  <r>
    <x v="10"/>
    <x v="21"/>
    <s v="Employee Expenses890"/>
    <n v="30.009999999999877"/>
  </r>
  <r>
    <x v="10"/>
    <x v="22"/>
    <s v="Employee Expenses892"/>
    <n v="707.38999999999942"/>
  </r>
  <r>
    <x v="10"/>
    <x v="23"/>
    <s v="Employee Expenses893"/>
    <n v="0"/>
  </r>
  <r>
    <x v="10"/>
    <x v="24"/>
    <s v="Employee Expenses894"/>
    <n v="0"/>
  </r>
  <r>
    <x v="10"/>
    <x v="25"/>
    <s v="Employee Expenses902"/>
    <n v="0"/>
  </r>
  <r>
    <x v="10"/>
    <x v="26"/>
    <s v="Employee Expenses903"/>
    <n v="354.44000000000005"/>
  </r>
  <r>
    <x v="10"/>
    <x v="27"/>
    <s v="Employee Expenses904"/>
    <n v="0"/>
  </r>
  <r>
    <x v="10"/>
    <x v="28"/>
    <s v="Employee Expenses905"/>
    <n v="0"/>
  </r>
  <r>
    <x v="10"/>
    <x v="29"/>
    <s v="Employee Expenses907"/>
    <n v="0"/>
  </r>
  <r>
    <x v="10"/>
    <x v="30"/>
    <s v="Employee Expenses908"/>
    <n v="0"/>
  </r>
  <r>
    <x v="10"/>
    <x v="31"/>
    <s v="Employee Expenses909"/>
    <n v="0"/>
  </r>
  <r>
    <x v="10"/>
    <x v="32"/>
    <s v="Employee Expenses910"/>
    <n v="0"/>
  </r>
  <r>
    <x v="10"/>
    <x v="33"/>
    <s v="Employee Expenses911"/>
    <n v="0"/>
  </r>
  <r>
    <x v="10"/>
    <x v="34"/>
    <s v="Employee Expenses912"/>
    <n v="0"/>
  </r>
  <r>
    <x v="10"/>
    <x v="35"/>
    <s v="Employee Expenses913"/>
    <n v="0"/>
  </r>
  <r>
    <x v="10"/>
    <x v="36"/>
    <s v="Employee Expenses920"/>
    <n v="726.17999999999665"/>
  </r>
  <r>
    <x v="10"/>
    <x v="37"/>
    <s v="Employee Expenses921"/>
    <n v="5478.6600000000035"/>
  </r>
  <r>
    <x v="10"/>
    <x v="38"/>
    <s v="Employee Expenses923"/>
    <n v="365"/>
  </r>
  <r>
    <x v="10"/>
    <x v="39"/>
    <s v="Employee Expenses924"/>
    <n v="0"/>
  </r>
  <r>
    <x v="10"/>
    <x v="40"/>
    <s v="Employee Expenses925"/>
    <n v="0"/>
  </r>
  <r>
    <x v="10"/>
    <x v="41"/>
    <s v="Employee Expenses926"/>
    <n v="-77448.760000000068"/>
  </r>
  <r>
    <x v="10"/>
    <x v="42"/>
    <s v="Employee Expenses928"/>
    <n v="0"/>
  </r>
  <r>
    <x v="10"/>
    <x v="43"/>
    <s v="Employee Expenses9301"/>
    <n v="0"/>
  </r>
  <r>
    <x v="10"/>
    <x v="44"/>
    <s v="Employee Expenses9302"/>
    <n v="0"/>
  </r>
  <r>
    <x v="10"/>
    <x v="45"/>
    <s v="Employee Expenses931"/>
    <n v="0"/>
  </r>
  <r>
    <x v="10"/>
    <x v="46"/>
    <s v="Employee Expenses932"/>
    <n v="0"/>
  </r>
  <r>
    <x v="10"/>
    <x v="47"/>
    <s v="Employee Expenses935"/>
    <n v="0"/>
  </r>
  <r>
    <x v="10"/>
    <x v="48"/>
    <m/>
    <n v="-46776.860000000073"/>
  </r>
  <r>
    <x v="11"/>
    <x v="0"/>
    <s v="Employees' Insurance Plans801"/>
    <n v="0"/>
  </r>
  <r>
    <x v="11"/>
    <x v="1"/>
    <s v="Employees' Insurance Plans803"/>
    <n v="0"/>
  </r>
  <r>
    <x v="11"/>
    <x v="2"/>
    <s v="Employees' Insurance Plans804"/>
    <n v="0"/>
  </r>
  <r>
    <x v="11"/>
    <x v="3"/>
    <s v="Employees' Insurance Plans805"/>
    <n v="0"/>
  </r>
  <r>
    <x v="11"/>
    <x v="4"/>
    <s v="Employees' Insurance Plans806"/>
    <n v="0"/>
  </r>
  <r>
    <x v="11"/>
    <x v="5"/>
    <s v="Employees' Insurance Plans807"/>
    <n v="0"/>
  </r>
  <r>
    <x v="11"/>
    <x v="6"/>
    <s v="Employees' Insurance Plans808"/>
    <n v="0"/>
  </r>
  <r>
    <x v="11"/>
    <x v="7"/>
    <s v="Employees' Insurance Plans812"/>
    <n v="0"/>
  </r>
  <r>
    <x v="11"/>
    <x v="8"/>
    <s v="Employees' Insurance Plans870"/>
    <n v="0"/>
  </r>
  <r>
    <x v="11"/>
    <x v="9"/>
    <s v="Employees' Insurance Plans871"/>
    <n v="0"/>
  </r>
  <r>
    <x v="11"/>
    <x v="10"/>
    <s v="Employees' Insurance Plans874"/>
    <n v="-25.39"/>
  </r>
  <r>
    <x v="11"/>
    <x v="11"/>
    <s v="Employees' Insurance Plans875"/>
    <n v="0"/>
  </r>
  <r>
    <x v="11"/>
    <x v="12"/>
    <s v="Employees' Insurance Plans876"/>
    <n v="0"/>
  </r>
  <r>
    <x v="11"/>
    <x v="13"/>
    <s v="Employees' Insurance Plans878"/>
    <n v="0"/>
  </r>
  <r>
    <x v="11"/>
    <x v="14"/>
    <s v="Employees' Insurance Plans879"/>
    <n v="0"/>
  </r>
  <r>
    <x v="11"/>
    <x v="15"/>
    <s v="Employees' Insurance Plans880"/>
    <n v="191.59999999999997"/>
  </r>
  <r>
    <x v="11"/>
    <x v="16"/>
    <s v="Employees' Insurance Plans881"/>
    <n v="0"/>
  </r>
  <r>
    <x v="11"/>
    <x v="17"/>
    <s v="Employees' Insurance Plans885"/>
    <n v="0"/>
  </r>
  <r>
    <x v="11"/>
    <x v="18"/>
    <s v="Employees' Insurance Plans886"/>
    <n v="0"/>
  </r>
  <r>
    <x v="11"/>
    <x v="19"/>
    <s v="Employees' Insurance Plans887"/>
    <n v="0"/>
  </r>
  <r>
    <x v="11"/>
    <x v="20"/>
    <s v="Employees' Insurance Plans889"/>
    <n v="0"/>
  </r>
  <r>
    <x v="11"/>
    <x v="21"/>
    <s v="Employees' Insurance Plans890"/>
    <n v="0"/>
  </r>
  <r>
    <x v="11"/>
    <x v="22"/>
    <s v="Employees' Insurance Plans892"/>
    <n v="0"/>
  </r>
  <r>
    <x v="11"/>
    <x v="23"/>
    <s v="Employees' Insurance Plans893"/>
    <n v="0"/>
  </r>
  <r>
    <x v="11"/>
    <x v="24"/>
    <s v="Employees' Insurance Plans894"/>
    <n v="0"/>
  </r>
  <r>
    <x v="11"/>
    <x v="25"/>
    <s v="Employees' Insurance Plans902"/>
    <n v="0"/>
  </r>
  <r>
    <x v="11"/>
    <x v="26"/>
    <s v="Employees' Insurance Plans903"/>
    <n v="0"/>
  </r>
  <r>
    <x v="11"/>
    <x v="27"/>
    <s v="Employees' Insurance Plans904"/>
    <n v="0"/>
  </r>
  <r>
    <x v="11"/>
    <x v="28"/>
    <s v="Employees' Insurance Plans905"/>
    <n v="0"/>
  </r>
  <r>
    <x v="11"/>
    <x v="29"/>
    <s v="Employees' Insurance Plans907"/>
    <n v="0"/>
  </r>
  <r>
    <x v="11"/>
    <x v="30"/>
    <s v="Employees' Insurance Plans908"/>
    <n v="0"/>
  </r>
  <r>
    <x v="11"/>
    <x v="31"/>
    <s v="Employees' Insurance Plans909"/>
    <n v="0"/>
  </r>
  <r>
    <x v="11"/>
    <x v="32"/>
    <s v="Employees' Insurance Plans910"/>
    <n v="0"/>
  </r>
  <r>
    <x v="11"/>
    <x v="33"/>
    <s v="Employees' Insurance Plans911"/>
    <n v="0"/>
  </r>
  <r>
    <x v="11"/>
    <x v="34"/>
    <s v="Employees' Insurance Plans912"/>
    <n v="0"/>
  </r>
  <r>
    <x v="11"/>
    <x v="35"/>
    <s v="Employees' Insurance Plans913"/>
    <n v="0"/>
  </r>
  <r>
    <x v="11"/>
    <x v="36"/>
    <s v="Employees' Insurance Plans920"/>
    <n v="0"/>
  </r>
  <r>
    <x v="11"/>
    <x v="37"/>
    <s v="Employees' Insurance Plans921"/>
    <n v="0"/>
  </r>
  <r>
    <x v="11"/>
    <x v="38"/>
    <s v="Employees' Insurance Plans923"/>
    <n v="0"/>
  </r>
  <r>
    <x v="11"/>
    <x v="39"/>
    <s v="Employees' Insurance Plans924"/>
    <n v="0"/>
  </r>
  <r>
    <x v="11"/>
    <x v="40"/>
    <s v="Employees' Insurance Plans925"/>
    <n v="0"/>
  </r>
  <r>
    <x v="11"/>
    <x v="41"/>
    <s v="Employees' Insurance Plans926"/>
    <n v="197176.17000000039"/>
  </r>
  <r>
    <x v="11"/>
    <x v="42"/>
    <s v="Employees' Insurance Plans928"/>
    <n v="0"/>
  </r>
  <r>
    <x v="11"/>
    <x v="49"/>
    <s v="Employees' Insurance Plans930"/>
    <n v="0"/>
  </r>
  <r>
    <x v="11"/>
    <x v="45"/>
    <s v="Employees' Insurance Plans931"/>
    <n v="0"/>
  </r>
  <r>
    <x v="11"/>
    <x v="46"/>
    <s v="Employees' Insurance Plans932"/>
    <n v="0"/>
  </r>
  <r>
    <x v="11"/>
    <x v="47"/>
    <s v="Employees' Insurance Plans935"/>
    <n v="0"/>
  </r>
  <r>
    <x v="11"/>
    <x v="48"/>
    <m/>
    <n v="197342.38000000038"/>
  </r>
  <r>
    <x v="12"/>
    <x v="0"/>
    <s v="Energy Assistance Program Tracker801"/>
    <n v="0"/>
  </r>
  <r>
    <x v="12"/>
    <x v="1"/>
    <s v="Energy Assistance Program Tracker803"/>
    <n v="0"/>
  </r>
  <r>
    <x v="12"/>
    <x v="2"/>
    <s v="Energy Assistance Program Tracker804"/>
    <n v="0"/>
  </r>
  <r>
    <x v="12"/>
    <x v="3"/>
    <s v="Energy Assistance Program Tracker805"/>
    <n v="0"/>
  </r>
  <r>
    <x v="12"/>
    <x v="4"/>
    <s v="Energy Assistance Program Tracker806"/>
    <n v="0"/>
  </r>
  <r>
    <x v="12"/>
    <x v="5"/>
    <s v="Energy Assistance Program Tracker807"/>
    <n v="0"/>
  </r>
  <r>
    <x v="12"/>
    <x v="6"/>
    <s v="Energy Assistance Program Tracker808"/>
    <n v="0"/>
  </r>
  <r>
    <x v="12"/>
    <x v="7"/>
    <s v="Energy Assistance Program Tracker812"/>
    <n v="0"/>
  </r>
  <r>
    <x v="12"/>
    <x v="8"/>
    <s v="Energy Assistance Program Tracker870"/>
    <n v="0"/>
  </r>
  <r>
    <x v="12"/>
    <x v="9"/>
    <s v="Energy Assistance Program Tracker871"/>
    <n v="0"/>
  </r>
  <r>
    <x v="12"/>
    <x v="10"/>
    <s v="Energy Assistance Program Tracker874"/>
    <n v="0"/>
  </r>
  <r>
    <x v="12"/>
    <x v="11"/>
    <s v="Energy Assistance Program Tracker875"/>
    <n v="0"/>
  </r>
  <r>
    <x v="12"/>
    <x v="12"/>
    <s v="Energy Assistance Program Tracker876"/>
    <n v="0"/>
  </r>
  <r>
    <x v="12"/>
    <x v="13"/>
    <s v="Energy Assistance Program Tracker878"/>
    <n v="0"/>
  </r>
  <r>
    <x v="12"/>
    <x v="14"/>
    <s v="Energy Assistance Program Tracker879"/>
    <n v="0"/>
  </r>
  <r>
    <x v="12"/>
    <x v="15"/>
    <s v="Energy Assistance Program Tracker880"/>
    <n v="0"/>
  </r>
  <r>
    <x v="12"/>
    <x v="16"/>
    <s v="Energy Assistance Program Tracker881"/>
    <n v="0"/>
  </r>
  <r>
    <x v="12"/>
    <x v="17"/>
    <s v="Energy Assistance Program Tracker885"/>
    <n v="0"/>
  </r>
  <r>
    <x v="12"/>
    <x v="18"/>
    <s v="Energy Assistance Program Tracker886"/>
    <n v="0"/>
  </r>
  <r>
    <x v="12"/>
    <x v="19"/>
    <s v="Energy Assistance Program Tracker887"/>
    <n v="0"/>
  </r>
  <r>
    <x v="12"/>
    <x v="20"/>
    <s v="Energy Assistance Program Tracker889"/>
    <n v="0"/>
  </r>
  <r>
    <x v="12"/>
    <x v="21"/>
    <s v="Energy Assistance Program Tracker890"/>
    <n v="0"/>
  </r>
  <r>
    <x v="12"/>
    <x v="22"/>
    <s v="Energy Assistance Program Tracker892"/>
    <n v="0"/>
  </r>
  <r>
    <x v="12"/>
    <x v="23"/>
    <s v="Energy Assistance Program Tracker893"/>
    <n v="0"/>
  </r>
  <r>
    <x v="12"/>
    <x v="24"/>
    <s v="Energy Assistance Program Tracker894"/>
    <n v="0"/>
  </r>
  <r>
    <x v="12"/>
    <x v="25"/>
    <s v="Energy Assistance Program Tracker902"/>
    <n v="0"/>
  </r>
  <r>
    <x v="12"/>
    <x v="26"/>
    <s v="Energy Assistance Program Tracker903"/>
    <n v="0"/>
  </r>
  <r>
    <x v="12"/>
    <x v="27"/>
    <s v="Energy Assistance Program Tracker904"/>
    <n v="8124.0400000000955"/>
  </r>
  <r>
    <x v="12"/>
    <x v="28"/>
    <s v="Energy Assistance Program Tracker905"/>
    <n v="0"/>
  </r>
  <r>
    <x v="12"/>
    <x v="29"/>
    <s v="Energy Assistance Program Tracker907"/>
    <n v="0"/>
  </r>
  <r>
    <x v="12"/>
    <x v="30"/>
    <s v="Energy Assistance Program Tracker908"/>
    <n v="0"/>
  </r>
  <r>
    <x v="12"/>
    <x v="31"/>
    <s v="Energy Assistance Program Tracker909"/>
    <n v="0"/>
  </r>
  <r>
    <x v="12"/>
    <x v="32"/>
    <s v="Energy Assistance Program Tracker910"/>
    <n v="0"/>
  </r>
  <r>
    <x v="12"/>
    <x v="33"/>
    <s v="Energy Assistance Program Tracker911"/>
    <n v="0"/>
  </r>
  <r>
    <x v="12"/>
    <x v="34"/>
    <s v="Energy Assistance Program Tracker912"/>
    <n v="0"/>
  </r>
  <r>
    <x v="12"/>
    <x v="35"/>
    <s v="Energy Assistance Program Tracker913"/>
    <n v="0"/>
  </r>
  <r>
    <x v="12"/>
    <x v="36"/>
    <s v="Energy Assistance Program Tracker920"/>
    <n v="0"/>
  </r>
  <r>
    <x v="12"/>
    <x v="37"/>
    <s v="Energy Assistance Program Tracker921"/>
    <n v="0"/>
  </r>
  <r>
    <x v="12"/>
    <x v="38"/>
    <s v="Energy Assistance Program Tracker923"/>
    <n v="0"/>
  </r>
  <r>
    <x v="12"/>
    <x v="39"/>
    <s v="Energy Assistance Program Tracker924"/>
    <n v="0"/>
  </r>
  <r>
    <x v="12"/>
    <x v="40"/>
    <s v="Energy Assistance Program Tracker925"/>
    <n v="0"/>
  </r>
  <r>
    <x v="12"/>
    <x v="41"/>
    <s v="Energy Assistance Program Tracker926"/>
    <n v="0"/>
  </r>
  <r>
    <x v="12"/>
    <x v="42"/>
    <s v="Energy Assistance Program Tracker928"/>
    <n v="0"/>
  </r>
  <r>
    <x v="12"/>
    <x v="49"/>
    <s v="Energy Assistance Program Tracker930"/>
    <n v="0"/>
  </r>
  <r>
    <x v="12"/>
    <x v="45"/>
    <s v="Energy Assistance Program Tracker931"/>
    <n v="0"/>
  </r>
  <r>
    <x v="12"/>
    <x v="46"/>
    <s v="Energy Assistance Program Tracker932"/>
    <n v="0"/>
  </r>
  <r>
    <x v="12"/>
    <x v="47"/>
    <s v="Energy Assistance Program Tracker935"/>
    <n v="0"/>
  </r>
  <r>
    <x v="12"/>
    <x v="48"/>
    <m/>
    <n v="8124.0400000000955"/>
  </r>
  <r>
    <x v="13"/>
    <x v="0"/>
    <s v="Gas Cost801"/>
    <n v="-28895.78"/>
  </r>
  <r>
    <x v="13"/>
    <x v="1"/>
    <s v="Gas Cost803"/>
    <n v="-3253627.7899999991"/>
  </r>
  <r>
    <x v="13"/>
    <x v="2"/>
    <s v="Gas Cost804"/>
    <n v="-928985.40999999968"/>
  </r>
  <r>
    <x v="13"/>
    <x v="3"/>
    <s v="Gas Cost805"/>
    <n v="1089908.8199999966"/>
  </r>
  <r>
    <x v="13"/>
    <x v="4"/>
    <s v="Gas Cost806"/>
    <n v="-115351.72999999952"/>
  </r>
  <r>
    <x v="13"/>
    <x v="5"/>
    <s v="Gas Cost807"/>
    <n v="0"/>
  </r>
  <r>
    <x v="13"/>
    <x v="53"/>
    <s v="Gas Cost8071"/>
    <n v="-2277618.4300000006"/>
  </r>
  <r>
    <x v="13"/>
    <x v="6"/>
    <s v="Gas Cost808"/>
    <n v="-7360845.129999999"/>
  </r>
  <r>
    <x v="13"/>
    <x v="7"/>
    <s v="Gas Cost812"/>
    <n v="14472.86"/>
  </r>
  <r>
    <x v="13"/>
    <x v="8"/>
    <s v="Gas Cost870"/>
    <n v="0"/>
  </r>
  <r>
    <x v="13"/>
    <x v="9"/>
    <s v="Gas Cost871"/>
    <n v="0"/>
  </r>
  <r>
    <x v="13"/>
    <x v="10"/>
    <s v="Gas Cost874"/>
    <n v="0"/>
  </r>
  <r>
    <x v="13"/>
    <x v="11"/>
    <s v="Gas Cost875"/>
    <n v="0"/>
  </r>
  <r>
    <x v="13"/>
    <x v="12"/>
    <s v="Gas Cost876"/>
    <n v="0"/>
  </r>
  <r>
    <x v="13"/>
    <x v="13"/>
    <s v="Gas Cost878"/>
    <n v="0"/>
  </r>
  <r>
    <x v="13"/>
    <x v="14"/>
    <s v="Gas Cost879"/>
    <n v="0"/>
  </r>
  <r>
    <x v="13"/>
    <x v="15"/>
    <s v="Gas Cost880"/>
    <n v="0"/>
  </r>
  <r>
    <x v="13"/>
    <x v="16"/>
    <s v="Gas Cost881"/>
    <n v="0"/>
  </r>
  <r>
    <x v="13"/>
    <x v="17"/>
    <s v="Gas Cost885"/>
    <n v="0"/>
  </r>
  <r>
    <x v="13"/>
    <x v="18"/>
    <s v="Gas Cost886"/>
    <n v="0"/>
  </r>
  <r>
    <x v="13"/>
    <x v="19"/>
    <s v="Gas Cost887"/>
    <n v="0"/>
  </r>
  <r>
    <x v="13"/>
    <x v="20"/>
    <s v="Gas Cost889"/>
    <n v="0"/>
  </r>
  <r>
    <x v="13"/>
    <x v="21"/>
    <s v="Gas Cost890"/>
    <n v="0"/>
  </r>
  <r>
    <x v="13"/>
    <x v="22"/>
    <s v="Gas Cost892"/>
    <n v="0"/>
  </r>
  <r>
    <x v="13"/>
    <x v="23"/>
    <s v="Gas Cost893"/>
    <n v="0"/>
  </r>
  <r>
    <x v="13"/>
    <x v="24"/>
    <s v="Gas Cost894"/>
    <n v="0"/>
  </r>
  <r>
    <x v="13"/>
    <x v="25"/>
    <s v="Gas Cost902"/>
    <n v="0"/>
  </r>
  <r>
    <x v="13"/>
    <x v="26"/>
    <s v="Gas Cost903"/>
    <n v="0"/>
  </r>
  <r>
    <x v="13"/>
    <x v="27"/>
    <s v="Gas Cost904"/>
    <n v="0"/>
  </r>
  <r>
    <x v="13"/>
    <x v="28"/>
    <s v="Gas Cost905"/>
    <n v="0"/>
  </r>
  <r>
    <x v="13"/>
    <x v="29"/>
    <s v="Gas Cost907"/>
    <n v="0"/>
  </r>
  <r>
    <x v="13"/>
    <x v="30"/>
    <s v="Gas Cost908"/>
    <n v="0"/>
  </r>
  <r>
    <x v="13"/>
    <x v="31"/>
    <s v="Gas Cost909"/>
    <n v="0"/>
  </r>
  <r>
    <x v="13"/>
    <x v="32"/>
    <s v="Gas Cost910"/>
    <n v="0"/>
  </r>
  <r>
    <x v="13"/>
    <x v="33"/>
    <s v="Gas Cost911"/>
    <n v="0"/>
  </r>
  <r>
    <x v="13"/>
    <x v="34"/>
    <s v="Gas Cost912"/>
    <n v="0"/>
  </r>
  <r>
    <x v="13"/>
    <x v="35"/>
    <s v="Gas Cost913"/>
    <n v="0"/>
  </r>
  <r>
    <x v="13"/>
    <x v="36"/>
    <s v="Gas Cost920"/>
    <n v="0"/>
  </r>
  <r>
    <x v="13"/>
    <x v="37"/>
    <s v="Gas Cost921"/>
    <n v="0"/>
  </r>
  <r>
    <x v="13"/>
    <x v="38"/>
    <s v="Gas Cost923"/>
    <n v="0"/>
  </r>
  <r>
    <x v="13"/>
    <x v="39"/>
    <s v="Gas Cost924"/>
    <n v="0"/>
  </r>
  <r>
    <x v="13"/>
    <x v="40"/>
    <s v="Gas Cost925"/>
    <n v="0"/>
  </r>
  <r>
    <x v="13"/>
    <x v="41"/>
    <s v="Gas Cost926"/>
    <n v="0"/>
  </r>
  <r>
    <x v="13"/>
    <x v="42"/>
    <s v="Gas Cost928"/>
    <n v="0"/>
  </r>
  <r>
    <x v="13"/>
    <x v="49"/>
    <s v="Gas Cost930"/>
    <n v="0"/>
  </r>
  <r>
    <x v="13"/>
    <x v="45"/>
    <s v="Gas Cost931"/>
    <n v="0"/>
  </r>
  <r>
    <x v="13"/>
    <x v="46"/>
    <s v="Gas Cost932"/>
    <n v="0"/>
  </r>
  <r>
    <x v="13"/>
    <x v="47"/>
    <s v="Gas Cost935"/>
    <n v="0"/>
  </r>
  <r>
    <x v="13"/>
    <x v="48"/>
    <m/>
    <n v="-12860942.590000002"/>
  </r>
  <r>
    <x v="14"/>
    <x v="0"/>
    <s v="Incentive Compensation801"/>
    <n v="0"/>
  </r>
  <r>
    <x v="14"/>
    <x v="1"/>
    <s v="Incentive Compensation803"/>
    <n v="0"/>
  </r>
  <r>
    <x v="14"/>
    <x v="2"/>
    <s v="Incentive Compensation804"/>
    <n v="0"/>
  </r>
  <r>
    <x v="14"/>
    <x v="3"/>
    <s v="Incentive Compensation805"/>
    <n v="0"/>
  </r>
  <r>
    <x v="14"/>
    <x v="4"/>
    <s v="Incentive Compensation806"/>
    <n v="0"/>
  </r>
  <r>
    <x v="14"/>
    <x v="5"/>
    <s v="Incentive Compensation807"/>
    <n v="0"/>
  </r>
  <r>
    <x v="14"/>
    <x v="6"/>
    <s v="Incentive Compensation808"/>
    <n v="0"/>
  </r>
  <r>
    <x v="14"/>
    <x v="7"/>
    <s v="Incentive Compensation812"/>
    <n v="0"/>
  </r>
  <r>
    <x v="14"/>
    <x v="8"/>
    <s v="Incentive Compensation870"/>
    <n v="0"/>
  </r>
  <r>
    <x v="14"/>
    <x v="9"/>
    <s v="Incentive Compensation871"/>
    <n v="0"/>
  </r>
  <r>
    <x v="14"/>
    <x v="10"/>
    <s v="Incentive Compensation874"/>
    <n v="0"/>
  </r>
  <r>
    <x v="14"/>
    <x v="11"/>
    <s v="Incentive Compensation875"/>
    <n v="0"/>
  </r>
  <r>
    <x v="14"/>
    <x v="12"/>
    <s v="Incentive Compensation876"/>
    <n v="0"/>
  </r>
  <r>
    <x v="14"/>
    <x v="13"/>
    <s v="Incentive Compensation878"/>
    <n v="0"/>
  </r>
  <r>
    <x v="14"/>
    <x v="14"/>
    <s v="Incentive Compensation879"/>
    <n v="0"/>
  </r>
  <r>
    <x v="14"/>
    <x v="15"/>
    <s v="Incentive Compensation880"/>
    <n v="0"/>
  </r>
  <r>
    <x v="14"/>
    <x v="16"/>
    <s v="Incentive Compensation881"/>
    <n v="0"/>
  </r>
  <r>
    <x v="14"/>
    <x v="17"/>
    <s v="Incentive Compensation885"/>
    <n v="0"/>
  </r>
  <r>
    <x v="14"/>
    <x v="18"/>
    <s v="Incentive Compensation886"/>
    <n v="0"/>
  </r>
  <r>
    <x v="14"/>
    <x v="19"/>
    <s v="Incentive Compensation887"/>
    <n v="0"/>
  </r>
  <r>
    <x v="14"/>
    <x v="20"/>
    <s v="Incentive Compensation889"/>
    <n v="0"/>
  </r>
  <r>
    <x v="14"/>
    <x v="21"/>
    <s v="Incentive Compensation890"/>
    <n v="0"/>
  </r>
  <r>
    <x v="14"/>
    <x v="22"/>
    <s v="Incentive Compensation892"/>
    <n v="0"/>
  </r>
  <r>
    <x v="14"/>
    <x v="23"/>
    <s v="Incentive Compensation893"/>
    <n v="0"/>
  </r>
  <r>
    <x v="14"/>
    <x v="24"/>
    <s v="Incentive Compensation894"/>
    <n v="0"/>
  </r>
  <r>
    <x v="14"/>
    <x v="25"/>
    <s v="Incentive Compensation902"/>
    <n v="0"/>
  </r>
  <r>
    <x v="14"/>
    <x v="26"/>
    <s v="Incentive Compensation903"/>
    <n v="0"/>
  </r>
  <r>
    <x v="14"/>
    <x v="27"/>
    <s v="Incentive Compensation904"/>
    <n v="0"/>
  </r>
  <r>
    <x v="14"/>
    <x v="28"/>
    <s v="Incentive Compensation905"/>
    <n v="0"/>
  </r>
  <r>
    <x v="14"/>
    <x v="29"/>
    <s v="Incentive Compensation907"/>
    <n v="0"/>
  </r>
  <r>
    <x v="14"/>
    <x v="30"/>
    <s v="Incentive Compensation908"/>
    <n v="0"/>
  </r>
  <r>
    <x v="14"/>
    <x v="31"/>
    <s v="Incentive Compensation909"/>
    <n v="0"/>
  </r>
  <r>
    <x v="14"/>
    <x v="32"/>
    <s v="Incentive Compensation910"/>
    <n v="0"/>
  </r>
  <r>
    <x v="14"/>
    <x v="33"/>
    <s v="Incentive Compensation911"/>
    <n v="0"/>
  </r>
  <r>
    <x v="14"/>
    <x v="34"/>
    <s v="Incentive Compensation912"/>
    <n v="0"/>
  </r>
  <r>
    <x v="14"/>
    <x v="35"/>
    <s v="Incentive Compensation913"/>
    <n v="0"/>
  </r>
  <r>
    <x v="14"/>
    <x v="36"/>
    <s v="Incentive Compensation920"/>
    <n v="-439985.63"/>
  </r>
  <r>
    <x v="14"/>
    <x v="37"/>
    <s v="Incentive Compensation921"/>
    <n v="0"/>
  </r>
  <r>
    <x v="14"/>
    <x v="38"/>
    <s v="Incentive Compensation923"/>
    <n v="0"/>
  </r>
  <r>
    <x v="14"/>
    <x v="39"/>
    <s v="Incentive Compensation924"/>
    <n v="0"/>
  </r>
  <r>
    <x v="14"/>
    <x v="40"/>
    <s v="Incentive Compensation925"/>
    <n v="0"/>
  </r>
  <r>
    <x v="14"/>
    <x v="41"/>
    <s v="Incentive Compensation926"/>
    <n v="0"/>
  </r>
  <r>
    <x v="14"/>
    <x v="42"/>
    <s v="Incentive Compensation928"/>
    <n v="0"/>
  </r>
  <r>
    <x v="14"/>
    <x v="49"/>
    <s v="Incentive Compensation930"/>
    <n v="0"/>
  </r>
  <r>
    <x v="14"/>
    <x v="45"/>
    <s v="Incentive Compensation931"/>
    <n v="0"/>
  </r>
  <r>
    <x v="14"/>
    <x v="46"/>
    <s v="Incentive Compensation932"/>
    <n v="0"/>
  </r>
  <r>
    <x v="14"/>
    <x v="47"/>
    <s v="Incentive Compensation935"/>
    <n v="0"/>
  </r>
  <r>
    <x v="14"/>
    <x v="48"/>
    <m/>
    <n v="-439985.63"/>
  </r>
  <r>
    <x v="15"/>
    <x v="0"/>
    <s v="Injuries &amp; Damages801"/>
    <n v="0"/>
  </r>
  <r>
    <x v="15"/>
    <x v="1"/>
    <s v="Injuries &amp; Damages803"/>
    <n v="0"/>
  </r>
  <r>
    <x v="15"/>
    <x v="2"/>
    <s v="Injuries &amp; Damages804"/>
    <n v="0"/>
  </r>
  <r>
    <x v="15"/>
    <x v="3"/>
    <s v="Injuries &amp; Damages805"/>
    <n v="0"/>
  </r>
  <r>
    <x v="15"/>
    <x v="4"/>
    <s v="Injuries &amp; Damages806"/>
    <n v="0"/>
  </r>
  <r>
    <x v="15"/>
    <x v="5"/>
    <s v="Injuries &amp; Damages807"/>
    <n v="0"/>
  </r>
  <r>
    <x v="15"/>
    <x v="6"/>
    <s v="Injuries &amp; Damages808"/>
    <n v="0"/>
  </r>
  <r>
    <x v="15"/>
    <x v="7"/>
    <s v="Injuries &amp; Damages812"/>
    <n v="0"/>
  </r>
  <r>
    <x v="15"/>
    <x v="8"/>
    <s v="Injuries &amp; Damages870"/>
    <n v="0"/>
  </r>
  <r>
    <x v="15"/>
    <x v="9"/>
    <s v="Injuries &amp; Damages871"/>
    <n v="0"/>
  </r>
  <r>
    <x v="15"/>
    <x v="10"/>
    <s v="Injuries &amp; Damages874"/>
    <n v="0"/>
  </r>
  <r>
    <x v="15"/>
    <x v="11"/>
    <s v="Injuries &amp; Damages875"/>
    <n v="0"/>
  </r>
  <r>
    <x v="15"/>
    <x v="12"/>
    <s v="Injuries &amp; Damages876"/>
    <n v="0"/>
  </r>
  <r>
    <x v="15"/>
    <x v="13"/>
    <s v="Injuries &amp; Damages878"/>
    <n v="0"/>
  </r>
  <r>
    <x v="15"/>
    <x v="14"/>
    <s v="Injuries &amp; Damages879"/>
    <n v="0"/>
  </r>
  <r>
    <x v="15"/>
    <x v="15"/>
    <s v="Injuries &amp; Damages880"/>
    <n v="0"/>
  </r>
  <r>
    <x v="15"/>
    <x v="16"/>
    <s v="Injuries &amp; Damages881"/>
    <n v="0"/>
  </r>
  <r>
    <x v="15"/>
    <x v="17"/>
    <s v="Injuries &amp; Damages885"/>
    <n v="0"/>
  </r>
  <r>
    <x v="15"/>
    <x v="18"/>
    <s v="Injuries &amp; Damages886"/>
    <n v="0"/>
  </r>
  <r>
    <x v="15"/>
    <x v="19"/>
    <s v="Injuries &amp; Damages887"/>
    <n v="0"/>
  </r>
  <r>
    <x v="15"/>
    <x v="20"/>
    <s v="Injuries &amp; Damages889"/>
    <n v="0"/>
  </r>
  <r>
    <x v="15"/>
    <x v="21"/>
    <s v="Injuries &amp; Damages890"/>
    <n v="0"/>
  </r>
  <r>
    <x v="15"/>
    <x v="22"/>
    <s v="Injuries &amp; Damages892"/>
    <n v="0"/>
  </r>
  <r>
    <x v="15"/>
    <x v="23"/>
    <s v="Injuries &amp; Damages893"/>
    <n v="0"/>
  </r>
  <r>
    <x v="15"/>
    <x v="24"/>
    <s v="Injuries &amp; Damages894"/>
    <n v="0"/>
  </r>
  <r>
    <x v="15"/>
    <x v="25"/>
    <s v="Injuries &amp; Damages902"/>
    <n v="0"/>
  </r>
  <r>
    <x v="15"/>
    <x v="26"/>
    <s v="Injuries &amp; Damages903"/>
    <n v="0"/>
  </r>
  <r>
    <x v="15"/>
    <x v="27"/>
    <s v="Injuries &amp; Damages904"/>
    <n v="0"/>
  </r>
  <r>
    <x v="15"/>
    <x v="28"/>
    <s v="Injuries &amp; Damages905"/>
    <n v="0"/>
  </r>
  <r>
    <x v="15"/>
    <x v="29"/>
    <s v="Injuries &amp; Damages907"/>
    <n v="0"/>
  </r>
  <r>
    <x v="15"/>
    <x v="30"/>
    <s v="Injuries &amp; Damages908"/>
    <n v="0"/>
  </r>
  <r>
    <x v="15"/>
    <x v="31"/>
    <s v="Injuries &amp; Damages909"/>
    <n v="0"/>
  </r>
  <r>
    <x v="15"/>
    <x v="32"/>
    <s v="Injuries &amp; Damages910"/>
    <n v="0"/>
  </r>
  <r>
    <x v="15"/>
    <x v="33"/>
    <s v="Injuries &amp; Damages911"/>
    <n v="0"/>
  </r>
  <r>
    <x v="15"/>
    <x v="34"/>
    <s v="Injuries &amp; Damages912"/>
    <n v="0"/>
  </r>
  <r>
    <x v="15"/>
    <x v="35"/>
    <s v="Injuries &amp; Damages913"/>
    <n v="0"/>
  </r>
  <r>
    <x v="15"/>
    <x v="36"/>
    <s v="Injuries &amp; Damages920"/>
    <n v="0"/>
  </r>
  <r>
    <x v="15"/>
    <x v="37"/>
    <s v="Injuries &amp; Damages921"/>
    <n v="0"/>
  </r>
  <r>
    <x v="15"/>
    <x v="38"/>
    <s v="Injuries &amp; Damages923"/>
    <n v="0"/>
  </r>
  <r>
    <x v="15"/>
    <x v="39"/>
    <s v="Injuries &amp; Damages924"/>
    <n v="0"/>
  </r>
  <r>
    <x v="15"/>
    <x v="40"/>
    <s v="Injuries &amp; Damages925"/>
    <n v="-52276.849999999919"/>
  </r>
  <r>
    <x v="15"/>
    <x v="41"/>
    <s v="Injuries &amp; Damages926"/>
    <n v="0"/>
  </r>
  <r>
    <x v="15"/>
    <x v="42"/>
    <s v="Injuries &amp; Damages928"/>
    <n v="0"/>
  </r>
  <r>
    <x v="15"/>
    <x v="49"/>
    <s v="Injuries &amp; Damages930"/>
    <n v="0"/>
  </r>
  <r>
    <x v="15"/>
    <x v="45"/>
    <s v="Injuries &amp; Damages931"/>
    <n v="0"/>
  </r>
  <r>
    <x v="15"/>
    <x v="46"/>
    <s v="Injuries &amp; Damages932"/>
    <n v="0"/>
  </r>
  <r>
    <x v="15"/>
    <x v="47"/>
    <s v="Injuries &amp; Damages935"/>
    <n v="0"/>
  </r>
  <r>
    <x v="15"/>
    <x v="48"/>
    <m/>
    <n v="-52276.849999999919"/>
  </r>
  <r>
    <x v="16"/>
    <x v="0"/>
    <s v="Labor801"/>
    <n v="0"/>
  </r>
  <r>
    <x v="16"/>
    <x v="1"/>
    <s v="Labor803"/>
    <n v="0"/>
  </r>
  <r>
    <x v="16"/>
    <x v="2"/>
    <s v="Labor804"/>
    <n v="0"/>
  </r>
  <r>
    <x v="16"/>
    <x v="3"/>
    <s v="Labor805"/>
    <n v="0"/>
  </r>
  <r>
    <x v="16"/>
    <x v="4"/>
    <s v="Labor806"/>
    <n v="0"/>
  </r>
  <r>
    <x v="16"/>
    <x v="5"/>
    <s v="Labor807"/>
    <n v="0"/>
  </r>
  <r>
    <x v="16"/>
    <x v="6"/>
    <s v="Labor808"/>
    <n v="0"/>
  </r>
  <r>
    <x v="16"/>
    <x v="7"/>
    <s v="Labor812"/>
    <n v="0"/>
  </r>
  <r>
    <x v="16"/>
    <x v="8"/>
    <s v="Labor870"/>
    <n v="-15647.859999999986"/>
  </r>
  <r>
    <x v="16"/>
    <x v="9"/>
    <s v="Labor871"/>
    <n v="4412.8399999999674"/>
  </r>
  <r>
    <x v="16"/>
    <x v="10"/>
    <s v="Labor874"/>
    <n v="27485.900000000373"/>
  </r>
  <r>
    <x v="16"/>
    <x v="11"/>
    <s v="Labor875"/>
    <n v="-14351.699999999983"/>
  </r>
  <r>
    <x v="16"/>
    <x v="12"/>
    <s v="Labor876"/>
    <n v="5919.7400000000052"/>
  </r>
  <r>
    <x v="16"/>
    <x v="13"/>
    <s v="Labor878"/>
    <n v="-36212.85999999987"/>
  </r>
  <r>
    <x v="16"/>
    <x v="14"/>
    <s v="Labor879"/>
    <n v="-11161.870000000577"/>
  </r>
  <r>
    <x v="16"/>
    <x v="15"/>
    <s v="Labor880"/>
    <n v="-24002.030000000028"/>
  </r>
  <r>
    <x v="16"/>
    <x v="16"/>
    <s v="Labor881"/>
    <n v="0"/>
  </r>
  <r>
    <x v="16"/>
    <x v="17"/>
    <s v="Labor885"/>
    <n v="-2072.7600000000093"/>
  </r>
  <r>
    <x v="16"/>
    <x v="18"/>
    <s v="Labor886"/>
    <n v="1005.1899999999996"/>
  </r>
  <r>
    <x v="16"/>
    <x v="19"/>
    <s v="Labor887"/>
    <n v="-21524.100000000093"/>
  </r>
  <r>
    <x v="16"/>
    <x v="20"/>
    <s v="Labor889"/>
    <n v="104112.77999999997"/>
  </r>
  <r>
    <x v="16"/>
    <x v="21"/>
    <s v="Labor890"/>
    <n v="3323.5900000000038"/>
  </r>
  <r>
    <x v="16"/>
    <x v="22"/>
    <s v="Labor892"/>
    <n v="37011.590000000026"/>
  </r>
  <r>
    <x v="16"/>
    <x v="23"/>
    <s v="Labor893"/>
    <n v="27203.100000000006"/>
  </r>
  <r>
    <x v="16"/>
    <x v="24"/>
    <s v="Labor894"/>
    <n v="-6911.8899999999849"/>
  </r>
  <r>
    <x v="16"/>
    <x v="25"/>
    <s v="Labor902"/>
    <n v="-5300.3799999999901"/>
  </r>
  <r>
    <x v="16"/>
    <x v="26"/>
    <s v="Labor903"/>
    <n v="-15657.890000000014"/>
  </r>
  <r>
    <x v="16"/>
    <x v="27"/>
    <s v="Labor904"/>
    <n v="0"/>
  </r>
  <r>
    <x v="16"/>
    <x v="28"/>
    <s v="Labor905"/>
    <n v="0"/>
  </r>
  <r>
    <x v="16"/>
    <x v="29"/>
    <s v="Labor907"/>
    <n v="0"/>
  </r>
  <r>
    <x v="16"/>
    <x v="30"/>
    <s v="Labor908"/>
    <n v="0"/>
  </r>
  <r>
    <x v="16"/>
    <x v="31"/>
    <s v="Labor909"/>
    <n v="0"/>
  </r>
  <r>
    <x v="16"/>
    <x v="32"/>
    <s v="Labor910"/>
    <n v="0"/>
  </r>
  <r>
    <x v="16"/>
    <x v="33"/>
    <s v="Labor911"/>
    <n v="0"/>
  </r>
  <r>
    <x v="16"/>
    <x v="34"/>
    <s v="Labor912"/>
    <n v="0"/>
  </r>
  <r>
    <x v="16"/>
    <x v="35"/>
    <s v="Labor913"/>
    <n v="0"/>
  </r>
  <r>
    <x v="16"/>
    <x v="36"/>
    <s v="Labor920"/>
    <n v="-8174.4500000001863"/>
  </r>
  <r>
    <x v="16"/>
    <x v="37"/>
    <s v="Labor921"/>
    <n v="0"/>
  </r>
  <r>
    <x v="16"/>
    <x v="38"/>
    <s v="Labor923"/>
    <n v="0"/>
  </r>
  <r>
    <x v="16"/>
    <x v="39"/>
    <s v="Labor924"/>
    <n v="0"/>
  </r>
  <r>
    <x v="16"/>
    <x v="40"/>
    <s v="Labor925"/>
    <n v="0"/>
  </r>
  <r>
    <x v="16"/>
    <x v="41"/>
    <s v="Labor926"/>
    <n v="0"/>
  </r>
  <r>
    <x v="16"/>
    <x v="42"/>
    <s v="Labor928"/>
    <n v="0"/>
  </r>
  <r>
    <x v="16"/>
    <x v="49"/>
    <s v="Labor930"/>
    <n v="0"/>
  </r>
  <r>
    <x v="16"/>
    <x v="45"/>
    <s v="Labor931"/>
    <n v="0"/>
  </r>
  <r>
    <x v="16"/>
    <x v="46"/>
    <s v="Labor932"/>
    <n v="0"/>
  </r>
  <r>
    <x v="16"/>
    <x v="47"/>
    <s v="Labor935"/>
    <n v="0"/>
  </r>
  <r>
    <x v="16"/>
    <x v="48"/>
    <m/>
    <n v="49456.939999999639"/>
  </r>
  <r>
    <x v="17"/>
    <x v="0"/>
    <s v="Legal Fees801"/>
    <n v="0"/>
  </r>
  <r>
    <x v="17"/>
    <x v="1"/>
    <s v="Legal Fees803"/>
    <n v="0"/>
  </r>
  <r>
    <x v="17"/>
    <x v="2"/>
    <s v="Legal Fees804"/>
    <n v="0"/>
  </r>
  <r>
    <x v="17"/>
    <x v="3"/>
    <s v="Legal Fees805"/>
    <n v="0"/>
  </r>
  <r>
    <x v="17"/>
    <x v="4"/>
    <s v="Legal Fees806"/>
    <n v="0"/>
  </r>
  <r>
    <x v="17"/>
    <x v="5"/>
    <s v="Legal Fees807"/>
    <n v="0"/>
  </r>
  <r>
    <x v="17"/>
    <x v="6"/>
    <s v="Legal Fees808"/>
    <n v="0"/>
  </r>
  <r>
    <x v="17"/>
    <x v="7"/>
    <s v="Legal Fees812"/>
    <n v="0"/>
  </r>
  <r>
    <x v="17"/>
    <x v="8"/>
    <s v="Legal Fees870"/>
    <n v="0"/>
  </r>
  <r>
    <x v="17"/>
    <x v="9"/>
    <s v="Legal Fees871"/>
    <n v="0"/>
  </r>
  <r>
    <x v="17"/>
    <x v="10"/>
    <s v="Legal Fees874"/>
    <n v="0"/>
  </r>
  <r>
    <x v="17"/>
    <x v="11"/>
    <s v="Legal Fees875"/>
    <n v="0"/>
  </r>
  <r>
    <x v="17"/>
    <x v="12"/>
    <s v="Legal Fees876"/>
    <n v="0"/>
  </r>
  <r>
    <x v="17"/>
    <x v="13"/>
    <s v="Legal Fees878"/>
    <n v="0"/>
  </r>
  <r>
    <x v="17"/>
    <x v="14"/>
    <s v="Legal Fees879"/>
    <n v="0"/>
  </r>
  <r>
    <x v="17"/>
    <x v="15"/>
    <s v="Legal Fees880"/>
    <n v="0"/>
  </r>
  <r>
    <x v="17"/>
    <x v="16"/>
    <s v="Legal Fees881"/>
    <n v="0"/>
  </r>
  <r>
    <x v="17"/>
    <x v="17"/>
    <s v="Legal Fees885"/>
    <n v="0"/>
  </r>
  <r>
    <x v="17"/>
    <x v="18"/>
    <s v="Legal Fees886"/>
    <n v="0"/>
  </r>
  <r>
    <x v="17"/>
    <x v="19"/>
    <s v="Legal Fees887"/>
    <n v="0"/>
  </r>
  <r>
    <x v="17"/>
    <x v="20"/>
    <s v="Legal Fees889"/>
    <n v="0"/>
  </r>
  <r>
    <x v="17"/>
    <x v="21"/>
    <s v="Legal Fees890"/>
    <n v="0"/>
  </r>
  <r>
    <x v="17"/>
    <x v="22"/>
    <s v="Legal Fees892"/>
    <n v="0"/>
  </r>
  <r>
    <x v="17"/>
    <x v="23"/>
    <s v="Legal Fees893"/>
    <n v="0"/>
  </r>
  <r>
    <x v="17"/>
    <x v="24"/>
    <s v="Legal Fees894"/>
    <n v="0"/>
  </r>
  <r>
    <x v="17"/>
    <x v="25"/>
    <s v="Legal Fees902"/>
    <n v="0"/>
  </r>
  <r>
    <x v="17"/>
    <x v="26"/>
    <s v="Legal Fees903"/>
    <n v="0"/>
  </r>
  <r>
    <x v="17"/>
    <x v="27"/>
    <s v="Legal Fees904"/>
    <n v="0"/>
  </r>
  <r>
    <x v="17"/>
    <x v="28"/>
    <s v="Legal Fees905"/>
    <n v="0"/>
  </r>
  <r>
    <x v="17"/>
    <x v="29"/>
    <s v="Legal Fees907"/>
    <n v="0"/>
  </r>
  <r>
    <x v="17"/>
    <x v="30"/>
    <s v="Legal Fees908"/>
    <n v="0"/>
  </r>
  <r>
    <x v="17"/>
    <x v="31"/>
    <s v="Legal Fees909"/>
    <n v="0"/>
  </r>
  <r>
    <x v="17"/>
    <x v="32"/>
    <s v="Legal Fees910"/>
    <n v="0"/>
  </r>
  <r>
    <x v="17"/>
    <x v="33"/>
    <s v="Legal Fees911"/>
    <n v="0"/>
  </r>
  <r>
    <x v="17"/>
    <x v="34"/>
    <s v="Legal Fees912"/>
    <n v="0"/>
  </r>
  <r>
    <x v="17"/>
    <x v="35"/>
    <s v="Legal Fees913"/>
    <n v="0"/>
  </r>
  <r>
    <x v="17"/>
    <x v="36"/>
    <s v="Legal Fees920"/>
    <n v="0"/>
  </r>
  <r>
    <x v="17"/>
    <x v="37"/>
    <s v="Legal Fees921"/>
    <n v="0"/>
  </r>
  <r>
    <x v="17"/>
    <x v="38"/>
    <s v="Legal Fees923"/>
    <n v="-900"/>
  </r>
  <r>
    <x v="17"/>
    <x v="39"/>
    <s v="Legal Fees924"/>
    <n v="0"/>
  </r>
  <r>
    <x v="17"/>
    <x v="40"/>
    <s v="Legal Fees925"/>
    <n v="0"/>
  </r>
  <r>
    <x v="17"/>
    <x v="41"/>
    <s v="Legal Fees926"/>
    <n v="0"/>
  </r>
  <r>
    <x v="17"/>
    <x v="42"/>
    <s v="Legal Fees928"/>
    <n v="0"/>
  </r>
  <r>
    <x v="17"/>
    <x v="49"/>
    <s v="Legal Fees930"/>
    <n v="0"/>
  </r>
  <r>
    <x v="17"/>
    <x v="45"/>
    <s v="Legal Fees931"/>
    <n v="0"/>
  </r>
  <r>
    <x v="17"/>
    <x v="46"/>
    <s v="Legal Fees932"/>
    <n v="0"/>
  </r>
  <r>
    <x v="17"/>
    <x v="47"/>
    <s v="Legal Fees935"/>
    <n v="0"/>
  </r>
  <r>
    <x v="17"/>
    <x v="48"/>
    <m/>
    <n v="-900"/>
  </r>
  <r>
    <x v="18"/>
    <x v="54"/>
    <s v="Materials &amp; Supplies557"/>
    <n v="0"/>
  </r>
  <r>
    <x v="18"/>
    <x v="0"/>
    <s v="Materials &amp; Supplies801"/>
    <n v="0"/>
  </r>
  <r>
    <x v="18"/>
    <x v="1"/>
    <s v="Materials &amp; Supplies803"/>
    <n v="0"/>
  </r>
  <r>
    <x v="18"/>
    <x v="2"/>
    <s v="Materials &amp; Supplies804"/>
    <n v="0"/>
  </r>
  <r>
    <x v="18"/>
    <x v="3"/>
    <s v="Materials &amp; Supplies805"/>
    <n v="0"/>
  </r>
  <r>
    <x v="18"/>
    <x v="4"/>
    <s v="Materials &amp; Supplies806"/>
    <n v="0"/>
  </r>
  <r>
    <x v="18"/>
    <x v="5"/>
    <s v="Materials &amp; Supplies807"/>
    <n v="0"/>
  </r>
  <r>
    <x v="18"/>
    <x v="6"/>
    <s v="Materials &amp; Supplies808"/>
    <n v="0"/>
  </r>
  <r>
    <x v="18"/>
    <x v="7"/>
    <s v="Materials &amp; Supplies812"/>
    <n v="0"/>
  </r>
  <r>
    <x v="18"/>
    <x v="55"/>
    <s v="Materials &amp; Supplies852"/>
    <n v="-564.34999999999991"/>
  </r>
  <r>
    <x v="18"/>
    <x v="8"/>
    <s v="Materials &amp; Supplies870"/>
    <n v="16.590000000000373"/>
  </r>
  <r>
    <x v="18"/>
    <x v="9"/>
    <s v="Materials &amp; Supplies871"/>
    <n v="0"/>
  </r>
  <r>
    <x v="18"/>
    <x v="10"/>
    <s v="Materials &amp; Supplies874"/>
    <n v="14273.510000000038"/>
  </r>
  <r>
    <x v="18"/>
    <x v="11"/>
    <s v="Materials &amp; Supplies875"/>
    <n v="-223.42999999999984"/>
  </r>
  <r>
    <x v="18"/>
    <x v="12"/>
    <s v="Materials &amp; Supplies876"/>
    <n v="-481.99000000000012"/>
  </r>
  <r>
    <x v="18"/>
    <x v="13"/>
    <s v="Materials &amp; Supplies878"/>
    <n v="1253.7400000000007"/>
  </r>
  <r>
    <x v="18"/>
    <x v="14"/>
    <s v="Materials &amp; Supplies879"/>
    <n v="-1451.1300000000047"/>
  </r>
  <r>
    <x v="18"/>
    <x v="15"/>
    <s v="Materials &amp; Supplies880"/>
    <n v="-8568.8499999999767"/>
  </r>
  <r>
    <x v="18"/>
    <x v="16"/>
    <s v="Materials &amp; Supplies881"/>
    <n v="0"/>
  </r>
  <r>
    <x v="18"/>
    <x v="17"/>
    <s v="Materials &amp; Supplies885"/>
    <n v="-2.5999999999999091"/>
  </r>
  <r>
    <x v="18"/>
    <x v="18"/>
    <s v="Materials &amp; Supplies886"/>
    <n v="526.33999999999969"/>
  </r>
  <r>
    <x v="18"/>
    <x v="19"/>
    <s v="Materials &amp; Supplies887"/>
    <n v="8579.89"/>
  </r>
  <r>
    <x v="18"/>
    <x v="20"/>
    <s v="Materials &amp; Supplies889"/>
    <n v="-3820.3800000000192"/>
  </r>
  <r>
    <x v="18"/>
    <x v="21"/>
    <s v="Materials &amp; Supplies890"/>
    <n v="271.46999999999997"/>
  </r>
  <r>
    <x v="18"/>
    <x v="22"/>
    <s v="Materials &amp; Supplies892"/>
    <n v="629.95999999999913"/>
  </r>
  <r>
    <x v="18"/>
    <x v="23"/>
    <s v="Materials &amp; Supplies893"/>
    <n v="34179.4"/>
  </r>
  <r>
    <x v="18"/>
    <x v="24"/>
    <s v="Materials &amp; Supplies894"/>
    <n v="2158.0899999999965"/>
  </r>
  <r>
    <x v="18"/>
    <x v="25"/>
    <s v="Materials &amp; Supplies902"/>
    <n v="0"/>
  </r>
  <r>
    <x v="18"/>
    <x v="26"/>
    <s v="Materials &amp; Supplies903"/>
    <n v="-55348.979999999923"/>
  </r>
  <r>
    <x v="18"/>
    <x v="27"/>
    <s v="Materials &amp; Supplies904"/>
    <n v="0"/>
  </r>
  <r>
    <x v="18"/>
    <x v="28"/>
    <s v="Materials &amp; Supplies905"/>
    <n v="0"/>
  </r>
  <r>
    <x v="18"/>
    <x v="29"/>
    <s v="Materials &amp; Supplies907"/>
    <n v="0"/>
  </r>
  <r>
    <x v="18"/>
    <x v="30"/>
    <s v="Materials &amp; Supplies908"/>
    <n v="0"/>
  </r>
  <r>
    <x v="18"/>
    <x v="31"/>
    <s v="Materials &amp; Supplies909"/>
    <n v="-51.270000000000024"/>
  </r>
  <r>
    <x v="18"/>
    <x v="32"/>
    <s v="Materials &amp; Supplies910"/>
    <n v="0"/>
  </r>
  <r>
    <x v="18"/>
    <x v="33"/>
    <s v="Materials &amp; Supplies911"/>
    <n v="0"/>
  </r>
  <r>
    <x v="18"/>
    <x v="34"/>
    <s v="Materials &amp; Supplies912"/>
    <n v="0"/>
  </r>
  <r>
    <x v="18"/>
    <x v="35"/>
    <s v="Materials &amp; Supplies913"/>
    <n v="0"/>
  </r>
  <r>
    <x v="18"/>
    <x v="36"/>
    <s v="Materials &amp; Supplies920"/>
    <n v="27.019999999999996"/>
  </r>
  <r>
    <x v="18"/>
    <x v="37"/>
    <s v="Materials &amp; Supplies921"/>
    <n v="-18407.010000000009"/>
  </r>
  <r>
    <x v="18"/>
    <x v="38"/>
    <s v="Materials &amp; Supplies923"/>
    <n v="-7893.2399999999907"/>
  </r>
  <r>
    <x v="18"/>
    <x v="39"/>
    <s v="Materials &amp; Supplies924"/>
    <n v="0"/>
  </r>
  <r>
    <x v="18"/>
    <x v="40"/>
    <s v="Materials &amp; Supplies925"/>
    <n v="0"/>
  </r>
  <r>
    <x v="18"/>
    <x v="41"/>
    <s v="Materials &amp; Supplies926"/>
    <n v="0"/>
  </r>
  <r>
    <x v="18"/>
    <x v="42"/>
    <s v="Materials &amp; Supplies928"/>
    <n v="0"/>
  </r>
  <r>
    <x v="18"/>
    <x v="43"/>
    <s v="Materials &amp; Supplies9301"/>
    <n v="0"/>
  </r>
  <r>
    <x v="18"/>
    <x v="44"/>
    <s v="Materials &amp; Supplies9302"/>
    <n v="1447.2299999999998"/>
  </r>
  <r>
    <x v="18"/>
    <x v="45"/>
    <s v="Materials &amp; Supplies931"/>
    <n v="0"/>
  </r>
  <r>
    <x v="18"/>
    <x v="46"/>
    <s v="Materials &amp; Supplies932"/>
    <n v="0"/>
  </r>
  <r>
    <x v="18"/>
    <x v="47"/>
    <s v="Materials &amp; Supplies935"/>
    <n v="0"/>
  </r>
  <r>
    <x v="18"/>
    <x v="48"/>
    <m/>
    <n v="-33449.989999999882"/>
  </r>
  <r>
    <x v="19"/>
    <x v="50"/>
    <s v="Miscellaneous &amp; Other500"/>
    <n v="0"/>
  </r>
  <r>
    <x v="19"/>
    <x v="54"/>
    <s v="Miscellaneous &amp; Other557"/>
    <n v="0"/>
  </r>
  <r>
    <x v="19"/>
    <x v="56"/>
    <s v="Miscellaneous &amp; Other594"/>
    <n v="0"/>
  </r>
  <r>
    <x v="19"/>
    <x v="0"/>
    <s v="Miscellaneous &amp; Other801"/>
    <n v="0"/>
  </r>
  <r>
    <x v="19"/>
    <x v="1"/>
    <s v="Miscellaneous &amp; Other803"/>
    <n v="0"/>
  </r>
  <r>
    <x v="19"/>
    <x v="2"/>
    <s v="Miscellaneous &amp; Other804"/>
    <n v="0"/>
  </r>
  <r>
    <x v="19"/>
    <x v="3"/>
    <s v="Miscellaneous &amp; Other805"/>
    <n v="0"/>
  </r>
  <r>
    <x v="19"/>
    <x v="4"/>
    <s v="Miscellaneous &amp; Other806"/>
    <n v="0"/>
  </r>
  <r>
    <x v="19"/>
    <x v="5"/>
    <s v="Miscellaneous &amp; Other807"/>
    <n v="0"/>
  </r>
  <r>
    <x v="19"/>
    <x v="6"/>
    <s v="Miscellaneous &amp; Other808"/>
    <n v="0"/>
  </r>
  <r>
    <x v="19"/>
    <x v="7"/>
    <s v="Miscellaneous &amp; Other812"/>
    <n v="0"/>
  </r>
  <r>
    <x v="19"/>
    <x v="57"/>
    <s v="Miscellaneous &amp; Other859"/>
    <n v="-196.76999999999953"/>
  </r>
  <r>
    <x v="19"/>
    <x v="8"/>
    <s v="Miscellaneous &amp; Other870"/>
    <n v="-4212.3599999999933"/>
  </r>
  <r>
    <x v="19"/>
    <x v="9"/>
    <s v="Miscellaneous &amp; Other871"/>
    <n v="0"/>
  </r>
  <r>
    <x v="19"/>
    <x v="10"/>
    <s v="Miscellaneous &amp; Other874"/>
    <n v="-3227.3700000000008"/>
  </r>
  <r>
    <x v="19"/>
    <x v="11"/>
    <s v="Miscellaneous &amp; Other875"/>
    <n v="-1.1699999999999964"/>
  </r>
  <r>
    <x v="19"/>
    <x v="12"/>
    <s v="Miscellaneous &amp; Other876"/>
    <n v="-0.58999999999999897"/>
  </r>
  <r>
    <x v="19"/>
    <x v="13"/>
    <s v="Miscellaneous &amp; Other878"/>
    <n v="35897.03"/>
  </r>
  <r>
    <x v="19"/>
    <x v="14"/>
    <s v="Miscellaneous &amp; Other879"/>
    <n v="-582.69999999999982"/>
  </r>
  <r>
    <x v="19"/>
    <x v="15"/>
    <s v="Miscellaneous &amp; Other880"/>
    <n v="-6285.7400000000034"/>
  </r>
  <r>
    <x v="19"/>
    <x v="16"/>
    <s v="Miscellaneous &amp; Other881"/>
    <n v="-3300.5"/>
  </r>
  <r>
    <x v="19"/>
    <x v="17"/>
    <s v="Miscellaneous &amp; Other885"/>
    <n v="-234.63000000000008"/>
  </r>
  <r>
    <x v="19"/>
    <x v="18"/>
    <s v="Miscellaneous &amp; Other886"/>
    <n v="0"/>
  </r>
  <r>
    <x v="19"/>
    <x v="19"/>
    <s v="Miscellaneous &amp; Other887"/>
    <n v="-1473.6699999999973"/>
  </r>
  <r>
    <x v="19"/>
    <x v="20"/>
    <s v="Miscellaneous &amp; Other889"/>
    <n v="-1.1699999999999964"/>
  </r>
  <r>
    <x v="19"/>
    <x v="21"/>
    <s v="Miscellaneous &amp; Other890"/>
    <n v="-0.58999999999999897"/>
  </r>
  <r>
    <x v="19"/>
    <x v="22"/>
    <s v="Miscellaneous &amp; Other892"/>
    <n v="-694.93999999999983"/>
  </r>
  <r>
    <x v="19"/>
    <x v="23"/>
    <s v="Miscellaneous &amp; Other893"/>
    <n v="-8.5299999999999869"/>
  </r>
  <r>
    <x v="19"/>
    <x v="24"/>
    <s v="Miscellaneous &amp; Other894"/>
    <n v="15.430000000000064"/>
  </r>
  <r>
    <x v="19"/>
    <x v="25"/>
    <s v="Miscellaneous &amp; Other902"/>
    <n v="0"/>
  </r>
  <r>
    <x v="19"/>
    <x v="26"/>
    <s v="Miscellaneous &amp; Other903"/>
    <n v="551.62000000000012"/>
  </r>
  <r>
    <x v="19"/>
    <x v="27"/>
    <s v="Miscellaneous &amp; Other904"/>
    <n v="0"/>
  </r>
  <r>
    <x v="19"/>
    <x v="28"/>
    <s v="Miscellaneous &amp; Other905"/>
    <n v="-350.83999999999969"/>
  </r>
  <r>
    <x v="19"/>
    <x v="29"/>
    <s v="Miscellaneous &amp; Other907"/>
    <n v="0"/>
  </r>
  <r>
    <x v="19"/>
    <x v="30"/>
    <s v="Miscellaneous &amp; Other908"/>
    <n v="0"/>
  </r>
  <r>
    <x v="19"/>
    <x v="31"/>
    <s v="Miscellaneous &amp; Other909"/>
    <n v="0"/>
  </r>
  <r>
    <x v="19"/>
    <x v="32"/>
    <s v="Miscellaneous &amp; Other910"/>
    <n v="0"/>
  </r>
  <r>
    <x v="19"/>
    <x v="33"/>
    <s v="Miscellaneous &amp; Other911"/>
    <n v="0"/>
  </r>
  <r>
    <x v="19"/>
    <x v="34"/>
    <s v="Miscellaneous &amp; Other912"/>
    <n v="0"/>
  </r>
  <r>
    <x v="19"/>
    <x v="35"/>
    <s v="Miscellaneous &amp; Other913"/>
    <n v="0"/>
  </r>
  <r>
    <x v="19"/>
    <x v="36"/>
    <s v="Miscellaneous &amp; Other920"/>
    <n v="-22456.869999999966"/>
  </r>
  <r>
    <x v="19"/>
    <x v="37"/>
    <s v="Miscellaneous &amp; Other921"/>
    <n v="-15753.380000000005"/>
  </r>
  <r>
    <x v="19"/>
    <x v="38"/>
    <s v="Miscellaneous &amp; Other923"/>
    <n v="-23185.69999999991"/>
  </r>
  <r>
    <x v="19"/>
    <x v="39"/>
    <s v="Miscellaneous &amp; Other924"/>
    <n v="0"/>
  </r>
  <r>
    <x v="19"/>
    <x v="40"/>
    <s v="Miscellaneous &amp; Other925"/>
    <n v="0"/>
  </r>
  <r>
    <x v="19"/>
    <x v="41"/>
    <s v="Miscellaneous &amp; Other926"/>
    <n v="-1323.9899999999998"/>
  </r>
  <r>
    <x v="19"/>
    <x v="42"/>
    <s v="Miscellaneous &amp; Other928"/>
    <n v="0"/>
  </r>
  <r>
    <x v="19"/>
    <x v="43"/>
    <s v="Miscellaneous &amp; Other9301"/>
    <n v="0"/>
  </r>
  <r>
    <x v="19"/>
    <x v="44"/>
    <s v="Miscellaneous &amp; Other9302"/>
    <n v="0"/>
  </r>
  <r>
    <x v="19"/>
    <x v="45"/>
    <s v="Miscellaneous &amp; Other931"/>
    <n v="0"/>
  </r>
  <r>
    <x v="19"/>
    <x v="46"/>
    <s v="Miscellaneous &amp; Other932"/>
    <n v="0"/>
  </r>
  <r>
    <x v="19"/>
    <x v="47"/>
    <s v="Miscellaneous &amp; Other935"/>
    <n v="0"/>
  </r>
  <r>
    <x v="19"/>
    <x v="48"/>
    <m/>
    <n v="-46827.429999999877"/>
  </r>
  <r>
    <x v="20"/>
    <x v="0"/>
    <s v="Miscellaneous Revenue Adjustment801"/>
    <n v="0"/>
  </r>
  <r>
    <x v="20"/>
    <x v="1"/>
    <s v="Miscellaneous Revenue Adjustment803"/>
    <n v="0"/>
  </r>
  <r>
    <x v="20"/>
    <x v="2"/>
    <s v="Miscellaneous Revenue Adjustment804"/>
    <n v="0"/>
  </r>
  <r>
    <x v="20"/>
    <x v="3"/>
    <s v="Miscellaneous Revenue Adjustment805"/>
    <n v="0"/>
  </r>
  <r>
    <x v="20"/>
    <x v="4"/>
    <s v="Miscellaneous Revenue Adjustment806"/>
    <n v="0"/>
  </r>
  <r>
    <x v="20"/>
    <x v="5"/>
    <s v="Miscellaneous Revenue Adjustment807"/>
    <n v="0"/>
  </r>
  <r>
    <x v="20"/>
    <x v="6"/>
    <s v="Miscellaneous Revenue Adjustment808"/>
    <n v="0"/>
  </r>
  <r>
    <x v="20"/>
    <x v="7"/>
    <s v="Miscellaneous Revenue Adjustment812"/>
    <n v="0"/>
  </r>
  <r>
    <x v="20"/>
    <x v="8"/>
    <s v="Miscellaneous Revenue Adjustment870"/>
    <n v="0"/>
  </r>
  <r>
    <x v="20"/>
    <x v="9"/>
    <s v="Miscellaneous Revenue Adjustment871"/>
    <n v="0"/>
  </r>
  <r>
    <x v="20"/>
    <x v="10"/>
    <s v="Miscellaneous Revenue Adjustment874"/>
    <n v="1647.81"/>
  </r>
  <r>
    <x v="20"/>
    <x v="11"/>
    <s v="Miscellaneous Revenue Adjustment875"/>
    <n v="0"/>
  </r>
  <r>
    <x v="20"/>
    <x v="12"/>
    <s v="Miscellaneous Revenue Adjustment876"/>
    <n v="0"/>
  </r>
  <r>
    <x v="20"/>
    <x v="13"/>
    <s v="Miscellaneous Revenue Adjustment878"/>
    <n v="13772.580000000009"/>
  </r>
  <r>
    <x v="20"/>
    <x v="14"/>
    <s v="Miscellaneous Revenue Adjustment879"/>
    <n v="0"/>
  </r>
  <r>
    <x v="20"/>
    <x v="15"/>
    <s v="Miscellaneous Revenue Adjustment880"/>
    <n v="0"/>
  </r>
  <r>
    <x v="20"/>
    <x v="16"/>
    <s v="Miscellaneous Revenue Adjustment881"/>
    <n v="0"/>
  </r>
  <r>
    <x v="20"/>
    <x v="17"/>
    <s v="Miscellaneous Revenue Adjustment885"/>
    <n v="0"/>
  </r>
  <r>
    <x v="20"/>
    <x v="18"/>
    <s v="Miscellaneous Revenue Adjustment886"/>
    <n v="0"/>
  </r>
  <r>
    <x v="20"/>
    <x v="19"/>
    <s v="Miscellaneous Revenue Adjustment887"/>
    <n v="-13146.63"/>
  </r>
  <r>
    <x v="20"/>
    <x v="20"/>
    <s v="Miscellaneous Revenue Adjustment889"/>
    <n v="0"/>
  </r>
  <r>
    <x v="20"/>
    <x v="21"/>
    <s v="Miscellaneous Revenue Adjustment890"/>
    <n v="0"/>
  </r>
  <r>
    <x v="20"/>
    <x v="22"/>
    <s v="Miscellaneous Revenue Adjustment892"/>
    <n v="2671.4199999999983"/>
  </r>
  <r>
    <x v="20"/>
    <x v="23"/>
    <s v="Miscellaneous Revenue Adjustment893"/>
    <n v="0"/>
  </r>
  <r>
    <x v="20"/>
    <x v="24"/>
    <s v="Miscellaneous Revenue Adjustment894"/>
    <n v="0"/>
  </r>
  <r>
    <x v="20"/>
    <x v="25"/>
    <s v="Miscellaneous Revenue Adjustment902"/>
    <n v="0"/>
  </r>
  <r>
    <x v="20"/>
    <x v="26"/>
    <s v="Miscellaneous Revenue Adjustment903"/>
    <n v="285.32000000000005"/>
  </r>
  <r>
    <x v="20"/>
    <x v="27"/>
    <s v="Miscellaneous Revenue Adjustment904"/>
    <n v="0"/>
  </r>
  <r>
    <x v="20"/>
    <x v="28"/>
    <s v="Miscellaneous Revenue Adjustment905"/>
    <n v="0"/>
  </r>
  <r>
    <x v="20"/>
    <x v="29"/>
    <s v="Miscellaneous Revenue Adjustment907"/>
    <n v="0"/>
  </r>
  <r>
    <x v="20"/>
    <x v="30"/>
    <s v="Miscellaneous Revenue Adjustment908"/>
    <n v="0"/>
  </r>
  <r>
    <x v="20"/>
    <x v="31"/>
    <s v="Miscellaneous Revenue Adjustment909"/>
    <n v="0"/>
  </r>
  <r>
    <x v="20"/>
    <x v="32"/>
    <s v="Miscellaneous Revenue Adjustment910"/>
    <n v="0"/>
  </r>
  <r>
    <x v="20"/>
    <x v="33"/>
    <s v="Miscellaneous Revenue Adjustment911"/>
    <n v="0"/>
  </r>
  <r>
    <x v="20"/>
    <x v="34"/>
    <s v="Miscellaneous Revenue Adjustment912"/>
    <n v="0"/>
  </r>
  <r>
    <x v="20"/>
    <x v="35"/>
    <s v="Miscellaneous Revenue Adjustment913"/>
    <n v="0"/>
  </r>
  <r>
    <x v="20"/>
    <x v="36"/>
    <s v="Miscellaneous Revenue Adjustment920"/>
    <n v="0"/>
  </r>
  <r>
    <x v="20"/>
    <x v="37"/>
    <s v="Miscellaneous Revenue Adjustment921"/>
    <n v="0"/>
  </r>
  <r>
    <x v="20"/>
    <x v="38"/>
    <s v="Miscellaneous Revenue Adjustment923"/>
    <n v="0"/>
  </r>
  <r>
    <x v="20"/>
    <x v="39"/>
    <s v="Miscellaneous Revenue Adjustment924"/>
    <n v="0"/>
  </r>
  <r>
    <x v="20"/>
    <x v="40"/>
    <s v="Miscellaneous Revenue Adjustment925"/>
    <n v="0"/>
  </r>
  <r>
    <x v="20"/>
    <x v="41"/>
    <s v="Miscellaneous Revenue Adjustment926"/>
    <n v="0"/>
  </r>
  <r>
    <x v="20"/>
    <x v="42"/>
    <s v="Miscellaneous Revenue Adjustment928"/>
    <n v="0"/>
  </r>
  <r>
    <x v="20"/>
    <x v="49"/>
    <s v="Miscellaneous Revenue Adjustment930"/>
    <n v="0"/>
  </r>
  <r>
    <x v="20"/>
    <x v="45"/>
    <s v="Miscellaneous Revenue Adjustment931"/>
    <n v="0"/>
  </r>
  <r>
    <x v="20"/>
    <x v="46"/>
    <s v="Miscellaneous Revenue Adjustment932"/>
    <n v="0"/>
  </r>
  <r>
    <x v="20"/>
    <x v="47"/>
    <s v="Miscellaneous Revenue Adjustment935"/>
    <n v="0"/>
  </r>
  <r>
    <x v="20"/>
    <x v="48"/>
    <m/>
    <n v="5230.5000000000073"/>
  </r>
  <r>
    <x v="21"/>
    <x v="0"/>
    <s v="Miscellaneous Revenue Tracker801"/>
    <n v="0"/>
  </r>
  <r>
    <x v="21"/>
    <x v="1"/>
    <s v="Miscellaneous Revenue Tracker803"/>
    <n v="0"/>
  </r>
  <r>
    <x v="21"/>
    <x v="2"/>
    <s v="Miscellaneous Revenue Tracker804"/>
    <n v="0"/>
  </r>
  <r>
    <x v="21"/>
    <x v="3"/>
    <s v="Miscellaneous Revenue Tracker805"/>
    <n v="0"/>
  </r>
  <r>
    <x v="21"/>
    <x v="4"/>
    <s v="Miscellaneous Revenue Tracker806"/>
    <n v="0"/>
  </r>
  <r>
    <x v="21"/>
    <x v="5"/>
    <s v="Miscellaneous Revenue Tracker807"/>
    <n v="0"/>
  </r>
  <r>
    <x v="21"/>
    <x v="6"/>
    <s v="Miscellaneous Revenue Tracker808"/>
    <n v="0"/>
  </r>
  <r>
    <x v="21"/>
    <x v="7"/>
    <s v="Miscellaneous Revenue Tracker812"/>
    <n v="0"/>
  </r>
  <r>
    <x v="21"/>
    <x v="8"/>
    <s v="Miscellaneous Revenue Tracker870"/>
    <n v="0"/>
  </r>
  <r>
    <x v="21"/>
    <x v="9"/>
    <s v="Miscellaneous Revenue Tracker871"/>
    <n v="0"/>
  </r>
  <r>
    <x v="21"/>
    <x v="10"/>
    <s v="Miscellaneous Revenue Tracker874"/>
    <n v="0"/>
  </r>
  <r>
    <x v="21"/>
    <x v="11"/>
    <s v="Miscellaneous Revenue Tracker875"/>
    <n v="0"/>
  </r>
  <r>
    <x v="21"/>
    <x v="12"/>
    <s v="Miscellaneous Revenue Tracker876"/>
    <n v="0"/>
  </r>
  <r>
    <x v="21"/>
    <x v="13"/>
    <s v="Miscellaneous Revenue Tracker878"/>
    <n v="0"/>
  </r>
  <r>
    <x v="21"/>
    <x v="14"/>
    <s v="Miscellaneous Revenue Tracker879"/>
    <n v="0"/>
  </r>
  <r>
    <x v="21"/>
    <x v="15"/>
    <s v="Miscellaneous Revenue Tracker880"/>
    <n v="0"/>
  </r>
  <r>
    <x v="21"/>
    <x v="16"/>
    <s v="Miscellaneous Revenue Tracker881"/>
    <n v="0"/>
  </r>
  <r>
    <x v="21"/>
    <x v="17"/>
    <s v="Miscellaneous Revenue Tracker885"/>
    <n v="0"/>
  </r>
  <r>
    <x v="21"/>
    <x v="18"/>
    <s v="Miscellaneous Revenue Tracker886"/>
    <n v="0"/>
  </r>
  <r>
    <x v="21"/>
    <x v="19"/>
    <s v="Miscellaneous Revenue Tracker887"/>
    <n v="0"/>
  </r>
  <r>
    <x v="21"/>
    <x v="20"/>
    <s v="Miscellaneous Revenue Tracker889"/>
    <n v="0"/>
  </r>
  <r>
    <x v="21"/>
    <x v="21"/>
    <s v="Miscellaneous Revenue Tracker890"/>
    <n v="0"/>
  </r>
  <r>
    <x v="21"/>
    <x v="22"/>
    <s v="Miscellaneous Revenue Tracker892"/>
    <n v="0"/>
  </r>
  <r>
    <x v="21"/>
    <x v="23"/>
    <s v="Miscellaneous Revenue Tracker893"/>
    <n v="0"/>
  </r>
  <r>
    <x v="21"/>
    <x v="24"/>
    <s v="Miscellaneous Revenue Tracker894"/>
    <n v="0"/>
  </r>
  <r>
    <x v="21"/>
    <x v="25"/>
    <s v="Miscellaneous Revenue Tracker902"/>
    <n v="0"/>
  </r>
  <r>
    <x v="21"/>
    <x v="26"/>
    <s v="Miscellaneous Revenue Tracker903"/>
    <n v="0"/>
  </r>
  <r>
    <x v="21"/>
    <x v="27"/>
    <s v="Miscellaneous Revenue Tracker904"/>
    <n v="0"/>
  </r>
  <r>
    <x v="21"/>
    <x v="28"/>
    <s v="Miscellaneous Revenue Tracker905"/>
    <n v="0"/>
  </r>
  <r>
    <x v="21"/>
    <x v="29"/>
    <s v="Miscellaneous Revenue Tracker907"/>
    <n v="0"/>
  </r>
  <r>
    <x v="21"/>
    <x v="30"/>
    <s v="Miscellaneous Revenue Tracker908"/>
    <n v="37201.589999999997"/>
  </r>
  <r>
    <x v="21"/>
    <x v="31"/>
    <s v="Miscellaneous Revenue Tracker909"/>
    <n v="0"/>
  </r>
  <r>
    <x v="21"/>
    <x v="32"/>
    <s v="Miscellaneous Revenue Tracker910"/>
    <n v="0"/>
  </r>
  <r>
    <x v="21"/>
    <x v="33"/>
    <s v="Miscellaneous Revenue Tracker911"/>
    <n v="0"/>
  </r>
  <r>
    <x v="21"/>
    <x v="34"/>
    <s v="Miscellaneous Revenue Tracker912"/>
    <n v="0"/>
  </r>
  <r>
    <x v="21"/>
    <x v="35"/>
    <s v="Miscellaneous Revenue Tracker913"/>
    <n v="0"/>
  </r>
  <r>
    <x v="21"/>
    <x v="36"/>
    <s v="Miscellaneous Revenue Tracker920"/>
    <n v="0"/>
  </r>
  <r>
    <x v="21"/>
    <x v="37"/>
    <s v="Miscellaneous Revenue Tracker921"/>
    <n v="0"/>
  </r>
  <r>
    <x v="21"/>
    <x v="38"/>
    <s v="Miscellaneous Revenue Tracker923"/>
    <n v="0"/>
  </r>
  <r>
    <x v="21"/>
    <x v="39"/>
    <s v="Miscellaneous Revenue Tracker924"/>
    <n v="0"/>
  </r>
  <r>
    <x v="21"/>
    <x v="40"/>
    <s v="Miscellaneous Revenue Tracker925"/>
    <n v="0"/>
  </r>
  <r>
    <x v="21"/>
    <x v="41"/>
    <s v="Miscellaneous Revenue Tracker926"/>
    <n v="0"/>
  </r>
  <r>
    <x v="21"/>
    <x v="42"/>
    <s v="Miscellaneous Revenue Tracker928"/>
    <n v="0"/>
  </r>
  <r>
    <x v="21"/>
    <x v="49"/>
    <s v="Miscellaneous Revenue Tracker930"/>
    <n v="0"/>
  </r>
  <r>
    <x v="21"/>
    <x v="45"/>
    <s v="Miscellaneous Revenue Tracker931"/>
    <n v="0"/>
  </r>
  <r>
    <x v="21"/>
    <x v="46"/>
    <s v="Miscellaneous Revenue Tracker932"/>
    <n v="0"/>
  </r>
  <r>
    <x v="21"/>
    <x v="47"/>
    <s v="Miscellaneous Revenue Tracker935"/>
    <n v="0"/>
  </r>
  <r>
    <x v="21"/>
    <x v="48"/>
    <m/>
    <n v="37201.589999999997"/>
  </r>
  <r>
    <x v="22"/>
    <x v="0"/>
    <s v="OPEB Expenses (Non-Service)801"/>
    <n v="0"/>
  </r>
  <r>
    <x v="22"/>
    <x v="1"/>
    <s v="OPEB Expenses (Non-Service)803"/>
    <n v="0"/>
  </r>
  <r>
    <x v="22"/>
    <x v="2"/>
    <s v="OPEB Expenses (Non-Service)804"/>
    <n v="0"/>
  </r>
  <r>
    <x v="22"/>
    <x v="3"/>
    <s v="OPEB Expenses (Non-Service)805"/>
    <n v="0"/>
  </r>
  <r>
    <x v="22"/>
    <x v="4"/>
    <s v="OPEB Expenses (Non-Service)806"/>
    <n v="0"/>
  </r>
  <r>
    <x v="22"/>
    <x v="5"/>
    <s v="OPEB Expenses (Non-Service)807"/>
    <n v="0"/>
  </r>
  <r>
    <x v="22"/>
    <x v="6"/>
    <s v="OPEB Expenses (Non-Service)808"/>
    <n v="0"/>
  </r>
  <r>
    <x v="22"/>
    <x v="7"/>
    <s v="OPEB Expenses (Non-Service)812"/>
    <n v="0"/>
  </r>
  <r>
    <x v="22"/>
    <x v="8"/>
    <s v="OPEB Expenses (Non-Service)870"/>
    <n v="0"/>
  </r>
  <r>
    <x v="22"/>
    <x v="9"/>
    <s v="OPEB Expenses (Non-Service)871"/>
    <n v="0"/>
  </r>
  <r>
    <x v="22"/>
    <x v="10"/>
    <s v="OPEB Expenses (Non-Service)874"/>
    <n v="0"/>
  </r>
  <r>
    <x v="22"/>
    <x v="11"/>
    <s v="OPEB Expenses (Non-Service)875"/>
    <n v="0"/>
  </r>
  <r>
    <x v="22"/>
    <x v="12"/>
    <s v="OPEB Expenses (Non-Service)876"/>
    <n v="0"/>
  </r>
  <r>
    <x v="22"/>
    <x v="13"/>
    <s v="OPEB Expenses (Non-Service)878"/>
    <n v="0"/>
  </r>
  <r>
    <x v="22"/>
    <x v="14"/>
    <s v="OPEB Expenses (Non-Service)879"/>
    <n v="0"/>
  </r>
  <r>
    <x v="22"/>
    <x v="15"/>
    <s v="OPEB Expenses (Non-Service)880"/>
    <n v="0"/>
  </r>
  <r>
    <x v="22"/>
    <x v="16"/>
    <s v="OPEB Expenses (Non-Service)881"/>
    <n v="0"/>
  </r>
  <r>
    <x v="22"/>
    <x v="17"/>
    <s v="OPEB Expenses (Non-Service)885"/>
    <n v="0"/>
  </r>
  <r>
    <x v="22"/>
    <x v="18"/>
    <s v="OPEB Expenses (Non-Service)886"/>
    <n v="0"/>
  </r>
  <r>
    <x v="22"/>
    <x v="19"/>
    <s v="OPEB Expenses (Non-Service)887"/>
    <n v="0"/>
  </r>
  <r>
    <x v="22"/>
    <x v="20"/>
    <s v="OPEB Expenses (Non-Service)889"/>
    <n v="0"/>
  </r>
  <r>
    <x v="22"/>
    <x v="21"/>
    <s v="OPEB Expenses (Non-Service)890"/>
    <n v="0"/>
  </r>
  <r>
    <x v="22"/>
    <x v="22"/>
    <s v="OPEB Expenses (Non-Service)892"/>
    <n v="0"/>
  </r>
  <r>
    <x v="22"/>
    <x v="23"/>
    <s v="OPEB Expenses (Non-Service)893"/>
    <n v="0"/>
  </r>
  <r>
    <x v="22"/>
    <x v="24"/>
    <s v="OPEB Expenses (Non-Service)894"/>
    <n v="0"/>
  </r>
  <r>
    <x v="22"/>
    <x v="25"/>
    <s v="OPEB Expenses (Non-Service)902"/>
    <n v="0"/>
  </r>
  <r>
    <x v="22"/>
    <x v="26"/>
    <s v="OPEB Expenses (Non-Service)903"/>
    <n v="0"/>
  </r>
  <r>
    <x v="22"/>
    <x v="27"/>
    <s v="OPEB Expenses (Non-Service)904"/>
    <n v="0"/>
  </r>
  <r>
    <x v="22"/>
    <x v="28"/>
    <s v="OPEB Expenses (Non-Service)905"/>
    <n v="0"/>
  </r>
  <r>
    <x v="22"/>
    <x v="29"/>
    <s v="OPEB Expenses (Non-Service)907"/>
    <n v="0"/>
  </r>
  <r>
    <x v="22"/>
    <x v="30"/>
    <s v="OPEB Expenses (Non-Service)908"/>
    <n v="0"/>
  </r>
  <r>
    <x v="22"/>
    <x v="31"/>
    <s v="OPEB Expenses (Non-Service)909"/>
    <n v="0"/>
  </r>
  <r>
    <x v="22"/>
    <x v="32"/>
    <s v="OPEB Expenses (Non-Service)910"/>
    <n v="0"/>
  </r>
  <r>
    <x v="22"/>
    <x v="33"/>
    <s v="OPEB Expenses (Non-Service)911"/>
    <n v="0"/>
  </r>
  <r>
    <x v="22"/>
    <x v="34"/>
    <s v="OPEB Expenses (Non-Service)912"/>
    <n v="0"/>
  </r>
  <r>
    <x v="22"/>
    <x v="35"/>
    <s v="OPEB Expenses (Non-Service)913"/>
    <n v="0"/>
  </r>
  <r>
    <x v="22"/>
    <x v="36"/>
    <s v="OPEB Expenses (Non-Service)920"/>
    <n v="0"/>
  </r>
  <r>
    <x v="22"/>
    <x v="37"/>
    <s v="OPEB Expenses (Non-Service)921"/>
    <n v="0"/>
  </r>
  <r>
    <x v="22"/>
    <x v="38"/>
    <s v="OPEB Expenses (Non-Service)923"/>
    <n v="0"/>
  </r>
  <r>
    <x v="22"/>
    <x v="39"/>
    <s v="OPEB Expenses (Non-Service)924"/>
    <n v="0"/>
  </r>
  <r>
    <x v="22"/>
    <x v="40"/>
    <s v="OPEB Expenses (Non-Service)925"/>
    <n v="0"/>
  </r>
  <r>
    <x v="22"/>
    <x v="41"/>
    <s v="OPEB Expenses (Non-Service)926"/>
    <n v="-32943.409999999989"/>
  </r>
  <r>
    <x v="22"/>
    <x v="42"/>
    <s v="OPEB Expenses (Non-Service)928"/>
    <n v="0"/>
  </r>
  <r>
    <x v="22"/>
    <x v="49"/>
    <s v="OPEB Expenses (Non-Service)930"/>
    <n v="0"/>
  </r>
  <r>
    <x v="22"/>
    <x v="45"/>
    <s v="OPEB Expenses (Non-Service)931"/>
    <n v="0"/>
  </r>
  <r>
    <x v="22"/>
    <x v="46"/>
    <s v="OPEB Expenses (Non-Service)932"/>
    <n v="0"/>
  </r>
  <r>
    <x v="22"/>
    <x v="47"/>
    <s v="OPEB Expenses (Non-Service)935"/>
    <n v="0"/>
  </r>
  <r>
    <x v="22"/>
    <x v="48"/>
    <m/>
    <n v="-32943.409999999989"/>
  </r>
  <r>
    <x v="23"/>
    <x v="0"/>
    <s v="OPEB Expenses (Service)801"/>
    <n v="0"/>
  </r>
  <r>
    <x v="23"/>
    <x v="1"/>
    <s v="OPEB Expenses (Service)803"/>
    <n v="0"/>
  </r>
  <r>
    <x v="23"/>
    <x v="2"/>
    <s v="OPEB Expenses (Service)804"/>
    <n v="0"/>
  </r>
  <r>
    <x v="23"/>
    <x v="3"/>
    <s v="OPEB Expenses (Service)805"/>
    <n v="0"/>
  </r>
  <r>
    <x v="23"/>
    <x v="4"/>
    <s v="OPEB Expenses (Service)806"/>
    <n v="0"/>
  </r>
  <r>
    <x v="23"/>
    <x v="5"/>
    <s v="OPEB Expenses (Service)807"/>
    <n v="0"/>
  </r>
  <r>
    <x v="23"/>
    <x v="6"/>
    <s v="OPEB Expenses (Service)808"/>
    <n v="0"/>
  </r>
  <r>
    <x v="23"/>
    <x v="7"/>
    <s v="OPEB Expenses (Service)812"/>
    <n v="0"/>
  </r>
  <r>
    <x v="23"/>
    <x v="8"/>
    <s v="OPEB Expenses (Service)870"/>
    <n v="0"/>
  </r>
  <r>
    <x v="23"/>
    <x v="9"/>
    <s v="OPEB Expenses (Service)871"/>
    <n v="0"/>
  </r>
  <r>
    <x v="23"/>
    <x v="10"/>
    <s v="OPEB Expenses (Service)874"/>
    <n v="1.8699999999999992"/>
  </r>
  <r>
    <x v="23"/>
    <x v="11"/>
    <s v="OPEB Expenses (Service)875"/>
    <n v="0"/>
  </r>
  <r>
    <x v="23"/>
    <x v="12"/>
    <s v="OPEB Expenses (Service)876"/>
    <n v="0"/>
  </r>
  <r>
    <x v="23"/>
    <x v="13"/>
    <s v="OPEB Expenses (Service)878"/>
    <n v="0"/>
  </r>
  <r>
    <x v="23"/>
    <x v="14"/>
    <s v="OPEB Expenses (Service)879"/>
    <n v="0"/>
  </r>
  <r>
    <x v="23"/>
    <x v="15"/>
    <s v="OPEB Expenses (Service)880"/>
    <n v="3.7200000000000024"/>
  </r>
  <r>
    <x v="23"/>
    <x v="16"/>
    <s v="OPEB Expenses (Service)881"/>
    <n v="0"/>
  </r>
  <r>
    <x v="23"/>
    <x v="17"/>
    <s v="OPEB Expenses (Service)885"/>
    <n v="0"/>
  </r>
  <r>
    <x v="23"/>
    <x v="18"/>
    <s v="OPEB Expenses (Service)886"/>
    <n v="0"/>
  </r>
  <r>
    <x v="23"/>
    <x v="19"/>
    <s v="OPEB Expenses (Service)887"/>
    <n v="0"/>
  </r>
  <r>
    <x v="23"/>
    <x v="20"/>
    <s v="OPEB Expenses (Service)889"/>
    <n v="0"/>
  </r>
  <r>
    <x v="23"/>
    <x v="21"/>
    <s v="OPEB Expenses (Service)890"/>
    <n v="0"/>
  </r>
  <r>
    <x v="23"/>
    <x v="22"/>
    <s v="OPEB Expenses (Service)892"/>
    <n v="0"/>
  </r>
  <r>
    <x v="23"/>
    <x v="23"/>
    <s v="OPEB Expenses (Service)893"/>
    <n v="0"/>
  </r>
  <r>
    <x v="23"/>
    <x v="24"/>
    <s v="OPEB Expenses (Service)894"/>
    <n v="0"/>
  </r>
  <r>
    <x v="23"/>
    <x v="25"/>
    <s v="OPEB Expenses (Service)902"/>
    <n v="0"/>
  </r>
  <r>
    <x v="23"/>
    <x v="26"/>
    <s v="OPEB Expenses (Service)903"/>
    <n v="0"/>
  </r>
  <r>
    <x v="23"/>
    <x v="27"/>
    <s v="OPEB Expenses (Service)904"/>
    <n v="0"/>
  </r>
  <r>
    <x v="23"/>
    <x v="28"/>
    <s v="OPEB Expenses (Service)905"/>
    <n v="0"/>
  </r>
  <r>
    <x v="23"/>
    <x v="29"/>
    <s v="OPEB Expenses (Service)907"/>
    <n v="0"/>
  </r>
  <r>
    <x v="23"/>
    <x v="30"/>
    <s v="OPEB Expenses (Service)908"/>
    <n v="0"/>
  </r>
  <r>
    <x v="23"/>
    <x v="31"/>
    <s v="OPEB Expenses (Service)909"/>
    <n v="0"/>
  </r>
  <r>
    <x v="23"/>
    <x v="32"/>
    <s v="OPEB Expenses (Service)910"/>
    <n v="0"/>
  </r>
  <r>
    <x v="23"/>
    <x v="33"/>
    <s v="OPEB Expenses (Service)911"/>
    <n v="0"/>
  </r>
  <r>
    <x v="23"/>
    <x v="34"/>
    <s v="OPEB Expenses (Service)912"/>
    <n v="0"/>
  </r>
  <r>
    <x v="23"/>
    <x v="35"/>
    <s v="OPEB Expenses (Service)913"/>
    <n v="0"/>
  </r>
  <r>
    <x v="23"/>
    <x v="36"/>
    <s v="OPEB Expenses (Service)920"/>
    <n v="0"/>
  </r>
  <r>
    <x v="23"/>
    <x v="37"/>
    <s v="OPEB Expenses (Service)921"/>
    <n v="0"/>
  </r>
  <r>
    <x v="23"/>
    <x v="38"/>
    <s v="OPEB Expenses (Service)923"/>
    <n v="0"/>
  </r>
  <r>
    <x v="23"/>
    <x v="39"/>
    <s v="OPEB Expenses (Service)924"/>
    <n v="0"/>
  </r>
  <r>
    <x v="23"/>
    <x v="40"/>
    <s v="OPEB Expenses (Service)925"/>
    <n v="0"/>
  </r>
  <r>
    <x v="23"/>
    <x v="41"/>
    <s v="OPEB Expenses (Service)926"/>
    <n v="10643.100000000009"/>
  </r>
  <r>
    <x v="23"/>
    <x v="42"/>
    <s v="OPEB Expenses (Service)928"/>
    <n v="0"/>
  </r>
  <r>
    <x v="23"/>
    <x v="49"/>
    <s v="OPEB Expenses (Service)930"/>
    <n v="0"/>
  </r>
  <r>
    <x v="23"/>
    <x v="45"/>
    <s v="OPEB Expenses (Service)931"/>
    <n v="0"/>
  </r>
  <r>
    <x v="23"/>
    <x v="46"/>
    <s v="OPEB Expenses (Service)932"/>
    <n v="0"/>
  </r>
  <r>
    <x v="23"/>
    <x v="47"/>
    <s v="OPEB Expenses (Service)935"/>
    <n v="0"/>
  </r>
  <r>
    <x v="23"/>
    <x v="48"/>
    <m/>
    <n v="10648.69000000001"/>
  </r>
  <r>
    <x v="24"/>
    <x v="0"/>
    <s v="Other Rents &amp; Leases801"/>
    <n v="0"/>
  </r>
  <r>
    <x v="24"/>
    <x v="1"/>
    <s v="Other Rents &amp; Leases803"/>
    <n v="0"/>
  </r>
  <r>
    <x v="24"/>
    <x v="2"/>
    <s v="Other Rents &amp; Leases804"/>
    <n v="0"/>
  </r>
  <r>
    <x v="24"/>
    <x v="3"/>
    <s v="Other Rents &amp; Leases805"/>
    <n v="0"/>
  </r>
  <r>
    <x v="24"/>
    <x v="4"/>
    <s v="Other Rents &amp; Leases806"/>
    <n v="0"/>
  </r>
  <r>
    <x v="24"/>
    <x v="5"/>
    <s v="Other Rents &amp; Leases807"/>
    <n v="0"/>
  </r>
  <r>
    <x v="24"/>
    <x v="6"/>
    <s v="Other Rents &amp; Leases808"/>
    <n v="0"/>
  </r>
  <r>
    <x v="24"/>
    <x v="7"/>
    <s v="Other Rents &amp; Leases812"/>
    <n v="0"/>
  </r>
  <r>
    <x v="24"/>
    <x v="8"/>
    <s v="Other Rents &amp; Leases870"/>
    <n v="-136.22"/>
  </r>
  <r>
    <x v="24"/>
    <x v="9"/>
    <s v="Other Rents &amp; Leases871"/>
    <n v="0"/>
  </r>
  <r>
    <x v="24"/>
    <x v="10"/>
    <s v="Other Rents &amp; Leases874"/>
    <n v="823.42999999999893"/>
  </r>
  <r>
    <x v="24"/>
    <x v="11"/>
    <s v="Other Rents &amp; Leases875"/>
    <n v="0"/>
  </r>
  <r>
    <x v="24"/>
    <x v="12"/>
    <s v="Other Rents &amp; Leases876"/>
    <n v="0"/>
  </r>
  <r>
    <x v="24"/>
    <x v="13"/>
    <s v="Other Rents &amp; Leases878"/>
    <n v="7.01"/>
  </r>
  <r>
    <x v="24"/>
    <x v="14"/>
    <s v="Other Rents &amp; Leases879"/>
    <n v="0"/>
  </r>
  <r>
    <x v="24"/>
    <x v="15"/>
    <s v="Other Rents &amp; Leases880"/>
    <n v="1780.970000000003"/>
  </r>
  <r>
    <x v="24"/>
    <x v="16"/>
    <s v="Other Rents &amp; Leases881"/>
    <n v="-3318.5200000000041"/>
  </r>
  <r>
    <x v="24"/>
    <x v="17"/>
    <s v="Other Rents &amp; Leases885"/>
    <n v="-3.75"/>
  </r>
  <r>
    <x v="24"/>
    <x v="18"/>
    <s v="Other Rents &amp; Leases886"/>
    <n v="178.6099999999999"/>
  </r>
  <r>
    <x v="24"/>
    <x v="19"/>
    <s v="Other Rents &amp; Leases887"/>
    <n v="-132.47"/>
  </r>
  <r>
    <x v="24"/>
    <x v="20"/>
    <s v="Other Rents &amp; Leases889"/>
    <n v="0"/>
  </r>
  <r>
    <x v="24"/>
    <x v="21"/>
    <s v="Other Rents &amp; Leases890"/>
    <n v="0"/>
  </r>
  <r>
    <x v="24"/>
    <x v="22"/>
    <s v="Other Rents &amp; Leases892"/>
    <n v="-132.47"/>
  </r>
  <r>
    <x v="24"/>
    <x v="23"/>
    <s v="Other Rents &amp; Leases893"/>
    <n v="0"/>
  </r>
  <r>
    <x v="24"/>
    <x v="24"/>
    <s v="Other Rents &amp; Leases894"/>
    <n v="300.70000000000005"/>
  </r>
  <r>
    <x v="24"/>
    <x v="25"/>
    <s v="Other Rents &amp; Leases902"/>
    <n v="0"/>
  </r>
  <r>
    <x v="24"/>
    <x v="26"/>
    <s v="Other Rents &amp; Leases903"/>
    <n v="0"/>
  </r>
  <r>
    <x v="24"/>
    <x v="27"/>
    <s v="Other Rents &amp; Leases904"/>
    <n v="0"/>
  </r>
  <r>
    <x v="24"/>
    <x v="28"/>
    <s v="Other Rents &amp; Leases905"/>
    <n v="0"/>
  </r>
  <r>
    <x v="24"/>
    <x v="29"/>
    <s v="Other Rents &amp; Leases907"/>
    <n v="0"/>
  </r>
  <r>
    <x v="24"/>
    <x v="30"/>
    <s v="Other Rents &amp; Leases908"/>
    <n v="0"/>
  </r>
  <r>
    <x v="24"/>
    <x v="31"/>
    <s v="Other Rents &amp; Leases909"/>
    <n v="0"/>
  </r>
  <r>
    <x v="24"/>
    <x v="32"/>
    <s v="Other Rents &amp; Leases910"/>
    <n v="0"/>
  </r>
  <r>
    <x v="24"/>
    <x v="33"/>
    <s v="Other Rents &amp; Leases911"/>
    <n v="0"/>
  </r>
  <r>
    <x v="24"/>
    <x v="34"/>
    <s v="Other Rents &amp; Leases912"/>
    <n v="0"/>
  </r>
  <r>
    <x v="24"/>
    <x v="35"/>
    <s v="Other Rents &amp; Leases913"/>
    <n v="0"/>
  </r>
  <r>
    <x v="24"/>
    <x v="36"/>
    <s v="Other Rents &amp; Leases920"/>
    <n v="0"/>
  </r>
  <r>
    <x v="24"/>
    <x v="37"/>
    <s v="Other Rents &amp; Leases921"/>
    <n v="1482.2800000000009"/>
  </r>
  <r>
    <x v="24"/>
    <x v="38"/>
    <s v="Other Rents &amp; Leases923"/>
    <n v="-884.9700000000048"/>
  </r>
  <r>
    <x v="24"/>
    <x v="39"/>
    <s v="Other Rents &amp; Leases924"/>
    <n v="0"/>
  </r>
  <r>
    <x v="24"/>
    <x v="40"/>
    <s v="Other Rents &amp; Leases925"/>
    <n v="0"/>
  </r>
  <r>
    <x v="24"/>
    <x v="41"/>
    <s v="Other Rents &amp; Leases926"/>
    <n v="0"/>
  </r>
  <r>
    <x v="24"/>
    <x v="42"/>
    <s v="Other Rents &amp; Leases928"/>
    <n v="0"/>
  </r>
  <r>
    <x v="24"/>
    <x v="43"/>
    <s v="Other Rents &amp; Leases9301"/>
    <n v="0"/>
  </r>
  <r>
    <x v="24"/>
    <x v="44"/>
    <s v="Other Rents &amp; Leases9302"/>
    <n v="0"/>
  </r>
  <r>
    <x v="24"/>
    <x v="45"/>
    <s v="Other Rents &amp; Leases931"/>
    <n v="0"/>
  </r>
  <r>
    <x v="24"/>
    <x v="46"/>
    <s v="Other Rents &amp; Leases932"/>
    <n v="0"/>
  </r>
  <r>
    <x v="24"/>
    <x v="47"/>
    <s v="Other Rents &amp; Leases935"/>
    <n v="0"/>
  </r>
  <r>
    <x v="24"/>
    <x v="48"/>
    <m/>
    <n v="-35.40000000000623"/>
  </r>
  <r>
    <x v="25"/>
    <x v="0"/>
    <s v="Outside Services801"/>
    <n v="0"/>
  </r>
  <r>
    <x v="25"/>
    <x v="1"/>
    <s v="Outside Services803"/>
    <n v="0"/>
  </r>
  <r>
    <x v="25"/>
    <x v="2"/>
    <s v="Outside Services804"/>
    <n v="0"/>
  </r>
  <r>
    <x v="25"/>
    <x v="3"/>
    <s v="Outside Services805"/>
    <n v="0"/>
  </r>
  <r>
    <x v="25"/>
    <x v="4"/>
    <s v="Outside Services806"/>
    <n v="0"/>
  </r>
  <r>
    <x v="25"/>
    <x v="5"/>
    <s v="Outside Services807"/>
    <n v="0"/>
  </r>
  <r>
    <x v="25"/>
    <x v="6"/>
    <s v="Outside Services808"/>
    <n v="0"/>
  </r>
  <r>
    <x v="25"/>
    <x v="7"/>
    <s v="Outside Services812"/>
    <n v="0"/>
  </r>
  <r>
    <x v="25"/>
    <x v="58"/>
    <s v="Outside Services865"/>
    <n v="320.05999999999989"/>
  </r>
  <r>
    <x v="25"/>
    <x v="8"/>
    <s v="Outside Services870"/>
    <n v="-858.69"/>
  </r>
  <r>
    <x v="25"/>
    <x v="9"/>
    <s v="Outside Services871"/>
    <n v="10429.57"/>
  </r>
  <r>
    <x v="25"/>
    <x v="10"/>
    <s v="Outside Services874"/>
    <n v="-90860.629999999888"/>
  </r>
  <r>
    <x v="25"/>
    <x v="11"/>
    <s v="Outside Services875"/>
    <n v="10160.729999999989"/>
  </r>
  <r>
    <x v="25"/>
    <x v="12"/>
    <s v="Outside Services876"/>
    <n v="0"/>
  </r>
  <r>
    <x v="25"/>
    <x v="13"/>
    <s v="Outside Services878"/>
    <n v="0"/>
  </r>
  <r>
    <x v="25"/>
    <x v="14"/>
    <s v="Outside Services879"/>
    <n v="-35496.180000000008"/>
  </r>
  <r>
    <x v="25"/>
    <x v="15"/>
    <s v="Outside Services880"/>
    <n v="-26985.52999999997"/>
  </r>
  <r>
    <x v="25"/>
    <x v="16"/>
    <s v="Outside Services881"/>
    <n v="0"/>
  </r>
  <r>
    <x v="25"/>
    <x v="17"/>
    <s v="Outside Services885"/>
    <n v="-53.899999999999977"/>
  </r>
  <r>
    <x v="25"/>
    <x v="18"/>
    <s v="Outside Services886"/>
    <n v="7101.2600000000093"/>
  </r>
  <r>
    <x v="25"/>
    <x v="19"/>
    <s v="Outside Services887"/>
    <n v="99472.509999999544"/>
  </r>
  <r>
    <x v="25"/>
    <x v="20"/>
    <s v="Outside Services889"/>
    <n v="-9541.1100000000079"/>
  </r>
  <r>
    <x v="25"/>
    <x v="21"/>
    <s v="Outside Services890"/>
    <n v="-131.39999999999964"/>
  </r>
  <r>
    <x v="25"/>
    <x v="22"/>
    <s v="Outside Services892"/>
    <n v="10174.250000000029"/>
  </r>
  <r>
    <x v="25"/>
    <x v="23"/>
    <s v="Outside Services893"/>
    <n v="-747.8599999999999"/>
  </r>
  <r>
    <x v="25"/>
    <x v="24"/>
    <s v="Outside Services894"/>
    <n v="-1879.0400000000004"/>
  </r>
  <r>
    <x v="25"/>
    <x v="25"/>
    <s v="Outside Services902"/>
    <n v="-25888.97000000003"/>
  </r>
  <r>
    <x v="25"/>
    <x v="26"/>
    <s v="Outside Services903"/>
    <n v="13319.090000000004"/>
  </r>
  <r>
    <x v="25"/>
    <x v="27"/>
    <s v="Outside Services904"/>
    <n v="0"/>
  </r>
  <r>
    <x v="25"/>
    <x v="28"/>
    <s v="Outside Services905"/>
    <n v="0"/>
  </r>
  <r>
    <x v="25"/>
    <x v="29"/>
    <s v="Outside Services907"/>
    <n v="0"/>
  </r>
  <r>
    <x v="25"/>
    <x v="30"/>
    <s v="Outside Services908"/>
    <n v="0"/>
  </r>
  <r>
    <x v="25"/>
    <x v="31"/>
    <s v="Outside Services909"/>
    <n v="-1594.7900000000004"/>
  </r>
  <r>
    <x v="25"/>
    <x v="32"/>
    <s v="Outside Services910"/>
    <n v="0"/>
  </r>
  <r>
    <x v="25"/>
    <x v="33"/>
    <s v="Outside Services911"/>
    <n v="0"/>
  </r>
  <r>
    <x v="25"/>
    <x v="34"/>
    <s v="Outside Services912"/>
    <n v="0"/>
  </r>
  <r>
    <x v="25"/>
    <x v="35"/>
    <s v="Outside Services913"/>
    <n v="0"/>
  </r>
  <r>
    <x v="25"/>
    <x v="36"/>
    <s v="Outside Services920"/>
    <n v="0"/>
  </r>
  <r>
    <x v="25"/>
    <x v="37"/>
    <s v="Outside Services921"/>
    <n v="-102.71999999999935"/>
  </r>
  <r>
    <x v="25"/>
    <x v="38"/>
    <s v="Outside Services923"/>
    <n v="-51338.259999999893"/>
  </r>
  <r>
    <x v="25"/>
    <x v="39"/>
    <s v="Outside Services924"/>
    <n v="0"/>
  </r>
  <r>
    <x v="25"/>
    <x v="40"/>
    <s v="Outside Services925"/>
    <n v="0"/>
  </r>
  <r>
    <x v="25"/>
    <x v="41"/>
    <s v="Outside Services926"/>
    <n v="-22163.340000000026"/>
  </r>
  <r>
    <x v="25"/>
    <x v="42"/>
    <s v="Outside Services928"/>
    <n v="0"/>
  </r>
  <r>
    <x v="25"/>
    <x v="43"/>
    <s v="Outside Services9301"/>
    <n v="0"/>
  </r>
  <r>
    <x v="25"/>
    <x v="44"/>
    <s v="Outside Services9302"/>
    <n v="634.56999999999982"/>
  </r>
  <r>
    <x v="25"/>
    <x v="45"/>
    <s v="Outside Services931"/>
    <n v="0"/>
  </r>
  <r>
    <x v="25"/>
    <x v="46"/>
    <s v="Outside Services932"/>
    <n v="0"/>
  </r>
  <r>
    <x v="25"/>
    <x v="47"/>
    <s v="Outside Services935"/>
    <n v="0"/>
  </r>
  <r>
    <x v="25"/>
    <x v="48"/>
    <m/>
    <n v="-116030.38000000024"/>
  </r>
  <r>
    <x v="26"/>
    <x v="0"/>
    <s v="Pension Expenses (Non-Service)801"/>
    <n v="0"/>
  </r>
  <r>
    <x v="26"/>
    <x v="1"/>
    <s v="Pension Expenses (Non-Service)803"/>
    <n v="0"/>
  </r>
  <r>
    <x v="26"/>
    <x v="2"/>
    <s v="Pension Expenses (Non-Service)804"/>
    <n v="0"/>
  </r>
  <r>
    <x v="26"/>
    <x v="3"/>
    <s v="Pension Expenses (Non-Service)805"/>
    <n v="0"/>
  </r>
  <r>
    <x v="26"/>
    <x v="4"/>
    <s v="Pension Expenses (Non-Service)806"/>
    <n v="0"/>
  </r>
  <r>
    <x v="26"/>
    <x v="5"/>
    <s v="Pension Expenses (Non-Service)807"/>
    <n v="0"/>
  </r>
  <r>
    <x v="26"/>
    <x v="6"/>
    <s v="Pension Expenses (Non-Service)808"/>
    <n v="0"/>
  </r>
  <r>
    <x v="26"/>
    <x v="7"/>
    <s v="Pension Expenses (Non-Service)812"/>
    <n v="0"/>
  </r>
  <r>
    <x v="26"/>
    <x v="8"/>
    <s v="Pension Expenses (Non-Service)870"/>
    <n v="0"/>
  </r>
  <r>
    <x v="26"/>
    <x v="9"/>
    <s v="Pension Expenses (Non-Service)871"/>
    <n v="0"/>
  </r>
  <r>
    <x v="26"/>
    <x v="10"/>
    <s v="Pension Expenses (Non-Service)874"/>
    <n v="0"/>
  </r>
  <r>
    <x v="26"/>
    <x v="11"/>
    <s v="Pension Expenses (Non-Service)875"/>
    <n v="0"/>
  </r>
  <r>
    <x v="26"/>
    <x v="12"/>
    <s v="Pension Expenses (Non-Service)876"/>
    <n v="0"/>
  </r>
  <r>
    <x v="26"/>
    <x v="13"/>
    <s v="Pension Expenses (Non-Service)878"/>
    <n v="0"/>
  </r>
  <r>
    <x v="26"/>
    <x v="14"/>
    <s v="Pension Expenses (Non-Service)879"/>
    <n v="0"/>
  </r>
  <r>
    <x v="26"/>
    <x v="15"/>
    <s v="Pension Expenses (Non-Service)880"/>
    <n v="0"/>
  </r>
  <r>
    <x v="26"/>
    <x v="16"/>
    <s v="Pension Expenses (Non-Service)881"/>
    <n v="0"/>
  </r>
  <r>
    <x v="26"/>
    <x v="17"/>
    <s v="Pension Expenses (Non-Service)885"/>
    <n v="0"/>
  </r>
  <r>
    <x v="26"/>
    <x v="18"/>
    <s v="Pension Expenses (Non-Service)886"/>
    <n v="0"/>
  </r>
  <r>
    <x v="26"/>
    <x v="19"/>
    <s v="Pension Expenses (Non-Service)887"/>
    <n v="0"/>
  </r>
  <r>
    <x v="26"/>
    <x v="20"/>
    <s v="Pension Expenses (Non-Service)889"/>
    <n v="0"/>
  </r>
  <r>
    <x v="26"/>
    <x v="21"/>
    <s v="Pension Expenses (Non-Service)890"/>
    <n v="0"/>
  </r>
  <r>
    <x v="26"/>
    <x v="22"/>
    <s v="Pension Expenses (Non-Service)892"/>
    <n v="0"/>
  </r>
  <r>
    <x v="26"/>
    <x v="23"/>
    <s v="Pension Expenses (Non-Service)893"/>
    <n v="0"/>
  </r>
  <r>
    <x v="26"/>
    <x v="24"/>
    <s v="Pension Expenses (Non-Service)894"/>
    <n v="0"/>
  </r>
  <r>
    <x v="26"/>
    <x v="25"/>
    <s v="Pension Expenses (Non-Service)902"/>
    <n v="0"/>
  </r>
  <r>
    <x v="26"/>
    <x v="26"/>
    <s v="Pension Expenses (Non-Service)903"/>
    <n v="0"/>
  </r>
  <r>
    <x v="26"/>
    <x v="27"/>
    <s v="Pension Expenses (Non-Service)904"/>
    <n v="0"/>
  </r>
  <r>
    <x v="26"/>
    <x v="28"/>
    <s v="Pension Expenses (Non-Service)905"/>
    <n v="0"/>
  </r>
  <r>
    <x v="26"/>
    <x v="29"/>
    <s v="Pension Expenses (Non-Service)907"/>
    <n v="0"/>
  </r>
  <r>
    <x v="26"/>
    <x v="30"/>
    <s v="Pension Expenses (Non-Service)908"/>
    <n v="0"/>
  </r>
  <r>
    <x v="26"/>
    <x v="31"/>
    <s v="Pension Expenses (Non-Service)909"/>
    <n v="0"/>
  </r>
  <r>
    <x v="26"/>
    <x v="32"/>
    <s v="Pension Expenses (Non-Service)910"/>
    <n v="0"/>
  </r>
  <r>
    <x v="26"/>
    <x v="33"/>
    <s v="Pension Expenses (Non-Service)911"/>
    <n v="0"/>
  </r>
  <r>
    <x v="26"/>
    <x v="34"/>
    <s v="Pension Expenses (Non-Service)912"/>
    <n v="0"/>
  </r>
  <r>
    <x v="26"/>
    <x v="35"/>
    <s v="Pension Expenses (Non-Service)913"/>
    <n v="0"/>
  </r>
  <r>
    <x v="26"/>
    <x v="36"/>
    <s v="Pension Expenses (Non-Service)920"/>
    <n v="0"/>
  </r>
  <r>
    <x v="26"/>
    <x v="37"/>
    <s v="Pension Expenses (Non-Service)921"/>
    <n v="0"/>
  </r>
  <r>
    <x v="26"/>
    <x v="38"/>
    <s v="Pension Expenses (Non-Service)923"/>
    <n v="0"/>
  </r>
  <r>
    <x v="26"/>
    <x v="39"/>
    <s v="Pension Expenses (Non-Service)924"/>
    <n v="0"/>
  </r>
  <r>
    <x v="26"/>
    <x v="40"/>
    <s v="Pension Expenses (Non-Service)925"/>
    <n v="0"/>
  </r>
  <r>
    <x v="26"/>
    <x v="41"/>
    <s v="Pension Expenses (Non-Service)926"/>
    <n v="51698.020000000077"/>
  </r>
  <r>
    <x v="26"/>
    <x v="42"/>
    <s v="Pension Expenses (Non-Service)928"/>
    <n v="0"/>
  </r>
  <r>
    <x v="26"/>
    <x v="49"/>
    <s v="Pension Expenses (Non-Service)930"/>
    <n v="0"/>
  </r>
  <r>
    <x v="26"/>
    <x v="45"/>
    <s v="Pension Expenses (Non-Service)931"/>
    <n v="0"/>
  </r>
  <r>
    <x v="26"/>
    <x v="46"/>
    <s v="Pension Expenses (Non-Service)932"/>
    <n v="0"/>
  </r>
  <r>
    <x v="26"/>
    <x v="47"/>
    <s v="Pension Expenses (Non-Service)935"/>
    <n v="0"/>
  </r>
  <r>
    <x v="26"/>
    <x v="48"/>
    <m/>
    <n v="51698.020000000077"/>
  </r>
  <r>
    <x v="27"/>
    <x v="0"/>
    <s v="Pension Expenses (Service)801"/>
    <n v="0"/>
  </r>
  <r>
    <x v="27"/>
    <x v="1"/>
    <s v="Pension Expenses (Service)803"/>
    <n v="0"/>
  </r>
  <r>
    <x v="27"/>
    <x v="2"/>
    <s v="Pension Expenses (Service)804"/>
    <n v="0"/>
  </r>
  <r>
    <x v="27"/>
    <x v="3"/>
    <s v="Pension Expenses (Service)805"/>
    <n v="0"/>
  </r>
  <r>
    <x v="27"/>
    <x v="4"/>
    <s v="Pension Expenses (Service)806"/>
    <n v="0"/>
  </r>
  <r>
    <x v="27"/>
    <x v="5"/>
    <s v="Pension Expenses (Service)807"/>
    <n v="0"/>
  </r>
  <r>
    <x v="27"/>
    <x v="6"/>
    <s v="Pension Expenses (Service)808"/>
    <n v="0"/>
  </r>
  <r>
    <x v="27"/>
    <x v="7"/>
    <s v="Pension Expenses (Service)812"/>
    <n v="0"/>
  </r>
  <r>
    <x v="27"/>
    <x v="8"/>
    <s v="Pension Expenses (Service)870"/>
    <n v="0"/>
  </r>
  <r>
    <x v="27"/>
    <x v="9"/>
    <s v="Pension Expenses (Service)871"/>
    <n v="0"/>
  </r>
  <r>
    <x v="27"/>
    <x v="10"/>
    <s v="Pension Expenses (Service)874"/>
    <n v="-7.6499999999999932"/>
  </r>
  <r>
    <x v="27"/>
    <x v="11"/>
    <s v="Pension Expenses (Service)875"/>
    <n v="0"/>
  </r>
  <r>
    <x v="27"/>
    <x v="12"/>
    <s v="Pension Expenses (Service)876"/>
    <n v="0"/>
  </r>
  <r>
    <x v="27"/>
    <x v="13"/>
    <s v="Pension Expenses (Service)878"/>
    <n v="0"/>
  </r>
  <r>
    <x v="27"/>
    <x v="14"/>
    <s v="Pension Expenses (Service)879"/>
    <n v="0"/>
  </r>
  <r>
    <x v="27"/>
    <x v="15"/>
    <s v="Pension Expenses (Service)880"/>
    <n v="15.980000000000004"/>
  </r>
  <r>
    <x v="27"/>
    <x v="16"/>
    <s v="Pension Expenses (Service)881"/>
    <n v="0"/>
  </r>
  <r>
    <x v="27"/>
    <x v="17"/>
    <s v="Pension Expenses (Service)885"/>
    <n v="0"/>
  </r>
  <r>
    <x v="27"/>
    <x v="18"/>
    <s v="Pension Expenses (Service)886"/>
    <n v="0"/>
  </r>
  <r>
    <x v="27"/>
    <x v="19"/>
    <s v="Pension Expenses (Service)887"/>
    <n v="0"/>
  </r>
  <r>
    <x v="27"/>
    <x v="20"/>
    <s v="Pension Expenses (Service)889"/>
    <n v="0"/>
  </r>
  <r>
    <x v="27"/>
    <x v="21"/>
    <s v="Pension Expenses (Service)890"/>
    <n v="0"/>
  </r>
  <r>
    <x v="27"/>
    <x v="22"/>
    <s v="Pension Expenses (Service)892"/>
    <n v="0"/>
  </r>
  <r>
    <x v="27"/>
    <x v="23"/>
    <s v="Pension Expenses (Service)893"/>
    <n v="0"/>
  </r>
  <r>
    <x v="27"/>
    <x v="24"/>
    <s v="Pension Expenses (Service)894"/>
    <n v="0"/>
  </r>
  <r>
    <x v="27"/>
    <x v="25"/>
    <s v="Pension Expenses (Service)902"/>
    <n v="0"/>
  </r>
  <r>
    <x v="27"/>
    <x v="26"/>
    <s v="Pension Expenses (Service)903"/>
    <n v="0"/>
  </r>
  <r>
    <x v="27"/>
    <x v="27"/>
    <s v="Pension Expenses (Service)904"/>
    <n v="0"/>
  </r>
  <r>
    <x v="27"/>
    <x v="28"/>
    <s v="Pension Expenses (Service)905"/>
    <n v="0"/>
  </r>
  <r>
    <x v="27"/>
    <x v="29"/>
    <s v="Pension Expenses (Service)907"/>
    <n v="0"/>
  </r>
  <r>
    <x v="27"/>
    <x v="30"/>
    <s v="Pension Expenses (Service)908"/>
    <n v="0"/>
  </r>
  <r>
    <x v="27"/>
    <x v="31"/>
    <s v="Pension Expenses (Service)909"/>
    <n v="0"/>
  </r>
  <r>
    <x v="27"/>
    <x v="32"/>
    <s v="Pension Expenses (Service)910"/>
    <n v="0"/>
  </r>
  <r>
    <x v="27"/>
    <x v="33"/>
    <s v="Pension Expenses (Service)911"/>
    <n v="0"/>
  </r>
  <r>
    <x v="27"/>
    <x v="34"/>
    <s v="Pension Expenses (Service)912"/>
    <n v="0"/>
  </r>
  <r>
    <x v="27"/>
    <x v="35"/>
    <s v="Pension Expenses (Service)913"/>
    <n v="0"/>
  </r>
  <r>
    <x v="27"/>
    <x v="36"/>
    <s v="Pension Expenses (Service)920"/>
    <n v="0"/>
  </r>
  <r>
    <x v="27"/>
    <x v="37"/>
    <s v="Pension Expenses (Service)921"/>
    <n v="0"/>
  </r>
  <r>
    <x v="27"/>
    <x v="38"/>
    <s v="Pension Expenses (Service)923"/>
    <n v="0"/>
  </r>
  <r>
    <x v="27"/>
    <x v="39"/>
    <s v="Pension Expenses (Service)924"/>
    <n v="0"/>
  </r>
  <r>
    <x v="27"/>
    <x v="40"/>
    <s v="Pension Expenses (Service)925"/>
    <n v="0"/>
  </r>
  <r>
    <x v="27"/>
    <x v="41"/>
    <s v="Pension Expenses (Service)926"/>
    <n v="-4714.5500000000175"/>
  </r>
  <r>
    <x v="27"/>
    <x v="42"/>
    <s v="Pension Expenses (Service)928"/>
    <n v="0"/>
  </r>
  <r>
    <x v="27"/>
    <x v="49"/>
    <s v="Pension Expenses (Service)930"/>
    <n v="0"/>
  </r>
  <r>
    <x v="27"/>
    <x v="45"/>
    <s v="Pension Expenses (Service)931"/>
    <n v="0"/>
  </r>
  <r>
    <x v="27"/>
    <x v="46"/>
    <s v="Pension Expenses (Service)932"/>
    <n v="0"/>
  </r>
  <r>
    <x v="27"/>
    <x v="47"/>
    <s v="Pension Expenses (Service)935"/>
    <n v="0"/>
  </r>
  <r>
    <x v="27"/>
    <x v="48"/>
    <m/>
    <n v="-4706.2200000000175"/>
  </r>
  <r>
    <x v="28"/>
    <x v="0"/>
    <s v="Postage801"/>
    <n v="0"/>
  </r>
  <r>
    <x v="28"/>
    <x v="1"/>
    <s v="Postage803"/>
    <n v="0"/>
  </r>
  <r>
    <x v="28"/>
    <x v="2"/>
    <s v="Postage804"/>
    <n v="0"/>
  </r>
  <r>
    <x v="28"/>
    <x v="3"/>
    <s v="Postage805"/>
    <n v="0"/>
  </r>
  <r>
    <x v="28"/>
    <x v="4"/>
    <s v="Postage806"/>
    <n v="0"/>
  </r>
  <r>
    <x v="28"/>
    <x v="5"/>
    <s v="Postage807"/>
    <n v="0"/>
  </r>
  <r>
    <x v="28"/>
    <x v="6"/>
    <s v="Postage808"/>
    <n v="0"/>
  </r>
  <r>
    <x v="28"/>
    <x v="7"/>
    <s v="Postage812"/>
    <n v="0"/>
  </r>
  <r>
    <x v="28"/>
    <x v="8"/>
    <s v="Postage870"/>
    <n v="0"/>
  </r>
  <r>
    <x v="28"/>
    <x v="9"/>
    <s v="Postage871"/>
    <n v="0"/>
  </r>
  <r>
    <x v="28"/>
    <x v="10"/>
    <s v="Postage874"/>
    <n v="0"/>
  </r>
  <r>
    <x v="28"/>
    <x v="11"/>
    <s v="Postage875"/>
    <n v="0"/>
  </r>
  <r>
    <x v="28"/>
    <x v="12"/>
    <s v="Postage876"/>
    <n v="0"/>
  </r>
  <r>
    <x v="28"/>
    <x v="13"/>
    <s v="Postage878"/>
    <n v="0"/>
  </r>
  <r>
    <x v="28"/>
    <x v="14"/>
    <s v="Postage879"/>
    <n v="0"/>
  </r>
  <r>
    <x v="28"/>
    <x v="15"/>
    <s v="Postage880"/>
    <n v="0"/>
  </r>
  <r>
    <x v="28"/>
    <x v="16"/>
    <s v="Postage881"/>
    <n v="0"/>
  </r>
  <r>
    <x v="28"/>
    <x v="17"/>
    <s v="Postage885"/>
    <n v="0"/>
  </r>
  <r>
    <x v="28"/>
    <x v="18"/>
    <s v="Postage886"/>
    <n v="0"/>
  </r>
  <r>
    <x v="28"/>
    <x v="19"/>
    <s v="Postage887"/>
    <n v="0"/>
  </r>
  <r>
    <x v="28"/>
    <x v="20"/>
    <s v="Postage889"/>
    <n v="0"/>
  </r>
  <r>
    <x v="28"/>
    <x v="21"/>
    <s v="Postage890"/>
    <n v="0"/>
  </r>
  <r>
    <x v="28"/>
    <x v="22"/>
    <s v="Postage892"/>
    <n v="0"/>
  </r>
  <r>
    <x v="28"/>
    <x v="23"/>
    <s v="Postage893"/>
    <n v="0"/>
  </r>
  <r>
    <x v="28"/>
    <x v="24"/>
    <s v="Postage894"/>
    <n v="0"/>
  </r>
  <r>
    <x v="28"/>
    <x v="25"/>
    <s v="Postage902"/>
    <n v="0"/>
  </r>
  <r>
    <x v="28"/>
    <x v="26"/>
    <s v="Postage903"/>
    <n v="0"/>
  </r>
  <r>
    <x v="28"/>
    <x v="27"/>
    <s v="Postage904"/>
    <n v="0"/>
  </r>
  <r>
    <x v="28"/>
    <x v="28"/>
    <s v="Postage905"/>
    <n v="0"/>
  </r>
  <r>
    <x v="28"/>
    <x v="29"/>
    <s v="Postage907"/>
    <n v="0"/>
  </r>
  <r>
    <x v="28"/>
    <x v="30"/>
    <s v="Postage908"/>
    <n v="0"/>
  </r>
  <r>
    <x v="28"/>
    <x v="31"/>
    <s v="Postage909"/>
    <n v="0"/>
  </r>
  <r>
    <x v="28"/>
    <x v="32"/>
    <s v="Postage910"/>
    <n v="0"/>
  </r>
  <r>
    <x v="28"/>
    <x v="33"/>
    <s v="Postage911"/>
    <n v="0"/>
  </r>
  <r>
    <x v="28"/>
    <x v="34"/>
    <s v="Postage912"/>
    <n v="0"/>
  </r>
  <r>
    <x v="28"/>
    <x v="35"/>
    <s v="Postage913"/>
    <n v="0"/>
  </r>
  <r>
    <x v="28"/>
    <x v="36"/>
    <s v="Postage920"/>
    <n v="0"/>
  </r>
  <r>
    <x v="28"/>
    <x v="37"/>
    <s v="Postage921"/>
    <n v="0"/>
  </r>
  <r>
    <x v="28"/>
    <x v="38"/>
    <s v="Postage923"/>
    <n v="0"/>
  </r>
  <r>
    <x v="28"/>
    <x v="39"/>
    <s v="Postage924"/>
    <n v="0"/>
  </r>
  <r>
    <x v="28"/>
    <x v="40"/>
    <s v="Postage925"/>
    <n v="0"/>
  </r>
  <r>
    <x v="28"/>
    <x v="41"/>
    <s v="Postage926"/>
    <n v="0"/>
  </r>
  <r>
    <x v="28"/>
    <x v="42"/>
    <s v="Postage928"/>
    <n v="0"/>
  </r>
  <r>
    <x v="28"/>
    <x v="43"/>
    <s v="Postage9301"/>
    <n v="0"/>
  </r>
  <r>
    <x v="28"/>
    <x v="44"/>
    <s v="Postage9302"/>
    <n v="0"/>
  </r>
  <r>
    <x v="28"/>
    <x v="45"/>
    <s v="Postage931"/>
    <n v="0"/>
  </r>
  <r>
    <x v="28"/>
    <x v="46"/>
    <s v="Postage932"/>
    <n v="0"/>
  </r>
  <r>
    <x v="28"/>
    <x v="47"/>
    <s v="Postage935"/>
    <n v="0"/>
  </r>
  <r>
    <x v="28"/>
    <x v="48"/>
    <m/>
    <n v="0"/>
  </r>
  <r>
    <x v="29"/>
    <x v="0"/>
    <s v="Post-Employment Benefits - FAS112801"/>
    <n v="0"/>
  </r>
  <r>
    <x v="29"/>
    <x v="1"/>
    <s v="Post-Employment Benefits - FAS112803"/>
    <n v="0"/>
  </r>
  <r>
    <x v="29"/>
    <x v="2"/>
    <s v="Post-Employment Benefits - FAS112804"/>
    <n v="0"/>
  </r>
  <r>
    <x v="29"/>
    <x v="3"/>
    <s v="Post-Employment Benefits - FAS112805"/>
    <n v="0"/>
  </r>
  <r>
    <x v="29"/>
    <x v="4"/>
    <s v="Post-Employment Benefits - FAS112806"/>
    <n v="0"/>
  </r>
  <r>
    <x v="29"/>
    <x v="5"/>
    <s v="Post-Employment Benefits - FAS112807"/>
    <n v="0"/>
  </r>
  <r>
    <x v="29"/>
    <x v="6"/>
    <s v="Post-Employment Benefits - FAS112808"/>
    <n v="0"/>
  </r>
  <r>
    <x v="29"/>
    <x v="7"/>
    <s v="Post-Employment Benefits - FAS112812"/>
    <n v="0"/>
  </r>
  <r>
    <x v="29"/>
    <x v="8"/>
    <s v="Post-Employment Benefits - FAS112870"/>
    <n v="0"/>
  </r>
  <r>
    <x v="29"/>
    <x v="9"/>
    <s v="Post-Employment Benefits - FAS112871"/>
    <n v="0"/>
  </r>
  <r>
    <x v="29"/>
    <x v="10"/>
    <s v="Post-Employment Benefits - FAS112874"/>
    <n v="0"/>
  </r>
  <r>
    <x v="29"/>
    <x v="11"/>
    <s v="Post-Employment Benefits - FAS112875"/>
    <n v="0"/>
  </r>
  <r>
    <x v="29"/>
    <x v="12"/>
    <s v="Post-Employment Benefits - FAS112876"/>
    <n v="0"/>
  </r>
  <r>
    <x v="29"/>
    <x v="13"/>
    <s v="Post-Employment Benefits - FAS112878"/>
    <n v="0"/>
  </r>
  <r>
    <x v="29"/>
    <x v="14"/>
    <s v="Post-Employment Benefits - FAS112879"/>
    <n v="0"/>
  </r>
  <r>
    <x v="29"/>
    <x v="15"/>
    <s v="Post-Employment Benefits - FAS112880"/>
    <n v="0"/>
  </r>
  <r>
    <x v="29"/>
    <x v="16"/>
    <s v="Post-Employment Benefits - FAS112881"/>
    <n v="0"/>
  </r>
  <r>
    <x v="29"/>
    <x v="17"/>
    <s v="Post-Employment Benefits - FAS112885"/>
    <n v="0"/>
  </r>
  <r>
    <x v="29"/>
    <x v="18"/>
    <s v="Post-Employment Benefits - FAS112886"/>
    <n v="0"/>
  </r>
  <r>
    <x v="29"/>
    <x v="19"/>
    <s v="Post-Employment Benefits - FAS112887"/>
    <n v="0"/>
  </r>
  <r>
    <x v="29"/>
    <x v="20"/>
    <s v="Post-Employment Benefits - FAS112889"/>
    <n v="0"/>
  </r>
  <r>
    <x v="29"/>
    <x v="21"/>
    <s v="Post-Employment Benefits - FAS112890"/>
    <n v="0"/>
  </r>
  <r>
    <x v="29"/>
    <x v="22"/>
    <s v="Post-Employment Benefits - FAS112892"/>
    <n v="0"/>
  </r>
  <r>
    <x v="29"/>
    <x v="23"/>
    <s v="Post-Employment Benefits - FAS112893"/>
    <n v="0"/>
  </r>
  <r>
    <x v="29"/>
    <x v="24"/>
    <s v="Post-Employment Benefits - FAS112894"/>
    <n v="0"/>
  </r>
  <r>
    <x v="29"/>
    <x v="25"/>
    <s v="Post-Employment Benefits - FAS112902"/>
    <n v="0"/>
  </r>
  <r>
    <x v="29"/>
    <x v="26"/>
    <s v="Post-Employment Benefits - FAS112903"/>
    <n v="0"/>
  </r>
  <r>
    <x v="29"/>
    <x v="27"/>
    <s v="Post-Employment Benefits - FAS112904"/>
    <n v="0"/>
  </r>
  <r>
    <x v="29"/>
    <x v="28"/>
    <s v="Post-Employment Benefits - FAS112905"/>
    <n v="0"/>
  </r>
  <r>
    <x v="29"/>
    <x v="29"/>
    <s v="Post-Employment Benefits - FAS112907"/>
    <n v="0"/>
  </r>
  <r>
    <x v="29"/>
    <x v="30"/>
    <s v="Post-Employment Benefits - FAS112908"/>
    <n v="0"/>
  </r>
  <r>
    <x v="29"/>
    <x v="31"/>
    <s v="Post-Employment Benefits - FAS112909"/>
    <n v="0"/>
  </r>
  <r>
    <x v="29"/>
    <x v="32"/>
    <s v="Post-Employment Benefits - FAS112910"/>
    <n v="0"/>
  </r>
  <r>
    <x v="29"/>
    <x v="33"/>
    <s v="Post-Employment Benefits - FAS112911"/>
    <n v="0"/>
  </r>
  <r>
    <x v="29"/>
    <x v="34"/>
    <s v="Post-Employment Benefits - FAS112912"/>
    <n v="0"/>
  </r>
  <r>
    <x v="29"/>
    <x v="35"/>
    <s v="Post-Employment Benefits - FAS112913"/>
    <n v="0"/>
  </r>
  <r>
    <x v="29"/>
    <x v="36"/>
    <s v="Post-Employment Benefits - FAS112920"/>
    <n v="0"/>
  </r>
  <r>
    <x v="29"/>
    <x v="37"/>
    <s v="Post-Employment Benefits - FAS112921"/>
    <n v="0"/>
  </r>
  <r>
    <x v="29"/>
    <x v="38"/>
    <s v="Post-Employment Benefits - FAS112923"/>
    <n v="0"/>
  </r>
  <r>
    <x v="29"/>
    <x v="39"/>
    <s v="Post-Employment Benefits - FAS112924"/>
    <n v="0"/>
  </r>
  <r>
    <x v="29"/>
    <x v="40"/>
    <s v="Post-Employment Benefits - FAS112925"/>
    <n v="0"/>
  </r>
  <r>
    <x v="29"/>
    <x v="41"/>
    <s v="Post-Employment Benefits - FAS112926"/>
    <n v="-20233.37"/>
  </r>
  <r>
    <x v="29"/>
    <x v="42"/>
    <s v="Post-Employment Benefits - FAS112928"/>
    <n v="0"/>
  </r>
  <r>
    <x v="29"/>
    <x v="49"/>
    <s v="Post-Employment Benefits - FAS112930"/>
    <n v="0"/>
  </r>
  <r>
    <x v="29"/>
    <x v="45"/>
    <s v="Post-Employment Benefits - FAS112931"/>
    <n v="0"/>
  </r>
  <r>
    <x v="29"/>
    <x v="46"/>
    <s v="Post-Employment Benefits - FAS112932"/>
    <n v="0"/>
  </r>
  <r>
    <x v="29"/>
    <x v="47"/>
    <s v="Post-Employment Benefits - FAS112935"/>
    <n v="0"/>
  </r>
  <r>
    <x v="29"/>
    <x v="48"/>
    <m/>
    <n v="-20233.37"/>
  </r>
  <r>
    <x v="30"/>
    <x v="0"/>
    <s v="Profit Sharing801"/>
    <n v="0"/>
  </r>
  <r>
    <x v="30"/>
    <x v="1"/>
    <s v="Profit Sharing803"/>
    <n v="0"/>
  </r>
  <r>
    <x v="30"/>
    <x v="2"/>
    <s v="Profit Sharing804"/>
    <n v="0"/>
  </r>
  <r>
    <x v="30"/>
    <x v="3"/>
    <s v="Profit Sharing805"/>
    <n v="0"/>
  </r>
  <r>
    <x v="30"/>
    <x v="4"/>
    <s v="Profit Sharing806"/>
    <n v="0"/>
  </r>
  <r>
    <x v="30"/>
    <x v="5"/>
    <s v="Profit Sharing807"/>
    <n v="0"/>
  </r>
  <r>
    <x v="30"/>
    <x v="6"/>
    <s v="Profit Sharing808"/>
    <n v="0"/>
  </r>
  <r>
    <x v="30"/>
    <x v="7"/>
    <s v="Profit Sharing812"/>
    <n v="0"/>
  </r>
  <r>
    <x v="30"/>
    <x v="8"/>
    <s v="Profit Sharing870"/>
    <n v="0"/>
  </r>
  <r>
    <x v="30"/>
    <x v="9"/>
    <s v="Profit Sharing871"/>
    <n v="0"/>
  </r>
  <r>
    <x v="30"/>
    <x v="10"/>
    <s v="Profit Sharing874"/>
    <n v="0"/>
  </r>
  <r>
    <x v="30"/>
    <x v="11"/>
    <s v="Profit Sharing875"/>
    <n v="0"/>
  </r>
  <r>
    <x v="30"/>
    <x v="12"/>
    <s v="Profit Sharing876"/>
    <n v="0"/>
  </r>
  <r>
    <x v="30"/>
    <x v="13"/>
    <s v="Profit Sharing878"/>
    <n v="0"/>
  </r>
  <r>
    <x v="30"/>
    <x v="14"/>
    <s v="Profit Sharing879"/>
    <n v="0"/>
  </r>
  <r>
    <x v="30"/>
    <x v="15"/>
    <s v="Profit Sharing880"/>
    <n v="0"/>
  </r>
  <r>
    <x v="30"/>
    <x v="16"/>
    <s v="Profit Sharing881"/>
    <n v="0"/>
  </r>
  <r>
    <x v="30"/>
    <x v="17"/>
    <s v="Profit Sharing885"/>
    <n v="0"/>
  </r>
  <r>
    <x v="30"/>
    <x v="18"/>
    <s v="Profit Sharing886"/>
    <n v="0"/>
  </r>
  <r>
    <x v="30"/>
    <x v="19"/>
    <s v="Profit Sharing887"/>
    <n v="0"/>
  </r>
  <r>
    <x v="30"/>
    <x v="20"/>
    <s v="Profit Sharing889"/>
    <n v="0"/>
  </r>
  <r>
    <x v="30"/>
    <x v="21"/>
    <s v="Profit Sharing890"/>
    <n v="0"/>
  </r>
  <r>
    <x v="30"/>
    <x v="22"/>
    <s v="Profit Sharing892"/>
    <n v="0"/>
  </r>
  <r>
    <x v="30"/>
    <x v="23"/>
    <s v="Profit Sharing893"/>
    <n v="0"/>
  </r>
  <r>
    <x v="30"/>
    <x v="24"/>
    <s v="Profit Sharing894"/>
    <n v="0"/>
  </r>
  <r>
    <x v="30"/>
    <x v="25"/>
    <s v="Profit Sharing902"/>
    <n v="0"/>
  </r>
  <r>
    <x v="30"/>
    <x v="26"/>
    <s v="Profit Sharing903"/>
    <n v="0"/>
  </r>
  <r>
    <x v="30"/>
    <x v="27"/>
    <s v="Profit Sharing904"/>
    <n v="0"/>
  </r>
  <r>
    <x v="30"/>
    <x v="28"/>
    <s v="Profit Sharing905"/>
    <n v="0"/>
  </r>
  <r>
    <x v="30"/>
    <x v="29"/>
    <s v="Profit Sharing907"/>
    <n v="0"/>
  </r>
  <r>
    <x v="30"/>
    <x v="30"/>
    <s v="Profit Sharing908"/>
    <n v="0"/>
  </r>
  <r>
    <x v="30"/>
    <x v="31"/>
    <s v="Profit Sharing909"/>
    <n v="0"/>
  </r>
  <r>
    <x v="30"/>
    <x v="32"/>
    <s v="Profit Sharing910"/>
    <n v="0"/>
  </r>
  <r>
    <x v="30"/>
    <x v="33"/>
    <s v="Profit Sharing911"/>
    <n v="0"/>
  </r>
  <r>
    <x v="30"/>
    <x v="34"/>
    <s v="Profit Sharing912"/>
    <n v="0"/>
  </r>
  <r>
    <x v="30"/>
    <x v="35"/>
    <s v="Profit Sharing913"/>
    <n v="0"/>
  </r>
  <r>
    <x v="30"/>
    <x v="36"/>
    <s v="Profit Sharing920"/>
    <n v="0"/>
  </r>
  <r>
    <x v="30"/>
    <x v="37"/>
    <s v="Profit Sharing921"/>
    <n v="0"/>
  </r>
  <r>
    <x v="30"/>
    <x v="38"/>
    <s v="Profit Sharing923"/>
    <n v="0"/>
  </r>
  <r>
    <x v="30"/>
    <x v="39"/>
    <s v="Profit Sharing924"/>
    <n v="0"/>
  </r>
  <r>
    <x v="30"/>
    <x v="40"/>
    <s v="Profit Sharing925"/>
    <n v="0"/>
  </r>
  <r>
    <x v="30"/>
    <x v="41"/>
    <s v="Profit Sharing926"/>
    <n v="-61229.439999999988"/>
  </r>
  <r>
    <x v="30"/>
    <x v="42"/>
    <s v="Profit Sharing928"/>
    <n v="0"/>
  </r>
  <r>
    <x v="30"/>
    <x v="49"/>
    <s v="Profit Sharing930"/>
    <n v="0"/>
  </r>
  <r>
    <x v="30"/>
    <x v="45"/>
    <s v="Profit Sharing931"/>
    <n v="0"/>
  </r>
  <r>
    <x v="30"/>
    <x v="46"/>
    <s v="Profit Sharing932"/>
    <n v="0"/>
  </r>
  <r>
    <x v="30"/>
    <x v="47"/>
    <s v="Profit Sharing935"/>
    <n v="0"/>
  </r>
  <r>
    <x v="30"/>
    <x v="48"/>
    <m/>
    <n v="-61229.439999999988"/>
  </r>
  <r>
    <x v="31"/>
    <x v="0"/>
    <s v="Rents &amp; Leases (Buildings)801"/>
    <n v="0"/>
  </r>
  <r>
    <x v="31"/>
    <x v="1"/>
    <s v="Rents &amp; Leases (Buildings)803"/>
    <n v="0"/>
  </r>
  <r>
    <x v="31"/>
    <x v="2"/>
    <s v="Rents &amp; Leases (Buildings)804"/>
    <n v="0"/>
  </r>
  <r>
    <x v="31"/>
    <x v="3"/>
    <s v="Rents &amp; Leases (Buildings)805"/>
    <n v="0"/>
  </r>
  <r>
    <x v="31"/>
    <x v="4"/>
    <s v="Rents &amp; Leases (Buildings)806"/>
    <n v="0"/>
  </r>
  <r>
    <x v="31"/>
    <x v="5"/>
    <s v="Rents &amp; Leases (Buildings)807"/>
    <n v="0"/>
  </r>
  <r>
    <x v="31"/>
    <x v="6"/>
    <s v="Rents &amp; Leases (Buildings)808"/>
    <n v="0"/>
  </r>
  <r>
    <x v="31"/>
    <x v="7"/>
    <s v="Rents &amp; Leases (Buildings)812"/>
    <n v="0"/>
  </r>
  <r>
    <x v="31"/>
    <x v="8"/>
    <s v="Rents &amp; Leases (Buildings)870"/>
    <n v="0"/>
  </r>
  <r>
    <x v="31"/>
    <x v="9"/>
    <s v="Rents &amp; Leases (Buildings)871"/>
    <n v="0"/>
  </r>
  <r>
    <x v="31"/>
    <x v="10"/>
    <s v="Rents &amp; Leases (Buildings)874"/>
    <n v="0"/>
  </r>
  <r>
    <x v="31"/>
    <x v="11"/>
    <s v="Rents &amp; Leases (Buildings)875"/>
    <n v="0"/>
  </r>
  <r>
    <x v="31"/>
    <x v="12"/>
    <s v="Rents &amp; Leases (Buildings)876"/>
    <n v="0"/>
  </r>
  <r>
    <x v="31"/>
    <x v="13"/>
    <s v="Rents &amp; Leases (Buildings)878"/>
    <n v="0"/>
  </r>
  <r>
    <x v="31"/>
    <x v="14"/>
    <s v="Rents &amp; Leases (Buildings)879"/>
    <n v="0"/>
  </r>
  <r>
    <x v="31"/>
    <x v="15"/>
    <s v="Rents &amp; Leases (Buildings)880"/>
    <n v="0"/>
  </r>
  <r>
    <x v="31"/>
    <x v="16"/>
    <s v="Rents &amp; Leases (Buildings)881"/>
    <n v="-4306.1500000000015"/>
  </r>
  <r>
    <x v="31"/>
    <x v="17"/>
    <s v="Rents &amp; Leases (Buildings)885"/>
    <n v="0"/>
  </r>
  <r>
    <x v="31"/>
    <x v="18"/>
    <s v="Rents &amp; Leases (Buildings)886"/>
    <n v="0"/>
  </r>
  <r>
    <x v="31"/>
    <x v="19"/>
    <s v="Rents &amp; Leases (Buildings)887"/>
    <n v="0"/>
  </r>
  <r>
    <x v="31"/>
    <x v="20"/>
    <s v="Rents &amp; Leases (Buildings)889"/>
    <n v="0"/>
  </r>
  <r>
    <x v="31"/>
    <x v="21"/>
    <s v="Rents &amp; Leases (Buildings)890"/>
    <n v="0"/>
  </r>
  <r>
    <x v="31"/>
    <x v="22"/>
    <s v="Rents &amp; Leases (Buildings)892"/>
    <n v="0"/>
  </r>
  <r>
    <x v="31"/>
    <x v="23"/>
    <s v="Rents &amp; Leases (Buildings)893"/>
    <n v="0"/>
  </r>
  <r>
    <x v="31"/>
    <x v="24"/>
    <s v="Rents &amp; Leases (Buildings)894"/>
    <n v="0"/>
  </r>
  <r>
    <x v="31"/>
    <x v="25"/>
    <s v="Rents &amp; Leases (Buildings)902"/>
    <n v="0"/>
  </r>
  <r>
    <x v="31"/>
    <x v="26"/>
    <s v="Rents &amp; Leases (Buildings)903"/>
    <n v="0"/>
  </r>
  <r>
    <x v="31"/>
    <x v="27"/>
    <s v="Rents &amp; Leases (Buildings)904"/>
    <n v="0"/>
  </r>
  <r>
    <x v="31"/>
    <x v="28"/>
    <s v="Rents &amp; Leases (Buildings)905"/>
    <n v="0"/>
  </r>
  <r>
    <x v="31"/>
    <x v="29"/>
    <s v="Rents &amp; Leases (Buildings)907"/>
    <n v="0"/>
  </r>
  <r>
    <x v="31"/>
    <x v="30"/>
    <s v="Rents &amp; Leases (Buildings)908"/>
    <n v="0"/>
  </r>
  <r>
    <x v="31"/>
    <x v="31"/>
    <s v="Rents &amp; Leases (Buildings)909"/>
    <n v="0"/>
  </r>
  <r>
    <x v="31"/>
    <x v="32"/>
    <s v="Rents &amp; Leases (Buildings)910"/>
    <n v="0"/>
  </r>
  <r>
    <x v="31"/>
    <x v="33"/>
    <s v="Rents &amp; Leases (Buildings)911"/>
    <n v="0"/>
  </r>
  <r>
    <x v="31"/>
    <x v="34"/>
    <s v="Rents &amp; Leases (Buildings)912"/>
    <n v="0"/>
  </r>
  <r>
    <x v="31"/>
    <x v="35"/>
    <s v="Rents &amp; Leases (Buildings)913"/>
    <n v="0"/>
  </r>
  <r>
    <x v="31"/>
    <x v="36"/>
    <s v="Rents &amp; Leases (Buildings)920"/>
    <n v="0"/>
  </r>
  <r>
    <x v="31"/>
    <x v="37"/>
    <s v="Rents &amp; Leases (Buildings)921"/>
    <n v="0"/>
  </r>
  <r>
    <x v="31"/>
    <x v="38"/>
    <s v="Rents &amp; Leases (Buildings)923"/>
    <n v="0"/>
  </r>
  <r>
    <x v="31"/>
    <x v="39"/>
    <s v="Rents &amp; Leases (Buildings)924"/>
    <n v="0"/>
  </r>
  <r>
    <x v="31"/>
    <x v="40"/>
    <s v="Rents &amp; Leases (Buildings)925"/>
    <n v="0"/>
  </r>
  <r>
    <x v="31"/>
    <x v="41"/>
    <s v="Rents &amp; Leases (Buildings)926"/>
    <n v="0"/>
  </r>
  <r>
    <x v="31"/>
    <x v="42"/>
    <s v="Rents &amp; Leases (Buildings)928"/>
    <n v="0"/>
  </r>
  <r>
    <x v="31"/>
    <x v="43"/>
    <s v="Rents &amp; Leases (Buildings)9301"/>
    <n v="0"/>
  </r>
  <r>
    <x v="31"/>
    <x v="44"/>
    <s v="Rents &amp; Leases (Buildings)9302"/>
    <n v="18744.71"/>
  </r>
  <r>
    <x v="31"/>
    <x v="45"/>
    <s v="Rents &amp; Leases (Buildings)931"/>
    <n v="19232.280000000002"/>
  </r>
  <r>
    <x v="31"/>
    <x v="46"/>
    <s v="Rents &amp; Leases (Buildings)932"/>
    <n v="0"/>
  </r>
  <r>
    <x v="31"/>
    <x v="47"/>
    <s v="Rents &amp; Leases (Buildings)935"/>
    <n v="0"/>
  </r>
  <r>
    <x v="31"/>
    <x v="48"/>
    <s v="                     "/>
    <n v="33670.839999999997"/>
  </r>
  <r>
    <x v="32"/>
    <x v="0"/>
    <s v="Stock Compensation801"/>
    <n v="0"/>
  </r>
  <r>
    <x v="32"/>
    <x v="1"/>
    <s v="Stock Compensation803"/>
    <n v="0"/>
  </r>
  <r>
    <x v="32"/>
    <x v="2"/>
    <s v="Stock Compensation804"/>
    <n v="0"/>
  </r>
  <r>
    <x v="32"/>
    <x v="3"/>
    <s v="Stock Compensation805"/>
    <n v="0"/>
  </r>
  <r>
    <x v="32"/>
    <x v="4"/>
    <s v="Stock Compensation806"/>
    <n v="0"/>
  </r>
  <r>
    <x v="32"/>
    <x v="5"/>
    <s v="Stock Compensation807"/>
    <n v="0"/>
  </r>
  <r>
    <x v="32"/>
    <x v="6"/>
    <s v="Stock Compensation808"/>
    <n v="0"/>
  </r>
  <r>
    <x v="32"/>
    <x v="7"/>
    <s v="Stock Compensation812"/>
    <n v="0"/>
  </r>
  <r>
    <x v="32"/>
    <x v="8"/>
    <s v="Stock Compensation870"/>
    <n v="0"/>
  </r>
  <r>
    <x v="32"/>
    <x v="9"/>
    <s v="Stock Compensation871"/>
    <n v="0"/>
  </r>
  <r>
    <x v="32"/>
    <x v="10"/>
    <s v="Stock Compensation874"/>
    <n v="0"/>
  </r>
  <r>
    <x v="32"/>
    <x v="11"/>
    <s v="Stock Compensation875"/>
    <n v="0"/>
  </r>
  <r>
    <x v="32"/>
    <x v="12"/>
    <s v="Stock Compensation876"/>
    <n v="0"/>
  </r>
  <r>
    <x v="32"/>
    <x v="13"/>
    <s v="Stock Compensation878"/>
    <n v="0"/>
  </r>
  <r>
    <x v="32"/>
    <x v="14"/>
    <s v="Stock Compensation879"/>
    <n v="0"/>
  </r>
  <r>
    <x v="32"/>
    <x v="15"/>
    <s v="Stock Compensation880"/>
    <n v="0"/>
  </r>
  <r>
    <x v="32"/>
    <x v="16"/>
    <s v="Stock Compensation881"/>
    <n v="0"/>
  </r>
  <r>
    <x v="32"/>
    <x v="17"/>
    <s v="Stock Compensation885"/>
    <n v="0"/>
  </r>
  <r>
    <x v="32"/>
    <x v="18"/>
    <s v="Stock Compensation886"/>
    <n v="0"/>
  </r>
  <r>
    <x v="32"/>
    <x v="19"/>
    <s v="Stock Compensation887"/>
    <n v="0"/>
  </r>
  <r>
    <x v="32"/>
    <x v="20"/>
    <s v="Stock Compensation889"/>
    <n v="0"/>
  </r>
  <r>
    <x v="32"/>
    <x v="21"/>
    <s v="Stock Compensation890"/>
    <n v="0"/>
  </r>
  <r>
    <x v="32"/>
    <x v="22"/>
    <s v="Stock Compensation892"/>
    <n v="0"/>
  </r>
  <r>
    <x v="32"/>
    <x v="23"/>
    <s v="Stock Compensation893"/>
    <n v="0"/>
  </r>
  <r>
    <x v="32"/>
    <x v="24"/>
    <s v="Stock Compensation894"/>
    <n v="0"/>
  </r>
  <r>
    <x v="32"/>
    <x v="25"/>
    <s v="Stock Compensation902"/>
    <n v="0"/>
  </r>
  <r>
    <x v="32"/>
    <x v="26"/>
    <s v="Stock Compensation903"/>
    <n v="0"/>
  </r>
  <r>
    <x v="32"/>
    <x v="27"/>
    <s v="Stock Compensation904"/>
    <n v="0"/>
  </r>
  <r>
    <x v="32"/>
    <x v="28"/>
    <s v="Stock Compensation905"/>
    <n v="0"/>
  </r>
  <r>
    <x v="32"/>
    <x v="29"/>
    <s v="Stock Compensation907"/>
    <n v="0"/>
  </r>
  <r>
    <x v="32"/>
    <x v="30"/>
    <s v="Stock Compensation908"/>
    <n v="0"/>
  </r>
  <r>
    <x v="32"/>
    <x v="31"/>
    <s v="Stock Compensation909"/>
    <n v="0"/>
  </r>
  <r>
    <x v="32"/>
    <x v="32"/>
    <s v="Stock Compensation910"/>
    <n v="0"/>
  </r>
  <r>
    <x v="32"/>
    <x v="33"/>
    <s v="Stock Compensation911"/>
    <n v="0"/>
  </r>
  <r>
    <x v="32"/>
    <x v="34"/>
    <s v="Stock Compensation912"/>
    <n v="0"/>
  </r>
  <r>
    <x v="32"/>
    <x v="35"/>
    <s v="Stock Compensation913"/>
    <n v="0"/>
  </r>
  <r>
    <x v="32"/>
    <x v="36"/>
    <s v="Stock Compensation920"/>
    <n v="138346.46000000008"/>
  </r>
  <r>
    <x v="32"/>
    <x v="37"/>
    <s v="Stock Compensation921"/>
    <n v="0"/>
  </r>
  <r>
    <x v="32"/>
    <x v="38"/>
    <s v="Stock Compensation923"/>
    <n v="0"/>
  </r>
  <r>
    <x v="32"/>
    <x v="39"/>
    <s v="Stock Compensation924"/>
    <n v="0"/>
  </r>
  <r>
    <x v="32"/>
    <x v="40"/>
    <s v="Stock Compensation925"/>
    <n v="0"/>
  </r>
  <r>
    <x v="32"/>
    <x v="41"/>
    <s v="Stock Compensation926"/>
    <n v="3191.66"/>
  </r>
  <r>
    <x v="32"/>
    <x v="42"/>
    <s v="Stock Compensation928"/>
    <n v="0"/>
  </r>
  <r>
    <x v="32"/>
    <x v="49"/>
    <s v="Stock Compensation930"/>
    <n v="0"/>
  </r>
  <r>
    <x v="32"/>
    <x v="45"/>
    <s v="Stock Compensation931"/>
    <n v="0"/>
  </r>
  <r>
    <x v="32"/>
    <x v="46"/>
    <s v="Stock Compensation932"/>
    <n v="0"/>
  </r>
  <r>
    <x v="32"/>
    <x v="47"/>
    <s v="Stock Compensation935"/>
    <n v="0"/>
  </r>
  <r>
    <x v="32"/>
    <x v="48"/>
    <m/>
    <n v="141538.12000000008"/>
  </r>
  <r>
    <x v="33"/>
    <x v="0"/>
    <s v="Uncollectible Accounts - Non-Gas Cost801"/>
    <n v="0"/>
  </r>
  <r>
    <x v="33"/>
    <x v="1"/>
    <s v="Uncollectible Accounts - Non-Gas Cost803"/>
    <n v="0"/>
  </r>
  <r>
    <x v="33"/>
    <x v="2"/>
    <s v="Uncollectible Accounts - Non-Gas Cost804"/>
    <n v="0"/>
  </r>
  <r>
    <x v="33"/>
    <x v="3"/>
    <s v="Uncollectible Accounts - Non-Gas Cost805"/>
    <n v="0"/>
  </r>
  <r>
    <x v="33"/>
    <x v="4"/>
    <s v="Uncollectible Accounts - Non-Gas Cost806"/>
    <n v="0"/>
  </r>
  <r>
    <x v="33"/>
    <x v="5"/>
    <s v="Uncollectible Accounts - Non-Gas Cost807"/>
    <n v="0"/>
  </r>
  <r>
    <x v="33"/>
    <x v="6"/>
    <s v="Uncollectible Accounts - Non-Gas Cost808"/>
    <n v="0"/>
  </r>
  <r>
    <x v="33"/>
    <x v="7"/>
    <s v="Uncollectible Accounts - Non-Gas Cost812"/>
    <n v="0"/>
  </r>
  <r>
    <x v="33"/>
    <x v="8"/>
    <s v="Uncollectible Accounts - Non-Gas Cost870"/>
    <n v="0"/>
  </r>
  <r>
    <x v="33"/>
    <x v="9"/>
    <s v="Uncollectible Accounts - Non-Gas Cost871"/>
    <n v="0"/>
  </r>
  <r>
    <x v="33"/>
    <x v="10"/>
    <s v="Uncollectible Accounts - Non-Gas Cost874"/>
    <n v="0"/>
  </r>
  <r>
    <x v="33"/>
    <x v="11"/>
    <s v="Uncollectible Accounts - Non-Gas Cost875"/>
    <n v="0"/>
  </r>
  <r>
    <x v="33"/>
    <x v="12"/>
    <s v="Uncollectible Accounts - Non-Gas Cost876"/>
    <n v="0"/>
  </r>
  <r>
    <x v="33"/>
    <x v="13"/>
    <s v="Uncollectible Accounts - Non-Gas Cost878"/>
    <n v="0"/>
  </r>
  <r>
    <x v="33"/>
    <x v="14"/>
    <s v="Uncollectible Accounts - Non-Gas Cost879"/>
    <n v="0"/>
  </r>
  <r>
    <x v="33"/>
    <x v="15"/>
    <s v="Uncollectible Accounts - Non-Gas Cost880"/>
    <n v="0"/>
  </r>
  <r>
    <x v="33"/>
    <x v="16"/>
    <s v="Uncollectible Accounts - Non-Gas Cost881"/>
    <n v="0"/>
  </r>
  <r>
    <x v="33"/>
    <x v="17"/>
    <s v="Uncollectible Accounts - Non-Gas Cost885"/>
    <n v="0"/>
  </r>
  <r>
    <x v="33"/>
    <x v="18"/>
    <s v="Uncollectible Accounts - Non-Gas Cost886"/>
    <n v="0"/>
  </r>
  <r>
    <x v="33"/>
    <x v="19"/>
    <s v="Uncollectible Accounts - Non-Gas Cost887"/>
    <n v="0"/>
  </r>
  <r>
    <x v="33"/>
    <x v="20"/>
    <s v="Uncollectible Accounts - Non-Gas Cost889"/>
    <n v="0"/>
  </r>
  <r>
    <x v="33"/>
    <x v="21"/>
    <s v="Uncollectible Accounts - Non-Gas Cost890"/>
    <n v="0"/>
  </r>
  <r>
    <x v="33"/>
    <x v="22"/>
    <s v="Uncollectible Accounts - Non-Gas Cost892"/>
    <n v="0"/>
  </r>
  <r>
    <x v="33"/>
    <x v="23"/>
    <s v="Uncollectible Accounts - Non-Gas Cost893"/>
    <n v="0"/>
  </r>
  <r>
    <x v="33"/>
    <x v="24"/>
    <s v="Uncollectible Accounts - Non-Gas Cost894"/>
    <n v="0"/>
  </r>
  <r>
    <x v="33"/>
    <x v="25"/>
    <s v="Uncollectible Accounts - Non-Gas Cost902"/>
    <n v="0"/>
  </r>
  <r>
    <x v="33"/>
    <x v="26"/>
    <s v="Uncollectible Accounts - Non-Gas Cost903"/>
    <n v="0"/>
  </r>
  <r>
    <x v="33"/>
    <x v="27"/>
    <s v="Uncollectible Accounts - Non-Gas Cost904"/>
    <n v="-44320.840000000084"/>
  </r>
  <r>
    <x v="33"/>
    <x v="28"/>
    <s v="Uncollectible Accounts - Non-Gas Cost905"/>
    <n v="0"/>
  </r>
  <r>
    <x v="33"/>
    <x v="29"/>
    <s v="Uncollectible Accounts - Non-Gas Cost907"/>
    <n v="0"/>
  </r>
  <r>
    <x v="33"/>
    <x v="30"/>
    <s v="Uncollectible Accounts - Non-Gas Cost908"/>
    <n v="0"/>
  </r>
  <r>
    <x v="33"/>
    <x v="31"/>
    <s v="Uncollectible Accounts - Non-Gas Cost909"/>
    <n v="0"/>
  </r>
  <r>
    <x v="33"/>
    <x v="32"/>
    <s v="Uncollectible Accounts - Non-Gas Cost910"/>
    <n v="0"/>
  </r>
  <r>
    <x v="33"/>
    <x v="33"/>
    <s v="Uncollectible Accounts - Non-Gas Cost911"/>
    <n v="0"/>
  </r>
  <r>
    <x v="33"/>
    <x v="34"/>
    <s v="Uncollectible Accounts - Non-Gas Cost912"/>
    <n v="0"/>
  </r>
  <r>
    <x v="33"/>
    <x v="35"/>
    <s v="Uncollectible Accounts - Non-Gas Cost913"/>
    <n v="0"/>
  </r>
  <r>
    <x v="33"/>
    <x v="36"/>
    <s v="Uncollectible Accounts - Non-Gas Cost920"/>
    <n v="0"/>
  </r>
  <r>
    <x v="33"/>
    <x v="37"/>
    <s v="Uncollectible Accounts - Non-Gas Cost921"/>
    <n v="0"/>
  </r>
  <r>
    <x v="33"/>
    <x v="38"/>
    <s v="Uncollectible Accounts - Non-Gas Cost923"/>
    <n v="0"/>
  </r>
  <r>
    <x v="33"/>
    <x v="39"/>
    <s v="Uncollectible Accounts - Non-Gas Cost924"/>
    <n v="0"/>
  </r>
  <r>
    <x v="33"/>
    <x v="40"/>
    <s v="Uncollectible Accounts - Non-Gas Cost925"/>
    <n v="0"/>
  </r>
  <r>
    <x v="33"/>
    <x v="41"/>
    <s v="Uncollectible Accounts - Non-Gas Cost926"/>
    <n v="0"/>
  </r>
  <r>
    <x v="33"/>
    <x v="42"/>
    <s v="Uncollectible Accounts - Non-Gas Cost928"/>
    <n v="0"/>
  </r>
  <r>
    <x v="33"/>
    <x v="49"/>
    <s v="Uncollectible Accounts - Non-Gas Cost930"/>
    <n v="0"/>
  </r>
  <r>
    <x v="33"/>
    <x v="45"/>
    <s v="Uncollectible Accounts - Non-Gas Cost931"/>
    <n v="0"/>
  </r>
  <r>
    <x v="33"/>
    <x v="46"/>
    <s v="Uncollectible Accounts - Non-Gas Cost932"/>
    <n v="0"/>
  </r>
  <r>
    <x v="33"/>
    <x v="47"/>
    <s v="Uncollectible Accounts - Non-Gas Cost935"/>
    <n v="0"/>
  </r>
  <r>
    <x v="33"/>
    <x v="48"/>
    <m/>
    <n v="-44320.840000000084"/>
  </r>
  <r>
    <x v="34"/>
    <x v="0"/>
    <s v="Uncollectible Accounts - Gas Cost801"/>
    <n v="0"/>
  </r>
  <r>
    <x v="34"/>
    <x v="1"/>
    <s v="Uncollectible Accounts - Gas Cost803"/>
    <n v="0"/>
  </r>
  <r>
    <x v="34"/>
    <x v="2"/>
    <s v="Uncollectible Accounts - Gas Cost804"/>
    <n v="0"/>
  </r>
  <r>
    <x v="34"/>
    <x v="3"/>
    <s v="Uncollectible Accounts - Gas Cost805"/>
    <n v="0"/>
  </r>
  <r>
    <x v="34"/>
    <x v="4"/>
    <s v="Uncollectible Accounts - Gas Cost806"/>
    <n v="0"/>
  </r>
  <r>
    <x v="34"/>
    <x v="5"/>
    <s v="Uncollectible Accounts - Gas Cost807"/>
    <n v="0"/>
  </r>
  <r>
    <x v="34"/>
    <x v="6"/>
    <s v="Uncollectible Accounts - Gas Cost808"/>
    <n v="0"/>
  </r>
  <r>
    <x v="34"/>
    <x v="7"/>
    <s v="Uncollectible Accounts - Gas Cost812"/>
    <n v="0"/>
  </r>
  <r>
    <x v="34"/>
    <x v="8"/>
    <s v="Uncollectible Accounts - Gas Cost870"/>
    <n v="0"/>
  </r>
  <r>
    <x v="34"/>
    <x v="9"/>
    <s v="Uncollectible Accounts - Gas Cost871"/>
    <n v="0"/>
  </r>
  <r>
    <x v="34"/>
    <x v="10"/>
    <s v="Uncollectible Accounts - Gas Cost874"/>
    <n v="0"/>
  </r>
  <r>
    <x v="34"/>
    <x v="11"/>
    <s v="Uncollectible Accounts - Gas Cost875"/>
    <n v="0"/>
  </r>
  <r>
    <x v="34"/>
    <x v="12"/>
    <s v="Uncollectible Accounts - Gas Cost876"/>
    <n v="0"/>
  </r>
  <r>
    <x v="34"/>
    <x v="13"/>
    <s v="Uncollectible Accounts - Gas Cost878"/>
    <n v="0"/>
  </r>
  <r>
    <x v="34"/>
    <x v="14"/>
    <s v="Uncollectible Accounts - Gas Cost879"/>
    <n v="0"/>
  </r>
  <r>
    <x v="34"/>
    <x v="15"/>
    <s v="Uncollectible Accounts - Gas Cost880"/>
    <n v="0"/>
  </r>
  <r>
    <x v="34"/>
    <x v="16"/>
    <s v="Uncollectible Accounts - Gas Cost881"/>
    <n v="0"/>
  </r>
  <r>
    <x v="34"/>
    <x v="17"/>
    <s v="Uncollectible Accounts - Gas Cost885"/>
    <n v="0"/>
  </r>
  <r>
    <x v="34"/>
    <x v="18"/>
    <s v="Uncollectible Accounts - Gas Cost886"/>
    <n v="0"/>
  </r>
  <r>
    <x v="34"/>
    <x v="19"/>
    <s v="Uncollectible Accounts - Gas Cost887"/>
    <n v="0"/>
  </r>
  <r>
    <x v="34"/>
    <x v="20"/>
    <s v="Uncollectible Accounts - Gas Cost889"/>
    <n v="0"/>
  </r>
  <r>
    <x v="34"/>
    <x v="21"/>
    <s v="Uncollectible Accounts - Gas Cost890"/>
    <n v="0"/>
  </r>
  <r>
    <x v="34"/>
    <x v="22"/>
    <s v="Uncollectible Accounts - Gas Cost892"/>
    <n v="0"/>
  </r>
  <r>
    <x v="34"/>
    <x v="23"/>
    <s v="Uncollectible Accounts - Gas Cost893"/>
    <n v="0"/>
  </r>
  <r>
    <x v="34"/>
    <x v="24"/>
    <s v="Uncollectible Accounts - Gas Cost894"/>
    <n v="0"/>
  </r>
  <r>
    <x v="34"/>
    <x v="25"/>
    <s v="Uncollectible Accounts - Gas Cost902"/>
    <n v="0"/>
  </r>
  <r>
    <x v="34"/>
    <x v="26"/>
    <s v="Uncollectible Accounts - Gas Cost903"/>
    <n v="0"/>
  </r>
  <r>
    <x v="34"/>
    <x v="27"/>
    <s v="Uncollectible Accounts - Gas Cost904"/>
    <n v="182915.50000000009"/>
  </r>
  <r>
    <x v="34"/>
    <x v="28"/>
    <s v="Uncollectible Accounts - Gas Cost905"/>
    <n v="0"/>
  </r>
  <r>
    <x v="34"/>
    <x v="29"/>
    <s v="Uncollectible Accounts - Gas Cost907"/>
    <n v="0"/>
  </r>
  <r>
    <x v="34"/>
    <x v="30"/>
    <s v="Uncollectible Accounts - Gas Cost908"/>
    <n v="0"/>
  </r>
  <r>
    <x v="34"/>
    <x v="31"/>
    <s v="Uncollectible Accounts - Gas Cost909"/>
    <n v="0"/>
  </r>
  <r>
    <x v="34"/>
    <x v="32"/>
    <s v="Uncollectible Accounts - Gas Cost910"/>
    <n v="0"/>
  </r>
  <r>
    <x v="34"/>
    <x v="33"/>
    <s v="Uncollectible Accounts - Gas Cost911"/>
    <n v="0"/>
  </r>
  <r>
    <x v="34"/>
    <x v="34"/>
    <s v="Uncollectible Accounts - Gas Cost912"/>
    <n v="0"/>
  </r>
  <r>
    <x v="34"/>
    <x v="35"/>
    <s v="Uncollectible Accounts - Gas Cost913"/>
    <n v="0"/>
  </r>
  <r>
    <x v="34"/>
    <x v="36"/>
    <s v="Uncollectible Accounts - Gas Cost920"/>
    <n v="0"/>
  </r>
  <r>
    <x v="34"/>
    <x v="37"/>
    <s v="Uncollectible Accounts - Gas Cost921"/>
    <n v="0"/>
  </r>
  <r>
    <x v="34"/>
    <x v="38"/>
    <s v="Uncollectible Accounts - Gas Cost923"/>
    <n v="0"/>
  </r>
  <r>
    <x v="34"/>
    <x v="39"/>
    <s v="Uncollectible Accounts - Gas Cost924"/>
    <n v="0"/>
  </r>
  <r>
    <x v="34"/>
    <x v="40"/>
    <s v="Uncollectible Accounts - Gas Cost925"/>
    <n v="0"/>
  </r>
  <r>
    <x v="34"/>
    <x v="41"/>
    <s v="Uncollectible Accounts - Gas Cost926"/>
    <n v="0"/>
  </r>
  <r>
    <x v="34"/>
    <x v="42"/>
    <s v="Uncollectible Accounts - Gas Cost928"/>
    <n v="0"/>
  </r>
  <r>
    <x v="34"/>
    <x v="49"/>
    <s v="Uncollectible Accounts - Gas Cost930"/>
    <n v="0"/>
  </r>
  <r>
    <x v="34"/>
    <x v="45"/>
    <s v="Uncollectible Accounts - Gas Cost931"/>
    <n v="0"/>
  </r>
  <r>
    <x v="34"/>
    <x v="46"/>
    <s v="Uncollectible Accounts - Gas Cost932"/>
    <n v="0"/>
  </r>
  <r>
    <x v="34"/>
    <x v="47"/>
    <s v="Uncollectible Accounts - Gas Cost935"/>
    <n v="0"/>
  </r>
  <r>
    <x v="34"/>
    <x v="48"/>
    <m/>
    <n v="182915.50000000009"/>
  </r>
  <r>
    <x v="35"/>
    <x v="0"/>
    <s v="Utilities801"/>
    <n v="0"/>
  </r>
  <r>
    <x v="35"/>
    <x v="1"/>
    <s v="Utilities803"/>
    <n v="0"/>
  </r>
  <r>
    <x v="35"/>
    <x v="2"/>
    <s v="Utilities804"/>
    <n v="0"/>
  </r>
  <r>
    <x v="35"/>
    <x v="3"/>
    <s v="Utilities805"/>
    <n v="0"/>
  </r>
  <r>
    <x v="35"/>
    <x v="4"/>
    <s v="Utilities806"/>
    <n v="0"/>
  </r>
  <r>
    <x v="35"/>
    <x v="5"/>
    <s v="Utilities807"/>
    <n v="0"/>
  </r>
  <r>
    <x v="35"/>
    <x v="6"/>
    <s v="Utilities808"/>
    <n v="0"/>
  </r>
  <r>
    <x v="35"/>
    <x v="7"/>
    <s v="Utilities812"/>
    <n v="0"/>
  </r>
  <r>
    <x v="35"/>
    <x v="59"/>
    <s v="Utilities813"/>
    <n v="0"/>
  </r>
  <r>
    <x v="35"/>
    <x v="55"/>
    <s v="Utilities852"/>
    <n v="48.400000000000006"/>
  </r>
  <r>
    <x v="35"/>
    <x v="8"/>
    <s v="Utilities870"/>
    <n v="0"/>
  </r>
  <r>
    <x v="35"/>
    <x v="9"/>
    <s v="Utilities871"/>
    <n v="0"/>
  </r>
  <r>
    <x v="35"/>
    <x v="10"/>
    <s v="Utilities874"/>
    <n v="3317.8399999999892"/>
  </r>
  <r>
    <x v="35"/>
    <x v="11"/>
    <s v="Utilities875"/>
    <n v="2597.8200000000006"/>
  </r>
  <r>
    <x v="35"/>
    <x v="12"/>
    <s v="Utilities876"/>
    <n v="0"/>
  </r>
  <r>
    <x v="35"/>
    <x v="13"/>
    <s v="Utilities878"/>
    <n v="0"/>
  </r>
  <r>
    <x v="35"/>
    <x v="14"/>
    <s v="Utilities879"/>
    <n v="0"/>
  </r>
  <r>
    <x v="35"/>
    <x v="15"/>
    <s v="Utilities880"/>
    <n v="104723.75999999998"/>
  </r>
  <r>
    <x v="35"/>
    <x v="16"/>
    <s v="Utilities881"/>
    <n v="0"/>
  </r>
  <r>
    <x v="35"/>
    <x v="17"/>
    <s v="Utilities885"/>
    <n v="0"/>
  </r>
  <r>
    <x v="35"/>
    <x v="18"/>
    <s v="Utilities886"/>
    <n v="3056.1999999999989"/>
  </r>
  <r>
    <x v="35"/>
    <x v="19"/>
    <s v="Utilities887"/>
    <n v="11280.5"/>
  </r>
  <r>
    <x v="35"/>
    <x v="20"/>
    <s v="Utilities889"/>
    <n v="0"/>
  </r>
  <r>
    <x v="35"/>
    <x v="21"/>
    <s v="Utilities890"/>
    <n v="0"/>
  </r>
  <r>
    <x v="35"/>
    <x v="22"/>
    <s v="Utilities892"/>
    <n v="0"/>
  </r>
  <r>
    <x v="35"/>
    <x v="23"/>
    <s v="Utilities893"/>
    <n v="0"/>
  </r>
  <r>
    <x v="35"/>
    <x v="24"/>
    <s v="Utilities894"/>
    <n v="0"/>
  </r>
  <r>
    <x v="35"/>
    <x v="25"/>
    <s v="Utilities902"/>
    <n v="0"/>
  </r>
  <r>
    <x v="35"/>
    <x v="26"/>
    <s v="Utilities903"/>
    <n v="0"/>
  </r>
  <r>
    <x v="35"/>
    <x v="27"/>
    <s v="Utilities904"/>
    <n v="0"/>
  </r>
  <r>
    <x v="35"/>
    <x v="28"/>
    <s v="Utilities905"/>
    <n v="3041.4899999999961"/>
  </r>
  <r>
    <x v="35"/>
    <x v="29"/>
    <s v="Utilities907"/>
    <n v="0"/>
  </r>
  <r>
    <x v="35"/>
    <x v="30"/>
    <s v="Utilities908"/>
    <n v="0"/>
  </r>
  <r>
    <x v="35"/>
    <x v="31"/>
    <s v="Utilities909"/>
    <n v="0"/>
  </r>
  <r>
    <x v="35"/>
    <x v="32"/>
    <s v="Utilities910"/>
    <n v="0"/>
  </r>
  <r>
    <x v="35"/>
    <x v="33"/>
    <s v="Utilities911"/>
    <n v="0"/>
  </r>
  <r>
    <x v="35"/>
    <x v="34"/>
    <s v="Utilities912"/>
    <n v="0"/>
  </r>
  <r>
    <x v="35"/>
    <x v="35"/>
    <s v="Utilities913"/>
    <n v="0"/>
  </r>
  <r>
    <x v="35"/>
    <x v="36"/>
    <s v="Utilities920"/>
    <n v="0"/>
  </r>
  <r>
    <x v="35"/>
    <x v="37"/>
    <s v="Utilities921"/>
    <n v="432135.52"/>
  </r>
  <r>
    <x v="35"/>
    <x v="38"/>
    <s v="Utilities923"/>
    <n v="338.34000000000003"/>
  </r>
  <r>
    <x v="35"/>
    <x v="39"/>
    <s v="Utilities924"/>
    <n v="0"/>
  </r>
  <r>
    <x v="35"/>
    <x v="40"/>
    <s v="Utilities925"/>
    <n v="0"/>
  </r>
  <r>
    <x v="35"/>
    <x v="41"/>
    <s v="Utilities926"/>
    <n v="0"/>
  </r>
  <r>
    <x v="35"/>
    <x v="42"/>
    <s v="Utilities928"/>
    <n v="0"/>
  </r>
  <r>
    <x v="35"/>
    <x v="49"/>
    <s v="Utilities930"/>
    <n v="0"/>
  </r>
  <r>
    <x v="35"/>
    <x v="45"/>
    <s v="Utilities931"/>
    <n v="0"/>
  </r>
  <r>
    <x v="35"/>
    <x v="46"/>
    <s v="Utilities932"/>
    <n v="0"/>
  </r>
  <r>
    <x v="35"/>
    <x v="47"/>
    <s v="Utilities935"/>
    <n v="0"/>
  </r>
  <r>
    <x v="35"/>
    <x v="48"/>
    <m/>
    <n v="560539.8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1">
  <r>
    <x v="0"/>
    <x v="0"/>
    <s v="401K801"/>
    <n v="0"/>
  </r>
  <r>
    <x v="0"/>
    <x v="1"/>
    <s v="401K803"/>
    <n v="0"/>
  </r>
  <r>
    <x v="0"/>
    <x v="2"/>
    <s v="401K804"/>
    <n v="0"/>
  </r>
  <r>
    <x v="0"/>
    <x v="3"/>
    <s v="401K805"/>
    <n v="0"/>
  </r>
  <r>
    <x v="0"/>
    <x v="4"/>
    <s v="401K806"/>
    <n v="0"/>
  </r>
  <r>
    <x v="0"/>
    <x v="5"/>
    <s v="401K807"/>
    <n v="0"/>
  </r>
  <r>
    <x v="0"/>
    <x v="6"/>
    <s v="401K808"/>
    <n v="0"/>
  </r>
  <r>
    <x v="0"/>
    <x v="7"/>
    <s v="401K812"/>
    <n v="0"/>
  </r>
  <r>
    <x v="0"/>
    <x v="8"/>
    <s v="401K870"/>
    <n v="0"/>
  </r>
  <r>
    <x v="0"/>
    <x v="9"/>
    <s v="401K871"/>
    <n v="0"/>
  </r>
  <r>
    <x v="0"/>
    <x v="10"/>
    <s v="401K874"/>
    <n v="-6.2299999999999986"/>
  </r>
  <r>
    <x v="0"/>
    <x v="11"/>
    <s v="401K875"/>
    <n v="0"/>
  </r>
  <r>
    <x v="0"/>
    <x v="12"/>
    <s v="401K876"/>
    <n v="0"/>
  </r>
  <r>
    <x v="0"/>
    <x v="13"/>
    <s v="401K878"/>
    <n v="0"/>
  </r>
  <r>
    <x v="0"/>
    <x v="14"/>
    <s v="401K879"/>
    <n v="0"/>
  </r>
  <r>
    <x v="0"/>
    <x v="15"/>
    <s v="401K880"/>
    <n v="61.400000000000034"/>
  </r>
  <r>
    <x v="0"/>
    <x v="16"/>
    <s v="401K881"/>
    <n v="0"/>
  </r>
  <r>
    <x v="0"/>
    <x v="17"/>
    <s v="401K885"/>
    <n v="0"/>
  </r>
  <r>
    <x v="0"/>
    <x v="18"/>
    <s v="401K886"/>
    <n v="0"/>
  </r>
  <r>
    <x v="0"/>
    <x v="19"/>
    <s v="401K887"/>
    <n v="0"/>
  </r>
  <r>
    <x v="0"/>
    <x v="20"/>
    <s v="401K889"/>
    <n v="0"/>
  </r>
  <r>
    <x v="0"/>
    <x v="21"/>
    <s v="401K890"/>
    <n v="0"/>
  </r>
  <r>
    <x v="0"/>
    <x v="22"/>
    <s v="401K892"/>
    <n v="0"/>
  </r>
  <r>
    <x v="0"/>
    <x v="23"/>
    <s v="401K893"/>
    <n v="0"/>
  </r>
  <r>
    <x v="0"/>
    <x v="24"/>
    <s v="401K894"/>
    <n v="0"/>
  </r>
  <r>
    <x v="0"/>
    <x v="25"/>
    <s v="401K902"/>
    <n v="0"/>
  </r>
  <r>
    <x v="0"/>
    <x v="26"/>
    <s v="401K903"/>
    <n v="0"/>
  </r>
  <r>
    <x v="0"/>
    <x v="27"/>
    <s v="401K904"/>
    <n v="0"/>
  </r>
  <r>
    <x v="0"/>
    <x v="28"/>
    <s v="401K905"/>
    <n v="0"/>
  </r>
  <r>
    <x v="0"/>
    <x v="29"/>
    <s v="401K907"/>
    <n v="0"/>
  </r>
  <r>
    <x v="0"/>
    <x v="30"/>
    <s v="401K908"/>
    <n v="0"/>
  </r>
  <r>
    <x v="0"/>
    <x v="31"/>
    <s v="401K909"/>
    <n v="0"/>
  </r>
  <r>
    <x v="0"/>
    <x v="32"/>
    <s v="401K910"/>
    <n v="0"/>
  </r>
  <r>
    <x v="0"/>
    <x v="33"/>
    <s v="401K911"/>
    <n v="0"/>
  </r>
  <r>
    <x v="0"/>
    <x v="34"/>
    <s v="401K912"/>
    <n v="0"/>
  </r>
  <r>
    <x v="0"/>
    <x v="35"/>
    <s v="401K913"/>
    <n v="0"/>
  </r>
  <r>
    <x v="0"/>
    <x v="36"/>
    <s v="401K920"/>
    <n v="0"/>
  </r>
  <r>
    <x v="0"/>
    <x v="37"/>
    <s v="401K921"/>
    <n v="0"/>
  </r>
  <r>
    <x v="0"/>
    <x v="38"/>
    <s v="401K923"/>
    <n v="0"/>
  </r>
  <r>
    <x v="0"/>
    <x v="39"/>
    <s v="401K924"/>
    <n v="0"/>
  </r>
  <r>
    <x v="0"/>
    <x v="40"/>
    <s v="401K925"/>
    <n v="0"/>
  </r>
  <r>
    <x v="0"/>
    <x v="41"/>
    <s v="401K926"/>
    <n v="21410.100000000093"/>
  </r>
  <r>
    <x v="0"/>
    <x v="42"/>
    <s v="401K928"/>
    <n v="0"/>
  </r>
  <r>
    <x v="0"/>
    <x v="43"/>
    <s v="401K9301"/>
    <n v="0"/>
  </r>
  <r>
    <x v="0"/>
    <x v="44"/>
    <s v="401K9302"/>
    <n v="0"/>
  </r>
  <r>
    <x v="0"/>
    <x v="45"/>
    <s v="401K931"/>
    <n v="0"/>
  </r>
  <r>
    <x v="0"/>
    <x v="46"/>
    <s v="401K932"/>
    <n v="0"/>
  </r>
  <r>
    <x v="0"/>
    <x v="47"/>
    <s v="401K935"/>
    <n v="0"/>
  </r>
  <r>
    <x v="0"/>
    <x v="48"/>
    <m/>
    <n v="21465.270000000091"/>
  </r>
  <r>
    <x v="1"/>
    <x v="0"/>
    <s v="Advertising Expense801"/>
    <n v="0"/>
  </r>
  <r>
    <x v="1"/>
    <x v="1"/>
    <s v="Advertising Expense803"/>
    <n v="0"/>
  </r>
  <r>
    <x v="1"/>
    <x v="2"/>
    <s v="Advertising Expense804"/>
    <n v="0"/>
  </r>
  <r>
    <x v="1"/>
    <x v="3"/>
    <s v="Advertising Expense805"/>
    <n v="0"/>
  </r>
  <r>
    <x v="1"/>
    <x v="4"/>
    <s v="Advertising Expense806"/>
    <n v="0"/>
  </r>
  <r>
    <x v="1"/>
    <x v="5"/>
    <s v="Advertising Expense807"/>
    <n v="0"/>
  </r>
  <r>
    <x v="1"/>
    <x v="6"/>
    <s v="Advertising Expense808"/>
    <n v="0"/>
  </r>
  <r>
    <x v="1"/>
    <x v="7"/>
    <s v="Advertising Expense812"/>
    <n v="0"/>
  </r>
  <r>
    <x v="1"/>
    <x v="8"/>
    <s v="Advertising Expense870"/>
    <n v="0"/>
  </r>
  <r>
    <x v="1"/>
    <x v="9"/>
    <s v="Advertising Expense871"/>
    <n v="0"/>
  </r>
  <r>
    <x v="1"/>
    <x v="10"/>
    <s v="Advertising Expense874"/>
    <n v="0"/>
  </r>
  <r>
    <x v="1"/>
    <x v="11"/>
    <s v="Advertising Expense875"/>
    <n v="0"/>
  </r>
  <r>
    <x v="1"/>
    <x v="12"/>
    <s v="Advertising Expense876"/>
    <n v="0"/>
  </r>
  <r>
    <x v="1"/>
    <x v="13"/>
    <s v="Advertising Expense878"/>
    <n v="0"/>
  </r>
  <r>
    <x v="1"/>
    <x v="14"/>
    <s v="Advertising Expense879"/>
    <n v="0"/>
  </r>
  <r>
    <x v="1"/>
    <x v="15"/>
    <s v="Advertising Expense880"/>
    <n v="0"/>
  </r>
  <r>
    <x v="1"/>
    <x v="16"/>
    <s v="Advertising Expense881"/>
    <n v="0"/>
  </r>
  <r>
    <x v="1"/>
    <x v="17"/>
    <s v="Advertising Expense885"/>
    <n v="0"/>
  </r>
  <r>
    <x v="1"/>
    <x v="18"/>
    <s v="Advertising Expense886"/>
    <n v="0"/>
  </r>
  <r>
    <x v="1"/>
    <x v="19"/>
    <s v="Advertising Expense887"/>
    <n v="0"/>
  </r>
  <r>
    <x v="1"/>
    <x v="20"/>
    <s v="Advertising Expense889"/>
    <n v="0"/>
  </r>
  <r>
    <x v="1"/>
    <x v="21"/>
    <s v="Advertising Expense890"/>
    <n v="0"/>
  </r>
  <r>
    <x v="1"/>
    <x v="22"/>
    <s v="Advertising Expense892"/>
    <n v="0"/>
  </r>
  <r>
    <x v="1"/>
    <x v="23"/>
    <s v="Advertising Expense893"/>
    <n v="0"/>
  </r>
  <r>
    <x v="1"/>
    <x v="24"/>
    <s v="Advertising Expense894"/>
    <n v="0"/>
  </r>
  <r>
    <x v="1"/>
    <x v="25"/>
    <s v="Advertising Expense902"/>
    <n v="0"/>
  </r>
  <r>
    <x v="1"/>
    <x v="26"/>
    <s v="Advertising Expense903"/>
    <n v="0"/>
  </r>
  <r>
    <x v="1"/>
    <x v="27"/>
    <s v="Advertising Expense904"/>
    <n v="0"/>
  </r>
  <r>
    <x v="1"/>
    <x v="28"/>
    <s v="Advertising Expense905"/>
    <n v="0"/>
  </r>
  <r>
    <x v="1"/>
    <x v="29"/>
    <s v="Advertising Expense907"/>
    <n v="0"/>
  </r>
  <r>
    <x v="1"/>
    <x v="30"/>
    <s v="Advertising Expense908"/>
    <n v="0"/>
  </r>
  <r>
    <x v="1"/>
    <x v="31"/>
    <s v="Advertising Expense909"/>
    <n v="-187.50000000000006"/>
  </r>
  <r>
    <x v="1"/>
    <x v="32"/>
    <s v="Advertising Expense910"/>
    <n v="0"/>
  </r>
  <r>
    <x v="1"/>
    <x v="33"/>
    <s v="Advertising Expense911"/>
    <n v="0"/>
  </r>
  <r>
    <x v="1"/>
    <x v="34"/>
    <s v="Advertising Expense912"/>
    <n v="0"/>
  </r>
  <r>
    <x v="1"/>
    <x v="35"/>
    <s v="Advertising Expense913"/>
    <n v="0"/>
  </r>
  <r>
    <x v="1"/>
    <x v="36"/>
    <s v="Advertising Expense920"/>
    <n v="0"/>
  </r>
  <r>
    <x v="1"/>
    <x v="37"/>
    <s v="Advertising Expense921"/>
    <n v="0"/>
  </r>
  <r>
    <x v="1"/>
    <x v="38"/>
    <s v="Advertising Expense923"/>
    <n v="-762.33000000000038"/>
  </r>
  <r>
    <x v="1"/>
    <x v="39"/>
    <s v="Advertising Expense924"/>
    <n v="0"/>
  </r>
  <r>
    <x v="1"/>
    <x v="40"/>
    <s v="Advertising Expense925"/>
    <n v="0"/>
  </r>
  <r>
    <x v="1"/>
    <x v="41"/>
    <s v="Advertising Expense926"/>
    <n v="0"/>
  </r>
  <r>
    <x v="1"/>
    <x v="42"/>
    <s v="Advertising Expense928"/>
    <n v="0"/>
  </r>
  <r>
    <x v="1"/>
    <x v="43"/>
    <s v="Advertising Expense9301"/>
    <n v="-97.179999999999993"/>
  </r>
  <r>
    <x v="1"/>
    <x v="44"/>
    <s v="Advertising Expense9302"/>
    <n v="-1794.6999999999998"/>
  </r>
  <r>
    <x v="1"/>
    <x v="45"/>
    <s v="Advertising Expense931"/>
    <n v="0"/>
  </r>
  <r>
    <x v="1"/>
    <x v="46"/>
    <s v="Advertising Expense932"/>
    <n v="0"/>
  </r>
  <r>
    <x v="1"/>
    <x v="47"/>
    <s v="Advertising Expense935"/>
    <n v="0"/>
  </r>
  <r>
    <x v="1"/>
    <x v="48"/>
    <m/>
    <n v="-2841.71"/>
  </r>
  <r>
    <x v="2"/>
    <x v="0"/>
    <s v="Amortizations801"/>
    <n v="0"/>
  </r>
  <r>
    <x v="2"/>
    <x v="1"/>
    <s v="Amortizations803"/>
    <n v="0"/>
  </r>
  <r>
    <x v="2"/>
    <x v="2"/>
    <s v="Amortizations804"/>
    <n v="0"/>
  </r>
  <r>
    <x v="2"/>
    <x v="3"/>
    <s v="Amortizations805"/>
    <n v="0"/>
  </r>
  <r>
    <x v="2"/>
    <x v="4"/>
    <s v="Amortizations806"/>
    <n v="0"/>
  </r>
  <r>
    <x v="2"/>
    <x v="5"/>
    <s v="Amortizations807"/>
    <n v="0"/>
  </r>
  <r>
    <x v="2"/>
    <x v="6"/>
    <s v="Amortizations808"/>
    <n v="0"/>
  </r>
  <r>
    <x v="2"/>
    <x v="7"/>
    <s v="Amortizations812"/>
    <n v="0"/>
  </r>
  <r>
    <x v="2"/>
    <x v="8"/>
    <s v="Amortizations870"/>
    <n v="0"/>
  </r>
  <r>
    <x v="2"/>
    <x v="9"/>
    <s v="Amortizations871"/>
    <n v="0"/>
  </r>
  <r>
    <x v="2"/>
    <x v="10"/>
    <s v="Amortizations874"/>
    <n v="0"/>
  </r>
  <r>
    <x v="2"/>
    <x v="11"/>
    <s v="Amortizations875"/>
    <n v="0"/>
  </r>
  <r>
    <x v="2"/>
    <x v="12"/>
    <s v="Amortizations876"/>
    <n v="0"/>
  </r>
  <r>
    <x v="2"/>
    <x v="13"/>
    <s v="Amortizations878"/>
    <n v="0"/>
  </r>
  <r>
    <x v="2"/>
    <x v="14"/>
    <s v="Amortizations879"/>
    <n v="0"/>
  </r>
  <r>
    <x v="2"/>
    <x v="15"/>
    <s v="Amortizations880"/>
    <n v="0"/>
  </r>
  <r>
    <x v="2"/>
    <x v="16"/>
    <s v="Amortizations881"/>
    <n v="0"/>
  </r>
  <r>
    <x v="2"/>
    <x v="17"/>
    <s v="Amortizations885"/>
    <n v="0"/>
  </r>
  <r>
    <x v="2"/>
    <x v="18"/>
    <s v="Amortizations886"/>
    <n v="0"/>
  </r>
  <r>
    <x v="2"/>
    <x v="19"/>
    <s v="Amortizations887"/>
    <n v="0"/>
  </r>
  <r>
    <x v="2"/>
    <x v="20"/>
    <s v="Amortizations889"/>
    <n v="0"/>
  </r>
  <r>
    <x v="2"/>
    <x v="21"/>
    <s v="Amortizations890"/>
    <n v="0"/>
  </r>
  <r>
    <x v="2"/>
    <x v="22"/>
    <s v="Amortizations892"/>
    <n v="0"/>
  </r>
  <r>
    <x v="2"/>
    <x v="23"/>
    <s v="Amortizations893"/>
    <n v="0"/>
  </r>
  <r>
    <x v="2"/>
    <x v="24"/>
    <s v="Amortizations894"/>
    <n v="0"/>
  </r>
  <r>
    <x v="2"/>
    <x v="25"/>
    <s v="Amortizations902"/>
    <n v="0"/>
  </r>
  <r>
    <x v="2"/>
    <x v="26"/>
    <s v="Amortizations903"/>
    <n v="0"/>
  </r>
  <r>
    <x v="2"/>
    <x v="27"/>
    <s v="Amortizations904"/>
    <n v="0"/>
  </r>
  <r>
    <x v="2"/>
    <x v="28"/>
    <s v="Amortizations905"/>
    <n v="0"/>
  </r>
  <r>
    <x v="2"/>
    <x v="29"/>
    <s v="Amortizations907"/>
    <n v="0"/>
  </r>
  <r>
    <x v="2"/>
    <x v="30"/>
    <s v="Amortizations908"/>
    <n v="0"/>
  </r>
  <r>
    <x v="2"/>
    <x v="31"/>
    <s v="Amortizations909"/>
    <n v="0"/>
  </r>
  <r>
    <x v="2"/>
    <x v="32"/>
    <s v="Amortizations910"/>
    <n v="0"/>
  </r>
  <r>
    <x v="2"/>
    <x v="33"/>
    <s v="Amortizations911"/>
    <n v="0"/>
  </r>
  <r>
    <x v="2"/>
    <x v="34"/>
    <s v="Amortizations912"/>
    <n v="0"/>
  </r>
  <r>
    <x v="2"/>
    <x v="35"/>
    <s v="Amortizations913"/>
    <n v="0"/>
  </r>
  <r>
    <x v="2"/>
    <x v="36"/>
    <s v="Amortizations920"/>
    <n v="0"/>
  </r>
  <r>
    <x v="2"/>
    <x v="37"/>
    <s v="Amortizations921"/>
    <n v="0"/>
  </r>
  <r>
    <x v="2"/>
    <x v="38"/>
    <s v="Amortizations923"/>
    <n v="0"/>
  </r>
  <r>
    <x v="2"/>
    <x v="39"/>
    <s v="Amortizations924"/>
    <n v="0"/>
  </r>
  <r>
    <x v="2"/>
    <x v="40"/>
    <s v="Amortizations925"/>
    <n v="0"/>
  </r>
  <r>
    <x v="2"/>
    <x v="41"/>
    <s v="Amortizations926"/>
    <n v="0"/>
  </r>
  <r>
    <x v="2"/>
    <x v="42"/>
    <s v="Amortizations928"/>
    <n v="-0.23999999999068677"/>
  </r>
  <r>
    <x v="2"/>
    <x v="43"/>
    <s v="Amortizations9301"/>
    <n v="0"/>
  </r>
  <r>
    <x v="2"/>
    <x v="44"/>
    <s v="Amortizations9302"/>
    <n v="0"/>
  </r>
  <r>
    <x v="2"/>
    <x v="45"/>
    <s v="Amortizations931"/>
    <n v="0"/>
  </r>
  <r>
    <x v="2"/>
    <x v="46"/>
    <s v="Amortizations932"/>
    <n v="0"/>
  </r>
  <r>
    <x v="2"/>
    <x v="47"/>
    <s v="Amortizations935"/>
    <n v="0"/>
  </r>
  <r>
    <x v="2"/>
    <x v="48"/>
    <m/>
    <n v="-0.23999999999068677"/>
  </r>
  <r>
    <x v="3"/>
    <x v="0"/>
    <s v="Audit Fees801"/>
    <n v="0"/>
  </r>
  <r>
    <x v="3"/>
    <x v="1"/>
    <s v="Audit Fees803"/>
    <n v="0"/>
  </r>
  <r>
    <x v="3"/>
    <x v="2"/>
    <s v="Audit Fees804"/>
    <n v="0"/>
  </r>
  <r>
    <x v="3"/>
    <x v="3"/>
    <s v="Audit Fees805"/>
    <n v="0"/>
  </r>
  <r>
    <x v="3"/>
    <x v="4"/>
    <s v="Audit Fees806"/>
    <n v="0"/>
  </r>
  <r>
    <x v="3"/>
    <x v="5"/>
    <s v="Audit Fees807"/>
    <n v="0"/>
  </r>
  <r>
    <x v="3"/>
    <x v="6"/>
    <s v="Audit Fees808"/>
    <n v="0"/>
  </r>
  <r>
    <x v="3"/>
    <x v="7"/>
    <s v="Audit Fees812"/>
    <n v="0"/>
  </r>
  <r>
    <x v="3"/>
    <x v="8"/>
    <s v="Audit Fees870"/>
    <n v="0"/>
  </r>
  <r>
    <x v="3"/>
    <x v="9"/>
    <s v="Audit Fees871"/>
    <n v="0"/>
  </r>
  <r>
    <x v="3"/>
    <x v="10"/>
    <s v="Audit Fees874"/>
    <n v="0"/>
  </r>
  <r>
    <x v="3"/>
    <x v="11"/>
    <s v="Audit Fees875"/>
    <n v="0"/>
  </r>
  <r>
    <x v="3"/>
    <x v="12"/>
    <s v="Audit Fees876"/>
    <n v="0"/>
  </r>
  <r>
    <x v="3"/>
    <x v="13"/>
    <s v="Audit Fees878"/>
    <n v="0"/>
  </r>
  <r>
    <x v="3"/>
    <x v="14"/>
    <s v="Audit Fees879"/>
    <n v="0"/>
  </r>
  <r>
    <x v="3"/>
    <x v="15"/>
    <s v="Audit Fees880"/>
    <n v="0"/>
  </r>
  <r>
    <x v="3"/>
    <x v="16"/>
    <s v="Audit Fees881"/>
    <n v="0"/>
  </r>
  <r>
    <x v="3"/>
    <x v="17"/>
    <s v="Audit Fees885"/>
    <n v="0"/>
  </r>
  <r>
    <x v="3"/>
    <x v="18"/>
    <s v="Audit Fees886"/>
    <n v="0"/>
  </r>
  <r>
    <x v="3"/>
    <x v="19"/>
    <s v="Audit Fees887"/>
    <n v="0"/>
  </r>
  <r>
    <x v="3"/>
    <x v="20"/>
    <s v="Audit Fees889"/>
    <n v="0"/>
  </r>
  <r>
    <x v="3"/>
    <x v="21"/>
    <s v="Audit Fees890"/>
    <n v="0"/>
  </r>
  <r>
    <x v="3"/>
    <x v="22"/>
    <s v="Audit Fees892"/>
    <n v="0"/>
  </r>
  <r>
    <x v="3"/>
    <x v="23"/>
    <s v="Audit Fees893"/>
    <n v="0"/>
  </r>
  <r>
    <x v="3"/>
    <x v="24"/>
    <s v="Audit Fees894"/>
    <n v="0"/>
  </r>
  <r>
    <x v="3"/>
    <x v="25"/>
    <s v="Audit Fees902"/>
    <n v="0"/>
  </r>
  <r>
    <x v="3"/>
    <x v="26"/>
    <s v="Audit Fees903"/>
    <n v="0"/>
  </r>
  <r>
    <x v="3"/>
    <x v="27"/>
    <s v="Audit Fees904"/>
    <n v="0"/>
  </r>
  <r>
    <x v="3"/>
    <x v="28"/>
    <s v="Audit Fees905"/>
    <n v="0"/>
  </r>
  <r>
    <x v="3"/>
    <x v="29"/>
    <s v="Audit Fees907"/>
    <n v="0"/>
  </r>
  <r>
    <x v="3"/>
    <x v="30"/>
    <s v="Audit Fees908"/>
    <n v="0"/>
  </r>
  <r>
    <x v="3"/>
    <x v="31"/>
    <s v="Audit Fees909"/>
    <n v="0"/>
  </r>
  <r>
    <x v="3"/>
    <x v="32"/>
    <s v="Audit Fees910"/>
    <n v="0"/>
  </r>
  <r>
    <x v="3"/>
    <x v="33"/>
    <s v="Audit Fees911"/>
    <n v="0"/>
  </r>
  <r>
    <x v="3"/>
    <x v="34"/>
    <s v="Audit Fees912"/>
    <n v="0"/>
  </r>
  <r>
    <x v="3"/>
    <x v="35"/>
    <s v="Audit Fees913"/>
    <n v="0"/>
  </r>
  <r>
    <x v="3"/>
    <x v="36"/>
    <s v="Audit Fees920"/>
    <n v="0"/>
  </r>
  <r>
    <x v="3"/>
    <x v="37"/>
    <s v="Audit Fees921"/>
    <n v="0"/>
  </r>
  <r>
    <x v="3"/>
    <x v="38"/>
    <s v="Audit Fees923"/>
    <n v="2476.3000000000175"/>
  </r>
  <r>
    <x v="3"/>
    <x v="39"/>
    <s v="Audit Fees924"/>
    <n v="0"/>
  </r>
  <r>
    <x v="3"/>
    <x v="40"/>
    <s v="Audit Fees925"/>
    <n v="0"/>
  </r>
  <r>
    <x v="3"/>
    <x v="41"/>
    <s v="Audit Fees926"/>
    <n v="0"/>
  </r>
  <r>
    <x v="3"/>
    <x v="42"/>
    <s v="Audit Fees928"/>
    <n v="0"/>
  </r>
  <r>
    <x v="3"/>
    <x v="43"/>
    <s v="Audit Fees9301"/>
    <n v="0"/>
  </r>
  <r>
    <x v="3"/>
    <x v="44"/>
    <s v="Audit Fees9302"/>
    <n v="0"/>
  </r>
  <r>
    <x v="3"/>
    <x v="45"/>
    <s v="Audit Fees931"/>
    <n v="0"/>
  </r>
  <r>
    <x v="3"/>
    <x v="46"/>
    <s v="Audit Fees932"/>
    <n v="0"/>
  </r>
  <r>
    <x v="3"/>
    <x v="47"/>
    <s v="Audit Fees935"/>
    <n v="0"/>
  </r>
  <r>
    <x v="3"/>
    <x v="48"/>
    <m/>
    <n v="2476.3000000000175"/>
  </r>
  <r>
    <x v="4"/>
    <x v="36"/>
    <s v="Charitable Contributions920"/>
    <n v="0"/>
  </r>
  <r>
    <x v="4"/>
    <x v="37"/>
    <s v="Charitable Contributions921"/>
    <n v="0"/>
  </r>
  <r>
    <x v="4"/>
    <x v="48"/>
    <m/>
    <n v="0"/>
  </r>
  <r>
    <x v="5"/>
    <x v="0"/>
    <s v="Clearing Accounts801"/>
    <n v="0"/>
  </r>
  <r>
    <x v="5"/>
    <x v="1"/>
    <s v="Clearing Accounts803"/>
    <n v="0"/>
  </r>
  <r>
    <x v="5"/>
    <x v="2"/>
    <s v="Clearing Accounts804"/>
    <n v="0"/>
  </r>
  <r>
    <x v="5"/>
    <x v="3"/>
    <s v="Clearing Accounts805"/>
    <n v="0"/>
  </r>
  <r>
    <x v="5"/>
    <x v="4"/>
    <s v="Clearing Accounts806"/>
    <n v="0"/>
  </r>
  <r>
    <x v="5"/>
    <x v="5"/>
    <s v="Clearing Accounts807"/>
    <n v="0"/>
  </r>
  <r>
    <x v="5"/>
    <x v="6"/>
    <s v="Clearing Accounts808"/>
    <n v="0"/>
  </r>
  <r>
    <x v="5"/>
    <x v="7"/>
    <s v="Clearing Accounts812"/>
    <n v="0"/>
  </r>
  <r>
    <x v="5"/>
    <x v="8"/>
    <s v="Clearing Accounts870"/>
    <n v="1516.7400000000016"/>
  </r>
  <r>
    <x v="5"/>
    <x v="9"/>
    <s v="Clearing Accounts871"/>
    <n v="-12726.830000000009"/>
  </r>
  <r>
    <x v="5"/>
    <x v="10"/>
    <s v="Clearing Accounts874"/>
    <n v="-139589.50999999995"/>
  </r>
  <r>
    <x v="5"/>
    <x v="11"/>
    <s v="Clearing Accounts875"/>
    <n v="-13240.099999999984"/>
  </r>
  <r>
    <x v="5"/>
    <x v="12"/>
    <s v="Clearing Accounts876"/>
    <n v="-549.88000000000466"/>
  </r>
  <r>
    <x v="5"/>
    <x v="13"/>
    <s v="Clearing Accounts878"/>
    <n v="-61582.960000000079"/>
  </r>
  <r>
    <x v="5"/>
    <x v="14"/>
    <s v="Clearing Accounts879"/>
    <n v="-56225.669999999984"/>
  </r>
  <r>
    <x v="5"/>
    <x v="15"/>
    <s v="Clearing Accounts880"/>
    <n v="-38725.22000000003"/>
  </r>
  <r>
    <x v="5"/>
    <x v="16"/>
    <s v="Clearing Accounts881"/>
    <n v="0"/>
  </r>
  <r>
    <x v="5"/>
    <x v="17"/>
    <s v="Clearing Accounts885"/>
    <n v="-230.00000000000091"/>
  </r>
  <r>
    <x v="5"/>
    <x v="18"/>
    <s v="Clearing Accounts886"/>
    <n v="322.2800000000002"/>
  </r>
  <r>
    <x v="5"/>
    <x v="19"/>
    <s v="Clearing Accounts887"/>
    <n v="-21104.089999999997"/>
  </r>
  <r>
    <x v="5"/>
    <x v="20"/>
    <s v="Clearing Accounts889"/>
    <n v="33999.579999999958"/>
  </r>
  <r>
    <x v="5"/>
    <x v="21"/>
    <s v="Clearing Accounts890"/>
    <n v="-1215.4800000000014"/>
  </r>
  <r>
    <x v="5"/>
    <x v="22"/>
    <s v="Clearing Accounts892"/>
    <n v="7415.2299999999959"/>
  </r>
  <r>
    <x v="5"/>
    <x v="23"/>
    <s v="Clearing Accounts893"/>
    <n v="3215.4700000000012"/>
  </r>
  <r>
    <x v="5"/>
    <x v="24"/>
    <s v="Clearing Accounts894"/>
    <n v="-11782.389999999978"/>
  </r>
  <r>
    <x v="5"/>
    <x v="25"/>
    <s v="Clearing Accounts902"/>
    <n v="129.18999999999505"/>
  </r>
  <r>
    <x v="5"/>
    <x v="26"/>
    <s v="Clearing Accounts903"/>
    <n v="-18870.50999999998"/>
  </r>
  <r>
    <x v="5"/>
    <x v="27"/>
    <s v="Clearing Accounts904"/>
    <n v="0"/>
  </r>
  <r>
    <x v="5"/>
    <x v="28"/>
    <s v="Clearing Accounts905"/>
    <n v="0"/>
  </r>
  <r>
    <x v="5"/>
    <x v="29"/>
    <s v="Clearing Accounts907"/>
    <n v="0"/>
  </r>
  <r>
    <x v="5"/>
    <x v="30"/>
    <s v="Clearing Accounts908"/>
    <n v="0"/>
  </r>
  <r>
    <x v="5"/>
    <x v="31"/>
    <s v="Clearing Accounts909"/>
    <n v="0"/>
  </r>
  <r>
    <x v="5"/>
    <x v="32"/>
    <s v="Clearing Accounts910"/>
    <n v="0"/>
  </r>
  <r>
    <x v="5"/>
    <x v="33"/>
    <s v="Clearing Accounts911"/>
    <n v="0"/>
  </r>
  <r>
    <x v="5"/>
    <x v="34"/>
    <s v="Clearing Accounts912"/>
    <n v="0"/>
  </r>
  <r>
    <x v="5"/>
    <x v="35"/>
    <s v="Clearing Accounts913"/>
    <n v="0"/>
  </r>
  <r>
    <x v="5"/>
    <x v="36"/>
    <s v="Clearing Accounts920"/>
    <n v="8484.9600000000064"/>
  </r>
  <r>
    <x v="5"/>
    <x v="37"/>
    <s v="Clearing Accounts921"/>
    <n v="-1309.1399999999999"/>
  </r>
  <r>
    <x v="5"/>
    <x v="38"/>
    <s v="Clearing Accounts923"/>
    <n v="0"/>
  </r>
  <r>
    <x v="5"/>
    <x v="39"/>
    <s v="Clearing Accounts924"/>
    <n v="0"/>
  </r>
  <r>
    <x v="5"/>
    <x v="40"/>
    <s v="Clearing Accounts925"/>
    <n v="0"/>
  </r>
  <r>
    <x v="5"/>
    <x v="41"/>
    <s v="Clearing Accounts926"/>
    <n v="0"/>
  </r>
  <r>
    <x v="5"/>
    <x v="42"/>
    <s v="Clearing Accounts928"/>
    <n v="0"/>
  </r>
  <r>
    <x v="5"/>
    <x v="43"/>
    <s v="Clearing Accounts9301"/>
    <n v="0"/>
  </r>
  <r>
    <x v="5"/>
    <x v="44"/>
    <s v="Clearing Accounts9302"/>
    <n v="0"/>
  </r>
  <r>
    <x v="5"/>
    <x v="45"/>
    <s v="Clearing Accounts931"/>
    <n v="0"/>
  </r>
  <r>
    <x v="5"/>
    <x v="46"/>
    <s v="Clearing Accounts932"/>
    <n v="0"/>
  </r>
  <r>
    <x v="5"/>
    <x v="47"/>
    <s v="Clearing Accounts935"/>
    <n v="0"/>
  </r>
  <r>
    <x v="5"/>
    <x v="48"/>
    <m/>
    <n v="-322068.33"/>
  </r>
  <r>
    <x v="6"/>
    <x v="0"/>
    <s v="Commission Fees801"/>
    <n v="0"/>
  </r>
  <r>
    <x v="6"/>
    <x v="1"/>
    <s v="Commission Fees803"/>
    <n v="0"/>
  </r>
  <r>
    <x v="6"/>
    <x v="2"/>
    <s v="Commission Fees804"/>
    <n v="0"/>
  </r>
  <r>
    <x v="6"/>
    <x v="3"/>
    <s v="Commission Fees805"/>
    <n v="0"/>
  </r>
  <r>
    <x v="6"/>
    <x v="4"/>
    <s v="Commission Fees806"/>
    <n v="0"/>
  </r>
  <r>
    <x v="6"/>
    <x v="5"/>
    <s v="Commission Fees807"/>
    <n v="0"/>
  </r>
  <r>
    <x v="6"/>
    <x v="6"/>
    <s v="Commission Fees808"/>
    <n v="0"/>
  </r>
  <r>
    <x v="6"/>
    <x v="7"/>
    <s v="Commission Fees812"/>
    <n v="0"/>
  </r>
  <r>
    <x v="6"/>
    <x v="8"/>
    <s v="Commission Fees870"/>
    <n v="0"/>
  </r>
  <r>
    <x v="6"/>
    <x v="9"/>
    <s v="Commission Fees871"/>
    <n v="0"/>
  </r>
  <r>
    <x v="6"/>
    <x v="10"/>
    <s v="Commission Fees874"/>
    <n v="0"/>
  </r>
  <r>
    <x v="6"/>
    <x v="11"/>
    <s v="Commission Fees875"/>
    <n v="0"/>
  </r>
  <r>
    <x v="6"/>
    <x v="12"/>
    <s v="Commission Fees876"/>
    <n v="0"/>
  </r>
  <r>
    <x v="6"/>
    <x v="13"/>
    <s v="Commission Fees878"/>
    <n v="0"/>
  </r>
  <r>
    <x v="6"/>
    <x v="14"/>
    <s v="Commission Fees879"/>
    <n v="0"/>
  </r>
  <r>
    <x v="6"/>
    <x v="15"/>
    <s v="Commission Fees880"/>
    <n v="0"/>
  </r>
  <r>
    <x v="6"/>
    <x v="16"/>
    <s v="Commission Fees881"/>
    <n v="0"/>
  </r>
  <r>
    <x v="6"/>
    <x v="17"/>
    <s v="Commission Fees885"/>
    <n v="0"/>
  </r>
  <r>
    <x v="6"/>
    <x v="18"/>
    <s v="Commission Fees886"/>
    <n v="0"/>
  </r>
  <r>
    <x v="6"/>
    <x v="19"/>
    <s v="Commission Fees887"/>
    <n v="0"/>
  </r>
  <r>
    <x v="6"/>
    <x v="20"/>
    <s v="Commission Fees889"/>
    <n v="0"/>
  </r>
  <r>
    <x v="6"/>
    <x v="21"/>
    <s v="Commission Fees890"/>
    <n v="0"/>
  </r>
  <r>
    <x v="6"/>
    <x v="22"/>
    <s v="Commission Fees892"/>
    <n v="0"/>
  </r>
  <r>
    <x v="6"/>
    <x v="23"/>
    <s v="Commission Fees893"/>
    <n v="0"/>
  </r>
  <r>
    <x v="6"/>
    <x v="24"/>
    <s v="Commission Fees894"/>
    <n v="0"/>
  </r>
  <r>
    <x v="6"/>
    <x v="25"/>
    <s v="Commission Fees902"/>
    <n v="0"/>
  </r>
  <r>
    <x v="6"/>
    <x v="26"/>
    <s v="Commission Fees903"/>
    <n v="0"/>
  </r>
  <r>
    <x v="6"/>
    <x v="27"/>
    <s v="Commission Fees904"/>
    <n v="0"/>
  </r>
  <r>
    <x v="6"/>
    <x v="28"/>
    <s v="Commission Fees905"/>
    <n v="0"/>
  </r>
  <r>
    <x v="6"/>
    <x v="29"/>
    <s v="Commission Fees907"/>
    <n v="0"/>
  </r>
  <r>
    <x v="6"/>
    <x v="30"/>
    <s v="Commission Fees908"/>
    <n v="0"/>
  </r>
  <r>
    <x v="6"/>
    <x v="31"/>
    <s v="Commission Fees909"/>
    <n v="0"/>
  </r>
  <r>
    <x v="6"/>
    <x v="32"/>
    <s v="Commission Fees910"/>
    <n v="0"/>
  </r>
  <r>
    <x v="6"/>
    <x v="33"/>
    <s v="Commission Fees911"/>
    <n v="0"/>
  </r>
  <r>
    <x v="6"/>
    <x v="34"/>
    <s v="Commission Fees912"/>
    <n v="0"/>
  </r>
  <r>
    <x v="6"/>
    <x v="35"/>
    <s v="Commission Fees913"/>
    <n v="0"/>
  </r>
  <r>
    <x v="6"/>
    <x v="36"/>
    <s v="Commission Fees920"/>
    <n v="0"/>
  </r>
  <r>
    <x v="6"/>
    <x v="37"/>
    <s v="Commission Fees921"/>
    <n v="0"/>
  </r>
  <r>
    <x v="6"/>
    <x v="38"/>
    <s v="Commission Fees923"/>
    <n v="0"/>
  </r>
  <r>
    <x v="6"/>
    <x v="39"/>
    <s v="Commission Fees924"/>
    <n v="0"/>
  </r>
  <r>
    <x v="6"/>
    <x v="40"/>
    <s v="Commission Fees925"/>
    <n v="0"/>
  </r>
  <r>
    <x v="6"/>
    <x v="41"/>
    <s v="Commission Fees926"/>
    <n v="0"/>
  </r>
  <r>
    <x v="6"/>
    <x v="42"/>
    <s v="Commission Fees928"/>
    <n v="0"/>
  </r>
  <r>
    <x v="6"/>
    <x v="43"/>
    <s v="Commission Fees9301"/>
    <n v="0"/>
  </r>
  <r>
    <x v="6"/>
    <x v="44"/>
    <s v="Commission Fees9302"/>
    <n v="0"/>
  </r>
  <r>
    <x v="6"/>
    <x v="45"/>
    <s v="Commission Fees931"/>
    <n v="0"/>
  </r>
  <r>
    <x v="6"/>
    <x v="46"/>
    <s v="Commission Fees932"/>
    <n v="0"/>
  </r>
  <r>
    <x v="6"/>
    <x v="47"/>
    <s v="Commission Fees935"/>
    <n v="0"/>
  </r>
  <r>
    <x v="6"/>
    <x v="48"/>
    <m/>
    <n v="0"/>
  </r>
  <r>
    <x v="7"/>
    <x v="0"/>
    <s v="Corporate Insurance801"/>
    <n v="0"/>
  </r>
  <r>
    <x v="7"/>
    <x v="1"/>
    <s v="Corporate Insurance803"/>
    <n v="0"/>
  </r>
  <r>
    <x v="7"/>
    <x v="2"/>
    <s v="Corporate Insurance804"/>
    <n v="0"/>
  </r>
  <r>
    <x v="7"/>
    <x v="3"/>
    <s v="Corporate Insurance805"/>
    <n v="0"/>
  </r>
  <r>
    <x v="7"/>
    <x v="4"/>
    <s v="Corporate Insurance806"/>
    <n v="0"/>
  </r>
  <r>
    <x v="7"/>
    <x v="5"/>
    <s v="Corporate Insurance807"/>
    <n v="0"/>
  </r>
  <r>
    <x v="7"/>
    <x v="6"/>
    <s v="Corporate Insurance808"/>
    <n v="0"/>
  </r>
  <r>
    <x v="7"/>
    <x v="7"/>
    <s v="Corporate Insurance812"/>
    <n v="0"/>
  </r>
  <r>
    <x v="7"/>
    <x v="8"/>
    <s v="Corporate Insurance870"/>
    <n v="0"/>
  </r>
  <r>
    <x v="7"/>
    <x v="9"/>
    <s v="Corporate Insurance871"/>
    <n v="0"/>
  </r>
  <r>
    <x v="7"/>
    <x v="10"/>
    <s v="Corporate Insurance874"/>
    <n v="-1.9800000000000004"/>
  </r>
  <r>
    <x v="7"/>
    <x v="11"/>
    <s v="Corporate Insurance875"/>
    <n v="0"/>
  </r>
  <r>
    <x v="7"/>
    <x v="12"/>
    <s v="Corporate Insurance876"/>
    <n v="0"/>
  </r>
  <r>
    <x v="7"/>
    <x v="13"/>
    <s v="Corporate Insurance878"/>
    <n v="0"/>
  </r>
  <r>
    <x v="7"/>
    <x v="14"/>
    <s v="Corporate Insurance879"/>
    <n v="0"/>
  </r>
  <r>
    <x v="7"/>
    <x v="15"/>
    <s v="Corporate Insurance880"/>
    <n v="14.989999999999988"/>
  </r>
  <r>
    <x v="7"/>
    <x v="16"/>
    <s v="Corporate Insurance881"/>
    <n v="0"/>
  </r>
  <r>
    <x v="7"/>
    <x v="17"/>
    <s v="Corporate Insurance885"/>
    <n v="0"/>
  </r>
  <r>
    <x v="7"/>
    <x v="18"/>
    <s v="Corporate Insurance886"/>
    <n v="0"/>
  </r>
  <r>
    <x v="7"/>
    <x v="19"/>
    <s v="Corporate Insurance887"/>
    <n v="0"/>
  </r>
  <r>
    <x v="7"/>
    <x v="20"/>
    <s v="Corporate Insurance889"/>
    <n v="0"/>
  </r>
  <r>
    <x v="7"/>
    <x v="21"/>
    <s v="Corporate Insurance890"/>
    <n v="0"/>
  </r>
  <r>
    <x v="7"/>
    <x v="22"/>
    <s v="Corporate Insurance892"/>
    <n v="0"/>
  </r>
  <r>
    <x v="7"/>
    <x v="23"/>
    <s v="Corporate Insurance893"/>
    <n v="0"/>
  </r>
  <r>
    <x v="7"/>
    <x v="24"/>
    <s v="Corporate Insurance894"/>
    <n v="0"/>
  </r>
  <r>
    <x v="7"/>
    <x v="25"/>
    <s v="Corporate Insurance902"/>
    <n v="0"/>
  </r>
  <r>
    <x v="7"/>
    <x v="26"/>
    <s v="Corporate Insurance903"/>
    <n v="0"/>
  </r>
  <r>
    <x v="7"/>
    <x v="27"/>
    <s v="Corporate Insurance904"/>
    <n v="0"/>
  </r>
  <r>
    <x v="7"/>
    <x v="28"/>
    <s v="Corporate Insurance905"/>
    <n v="0"/>
  </r>
  <r>
    <x v="7"/>
    <x v="29"/>
    <s v="Corporate Insurance907"/>
    <n v="0"/>
  </r>
  <r>
    <x v="7"/>
    <x v="30"/>
    <s v="Corporate Insurance908"/>
    <n v="0"/>
  </r>
  <r>
    <x v="7"/>
    <x v="31"/>
    <s v="Corporate Insurance909"/>
    <n v="0"/>
  </r>
  <r>
    <x v="7"/>
    <x v="32"/>
    <s v="Corporate Insurance910"/>
    <n v="0"/>
  </r>
  <r>
    <x v="7"/>
    <x v="33"/>
    <s v="Corporate Insurance911"/>
    <n v="0"/>
  </r>
  <r>
    <x v="7"/>
    <x v="34"/>
    <s v="Corporate Insurance912"/>
    <n v="0"/>
  </r>
  <r>
    <x v="7"/>
    <x v="35"/>
    <s v="Corporate Insurance913"/>
    <n v="0"/>
  </r>
  <r>
    <x v="7"/>
    <x v="36"/>
    <s v="Corporate Insurance920"/>
    <n v="0"/>
  </r>
  <r>
    <x v="7"/>
    <x v="37"/>
    <s v="Corporate Insurance921"/>
    <n v="0"/>
  </r>
  <r>
    <x v="7"/>
    <x v="38"/>
    <s v="Corporate Insurance923"/>
    <n v="0"/>
  </r>
  <r>
    <x v="7"/>
    <x v="39"/>
    <s v="Corporate Insurance924"/>
    <n v="6109.7100000000064"/>
  </r>
  <r>
    <x v="7"/>
    <x v="40"/>
    <s v="Corporate Insurance925"/>
    <n v="123064.42999999993"/>
  </r>
  <r>
    <x v="7"/>
    <x v="41"/>
    <s v="Corporate Insurance926"/>
    <n v="9005.1899999999987"/>
  </r>
  <r>
    <x v="7"/>
    <x v="42"/>
    <s v="Corporate Insurance928"/>
    <n v="0"/>
  </r>
  <r>
    <x v="7"/>
    <x v="49"/>
    <s v="Corporate Insurance930"/>
    <n v="0"/>
  </r>
  <r>
    <x v="7"/>
    <x v="45"/>
    <s v="Corporate Insurance931"/>
    <n v="0"/>
  </r>
  <r>
    <x v="7"/>
    <x v="46"/>
    <s v="Corporate Insurance932"/>
    <n v="0"/>
  </r>
  <r>
    <x v="7"/>
    <x v="47"/>
    <s v="Corporate Insurance935"/>
    <n v="0"/>
  </r>
  <r>
    <x v="7"/>
    <x v="48"/>
    <m/>
    <n v="138192.33999999994"/>
  </r>
  <r>
    <x v="8"/>
    <x v="50"/>
    <s v="Corporate Service Bill500"/>
    <n v="-10.050000000000001"/>
  </r>
  <r>
    <x v="8"/>
    <x v="51"/>
    <s v="Corporate Service Bill505"/>
    <n v="1.0000000000000675E-2"/>
  </r>
  <r>
    <x v="8"/>
    <x v="0"/>
    <s v="Corporate Service Bill801"/>
    <n v="0"/>
  </r>
  <r>
    <x v="8"/>
    <x v="1"/>
    <s v="Corporate Service Bill803"/>
    <n v="0"/>
  </r>
  <r>
    <x v="8"/>
    <x v="2"/>
    <s v="Corporate Service Bill804"/>
    <n v="0"/>
  </r>
  <r>
    <x v="8"/>
    <x v="3"/>
    <s v="Corporate Service Bill805"/>
    <n v="0"/>
  </r>
  <r>
    <x v="8"/>
    <x v="4"/>
    <s v="Corporate Service Bill806"/>
    <n v="0"/>
  </r>
  <r>
    <x v="8"/>
    <x v="5"/>
    <s v="Corporate Service Bill807"/>
    <n v="-1342.5599999999977"/>
  </r>
  <r>
    <x v="8"/>
    <x v="6"/>
    <s v="Corporate Service Bill808"/>
    <n v="0"/>
  </r>
  <r>
    <x v="8"/>
    <x v="7"/>
    <s v="Corporate Service Bill812"/>
    <n v="0"/>
  </r>
  <r>
    <x v="8"/>
    <x v="8"/>
    <s v="Corporate Service Bill870"/>
    <n v="-27000.359999999986"/>
  </r>
  <r>
    <x v="8"/>
    <x v="9"/>
    <s v="Corporate Service Bill871"/>
    <n v="0"/>
  </r>
  <r>
    <x v="8"/>
    <x v="10"/>
    <s v="Corporate Service Bill874"/>
    <n v="-7930.6699999999837"/>
  </r>
  <r>
    <x v="8"/>
    <x v="11"/>
    <s v="Corporate Service Bill875"/>
    <n v="5562.4599999999991"/>
  </r>
  <r>
    <x v="8"/>
    <x v="12"/>
    <s v="Corporate Service Bill876"/>
    <n v="4550.5200000000004"/>
  </r>
  <r>
    <x v="8"/>
    <x v="13"/>
    <s v="Corporate Service Bill878"/>
    <n v="-5529.0499999999884"/>
  </r>
  <r>
    <x v="8"/>
    <x v="14"/>
    <s v="Corporate Service Bill879"/>
    <n v="-5479.6399999999849"/>
  </r>
  <r>
    <x v="8"/>
    <x v="15"/>
    <s v="Corporate Service Bill880"/>
    <n v="-3042.320000000007"/>
  </r>
  <r>
    <x v="8"/>
    <x v="16"/>
    <s v="Corporate Service Bill881"/>
    <n v="0"/>
  </r>
  <r>
    <x v="8"/>
    <x v="17"/>
    <s v="Corporate Service Bill885"/>
    <n v="0"/>
  </r>
  <r>
    <x v="8"/>
    <x v="18"/>
    <s v="Corporate Service Bill886"/>
    <n v="0"/>
  </r>
  <r>
    <x v="8"/>
    <x v="19"/>
    <s v="Corporate Service Bill887"/>
    <n v="-10092.709999999999"/>
  </r>
  <r>
    <x v="8"/>
    <x v="20"/>
    <s v="Corporate Service Bill889"/>
    <n v="5562.4599999999991"/>
  </r>
  <r>
    <x v="8"/>
    <x v="21"/>
    <s v="Corporate Service Bill890"/>
    <n v="4821.1499999999978"/>
  </r>
  <r>
    <x v="8"/>
    <x v="22"/>
    <s v="Corporate Service Bill892"/>
    <n v="3512.0099999999984"/>
  </r>
  <r>
    <x v="8"/>
    <x v="23"/>
    <s v="Corporate Service Bill893"/>
    <n v="-5044.2100000000009"/>
  </r>
  <r>
    <x v="8"/>
    <x v="24"/>
    <s v="Corporate Service Bill894"/>
    <n v="5728.79"/>
  </r>
  <r>
    <x v="8"/>
    <x v="52"/>
    <s v="Corporate Service Bill901"/>
    <n v="1.18"/>
  </r>
  <r>
    <x v="8"/>
    <x v="25"/>
    <s v="Corporate Service Bill902"/>
    <n v="0"/>
  </r>
  <r>
    <x v="8"/>
    <x v="26"/>
    <s v="Corporate Service Bill903"/>
    <n v="-129188.48000000021"/>
  </r>
  <r>
    <x v="8"/>
    <x v="27"/>
    <s v="Corporate Service Bill904"/>
    <n v="0"/>
  </r>
  <r>
    <x v="8"/>
    <x v="28"/>
    <s v="Corporate Service Bill905"/>
    <n v="0"/>
  </r>
  <r>
    <x v="8"/>
    <x v="29"/>
    <s v="Corporate Service Bill907"/>
    <n v="0"/>
  </r>
  <r>
    <x v="8"/>
    <x v="30"/>
    <s v="Corporate Service Bill908"/>
    <n v="-65.539999999999992"/>
  </r>
  <r>
    <x v="8"/>
    <x v="31"/>
    <s v="Corporate Service Bill909"/>
    <n v="0"/>
  </r>
  <r>
    <x v="8"/>
    <x v="32"/>
    <s v="Corporate Service Bill910"/>
    <n v="-16959.819999999949"/>
  </r>
  <r>
    <x v="8"/>
    <x v="33"/>
    <s v="Corporate Service Bill911"/>
    <n v="0"/>
  </r>
  <r>
    <x v="8"/>
    <x v="34"/>
    <s v="Corporate Service Bill912"/>
    <n v="-717.56999999999789"/>
  </r>
  <r>
    <x v="8"/>
    <x v="35"/>
    <s v="Corporate Service Bill913"/>
    <n v="-4192.1399999999985"/>
  </r>
  <r>
    <x v="8"/>
    <x v="36"/>
    <s v="Corporate Service Bill920"/>
    <n v="-890667.98999999929"/>
  </r>
  <r>
    <x v="8"/>
    <x v="37"/>
    <s v="Corporate Service Bill921"/>
    <n v="-28261.460000000021"/>
  </r>
  <r>
    <x v="8"/>
    <x v="38"/>
    <s v="Corporate Service Bill923"/>
    <n v="-843946.41999999993"/>
  </r>
  <r>
    <x v="8"/>
    <x v="39"/>
    <s v="Corporate Service Bill924"/>
    <n v="-201.08000000000015"/>
  </r>
  <r>
    <x v="8"/>
    <x v="40"/>
    <s v="Corporate Service Bill925"/>
    <n v="-8755.2000000000044"/>
  </r>
  <r>
    <x v="8"/>
    <x v="41"/>
    <s v="Corporate Service Bill926"/>
    <n v="-269926.39999999991"/>
  </r>
  <r>
    <x v="8"/>
    <x v="42"/>
    <s v="Corporate Service Bill928"/>
    <n v="6.7600000000000016"/>
  </r>
  <r>
    <x v="8"/>
    <x v="43"/>
    <s v="Corporate Service Bill9301"/>
    <n v="-7489.9399999999987"/>
  </r>
  <r>
    <x v="8"/>
    <x v="44"/>
    <s v="Corporate Service Bill9302"/>
    <n v="-12571.960000000003"/>
  </r>
  <r>
    <x v="8"/>
    <x v="45"/>
    <s v="Corporate Service Bill931"/>
    <n v="-35065.550000000047"/>
  </r>
  <r>
    <x v="8"/>
    <x v="46"/>
    <s v="Corporate Service Bill932"/>
    <n v="-130440.81000000006"/>
  </r>
  <r>
    <x v="8"/>
    <x v="47"/>
    <s v="Corporate Service Bill935"/>
    <n v="0"/>
  </r>
  <r>
    <x v="8"/>
    <x v="48"/>
    <m/>
    <n v="-2414176.5899999994"/>
  </r>
  <r>
    <x v="9"/>
    <x v="0"/>
    <s v="Dues &amp; Donations801"/>
    <n v="0"/>
  </r>
  <r>
    <x v="9"/>
    <x v="1"/>
    <s v="Dues &amp; Donations803"/>
    <n v="0"/>
  </r>
  <r>
    <x v="9"/>
    <x v="2"/>
    <s v="Dues &amp; Donations804"/>
    <n v="0"/>
  </r>
  <r>
    <x v="9"/>
    <x v="3"/>
    <s v="Dues &amp; Donations805"/>
    <n v="0"/>
  </r>
  <r>
    <x v="9"/>
    <x v="4"/>
    <s v="Dues &amp; Donations806"/>
    <n v="0"/>
  </r>
  <r>
    <x v="9"/>
    <x v="5"/>
    <s v="Dues &amp; Donations807"/>
    <n v="0"/>
  </r>
  <r>
    <x v="9"/>
    <x v="6"/>
    <s v="Dues &amp; Donations808"/>
    <n v="0"/>
  </r>
  <r>
    <x v="9"/>
    <x v="7"/>
    <s v="Dues &amp; Donations812"/>
    <n v="0"/>
  </r>
  <r>
    <x v="9"/>
    <x v="8"/>
    <s v="Dues &amp; Donations870"/>
    <n v="0"/>
  </r>
  <r>
    <x v="9"/>
    <x v="9"/>
    <s v="Dues &amp; Donations871"/>
    <n v="0"/>
  </r>
  <r>
    <x v="9"/>
    <x v="10"/>
    <s v="Dues &amp; Donations874"/>
    <n v="0"/>
  </r>
  <r>
    <x v="9"/>
    <x v="11"/>
    <s v="Dues &amp; Donations875"/>
    <n v="0"/>
  </r>
  <r>
    <x v="9"/>
    <x v="12"/>
    <s v="Dues &amp; Donations876"/>
    <n v="0"/>
  </r>
  <r>
    <x v="9"/>
    <x v="13"/>
    <s v="Dues &amp; Donations878"/>
    <n v="0"/>
  </r>
  <r>
    <x v="9"/>
    <x v="14"/>
    <s v="Dues &amp; Donations879"/>
    <n v="0"/>
  </r>
  <r>
    <x v="9"/>
    <x v="15"/>
    <s v="Dues &amp; Donations880"/>
    <n v="0"/>
  </r>
  <r>
    <x v="9"/>
    <x v="16"/>
    <s v="Dues &amp; Donations881"/>
    <n v="0"/>
  </r>
  <r>
    <x v="9"/>
    <x v="17"/>
    <s v="Dues &amp; Donations885"/>
    <n v="0"/>
  </r>
  <r>
    <x v="9"/>
    <x v="18"/>
    <s v="Dues &amp; Donations886"/>
    <n v="0"/>
  </r>
  <r>
    <x v="9"/>
    <x v="19"/>
    <s v="Dues &amp; Donations887"/>
    <n v="0"/>
  </r>
  <r>
    <x v="9"/>
    <x v="20"/>
    <s v="Dues &amp; Donations889"/>
    <n v="0"/>
  </r>
  <r>
    <x v="9"/>
    <x v="21"/>
    <s v="Dues &amp; Donations890"/>
    <n v="0"/>
  </r>
  <r>
    <x v="9"/>
    <x v="22"/>
    <s v="Dues &amp; Donations892"/>
    <n v="0"/>
  </r>
  <r>
    <x v="9"/>
    <x v="23"/>
    <s v="Dues &amp; Donations893"/>
    <n v="0"/>
  </r>
  <r>
    <x v="9"/>
    <x v="24"/>
    <s v="Dues &amp; Donations894"/>
    <n v="0"/>
  </r>
  <r>
    <x v="9"/>
    <x v="25"/>
    <s v="Dues &amp; Donations902"/>
    <n v="0"/>
  </r>
  <r>
    <x v="9"/>
    <x v="26"/>
    <s v="Dues &amp; Donations903"/>
    <n v="0"/>
  </r>
  <r>
    <x v="9"/>
    <x v="27"/>
    <s v="Dues &amp; Donations904"/>
    <n v="0"/>
  </r>
  <r>
    <x v="9"/>
    <x v="28"/>
    <s v="Dues &amp; Donations905"/>
    <n v="0"/>
  </r>
  <r>
    <x v="9"/>
    <x v="29"/>
    <s v="Dues &amp; Donations907"/>
    <n v="0"/>
  </r>
  <r>
    <x v="9"/>
    <x v="30"/>
    <s v="Dues &amp; Donations908"/>
    <n v="0"/>
  </r>
  <r>
    <x v="9"/>
    <x v="31"/>
    <s v="Dues &amp; Donations909"/>
    <n v="0"/>
  </r>
  <r>
    <x v="9"/>
    <x v="32"/>
    <s v="Dues &amp; Donations910"/>
    <n v="0"/>
  </r>
  <r>
    <x v="9"/>
    <x v="33"/>
    <s v="Dues &amp; Donations911"/>
    <n v="0"/>
  </r>
  <r>
    <x v="9"/>
    <x v="34"/>
    <s v="Dues &amp; Donations912"/>
    <n v="0"/>
  </r>
  <r>
    <x v="9"/>
    <x v="35"/>
    <s v="Dues &amp; Donations913"/>
    <n v="0"/>
  </r>
  <r>
    <x v="9"/>
    <x v="36"/>
    <s v="Dues &amp; Donations920"/>
    <n v="0"/>
  </r>
  <r>
    <x v="9"/>
    <x v="37"/>
    <s v="Dues &amp; Donations921"/>
    <n v="268.15999999999985"/>
  </r>
  <r>
    <x v="9"/>
    <x v="38"/>
    <s v="Dues &amp; Donations923"/>
    <n v="-531.26"/>
  </r>
  <r>
    <x v="9"/>
    <x v="39"/>
    <s v="Dues &amp; Donations924"/>
    <n v="0"/>
  </r>
  <r>
    <x v="9"/>
    <x v="40"/>
    <s v="Dues &amp; Donations925"/>
    <n v="0"/>
  </r>
  <r>
    <x v="9"/>
    <x v="41"/>
    <s v="Dues &amp; Donations926"/>
    <n v="0"/>
  </r>
  <r>
    <x v="9"/>
    <x v="42"/>
    <s v="Dues &amp; Donations928"/>
    <n v="0"/>
  </r>
  <r>
    <x v="9"/>
    <x v="43"/>
    <s v="Dues &amp; Donations9301"/>
    <n v="0"/>
  </r>
  <r>
    <x v="9"/>
    <x v="44"/>
    <s v="Dues &amp; Donations9302"/>
    <n v="-8617.14"/>
  </r>
  <r>
    <x v="9"/>
    <x v="45"/>
    <s v="Dues &amp; Donations931"/>
    <n v="0"/>
  </r>
  <r>
    <x v="9"/>
    <x v="46"/>
    <s v="Dues &amp; Donations932"/>
    <n v="0"/>
  </r>
  <r>
    <x v="9"/>
    <x v="47"/>
    <s v="Dues &amp; Donations935"/>
    <n v="0"/>
  </r>
  <r>
    <x v="9"/>
    <x v="48"/>
    <m/>
    <n v="-8880.24"/>
  </r>
  <r>
    <x v="10"/>
    <x v="0"/>
    <s v="Employee Expenses801"/>
    <n v="0"/>
  </r>
  <r>
    <x v="10"/>
    <x v="1"/>
    <s v="Employee Expenses803"/>
    <n v="0"/>
  </r>
  <r>
    <x v="10"/>
    <x v="2"/>
    <s v="Employee Expenses804"/>
    <n v="0"/>
  </r>
  <r>
    <x v="10"/>
    <x v="3"/>
    <s v="Employee Expenses805"/>
    <n v="0"/>
  </r>
  <r>
    <x v="10"/>
    <x v="4"/>
    <s v="Employee Expenses806"/>
    <n v="0"/>
  </r>
  <r>
    <x v="10"/>
    <x v="5"/>
    <s v="Employee Expenses807"/>
    <n v="0"/>
  </r>
  <r>
    <x v="10"/>
    <x v="6"/>
    <s v="Employee Expenses808"/>
    <n v="0"/>
  </r>
  <r>
    <x v="10"/>
    <x v="7"/>
    <s v="Employee Expenses812"/>
    <n v="0"/>
  </r>
  <r>
    <x v="10"/>
    <x v="8"/>
    <s v="Employee Expenses870"/>
    <n v="1808.739999999998"/>
  </r>
  <r>
    <x v="10"/>
    <x v="9"/>
    <s v="Employee Expenses871"/>
    <n v="0"/>
  </r>
  <r>
    <x v="10"/>
    <x v="10"/>
    <s v="Employee Expenses874"/>
    <n v="16456.630000000005"/>
  </r>
  <r>
    <x v="10"/>
    <x v="11"/>
    <s v="Employee Expenses875"/>
    <n v="60.039999999999964"/>
  </r>
  <r>
    <x v="10"/>
    <x v="12"/>
    <s v="Employee Expenses876"/>
    <n v="-105.24000000000001"/>
  </r>
  <r>
    <x v="10"/>
    <x v="13"/>
    <s v="Employee Expenses878"/>
    <n v="4560.9000000000015"/>
  </r>
  <r>
    <x v="10"/>
    <x v="14"/>
    <s v="Employee Expenses879"/>
    <n v="640.75999999999931"/>
  </r>
  <r>
    <x v="10"/>
    <x v="15"/>
    <s v="Employee Expenses880"/>
    <n v="-2016.7200000000012"/>
  </r>
  <r>
    <x v="10"/>
    <x v="16"/>
    <s v="Employee Expenses881"/>
    <n v="0"/>
  </r>
  <r>
    <x v="10"/>
    <x v="17"/>
    <s v="Employee Expenses885"/>
    <n v="231.09000000000106"/>
  </r>
  <r>
    <x v="10"/>
    <x v="18"/>
    <s v="Employee Expenses886"/>
    <n v="0"/>
  </r>
  <r>
    <x v="10"/>
    <x v="19"/>
    <s v="Employee Expenses887"/>
    <n v="1313.9800000000014"/>
  </r>
  <r>
    <x v="10"/>
    <x v="20"/>
    <s v="Employee Expenses889"/>
    <n v="60.039999999999964"/>
  </r>
  <r>
    <x v="10"/>
    <x v="21"/>
    <s v="Employee Expenses890"/>
    <n v="30.009999999999877"/>
  </r>
  <r>
    <x v="10"/>
    <x v="22"/>
    <s v="Employee Expenses892"/>
    <n v="707.38999999999942"/>
  </r>
  <r>
    <x v="10"/>
    <x v="23"/>
    <s v="Employee Expenses893"/>
    <n v="0"/>
  </r>
  <r>
    <x v="10"/>
    <x v="24"/>
    <s v="Employee Expenses894"/>
    <n v="0"/>
  </r>
  <r>
    <x v="10"/>
    <x v="25"/>
    <s v="Employee Expenses902"/>
    <n v="0"/>
  </r>
  <r>
    <x v="10"/>
    <x v="26"/>
    <s v="Employee Expenses903"/>
    <n v="354.44000000000005"/>
  </r>
  <r>
    <x v="10"/>
    <x v="27"/>
    <s v="Employee Expenses904"/>
    <n v="0"/>
  </r>
  <r>
    <x v="10"/>
    <x v="28"/>
    <s v="Employee Expenses905"/>
    <n v="0"/>
  </r>
  <r>
    <x v="10"/>
    <x v="29"/>
    <s v="Employee Expenses907"/>
    <n v="0"/>
  </r>
  <r>
    <x v="10"/>
    <x v="30"/>
    <s v="Employee Expenses908"/>
    <n v="0"/>
  </r>
  <r>
    <x v="10"/>
    <x v="31"/>
    <s v="Employee Expenses909"/>
    <n v="0"/>
  </r>
  <r>
    <x v="10"/>
    <x v="32"/>
    <s v="Employee Expenses910"/>
    <n v="0"/>
  </r>
  <r>
    <x v="10"/>
    <x v="33"/>
    <s v="Employee Expenses911"/>
    <n v="0"/>
  </r>
  <r>
    <x v="10"/>
    <x v="34"/>
    <s v="Employee Expenses912"/>
    <n v="0"/>
  </r>
  <r>
    <x v="10"/>
    <x v="35"/>
    <s v="Employee Expenses913"/>
    <n v="0"/>
  </r>
  <r>
    <x v="10"/>
    <x v="36"/>
    <s v="Employee Expenses920"/>
    <n v="726.17999999999665"/>
  </r>
  <r>
    <x v="10"/>
    <x v="37"/>
    <s v="Employee Expenses921"/>
    <n v="5478.6600000000035"/>
  </r>
  <r>
    <x v="10"/>
    <x v="38"/>
    <s v="Employee Expenses923"/>
    <n v="365"/>
  </r>
  <r>
    <x v="10"/>
    <x v="39"/>
    <s v="Employee Expenses924"/>
    <n v="0"/>
  </r>
  <r>
    <x v="10"/>
    <x v="40"/>
    <s v="Employee Expenses925"/>
    <n v="0"/>
  </r>
  <r>
    <x v="10"/>
    <x v="41"/>
    <s v="Employee Expenses926"/>
    <n v="-77448.760000000068"/>
  </r>
  <r>
    <x v="10"/>
    <x v="42"/>
    <s v="Employee Expenses928"/>
    <n v="0"/>
  </r>
  <r>
    <x v="10"/>
    <x v="43"/>
    <s v="Employee Expenses9301"/>
    <n v="0"/>
  </r>
  <r>
    <x v="10"/>
    <x v="44"/>
    <s v="Employee Expenses9302"/>
    <n v="0"/>
  </r>
  <r>
    <x v="10"/>
    <x v="45"/>
    <s v="Employee Expenses931"/>
    <n v="0"/>
  </r>
  <r>
    <x v="10"/>
    <x v="46"/>
    <s v="Employee Expenses932"/>
    <n v="0"/>
  </r>
  <r>
    <x v="10"/>
    <x v="47"/>
    <s v="Employee Expenses935"/>
    <n v="0"/>
  </r>
  <r>
    <x v="10"/>
    <x v="48"/>
    <m/>
    <n v="-46776.860000000073"/>
  </r>
  <r>
    <x v="11"/>
    <x v="0"/>
    <s v="Employees' Insurance Plans801"/>
    <n v="0"/>
  </r>
  <r>
    <x v="11"/>
    <x v="1"/>
    <s v="Employees' Insurance Plans803"/>
    <n v="0"/>
  </r>
  <r>
    <x v="11"/>
    <x v="2"/>
    <s v="Employees' Insurance Plans804"/>
    <n v="0"/>
  </r>
  <r>
    <x v="11"/>
    <x v="3"/>
    <s v="Employees' Insurance Plans805"/>
    <n v="0"/>
  </r>
  <r>
    <x v="11"/>
    <x v="4"/>
    <s v="Employees' Insurance Plans806"/>
    <n v="0"/>
  </r>
  <r>
    <x v="11"/>
    <x v="5"/>
    <s v="Employees' Insurance Plans807"/>
    <n v="0"/>
  </r>
  <r>
    <x v="11"/>
    <x v="6"/>
    <s v="Employees' Insurance Plans808"/>
    <n v="0"/>
  </r>
  <r>
    <x v="11"/>
    <x v="7"/>
    <s v="Employees' Insurance Plans812"/>
    <n v="0"/>
  </r>
  <r>
    <x v="11"/>
    <x v="8"/>
    <s v="Employees' Insurance Plans870"/>
    <n v="0"/>
  </r>
  <r>
    <x v="11"/>
    <x v="9"/>
    <s v="Employees' Insurance Plans871"/>
    <n v="0"/>
  </r>
  <r>
    <x v="11"/>
    <x v="10"/>
    <s v="Employees' Insurance Plans874"/>
    <n v="-25.39"/>
  </r>
  <r>
    <x v="11"/>
    <x v="11"/>
    <s v="Employees' Insurance Plans875"/>
    <n v="0"/>
  </r>
  <r>
    <x v="11"/>
    <x v="12"/>
    <s v="Employees' Insurance Plans876"/>
    <n v="0"/>
  </r>
  <r>
    <x v="11"/>
    <x v="13"/>
    <s v="Employees' Insurance Plans878"/>
    <n v="0"/>
  </r>
  <r>
    <x v="11"/>
    <x v="14"/>
    <s v="Employees' Insurance Plans879"/>
    <n v="0"/>
  </r>
  <r>
    <x v="11"/>
    <x v="15"/>
    <s v="Employees' Insurance Plans880"/>
    <n v="191.59999999999997"/>
  </r>
  <r>
    <x v="11"/>
    <x v="16"/>
    <s v="Employees' Insurance Plans881"/>
    <n v="0"/>
  </r>
  <r>
    <x v="11"/>
    <x v="17"/>
    <s v="Employees' Insurance Plans885"/>
    <n v="0"/>
  </r>
  <r>
    <x v="11"/>
    <x v="18"/>
    <s v="Employees' Insurance Plans886"/>
    <n v="0"/>
  </r>
  <r>
    <x v="11"/>
    <x v="19"/>
    <s v="Employees' Insurance Plans887"/>
    <n v="0"/>
  </r>
  <r>
    <x v="11"/>
    <x v="20"/>
    <s v="Employees' Insurance Plans889"/>
    <n v="0"/>
  </r>
  <r>
    <x v="11"/>
    <x v="21"/>
    <s v="Employees' Insurance Plans890"/>
    <n v="0"/>
  </r>
  <r>
    <x v="11"/>
    <x v="22"/>
    <s v="Employees' Insurance Plans892"/>
    <n v="0"/>
  </r>
  <r>
    <x v="11"/>
    <x v="23"/>
    <s v="Employees' Insurance Plans893"/>
    <n v="0"/>
  </r>
  <r>
    <x v="11"/>
    <x v="24"/>
    <s v="Employees' Insurance Plans894"/>
    <n v="0"/>
  </r>
  <r>
    <x v="11"/>
    <x v="25"/>
    <s v="Employees' Insurance Plans902"/>
    <n v="0"/>
  </r>
  <r>
    <x v="11"/>
    <x v="26"/>
    <s v="Employees' Insurance Plans903"/>
    <n v="0"/>
  </r>
  <r>
    <x v="11"/>
    <x v="27"/>
    <s v="Employees' Insurance Plans904"/>
    <n v="0"/>
  </r>
  <r>
    <x v="11"/>
    <x v="28"/>
    <s v="Employees' Insurance Plans905"/>
    <n v="0"/>
  </r>
  <r>
    <x v="11"/>
    <x v="29"/>
    <s v="Employees' Insurance Plans907"/>
    <n v="0"/>
  </r>
  <r>
    <x v="11"/>
    <x v="30"/>
    <s v="Employees' Insurance Plans908"/>
    <n v="0"/>
  </r>
  <r>
    <x v="11"/>
    <x v="31"/>
    <s v="Employees' Insurance Plans909"/>
    <n v="0"/>
  </r>
  <r>
    <x v="11"/>
    <x v="32"/>
    <s v="Employees' Insurance Plans910"/>
    <n v="0"/>
  </r>
  <r>
    <x v="11"/>
    <x v="33"/>
    <s v="Employees' Insurance Plans911"/>
    <n v="0"/>
  </r>
  <r>
    <x v="11"/>
    <x v="34"/>
    <s v="Employees' Insurance Plans912"/>
    <n v="0"/>
  </r>
  <r>
    <x v="11"/>
    <x v="35"/>
    <s v="Employees' Insurance Plans913"/>
    <n v="0"/>
  </r>
  <r>
    <x v="11"/>
    <x v="36"/>
    <s v="Employees' Insurance Plans920"/>
    <n v="0"/>
  </r>
  <r>
    <x v="11"/>
    <x v="37"/>
    <s v="Employees' Insurance Plans921"/>
    <n v="0"/>
  </r>
  <r>
    <x v="11"/>
    <x v="38"/>
    <s v="Employees' Insurance Plans923"/>
    <n v="0"/>
  </r>
  <r>
    <x v="11"/>
    <x v="39"/>
    <s v="Employees' Insurance Plans924"/>
    <n v="0"/>
  </r>
  <r>
    <x v="11"/>
    <x v="40"/>
    <s v="Employees' Insurance Plans925"/>
    <n v="0"/>
  </r>
  <r>
    <x v="11"/>
    <x v="41"/>
    <s v="Employees' Insurance Plans926"/>
    <n v="197176.17000000039"/>
  </r>
  <r>
    <x v="11"/>
    <x v="42"/>
    <s v="Employees' Insurance Plans928"/>
    <n v="0"/>
  </r>
  <r>
    <x v="11"/>
    <x v="49"/>
    <s v="Employees' Insurance Plans930"/>
    <n v="0"/>
  </r>
  <r>
    <x v="11"/>
    <x v="45"/>
    <s v="Employees' Insurance Plans931"/>
    <n v="0"/>
  </r>
  <r>
    <x v="11"/>
    <x v="46"/>
    <s v="Employees' Insurance Plans932"/>
    <n v="0"/>
  </r>
  <r>
    <x v="11"/>
    <x v="47"/>
    <s v="Employees' Insurance Plans935"/>
    <n v="0"/>
  </r>
  <r>
    <x v="11"/>
    <x v="48"/>
    <m/>
    <n v="197342.38000000038"/>
  </r>
  <r>
    <x v="12"/>
    <x v="0"/>
    <s v="Energy Assistance Program Tracker801"/>
    <n v="0"/>
  </r>
  <r>
    <x v="12"/>
    <x v="1"/>
    <s v="Energy Assistance Program Tracker803"/>
    <n v="0"/>
  </r>
  <r>
    <x v="12"/>
    <x v="2"/>
    <s v="Energy Assistance Program Tracker804"/>
    <n v="0"/>
  </r>
  <r>
    <x v="12"/>
    <x v="3"/>
    <s v="Energy Assistance Program Tracker805"/>
    <n v="0"/>
  </r>
  <r>
    <x v="12"/>
    <x v="4"/>
    <s v="Energy Assistance Program Tracker806"/>
    <n v="0"/>
  </r>
  <r>
    <x v="12"/>
    <x v="5"/>
    <s v="Energy Assistance Program Tracker807"/>
    <n v="0"/>
  </r>
  <r>
    <x v="12"/>
    <x v="6"/>
    <s v="Energy Assistance Program Tracker808"/>
    <n v="0"/>
  </r>
  <r>
    <x v="12"/>
    <x v="7"/>
    <s v="Energy Assistance Program Tracker812"/>
    <n v="0"/>
  </r>
  <r>
    <x v="12"/>
    <x v="8"/>
    <s v="Energy Assistance Program Tracker870"/>
    <n v="0"/>
  </r>
  <r>
    <x v="12"/>
    <x v="9"/>
    <s v="Energy Assistance Program Tracker871"/>
    <n v="0"/>
  </r>
  <r>
    <x v="12"/>
    <x v="10"/>
    <s v="Energy Assistance Program Tracker874"/>
    <n v="0"/>
  </r>
  <r>
    <x v="12"/>
    <x v="11"/>
    <s v="Energy Assistance Program Tracker875"/>
    <n v="0"/>
  </r>
  <r>
    <x v="12"/>
    <x v="12"/>
    <s v="Energy Assistance Program Tracker876"/>
    <n v="0"/>
  </r>
  <r>
    <x v="12"/>
    <x v="13"/>
    <s v="Energy Assistance Program Tracker878"/>
    <n v="0"/>
  </r>
  <r>
    <x v="12"/>
    <x v="14"/>
    <s v="Energy Assistance Program Tracker879"/>
    <n v="0"/>
  </r>
  <r>
    <x v="12"/>
    <x v="15"/>
    <s v="Energy Assistance Program Tracker880"/>
    <n v="0"/>
  </r>
  <r>
    <x v="12"/>
    <x v="16"/>
    <s v="Energy Assistance Program Tracker881"/>
    <n v="0"/>
  </r>
  <r>
    <x v="12"/>
    <x v="17"/>
    <s v="Energy Assistance Program Tracker885"/>
    <n v="0"/>
  </r>
  <r>
    <x v="12"/>
    <x v="18"/>
    <s v="Energy Assistance Program Tracker886"/>
    <n v="0"/>
  </r>
  <r>
    <x v="12"/>
    <x v="19"/>
    <s v="Energy Assistance Program Tracker887"/>
    <n v="0"/>
  </r>
  <r>
    <x v="12"/>
    <x v="20"/>
    <s v="Energy Assistance Program Tracker889"/>
    <n v="0"/>
  </r>
  <r>
    <x v="12"/>
    <x v="21"/>
    <s v="Energy Assistance Program Tracker890"/>
    <n v="0"/>
  </r>
  <r>
    <x v="12"/>
    <x v="22"/>
    <s v="Energy Assistance Program Tracker892"/>
    <n v="0"/>
  </r>
  <r>
    <x v="12"/>
    <x v="23"/>
    <s v="Energy Assistance Program Tracker893"/>
    <n v="0"/>
  </r>
  <r>
    <x v="12"/>
    <x v="24"/>
    <s v="Energy Assistance Program Tracker894"/>
    <n v="0"/>
  </r>
  <r>
    <x v="12"/>
    <x v="25"/>
    <s v="Energy Assistance Program Tracker902"/>
    <n v="0"/>
  </r>
  <r>
    <x v="12"/>
    <x v="26"/>
    <s v="Energy Assistance Program Tracker903"/>
    <n v="0"/>
  </r>
  <r>
    <x v="12"/>
    <x v="27"/>
    <s v="Energy Assistance Program Tracker904"/>
    <n v="8124.0400000000955"/>
  </r>
  <r>
    <x v="12"/>
    <x v="28"/>
    <s v="Energy Assistance Program Tracker905"/>
    <n v="0"/>
  </r>
  <r>
    <x v="12"/>
    <x v="29"/>
    <s v="Energy Assistance Program Tracker907"/>
    <n v="0"/>
  </r>
  <r>
    <x v="12"/>
    <x v="30"/>
    <s v="Energy Assistance Program Tracker908"/>
    <n v="0"/>
  </r>
  <r>
    <x v="12"/>
    <x v="31"/>
    <s v="Energy Assistance Program Tracker909"/>
    <n v="0"/>
  </r>
  <r>
    <x v="12"/>
    <x v="32"/>
    <s v="Energy Assistance Program Tracker910"/>
    <n v="0"/>
  </r>
  <r>
    <x v="12"/>
    <x v="33"/>
    <s v="Energy Assistance Program Tracker911"/>
    <n v="0"/>
  </r>
  <r>
    <x v="12"/>
    <x v="34"/>
    <s v="Energy Assistance Program Tracker912"/>
    <n v="0"/>
  </r>
  <r>
    <x v="12"/>
    <x v="35"/>
    <s v="Energy Assistance Program Tracker913"/>
    <n v="0"/>
  </r>
  <r>
    <x v="12"/>
    <x v="36"/>
    <s v="Energy Assistance Program Tracker920"/>
    <n v="0"/>
  </r>
  <r>
    <x v="12"/>
    <x v="37"/>
    <s v="Energy Assistance Program Tracker921"/>
    <n v="0"/>
  </r>
  <r>
    <x v="12"/>
    <x v="38"/>
    <s v="Energy Assistance Program Tracker923"/>
    <n v="0"/>
  </r>
  <r>
    <x v="12"/>
    <x v="39"/>
    <s v="Energy Assistance Program Tracker924"/>
    <n v="0"/>
  </r>
  <r>
    <x v="12"/>
    <x v="40"/>
    <s v="Energy Assistance Program Tracker925"/>
    <n v="0"/>
  </r>
  <r>
    <x v="12"/>
    <x v="41"/>
    <s v="Energy Assistance Program Tracker926"/>
    <n v="0"/>
  </r>
  <r>
    <x v="12"/>
    <x v="42"/>
    <s v="Energy Assistance Program Tracker928"/>
    <n v="0"/>
  </r>
  <r>
    <x v="12"/>
    <x v="49"/>
    <s v="Energy Assistance Program Tracker930"/>
    <n v="0"/>
  </r>
  <r>
    <x v="12"/>
    <x v="45"/>
    <s v="Energy Assistance Program Tracker931"/>
    <n v="0"/>
  </r>
  <r>
    <x v="12"/>
    <x v="46"/>
    <s v="Energy Assistance Program Tracker932"/>
    <n v="0"/>
  </r>
  <r>
    <x v="12"/>
    <x v="47"/>
    <s v="Energy Assistance Program Tracker935"/>
    <n v="0"/>
  </r>
  <r>
    <x v="12"/>
    <x v="48"/>
    <m/>
    <n v="8124.0400000000955"/>
  </r>
  <r>
    <x v="13"/>
    <x v="0"/>
    <s v="Gas Cost801"/>
    <n v="-28895.78"/>
  </r>
  <r>
    <x v="13"/>
    <x v="1"/>
    <s v="Gas Cost803"/>
    <n v="-3253627.7899999991"/>
  </r>
  <r>
    <x v="13"/>
    <x v="2"/>
    <s v="Gas Cost804"/>
    <n v="-928985.40999999968"/>
  </r>
  <r>
    <x v="13"/>
    <x v="3"/>
    <s v="Gas Cost805"/>
    <n v="1089908.8199999966"/>
  </r>
  <r>
    <x v="13"/>
    <x v="4"/>
    <s v="Gas Cost806"/>
    <n v="-115351.72999999952"/>
  </r>
  <r>
    <x v="13"/>
    <x v="5"/>
    <s v="Gas Cost807"/>
    <n v="0"/>
  </r>
  <r>
    <x v="13"/>
    <x v="53"/>
    <s v="Gas Cost8071"/>
    <n v="-2277618.4300000006"/>
  </r>
  <r>
    <x v="13"/>
    <x v="6"/>
    <s v="Gas Cost808"/>
    <n v="-7360845.129999999"/>
  </r>
  <r>
    <x v="13"/>
    <x v="7"/>
    <s v="Gas Cost812"/>
    <n v="14472.86"/>
  </r>
  <r>
    <x v="13"/>
    <x v="8"/>
    <s v="Gas Cost870"/>
    <n v="0"/>
  </r>
  <r>
    <x v="13"/>
    <x v="9"/>
    <s v="Gas Cost871"/>
    <n v="0"/>
  </r>
  <r>
    <x v="13"/>
    <x v="10"/>
    <s v="Gas Cost874"/>
    <n v="0"/>
  </r>
  <r>
    <x v="13"/>
    <x v="11"/>
    <s v="Gas Cost875"/>
    <n v="0"/>
  </r>
  <r>
    <x v="13"/>
    <x v="12"/>
    <s v="Gas Cost876"/>
    <n v="0"/>
  </r>
  <r>
    <x v="13"/>
    <x v="13"/>
    <s v="Gas Cost878"/>
    <n v="0"/>
  </r>
  <r>
    <x v="13"/>
    <x v="14"/>
    <s v="Gas Cost879"/>
    <n v="0"/>
  </r>
  <r>
    <x v="13"/>
    <x v="15"/>
    <s v="Gas Cost880"/>
    <n v="0"/>
  </r>
  <r>
    <x v="13"/>
    <x v="16"/>
    <s v="Gas Cost881"/>
    <n v="0"/>
  </r>
  <r>
    <x v="13"/>
    <x v="17"/>
    <s v="Gas Cost885"/>
    <n v="0"/>
  </r>
  <r>
    <x v="13"/>
    <x v="18"/>
    <s v="Gas Cost886"/>
    <n v="0"/>
  </r>
  <r>
    <x v="13"/>
    <x v="19"/>
    <s v="Gas Cost887"/>
    <n v="0"/>
  </r>
  <r>
    <x v="13"/>
    <x v="20"/>
    <s v="Gas Cost889"/>
    <n v="0"/>
  </r>
  <r>
    <x v="13"/>
    <x v="21"/>
    <s v="Gas Cost890"/>
    <n v="0"/>
  </r>
  <r>
    <x v="13"/>
    <x v="22"/>
    <s v="Gas Cost892"/>
    <n v="0"/>
  </r>
  <r>
    <x v="13"/>
    <x v="23"/>
    <s v="Gas Cost893"/>
    <n v="0"/>
  </r>
  <r>
    <x v="13"/>
    <x v="24"/>
    <s v="Gas Cost894"/>
    <n v="0"/>
  </r>
  <r>
    <x v="13"/>
    <x v="25"/>
    <s v="Gas Cost902"/>
    <n v="0"/>
  </r>
  <r>
    <x v="13"/>
    <x v="26"/>
    <s v="Gas Cost903"/>
    <n v="0"/>
  </r>
  <r>
    <x v="13"/>
    <x v="27"/>
    <s v="Gas Cost904"/>
    <n v="0"/>
  </r>
  <r>
    <x v="13"/>
    <x v="28"/>
    <s v="Gas Cost905"/>
    <n v="0"/>
  </r>
  <r>
    <x v="13"/>
    <x v="29"/>
    <s v="Gas Cost907"/>
    <n v="0"/>
  </r>
  <r>
    <x v="13"/>
    <x v="30"/>
    <s v="Gas Cost908"/>
    <n v="0"/>
  </r>
  <r>
    <x v="13"/>
    <x v="31"/>
    <s v="Gas Cost909"/>
    <n v="0"/>
  </r>
  <r>
    <x v="13"/>
    <x v="32"/>
    <s v="Gas Cost910"/>
    <n v="0"/>
  </r>
  <r>
    <x v="13"/>
    <x v="33"/>
    <s v="Gas Cost911"/>
    <n v="0"/>
  </r>
  <r>
    <x v="13"/>
    <x v="34"/>
    <s v="Gas Cost912"/>
    <n v="0"/>
  </r>
  <r>
    <x v="13"/>
    <x v="35"/>
    <s v="Gas Cost913"/>
    <n v="0"/>
  </r>
  <r>
    <x v="13"/>
    <x v="36"/>
    <s v="Gas Cost920"/>
    <n v="0"/>
  </r>
  <r>
    <x v="13"/>
    <x v="37"/>
    <s v="Gas Cost921"/>
    <n v="0"/>
  </r>
  <r>
    <x v="13"/>
    <x v="38"/>
    <s v="Gas Cost923"/>
    <n v="0"/>
  </r>
  <r>
    <x v="13"/>
    <x v="39"/>
    <s v="Gas Cost924"/>
    <n v="0"/>
  </r>
  <r>
    <x v="13"/>
    <x v="40"/>
    <s v="Gas Cost925"/>
    <n v="0"/>
  </r>
  <r>
    <x v="13"/>
    <x v="41"/>
    <s v="Gas Cost926"/>
    <n v="0"/>
  </r>
  <r>
    <x v="13"/>
    <x v="42"/>
    <s v="Gas Cost928"/>
    <n v="0"/>
  </r>
  <r>
    <x v="13"/>
    <x v="49"/>
    <s v="Gas Cost930"/>
    <n v="0"/>
  </r>
  <r>
    <x v="13"/>
    <x v="45"/>
    <s v="Gas Cost931"/>
    <n v="0"/>
  </r>
  <r>
    <x v="13"/>
    <x v="46"/>
    <s v="Gas Cost932"/>
    <n v="0"/>
  </r>
  <r>
    <x v="13"/>
    <x v="47"/>
    <s v="Gas Cost935"/>
    <n v="0"/>
  </r>
  <r>
    <x v="13"/>
    <x v="48"/>
    <m/>
    <n v="-12860942.590000002"/>
  </r>
  <r>
    <x v="14"/>
    <x v="0"/>
    <s v="Incentive Compensation801"/>
    <n v="0"/>
  </r>
  <r>
    <x v="14"/>
    <x v="1"/>
    <s v="Incentive Compensation803"/>
    <n v="0"/>
  </r>
  <r>
    <x v="14"/>
    <x v="2"/>
    <s v="Incentive Compensation804"/>
    <n v="0"/>
  </r>
  <r>
    <x v="14"/>
    <x v="3"/>
    <s v="Incentive Compensation805"/>
    <n v="0"/>
  </r>
  <r>
    <x v="14"/>
    <x v="4"/>
    <s v="Incentive Compensation806"/>
    <n v="0"/>
  </r>
  <r>
    <x v="14"/>
    <x v="5"/>
    <s v="Incentive Compensation807"/>
    <n v="0"/>
  </r>
  <r>
    <x v="14"/>
    <x v="6"/>
    <s v="Incentive Compensation808"/>
    <n v="0"/>
  </r>
  <r>
    <x v="14"/>
    <x v="7"/>
    <s v="Incentive Compensation812"/>
    <n v="0"/>
  </r>
  <r>
    <x v="14"/>
    <x v="8"/>
    <s v="Incentive Compensation870"/>
    <n v="0"/>
  </r>
  <r>
    <x v="14"/>
    <x v="9"/>
    <s v="Incentive Compensation871"/>
    <n v="0"/>
  </r>
  <r>
    <x v="14"/>
    <x v="10"/>
    <s v="Incentive Compensation874"/>
    <n v="0"/>
  </r>
  <r>
    <x v="14"/>
    <x v="11"/>
    <s v="Incentive Compensation875"/>
    <n v="0"/>
  </r>
  <r>
    <x v="14"/>
    <x v="12"/>
    <s v="Incentive Compensation876"/>
    <n v="0"/>
  </r>
  <r>
    <x v="14"/>
    <x v="13"/>
    <s v="Incentive Compensation878"/>
    <n v="0"/>
  </r>
  <r>
    <x v="14"/>
    <x v="14"/>
    <s v="Incentive Compensation879"/>
    <n v="0"/>
  </r>
  <r>
    <x v="14"/>
    <x v="15"/>
    <s v="Incentive Compensation880"/>
    <n v="0"/>
  </r>
  <r>
    <x v="14"/>
    <x v="16"/>
    <s v="Incentive Compensation881"/>
    <n v="0"/>
  </r>
  <r>
    <x v="14"/>
    <x v="17"/>
    <s v="Incentive Compensation885"/>
    <n v="0"/>
  </r>
  <r>
    <x v="14"/>
    <x v="18"/>
    <s v="Incentive Compensation886"/>
    <n v="0"/>
  </r>
  <r>
    <x v="14"/>
    <x v="19"/>
    <s v="Incentive Compensation887"/>
    <n v="0"/>
  </r>
  <r>
    <x v="14"/>
    <x v="20"/>
    <s v="Incentive Compensation889"/>
    <n v="0"/>
  </r>
  <r>
    <x v="14"/>
    <x v="21"/>
    <s v="Incentive Compensation890"/>
    <n v="0"/>
  </r>
  <r>
    <x v="14"/>
    <x v="22"/>
    <s v="Incentive Compensation892"/>
    <n v="0"/>
  </r>
  <r>
    <x v="14"/>
    <x v="23"/>
    <s v="Incentive Compensation893"/>
    <n v="0"/>
  </r>
  <r>
    <x v="14"/>
    <x v="24"/>
    <s v="Incentive Compensation894"/>
    <n v="0"/>
  </r>
  <r>
    <x v="14"/>
    <x v="25"/>
    <s v="Incentive Compensation902"/>
    <n v="0"/>
  </r>
  <r>
    <x v="14"/>
    <x v="26"/>
    <s v="Incentive Compensation903"/>
    <n v="0"/>
  </r>
  <r>
    <x v="14"/>
    <x v="27"/>
    <s v="Incentive Compensation904"/>
    <n v="0"/>
  </r>
  <r>
    <x v="14"/>
    <x v="28"/>
    <s v="Incentive Compensation905"/>
    <n v="0"/>
  </r>
  <r>
    <x v="14"/>
    <x v="29"/>
    <s v="Incentive Compensation907"/>
    <n v="0"/>
  </r>
  <r>
    <x v="14"/>
    <x v="30"/>
    <s v="Incentive Compensation908"/>
    <n v="0"/>
  </r>
  <r>
    <x v="14"/>
    <x v="31"/>
    <s v="Incentive Compensation909"/>
    <n v="0"/>
  </r>
  <r>
    <x v="14"/>
    <x v="32"/>
    <s v="Incentive Compensation910"/>
    <n v="0"/>
  </r>
  <r>
    <x v="14"/>
    <x v="33"/>
    <s v="Incentive Compensation911"/>
    <n v="0"/>
  </r>
  <r>
    <x v="14"/>
    <x v="34"/>
    <s v="Incentive Compensation912"/>
    <n v="0"/>
  </r>
  <r>
    <x v="14"/>
    <x v="35"/>
    <s v="Incentive Compensation913"/>
    <n v="0"/>
  </r>
  <r>
    <x v="14"/>
    <x v="36"/>
    <s v="Incentive Compensation920"/>
    <n v="-439985.63"/>
  </r>
  <r>
    <x v="14"/>
    <x v="37"/>
    <s v="Incentive Compensation921"/>
    <n v="0"/>
  </r>
  <r>
    <x v="14"/>
    <x v="38"/>
    <s v="Incentive Compensation923"/>
    <n v="0"/>
  </r>
  <r>
    <x v="14"/>
    <x v="39"/>
    <s v="Incentive Compensation924"/>
    <n v="0"/>
  </r>
  <r>
    <x v="14"/>
    <x v="40"/>
    <s v="Incentive Compensation925"/>
    <n v="0"/>
  </r>
  <r>
    <x v="14"/>
    <x v="41"/>
    <s v="Incentive Compensation926"/>
    <n v="0"/>
  </r>
  <r>
    <x v="14"/>
    <x v="42"/>
    <s v="Incentive Compensation928"/>
    <n v="0"/>
  </r>
  <r>
    <x v="14"/>
    <x v="49"/>
    <s v="Incentive Compensation930"/>
    <n v="0"/>
  </r>
  <r>
    <x v="14"/>
    <x v="45"/>
    <s v="Incentive Compensation931"/>
    <n v="0"/>
  </r>
  <r>
    <x v="14"/>
    <x v="46"/>
    <s v="Incentive Compensation932"/>
    <n v="0"/>
  </r>
  <r>
    <x v="14"/>
    <x v="47"/>
    <s v="Incentive Compensation935"/>
    <n v="0"/>
  </r>
  <r>
    <x v="14"/>
    <x v="48"/>
    <m/>
    <n v="-439985.63"/>
  </r>
  <r>
    <x v="15"/>
    <x v="0"/>
    <s v="Injuries &amp; Damages801"/>
    <n v="0"/>
  </r>
  <r>
    <x v="15"/>
    <x v="1"/>
    <s v="Injuries &amp; Damages803"/>
    <n v="0"/>
  </r>
  <r>
    <x v="15"/>
    <x v="2"/>
    <s v="Injuries &amp; Damages804"/>
    <n v="0"/>
  </r>
  <r>
    <x v="15"/>
    <x v="3"/>
    <s v="Injuries &amp; Damages805"/>
    <n v="0"/>
  </r>
  <r>
    <x v="15"/>
    <x v="4"/>
    <s v="Injuries &amp; Damages806"/>
    <n v="0"/>
  </r>
  <r>
    <x v="15"/>
    <x v="5"/>
    <s v="Injuries &amp; Damages807"/>
    <n v="0"/>
  </r>
  <r>
    <x v="15"/>
    <x v="6"/>
    <s v="Injuries &amp; Damages808"/>
    <n v="0"/>
  </r>
  <r>
    <x v="15"/>
    <x v="7"/>
    <s v="Injuries &amp; Damages812"/>
    <n v="0"/>
  </r>
  <r>
    <x v="15"/>
    <x v="8"/>
    <s v="Injuries &amp; Damages870"/>
    <n v="0"/>
  </r>
  <r>
    <x v="15"/>
    <x v="9"/>
    <s v="Injuries &amp; Damages871"/>
    <n v="0"/>
  </r>
  <r>
    <x v="15"/>
    <x v="10"/>
    <s v="Injuries &amp; Damages874"/>
    <n v="0"/>
  </r>
  <r>
    <x v="15"/>
    <x v="11"/>
    <s v="Injuries &amp; Damages875"/>
    <n v="0"/>
  </r>
  <r>
    <x v="15"/>
    <x v="12"/>
    <s v="Injuries &amp; Damages876"/>
    <n v="0"/>
  </r>
  <r>
    <x v="15"/>
    <x v="13"/>
    <s v="Injuries &amp; Damages878"/>
    <n v="0"/>
  </r>
  <r>
    <x v="15"/>
    <x v="14"/>
    <s v="Injuries &amp; Damages879"/>
    <n v="0"/>
  </r>
  <r>
    <x v="15"/>
    <x v="15"/>
    <s v="Injuries &amp; Damages880"/>
    <n v="0"/>
  </r>
  <r>
    <x v="15"/>
    <x v="16"/>
    <s v="Injuries &amp; Damages881"/>
    <n v="0"/>
  </r>
  <r>
    <x v="15"/>
    <x v="17"/>
    <s v="Injuries &amp; Damages885"/>
    <n v="0"/>
  </r>
  <r>
    <x v="15"/>
    <x v="18"/>
    <s v="Injuries &amp; Damages886"/>
    <n v="0"/>
  </r>
  <r>
    <x v="15"/>
    <x v="19"/>
    <s v="Injuries &amp; Damages887"/>
    <n v="0"/>
  </r>
  <r>
    <x v="15"/>
    <x v="20"/>
    <s v="Injuries &amp; Damages889"/>
    <n v="0"/>
  </r>
  <r>
    <x v="15"/>
    <x v="21"/>
    <s v="Injuries &amp; Damages890"/>
    <n v="0"/>
  </r>
  <r>
    <x v="15"/>
    <x v="22"/>
    <s v="Injuries &amp; Damages892"/>
    <n v="0"/>
  </r>
  <r>
    <x v="15"/>
    <x v="23"/>
    <s v="Injuries &amp; Damages893"/>
    <n v="0"/>
  </r>
  <r>
    <x v="15"/>
    <x v="24"/>
    <s v="Injuries &amp; Damages894"/>
    <n v="0"/>
  </r>
  <r>
    <x v="15"/>
    <x v="25"/>
    <s v="Injuries &amp; Damages902"/>
    <n v="0"/>
  </r>
  <r>
    <x v="15"/>
    <x v="26"/>
    <s v="Injuries &amp; Damages903"/>
    <n v="0"/>
  </r>
  <r>
    <x v="15"/>
    <x v="27"/>
    <s v="Injuries &amp; Damages904"/>
    <n v="0"/>
  </r>
  <r>
    <x v="15"/>
    <x v="28"/>
    <s v="Injuries &amp; Damages905"/>
    <n v="0"/>
  </r>
  <r>
    <x v="15"/>
    <x v="29"/>
    <s v="Injuries &amp; Damages907"/>
    <n v="0"/>
  </r>
  <r>
    <x v="15"/>
    <x v="30"/>
    <s v="Injuries &amp; Damages908"/>
    <n v="0"/>
  </r>
  <r>
    <x v="15"/>
    <x v="31"/>
    <s v="Injuries &amp; Damages909"/>
    <n v="0"/>
  </r>
  <r>
    <x v="15"/>
    <x v="32"/>
    <s v="Injuries &amp; Damages910"/>
    <n v="0"/>
  </r>
  <r>
    <x v="15"/>
    <x v="33"/>
    <s v="Injuries &amp; Damages911"/>
    <n v="0"/>
  </r>
  <r>
    <x v="15"/>
    <x v="34"/>
    <s v="Injuries &amp; Damages912"/>
    <n v="0"/>
  </r>
  <r>
    <x v="15"/>
    <x v="35"/>
    <s v="Injuries &amp; Damages913"/>
    <n v="0"/>
  </r>
  <r>
    <x v="15"/>
    <x v="36"/>
    <s v="Injuries &amp; Damages920"/>
    <n v="0"/>
  </r>
  <r>
    <x v="15"/>
    <x v="37"/>
    <s v="Injuries &amp; Damages921"/>
    <n v="0"/>
  </r>
  <r>
    <x v="15"/>
    <x v="38"/>
    <s v="Injuries &amp; Damages923"/>
    <n v="0"/>
  </r>
  <r>
    <x v="15"/>
    <x v="39"/>
    <s v="Injuries &amp; Damages924"/>
    <n v="0"/>
  </r>
  <r>
    <x v="15"/>
    <x v="40"/>
    <s v="Injuries &amp; Damages925"/>
    <n v="-52276.849999999919"/>
  </r>
  <r>
    <x v="15"/>
    <x v="41"/>
    <s v="Injuries &amp; Damages926"/>
    <n v="0"/>
  </r>
  <r>
    <x v="15"/>
    <x v="42"/>
    <s v="Injuries &amp; Damages928"/>
    <n v="0"/>
  </r>
  <r>
    <x v="15"/>
    <x v="49"/>
    <s v="Injuries &amp; Damages930"/>
    <n v="0"/>
  </r>
  <r>
    <x v="15"/>
    <x v="45"/>
    <s v="Injuries &amp; Damages931"/>
    <n v="0"/>
  </r>
  <r>
    <x v="15"/>
    <x v="46"/>
    <s v="Injuries &amp; Damages932"/>
    <n v="0"/>
  </r>
  <r>
    <x v="15"/>
    <x v="47"/>
    <s v="Injuries &amp; Damages935"/>
    <n v="0"/>
  </r>
  <r>
    <x v="15"/>
    <x v="48"/>
    <m/>
    <n v="-52276.849999999919"/>
  </r>
  <r>
    <x v="16"/>
    <x v="0"/>
    <s v="Labor801"/>
    <n v="0"/>
  </r>
  <r>
    <x v="16"/>
    <x v="1"/>
    <s v="Labor803"/>
    <n v="0"/>
  </r>
  <r>
    <x v="16"/>
    <x v="2"/>
    <s v="Labor804"/>
    <n v="0"/>
  </r>
  <r>
    <x v="16"/>
    <x v="3"/>
    <s v="Labor805"/>
    <n v="0"/>
  </r>
  <r>
    <x v="16"/>
    <x v="4"/>
    <s v="Labor806"/>
    <n v="0"/>
  </r>
  <r>
    <x v="16"/>
    <x v="5"/>
    <s v="Labor807"/>
    <n v="0"/>
  </r>
  <r>
    <x v="16"/>
    <x v="6"/>
    <s v="Labor808"/>
    <n v="0"/>
  </r>
  <r>
    <x v="16"/>
    <x v="7"/>
    <s v="Labor812"/>
    <n v="0"/>
  </r>
  <r>
    <x v="16"/>
    <x v="8"/>
    <s v="Labor870"/>
    <n v="-15647.859999999986"/>
  </r>
  <r>
    <x v="16"/>
    <x v="9"/>
    <s v="Labor871"/>
    <n v="4412.8399999999674"/>
  </r>
  <r>
    <x v="16"/>
    <x v="10"/>
    <s v="Labor874"/>
    <n v="27485.900000000373"/>
  </r>
  <r>
    <x v="16"/>
    <x v="11"/>
    <s v="Labor875"/>
    <n v="-14351.699999999983"/>
  </r>
  <r>
    <x v="16"/>
    <x v="12"/>
    <s v="Labor876"/>
    <n v="5919.7400000000052"/>
  </r>
  <r>
    <x v="16"/>
    <x v="13"/>
    <s v="Labor878"/>
    <n v="-36212.85999999987"/>
  </r>
  <r>
    <x v="16"/>
    <x v="14"/>
    <s v="Labor879"/>
    <n v="-11161.870000000577"/>
  </r>
  <r>
    <x v="16"/>
    <x v="15"/>
    <s v="Labor880"/>
    <n v="-24002.030000000028"/>
  </r>
  <r>
    <x v="16"/>
    <x v="16"/>
    <s v="Labor881"/>
    <n v="0"/>
  </r>
  <r>
    <x v="16"/>
    <x v="17"/>
    <s v="Labor885"/>
    <n v="-2072.7600000000093"/>
  </r>
  <r>
    <x v="16"/>
    <x v="18"/>
    <s v="Labor886"/>
    <n v="1005.1899999999996"/>
  </r>
  <r>
    <x v="16"/>
    <x v="19"/>
    <s v="Labor887"/>
    <n v="-21524.100000000093"/>
  </r>
  <r>
    <x v="16"/>
    <x v="20"/>
    <s v="Labor889"/>
    <n v="104112.77999999997"/>
  </r>
  <r>
    <x v="16"/>
    <x v="21"/>
    <s v="Labor890"/>
    <n v="3323.5900000000038"/>
  </r>
  <r>
    <x v="16"/>
    <x v="22"/>
    <s v="Labor892"/>
    <n v="37011.590000000026"/>
  </r>
  <r>
    <x v="16"/>
    <x v="23"/>
    <s v="Labor893"/>
    <n v="27203.100000000006"/>
  </r>
  <r>
    <x v="16"/>
    <x v="24"/>
    <s v="Labor894"/>
    <n v="-6911.8899999999849"/>
  </r>
  <r>
    <x v="16"/>
    <x v="25"/>
    <s v="Labor902"/>
    <n v="-5300.3799999999901"/>
  </r>
  <r>
    <x v="16"/>
    <x v="26"/>
    <s v="Labor903"/>
    <n v="-15657.890000000014"/>
  </r>
  <r>
    <x v="16"/>
    <x v="27"/>
    <s v="Labor904"/>
    <n v="0"/>
  </r>
  <r>
    <x v="16"/>
    <x v="28"/>
    <s v="Labor905"/>
    <n v="0"/>
  </r>
  <r>
    <x v="16"/>
    <x v="29"/>
    <s v="Labor907"/>
    <n v="0"/>
  </r>
  <r>
    <x v="16"/>
    <x v="30"/>
    <s v="Labor908"/>
    <n v="0"/>
  </r>
  <r>
    <x v="16"/>
    <x v="31"/>
    <s v="Labor909"/>
    <n v="0"/>
  </r>
  <r>
    <x v="16"/>
    <x v="32"/>
    <s v="Labor910"/>
    <n v="0"/>
  </r>
  <r>
    <x v="16"/>
    <x v="33"/>
    <s v="Labor911"/>
    <n v="0"/>
  </r>
  <r>
    <x v="16"/>
    <x v="34"/>
    <s v="Labor912"/>
    <n v="0"/>
  </r>
  <r>
    <x v="16"/>
    <x v="35"/>
    <s v="Labor913"/>
    <n v="0"/>
  </r>
  <r>
    <x v="16"/>
    <x v="36"/>
    <s v="Labor920"/>
    <n v="-8174.4500000001863"/>
  </r>
  <r>
    <x v="16"/>
    <x v="37"/>
    <s v="Labor921"/>
    <n v="0"/>
  </r>
  <r>
    <x v="16"/>
    <x v="38"/>
    <s v="Labor923"/>
    <n v="0"/>
  </r>
  <r>
    <x v="16"/>
    <x v="39"/>
    <s v="Labor924"/>
    <n v="0"/>
  </r>
  <r>
    <x v="16"/>
    <x v="40"/>
    <s v="Labor925"/>
    <n v="0"/>
  </r>
  <r>
    <x v="16"/>
    <x v="41"/>
    <s v="Labor926"/>
    <n v="0"/>
  </r>
  <r>
    <x v="16"/>
    <x v="42"/>
    <s v="Labor928"/>
    <n v="0"/>
  </r>
  <r>
    <x v="16"/>
    <x v="49"/>
    <s v="Labor930"/>
    <n v="0"/>
  </r>
  <r>
    <x v="16"/>
    <x v="45"/>
    <s v="Labor931"/>
    <n v="0"/>
  </r>
  <r>
    <x v="16"/>
    <x v="46"/>
    <s v="Labor932"/>
    <n v="0"/>
  </r>
  <r>
    <x v="16"/>
    <x v="47"/>
    <s v="Labor935"/>
    <n v="0"/>
  </r>
  <r>
    <x v="16"/>
    <x v="48"/>
    <m/>
    <n v="49456.939999999639"/>
  </r>
  <r>
    <x v="17"/>
    <x v="0"/>
    <s v="Legal Fees801"/>
    <n v="0"/>
  </r>
  <r>
    <x v="17"/>
    <x v="1"/>
    <s v="Legal Fees803"/>
    <n v="0"/>
  </r>
  <r>
    <x v="17"/>
    <x v="2"/>
    <s v="Legal Fees804"/>
    <n v="0"/>
  </r>
  <r>
    <x v="17"/>
    <x v="3"/>
    <s v="Legal Fees805"/>
    <n v="0"/>
  </r>
  <r>
    <x v="17"/>
    <x v="4"/>
    <s v="Legal Fees806"/>
    <n v="0"/>
  </r>
  <r>
    <x v="17"/>
    <x v="5"/>
    <s v="Legal Fees807"/>
    <n v="0"/>
  </r>
  <r>
    <x v="17"/>
    <x v="6"/>
    <s v="Legal Fees808"/>
    <n v="0"/>
  </r>
  <r>
    <x v="17"/>
    <x v="7"/>
    <s v="Legal Fees812"/>
    <n v="0"/>
  </r>
  <r>
    <x v="17"/>
    <x v="8"/>
    <s v="Legal Fees870"/>
    <n v="0"/>
  </r>
  <r>
    <x v="17"/>
    <x v="9"/>
    <s v="Legal Fees871"/>
    <n v="0"/>
  </r>
  <r>
    <x v="17"/>
    <x v="10"/>
    <s v="Legal Fees874"/>
    <n v="0"/>
  </r>
  <r>
    <x v="17"/>
    <x v="11"/>
    <s v="Legal Fees875"/>
    <n v="0"/>
  </r>
  <r>
    <x v="17"/>
    <x v="12"/>
    <s v="Legal Fees876"/>
    <n v="0"/>
  </r>
  <r>
    <x v="17"/>
    <x v="13"/>
    <s v="Legal Fees878"/>
    <n v="0"/>
  </r>
  <r>
    <x v="17"/>
    <x v="14"/>
    <s v="Legal Fees879"/>
    <n v="0"/>
  </r>
  <r>
    <x v="17"/>
    <x v="15"/>
    <s v="Legal Fees880"/>
    <n v="0"/>
  </r>
  <r>
    <x v="17"/>
    <x v="16"/>
    <s v="Legal Fees881"/>
    <n v="0"/>
  </r>
  <r>
    <x v="17"/>
    <x v="17"/>
    <s v="Legal Fees885"/>
    <n v="0"/>
  </r>
  <r>
    <x v="17"/>
    <x v="18"/>
    <s v="Legal Fees886"/>
    <n v="0"/>
  </r>
  <r>
    <x v="17"/>
    <x v="19"/>
    <s v="Legal Fees887"/>
    <n v="0"/>
  </r>
  <r>
    <x v="17"/>
    <x v="20"/>
    <s v="Legal Fees889"/>
    <n v="0"/>
  </r>
  <r>
    <x v="17"/>
    <x v="21"/>
    <s v="Legal Fees890"/>
    <n v="0"/>
  </r>
  <r>
    <x v="17"/>
    <x v="22"/>
    <s v="Legal Fees892"/>
    <n v="0"/>
  </r>
  <r>
    <x v="17"/>
    <x v="23"/>
    <s v="Legal Fees893"/>
    <n v="0"/>
  </r>
  <r>
    <x v="17"/>
    <x v="24"/>
    <s v="Legal Fees894"/>
    <n v="0"/>
  </r>
  <r>
    <x v="17"/>
    <x v="25"/>
    <s v="Legal Fees902"/>
    <n v="0"/>
  </r>
  <r>
    <x v="17"/>
    <x v="26"/>
    <s v="Legal Fees903"/>
    <n v="0"/>
  </r>
  <r>
    <x v="17"/>
    <x v="27"/>
    <s v="Legal Fees904"/>
    <n v="0"/>
  </r>
  <r>
    <x v="17"/>
    <x v="28"/>
    <s v="Legal Fees905"/>
    <n v="0"/>
  </r>
  <r>
    <x v="17"/>
    <x v="29"/>
    <s v="Legal Fees907"/>
    <n v="0"/>
  </r>
  <r>
    <x v="17"/>
    <x v="30"/>
    <s v="Legal Fees908"/>
    <n v="0"/>
  </r>
  <r>
    <x v="17"/>
    <x v="31"/>
    <s v="Legal Fees909"/>
    <n v="0"/>
  </r>
  <r>
    <x v="17"/>
    <x v="32"/>
    <s v="Legal Fees910"/>
    <n v="0"/>
  </r>
  <r>
    <x v="17"/>
    <x v="33"/>
    <s v="Legal Fees911"/>
    <n v="0"/>
  </r>
  <r>
    <x v="17"/>
    <x v="34"/>
    <s v="Legal Fees912"/>
    <n v="0"/>
  </r>
  <r>
    <x v="17"/>
    <x v="35"/>
    <s v="Legal Fees913"/>
    <n v="0"/>
  </r>
  <r>
    <x v="17"/>
    <x v="36"/>
    <s v="Legal Fees920"/>
    <n v="0"/>
  </r>
  <r>
    <x v="17"/>
    <x v="37"/>
    <s v="Legal Fees921"/>
    <n v="0"/>
  </r>
  <r>
    <x v="17"/>
    <x v="38"/>
    <s v="Legal Fees923"/>
    <n v="-900"/>
  </r>
  <r>
    <x v="17"/>
    <x v="39"/>
    <s v="Legal Fees924"/>
    <n v="0"/>
  </r>
  <r>
    <x v="17"/>
    <x v="40"/>
    <s v="Legal Fees925"/>
    <n v="0"/>
  </r>
  <r>
    <x v="17"/>
    <x v="41"/>
    <s v="Legal Fees926"/>
    <n v="0"/>
  </r>
  <r>
    <x v="17"/>
    <x v="42"/>
    <s v="Legal Fees928"/>
    <n v="0"/>
  </r>
  <r>
    <x v="17"/>
    <x v="49"/>
    <s v="Legal Fees930"/>
    <n v="0"/>
  </r>
  <r>
    <x v="17"/>
    <x v="45"/>
    <s v="Legal Fees931"/>
    <n v="0"/>
  </r>
  <r>
    <x v="17"/>
    <x v="46"/>
    <s v="Legal Fees932"/>
    <n v="0"/>
  </r>
  <r>
    <x v="17"/>
    <x v="47"/>
    <s v="Legal Fees935"/>
    <n v="0"/>
  </r>
  <r>
    <x v="17"/>
    <x v="48"/>
    <m/>
    <n v="-900"/>
  </r>
  <r>
    <x v="18"/>
    <x v="54"/>
    <s v="Materials &amp; Supplies557"/>
    <n v="0"/>
  </r>
  <r>
    <x v="18"/>
    <x v="0"/>
    <s v="Materials &amp; Supplies801"/>
    <n v="0"/>
  </r>
  <r>
    <x v="18"/>
    <x v="1"/>
    <s v="Materials &amp; Supplies803"/>
    <n v="0"/>
  </r>
  <r>
    <x v="18"/>
    <x v="2"/>
    <s v="Materials &amp; Supplies804"/>
    <n v="0"/>
  </r>
  <r>
    <x v="18"/>
    <x v="3"/>
    <s v="Materials &amp; Supplies805"/>
    <n v="0"/>
  </r>
  <r>
    <x v="18"/>
    <x v="4"/>
    <s v="Materials &amp; Supplies806"/>
    <n v="0"/>
  </r>
  <r>
    <x v="18"/>
    <x v="5"/>
    <s v="Materials &amp; Supplies807"/>
    <n v="0"/>
  </r>
  <r>
    <x v="18"/>
    <x v="6"/>
    <s v="Materials &amp; Supplies808"/>
    <n v="0"/>
  </r>
  <r>
    <x v="18"/>
    <x v="7"/>
    <s v="Materials &amp; Supplies812"/>
    <n v="0"/>
  </r>
  <r>
    <x v="18"/>
    <x v="55"/>
    <s v="Materials &amp; Supplies852"/>
    <n v="-564.34999999999991"/>
  </r>
  <r>
    <x v="18"/>
    <x v="8"/>
    <s v="Materials &amp; Supplies870"/>
    <n v="16.590000000000373"/>
  </r>
  <r>
    <x v="18"/>
    <x v="9"/>
    <s v="Materials &amp; Supplies871"/>
    <n v="0"/>
  </r>
  <r>
    <x v="18"/>
    <x v="10"/>
    <s v="Materials &amp; Supplies874"/>
    <n v="14273.510000000038"/>
  </r>
  <r>
    <x v="18"/>
    <x v="11"/>
    <s v="Materials &amp; Supplies875"/>
    <n v="-223.42999999999984"/>
  </r>
  <r>
    <x v="18"/>
    <x v="12"/>
    <s v="Materials &amp; Supplies876"/>
    <n v="-481.99000000000012"/>
  </r>
  <r>
    <x v="18"/>
    <x v="13"/>
    <s v="Materials &amp; Supplies878"/>
    <n v="1253.7400000000007"/>
  </r>
  <r>
    <x v="18"/>
    <x v="14"/>
    <s v="Materials &amp; Supplies879"/>
    <n v="-1451.1300000000047"/>
  </r>
  <r>
    <x v="18"/>
    <x v="15"/>
    <s v="Materials &amp; Supplies880"/>
    <n v="-8568.8499999999767"/>
  </r>
  <r>
    <x v="18"/>
    <x v="16"/>
    <s v="Materials &amp; Supplies881"/>
    <n v="0"/>
  </r>
  <r>
    <x v="18"/>
    <x v="17"/>
    <s v="Materials &amp; Supplies885"/>
    <n v="-2.5999999999999091"/>
  </r>
  <r>
    <x v="18"/>
    <x v="18"/>
    <s v="Materials &amp; Supplies886"/>
    <n v="526.33999999999969"/>
  </r>
  <r>
    <x v="18"/>
    <x v="19"/>
    <s v="Materials &amp; Supplies887"/>
    <n v="8579.89"/>
  </r>
  <r>
    <x v="18"/>
    <x v="20"/>
    <s v="Materials &amp; Supplies889"/>
    <n v="-3820.3800000000192"/>
  </r>
  <r>
    <x v="18"/>
    <x v="21"/>
    <s v="Materials &amp; Supplies890"/>
    <n v="271.46999999999997"/>
  </r>
  <r>
    <x v="18"/>
    <x v="22"/>
    <s v="Materials &amp; Supplies892"/>
    <n v="629.95999999999913"/>
  </r>
  <r>
    <x v="18"/>
    <x v="23"/>
    <s v="Materials &amp; Supplies893"/>
    <n v="34179.4"/>
  </r>
  <r>
    <x v="18"/>
    <x v="24"/>
    <s v="Materials &amp; Supplies894"/>
    <n v="2158.0899999999965"/>
  </r>
  <r>
    <x v="18"/>
    <x v="25"/>
    <s v="Materials &amp; Supplies902"/>
    <n v="0"/>
  </r>
  <r>
    <x v="18"/>
    <x v="26"/>
    <s v="Materials &amp; Supplies903"/>
    <n v="-55348.979999999923"/>
  </r>
  <r>
    <x v="18"/>
    <x v="27"/>
    <s v="Materials &amp; Supplies904"/>
    <n v="0"/>
  </r>
  <r>
    <x v="18"/>
    <x v="28"/>
    <s v="Materials &amp; Supplies905"/>
    <n v="0"/>
  </r>
  <r>
    <x v="18"/>
    <x v="29"/>
    <s v="Materials &amp; Supplies907"/>
    <n v="0"/>
  </r>
  <r>
    <x v="18"/>
    <x v="30"/>
    <s v="Materials &amp; Supplies908"/>
    <n v="0"/>
  </r>
  <r>
    <x v="18"/>
    <x v="31"/>
    <s v="Materials &amp; Supplies909"/>
    <n v="-51.270000000000024"/>
  </r>
  <r>
    <x v="18"/>
    <x v="32"/>
    <s v="Materials &amp; Supplies910"/>
    <n v="0"/>
  </r>
  <r>
    <x v="18"/>
    <x v="33"/>
    <s v="Materials &amp; Supplies911"/>
    <n v="0"/>
  </r>
  <r>
    <x v="18"/>
    <x v="34"/>
    <s v="Materials &amp; Supplies912"/>
    <n v="0"/>
  </r>
  <r>
    <x v="18"/>
    <x v="35"/>
    <s v="Materials &amp; Supplies913"/>
    <n v="0"/>
  </r>
  <r>
    <x v="18"/>
    <x v="36"/>
    <s v="Materials &amp; Supplies920"/>
    <n v="27.019999999999996"/>
  </r>
  <r>
    <x v="18"/>
    <x v="37"/>
    <s v="Materials &amp; Supplies921"/>
    <n v="-18407.010000000009"/>
  </r>
  <r>
    <x v="18"/>
    <x v="38"/>
    <s v="Materials &amp; Supplies923"/>
    <n v="-7893.2399999999907"/>
  </r>
  <r>
    <x v="18"/>
    <x v="39"/>
    <s v="Materials &amp; Supplies924"/>
    <n v="0"/>
  </r>
  <r>
    <x v="18"/>
    <x v="40"/>
    <s v="Materials &amp; Supplies925"/>
    <n v="0"/>
  </r>
  <r>
    <x v="18"/>
    <x v="41"/>
    <s v="Materials &amp; Supplies926"/>
    <n v="0"/>
  </r>
  <r>
    <x v="18"/>
    <x v="42"/>
    <s v="Materials &amp; Supplies928"/>
    <n v="0"/>
  </r>
  <r>
    <x v="18"/>
    <x v="43"/>
    <s v="Materials &amp; Supplies9301"/>
    <n v="0"/>
  </r>
  <r>
    <x v="18"/>
    <x v="44"/>
    <s v="Materials &amp; Supplies9302"/>
    <n v="1447.2299999999998"/>
  </r>
  <r>
    <x v="18"/>
    <x v="45"/>
    <s v="Materials &amp; Supplies931"/>
    <n v="0"/>
  </r>
  <r>
    <x v="18"/>
    <x v="46"/>
    <s v="Materials &amp; Supplies932"/>
    <n v="0"/>
  </r>
  <r>
    <x v="18"/>
    <x v="47"/>
    <s v="Materials &amp; Supplies935"/>
    <n v="0"/>
  </r>
  <r>
    <x v="18"/>
    <x v="48"/>
    <m/>
    <n v="-33449.989999999882"/>
  </r>
  <r>
    <x v="19"/>
    <x v="50"/>
    <s v="Miscellaneous &amp; Other500"/>
    <n v="0"/>
  </r>
  <r>
    <x v="19"/>
    <x v="54"/>
    <s v="Miscellaneous &amp; Other557"/>
    <n v="0"/>
  </r>
  <r>
    <x v="19"/>
    <x v="56"/>
    <s v="Miscellaneous &amp; Other594"/>
    <n v="0"/>
  </r>
  <r>
    <x v="19"/>
    <x v="0"/>
    <s v="Miscellaneous &amp; Other801"/>
    <n v="0"/>
  </r>
  <r>
    <x v="19"/>
    <x v="1"/>
    <s v="Miscellaneous &amp; Other803"/>
    <n v="0"/>
  </r>
  <r>
    <x v="19"/>
    <x v="2"/>
    <s v="Miscellaneous &amp; Other804"/>
    <n v="0"/>
  </r>
  <r>
    <x v="19"/>
    <x v="3"/>
    <s v="Miscellaneous &amp; Other805"/>
    <n v="0"/>
  </r>
  <r>
    <x v="19"/>
    <x v="4"/>
    <s v="Miscellaneous &amp; Other806"/>
    <n v="0"/>
  </r>
  <r>
    <x v="19"/>
    <x v="5"/>
    <s v="Miscellaneous &amp; Other807"/>
    <n v="0"/>
  </r>
  <r>
    <x v="19"/>
    <x v="6"/>
    <s v="Miscellaneous &amp; Other808"/>
    <n v="0"/>
  </r>
  <r>
    <x v="19"/>
    <x v="7"/>
    <s v="Miscellaneous &amp; Other812"/>
    <n v="0"/>
  </r>
  <r>
    <x v="19"/>
    <x v="57"/>
    <s v="Miscellaneous &amp; Other859"/>
    <n v="-196.76999999999953"/>
  </r>
  <r>
    <x v="19"/>
    <x v="8"/>
    <s v="Miscellaneous &amp; Other870"/>
    <n v="-4212.3599999999933"/>
  </r>
  <r>
    <x v="19"/>
    <x v="9"/>
    <s v="Miscellaneous &amp; Other871"/>
    <n v="0"/>
  </r>
  <r>
    <x v="19"/>
    <x v="10"/>
    <s v="Miscellaneous &amp; Other874"/>
    <n v="-3227.3700000000008"/>
  </r>
  <r>
    <x v="19"/>
    <x v="11"/>
    <s v="Miscellaneous &amp; Other875"/>
    <n v="-1.1699999999999964"/>
  </r>
  <r>
    <x v="19"/>
    <x v="12"/>
    <s v="Miscellaneous &amp; Other876"/>
    <n v="-0.58999999999999897"/>
  </r>
  <r>
    <x v="19"/>
    <x v="13"/>
    <s v="Miscellaneous &amp; Other878"/>
    <n v="35897.03"/>
  </r>
  <r>
    <x v="19"/>
    <x v="14"/>
    <s v="Miscellaneous &amp; Other879"/>
    <n v="-582.69999999999982"/>
  </r>
  <r>
    <x v="19"/>
    <x v="15"/>
    <s v="Miscellaneous &amp; Other880"/>
    <n v="-6285.7400000000034"/>
  </r>
  <r>
    <x v="19"/>
    <x v="16"/>
    <s v="Miscellaneous &amp; Other881"/>
    <n v="-3300.5"/>
  </r>
  <r>
    <x v="19"/>
    <x v="17"/>
    <s v="Miscellaneous &amp; Other885"/>
    <n v="-234.63000000000008"/>
  </r>
  <r>
    <x v="19"/>
    <x v="18"/>
    <s v="Miscellaneous &amp; Other886"/>
    <n v="0"/>
  </r>
  <r>
    <x v="19"/>
    <x v="19"/>
    <s v="Miscellaneous &amp; Other887"/>
    <n v="-1473.6699999999973"/>
  </r>
  <r>
    <x v="19"/>
    <x v="20"/>
    <s v="Miscellaneous &amp; Other889"/>
    <n v="-1.1699999999999964"/>
  </r>
  <r>
    <x v="19"/>
    <x v="21"/>
    <s v="Miscellaneous &amp; Other890"/>
    <n v="-0.58999999999999897"/>
  </r>
  <r>
    <x v="19"/>
    <x v="22"/>
    <s v="Miscellaneous &amp; Other892"/>
    <n v="-694.93999999999983"/>
  </r>
  <r>
    <x v="19"/>
    <x v="23"/>
    <s v="Miscellaneous &amp; Other893"/>
    <n v="-8.5299999999999869"/>
  </r>
  <r>
    <x v="19"/>
    <x v="24"/>
    <s v="Miscellaneous &amp; Other894"/>
    <n v="15.430000000000064"/>
  </r>
  <r>
    <x v="19"/>
    <x v="25"/>
    <s v="Miscellaneous &amp; Other902"/>
    <n v="0"/>
  </r>
  <r>
    <x v="19"/>
    <x v="26"/>
    <s v="Miscellaneous &amp; Other903"/>
    <n v="551.62000000000012"/>
  </r>
  <r>
    <x v="19"/>
    <x v="27"/>
    <s v="Miscellaneous &amp; Other904"/>
    <n v="0"/>
  </r>
  <r>
    <x v="19"/>
    <x v="28"/>
    <s v="Miscellaneous &amp; Other905"/>
    <n v="-350.83999999999969"/>
  </r>
  <r>
    <x v="19"/>
    <x v="29"/>
    <s v="Miscellaneous &amp; Other907"/>
    <n v="0"/>
  </r>
  <r>
    <x v="19"/>
    <x v="30"/>
    <s v="Miscellaneous &amp; Other908"/>
    <n v="0"/>
  </r>
  <r>
    <x v="19"/>
    <x v="31"/>
    <s v="Miscellaneous &amp; Other909"/>
    <n v="0"/>
  </r>
  <r>
    <x v="19"/>
    <x v="32"/>
    <s v="Miscellaneous &amp; Other910"/>
    <n v="0"/>
  </r>
  <r>
    <x v="19"/>
    <x v="33"/>
    <s v="Miscellaneous &amp; Other911"/>
    <n v="0"/>
  </r>
  <r>
    <x v="19"/>
    <x v="34"/>
    <s v="Miscellaneous &amp; Other912"/>
    <n v="0"/>
  </r>
  <r>
    <x v="19"/>
    <x v="35"/>
    <s v="Miscellaneous &amp; Other913"/>
    <n v="0"/>
  </r>
  <r>
    <x v="19"/>
    <x v="36"/>
    <s v="Miscellaneous &amp; Other920"/>
    <n v="-22456.869999999966"/>
  </r>
  <r>
    <x v="19"/>
    <x v="37"/>
    <s v="Miscellaneous &amp; Other921"/>
    <n v="-15753.380000000005"/>
  </r>
  <r>
    <x v="19"/>
    <x v="38"/>
    <s v="Miscellaneous &amp; Other923"/>
    <n v="-23185.69999999991"/>
  </r>
  <r>
    <x v="19"/>
    <x v="39"/>
    <s v="Miscellaneous &amp; Other924"/>
    <n v="0"/>
  </r>
  <r>
    <x v="19"/>
    <x v="40"/>
    <s v="Miscellaneous &amp; Other925"/>
    <n v="0"/>
  </r>
  <r>
    <x v="19"/>
    <x v="41"/>
    <s v="Miscellaneous &amp; Other926"/>
    <n v="-1323.9899999999998"/>
  </r>
  <r>
    <x v="19"/>
    <x v="42"/>
    <s v="Miscellaneous &amp; Other928"/>
    <n v="0"/>
  </r>
  <r>
    <x v="19"/>
    <x v="43"/>
    <s v="Miscellaneous &amp; Other9301"/>
    <n v="0"/>
  </r>
  <r>
    <x v="19"/>
    <x v="44"/>
    <s v="Miscellaneous &amp; Other9302"/>
    <n v="0"/>
  </r>
  <r>
    <x v="19"/>
    <x v="45"/>
    <s v="Miscellaneous &amp; Other931"/>
    <n v="0"/>
  </r>
  <r>
    <x v="19"/>
    <x v="46"/>
    <s v="Miscellaneous &amp; Other932"/>
    <n v="0"/>
  </r>
  <r>
    <x v="19"/>
    <x v="47"/>
    <s v="Miscellaneous &amp; Other935"/>
    <n v="0"/>
  </r>
  <r>
    <x v="19"/>
    <x v="48"/>
    <m/>
    <n v="-46827.429999999877"/>
  </r>
  <r>
    <x v="20"/>
    <x v="0"/>
    <s v="Miscellaneous Revenue Adjustment801"/>
    <n v="0"/>
  </r>
  <r>
    <x v="20"/>
    <x v="1"/>
    <s v="Miscellaneous Revenue Adjustment803"/>
    <n v="0"/>
  </r>
  <r>
    <x v="20"/>
    <x v="2"/>
    <s v="Miscellaneous Revenue Adjustment804"/>
    <n v="0"/>
  </r>
  <r>
    <x v="20"/>
    <x v="3"/>
    <s v="Miscellaneous Revenue Adjustment805"/>
    <n v="0"/>
  </r>
  <r>
    <x v="20"/>
    <x v="4"/>
    <s v="Miscellaneous Revenue Adjustment806"/>
    <n v="0"/>
  </r>
  <r>
    <x v="20"/>
    <x v="5"/>
    <s v="Miscellaneous Revenue Adjustment807"/>
    <n v="0"/>
  </r>
  <r>
    <x v="20"/>
    <x v="6"/>
    <s v="Miscellaneous Revenue Adjustment808"/>
    <n v="0"/>
  </r>
  <r>
    <x v="20"/>
    <x v="7"/>
    <s v="Miscellaneous Revenue Adjustment812"/>
    <n v="0"/>
  </r>
  <r>
    <x v="20"/>
    <x v="8"/>
    <s v="Miscellaneous Revenue Adjustment870"/>
    <n v="0"/>
  </r>
  <r>
    <x v="20"/>
    <x v="9"/>
    <s v="Miscellaneous Revenue Adjustment871"/>
    <n v="0"/>
  </r>
  <r>
    <x v="20"/>
    <x v="10"/>
    <s v="Miscellaneous Revenue Adjustment874"/>
    <n v="1647.81"/>
  </r>
  <r>
    <x v="20"/>
    <x v="11"/>
    <s v="Miscellaneous Revenue Adjustment875"/>
    <n v="0"/>
  </r>
  <r>
    <x v="20"/>
    <x v="12"/>
    <s v="Miscellaneous Revenue Adjustment876"/>
    <n v="0"/>
  </r>
  <r>
    <x v="20"/>
    <x v="13"/>
    <s v="Miscellaneous Revenue Adjustment878"/>
    <n v="13772.580000000009"/>
  </r>
  <r>
    <x v="20"/>
    <x v="14"/>
    <s v="Miscellaneous Revenue Adjustment879"/>
    <n v="0"/>
  </r>
  <r>
    <x v="20"/>
    <x v="15"/>
    <s v="Miscellaneous Revenue Adjustment880"/>
    <n v="0"/>
  </r>
  <r>
    <x v="20"/>
    <x v="16"/>
    <s v="Miscellaneous Revenue Adjustment881"/>
    <n v="0"/>
  </r>
  <r>
    <x v="20"/>
    <x v="17"/>
    <s v="Miscellaneous Revenue Adjustment885"/>
    <n v="0"/>
  </r>
  <r>
    <x v="20"/>
    <x v="18"/>
    <s v="Miscellaneous Revenue Adjustment886"/>
    <n v="0"/>
  </r>
  <r>
    <x v="20"/>
    <x v="19"/>
    <s v="Miscellaneous Revenue Adjustment887"/>
    <n v="-13146.63"/>
  </r>
  <r>
    <x v="20"/>
    <x v="20"/>
    <s v="Miscellaneous Revenue Adjustment889"/>
    <n v="0"/>
  </r>
  <r>
    <x v="20"/>
    <x v="21"/>
    <s v="Miscellaneous Revenue Adjustment890"/>
    <n v="0"/>
  </r>
  <r>
    <x v="20"/>
    <x v="22"/>
    <s v="Miscellaneous Revenue Adjustment892"/>
    <n v="2671.4199999999983"/>
  </r>
  <r>
    <x v="20"/>
    <x v="23"/>
    <s v="Miscellaneous Revenue Adjustment893"/>
    <n v="0"/>
  </r>
  <r>
    <x v="20"/>
    <x v="24"/>
    <s v="Miscellaneous Revenue Adjustment894"/>
    <n v="0"/>
  </r>
  <r>
    <x v="20"/>
    <x v="25"/>
    <s v="Miscellaneous Revenue Adjustment902"/>
    <n v="0"/>
  </r>
  <r>
    <x v="20"/>
    <x v="26"/>
    <s v="Miscellaneous Revenue Adjustment903"/>
    <n v="285.32000000000005"/>
  </r>
  <r>
    <x v="20"/>
    <x v="27"/>
    <s v="Miscellaneous Revenue Adjustment904"/>
    <n v="0"/>
  </r>
  <r>
    <x v="20"/>
    <x v="28"/>
    <s v="Miscellaneous Revenue Adjustment905"/>
    <n v="0"/>
  </r>
  <r>
    <x v="20"/>
    <x v="29"/>
    <s v="Miscellaneous Revenue Adjustment907"/>
    <n v="0"/>
  </r>
  <r>
    <x v="20"/>
    <x v="30"/>
    <s v="Miscellaneous Revenue Adjustment908"/>
    <n v="0"/>
  </r>
  <r>
    <x v="20"/>
    <x v="31"/>
    <s v="Miscellaneous Revenue Adjustment909"/>
    <n v="0"/>
  </r>
  <r>
    <x v="20"/>
    <x v="32"/>
    <s v="Miscellaneous Revenue Adjustment910"/>
    <n v="0"/>
  </r>
  <r>
    <x v="20"/>
    <x v="33"/>
    <s v="Miscellaneous Revenue Adjustment911"/>
    <n v="0"/>
  </r>
  <r>
    <x v="20"/>
    <x v="34"/>
    <s v="Miscellaneous Revenue Adjustment912"/>
    <n v="0"/>
  </r>
  <r>
    <x v="20"/>
    <x v="35"/>
    <s v="Miscellaneous Revenue Adjustment913"/>
    <n v="0"/>
  </r>
  <r>
    <x v="20"/>
    <x v="36"/>
    <s v="Miscellaneous Revenue Adjustment920"/>
    <n v="0"/>
  </r>
  <r>
    <x v="20"/>
    <x v="37"/>
    <s v="Miscellaneous Revenue Adjustment921"/>
    <n v="0"/>
  </r>
  <r>
    <x v="20"/>
    <x v="38"/>
    <s v="Miscellaneous Revenue Adjustment923"/>
    <n v="0"/>
  </r>
  <r>
    <x v="20"/>
    <x v="39"/>
    <s v="Miscellaneous Revenue Adjustment924"/>
    <n v="0"/>
  </r>
  <r>
    <x v="20"/>
    <x v="40"/>
    <s v="Miscellaneous Revenue Adjustment925"/>
    <n v="0"/>
  </r>
  <r>
    <x v="20"/>
    <x v="41"/>
    <s v="Miscellaneous Revenue Adjustment926"/>
    <n v="0"/>
  </r>
  <r>
    <x v="20"/>
    <x v="42"/>
    <s v="Miscellaneous Revenue Adjustment928"/>
    <n v="0"/>
  </r>
  <r>
    <x v="20"/>
    <x v="49"/>
    <s v="Miscellaneous Revenue Adjustment930"/>
    <n v="0"/>
  </r>
  <r>
    <x v="20"/>
    <x v="45"/>
    <s v="Miscellaneous Revenue Adjustment931"/>
    <n v="0"/>
  </r>
  <r>
    <x v="20"/>
    <x v="46"/>
    <s v="Miscellaneous Revenue Adjustment932"/>
    <n v="0"/>
  </r>
  <r>
    <x v="20"/>
    <x v="47"/>
    <s v="Miscellaneous Revenue Adjustment935"/>
    <n v="0"/>
  </r>
  <r>
    <x v="20"/>
    <x v="48"/>
    <m/>
    <n v="5230.5000000000073"/>
  </r>
  <r>
    <x v="21"/>
    <x v="0"/>
    <s v="Miscellaneous Revenue Tracker801"/>
    <n v="0"/>
  </r>
  <r>
    <x v="21"/>
    <x v="1"/>
    <s v="Miscellaneous Revenue Tracker803"/>
    <n v="0"/>
  </r>
  <r>
    <x v="21"/>
    <x v="2"/>
    <s v="Miscellaneous Revenue Tracker804"/>
    <n v="0"/>
  </r>
  <r>
    <x v="21"/>
    <x v="3"/>
    <s v="Miscellaneous Revenue Tracker805"/>
    <n v="0"/>
  </r>
  <r>
    <x v="21"/>
    <x v="4"/>
    <s v="Miscellaneous Revenue Tracker806"/>
    <n v="0"/>
  </r>
  <r>
    <x v="21"/>
    <x v="5"/>
    <s v="Miscellaneous Revenue Tracker807"/>
    <n v="0"/>
  </r>
  <r>
    <x v="21"/>
    <x v="6"/>
    <s v="Miscellaneous Revenue Tracker808"/>
    <n v="0"/>
  </r>
  <r>
    <x v="21"/>
    <x v="7"/>
    <s v="Miscellaneous Revenue Tracker812"/>
    <n v="0"/>
  </r>
  <r>
    <x v="21"/>
    <x v="8"/>
    <s v="Miscellaneous Revenue Tracker870"/>
    <n v="0"/>
  </r>
  <r>
    <x v="21"/>
    <x v="9"/>
    <s v="Miscellaneous Revenue Tracker871"/>
    <n v="0"/>
  </r>
  <r>
    <x v="21"/>
    <x v="10"/>
    <s v="Miscellaneous Revenue Tracker874"/>
    <n v="0"/>
  </r>
  <r>
    <x v="21"/>
    <x v="11"/>
    <s v="Miscellaneous Revenue Tracker875"/>
    <n v="0"/>
  </r>
  <r>
    <x v="21"/>
    <x v="12"/>
    <s v="Miscellaneous Revenue Tracker876"/>
    <n v="0"/>
  </r>
  <r>
    <x v="21"/>
    <x v="13"/>
    <s v="Miscellaneous Revenue Tracker878"/>
    <n v="0"/>
  </r>
  <r>
    <x v="21"/>
    <x v="14"/>
    <s v="Miscellaneous Revenue Tracker879"/>
    <n v="0"/>
  </r>
  <r>
    <x v="21"/>
    <x v="15"/>
    <s v="Miscellaneous Revenue Tracker880"/>
    <n v="0"/>
  </r>
  <r>
    <x v="21"/>
    <x v="16"/>
    <s v="Miscellaneous Revenue Tracker881"/>
    <n v="0"/>
  </r>
  <r>
    <x v="21"/>
    <x v="17"/>
    <s v="Miscellaneous Revenue Tracker885"/>
    <n v="0"/>
  </r>
  <r>
    <x v="21"/>
    <x v="18"/>
    <s v="Miscellaneous Revenue Tracker886"/>
    <n v="0"/>
  </r>
  <r>
    <x v="21"/>
    <x v="19"/>
    <s v="Miscellaneous Revenue Tracker887"/>
    <n v="0"/>
  </r>
  <r>
    <x v="21"/>
    <x v="20"/>
    <s v="Miscellaneous Revenue Tracker889"/>
    <n v="0"/>
  </r>
  <r>
    <x v="21"/>
    <x v="21"/>
    <s v="Miscellaneous Revenue Tracker890"/>
    <n v="0"/>
  </r>
  <r>
    <x v="21"/>
    <x v="22"/>
    <s v="Miscellaneous Revenue Tracker892"/>
    <n v="0"/>
  </r>
  <r>
    <x v="21"/>
    <x v="23"/>
    <s v="Miscellaneous Revenue Tracker893"/>
    <n v="0"/>
  </r>
  <r>
    <x v="21"/>
    <x v="24"/>
    <s v="Miscellaneous Revenue Tracker894"/>
    <n v="0"/>
  </r>
  <r>
    <x v="21"/>
    <x v="25"/>
    <s v="Miscellaneous Revenue Tracker902"/>
    <n v="0"/>
  </r>
  <r>
    <x v="21"/>
    <x v="26"/>
    <s v="Miscellaneous Revenue Tracker903"/>
    <n v="0"/>
  </r>
  <r>
    <x v="21"/>
    <x v="27"/>
    <s v="Miscellaneous Revenue Tracker904"/>
    <n v="0"/>
  </r>
  <r>
    <x v="21"/>
    <x v="28"/>
    <s v="Miscellaneous Revenue Tracker905"/>
    <n v="0"/>
  </r>
  <r>
    <x v="21"/>
    <x v="29"/>
    <s v="Miscellaneous Revenue Tracker907"/>
    <n v="0"/>
  </r>
  <r>
    <x v="21"/>
    <x v="30"/>
    <s v="Miscellaneous Revenue Tracker908"/>
    <n v="37201.589999999997"/>
  </r>
  <r>
    <x v="21"/>
    <x v="31"/>
    <s v="Miscellaneous Revenue Tracker909"/>
    <n v="0"/>
  </r>
  <r>
    <x v="21"/>
    <x v="32"/>
    <s v="Miscellaneous Revenue Tracker910"/>
    <n v="0"/>
  </r>
  <r>
    <x v="21"/>
    <x v="33"/>
    <s v="Miscellaneous Revenue Tracker911"/>
    <n v="0"/>
  </r>
  <r>
    <x v="21"/>
    <x v="34"/>
    <s v="Miscellaneous Revenue Tracker912"/>
    <n v="0"/>
  </r>
  <r>
    <x v="21"/>
    <x v="35"/>
    <s v="Miscellaneous Revenue Tracker913"/>
    <n v="0"/>
  </r>
  <r>
    <x v="21"/>
    <x v="36"/>
    <s v="Miscellaneous Revenue Tracker920"/>
    <n v="0"/>
  </r>
  <r>
    <x v="21"/>
    <x v="37"/>
    <s v="Miscellaneous Revenue Tracker921"/>
    <n v="0"/>
  </r>
  <r>
    <x v="21"/>
    <x v="38"/>
    <s v="Miscellaneous Revenue Tracker923"/>
    <n v="0"/>
  </r>
  <r>
    <x v="21"/>
    <x v="39"/>
    <s v="Miscellaneous Revenue Tracker924"/>
    <n v="0"/>
  </r>
  <r>
    <x v="21"/>
    <x v="40"/>
    <s v="Miscellaneous Revenue Tracker925"/>
    <n v="0"/>
  </r>
  <r>
    <x v="21"/>
    <x v="41"/>
    <s v="Miscellaneous Revenue Tracker926"/>
    <n v="0"/>
  </r>
  <r>
    <x v="21"/>
    <x v="42"/>
    <s v="Miscellaneous Revenue Tracker928"/>
    <n v="0"/>
  </r>
  <r>
    <x v="21"/>
    <x v="49"/>
    <s v="Miscellaneous Revenue Tracker930"/>
    <n v="0"/>
  </r>
  <r>
    <x v="21"/>
    <x v="45"/>
    <s v="Miscellaneous Revenue Tracker931"/>
    <n v="0"/>
  </r>
  <r>
    <x v="21"/>
    <x v="46"/>
    <s v="Miscellaneous Revenue Tracker932"/>
    <n v="0"/>
  </r>
  <r>
    <x v="21"/>
    <x v="47"/>
    <s v="Miscellaneous Revenue Tracker935"/>
    <n v="0"/>
  </r>
  <r>
    <x v="21"/>
    <x v="48"/>
    <m/>
    <n v="37201.589999999997"/>
  </r>
  <r>
    <x v="22"/>
    <x v="0"/>
    <s v="OPEB Expenses (Non-Service)801"/>
    <n v="0"/>
  </r>
  <r>
    <x v="22"/>
    <x v="1"/>
    <s v="OPEB Expenses (Non-Service)803"/>
    <n v="0"/>
  </r>
  <r>
    <x v="22"/>
    <x v="2"/>
    <s v="OPEB Expenses (Non-Service)804"/>
    <n v="0"/>
  </r>
  <r>
    <x v="22"/>
    <x v="3"/>
    <s v="OPEB Expenses (Non-Service)805"/>
    <n v="0"/>
  </r>
  <r>
    <x v="22"/>
    <x v="4"/>
    <s v="OPEB Expenses (Non-Service)806"/>
    <n v="0"/>
  </r>
  <r>
    <x v="22"/>
    <x v="5"/>
    <s v="OPEB Expenses (Non-Service)807"/>
    <n v="0"/>
  </r>
  <r>
    <x v="22"/>
    <x v="6"/>
    <s v="OPEB Expenses (Non-Service)808"/>
    <n v="0"/>
  </r>
  <r>
    <x v="22"/>
    <x v="7"/>
    <s v="OPEB Expenses (Non-Service)812"/>
    <n v="0"/>
  </r>
  <r>
    <x v="22"/>
    <x v="8"/>
    <s v="OPEB Expenses (Non-Service)870"/>
    <n v="0"/>
  </r>
  <r>
    <x v="22"/>
    <x v="9"/>
    <s v="OPEB Expenses (Non-Service)871"/>
    <n v="0"/>
  </r>
  <r>
    <x v="22"/>
    <x v="10"/>
    <s v="OPEB Expenses (Non-Service)874"/>
    <n v="0"/>
  </r>
  <r>
    <x v="22"/>
    <x v="11"/>
    <s v="OPEB Expenses (Non-Service)875"/>
    <n v="0"/>
  </r>
  <r>
    <x v="22"/>
    <x v="12"/>
    <s v="OPEB Expenses (Non-Service)876"/>
    <n v="0"/>
  </r>
  <r>
    <x v="22"/>
    <x v="13"/>
    <s v="OPEB Expenses (Non-Service)878"/>
    <n v="0"/>
  </r>
  <r>
    <x v="22"/>
    <x v="14"/>
    <s v="OPEB Expenses (Non-Service)879"/>
    <n v="0"/>
  </r>
  <r>
    <x v="22"/>
    <x v="15"/>
    <s v="OPEB Expenses (Non-Service)880"/>
    <n v="0"/>
  </r>
  <r>
    <x v="22"/>
    <x v="16"/>
    <s v="OPEB Expenses (Non-Service)881"/>
    <n v="0"/>
  </r>
  <r>
    <x v="22"/>
    <x v="17"/>
    <s v="OPEB Expenses (Non-Service)885"/>
    <n v="0"/>
  </r>
  <r>
    <x v="22"/>
    <x v="18"/>
    <s v="OPEB Expenses (Non-Service)886"/>
    <n v="0"/>
  </r>
  <r>
    <x v="22"/>
    <x v="19"/>
    <s v="OPEB Expenses (Non-Service)887"/>
    <n v="0"/>
  </r>
  <r>
    <x v="22"/>
    <x v="20"/>
    <s v="OPEB Expenses (Non-Service)889"/>
    <n v="0"/>
  </r>
  <r>
    <x v="22"/>
    <x v="21"/>
    <s v="OPEB Expenses (Non-Service)890"/>
    <n v="0"/>
  </r>
  <r>
    <x v="22"/>
    <x v="22"/>
    <s v="OPEB Expenses (Non-Service)892"/>
    <n v="0"/>
  </r>
  <r>
    <x v="22"/>
    <x v="23"/>
    <s v="OPEB Expenses (Non-Service)893"/>
    <n v="0"/>
  </r>
  <r>
    <x v="22"/>
    <x v="24"/>
    <s v="OPEB Expenses (Non-Service)894"/>
    <n v="0"/>
  </r>
  <r>
    <x v="22"/>
    <x v="25"/>
    <s v="OPEB Expenses (Non-Service)902"/>
    <n v="0"/>
  </r>
  <r>
    <x v="22"/>
    <x v="26"/>
    <s v="OPEB Expenses (Non-Service)903"/>
    <n v="0"/>
  </r>
  <r>
    <x v="22"/>
    <x v="27"/>
    <s v="OPEB Expenses (Non-Service)904"/>
    <n v="0"/>
  </r>
  <r>
    <x v="22"/>
    <x v="28"/>
    <s v="OPEB Expenses (Non-Service)905"/>
    <n v="0"/>
  </r>
  <r>
    <x v="22"/>
    <x v="29"/>
    <s v="OPEB Expenses (Non-Service)907"/>
    <n v="0"/>
  </r>
  <r>
    <x v="22"/>
    <x v="30"/>
    <s v="OPEB Expenses (Non-Service)908"/>
    <n v="0"/>
  </r>
  <r>
    <x v="22"/>
    <x v="31"/>
    <s v="OPEB Expenses (Non-Service)909"/>
    <n v="0"/>
  </r>
  <r>
    <x v="22"/>
    <x v="32"/>
    <s v="OPEB Expenses (Non-Service)910"/>
    <n v="0"/>
  </r>
  <r>
    <x v="22"/>
    <x v="33"/>
    <s v="OPEB Expenses (Non-Service)911"/>
    <n v="0"/>
  </r>
  <r>
    <x v="22"/>
    <x v="34"/>
    <s v="OPEB Expenses (Non-Service)912"/>
    <n v="0"/>
  </r>
  <r>
    <x v="22"/>
    <x v="35"/>
    <s v="OPEB Expenses (Non-Service)913"/>
    <n v="0"/>
  </r>
  <r>
    <x v="22"/>
    <x v="36"/>
    <s v="OPEB Expenses (Non-Service)920"/>
    <n v="0"/>
  </r>
  <r>
    <x v="22"/>
    <x v="37"/>
    <s v="OPEB Expenses (Non-Service)921"/>
    <n v="0"/>
  </r>
  <r>
    <x v="22"/>
    <x v="38"/>
    <s v="OPEB Expenses (Non-Service)923"/>
    <n v="0"/>
  </r>
  <r>
    <x v="22"/>
    <x v="39"/>
    <s v="OPEB Expenses (Non-Service)924"/>
    <n v="0"/>
  </r>
  <r>
    <x v="22"/>
    <x v="40"/>
    <s v="OPEB Expenses (Non-Service)925"/>
    <n v="0"/>
  </r>
  <r>
    <x v="22"/>
    <x v="41"/>
    <s v="OPEB Expenses (Non-Service)926"/>
    <n v="-32943.409999999989"/>
  </r>
  <r>
    <x v="22"/>
    <x v="42"/>
    <s v="OPEB Expenses (Non-Service)928"/>
    <n v="0"/>
  </r>
  <r>
    <x v="22"/>
    <x v="49"/>
    <s v="OPEB Expenses (Non-Service)930"/>
    <n v="0"/>
  </r>
  <r>
    <x v="22"/>
    <x v="45"/>
    <s v="OPEB Expenses (Non-Service)931"/>
    <n v="0"/>
  </r>
  <r>
    <x v="22"/>
    <x v="46"/>
    <s v="OPEB Expenses (Non-Service)932"/>
    <n v="0"/>
  </r>
  <r>
    <x v="22"/>
    <x v="47"/>
    <s v="OPEB Expenses (Non-Service)935"/>
    <n v="0"/>
  </r>
  <r>
    <x v="22"/>
    <x v="48"/>
    <m/>
    <n v="-32943.409999999989"/>
  </r>
  <r>
    <x v="23"/>
    <x v="0"/>
    <s v="OPEB Expenses (Service)801"/>
    <n v="0"/>
  </r>
  <r>
    <x v="23"/>
    <x v="1"/>
    <s v="OPEB Expenses (Service)803"/>
    <n v="0"/>
  </r>
  <r>
    <x v="23"/>
    <x v="2"/>
    <s v="OPEB Expenses (Service)804"/>
    <n v="0"/>
  </r>
  <r>
    <x v="23"/>
    <x v="3"/>
    <s v="OPEB Expenses (Service)805"/>
    <n v="0"/>
  </r>
  <r>
    <x v="23"/>
    <x v="4"/>
    <s v="OPEB Expenses (Service)806"/>
    <n v="0"/>
  </r>
  <r>
    <x v="23"/>
    <x v="5"/>
    <s v="OPEB Expenses (Service)807"/>
    <n v="0"/>
  </r>
  <r>
    <x v="23"/>
    <x v="6"/>
    <s v="OPEB Expenses (Service)808"/>
    <n v="0"/>
  </r>
  <r>
    <x v="23"/>
    <x v="7"/>
    <s v="OPEB Expenses (Service)812"/>
    <n v="0"/>
  </r>
  <r>
    <x v="23"/>
    <x v="8"/>
    <s v="OPEB Expenses (Service)870"/>
    <n v="0"/>
  </r>
  <r>
    <x v="23"/>
    <x v="9"/>
    <s v="OPEB Expenses (Service)871"/>
    <n v="0"/>
  </r>
  <r>
    <x v="23"/>
    <x v="10"/>
    <s v="OPEB Expenses (Service)874"/>
    <n v="1.8699999999999992"/>
  </r>
  <r>
    <x v="23"/>
    <x v="11"/>
    <s v="OPEB Expenses (Service)875"/>
    <n v="0"/>
  </r>
  <r>
    <x v="23"/>
    <x v="12"/>
    <s v="OPEB Expenses (Service)876"/>
    <n v="0"/>
  </r>
  <r>
    <x v="23"/>
    <x v="13"/>
    <s v="OPEB Expenses (Service)878"/>
    <n v="0"/>
  </r>
  <r>
    <x v="23"/>
    <x v="14"/>
    <s v="OPEB Expenses (Service)879"/>
    <n v="0"/>
  </r>
  <r>
    <x v="23"/>
    <x v="15"/>
    <s v="OPEB Expenses (Service)880"/>
    <n v="3.7200000000000024"/>
  </r>
  <r>
    <x v="23"/>
    <x v="16"/>
    <s v="OPEB Expenses (Service)881"/>
    <n v="0"/>
  </r>
  <r>
    <x v="23"/>
    <x v="17"/>
    <s v="OPEB Expenses (Service)885"/>
    <n v="0"/>
  </r>
  <r>
    <x v="23"/>
    <x v="18"/>
    <s v="OPEB Expenses (Service)886"/>
    <n v="0"/>
  </r>
  <r>
    <x v="23"/>
    <x v="19"/>
    <s v="OPEB Expenses (Service)887"/>
    <n v="0"/>
  </r>
  <r>
    <x v="23"/>
    <x v="20"/>
    <s v="OPEB Expenses (Service)889"/>
    <n v="0"/>
  </r>
  <r>
    <x v="23"/>
    <x v="21"/>
    <s v="OPEB Expenses (Service)890"/>
    <n v="0"/>
  </r>
  <r>
    <x v="23"/>
    <x v="22"/>
    <s v="OPEB Expenses (Service)892"/>
    <n v="0"/>
  </r>
  <r>
    <x v="23"/>
    <x v="23"/>
    <s v="OPEB Expenses (Service)893"/>
    <n v="0"/>
  </r>
  <r>
    <x v="23"/>
    <x v="24"/>
    <s v="OPEB Expenses (Service)894"/>
    <n v="0"/>
  </r>
  <r>
    <x v="23"/>
    <x v="25"/>
    <s v="OPEB Expenses (Service)902"/>
    <n v="0"/>
  </r>
  <r>
    <x v="23"/>
    <x v="26"/>
    <s v="OPEB Expenses (Service)903"/>
    <n v="0"/>
  </r>
  <r>
    <x v="23"/>
    <x v="27"/>
    <s v="OPEB Expenses (Service)904"/>
    <n v="0"/>
  </r>
  <r>
    <x v="23"/>
    <x v="28"/>
    <s v="OPEB Expenses (Service)905"/>
    <n v="0"/>
  </r>
  <r>
    <x v="23"/>
    <x v="29"/>
    <s v="OPEB Expenses (Service)907"/>
    <n v="0"/>
  </r>
  <r>
    <x v="23"/>
    <x v="30"/>
    <s v="OPEB Expenses (Service)908"/>
    <n v="0"/>
  </r>
  <r>
    <x v="23"/>
    <x v="31"/>
    <s v="OPEB Expenses (Service)909"/>
    <n v="0"/>
  </r>
  <r>
    <x v="23"/>
    <x v="32"/>
    <s v="OPEB Expenses (Service)910"/>
    <n v="0"/>
  </r>
  <r>
    <x v="23"/>
    <x v="33"/>
    <s v="OPEB Expenses (Service)911"/>
    <n v="0"/>
  </r>
  <r>
    <x v="23"/>
    <x v="34"/>
    <s v="OPEB Expenses (Service)912"/>
    <n v="0"/>
  </r>
  <r>
    <x v="23"/>
    <x v="35"/>
    <s v="OPEB Expenses (Service)913"/>
    <n v="0"/>
  </r>
  <r>
    <x v="23"/>
    <x v="36"/>
    <s v="OPEB Expenses (Service)920"/>
    <n v="0"/>
  </r>
  <r>
    <x v="23"/>
    <x v="37"/>
    <s v="OPEB Expenses (Service)921"/>
    <n v="0"/>
  </r>
  <r>
    <x v="23"/>
    <x v="38"/>
    <s v="OPEB Expenses (Service)923"/>
    <n v="0"/>
  </r>
  <r>
    <x v="23"/>
    <x v="39"/>
    <s v="OPEB Expenses (Service)924"/>
    <n v="0"/>
  </r>
  <r>
    <x v="23"/>
    <x v="40"/>
    <s v="OPEB Expenses (Service)925"/>
    <n v="0"/>
  </r>
  <r>
    <x v="23"/>
    <x v="41"/>
    <s v="OPEB Expenses (Service)926"/>
    <n v="10643.100000000009"/>
  </r>
  <r>
    <x v="23"/>
    <x v="42"/>
    <s v="OPEB Expenses (Service)928"/>
    <n v="0"/>
  </r>
  <r>
    <x v="23"/>
    <x v="49"/>
    <s v="OPEB Expenses (Service)930"/>
    <n v="0"/>
  </r>
  <r>
    <x v="23"/>
    <x v="45"/>
    <s v="OPEB Expenses (Service)931"/>
    <n v="0"/>
  </r>
  <r>
    <x v="23"/>
    <x v="46"/>
    <s v="OPEB Expenses (Service)932"/>
    <n v="0"/>
  </r>
  <r>
    <x v="23"/>
    <x v="47"/>
    <s v="OPEB Expenses (Service)935"/>
    <n v="0"/>
  </r>
  <r>
    <x v="23"/>
    <x v="48"/>
    <m/>
    <n v="10648.69000000001"/>
  </r>
  <r>
    <x v="24"/>
    <x v="0"/>
    <s v="Other Rents &amp; Leases801"/>
    <n v="0"/>
  </r>
  <r>
    <x v="24"/>
    <x v="1"/>
    <s v="Other Rents &amp; Leases803"/>
    <n v="0"/>
  </r>
  <r>
    <x v="24"/>
    <x v="2"/>
    <s v="Other Rents &amp; Leases804"/>
    <n v="0"/>
  </r>
  <r>
    <x v="24"/>
    <x v="3"/>
    <s v="Other Rents &amp; Leases805"/>
    <n v="0"/>
  </r>
  <r>
    <x v="24"/>
    <x v="4"/>
    <s v="Other Rents &amp; Leases806"/>
    <n v="0"/>
  </r>
  <r>
    <x v="24"/>
    <x v="5"/>
    <s v="Other Rents &amp; Leases807"/>
    <n v="0"/>
  </r>
  <r>
    <x v="24"/>
    <x v="6"/>
    <s v="Other Rents &amp; Leases808"/>
    <n v="0"/>
  </r>
  <r>
    <x v="24"/>
    <x v="7"/>
    <s v="Other Rents &amp; Leases812"/>
    <n v="0"/>
  </r>
  <r>
    <x v="24"/>
    <x v="8"/>
    <s v="Other Rents &amp; Leases870"/>
    <n v="-136.22"/>
  </r>
  <r>
    <x v="24"/>
    <x v="9"/>
    <s v="Other Rents &amp; Leases871"/>
    <n v="0"/>
  </r>
  <r>
    <x v="24"/>
    <x v="10"/>
    <s v="Other Rents &amp; Leases874"/>
    <n v="823.42999999999893"/>
  </r>
  <r>
    <x v="24"/>
    <x v="11"/>
    <s v="Other Rents &amp; Leases875"/>
    <n v="0"/>
  </r>
  <r>
    <x v="24"/>
    <x v="12"/>
    <s v="Other Rents &amp; Leases876"/>
    <n v="0"/>
  </r>
  <r>
    <x v="24"/>
    <x v="13"/>
    <s v="Other Rents &amp; Leases878"/>
    <n v="7.01"/>
  </r>
  <r>
    <x v="24"/>
    <x v="14"/>
    <s v="Other Rents &amp; Leases879"/>
    <n v="0"/>
  </r>
  <r>
    <x v="24"/>
    <x v="15"/>
    <s v="Other Rents &amp; Leases880"/>
    <n v="1780.970000000003"/>
  </r>
  <r>
    <x v="24"/>
    <x v="16"/>
    <s v="Other Rents &amp; Leases881"/>
    <n v="-3318.5200000000041"/>
  </r>
  <r>
    <x v="24"/>
    <x v="17"/>
    <s v="Other Rents &amp; Leases885"/>
    <n v="-3.75"/>
  </r>
  <r>
    <x v="24"/>
    <x v="18"/>
    <s v="Other Rents &amp; Leases886"/>
    <n v="178.6099999999999"/>
  </r>
  <r>
    <x v="24"/>
    <x v="19"/>
    <s v="Other Rents &amp; Leases887"/>
    <n v="-132.47"/>
  </r>
  <r>
    <x v="24"/>
    <x v="20"/>
    <s v="Other Rents &amp; Leases889"/>
    <n v="0"/>
  </r>
  <r>
    <x v="24"/>
    <x v="21"/>
    <s v="Other Rents &amp; Leases890"/>
    <n v="0"/>
  </r>
  <r>
    <x v="24"/>
    <x v="22"/>
    <s v="Other Rents &amp; Leases892"/>
    <n v="-132.47"/>
  </r>
  <r>
    <x v="24"/>
    <x v="23"/>
    <s v="Other Rents &amp; Leases893"/>
    <n v="0"/>
  </r>
  <r>
    <x v="24"/>
    <x v="24"/>
    <s v="Other Rents &amp; Leases894"/>
    <n v="300.70000000000005"/>
  </r>
  <r>
    <x v="24"/>
    <x v="25"/>
    <s v="Other Rents &amp; Leases902"/>
    <n v="0"/>
  </r>
  <r>
    <x v="24"/>
    <x v="26"/>
    <s v="Other Rents &amp; Leases903"/>
    <n v="0"/>
  </r>
  <r>
    <x v="24"/>
    <x v="27"/>
    <s v="Other Rents &amp; Leases904"/>
    <n v="0"/>
  </r>
  <r>
    <x v="24"/>
    <x v="28"/>
    <s v="Other Rents &amp; Leases905"/>
    <n v="0"/>
  </r>
  <r>
    <x v="24"/>
    <x v="29"/>
    <s v="Other Rents &amp; Leases907"/>
    <n v="0"/>
  </r>
  <r>
    <x v="24"/>
    <x v="30"/>
    <s v="Other Rents &amp; Leases908"/>
    <n v="0"/>
  </r>
  <r>
    <x v="24"/>
    <x v="31"/>
    <s v="Other Rents &amp; Leases909"/>
    <n v="0"/>
  </r>
  <r>
    <x v="24"/>
    <x v="32"/>
    <s v="Other Rents &amp; Leases910"/>
    <n v="0"/>
  </r>
  <r>
    <x v="24"/>
    <x v="33"/>
    <s v="Other Rents &amp; Leases911"/>
    <n v="0"/>
  </r>
  <r>
    <x v="24"/>
    <x v="34"/>
    <s v="Other Rents &amp; Leases912"/>
    <n v="0"/>
  </r>
  <r>
    <x v="24"/>
    <x v="35"/>
    <s v="Other Rents &amp; Leases913"/>
    <n v="0"/>
  </r>
  <r>
    <x v="24"/>
    <x v="36"/>
    <s v="Other Rents &amp; Leases920"/>
    <n v="0"/>
  </r>
  <r>
    <x v="24"/>
    <x v="37"/>
    <s v="Other Rents &amp; Leases921"/>
    <n v="1482.2800000000009"/>
  </r>
  <r>
    <x v="24"/>
    <x v="38"/>
    <s v="Other Rents &amp; Leases923"/>
    <n v="-884.9700000000048"/>
  </r>
  <r>
    <x v="24"/>
    <x v="39"/>
    <s v="Other Rents &amp; Leases924"/>
    <n v="0"/>
  </r>
  <r>
    <x v="24"/>
    <x v="40"/>
    <s v="Other Rents &amp; Leases925"/>
    <n v="0"/>
  </r>
  <r>
    <x v="24"/>
    <x v="41"/>
    <s v="Other Rents &amp; Leases926"/>
    <n v="0"/>
  </r>
  <r>
    <x v="24"/>
    <x v="42"/>
    <s v="Other Rents &amp; Leases928"/>
    <n v="0"/>
  </r>
  <r>
    <x v="24"/>
    <x v="43"/>
    <s v="Other Rents &amp; Leases9301"/>
    <n v="0"/>
  </r>
  <r>
    <x v="24"/>
    <x v="44"/>
    <s v="Other Rents &amp; Leases9302"/>
    <n v="0"/>
  </r>
  <r>
    <x v="24"/>
    <x v="45"/>
    <s v="Other Rents &amp; Leases931"/>
    <n v="0"/>
  </r>
  <r>
    <x v="24"/>
    <x v="46"/>
    <s v="Other Rents &amp; Leases932"/>
    <n v="0"/>
  </r>
  <r>
    <x v="24"/>
    <x v="47"/>
    <s v="Other Rents &amp; Leases935"/>
    <n v="0"/>
  </r>
  <r>
    <x v="24"/>
    <x v="48"/>
    <m/>
    <n v="-35.40000000000623"/>
  </r>
  <r>
    <x v="25"/>
    <x v="0"/>
    <s v="Outside Services801"/>
    <n v="0"/>
  </r>
  <r>
    <x v="25"/>
    <x v="1"/>
    <s v="Outside Services803"/>
    <n v="0"/>
  </r>
  <r>
    <x v="25"/>
    <x v="2"/>
    <s v="Outside Services804"/>
    <n v="0"/>
  </r>
  <r>
    <x v="25"/>
    <x v="3"/>
    <s v="Outside Services805"/>
    <n v="0"/>
  </r>
  <r>
    <x v="25"/>
    <x v="4"/>
    <s v="Outside Services806"/>
    <n v="0"/>
  </r>
  <r>
    <x v="25"/>
    <x v="5"/>
    <s v="Outside Services807"/>
    <n v="0"/>
  </r>
  <r>
    <x v="25"/>
    <x v="6"/>
    <s v="Outside Services808"/>
    <n v="0"/>
  </r>
  <r>
    <x v="25"/>
    <x v="7"/>
    <s v="Outside Services812"/>
    <n v="0"/>
  </r>
  <r>
    <x v="25"/>
    <x v="58"/>
    <s v="Outside Services865"/>
    <n v="320.05999999999989"/>
  </r>
  <r>
    <x v="25"/>
    <x v="8"/>
    <s v="Outside Services870"/>
    <n v="-858.69"/>
  </r>
  <r>
    <x v="25"/>
    <x v="9"/>
    <s v="Outside Services871"/>
    <n v="10429.57"/>
  </r>
  <r>
    <x v="25"/>
    <x v="10"/>
    <s v="Outside Services874"/>
    <n v="-90860.629999999888"/>
  </r>
  <r>
    <x v="25"/>
    <x v="11"/>
    <s v="Outside Services875"/>
    <n v="10160.729999999989"/>
  </r>
  <r>
    <x v="25"/>
    <x v="12"/>
    <s v="Outside Services876"/>
    <n v="0"/>
  </r>
  <r>
    <x v="25"/>
    <x v="13"/>
    <s v="Outside Services878"/>
    <n v="0"/>
  </r>
  <r>
    <x v="25"/>
    <x v="14"/>
    <s v="Outside Services879"/>
    <n v="-35496.180000000008"/>
  </r>
  <r>
    <x v="25"/>
    <x v="15"/>
    <s v="Outside Services880"/>
    <n v="-26985.52999999997"/>
  </r>
  <r>
    <x v="25"/>
    <x v="16"/>
    <s v="Outside Services881"/>
    <n v="0"/>
  </r>
  <r>
    <x v="25"/>
    <x v="17"/>
    <s v="Outside Services885"/>
    <n v="-53.899999999999977"/>
  </r>
  <r>
    <x v="25"/>
    <x v="18"/>
    <s v="Outside Services886"/>
    <n v="7101.2600000000093"/>
  </r>
  <r>
    <x v="25"/>
    <x v="19"/>
    <s v="Outside Services887"/>
    <n v="99472.509999999544"/>
  </r>
  <r>
    <x v="25"/>
    <x v="20"/>
    <s v="Outside Services889"/>
    <n v="-9541.1100000000079"/>
  </r>
  <r>
    <x v="25"/>
    <x v="21"/>
    <s v="Outside Services890"/>
    <n v="-131.39999999999964"/>
  </r>
  <r>
    <x v="25"/>
    <x v="22"/>
    <s v="Outside Services892"/>
    <n v="10174.250000000029"/>
  </r>
  <r>
    <x v="25"/>
    <x v="23"/>
    <s v="Outside Services893"/>
    <n v="-747.8599999999999"/>
  </r>
  <r>
    <x v="25"/>
    <x v="24"/>
    <s v="Outside Services894"/>
    <n v="-1879.0400000000004"/>
  </r>
  <r>
    <x v="25"/>
    <x v="25"/>
    <s v="Outside Services902"/>
    <n v="-25888.97000000003"/>
  </r>
  <r>
    <x v="25"/>
    <x v="26"/>
    <s v="Outside Services903"/>
    <n v="13319.090000000004"/>
  </r>
  <r>
    <x v="25"/>
    <x v="27"/>
    <s v="Outside Services904"/>
    <n v="0"/>
  </r>
  <r>
    <x v="25"/>
    <x v="28"/>
    <s v="Outside Services905"/>
    <n v="0"/>
  </r>
  <r>
    <x v="25"/>
    <x v="29"/>
    <s v="Outside Services907"/>
    <n v="0"/>
  </r>
  <r>
    <x v="25"/>
    <x v="30"/>
    <s v="Outside Services908"/>
    <n v="0"/>
  </r>
  <r>
    <x v="25"/>
    <x v="31"/>
    <s v="Outside Services909"/>
    <n v="-1594.7900000000004"/>
  </r>
  <r>
    <x v="25"/>
    <x v="32"/>
    <s v="Outside Services910"/>
    <n v="0"/>
  </r>
  <r>
    <x v="25"/>
    <x v="33"/>
    <s v="Outside Services911"/>
    <n v="0"/>
  </r>
  <r>
    <x v="25"/>
    <x v="34"/>
    <s v="Outside Services912"/>
    <n v="0"/>
  </r>
  <r>
    <x v="25"/>
    <x v="35"/>
    <s v="Outside Services913"/>
    <n v="0"/>
  </r>
  <r>
    <x v="25"/>
    <x v="36"/>
    <s v="Outside Services920"/>
    <n v="0"/>
  </r>
  <r>
    <x v="25"/>
    <x v="37"/>
    <s v="Outside Services921"/>
    <n v="-102.71999999999935"/>
  </r>
  <r>
    <x v="25"/>
    <x v="38"/>
    <s v="Outside Services923"/>
    <n v="-51338.259999999893"/>
  </r>
  <r>
    <x v="25"/>
    <x v="39"/>
    <s v="Outside Services924"/>
    <n v="0"/>
  </r>
  <r>
    <x v="25"/>
    <x v="40"/>
    <s v="Outside Services925"/>
    <n v="0"/>
  </r>
  <r>
    <x v="25"/>
    <x v="41"/>
    <s v="Outside Services926"/>
    <n v="-22163.340000000026"/>
  </r>
  <r>
    <x v="25"/>
    <x v="42"/>
    <s v="Outside Services928"/>
    <n v="0"/>
  </r>
  <r>
    <x v="25"/>
    <x v="43"/>
    <s v="Outside Services9301"/>
    <n v="0"/>
  </r>
  <r>
    <x v="25"/>
    <x v="44"/>
    <s v="Outside Services9302"/>
    <n v="634.56999999999982"/>
  </r>
  <r>
    <x v="25"/>
    <x v="45"/>
    <s v="Outside Services931"/>
    <n v="0"/>
  </r>
  <r>
    <x v="25"/>
    <x v="46"/>
    <s v="Outside Services932"/>
    <n v="0"/>
  </r>
  <r>
    <x v="25"/>
    <x v="47"/>
    <s v="Outside Services935"/>
    <n v="0"/>
  </r>
  <r>
    <x v="25"/>
    <x v="48"/>
    <m/>
    <n v="-116030.38000000024"/>
  </r>
  <r>
    <x v="26"/>
    <x v="0"/>
    <s v="Pension Expenses (Non-Service)801"/>
    <n v="0"/>
  </r>
  <r>
    <x v="26"/>
    <x v="1"/>
    <s v="Pension Expenses (Non-Service)803"/>
    <n v="0"/>
  </r>
  <r>
    <x v="26"/>
    <x v="2"/>
    <s v="Pension Expenses (Non-Service)804"/>
    <n v="0"/>
  </r>
  <r>
    <x v="26"/>
    <x v="3"/>
    <s v="Pension Expenses (Non-Service)805"/>
    <n v="0"/>
  </r>
  <r>
    <x v="26"/>
    <x v="4"/>
    <s v="Pension Expenses (Non-Service)806"/>
    <n v="0"/>
  </r>
  <r>
    <x v="26"/>
    <x v="5"/>
    <s v="Pension Expenses (Non-Service)807"/>
    <n v="0"/>
  </r>
  <r>
    <x v="26"/>
    <x v="6"/>
    <s v="Pension Expenses (Non-Service)808"/>
    <n v="0"/>
  </r>
  <r>
    <x v="26"/>
    <x v="7"/>
    <s v="Pension Expenses (Non-Service)812"/>
    <n v="0"/>
  </r>
  <r>
    <x v="26"/>
    <x v="8"/>
    <s v="Pension Expenses (Non-Service)870"/>
    <n v="0"/>
  </r>
  <r>
    <x v="26"/>
    <x v="9"/>
    <s v="Pension Expenses (Non-Service)871"/>
    <n v="0"/>
  </r>
  <r>
    <x v="26"/>
    <x v="10"/>
    <s v="Pension Expenses (Non-Service)874"/>
    <n v="0"/>
  </r>
  <r>
    <x v="26"/>
    <x v="11"/>
    <s v="Pension Expenses (Non-Service)875"/>
    <n v="0"/>
  </r>
  <r>
    <x v="26"/>
    <x v="12"/>
    <s v="Pension Expenses (Non-Service)876"/>
    <n v="0"/>
  </r>
  <r>
    <x v="26"/>
    <x v="13"/>
    <s v="Pension Expenses (Non-Service)878"/>
    <n v="0"/>
  </r>
  <r>
    <x v="26"/>
    <x v="14"/>
    <s v="Pension Expenses (Non-Service)879"/>
    <n v="0"/>
  </r>
  <r>
    <x v="26"/>
    <x v="15"/>
    <s v="Pension Expenses (Non-Service)880"/>
    <n v="0"/>
  </r>
  <r>
    <x v="26"/>
    <x v="16"/>
    <s v="Pension Expenses (Non-Service)881"/>
    <n v="0"/>
  </r>
  <r>
    <x v="26"/>
    <x v="17"/>
    <s v="Pension Expenses (Non-Service)885"/>
    <n v="0"/>
  </r>
  <r>
    <x v="26"/>
    <x v="18"/>
    <s v="Pension Expenses (Non-Service)886"/>
    <n v="0"/>
  </r>
  <r>
    <x v="26"/>
    <x v="19"/>
    <s v="Pension Expenses (Non-Service)887"/>
    <n v="0"/>
  </r>
  <r>
    <x v="26"/>
    <x v="20"/>
    <s v="Pension Expenses (Non-Service)889"/>
    <n v="0"/>
  </r>
  <r>
    <x v="26"/>
    <x v="21"/>
    <s v="Pension Expenses (Non-Service)890"/>
    <n v="0"/>
  </r>
  <r>
    <x v="26"/>
    <x v="22"/>
    <s v="Pension Expenses (Non-Service)892"/>
    <n v="0"/>
  </r>
  <r>
    <x v="26"/>
    <x v="23"/>
    <s v="Pension Expenses (Non-Service)893"/>
    <n v="0"/>
  </r>
  <r>
    <x v="26"/>
    <x v="24"/>
    <s v="Pension Expenses (Non-Service)894"/>
    <n v="0"/>
  </r>
  <r>
    <x v="26"/>
    <x v="25"/>
    <s v="Pension Expenses (Non-Service)902"/>
    <n v="0"/>
  </r>
  <r>
    <x v="26"/>
    <x v="26"/>
    <s v="Pension Expenses (Non-Service)903"/>
    <n v="0"/>
  </r>
  <r>
    <x v="26"/>
    <x v="27"/>
    <s v="Pension Expenses (Non-Service)904"/>
    <n v="0"/>
  </r>
  <r>
    <x v="26"/>
    <x v="28"/>
    <s v="Pension Expenses (Non-Service)905"/>
    <n v="0"/>
  </r>
  <r>
    <x v="26"/>
    <x v="29"/>
    <s v="Pension Expenses (Non-Service)907"/>
    <n v="0"/>
  </r>
  <r>
    <x v="26"/>
    <x v="30"/>
    <s v="Pension Expenses (Non-Service)908"/>
    <n v="0"/>
  </r>
  <r>
    <x v="26"/>
    <x v="31"/>
    <s v="Pension Expenses (Non-Service)909"/>
    <n v="0"/>
  </r>
  <r>
    <x v="26"/>
    <x v="32"/>
    <s v="Pension Expenses (Non-Service)910"/>
    <n v="0"/>
  </r>
  <r>
    <x v="26"/>
    <x v="33"/>
    <s v="Pension Expenses (Non-Service)911"/>
    <n v="0"/>
  </r>
  <r>
    <x v="26"/>
    <x v="34"/>
    <s v="Pension Expenses (Non-Service)912"/>
    <n v="0"/>
  </r>
  <r>
    <x v="26"/>
    <x v="35"/>
    <s v="Pension Expenses (Non-Service)913"/>
    <n v="0"/>
  </r>
  <r>
    <x v="26"/>
    <x v="36"/>
    <s v="Pension Expenses (Non-Service)920"/>
    <n v="0"/>
  </r>
  <r>
    <x v="26"/>
    <x v="37"/>
    <s v="Pension Expenses (Non-Service)921"/>
    <n v="0"/>
  </r>
  <r>
    <x v="26"/>
    <x v="38"/>
    <s v="Pension Expenses (Non-Service)923"/>
    <n v="0"/>
  </r>
  <r>
    <x v="26"/>
    <x v="39"/>
    <s v="Pension Expenses (Non-Service)924"/>
    <n v="0"/>
  </r>
  <r>
    <x v="26"/>
    <x v="40"/>
    <s v="Pension Expenses (Non-Service)925"/>
    <n v="0"/>
  </r>
  <r>
    <x v="26"/>
    <x v="41"/>
    <s v="Pension Expenses (Non-Service)926"/>
    <n v="51698.020000000077"/>
  </r>
  <r>
    <x v="26"/>
    <x v="42"/>
    <s v="Pension Expenses (Non-Service)928"/>
    <n v="0"/>
  </r>
  <r>
    <x v="26"/>
    <x v="49"/>
    <s v="Pension Expenses (Non-Service)930"/>
    <n v="0"/>
  </r>
  <r>
    <x v="26"/>
    <x v="45"/>
    <s v="Pension Expenses (Non-Service)931"/>
    <n v="0"/>
  </r>
  <r>
    <x v="26"/>
    <x v="46"/>
    <s v="Pension Expenses (Non-Service)932"/>
    <n v="0"/>
  </r>
  <r>
    <x v="26"/>
    <x v="47"/>
    <s v="Pension Expenses (Non-Service)935"/>
    <n v="0"/>
  </r>
  <r>
    <x v="26"/>
    <x v="48"/>
    <m/>
    <n v="51698.020000000077"/>
  </r>
  <r>
    <x v="27"/>
    <x v="0"/>
    <s v="Pension Expenses (Service)801"/>
    <n v="0"/>
  </r>
  <r>
    <x v="27"/>
    <x v="1"/>
    <s v="Pension Expenses (Service)803"/>
    <n v="0"/>
  </r>
  <r>
    <x v="27"/>
    <x v="2"/>
    <s v="Pension Expenses (Service)804"/>
    <n v="0"/>
  </r>
  <r>
    <x v="27"/>
    <x v="3"/>
    <s v="Pension Expenses (Service)805"/>
    <n v="0"/>
  </r>
  <r>
    <x v="27"/>
    <x v="4"/>
    <s v="Pension Expenses (Service)806"/>
    <n v="0"/>
  </r>
  <r>
    <x v="27"/>
    <x v="5"/>
    <s v="Pension Expenses (Service)807"/>
    <n v="0"/>
  </r>
  <r>
    <x v="27"/>
    <x v="6"/>
    <s v="Pension Expenses (Service)808"/>
    <n v="0"/>
  </r>
  <r>
    <x v="27"/>
    <x v="7"/>
    <s v="Pension Expenses (Service)812"/>
    <n v="0"/>
  </r>
  <r>
    <x v="27"/>
    <x v="8"/>
    <s v="Pension Expenses (Service)870"/>
    <n v="0"/>
  </r>
  <r>
    <x v="27"/>
    <x v="9"/>
    <s v="Pension Expenses (Service)871"/>
    <n v="0"/>
  </r>
  <r>
    <x v="27"/>
    <x v="10"/>
    <s v="Pension Expenses (Service)874"/>
    <n v="-7.6499999999999932"/>
  </r>
  <r>
    <x v="27"/>
    <x v="11"/>
    <s v="Pension Expenses (Service)875"/>
    <n v="0"/>
  </r>
  <r>
    <x v="27"/>
    <x v="12"/>
    <s v="Pension Expenses (Service)876"/>
    <n v="0"/>
  </r>
  <r>
    <x v="27"/>
    <x v="13"/>
    <s v="Pension Expenses (Service)878"/>
    <n v="0"/>
  </r>
  <r>
    <x v="27"/>
    <x v="14"/>
    <s v="Pension Expenses (Service)879"/>
    <n v="0"/>
  </r>
  <r>
    <x v="27"/>
    <x v="15"/>
    <s v="Pension Expenses (Service)880"/>
    <n v="15.980000000000004"/>
  </r>
  <r>
    <x v="27"/>
    <x v="16"/>
    <s v="Pension Expenses (Service)881"/>
    <n v="0"/>
  </r>
  <r>
    <x v="27"/>
    <x v="17"/>
    <s v="Pension Expenses (Service)885"/>
    <n v="0"/>
  </r>
  <r>
    <x v="27"/>
    <x v="18"/>
    <s v="Pension Expenses (Service)886"/>
    <n v="0"/>
  </r>
  <r>
    <x v="27"/>
    <x v="19"/>
    <s v="Pension Expenses (Service)887"/>
    <n v="0"/>
  </r>
  <r>
    <x v="27"/>
    <x v="20"/>
    <s v="Pension Expenses (Service)889"/>
    <n v="0"/>
  </r>
  <r>
    <x v="27"/>
    <x v="21"/>
    <s v="Pension Expenses (Service)890"/>
    <n v="0"/>
  </r>
  <r>
    <x v="27"/>
    <x v="22"/>
    <s v="Pension Expenses (Service)892"/>
    <n v="0"/>
  </r>
  <r>
    <x v="27"/>
    <x v="23"/>
    <s v="Pension Expenses (Service)893"/>
    <n v="0"/>
  </r>
  <r>
    <x v="27"/>
    <x v="24"/>
    <s v="Pension Expenses (Service)894"/>
    <n v="0"/>
  </r>
  <r>
    <x v="27"/>
    <x v="25"/>
    <s v="Pension Expenses (Service)902"/>
    <n v="0"/>
  </r>
  <r>
    <x v="27"/>
    <x v="26"/>
    <s v="Pension Expenses (Service)903"/>
    <n v="0"/>
  </r>
  <r>
    <x v="27"/>
    <x v="27"/>
    <s v="Pension Expenses (Service)904"/>
    <n v="0"/>
  </r>
  <r>
    <x v="27"/>
    <x v="28"/>
    <s v="Pension Expenses (Service)905"/>
    <n v="0"/>
  </r>
  <r>
    <x v="27"/>
    <x v="29"/>
    <s v="Pension Expenses (Service)907"/>
    <n v="0"/>
  </r>
  <r>
    <x v="27"/>
    <x v="30"/>
    <s v="Pension Expenses (Service)908"/>
    <n v="0"/>
  </r>
  <r>
    <x v="27"/>
    <x v="31"/>
    <s v="Pension Expenses (Service)909"/>
    <n v="0"/>
  </r>
  <r>
    <x v="27"/>
    <x v="32"/>
    <s v="Pension Expenses (Service)910"/>
    <n v="0"/>
  </r>
  <r>
    <x v="27"/>
    <x v="33"/>
    <s v="Pension Expenses (Service)911"/>
    <n v="0"/>
  </r>
  <r>
    <x v="27"/>
    <x v="34"/>
    <s v="Pension Expenses (Service)912"/>
    <n v="0"/>
  </r>
  <r>
    <x v="27"/>
    <x v="35"/>
    <s v="Pension Expenses (Service)913"/>
    <n v="0"/>
  </r>
  <r>
    <x v="27"/>
    <x v="36"/>
    <s v="Pension Expenses (Service)920"/>
    <n v="0"/>
  </r>
  <r>
    <x v="27"/>
    <x v="37"/>
    <s v="Pension Expenses (Service)921"/>
    <n v="0"/>
  </r>
  <r>
    <x v="27"/>
    <x v="38"/>
    <s v="Pension Expenses (Service)923"/>
    <n v="0"/>
  </r>
  <r>
    <x v="27"/>
    <x v="39"/>
    <s v="Pension Expenses (Service)924"/>
    <n v="0"/>
  </r>
  <r>
    <x v="27"/>
    <x v="40"/>
    <s v="Pension Expenses (Service)925"/>
    <n v="0"/>
  </r>
  <r>
    <x v="27"/>
    <x v="41"/>
    <s v="Pension Expenses (Service)926"/>
    <n v="-4714.5500000000175"/>
  </r>
  <r>
    <x v="27"/>
    <x v="42"/>
    <s v="Pension Expenses (Service)928"/>
    <n v="0"/>
  </r>
  <r>
    <x v="27"/>
    <x v="49"/>
    <s v="Pension Expenses (Service)930"/>
    <n v="0"/>
  </r>
  <r>
    <x v="27"/>
    <x v="45"/>
    <s v="Pension Expenses (Service)931"/>
    <n v="0"/>
  </r>
  <r>
    <x v="27"/>
    <x v="46"/>
    <s v="Pension Expenses (Service)932"/>
    <n v="0"/>
  </r>
  <r>
    <x v="27"/>
    <x v="47"/>
    <s v="Pension Expenses (Service)935"/>
    <n v="0"/>
  </r>
  <r>
    <x v="27"/>
    <x v="48"/>
    <m/>
    <n v="-4706.2200000000175"/>
  </r>
  <r>
    <x v="28"/>
    <x v="0"/>
    <s v="Postage801"/>
    <n v="0"/>
  </r>
  <r>
    <x v="28"/>
    <x v="1"/>
    <s v="Postage803"/>
    <n v="0"/>
  </r>
  <r>
    <x v="28"/>
    <x v="2"/>
    <s v="Postage804"/>
    <n v="0"/>
  </r>
  <r>
    <x v="28"/>
    <x v="3"/>
    <s v="Postage805"/>
    <n v="0"/>
  </r>
  <r>
    <x v="28"/>
    <x v="4"/>
    <s v="Postage806"/>
    <n v="0"/>
  </r>
  <r>
    <x v="28"/>
    <x v="5"/>
    <s v="Postage807"/>
    <n v="0"/>
  </r>
  <r>
    <x v="28"/>
    <x v="6"/>
    <s v="Postage808"/>
    <n v="0"/>
  </r>
  <r>
    <x v="28"/>
    <x v="7"/>
    <s v="Postage812"/>
    <n v="0"/>
  </r>
  <r>
    <x v="28"/>
    <x v="8"/>
    <s v="Postage870"/>
    <n v="0"/>
  </r>
  <r>
    <x v="28"/>
    <x v="9"/>
    <s v="Postage871"/>
    <n v="0"/>
  </r>
  <r>
    <x v="28"/>
    <x v="10"/>
    <s v="Postage874"/>
    <n v="0"/>
  </r>
  <r>
    <x v="28"/>
    <x v="11"/>
    <s v="Postage875"/>
    <n v="0"/>
  </r>
  <r>
    <x v="28"/>
    <x v="12"/>
    <s v="Postage876"/>
    <n v="0"/>
  </r>
  <r>
    <x v="28"/>
    <x v="13"/>
    <s v="Postage878"/>
    <n v="0"/>
  </r>
  <r>
    <x v="28"/>
    <x v="14"/>
    <s v="Postage879"/>
    <n v="0"/>
  </r>
  <r>
    <x v="28"/>
    <x v="15"/>
    <s v="Postage880"/>
    <n v="0"/>
  </r>
  <r>
    <x v="28"/>
    <x v="16"/>
    <s v="Postage881"/>
    <n v="0"/>
  </r>
  <r>
    <x v="28"/>
    <x v="17"/>
    <s v="Postage885"/>
    <n v="0"/>
  </r>
  <r>
    <x v="28"/>
    <x v="18"/>
    <s v="Postage886"/>
    <n v="0"/>
  </r>
  <r>
    <x v="28"/>
    <x v="19"/>
    <s v="Postage887"/>
    <n v="0"/>
  </r>
  <r>
    <x v="28"/>
    <x v="20"/>
    <s v="Postage889"/>
    <n v="0"/>
  </r>
  <r>
    <x v="28"/>
    <x v="21"/>
    <s v="Postage890"/>
    <n v="0"/>
  </r>
  <r>
    <x v="28"/>
    <x v="22"/>
    <s v="Postage892"/>
    <n v="0"/>
  </r>
  <r>
    <x v="28"/>
    <x v="23"/>
    <s v="Postage893"/>
    <n v="0"/>
  </r>
  <r>
    <x v="28"/>
    <x v="24"/>
    <s v="Postage894"/>
    <n v="0"/>
  </r>
  <r>
    <x v="28"/>
    <x v="25"/>
    <s v="Postage902"/>
    <n v="0"/>
  </r>
  <r>
    <x v="28"/>
    <x v="26"/>
    <s v="Postage903"/>
    <n v="0"/>
  </r>
  <r>
    <x v="28"/>
    <x v="27"/>
    <s v="Postage904"/>
    <n v="0"/>
  </r>
  <r>
    <x v="28"/>
    <x v="28"/>
    <s v="Postage905"/>
    <n v="0"/>
  </r>
  <r>
    <x v="28"/>
    <x v="29"/>
    <s v="Postage907"/>
    <n v="0"/>
  </r>
  <r>
    <x v="28"/>
    <x v="30"/>
    <s v="Postage908"/>
    <n v="0"/>
  </r>
  <r>
    <x v="28"/>
    <x v="31"/>
    <s v="Postage909"/>
    <n v="0"/>
  </r>
  <r>
    <x v="28"/>
    <x v="32"/>
    <s v="Postage910"/>
    <n v="0"/>
  </r>
  <r>
    <x v="28"/>
    <x v="33"/>
    <s v="Postage911"/>
    <n v="0"/>
  </r>
  <r>
    <x v="28"/>
    <x v="34"/>
    <s v="Postage912"/>
    <n v="0"/>
  </r>
  <r>
    <x v="28"/>
    <x v="35"/>
    <s v="Postage913"/>
    <n v="0"/>
  </r>
  <r>
    <x v="28"/>
    <x v="36"/>
    <s v="Postage920"/>
    <n v="0"/>
  </r>
  <r>
    <x v="28"/>
    <x v="37"/>
    <s v="Postage921"/>
    <n v="0"/>
  </r>
  <r>
    <x v="28"/>
    <x v="38"/>
    <s v="Postage923"/>
    <n v="0"/>
  </r>
  <r>
    <x v="28"/>
    <x v="39"/>
    <s v="Postage924"/>
    <n v="0"/>
  </r>
  <r>
    <x v="28"/>
    <x v="40"/>
    <s v="Postage925"/>
    <n v="0"/>
  </r>
  <r>
    <x v="28"/>
    <x v="41"/>
    <s v="Postage926"/>
    <n v="0"/>
  </r>
  <r>
    <x v="28"/>
    <x v="42"/>
    <s v="Postage928"/>
    <n v="0"/>
  </r>
  <r>
    <x v="28"/>
    <x v="43"/>
    <s v="Postage9301"/>
    <n v="0"/>
  </r>
  <r>
    <x v="28"/>
    <x v="44"/>
    <s v="Postage9302"/>
    <n v="0"/>
  </r>
  <r>
    <x v="28"/>
    <x v="45"/>
    <s v="Postage931"/>
    <n v="0"/>
  </r>
  <r>
    <x v="28"/>
    <x v="46"/>
    <s v="Postage932"/>
    <n v="0"/>
  </r>
  <r>
    <x v="28"/>
    <x v="47"/>
    <s v="Postage935"/>
    <n v="0"/>
  </r>
  <r>
    <x v="28"/>
    <x v="48"/>
    <m/>
    <n v="0"/>
  </r>
  <r>
    <x v="29"/>
    <x v="0"/>
    <s v="Post-Employment Benefits - FAS112801"/>
    <n v="0"/>
  </r>
  <r>
    <x v="29"/>
    <x v="1"/>
    <s v="Post-Employment Benefits - FAS112803"/>
    <n v="0"/>
  </r>
  <r>
    <x v="29"/>
    <x v="2"/>
    <s v="Post-Employment Benefits - FAS112804"/>
    <n v="0"/>
  </r>
  <r>
    <x v="29"/>
    <x v="3"/>
    <s v="Post-Employment Benefits - FAS112805"/>
    <n v="0"/>
  </r>
  <r>
    <x v="29"/>
    <x v="4"/>
    <s v="Post-Employment Benefits - FAS112806"/>
    <n v="0"/>
  </r>
  <r>
    <x v="29"/>
    <x v="5"/>
    <s v="Post-Employment Benefits - FAS112807"/>
    <n v="0"/>
  </r>
  <r>
    <x v="29"/>
    <x v="6"/>
    <s v="Post-Employment Benefits - FAS112808"/>
    <n v="0"/>
  </r>
  <r>
    <x v="29"/>
    <x v="7"/>
    <s v="Post-Employment Benefits - FAS112812"/>
    <n v="0"/>
  </r>
  <r>
    <x v="29"/>
    <x v="8"/>
    <s v="Post-Employment Benefits - FAS112870"/>
    <n v="0"/>
  </r>
  <r>
    <x v="29"/>
    <x v="9"/>
    <s v="Post-Employment Benefits - FAS112871"/>
    <n v="0"/>
  </r>
  <r>
    <x v="29"/>
    <x v="10"/>
    <s v="Post-Employment Benefits - FAS112874"/>
    <n v="0"/>
  </r>
  <r>
    <x v="29"/>
    <x v="11"/>
    <s v="Post-Employment Benefits - FAS112875"/>
    <n v="0"/>
  </r>
  <r>
    <x v="29"/>
    <x v="12"/>
    <s v="Post-Employment Benefits - FAS112876"/>
    <n v="0"/>
  </r>
  <r>
    <x v="29"/>
    <x v="13"/>
    <s v="Post-Employment Benefits - FAS112878"/>
    <n v="0"/>
  </r>
  <r>
    <x v="29"/>
    <x v="14"/>
    <s v="Post-Employment Benefits - FAS112879"/>
    <n v="0"/>
  </r>
  <r>
    <x v="29"/>
    <x v="15"/>
    <s v="Post-Employment Benefits - FAS112880"/>
    <n v="0"/>
  </r>
  <r>
    <x v="29"/>
    <x v="16"/>
    <s v="Post-Employment Benefits - FAS112881"/>
    <n v="0"/>
  </r>
  <r>
    <x v="29"/>
    <x v="17"/>
    <s v="Post-Employment Benefits - FAS112885"/>
    <n v="0"/>
  </r>
  <r>
    <x v="29"/>
    <x v="18"/>
    <s v="Post-Employment Benefits - FAS112886"/>
    <n v="0"/>
  </r>
  <r>
    <x v="29"/>
    <x v="19"/>
    <s v="Post-Employment Benefits - FAS112887"/>
    <n v="0"/>
  </r>
  <r>
    <x v="29"/>
    <x v="20"/>
    <s v="Post-Employment Benefits - FAS112889"/>
    <n v="0"/>
  </r>
  <r>
    <x v="29"/>
    <x v="21"/>
    <s v="Post-Employment Benefits - FAS112890"/>
    <n v="0"/>
  </r>
  <r>
    <x v="29"/>
    <x v="22"/>
    <s v="Post-Employment Benefits - FAS112892"/>
    <n v="0"/>
  </r>
  <r>
    <x v="29"/>
    <x v="23"/>
    <s v="Post-Employment Benefits - FAS112893"/>
    <n v="0"/>
  </r>
  <r>
    <x v="29"/>
    <x v="24"/>
    <s v="Post-Employment Benefits - FAS112894"/>
    <n v="0"/>
  </r>
  <r>
    <x v="29"/>
    <x v="25"/>
    <s v="Post-Employment Benefits - FAS112902"/>
    <n v="0"/>
  </r>
  <r>
    <x v="29"/>
    <x v="26"/>
    <s v="Post-Employment Benefits - FAS112903"/>
    <n v="0"/>
  </r>
  <r>
    <x v="29"/>
    <x v="27"/>
    <s v="Post-Employment Benefits - FAS112904"/>
    <n v="0"/>
  </r>
  <r>
    <x v="29"/>
    <x v="28"/>
    <s v="Post-Employment Benefits - FAS112905"/>
    <n v="0"/>
  </r>
  <r>
    <x v="29"/>
    <x v="29"/>
    <s v="Post-Employment Benefits - FAS112907"/>
    <n v="0"/>
  </r>
  <r>
    <x v="29"/>
    <x v="30"/>
    <s v="Post-Employment Benefits - FAS112908"/>
    <n v="0"/>
  </r>
  <r>
    <x v="29"/>
    <x v="31"/>
    <s v="Post-Employment Benefits - FAS112909"/>
    <n v="0"/>
  </r>
  <r>
    <x v="29"/>
    <x v="32"/>
    <s v="Post-Employment Benefits - FAS112910"/>
    <n v="0"/>
  </r>
  <r>
    <x v="29"/>
    <x v="33"/>
    <s v="Post-Employment Benefits - FAS112911"/>
    <n v="0"/>
  </r>
  <r>
    <x v="29"/>
    <x v="34"/>
    <s v="Post-Employment Benefits - FAS112912"/>
    <n v="0"/>
  </r>
  <r>
    <x v="29"/>
    <x v="35"/>
    <s v="Post-Employment Benefits - FAS112913"/>
    <n v="0"/>
  </r>
  <r>
    <x v="29"/>
    <x v="36"/>
    <s v="Post-Employment Benefits - FAS112920"/>
    <n v="0"/>
  </r>
  <r>
    <x v="29"/>
    <x v="37"/>
    <s v="Post-Employment Benefits - FAS112921"/>
    <n v="0"/>
  </r>
  <r>
    <x v="29"/>
    <x v="38"/>
    <s v="Post-Employment Benefits - FAS112923"/>
    <n v="0"/>
  </r>
  <r>
    <x v="29"/>
    <x v="39"/>
    <s v="Post-Employment Benefits - FAS112924"/>
    <n v="0"/>
  </r>
  <r>
    <x v="29"/>
    <x v="40"/>
    <s v="Post-Employment Benefits - FAS112925"/>
    <n v="0"/>
  </r>
  <r>
    <x v="29"/>
    <x v="41"/>
    <s v="Post-Employment Benefits - FAS112926"/>
    <n v="-20233.37"/>
  </r>
  <r>
    <x v="29"/>
    <x v="42"/>
    <s v="Post-Employment Benefits - FAS112928"/>
    <n v="0"/>
  </r>
  <r>
    <x v="29"/>
    <x v="49"/>
    <s v="Post-Employment Benefits - FAS112930"/>
    <n v="0"/>
  </r>
  <r>
    <x v="29"/>
    <x v="45"/>
    <s v="Post-Employment Benefits - FAS112931"/>
    <n v="0"/>
  </r>
  <r>
    <x v="29"/>
    <x v="46"/>
    <s v="Post-Employment Benefits - FAS112932"/>
    <n v="0"/>
  </r>
  <r>
    <x v="29"/>
    <x v="47"/>
    <s v="Post-Employment Benefits - FAS112935"/>
    <n v="0"/>
  </r>
  <r>
    <x v="29"/>
    <x v="48"/>
    <m/>
    <n v="-20233.37"/>
  </r>
  <r>
    <x v="30"/>
    <x v="0"/>
    <s v="Profit Sharing801"/>
    <n v="0"/>
  </r>
  <r>
    <x v="30"/>
    <x v="1"/>
    <s v="Profit Sharing803"/>
    <n v="0"/>
  </r>
  <r>
    <x v="30"/>
    <x v="2"/>
    <s v="Profit Sharing804"/>
    <n v="0"/>
  </r>
  <r>
    <x v="30"/>
    <x v="3"/>
    <s v="Profit Sharing805"/>
    <n v="0"/>
  </r>
  <r>
    <x v="30"/>
    <x v="4"/>
    <s v="Profit Sharing806"/>
    <n v="0"/>
  </r>
  <r>
    <x v="30"/>
    <x v="5"/>
    <s v="Profit Sharing807"/>
    <n v="0"/>
  </r>
  <r>
    <x v="30"/>
    <x v="6"/>
    <s v="Profit Sharing808"/>
    <n v="0"/>
  </r>
  <r>
    <x v="30"/>
    <x v="7"/>
    <s v="Profit Sharing812"/>
    <n v="0"/>
  </r>
  <r>
    <x v="30"/>
    <x v="8"/>
    <s v="Profit Sharing870"/>
    <n v="0"/>
  </r>
  <r>
    <x v="30"/>
    <x v="9"/>
    <s v="Profit Sharing871"/>
    <n v="0"/>
  </r>
  <r>
    <x v="30"/>
    <x v="10"/>
    <s v="Profit Sharing874"/>
    <n v="0"/>
  </r>
  <r>
    <x v="30"/>
    <x v="11"/>
    <s v="Profit Sharing875"/>
    <n v="0"/>
  </r>
  <r>
    <x v="30"/>
    <x v="12"/>
    <s v="Profit Sharing876"/>
    <n v="0"/>
  </r>
  <r>
    <x v="30"/>
    <x v="13"/>
    <s v="Profit Sharing878"/>
    <n v="0"/>
  </r>
  <r>
    <x v="30"/>
    <x v="14"/>
    <s v="Profit Sharing879"/>
    <n v="0"/>
  </r>
  <r>
    <x v="30"/>
    <x v="15"/>
    <s v="Profit Sharing880"/>
    <n v="0"/>
  </r>
  <r>
    <x v="30"/>
    <x v="16"/>
    <s v="Profit Sharing881"/>
    <n v="0"/>
  </r>
  <r>
    <x v="30"/>
    <x v="17"/>
    <s v="Profit Sharing885"/>
    <n v="0"/>
  </r>
  <r>
    <x v="30"/>
    <x v="18"/>
    <s v="Profit Sharing886"/>
    <n v="0"/>
  </r>
  <r>
    <x v="30"/>
    <x v="19"/>
    <s v="Profit Sharing887"/>
    <n v="0"/>
  </r>
  <r>
    <x v="30"/>
    <x v="20"/>
    <s v="Profit Sharing889"/>
    <n v="0"/>
  </r>
  <r>
    <x v="30"/>
    <x v="21"/>
    <s v="Profit Sharing890"/>
    <n v="0"/>
  </r>
  <r>
    <x v="30"/>
    <x v="22"/>
    <s v="Profit Sharing892"/>
    <n v="0"/>
  </r>
  <r>
    <x v="30"/>
    <x v="23"/>
    <s v="Profit Sharing893"/>
    <n v="0"/>
  </r>
  <r>
    <x v="30"/>
    <x v="24"/>
    <s v="Profit Sharing894"/>
    <n v="0"/>
  </r>
  <r>
    <x v="30"/>
    <x v="25"/>
    <s v="Profit Sharing902"/>
    <n v="0"/>
  </r>
  <r>
    <x v="30"/>
    <x v="26"/>
    <s v="Profit Sharing903"/>
    <n v="0"/>
  </r>
  <r>
    <x v="30"/>
    <x v="27"/>
    <s v="Profit Sharing904"/>
    <n v="0"/>
  </r>
  <r>
    <x v="30"/>
    <x v="28"/>
    <s v="Profit Sharing905"/>
    <n v="0"/>
  </r>
  <r>
    <x v="30"/>
    <x v="29"/>
    <s v="Profit Sharing907"/>
    <n v="0"/>
  </r>
  <r>
    <x v="30"/>
    <x v="30"/>
    <s v="Profit Sharing908"/>
    <n v="0"/>
  </r>
  <r>
    <x v="30"/>
    <x v="31"/>
    <s v="Profit Sharing909"/>
    <n v="0"/>
  </r>
  <r>
    <x v="30"/>
    <x v="32"/>
    <s v="Profit Sharing910"/>
    <n v="0"/>
  </r>
  <r>
    <x v="30"/>
    <x v="33"/>
    <s v="Profit Sharing911"/>
    <n v="0"/>
  </r>
  <r>
    <x v="30"/>
    <x v="34"/>
    <s v="Profit Sharing912"/>
    <n v="0"/>
  </r>
  <r>
    <x v="30"/>
    <x v="35"/>
    <s v="Profit Sharing913"/>
    <n v="0"/>
  </r>
  <r>
    <x v="30"/>
    <x v="36"/>
    <s v="Profit Sharing920"/>
    <n v="0"/>
  </r>
  <r>
    <x v="30"/>
    <x v="37"/>
    <s v="Profit Sharing921"/>
    <n v="0"/>
  </r>
  <r>
    <x v="30"/>
    <x v="38"/>
    <s v="Profit Sharing923"/>
    <n v="0"/>
  </r>
  <r>
    <x v="30"/>
    <x v="39"/>
    <s v="Profit Sharing924"/>
    <n v="0"/>
  </r>
  <r>
    <x v="30"/>
    <x v="40"/>
    <s v="Profit Sharing925"/>
    <n v="0"/>
  </r>
  <r>
    <x v="30"/>
    <x v="41"/>
    <s v="Profit Sharing926"/>
    <n v="-61229.439999999988"/>
  </r>
  <r>
    <x v="30"/>
    <x v="42"/>
    <s v="Profit Sharing928"/>
    <n v="0"/>
  </r>
  <r>
    <x v="30"/>
    <x v="49"/>
    <s v="Profit Sharing930"/>
    <n v="0"/>
  </r>
  <r>
    <x v="30"/>
    <x v="45"/>
    <s v="Profit Sharing931"/>
    <n v="0"/>
  </r>
  <r>
    <x v="30"/>
    <x v="46"/>
    <s v="Profit Sharing932"/>
    <n v="0"/>
  </r>
  <r>
    <x v="30"/>
    <x v="47"/>
    <s v="Profit Sharing935"/>
    <n v="0"/>
  </r>
  <r>
    <x v="30"/>
    <x v="48"/>
    <m/>
    <n v="-61229.439999999988"/>
  </r>
  <r>
    <x v="31"/>
    <x v="0"/>
    <s v="Rents &amp; Leases (Buildings)801"/>
    <n v="0"/>
  </r>
  <r>
    <x v="31"/>
    <x v="1"/>
    <s v="Rents &amp; Leases (Buildings)803"/>
    <n v="0"/>
  </r>
  <r>
    <x v="31"/>
    <x v="2"/>
    <s v="Rents &amp; Leases (Buildings)804"/>
    <n v="0"/>
  </r>
  <r>
    <x v="31"/>
    <x v="3"/>
    <s v="Rents &amp; Leases (Buildings)805"/>
    <n v="0"/>
  </r>
  <r>
    <x v="31"/>
    <x v="4"/>
    <s v="Rents &amp; Leases (Buildings)806"/>
    <n v="0"/>
  </r>
  <r>
    <x v="31"/>
    <x v="5"/>
    <s v="Rents &amp; Leases (Buildings)807"/>
    <n v="0"/>
  </r>
  <r>
    <x v="31"/>
    <x v="6"/>
    <s v="Rents &amp; Leases (Buildings)808"/>
    <n v="0"/>
  </r>
  <r>
    <x v="31"/>
    <x v="7"/>
    <s v="Rents &amp; Leases (Buildings)812"/>
    <n v="0"/>
  </r>
  <r>
    <x v="31"/>
    <x v="8"/>
    <s v="Rents &amp; Leases (Buildings)870"/>
    <n v="0"/>
  </r>
  <r>
    <x v="31"/>
    <x v="9"/>
    <s v="Rents &amp; Leases (Buildings)871"/>
    <n v="0"/>
  </r>
  <r>
    <x v="31"/>
    <x v="10"/>
    <s v="Rents &amp; Leases (Buildings)874"/>
    <n v="0"/>
  </r>
  <r>
    <x v="31"/>
    <x v="11"/>
    <s v="Rents &amp; Leases (Buildings)875"/>
    <n v="0"/>
  </r>
  <r>
    <x v="31"/>
    <x v="12"/>
    <s v="Rents &amp; Leases (Buildings)876"/>
    <n v="0"/>
  </r>
  <r>
    <x v="31"/>
    <x v="13"/>
    <s v="Rents &amp; Leases (Buildings)878"/>
    <n v="0"/>
  </r>
  <r>
    <x v="31"/>
    <x v="14"/>
    <s v="Rents &amp; Leases (Buildings)879"/>
    <n v="0"/>
  </r>
  <r>
    <x v="31"/>
    <x v="15"/>
    <s v="Rents &amp; Leases (Buildings)880"/>
    <n v="0"/>
  </r>
  <r>
    <x v="31"/>
    <x v="16"/>
    <s v="Rents &amp; Leases (Buildings)881"/>
    <n v="-4306.1500000000015"/>
  </r>
  <r>
    <x v="31"/>
    <x v="17"/>
    <s v="Rents &amp; Leases (Buildings)885"/>
    <n v="0"/>
  </r>
  <r>
    <x v="31"/>
    <x v="18"/>
    <s v="Rents &amp; Leases (Buildings)886"/>
    <n v="0"/>
  </r>
  <r>
    <x v="31"/>
    <x v="19"/>
    <s v="Rents &amp; Leases (Buildings)887"/>
    <n v="0"/>
  </r>
  <r>
    <x v="31"/>
    <x v="20"/>
    <s v="Rents &amp; Leases (Buildings)889"/>
    <n v="0"/>
  </r>
  <r>
    <x v="31"/>
    <x v="21"/>
    <s v="Rents &amp; Leases (Buildings)890"/>
    <n v="0"/>
  </r>
  <r>
    <x v="31"/>
    <x v="22"/>
    <s v="Rents &amp; Leases (Buildings)892"/>
    <n v="0"/>
  </r>
  <r>
    <x v="31"/>
    <x v="23"/>
    <s v="Rents &amp; Leases (Buildings)893"/>
    <n v="0"/>
  </r>
  <r>
    <x v="31"/>
    <x v="24"/>
    <s v="Rents &amp; Leases (Buildings)894"/>
    <n v="0"/>
  </r>
  <r>
    <x v="31"/>
    <x v="25"/>
    <s v="Rents &amp; Leases (Buildings)902"/>
    <n v="0"/>
  </r>
  <r>
    <x v="31"/>
    <x v="26"/>
    <s v="Rents &amp; Leases (Buildings)903"/>
    <n v="0"/>
  </r>
  <r>
    <x v="31"/>
    <x v="27"/>
    <s v="Rents &amp; Leases (Buildings)904"/>
    <n v="0"/>
  </r>
  <r>
    <x v="31"/>
    <x v="28"/>
    <s v="Rents &amp; Leases (Buildings)905"/>
    <n v="0"/>
  </r>
  <r>
    <x v="31"/>
    <x v="29"/>
    <s v="Rents &amp; Leases (Buildings)907"/>
    <n v="0"/>
  </r>
  <r>
    <x v="31"/>
    <x v="30"/>
    <s v="Rents &amp; Leases (Buildings)908"/>
    <n v="0"/>
  </r>
  <r>
    <x v="31"/>
    <x v="31"/>
    <s v="Rents &amp; Leases (Buildings)909"/>
    <n v="0"/>
  </r>
  <r>
    <x v="31"/>
    <x v="32"/>
    <s v="Rents &amp; Leases (Buildings)910"/>
    <n v="0"/>
  </r>
  <r>
    <x v="31"/>
    <x v="33"/>
    <s v="Rents &amp; Leases (Buildings)911"/>
    <n v="0"/>
  </r>
  <r>
    <x v="31"/>
    <x v="34"/>
    <s v="Rents &amp; Leases (Buildings)912"/>
    <n v="0"/>
  </r>
  <r>
    <x v="31"/>
    <x v="35"/>
    <s v="Rents &amp; Leases (Buildings)913"/>
    <n v="0"/>
  </r>
  <r>
    <x v="31"/>
    <x v="36"/>
    <s v="Rents &amp; Leases (Buildings)920"/>
    <n v="0"/>
  </r>
  <r>
    <x v="31"/>
    <x v="37"/>
    <s v="Rents &amp; Leases (Buildings)921"/>
    <n v="0"/>
  </r>
  <r>
    <x v="31"/>
    <x v="38"/>
    <s v="Rents &amp; Leases (Buildings)923"/>
    <n v="0"/>
  </r>
  <r>
    <x v="31"/>
    <x v="39"/>
    <s v="Rents &amp; Leases (Buildings)924"/>
    <n v="0"/>
  </r>
  <r>
    <x v="31"/>
    <x v="40"/>
    <s v="Rents &amp; Leases (Buildings)925"/>
    <n v="0"/>
  </r>
  <r>
    <x v="31"/>
    <x v="41"/>
    <s v="Rents &amp; Leases (Buildings)926"/>
    <n v="0"/>
  </r>
  <r>
    <x v="31"/>
    <x v="42"/>
    <s v="Rents &amp; Leases (Buildings)928"/>
    <n v="0"/>
  </r>
  <r>
    <x v="31"/>
    <x v="43"/>
    <s v="Rents &amp; Leases (Buildings)9301"/>
    <n v="0"/>
  </r>
  <r>
    <x v="31"/>
    <x v="44"/>
    <s v="Rents &amp; Leases (Buildings)9302"/>
    <n v="18744.71"/>
  </r>
  <r>
    <x v="31"/>
    <x v="45"/>
    <s v="Rents &amp; Leases (Buildings)931"/>
    <n v="19232.280000000002"/>
  </r>
  <r>
    <x v="31"/>
    <x v="46"/>
    <s v="Rents &amp; Leases (Buildings)932"/>
    <n v="0"/>
  </r>
  <r>
    <x v="31"/>
    <x v="47"/>
    <s v="Rents &amp; Leases (Buildings)935"/>
    <n v="0"/>
  </r>
  <r>
    <x v="31"/>
    <x v="48"/>
    <s v="                     "/>
    <n v="33670.839999999997"/>
  </r>
  <r>
    <x v="32"/>
    <x v="0"/>
    <s v="Stock Compensation801"/>
    <n v="0"/>
  </r>
  <r>
    <x v="32"/>
    <x v="1"/>
    <s v="Stock Compensation803"/>
    <n v="0"/>
  </r>
  <r>
    <x v="32"/>
    <x v="2"/>
    <s v="Stock Compensation804"/>
    <n v="0"/>
  </r>
  <r>
    <x v="32"/>
    <x v="3"/>
    <s v="Stock Compensation805"/>
    <n v="0"/>
  </r>
  <r>
    <x v="32"/>
    <x v="4"/>
    <s v="Stock Compensation806"/>
    <n v="0"/>
  </r>
  <r>
    <x v="32"/>
    <x v="5"/>
    <s v="Stock Compensation807"/>
    <n v="0"/>
  </r>
  <r>
    <x v="32"/>
    <x v="6"/>
    <s v="Stock Compensation808"/>
    <n v="0"/>
  </r>
  <r>
    <x v="32"/>
    <x v="7"/>
    <s v="Stock Compensation812"/>
    <n v="0"/>
  </r>
  <r>
    <x v="32"/>
    <x v="8"/>
    <s v="Stock Compensation870"/>
    <n v="0"/>
  </r>
  <r>
    <x v="32"/>
    <x v="9"/>
    <s v="Stock Compensation871"/>
    <n v="0"/>
  </r>
  <r>
    <x v="32"/>
    <x v="10"/>
    <s v="Stock Compensation874"/>
    <n v="0"/>
  </r>
  <r>
    <x v="32"/>
    <x v="11"/>
    <s v="Stock Compensation875"/>
    <n v="0"/>
  </r>
  <r>
    <x v="32"/>
    <x v="12"/>
    <s v="Stock Compensation876"/>
    <n v="0"/>
  </r>
  <r>
    <x v="32"/>
    <x v="13"/>
    <s v="Stock Compensation878"/>
    <n v="0"/>
  </r>
  <r>
    <x v="32"/>
    <x v="14"/>
    <s v="Stock Compensation879"/>
    <n v="0"/>
  </r>
  <r>
    <x v="32"/>
    <x v="15"/>
    <s v="Stock Compensation880"/>
    <n v="0"/>
  </r>
  <r>
    <x v="32"/>
    <x v="16"/>
    <s v="Stock Compensation881"/>
    <n v="0"/>
  </r>
  <r>
    <x v="32"/>
    <x v="17"/>
    <s v="Stock Compensation885"/>
    <n v="0"/>
  </r>
  <r>
    <x v="32"/>
    <x v="18"/>
    <s v="Stock Compensation886"/>
    <n v="0"/>
  </r>
  <r>
    <x v="32"/>
    <x v="19"/>
    <s v="Stock Compensation887"/>
    <n v="0"/>
  </r>
  <r>
    <x v="32"/>
    <x v="20"/>
    <s v="Stock Compensation889"/>
    <n v="0"/>
  </r>
  <r>
    <x v="32"/>
    <x v="21"/>
    <s v="Stock Compensation890"/>
    <n v="0"/>
  </r>
  <r>
    <x v="32"/>
    <x v="22"/>
    <s v="Stock Compensation892"/>
    <n v="0"/>
  </r>
  <r>
    <x v="32"/>
    <x v="23"/>
    <s v="Stock Compensation893"/>
    <n v="0"/>
  </r>
  <r>
    <x v="32"/>
    <x v="24"/>
    <s v="Stock Compensation894"/>
    <n v="0"/>
  </r>
  <r>
    <x v="32"/>
    <x v="25"/>
    <s v="Stock Compensation902"/>
    <n v="0"/>
  </r>
  <r>
    <x v="32"/>
    <x v="26"/>
    <s v="Stock Compensation903"/>
    <n v="0"/>
  </r>
  <r>
    <x v="32"/>
    <x v="27"/>
    <s v="Stock Compensation904"/>
    <n v="0"/>
  </r>
  <r>
    <x v="32"/>
    <x v="28"/>
    <s v="Stock Compensation905"/>
    <n v="0"/>
  </r>
  <r>
    <x v="32"/>
    <x v="29"/>
    <s v="Stock Compensation907"/>
    <n v="0"/>
  </r>
  <r>
    <x v="32"/>
    <x v="30"/>
    <s v="Stock Compensation908"/>
    <n v="0"/>
  </r>
  <r>
    <x v="32"/>
    <x v="31"/>
    <s v="Stock Compensation909"/>
    <n v="0"/>
  </r>
  <r>
    <x v="32"/>
    <x v="32"/>
    <s v="Stock Compensation910"/>
    <n v="0"/>
  </r>
  <r>
    <x v="32"/>
    <x v="33"/>
    <s v="Stock Compensation911"/>
    <n v="0"/>
  </r>
  <r>
    <x v="32"/>
    <x v="34"/>
    <s v="Stock Compensation912"/>
    <n v="0"/>
  </r>
  <r>
    <x v="32"/>
    <x v="35"/>
    <s v="Stock Compensation913"/>
    <n v="0"/>
  </r>
  <r>
    <x v="32"/>
    <x v="36"/>
    <s v="Stock Compensation920"/>
    <n v="138346.46000000008"/>
  </r>
  <r>
    <x v="32"/>
    <x v="37"/>
    <s v="Stock Compensation921"/>
    <n v="0"/>
  </r>
  <r>
    <x v="32"/>
    <x v="38"/>
    <s v="Stock Compensation923"/>
    <n v="0"/>
  </r>
  <r>
    <x v="32"/>
    <x v="39"/>
    <s v="Stock Compensation924"/>
    <n v="0"/>
  </r>
  <r>
    <x v="32"/>
    <x v="40"/>
    <s v="Stock Compensation925"/>
    <n v="0"/>
  </r>
  <r>
    <x v="32"/>
    <x v="41"/>
    <s v="Stock Compensation926"/>
    <n v="3191.66"/>
  </r>
  <r>
    <x v="32"/>
    <x v="42"/>
    <s v="Stock Compensation928"/>
    <n v="0"/>
  </r>
  <r>
    <x v="32"/>
    <x v="49"/>
    <s v="Stock Compensation930"/>
    <n v="0"/>
  </r>
  <r>
    <x v="32"/>
    <x v="45"/>
    <s v="Stock Compensation931"/>
    <n v="0"/>
  </r>
  <r>
    <x v="32"/>
    <x v="46"/>
    <s v="Stock Compensation932"/>
    <n v="0"/>
  </r>
  <r>
    <x v="32"/>
    <x v="47"/>
    <s v="Stock Compensation935"/>
    <n v="0"/>
  </r>
  <r>
    <x v="32"/>
    <x v="48"/>
    <m/>
    <n v="141538.12000000008"/>
  </r>
  <r>
    <x v="33"/>
    <x v="0"/>
    <s v="Uncollectible Accounts - Non-Gas Cost801"/>
    <n v="0"/>
  </r>
  <r>
    <x v="33"/>
    <x v="1"/>
    <s v="Uncollectible Accounts - Non-Gas Cost803"/>
    <n v="0"/>
  </r>
  <r>
    <x v="33"/>
    <x v="2"/>
    <s v="Uncollectible Accounts - Non-Gas Cost804"/>
    <n v="0"/>
  </r>
  <r>
    <x v="33"/>
    <x v="3"/>
    <s v="Uncollectible Accounts - Non-Gas Cost805"/>
    <n v="0"/>
  </r>
  <r>
    <x v="33"/>
    <x v="4"/>
    <s v="Uncollectible Accounts - Non-Gas Cost806"/>
    <n v="0"/>
  </r>
  <r>
    <x v="33"/>
    <x v="5"/>
    <s v="Uncollectible Accounts - Non-Gas Cost807"/>
    <n v="0"/>
  </r>
  <r>
    <x v="33"/>
    <x v="6"/>
    <s v="Uncollectible Accounts - Non-Gas Cost808"/>
    <n v="0"/>
  </r>
  <r>
    <x v="33"/>
    <x v="7"/>
    <s v="Uncollectible Accounts - Non-Gas Cost812"/>
    <n v="0"/>
  </r>
  <r>
    <x v="33"/>
    <x v="8"/>
    <s v="Uncollectible Accounts - Non-Gas Cost870"/>
    <n v="0"/>
  </r>
  <r>
    <x v="33"/>
    <x v="9"/>
    <s v="Uncollectible Accounts - Non-Gas Cost871"/>
    <n v="0"/>
  </r>
  <r>
    <x v="33"/>
    <x v="10"/>
    <s v="Uncollectible Accounts - Non-Gas Cost874"/>
    <n v="0"/>
  </r>
  <r>
    <x v="33"/>
    <x v="11"/>
    <s v="Uncollectible Accounts - Non-Gas Cost875"/>
    <n v="0"/>
  </r>
  <r>
    <x v="33"/>
    <x v="12"/>
    <s v="Uncollectible Accounts - Non-Gas Cost876"/>
    <n v="0"/>
  </r>
  <r>
    <x v="33"/>
    <x v="13"/>
    <s v="Uncollectible Accounts - Non-Gas Cost878"/>
    <n v="0"/>
  </r>
  <r>
    <x v="33"/>
    <x v="14"/>
    <s v="Uncollectible Accounts - Non-Gas Cost879"/>
    <n v="0"/>
  </r>
  <r>
    <x v="33"/>
    <x v="15"/>
    <s v="Uncollectible Accounts - Non-Gas Cost880"/>
    <n v="0"/>
  </r>
  <r>
    <x v="33"/>
    <x v="16"/>
    <s v="Uncollectible Accounts - Non-Gas Cost881"/>
    <n v="0"/>
  </r>
  <r>
    <x v="33"/>
    <x v="17"/>
    <s v="Uncollectible Accounts - Non-Gas Cost885"/>
    <n v="0"/>
  </r>
  <r>
    <x v="33"/>
    <x v="18"/>
    <s v="Uncollectible Accounts - Non-Gas Cost886"/>
    <n v="0"/>
  </r>
  <r>
    <x v="33"/>
    <x v="19"/>
    <s v="Uncollectible Accounts - Non-Gas Cost887"/>
    <n v="0"/>
  </r>
  <r>
    <x v="33"/>
    <x v="20"/>
    <s v="Uncollectible Accounts - Non-Gas Cost889"/>
    <n v="0"/>
  </r>
  <r>
    <x v="33"/>
    <x v="21"/>
    <s v="Uncollectible Accounts - Non-Gas Cost890"/>
    <n v="0"/>
  </r>
  <r>
    <x v="33"/>
    <x v="22"/>
    <s v="Uncollectible Accounts - Non-Gas Cost892"/>
    <n v="0"/>
  </r>
  <r>
    <x v="33"/>
    <x v="23"/>
    <s v="Uncollectible Accounts - Non-Gas Cost893"/>
    <n v="0"/>
  </r>
  <r>
    <x v="33"/>
    <x v="24"/>
    <s v="Uncollectible Accounts - Non-Gas Cost894"/>
    <n v="0"/>
  </r>
  <r>
    <x v="33"/>
    <x v="25"/>
    <s v="Uncollectible Accounts - Non-Gas Cost902"/>
    <n v="0"/>
  </r>
  <r>
    <x v="33"/>
    <x v="26"/>
    <s v="Uncollectible Accounts - Non-Gas Cost903"/>
    <n v="0"/>
  </r>
  <r>
    <x v="33"/>
    <x v="27"/>
    <s v="Uncollectible Accounts - Non-Gas Cost904"/>
    <n v="-44320.840000000084"/>
  </r>
  <r>
    <x v="33"/>
    <x v="28"/>
    <s v="Uncollectible Accounts - Non-Gas Cost905"/>
    <n v="0"/>
  </r>
  <r>
    <x v="33"/>
    <x v="29"/>
    <s v="Uncollectible Accounts - Non-Gas Cost907"/>
    <n v="0"/>
  </r>
  <r>
    <x v="33"/>
    <x v="30"/>
    <s v="Uncollectible Accounts - Non-Gas Cost908"/>
    <n v="0"/>
  </r>
  <r>
    <x v="33"/>
    <x v="31"/>
    <s v="Uncollectible Accounts - Non-Gas Cost909"/>
    <n v="0"/>
  </r>
  <r>
    <x v="33"/>
    <x v="32"/>
    <s v="Uncollectible Accounts - Non-Gas Cost910"/>
    <n v="0"/>
  </r>
  <r>
    <x v="33"/>
    <x v="33"/>
    <s v="Uncollectible Accounts - Non-Gas Cost911"/>
    <n v="0"/>
  </r>
  <r>
    <x v="33"/>
    <x v="34"/>
    <s v="Uncollectible Accounts - Non-Gas Cost912"/>
    <n v="0"/>
  </r>
  <r>
    <x v="33"/>
    <x v="35"/>
    <s v="Uncollectible Accounts - Non-Gas Cost913"/>
    <n v="0"/>
  </r>
  <r>
    <x v="33"/>
    <x v="36"/>
    <s v="Uncollectible Accounts - Non-Gas Cost920"/>
    <n v="0"/>
  </r>
  <r>
    <x v="33"/>
    <x v="37"/>
    <s v="Uncollectible Accounts - Non-Gas Cost921"/>
    <n v="0"/>
  </r>
  <r>
    <x v="33"/>
    <x v="38"/>
    <s v="Uncollectible Accounts - Non-Gas Cost923"/>
    <n v="0"/>
  </r>
  <r>
    <x v="33"/>
    <x v="39"/>
    <s v="Uncollectible Accounts - Non-Gas Cost924"/>
    <n v="0"/>
  </r>
  <r>
    <x v="33"/>
    <x v="40"/>
    <s v="Uncollectible Accounts - Non-Gas Cost925"/>
    <n v="0"/>
  </r>
  <r>
    <x v="33"/>
    <x v="41"/>
    <s v="Uncollectible Accounts - Non-Gas Cost926"/>
    <n v="0"/>
  </r>
  <r>
    <x v="33"/>
    <x v="42"/>
    <s v="Uncollectible Accounts - Non-Gas Cost928"/>
    <n v="0"/>
  </r>
  <r>
    <x v="33"/>
    <x v="49"/>
    <s v="Uncollectible Accounts - Non-Gas Cost930"/>
    <n v="0"/>
  </r>
  <r>
    <x v="33"/>
    <x v="45"/>
    <s v="Uncollectible Accounts - Non-Gas Cost931"/>
    <n v="0"/>
  </r>
  <r>
    <x v="33"/>
    <x v="46"/>
    <s v="Uncollectible Accounts - Non-Gas Cost932"/>
    <n v="0"/>
  </r>
  <r>
    <x v="33"/>
    <x v="47"/>
    <s v="Uncollectible Accounts - Non-Gas Cost935"/>
    <n v="0"/>
  </r>
  <r>
    <x v="33"/>
    <x v="48"/>
    <m/>
    <n v="-44320.840000000084"/>
  </r>
  <r>
    <x v="34"/>
    <x v="0"/>
    <s v="Uncollectible Accounts - Gas Cost801"/>
    <n v="0"/>
  </r>
  <r>
    <x v="34"/>
    <x v="1"/>
    <s v="Uncollectible Accounts - Gas Cost803"/>
    <n v="0"/>
  </r>
  <r>
    <x v="34"/>
    <x v="2"/>
    <s v="Uncollectible Accounts - Gas Cost804"/>
    <n v="0"/>
  </r>
  <r>
    <x v="34"/>
    <x v="3"/>
    <s v="Uncollectible Accounts - Gas Cost805"/>
    <n v="0"/>
  </r>
  <r>
    <x v="34"/>
    <x v="4"/>
    <s v="Uncollectible Accounts - Gas Cost806"/>
    <n v="0"/>
  </r>
  <r>
    <x v="34"/>
    <x v="5"/>
    <s v="Uncollectible Accounts - Gas Cost807"/>
    <n v="0"/>
  </r>
  <r>
    <x v="34"/>
    <x v="6"/>
    <s v="Uncollectible Accounts - Gas Cost808"/>
    <n v="0"/>
  </r>
  <r>
    <x v="34"/>
    <x v="7"/>
    <s v="Uncollectible Accounts - Gas Cost812"/>
    <n v="0"/>
  </r>
  <r>
    <x v="34"/>
    <x v="8"/>
    <s v="Uncollectible Accounts - Gas Cost870"/>
    <n v="0"/>
  </r>
  <r>
    <x v="34"/>
    <x v="9"/>
    <s v="Uncollectible Accounts - Gas Cost871"/>
    <n v="0"/>
  </r>
  <r>
    <x v="34"/>
    <x v="10"/>
    <s v="Uncollectible Accounts - Gas Cost874"/>
    <n v="0"/>
  </r>
  <r>
    <x v="34"/>
    <x v="11"/>
    <s v="Uncollectible Accounts - Gas Cost875"/>
    <n v="0"/>
  </r>
  <r>
    <x v="34"/>
    <x v="12"/>
    <s v="Uncollectible Accounts - Gas Cost876"/>
    <n v="0"/>
  </r>
  <r>
    <x v="34"/>
    <x v="13"/>
    <s v="Uncollectible Accounts - Gas Cost878"/>
    <n v="0"/>
  </r>
  <r>
    <x v="34"/>
    <x v="14"/>
    <s v="Uncollectible Accounts - Gas Cost879"/>
    <n v="0"/>
  </r>
  <r>
    <x v="34"/>
    <x v="15"/>
    <s v="Uncollectible Accounts - Gas Cost880"/>
    <n v="0"/>
  </r>
  <r>
    <x v="34"/>
    <x v="16"/>
    <s v="Uncollectible Accounts - Gas Cost881"/>
    <n v="0"/>
  </r>
  <r>
    <x v="34"/>
    <x v="17"/>
    <s v="Uncollectible Accounts - Gas Cost885"/>
    <n v="0"/>
  </r>
  <r>
    <x v="34"/>
    <x v="18"/>
    <s v="Uncollectible Accounts - Gas Cost886"/>
    <n v="0"/>
  </r>
  <r>
    <x v="34"/>
    <x v="19"/>
    <s v="Uncollectible Accounts - Gas Cost887"/>
    <n v="0"/>
  </r>
  <r>
    <x v="34"/>
    <x v="20"/>
    <s v="Uncollectible Accounts - Gas Cost889"/>
    <n v="0"/>
  </r>
  <r>
    <x v="34"/>
    <x v="21"/>
    <s v="Uncollectible Accounts - Gas Cost890"/>
    <n v="0"/>
  </r>
  <r>
    <x v="34"/>
    <x v="22"/>
    <s v="Uncollectible Accounts - Gas Cost892"/>
    <n v="0"/>
  </r>
  <r>
    <x v="34"/>
    <x v="23"/>
    <s v="Uncollectible Accounts - Gas Cost893"/>
    <n v="0"/>
  </r>
  <r>
    <x v="34"/>
    <x v="24"/>
    <s v="Uncollectible Accounts - Gas Cost894"/>
    <n v="0"/>
  </r>
  <r>
    <x v="34"/>
    <x v="25"/>
    <s v="Uncollectible Accounts - Gas Cost902"/>
    <n v="0"/>
  </r>
  <r>
    <x v="34"/>
    <x v="26"/>
    <s v="Uncollectible Accounts - Gas Cost903"/>
    <n v="0"/>
  </r>
  <r>
    <x v="34"/>
    <x v="27"/>
    <s v="Uncollectible Accounts - Gas Cost904"/>
    <n v="182915.50000000009"/>
  </r>
  <r>
    <x v="34"/>
    <x v="28"/>
    <s v="Uncollectible Accounts - Gas Cost905"/>
    <n v="0"/>
  </r>
  <r>
    <x v="34"/>
    <x v="29"/>
    <s v="Uncollectible Accounts - Gas Cost907"/>
    <n v="0"/>
  </r>
  <r>
    <x v="34"/>
    <x v="30"/>
    <s v="Uncollectible Accounts - Gas Cost908"/>
    <n v="0"/>
  </r>
  <r>
    <x v="34"/>
    <x v="31"/>
    <s v="Uncollectible Accounts - Gas Cost909"/>
    <n v="0"/>
  </r>
  <r>
    <x v="34"/>
    <x v="32"/>
    <s v="Uncollectible Accounts - Gas Cost910"/>
    <n v="0"/>
  </r>
  <r>
    <x v="34"/>
    <x v="33"/>
    <s v="Uncollectible Accounts - Gas Cost911"/>
    <n v="0"/>
  </r>
  <r>
    <x v="34"/>
    <x v="34"/>
    <s v="Uncollectible Accounts - Gas Cost912"/>
    <n v="0"/>
  </r>
  <r>
    <x v="34"/>
    <x v="35"/>
    <s v="Uncollectible Accounts - Gas Cost913"/>
    <n v="0"/>
  </r>
  <r>
    <x v="34"/>
    <x v="36"/>
    <s v="Uncollectible Accounts - Gas Cost920"/>
    <n v="0"/>
  </r>
  <r>
    <x v="34"/>
    <x v="37"/>
    <s v="Uncollectible Accounts - Gas Cost921"/>
    <n v="0"/>
  </r>
  <r>
    <x v="34"/>
    <x v="38"/>
    <s v="Uncollectible Accounts - Gas Cost923"/>
    <n v="0"/>
  </r>
  <r>
    <x v="34"/>
    <x v="39"/>
    <s v="Uncollectible Accounts - Gas Cost924"/>
    <n v="0"/>
  </r>
  <r>
    <x v="34"/>
    <x v="40"/>
    <s v="Uncollectible Accounts - Gas Cost925"/>
    <n v="0"/>
  </r>
  <r>
    <x v="34"/>
    <x v="41"/>
    <s v="Uncollectible Accounts - Gas Cost926"/>
    <n v="0"/>
  </r>
  <r>
    <x v="34"/>
    <x v="42"/>
    <s v="Uncollectible Accounts - Gas Cost928"/>
    <n v="0"/>
  </r>
  <r>
    <x v="34"/>
    <x v="49"/>
    <s v="Uncollectible Accounts - Gas Cost930"/>
    <n v="0"/>
  </r>
  <r>
    <x v="34"/>
    <x v="45"/>
    <s v="Uncollectible Accounts - Gas Cost931"/>
    <n v="0"/>
  </r>
  <r>
    <x v="34"/>
    <x v="46"/>
    <s v="Uncollectible Accounts - Gas Cost932"/>
    <n v="0"/>
  </r>
  <r>
    <x v="34"/>
    <x v="47"/>
    <s v="Uncollectible Accounts - Gas Cost935"/>
    <n v="0"/>
  </r>
  <r>
    <x v="34"/>
    <x v="48"/>
    <m/>
    <n v="182915.50000000009"/>
  </r>
  <r>
    <x v="35"/>
    <x v="0"/>
    <s v="Utilities801"/>
    <n v="0"/>
  </r>
  <r>
    <x v="35"/>
    <x v="1"/>
    <s v="Utilities803"/>
    <n v="0"/>
  </r>
  <r>
    <x v="35"/>
    <x v="2"/>
    <s v="Utilities804"/>
    <n v="0"/>
  </r>
  <r>
    <x v="35"/>
    <x v="3"/>
    <s v="Utilities805"/>
    <n v="0"/>
  </r>
  <r>
    <x v="35"/>
    <x v="4"/>
    <s v="Utilities806"/>
    <n v="0"/>
  </r>
  <r>
    <x v="35"/>
    <x v="5"/>
    <s v="Utilities807"/>
    <n v="0"/>
  </r>
  <r>
    <x v="35"/>
    <x v="6"/>
    <s v="Utilities808"/>
    <n v="0"/>
  </r>
  <r>
    <x v="35"/>
    <x v="7"/>
    <s v="Utilities812"/>
    <n v="0"/>
  </r>
  <r>
    <x v="35"/>
    <x v="59"/>
    <s v="Utilities813"/>
    <n v="0"/>
  </r>
  <r>
    <x v="35"/>
    <x v="55"/>
    <s v="Utilities852"/>
    <n v="48.400000000000006"/>
  </r>
  <r>
    <x v="35"/>
    <x v="8"/>
    <s v="Utilities870"/>
    <n v="0"/>
  </r>
  <r>
    <x v="35"/>
    <x v="9"/>
    <s v="Utilities871"/>
    <n v="0"/>
  </r>
  <r>
    <x v="35"/>
    <x v="10"/>
    <s v="Utilities874"/>
    <n v="3317.8399999999892"/>
  </r>
  <r>
    <x v="35"/>
    <x v="11"/>
    <s v="Utilities875"/>
    <n v="2597.8200000000006"/>
  </r>
  <r>
    <x v="35"/>
    <x v="12"/>
    <s v="Utilities876"/>
    <n v="0"/>
  </r>
  <r>
    <x v="35"/>
    <x v="13"/>
    <s v="Utilities878"/>
    <n v="0"/>
  </r>
  <r>
    <x v="35"/>
    <x v="14"/>
    <s v="Utilities879"/>
    <n v="0"/>
  </r>
  <r>
    <x v="35"/>
    <x v="15"/>
    <s v="Utilities880"/>
    <n v="104723.75999999998"/>
  </r>
  <r>
    <x v="35"/>
    <x v="16"/>
    <s v="Utilities881"/>
    <n v="0"/>
  </r>
  <r>
    <x v="35"/>
    <x v="17"/>
    <s v="Utilities885"/>
    <n v="0"/>
  </r>
  <r>
    <x v="35"/>
    <x v="18"/>
    <s v="Utilities886"/>
    <n v="3056.1999999999989"/>
  </r>
  <r>
    <x v="35"/>
    <x v="19"/>
    <s v="Utilities887"/>
    <n v="11280.5"/>
  </r>
  <r>
    <x v="35"/>
    <x v="20"/>
    <s v="Utilities889"/>
    <n v="0"/>
  </r>
  <r>
    <x v="35"/>
    <x v="21"/>
    <s v="Utilities890"/>
    <n v="0"/>
  </r>
  <r>
    <x v="35"/>
    <x v="22"/>
    <s v="Utilities892"/>
    <n v="0"/>
  </r>
  <r>
    <x v="35"/>
    <x v="23"/>
    <s v="Utilities893"/>
    <n v="0"/>
  </r>
  <r>
    <x v="35"/>
    <x v="24"/>
    <s v="Utilities894"/>
    <n v="0"/>
  </r>
  <r>
    <x v="35"/>
    <x v="25"/>
    <s v="Utilities902"/>
    <n v="0"/>
  </r>
  <r>
    <x v="35"/>
    <x v="26"/>
    <s v="Utilities903"/>
    <n v="0"/>
  </r>
  <r>
    <x v="35"/>
    <x v="27"/>
    <s v="Utilities904"/>
    <n v="0"/>
  </r>
  <r>
    <x v="35"/>
    <x v="28"/>
    <s v="Utilities905"/>
    <n v="3041.4899999999961"/>
  </r>
  <r>
    <x v="35"/>
    <x v="29"/>
    <s v="Utilities907"/>
    <n v="0"/>
  </r>
  <r>
    <x v="35"/>
    <x v="30"/>
    <s v="Utilities908"/>
    <n v="0"/>
  </r>
  <r>
    <x v="35"/>
    <x v="31"/>
    <s v="Utilities909"/>
    <n v="0"/>
  </r>
  <r>
    <x v="35"/>
    <x v="32"/>
    <s v="Utilities910"/>
    <n v="0"/>
  </r>
  <r>
    <x v="35"/>
    <x v="33"/>
    <s v="Utilities911"/>
    <n v="0"/>
  </r>
  <r>
    <x v="35"/>
    <x v="34"/>
    <s v="Utilities912"/>
    <n v="0"/>
  </r>
  <r>
    <x v="35"/>
    <x v="35"/>
    <s v="Utilities913"/>
    <n v="0"/>
  </r>
  <r>
    <x v="35"/>
    <x v="36"/>
    <s v="Utilities920"/>
    <n v="0"/>
  </r>
  <r>
    <x v="35"/>
    <x v="37"/>
    <s v="Utilities921"/>
    <n v="432135.52"/>
  </r>
  <r>
    <x v="35"/>
    <x v="38"/>
    <s v="Utilities923"/>
    <n v="338.34000000000003"/>
  </r>
  <r>
    <x v="35"/>
    <x v="39"/>
    <s v="Utilities924"/>
    <n v="0"/>
  </r>
  <r>
    <x v="35"/>
    <x v="40"/>
    <s v="Utilities925"/>
    <n v="0"/>
  </r>
  <r>
    <x v="35"/>
    <x v="41"/>
    <s v="Utilities926"/>
    <n v="0"/>
  </r>
  <r>
    <x v="35"/>
    <x v="42"/>
    <s v="Utilities928"/>
    <n v="0"/>
  </r>
  <r>
    <x v="35"/>
    <x v="49"/>
    <s v="Utilities930"/>
    <n v="0"/>
  </r>
  <r>
    <x v="35"/>
    <x v="45"/>
    <s v="Utilities931"/>
    <n v="0"/>
  </r>
  <r>
    <x v="35"/>
    <x v="46"/>
    <s v="Utilities932"/>
    <n v="0"/>
  </r>
  <r>
    <x v="35"/>
    <x v="47"/>
    <s v="Utilities935"/>
    <n v="0"/>
  </r>
  <r>
    <x v="35"/>
    <x v="48"/>
    <m/>
    <n v="560539.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4005A0-1ABC-47E9-AC16-689FCEC825BA}"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11:C70" firstHeaderRow="1" firstDataRow="1" firstDataCol="1" rowPageCount="1" colPageCount="1"/>
  <pivotFields count="4">
    <pivotField axis="axisPage" multipleItemSelectionAllowed="1" showAll="0">
      <items count="37">
        <item x="0"/>
        <item x="1"/>
        <item x="2"/>
        <item x="3"/>
        <item x="4"/>
        <item x="5"/>
        <item x="6"/>
        <item x="7"/>
        <item x="8"/>
        <item x="9"/>
        <item x="10"/>
        <item x="11"/>
        <item x="12"/>
        <item h="1" x="13"/>
        <item x="14"/>
        <item x="15"/>
        <item x="16"/>
        <item x="17"/>
        <item x="18"/>
        <item x="19"/>
        <item x="20"/>
        <item x="21"/>
        <item x="22"/>
        <item x="23"/>
        <item x="24"/>
        <item x="25"/>
        <item x="26"/>
        <item x="27"/>
        <item x="28"/>
        <item x="29"/>
        <item x="30"/>
        <item x="31"/>
        <item x="32"/>
        <item x="34"/>
        <item x="33"/>
        <item x="35"/>
        <item t="default"/>
      </items>
    </pivotField>
    <pivotField axis="axisRow" showAll="0" sortType="ascending">
      <items count="61">
        <item x="50"/>
        <item x="51"/>
        <item x="54"/>
        <item x="56"/>
        <item x="0"/>
        <item x="1"/>
        <item x="2"/>
        <item x="3"/>
        <item x="4"/>
        <item x="5"/>
        <item x="6"/>
        <item x="7"/>
        <item x="59"/>
        <item x="55"/>
        <item x="57"/>
        <item x="58"/>
        <item x="8"/>
        <item x="9"/>
        <item x="10"/>
        <item x="11"/>
        <item x="12"/>
        <item x="13"/>
        <item x="14"/>
        <item x="15"/>
        <item x="16"/>
        <item x="17"/>
        <item x="18"/>
        <item x="19"/>
        <item x="20"/>
        <item x="21"/>
        <item x="22"/>
        <item x="23"/>
        <item x="24"/>
        <item x="52"/>
        <item x="25"/>
        <item x="26"/>
        <item x="27"/>
        <item x="28"/>
        <item x="29"/>
        <item x="30"/>
        <item x="31"/>
        <item x="32"/>
        <item x="33"/>
        <item x="34"/>
        <item x="35"/>
        <item x="36"/>
        <item x="37"/>
        <item x="38"/>
        <item x="39"/>
        <item x="40"/>
        <item x="41"/>
        <item x="42"/>
        <item x="49"/>
        <item x="45"/>
        <item x="46"/>
        <item x="47"/>
        <item x="53"/>
        <item x="43"/>
        <item x="44"/>
        <item h="1" x="48"/>
        <item t="default"/>
      </items>
    </pivotField>
    <pivotField showAll="0"/>
    <pivotField dataField="1" numFmtId="167" showAll="0"/>
  </pivotFields>
  <rowFields count="1">
    <field x="1"/>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7"/>
    </i>
    <i>
      <x v="58"/>
    </i>
    <i t="grand">
      <x/>
    </i>
  </rowItems>
  <colItems count="1">
    <i/>
  </colItems>
  <pageFields count="1">
    <pageField fld="0" hier="-1"/>
  </pageFields>
  <dataFields count="1">
    <dataField name="Sum of Adjustments" fld="3" baseField="0" baseItem="0" numFmtId="167"/>
  </dataFields>
  <formats count="19">
    <format dxfId="18">
      <pivotArea type="all" dataOnly="0" outline="0" fieldPosition="0"/>
    </format>
    <format dxfId="17">
      <pivotArea outline="0" collapsedLevelsAreSubtotals="1" fieldPosition="0"/>
    </format>
    <format dxfId="16">
      <pivotArea field="1" type="button" dataOnly="0" labelOnly="1" outline="0" axis="axisRow" fieldPosition="0"/>
    </format>
    <format dxfId="15">
      <pivotArea dataOnly="0" labelOnly="1" fieldPosition="0">
        <references count="1">
          <reference field="1" count="50">
            <x v="1"/>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reference>
        </references>
      </pivotArea>
    </format>
    <format dxfId="14">
      <pivotArea dataOnly="0" labelOnly="1" fieldPosition="0">
        <references count="1">
          <reference field="1" count="6">
            <x v="53"/>
            <x v="54"/>
            <x v="55"/>
            <x v="56"/>
            <x v="57"/>
            <x v="58"/>
          </reference>
        </references>
      </pivotArea>
    </format>
    <format dxfId="13">
      <pivotArea dataOnly="0" labelOnly="1" grandRow="1" outline="0" fieldPosition="0"/>
    </format>
    <format dxfId="12">
      <pivotArea type="all" dataOnly="0" outline="0" fieldPosition="0"/>
    </format>
    <format dxfId="11">
      <pivotArea outline="0" collapsedLevelsAreSubtotals="1" fieldPosition="0"/>
    </format>
    <format dxfId="10">
      <pivotArea field="1" type="button" dataOnly="0" labelOnly="1" outline="0" axis="axisRow" fieldPosition="0"/>
    </format>
    <format dxfId="9">
      <pivotArea dataOnly="0" labelOnly="1" fieldPosition="0">
        <references count="1">
          <reference field="1" count="50">
            <x v="1"/>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reference>
        </references>
      </pivotArea>
    </format>
    <format dxfId="8">
      <pivotArea dataOnly="0" labelOnly="1" fieldPosition="0">
        <references count="1">
          <reference field="1" count="6">
            <x v="53"/>
            <x v="54"/>
            <x v="55"/>
            <x v="56"/>
            <x v="57"/>
            <x v="58"/>
          </reference>
        </references>
      </pivotArea>
    </format>
    <format dxfId="7">
      <pivotArea dataOnly="0" labelOnly="1" grandRow="1" outline="0" fieldPosition="0"/>
    </format>
    <format dxfId="6">
      <pivotArea outline="0" collapsedLevelsAreSubtotals="1" fieldPosition="0"/>
    </format>
    <format dxfId="5">
      <pivotArea outline="0" collapsedLevelsAreSubtotals="1" fieldPosition="0"/>
    </format>
    <format dxfId="4">
      <pivotArea dataOnly="0" labelOnly="1" outline="0" fieldPosition="0">
        <references count="1">
          <reference field="0" count="0"/>
        </references>
      </pivotArea>
    </format>
    <format dxfId="3">
      <pivotArea dataOnly="0" labelOnly="1" outline="0" axis="axisValues" fieldPosition="0"/>
    </format>
    <format dxfId="2">
      <pivotArea outline="0" collapsedLevelsAreSubtotals="1" fieldPosition="0"/>
    </format>
    <format dxfId="1">
      <pivotArea dataOnly="0" labelOnly="1" outline="0" fieldPosition="0">
        <references count="1">
          <reference field="0"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D193FB-D693-4F44-9A05-557E4A5573CB}" name="PivotTable2"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11:F47" firstHeaderRow="1" firstDataRow="1" firstDataCol="1" rowPageCount="1" colPageCount="1"/>
  <pivotFields count="4">
    <pivotField axis="axisRow" showAll="0">
      <items count="37">
        <item sd="0" x="0"/>
        <item sd="0" x="1"/>
        <item sd="0" x="2"/>
        <item sd="0" x="3"/>
        <item sd="0" x="4"/>
        <item sd="0" x="5"/>
        <item sd="0" x="6"/>
        <item sd="0" x="7"/>
        <item sd="0" x="8"/>
        <item sd="0" x="9"/>
        <item sd="0" x="10"/>
        <item sd="0" x="11"/>
        <item sd="0" x="12"/>
        <item h="1" sd="0" x="13"/>
        <item sd="0" x="14"/>
        <item sd="0" x="15"/>
        <item sd="0" x="16"/>
        <item sd="0" x="17"/>
        <item sd="0" x="18"/>
        <item sd="0" x="19"/>
        <item sd="0" x="20"/>
        <item sd="0" x="21"/>
        <item sd="0" x="22"/>
        <item sd="0" x="23"/>
        <item sd="0" x="24"/>
        <item sd="0" x="25"/>
        <item sd="0" x="26"/>
        <item sd="0" x="27"/>
        <item sd="0" x="28"/>
        <item sd="0" x="29"/>
        <item sd="0" x="30"/>
        <item sd="0" x="31"/>
        <item sd="0" x="32"/>
        <item sd="0" x="34"/>
        <item sd="0" x="33"/>
        <item sd="0" x="35"/>
        <item t="default"/>
      </items>
    </pivotField>
    <pivotField axis="axisPage" multipleItemSelectionAllowed="1" showAll="0">
      <items count="61">
        <item x="51"/>
        <item x="0"/>
        <item x="1"/>
        <item x="2"/>
        <item x="3"/>
        <item x="4"/>
        <item x="5"/>
        <item x="6"/>
        <item x="7"/>
        <item x="59"/>
        <item x="55"/>
        <item x="57"/>
        <item x="58"/>
        <item x="8"/>
        <item x="9"/>
        <item x="10"/>
        <item x="11"/>
        <item x="12"/>
        <item x="13"/>
        <item x="14"/>
        <item x="15"/>
        <item x="16"/>
        <item x="17"/>
        <item x="18"/>
        <item x="19"/>
        <item x="20"/>
        <item x="21"/>
        <item x="22"/>
        <item x="23"/>
        <item x="24"/>
        <item x="52"/>
        <item x="25"/>
        <item x="26"/>
        <item x="27"/>
        <item x="28"/>
        <item x="29"/>
        <item x="30"/>
        <item x="31"/>
        <item x="32"/>
        <item x="33"/>
        <item x="34"/>
        <item x="35"/>
        <item x="36"/>
        <item x="37"/>
        <item x="38"/>
        <item x="39"/>
        <item x="40"/>
        <item x="41"/>
        <item x="42"/>
        <item x="49"/>
        <item x="45"/>
        <item x="46"/>
        <item x="47"/>
        <item x="53"/>
        <item x="43"/>
        <item x="44"/>
        <item h="1" x="48"/>
        <item x="50"/>
        <item x="54"/>
        <item x="56"/>
        <item t="default"/>
      </items>
    </pivotField>
    <pivotField showAll="0"/>
    <pivotField dataField="1" numFmtId="167" showAll="0"/>
  </pivotFields>
  <rowFields count="1">
    <field x="0"/>
  </rowFields>
  <rowItems count="36">
    <i>
      <x/>
    </i>
    <i>
      <x v="1"/>
    </i>
    <i>
      <x v="2"/>
    </i>
    <i>
      <x v="3"/>
    </i>
    <i>
      <x v="4"/>
    </i>
    <i>
      <x v="5"/>
    </i>
    <i>
      <x v="6"/>
    </i>
    <i>
      <x v="7"/>
    </i>
    <i>
      <x v="8"/>
    </i>
    <i>
      <x v="9"/>
    </i>
    <i>
      <x v="10"/>
    </i>
    <i>
      <x v="11"/>
    </i>
    <i>
      <x v="12"/>
    </i>
    <i>
      <x v="14"/>
    </i>
    <i>
      <x v="15"/>
    </i>
    <i>
      <x v="16"/>
    </i>
    <i>
      <x v="17"/>
    </i>
    <i>
      <x v="18"/>
    </i>
    <i>
      <x v="19"/>
    </i>
    <i>
      <x v="20"/>
    </i>
    <i>
      <x v="21"/>
    </i>
    <i>
      <x v="22"/>
    </i>
    <i>
      <x v="23"/>
    </i>
    <i>
      <x v="24"/>
    </i>
    <i>
      <x v="25"/>
    </i>
    <i>
      <x v="26"/>
    </i>
    <i>
      <x v="27"/>
    </i>
    <i>
      <x v="28"/>
    </i>
    <i>
      <x v="29"/>
    </i>
    <i>
      <x v="30"/>
    </i>
    <i>
      <x v="31"/>
    </i>
    <i>
      <x v="32"/>
    </i>
    <i>
      <x v="33"/>
    </i>
    <i>
      <x v="34"/>
    </i>
    <i>
      <x v="35"/>
    </i>
    <i t="grand">
      <x/>
    </i>
  </rowItems>
  <colItems count="1">
    <i/>
  </colItems>
  <pageFields count="1">
    <pageField fld="1" hier="-1"/>
  </pageFields>
  <dataFields count="1">
    <dataField name="Sum of Adjustments" fld="3" baseField="0" baseItem="0" numFmtId="167"/>
  </dataFields>
  <formats count="11">
    <format dxfId="29">
      <pivotArea type="all" dataOnly="0" outline="0" fieldPosition="0"/>
    </format>
    <format dxfId="28">
      <pivotArea outline="0" collapsedLevelsAreSubtotals="1" fieldPosition="0"/>
    </format>
    <format dxfId="27">
      <pivotArea field="1" type="button" dataOnly="0" labelOnly="1" outline="0" axis="axisPage" fieldPosition="0"/>
    </format>
    <format dxfId="26">
      <pivotArea dataOnly="0" labelOnly="1" grandRow="1" outline="0" fieldPosition="0"/>
    </format>
    <format dxfId="25">
      <pivotArea dataOnly="0" labelOnly="1" outline="0" axis="axisValues" fieldPosition="0"/>
    </format>
    <format dxfId="24">
      <pivotArea type="all" dataOnly="0" outline="0" fieldPosition="0"/>
    </format>
    <format dxfId="23">
      <pivotArea outline="0" collapsedLevelsAreSubtotals="1" fieldPosition="0"/>
    </format>
    <format dxfId="22">
      <pivotArea field="1" type="button" dataOnly="0" labelOnly="1" outline="0" axis="axisPage" fieldPosition="0"/>
    </format>
    <format dxfId="21">
      <pivotArea dataOnly="0" labelOnly="1" grandRow="1" outline="0" fieldPosition="0"/>
    </format>
    <format dxfId="20">
      <pivotArea dataOnly="0" labelOnly="1" outline="0" axis="axisValues" fieldPosition="0"/>
    </format>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C:\Users\U123291\AppData\Roaming\Microsoft\Excel\1-O&amp;M%20Inc%20Stmnt%20&amp;%20CE%20to%20Acct%20Alloc%20WP%20Models\O&amp;M%20CE%20to%20Account%20Budget%20Allocation\CKY%20CE%20to%20Account%20Allocation%20(FTY%202025%20with%20BP%20thru%2012-23).xlsx"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file:///C:\Users\U123291\AppData\Roaming\Microsoft\Excel\1-O&amp;M%20Inc%20Stmnt%20&amp;%20CE%20to%20Acct%20Alloc%20WP%20Models\O&amp;M%20CE%20to%20Account%20Budget%20Allocation\CKY%20CE%20to%20Account%20Allocation%20(FTY%202025%20with%20BP%20thru%2012-23).xlsx"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K79"/>
  <sheetViews>
    <sheetView zoomScaleNormal="100" zoomScaleSheetLayoutView="100" workbookViewId="0">
      <selection activeCell="B45" sqref="B45"/>
    </sheetView>
  </sheetViews>
  <sheetFormatPr defaultColWidth="8.6640625" defaultRowHeight="12.75"/>
  <cols>
    <col min="1" max="1" width="59.6640625" style="10" bestFit="1" customWidth="1"/>
    <col min="2" max="2" width="120.6640625" style="18" bestFit="1" customWidth="1"/>
    <col min="3" max="16384" width="8.6640625" style="10"/>
  </cols>
  <sheetData>
    <row r="2" spans="1:11">
      <c r="A2" s="926" t="s">
        <v>1125</v>
      </c>
      <c r="B2" s="927"/>
    </row>
    <row r="4" spans="1:11">
      <c r="A4" s="10" t="s">
        <v>1109</v>
      </c>
      <c r="B4" s="18" t="s">
        <v>307</v>
      </c>
    </row>
    <row r="6" spans="1:11">
      <c r="A6" s="10" t="s">
        <v>1110</v>
      </c>
      <c r="B6" s="18" t="s">
        <v>2729</v>
      </c>
    </row>
    <row r="8" spans="1:11">
      <c r="A8" s="10" t="s">
        <v>683</v>
      </c>
      <c r="B8" s="18" t="s">
        <v>1497</v>
      </c>
    </row>
    <row r="9" spans="1:11">
      <c r="B9" s="1" t="str">
        <f>"BASE PERIOD: TWELVE MONTHS ENDED AUGUST 31, 2024"</f>
        <v>BASE PERIOD: TWELVE MONTHS ENDED AUGUST 31, 2024</v>
      </c>
      <c r="C9" s="1"/>
      <c r="D9" s="1"/>
      <c r="E9" s="1"/>
      <c r="F9" s="1"/>
      <c r="G9" s="1"/>
      <c r="H9" s="1"/>
      <c r="I9" s="1"/>
      <c r="J9" s="1"/>
      <c r="K9" s="1"/>
    </row>
    <row r="10" spans="1:11">
      <c r="B10" s="1" t="s">
        <v>1498</v>
      </c>
    </row>
    <row r="11" spans="1:11">
      <c r="B11" s="1" t="s">
        <v>1499</v>
      </c>
    </row>
    <row r="12" spans="1:11">
      <c r="B12" s="1" t="s">
        <v>1500</v>
      </c>
    </row>
    <row r="13" spans="1:11">
      <c r="B13" s="1" t="s">
        <v>1501</v>
      </c>
    </row>
    <row r="14" spans="1:11">
      <c r="B14" s="1"/>
    </row>
    <row r="15" spans="1:11">
      <c r="A15" s="10" t="s">
        <v>684</v>
      </c>
      <c r="B15" s="18" t="s">
        <v>1502</v>
      </c>
    </row>
    <row r="16" spans="1:11">
      <c r="B16" s="1" t="str">
        <f>"FORECASTED TEST PERIOD: TWELVE MONTHS ENDED DECEMBER 31, 2025"</f>
        <v>FORECASTED TEST PERIOD: TWELVE MONTHS ENDED DECEMBER 31, 2025</v>
      </c>
      <c r="C16" s="1"/>
      <c r="D16" s="1"/>
      <c r="E16" s="1"/>
      <c r="F16" s="1"/>
      <c r="G16" s="1"/>
      <c r="H16" s="1"/>
    </row>
    <row r="17" spans="1:11">
      <c r="B17" s="20" t="s">
        <v>1503</v>
      </c>
      <c r="C17" s="20"/>
      <c r="D17" s="20"/>
      <c r="E17" s="20"/>
      <c r="F17" s="20"/>
      <c r="G17" s="20"/>
      <c r="H17" s="20"/>
      <c r="I17" s="20"/>
      <c r="J17" s="20"/>
      <c r="K17" s="20"/>
    </row>
    <row r="18" spans="1:11">
      <c r="B18" s="1" t="s">
        <v>1504</v>
      </c>
      <c r="C18" s="20"/>
      <c r="D18" s="20"/>
      <c r="E18" s="20"/>
      <c r="F18" s="20"/>
      <c r="G18" s="20"/>
      <c r="H18" s="20"/>
      <c r="I18" s="20"/>
      <c r="J18" s="20"/>
      <c r="K18" s="20"/>
    </row>
    <row r="19" spans="1:11">
      <c r="B19" s="1" t="s">
        <v>1505</v>
      </c>
      <c r="C19" s="20"/>
      <c r="D19" s="20"/>
      <c r="E19" s="20"/>
      <c r="F19" s="20"/>
      <c r="G19" s="20"/>
      <c r="H19" s="20"/>
      <c r="I19" s="20"/>
      <c r="J19" s="20"/>
      <c r="K19" s="20"/>
    </row>
    <row r="21" spans="1:11">
      <c r="A21" s="10" t="s">
        <v>1132</v>
      </c>
      <c r="B21" s="18" t="s">
        <v>1506</v>
      </c>
    </row>
    <row r="22" spans="1:11">
      <c r="B22" s="18" t="s">
        <v>1507</v>
      </c>
    </row>
    <row r="23" spans="1:11">
      <c r="B23" s="140" t="s">
        <v>1756</v>
      </c>
    </row>
    <row r="24" spans="1:11">
      <c r="B24" s="140" t="s">
        <v>2273</v>
      </c>
    </row>
    <row r="26" spans="1:11">
      <c r="A26" s="10" t="s">
        <v>1134</v>
      </c>
      <c r="B26" s="22" t="s">
        <v>2482</v>
      </c>
    </row>
    <row r="27" spans="1:11">
      <c r="A27" s="10" t="s">
        <v>1128</v>
      </c>
      <c r="B27" s="18" t="s">
        <v>2483</v>
      </c>
    </row>
    <row r="29" spans="1:11">
      <c r="A29" s="10" t="s">
        <v>1131</v>
      </c>
      <c r="B29" s="18" t="s">
        <v>1508</v>
      </c>
    </row>
    <row r="30" spans="1:11">
      <c r="B30" s="22" t="s">
        <v>1509</v>
      </c>
    </row>
    <row r="31" spans="1:11">
      <c r="B31" s="22"/>
    </row>
    <row r="32" spans="1:11" ht="12" customHeight="1">
      <c r="A32" s="10" t="s">
        <v>2149</v>
      </c>
      <c r="B32" s="29" t="s">
        <v>2790</v>
      </c>
    </row>
    <row r="33" spans="1:2" ht="12" customHeight="1">
      <c r="B33" s="29" t="s">
        <v>3056</v>
      </c>
    </row>
    <row r="34" spans="1:2" ht="12" customHeight="1">
      <c r="B34" s="29" t="s">
        <v>3057</v>
      </c>
    </row>
    <row r="35" spans="1:2" ht="12" customHeight="1">
      <c r="B35" s="29"/>
    </row>
    <row r="36" spans="1:2" ht="12" customHeight="1">
      <c r="B36" s="29"/>
    </row>
    <row r="37" spans="1:2" ht="12" customHeight="1">
      <c r="A37" s="10" t="s">
        <v>1126</v>
      </c>
      <c r="B37" s="20" t="s">
        <v>687</v>
      </c>
    </row>
    <row r="38" spans="1:2" ht="12" customHeight="1">
      <c r="B38" s="20"/>
    </row>
    <row r="40" spans="1:2">
      <c r="A40" s="10" t="s">
        <v>1111</v>
      </c>
    </row>
    <row r="41" spans="1:2">
      <c r="A41" s="19" t="s">
        <v>1115</v>
      </c>
      <c r="B41" s="18" t="s">
        <v>1510</v>
      </c>
    </row>
    <row r="42" spans="1:2">
      <c r="A42" s="19" t="s">
        <v>1116</v>
      </c>
      <c r="B42" s="18" t="s">
        <v>1341</v>
      </c>
    </row>
    <row r="43" spans="1:2">
      <c r="A43" s="215" t="s">
        <v>1127</v>
      </c>
      <c r="B43" s="18" t="s">
        <v>2272</v>
      </c>
    </row>
    <row r="44" spans="1:2">
      <c r="A44" s="215" t="s">
        <v>2455</v>
      </c>
      <c r="B44" s="18" t="s">
        <v>2456</v>
      </c>
    </row>
    <row r="45" spans="1:2">
      <c r="A45" s="19" t="s">
        <v>1112</v>
      </c>
      <c r="B45" s="10" t="str">
        <f>+B41</f>
        <v>SHAEFFER</v>
      </c>
    </row>
    <row r="46" spans="1:2">
      <c r="A46" s="19" t="s">
        <v>1113</v>
      </c>
      <c r="B46" s="10" t="str">
        <f>+B45</f>
        <v>SHAEFFER</v>
      </c>
    </row>
    <row r="47" spans="1:2">
      <c r="A47" s="21" t="s">
        <v>1133</v>
      </c>
      <c r="B47" s="18" t="s">
        <v>2934</v>
      </c>
    </row>
    <row r="48" spans="1:2">
      <c r="A48" s="21" t="s">
        <v>1339</v>
      </c>
      <c r="B48" s="18" t="s">
        <v>1511</v>
      </c>
    </row>
    <row r="49" spans="1:2">
      <c r="A49" s="21" t="s">
        <v>1340</v>
      </c>
      <c r="B49" s="10" t="str">
        <f>+B47</f>
        <v>WOZNIAK</v>
      </c>
    </row>
    <row r="50" spans="1:2">
      <c r="A50" s="21" t="s">
        <v>1512</v>
      </c>
      <c r="B50" s="10" t="str">
        <f>+B48</f>
        <v>INSCHO</v>
      </c>
    </row>
    <row r="51" spans="1:2">
      <c r="A51" s="21" t="s">
        <v>2484</v>
      </c>
      <c r="B51" s="10" t="str">
        <f>+B50</f>
        <v>INSCHO</v>
      </c>
    </row>
    <row r="52" spans="1:2">
      <c r="A52" s="21" t="s">
        <v>2485</v>
      </c>
      <c r="B52" s="10" t="str">
        <f>+B41</f>
        <v>SHAEFFER</v>
      </c>
    </row>
    <row r="53" spans="1:2">
      <c r="A53" s="21" t="s">
        <v>2485</v>
      </c>
      <c r="B53" s="10" t="str">
        <f>+B47</f>
        <v>WOZNIAK</v>
      </c>
    </row>
    <row r="54" spans="1:2">
      <c r="A54" s="21" t="s">
        <v>2485</v>
      </c>
      <c r="B54" s="10" t="str">
        <f>+B48</f>
        <v>INSCHO</v>
      </c>
    </row>
    <row r="55" spans="1:2">
      <c r="A55" s="21" t="s">
        <v>2485</v>
      </c>
      <c r="B55" s="18" t="s">
        <v>2511</v>
      </c>
    </row>
    <row r="56" spans="1:2">
      <c r="A56" s="21" t="s">
        <v>2485</v>
      </c>
      <c r="B56" s="18" t="s">
        <v>2478</v>
      </c>
    </row>
    <row r="57" spans="1:2">
      <c r="A57" s="21" t="s">
        <v>2485</v>
      </c>
      <c r="B57" s="10" t="str">
        <f>+B43</f>
        <v>HARDING</v>
      </c>
    </row>
    <row r="58" spans="1:2">
      <c r="A58" s="19" t="s">
        <v>1114</v>
      </c>
      <c r="B58" s="10" t="str">
        <f>+B43</f>
        <v>HARDING</v>
      </c>
    </row>
    <row r="59" spans="1:2">
      <c r="A59" s="19" t="s">
        <v>1117</v>
      </c>
      <c r="B59" s="10" t="str">
        <f>+B41</f>
        <v>SHAEFFER</v>
      </c>
    </row>
    <row r="60" spans="1:2">
      <c r="A60" s="19"/>
      <c r="B60" s="10" t="str">
        <f>+B48</f>
        <v>INSCHO</v>
      </c>
    </row>
    <row r="61" spans="1:2">
      <c r="A61" s="19"/>
      <c r="B61" s="18" t="s">
        <v>2511</v>
      </c>
    </row>
    <row r="62" spans="1:2">
      <c r="A62" s="19"/>
      <c r="B62" s="18" t="s">
        <v>2478</v>
      </c>
    </row>
    <row r="63" spans="1:2">
      <c r="A63" s="19" t="s">
        <v>1118</v>
      </c>
      <c r="B63" s="10" t="str">
        <f>+B41</f>
        <v>SHAEFFER</v>
      </c>
    </row>
    <row r="64" spans="1:2">
      <c r="A64" s="19"/>
      <c r="B64" s="10" t="str">
        <f>B48</f>
        <v>INSCHO</v>
      </c>
    </row>
    <row r="65" spans="1:2">
      <c r="A65" s="19"/>
      <c r="B65" s="10" t="str">
        <f>B55</f>
        <v>KING</v>
      </c>
    </row>
    <row r="66" spans="1:2">
      <c r="A66" s="19"/>
      <c r="B66" s="10" t="str">
        <f>B56</f>
        <v>BLY</v>
      </c>
    </row>
    <row r="67" spans="1:2">
      <c r="A67" s="19"/>
      <c r="B67" s="18" t="s">
        <v>3046</v>
      </c>
    </row>
    <row r="68" spans="1:2">
      <c r="A68" s="19" t="s">
        <v>1119</v>
      </c>
      <c r="B68" s="18" t="s">
        <v>2478</v>
      </c>
    </row>
    <row r="69" spans="1:2">
      <c r="A69" s="19" t="s">
        <v>1120</v>
      </c>
      <c r="B69" s="10" t="str">
        <f>+B41</f>
        <v>SHAEFFER</v>
      </c>
    </row>
    <row r="70" spans="1:2">
      <c r="A70" s="19"/>
      <c r="B70" s="10" t="s">
        <v>1511</v>
      </c>
    </row>
    <row r="71" spans="1:2">
      <c r="A71" s="19"/>
      <c r="B71" s="10" t="str">
        <f>+B53</f>
        <v>WOZNIAK</v>
      </c>
    </row>
    <row r="72" spans="1:2">
      <c r="A72" s="19" t="s">
        <v>1121</v>
      </c>
      <c r="B72" s="18" t="s">
        <v>1130</v>
      </c>
    </row>
    <row r="73" spans="1:2">
      <c r="A73" s="19" t="s">
        <v>1122</v>
      </c>
      <c r="B73" s="10" t="str">
        <f>+B41</f>
        <v>SHAEFFER</v>
      </c>
    </row>
    <row r="74" spans="1:2">
      <c r="A74" s="19"/>
      <c r="B74" s="10" t="str">
        <f>+B42</f>
        <v>GORE</v>
      </c>
    </row>
    <row r="75" spans="1:2">
      <c r="A75" s="19"/>
      <c r="B75" s="10" t="str">
        <f>+B48</f>
        <v>INSCHO</v>
      </c>
    </row>
    <row r="76" spans="1:2">
      <c r="A76" s="19"/>
      <c r="B76" s="10" t="str">
        <f>+B72</f>
        <v>REA</v>
      </c>
    </row>
    <row r="77" spans="1:2">
      <c r="A77" s="19" t="s">
        <v>1123</v>
      </c>
      <c r="B77" s="18" t="s">
        <v>1343</v>
      </c>
    </row>
    <row r="78" spans="1:2">
      <c r="A78" s="19" t="s">
        <v>1124</v>
      </c>
      <c r="B78" s="10" t="str">
        <f>+B47</f>
        <v>WOZNIAK</v>
      </c>
    </row>
    <row r="79" spans="1:2">
      <c r="B79" s="10"/>
    </row>
  </sheetData>
  <printOptions horizontalCentered="1"/>
  <pageMargins left="0.5" right="0.5" top="0.75" bottom="0.5" header="0.3" footer="0.3"/>
  <pageSetup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0.5"/>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K59"/>
  <sheetViews>
    <sheetView zoomScaleNormal="100" zoomScaleSheetLayoutView="100" workbookViewId="0">
      <selection activeCell="E18" sqref="E18"/>
    </sheetView>
  </sheetViews>
  <sheetFormatPr defaultColWidth="9.33203125" defaultRowHeight="12.75"/>
  <cols>
    <col min="1" max="1" width="5.5" style="218" customWidth="1"/>
    <col min="2" max="2" width="1.6640625" style="218" customWidth="1"/>
    <col min="3" max="3" width="10.83203125" style="218" bestFit="1" customWidth="1"/>
    <col min="4" max="4" width="1.6640625" style="218" customWidth="1"/>
    <col min="5" max="5" width="119.83203125" style="218" customWidth="1"/>
    <col min="6" max="6" width="1.6640625" style="218" customWidth="1"/>
    <col min="7" max="7" width="35" style="218" bestFit="1"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F'!C28</f>
        <v>COMPANY DIRECT CHARITABLE CONTRIBUTIONS</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3007</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Index'!B60</f>
        <v xml:space="preserve">           INSCHO</v>
      </c>
    </row>
    <row r="12" spans="1:11">
      <c r="A12" s="880"/>
      <c r="B12" s="880"/>
      <c r="C12" s="880"/>
      <c r="D12" s="880"/>
      <c r="E12" s="880"/>
      <c r="F12" s="880"/>
      <c r="G12" s="880"/>
      <c r="H12" s="880"/>
      <c r="I12" s="880"/>
      <c r="J12" s="880"/>
      <c r="K12" s="880"/>
    </row>
    <row r="13" spans="1:11">
      <c r="G13" s="273"/>
      <c r="H13" s="273"/>
      <c r="I13" s="272" t="s">
        <v>315</v>
      </c>
      <c r="J13" s="272"/>
      <c r="K13" s="272" t="s">
        <v>651</v>
      </c>
    </row>
    <row r="14" spans="1:11">
      <c r="A14" s="219" t="s">
        <v>313</v>
      </c>
      <c r="B14" s="219"/>
      <c r="C14" s="219" t="s">
        <v>1006</v>
      </c>
      <c r="E14" s="219" t="s">
        <v>61</v>
      </c>
      <c r="G14" s="219"/>
      <c r="I14" s="219" t="s">
        <v>319</v>
      </c>
      <c r="J14" s="219"/>
      <c r="K14" s="219" t="s">
        <v>319</v>
      </c>
    </row>
    <row r="15" spans="1:11">
      <c r="A15" s="879" t="s">
        <v>316</v>
      </c>
      <c r="B15" s="879"/>
      <c r="C15" s="879" t="s">
        <v>574</v>
      </c>
      <c r="D15" s="880"/>
      <c r="E15" s="879" t="s">
        <v>374</v>
      </c>
      <c r="F15" s="880"/>
      <c r="G15" s="879" t="s">
        <v>318</v>
      </c>
      <c r="H15" s="880"/>
      <c r="I15" s="879" t="s">
        <v>444</v>
      </c>
      <c r="J15" s="879"/>
      <c r="K15" s="879" t="s">
        <v>444</v>
      </c>
    </row>
    <row r="16" spans="1:11">
      <c r="A16" s="270"/>
      <c r="B16" s="273"/>
      <c r="C16" s="270" t="s">
        <v>532</v>
      </c>
      <c r="D16" s="272"/>
      <c r="E16" s="270" t="s">
        <v>541</v>
      </c>
      <c r="F16" s="273"/>
      <c r="G16" s="270" t="s">
        <v>542</v>
      </c>
      <c r="H16" s="272"/>
      <c r="I16" s="270" t="s">
        <v>668</v>
      </c>
      <c r="J16" s="272"/>
      <c r="K16" s="270" t="s">
        <v>669</v>
      </c>
    </row>
    <row r="17" spans="1:11">
      <c r="C17" s="219"/>
    </row>
    <row r="18" spans="1:11">
      <c r="A18" s="219">
        <f>IF(ISBLANK(E18),"",COUNTA($E$18:E18))</f>
        <v>1</v>
      </c>
      <c r="C18" s="219"/>
      <c r="E18" s="260" t="s">
        <v>3083</v>
      </c>
    </row>
    <row r="19" spans="1:11">
      <c r="A19" s="219">
        <f>IF(ISBLANK(E19),"",COUNTA($E$18:E19))</f>
        <v>2</v>
      </c>
      <c r="C19" s="219">
        <v>921</v>
      </c>
      <c r="E19" s="278" t="s">
        <v>2521</v>
      </c>
      <c r="I19" s="222">
        <v>1995</v>
      </c>
      <c r="K19" s="222">
        <v>0</v>
      </c>
    </row>
    <row r="20" spans="1:11">
      <c r="A20" s="219">
        <f>IF(ISBLANK(E20),"",COUNTA($E$18:E20))</f>
        <v>3</v>
      </c>
      <c r="C20" s="219">
        <v>921</v>
      </c>
      <c r="E20" s="278" t="s">
        <v>2523</v>
      </c>
      <c r="I20" s="226">
        <v>448</v>
      </c>
      <c r="K20" s="226">
        <v>0</v>
      </c>
    </row>
    <row r="21" spans="1:11">
      <c r="A21" s="219">
        <f>IF(ISBLANK(E21),"",COUNTA($E$18:E21))</f>
        <v>4</v>
      </c>
      <c r="C21" s="219">
        <v>923</v>
      </c>
      <c r="E21" s="278" t="s">
        <v>2521</v>
      </c>
      <c r="I21" s="226">
        <v>1400</v>
      </c>
      <c r="K21" s="226">
        <v>0</v>
      </c>
    </row>
    <row r="22" spans="1:11">
      <c r="A22" s="219">
        <f>IF(ISBLANK(E22),"",COUNTA($E$18:E22))</f>
        <v>5</v>
      </c>
      <c r="C22" s="219">
        <v>930.2</v>
      </c>
      <c r="E22" s="278" t="s">
        <v>2528</v>
      </c>
      <c r="I22" s="226">
        <v>1115</v>
      </c>
      <c r="K22" s="226">
        <v>0</v>
      </c>
    </row>
    <row r="23" spans="1:11">
      <c r="A23" s="219">
        <f>IF(ISBLANK(E23),"",COUNTA($E$18:E23))</f>
        <v>6</v>
      </c>
      <c r="C23" s="219">
        <v>930.2</v>
      </c>
      <c r="E23" s="278" t="s">
        <v>2532</v>
      </c>
      <c r="I23" s="226">
        <v>625</v>
      </c>
      <c r="K23" s="226">
        <v>0</v>
      </c>
    </row>
    <row r="24" spans="1:11">
      <c r="A24" s="219">
        <f>IF(ISBLANK(E24),"",COUNTA($E$18:E24))</f>
        <v>7</v>
      </c>
      <c r="C24" s="219" t="s">
        <v>62</v>
      </c>
      <c r="E24" s="218" t="s">
        <v>2677</v>
      </c>
      <c r="I24" s="1162">
        <v>0</v>
      </c>
      <c r="K24" s="1162">
        <f>-K44</f>
        <v>24217.323570000004</v>
      </c>
    </row>
    <row r="25" spans="1:11">
      <c r="A25" s="219">
        <f>IF(ISBLANK(E25),"",COUNTA($E$18:E25))</f>
        <v>8</v>
      </c>
      <c r="C25" s="219"/>
      <c r="E25" s="276" t="s">
        <v>2676</v>
      </c>
      <c r="I25" s="275">
        <f>SUM(I19:I24)</f>
        <v>5583</v>
      </c>
      <c r="K25" s="275">
        <f>SUM(K19:K24)</f>
        <v>24217.323570000004</v>
      </c>
    </row>
    <row r="26" spans="1:11">
      <c r="A26" s="219" t="str">
        <f>IF(ISBLANK(E26),"",COUNTA($E$18:E26))</f>
        <v/>
      </c>
      <c r="C26" s="219"/>
    </row>
    <row r="27" spans="1:11">
      <c r="A27" s="219">
        <f>IF(ISBLANK(E27),"",COUNTA($E$18:E27))</f>
        <v>9</v>
      </c>
      <c r="C27" s="219"/>
      <c r="E27" s="260" t="s">
        <v>2675</v>
      </c>
    </row>
    <row r="28" spans="1:11">
      <c r="A28" s="219">
        <f>IF(ISBLANK(E28),"",COUNTA($E$18:E28))</f>
        <v>10</v>
      </c>
      <c r="C28" s="219">
        <v>921</v>
      </c>
      <c r="E28" s="278" t="s">
        <v>2570</v>
      </c>
      <c r="G28" s="39" t="str">
        <f>"Workpaper WPD-2.6G Line 6 &amp; 7"</f>
        <v>Workpaper WPD-2.6G Line 6 &amp; 7</v>
      </c>
      <c r="K28" s="231">
        <v>-251.48880000000003</v>
      </c>
    </row>
    <row r="29" spans="1:11">
      <c r="A29" s="219">
        <f>IF(ISBLANK(E29),"",COUNTA($E$18:E29))</f>
        <v>11</v>
      </c>
      <c r="C29" s="219">
        <v>921</v>
      </c>
      <c r="E29" s="278" t="s">
        <v>2571</v>
      </c>
      <c r="G29" s="39" t="str">
        <f>$G$28</f>
        <v>Workpaper WPD-2.6G Line 6 &amp; 7</v>
      </c>
      <c r="K29" s="231">
        <v>-733.50900000000001</v>
      </c>
    </row>
    <row r="30" spans="1:11">
      <c r="A30" s="219">
        <f>IF(ISBLANK(E30),"",COUNTA($E$18:E30))</f>
        <v>12</v>
      </c>
      <c r="C30" s="219">
        <v>921</v>
      </c>
      <c r="E30" s="278" t="s">
        <v>2572</v>
      </c>
      <c r="G30" s="39" t="str">
        <f t="shared" ref="G30:G43" si="0">$G$28</f>
        <v>Workpaper WPD-2.6G Line 6 &amp; 7</v>
      </c>
      <c r="K30" s="231">
        <v>-838.29600000000005</v>
      </c>
    </row>
    <row r="31" spans="1:11">
      <c r="A31" s="219">
        <f>IF(ISBLANK(E31),"",COUNTA($E$18:E31))</f>
        <v>13</v>
      </c>
      <c r="C31" s="219">
        <v>921</v>
      </c>
      <c r="E31" s="278" t="s">
        <v>2573</v>
      </c>
      <c r="G31" s="39" t="str">
        <f t="shared" si="0"/>
        <v>Workpaper WPD-2.6G Line 6 &amp; 7</v>
      </c>
      <c r="K31" s="231">
        <v>-628.72200000000009</v>
      </c>
    </row>
    <row r="32" spans="1:11">
      <c r="A32" s="219">
        <f>IF(ISBLANK(E32),"",COUNTA($E$18:E32))</f>
        <v>14</v>
      </c>
      <c r="C32" s="219">
        <v>921</v>
      </c>
      <c r="E32" s="278" t="s">
        <v>2574</v>
      </c>
      <c r="G32" s="39" t="str">
        <f t="shared" si="0"/>
        <v>Workpaper WPD-2.6G Line 6 &amp; 7</v>
      </c>
      <c r="K32" s="231">
        <v>-10094.131710000001</v>
      </c>
    </row>
    <row r="33" spans="1:11">
      <c r="A33" s="219">
        <f>IF(ISBLANK(E33),"",COUNTA($E$18:E33))</f>
        <v>15</v>
      </c>
      <c r="C33" s="219">
        <v>921</v>
      </c>
      <c r="E33" s="278" t="s">
        <v>2673</v>
      </c>
      <c r="G33" s="39" t="str">
        <f t="shared" si="0"/>
        <v>Workpaper WPD-2.6G Line 6 &amp; 7</v>
      </c>
      <c r="K33" s="231">
        <v>-435.91392000000002</v>
      </c>
    </row>
    <row r="34" spans="1:11">
      <c r="A34" s="219">
        <f>IF(ISBLANK(E34),"",COUNTA($E$18:E34))</f>
        <v>16</v>
      </c>
      <c r="C34" s="219">
        <v>921</v>
      </c>
      <c r="E34" s="278" t="s">
        <v>2575</v>
      </c>
      <c r="G34" s="39" t="str">
        <f t="shared" si="0"/>
        <v>Workpaper WPD-2.6G Line 6 &amp; 7</v>
      </c>
      <c r="K34" s="231">
        <v>-1477.4967000000001</v>
      </c>
    </row>
    <row r="35" spans="1:11">
      <c r="A35" s="219">
        <f>IF(ISBLANK(E35),"",COUNTA($E$18:E35))</f>
        <v>17</v>
      </c>
      <c r="C35" s="219">
        <v>921</v>
      </c>
      <c r="E35" s="278" t="s">
        <v>2576</v>
      </c>
      <c r="G35" s="39" t="str">
        <f t="shared" si="0"/>
        <v>Workpaper WPD-2.6G Line 6 &amp; 7</v>
      </c>
      <c r="K35" s="231">
        <v>-469.44576000000006</v>
      </c>
    </row>
    <row r="36" spans="1:11">
      <c r="A36" s="219">
        <f>IF(ISBLANK(E36),"",COUNTA($E$18:E36))</f>
        <v>18</v>
      </c>
      <c r="C36" s="219">
        <v>923</v>
      </c>
      <c r="E36" s="278" t="s">
        <v>2574</v>
      </c>
      <c r="G36" s="39" t="str">
        <f t="shared" si="0"/>
        <v>Workpaper WPD-2.6G Line 6 &amp; 7</v>
      </c>
      <c r="K36" s="231">
        <v>-1467.018</v>
      </c>
    </row>
    <row r="37" spans="1:11">
      <c r="A37" s="219">
        <f>IF(ISBLANK(E37),"",COUNTA($E$18:E37))</f>
        <v>19</v>
      </c>
      <c r="C37" s="219">
        <v>923</v>
      </c>
      <c r="E37" s="278" t="s">
        <v>2585</v>
      </c>
      <c r="G37" s="39" t="str">
        <f t="shared" si="0"/>
        <v>Workpaper WPD-2.6G Line 6 &amp; 7</v>
      </c>
      <c r="K37" s="258">
        <v>-1886.1660000000002</v>
      </c>
    </row>
    <row r="38" spans="1:11">
      <c r="A38" s="219">
        <f>IF(ISBLANK(E38),"",COUNTA($E$18:E38))</f>
        <v>20</v>
      </c>
      <c r="C38" s="219">
        <v>930.2</v>
      </c>
      <c r="E38" s="278" t="s">
        <v>2589</v>
      </c>
      <c r="G38" s="39" t="str">
        <f t="shared" si="0"/>
        <v>Workpaper WPD-2.6G Line 6 &amp; 7</v>
      </c>
      <c r="K38" s="231">
        <v>-382.47255000000001</v>
      </c>
    </row>
    <row r="39" spans="1:11">
      <c r="A39" s="219">
        <f>IF(ISBLANK(E39),"",COUNTA($E$18:E39))</f>
        <v>21</v>
      </c>
      <c r="C39" s="219">
        <v>930.2</v>
      </c>
      <c r="E39" s="278" t="s">
        <v>2590</v>
      </c>
      <c r="G39" s="39" t="str">
        <f t="shared" si="0"/>
        <v>Workpaper WPD-2.6G Line 6 &amp; 7</v>
      </c>
      <c r="K39" s="231">
        <v>-1168.3750500000001</v>
      </c>
    </row>
    <row r="40" spans="1:11">
      <c r="A40" s="219">
        <f>IF(ISBLANK(E40),"",COUNTA($E$18:E40))</f>
        <v>22</v>
      </c>
      <c r="C40" s="219">
        <v>930.2</v>
      </c>
      <c r="E40" s="278" t="s">
        <v>2591</v>
      </c>
      <c r="G40" s="39" t="str">
        <f t="shared" si="0"/>
        <v>Workpaper WPD-2.6G Line 6 &amp; 7</v>
      </c>
      <c r="K40" s="231">
        <v>-1440.8212500000002</v>
      </c>
    </row>
    <row r="41" spans="1:11">
      <c r="A41" s="219">
        <f>IF(ISBLANK(E41),"",COUNTA($E$18:E41))</f>
        <v>23</v>
      </c>
      <c r="C41" s="219">
        <v>930.2</v>
      </c>
      <c r="E41" s="278" t="s">
        <v>2594</v>
      </c>
      <c r="G41" s="39" t="str">
        <f t="shared" si="0"/>
        <v>Workpaper WPD-2.6G Line 6 &amp; 7</v>
      </c>
      <c r="K41" s="231">
        <v>-1083.49758</v>
      </c>
    </row>
    <row r="42" spans="1:11">
      <c r="A42" s="219">
        <f>IF(ISBLANK(E42),"",COUNTA($E$18:E42))</f>
        <v>24</v>
      </c>
      <c r="C42" s="219">
        <v>930.2</v>
      </c>
      <c r="E42" s="278" t="s">
        <v>2597</v>
      </c>
      <c r="G42" s="39" t="str">
        <f t="shared" si="0"/>
        <v>Workpaper WPD-2.6G Line 6 &amp; 7</v>
      </c>
      <c r="K42" s="231">
        <v>-523.93500000000006</v>
      </c>
    </row>
    <row r="43" spans="1:11">
      <c r="A43" s="219">
        <f>IF(ISBLANK(E43),"",COUNTA($E$18:E43))</f>
        <v>25</v>
      </c>
      <c r="C43" s="219">
        <v>930.2</v>
      </c>
      <c r="E43" s="278" t="s">
        <v>2598</v>
      </c>
      <c r="G43" s="39" t="str">
        <f t="shared" si="0"/>
        <v>Workpaper WPD-2.6G Line 6 &amp; 7</v>
      </c>
      <c r="K43" s="1163">
        <v>-1336.0342500000002</v>
      </c>
    </row>
    <row r="44" spans="1:11">
      <c r="A44" s="219">
        <f>IF(ISBLANK(E44),"",COUNTA($E$18:E44))</f>
        <v>26</v>
      </c>
      <c r="C44" s="219"/>
      <c r="E44" s="274" t="s">
        <v>2674</v>
      </c>
      <c r="K44" s="275">
        <f>SUM(K28:K43)</f>
        <v>-24217.323570000004</v>
      </c>
    </row>
    <row r="45" spans="1:11">
      <c r="A45" s="219" t="str">
        <f>IF(ISBLANK(E45),"",COUNTA($E$18:E45))</f>
        <v/>
      </c>
      <c r="C45" s="219"/>
      <c r="E45" s="274"/>
      <c r="K45" s="275"/>
    </row>
    <row r="46" spans="1:11">
      <c r="A46" s="219">
        <f>IF(ISBLANK(E46),"",COUNTA($E$18:E46))</f>
        <v>27</v>
      </c>
      <c r="C46" s="219"/>
      <c r="E46" s="276" t="s">
        <v>2668</v>
      </c>
      <c r="K46" s="275"/>
    </row>
    <row r="47" spans="1:11">
      <c r="A47" s="219">
        <f>IF(ISBLANK(E47),"",COUNTA($E$18:E47))</f>
        <v>28</v>
      </c>
      <c r="C47" s="219">
        <v>426</v>
      </c>
      <c r="E47" s="278" t="s">
        <v>2600</v>
      </c>
      <c r="I47" s="226">
        <v>350</v>
      </c>
      <c r="K47" s="226">
        <v>0</v>
      </c>
    </row>
    <row r="48" spans="1:11">
      <c r="A48" s="219">
        <f>IF(ISBLANK(E48),"",COUNTA($E$18:E48))</f>
        <v>29</v>
      </c>
      <c r="C48" s="219">
        <v>426</v>
      </c>
      <c r="E48" s="278" t="s">
        <v>2601</v>
      </c>
      <c r="I48" s="226">
        <v>750</v>
      </c>
      <c r="K48" s="226">
        <v>0</v>
      </c>
    </row>
    <row r="49" spans="1:11">
      <c r="A49" s="219">
        <f>IF(ISBLANK(E49),"",COUNTA($E$18:E49))</f>
        <v>30</v>
      </c>
      <c r="C49" s="219">
        <v>426</v>
      </c>
      <c r="E49" s="278" t="s">
        <v>2602</v>
      </c>
      <c r="I49" s="226">
        <v>800</v>
      </c>
      <c r="K49" s="226">
        <v>0</v>
      </c>
    </row>
    <row r="50" spans="1:11">
      <c r="A50" s="219">
        <f>IF(ISBLANK(E50),"",COUNTA($E$18:E50))</f>
        <v>31</v>
      </c>
      <c r="C50" s="219">
        <v>426</v>
      </c>
      <c r="E50" s="278" t="s">
        <v>2603</v>
      </c>
      <c r="I50" s="226">
        <v>442</v>
      </c>
      <c r="K50" s="226">
        <v>0</v>
      </c>
    </row>
    <row r="51" spans="1:11">
      <c r="A51" s="219">
        <f>IF(ISBLANK(E51),"",COUNTA($E$18:E51))</f>
        <v>32</v>
      </c>
      <c r="C51" s="219">
        <v>426</v>
      </c>
      <c r="E51" s="218" t="s">
        <v>2567</v>
      </c>
      <c r="I51" s="1162">
        <v>0</v>
      </c>
      <c r="K51" s="1162">
        <v>0</v>
      </c>
    </row>
    <row r="52" spans="1:11">
      <c r="A52" s="219">
        <f>IF(ISBLANK(E52),"",COUNTA($E$18:E52))</f>
        <v>33</v>
      </c>
      <c r="C52" s="219"/>
      <c r="E52" s="276" t="s">
        <v>2669</v>
      </c>
      <c r="I52" s="224">
        <f>SUM(I47:I51)</f>
        <v>2342</v>
      </c>
      <c r="K52" s="275">
        <f>SUM(K47:K51)</f>
        <v>0</v>
      </c>
    </row>
    <row r="53" spans="1:11">
      <c r="A53" s="219" t="str">
        <f>IF(ISBLANK(E53),"",COUNTA($E$18:E53))</f>
        <v/>
      </c>
      <c r="C53" s="219"/>
    </row>
    <row r="54" spans="1:11">
      <c r="A54" s="219">
        <f>IF(ISBLANK(E54),"",COUNTA($E$18:E54))</f>
        <v>34</v>
      </c>
      <c r="C54" s="219"/>
      <c r="E54" s="218" t="s">
        <v>2670</v>
      </c>
      <c r="I54" s="237">
        <f>I25+I44+I52</f>
        <v>7925</v>
      </c>
      <c r="K54" s="237">
        <f>K25+K44+K52</f>
        <v>0</v>
      </c>
    </row>
    <row r="55" spans="1:11">
      <c r="A55" s="219"/>
      <c r="C55" s="219"/>
      <c r="I55" s="242"/>
      <c r="K55" s="242"/>
    </row>
    <row r="56" spans="1:11">
      <c r="A56" s="219">
        <f>IF(ISBLANK(E56),"",COUNTA($E$18:E56))</f>
        <v>35</v>
      </c>
      <c r="C56" s="219"/>
      <c r="E56" s="274" t="s">
        <v>2554</v>
      </c>
      <c r="I56" s="242"/>
      <c r="K56" s="242"/>
    </row>
    <row r="57" spans="1:11">
      <c r="A57" s="219">
        <f>IF(ISBLANK(E57),"",COUNTA($E$18:E57))</f>
        <v>36</v>
      </c>
      <c r="C57" s="219"/>
      <c r="E57" s="1334" t="s">
        <v>2671</v>
      </c>
      <c r="F57" s="1334"/>
      <c r="G57" s="1334"/>
      <c r="H57" s="1334"/>
      <c r="I57" s="1334"/>
      <c r="J57" s="1334"/>
      <c r="K57" s="1334"/>
    </row>
    <row r="58" spans="1:11">
      <c r="A58" s="219">
        <f>IF(ISBLANK(E58),"",COUNTA($E$18:E58))</f>
        <v>37</v>
      </c>
      <c r="C58" s="219"/>
      <c r="E58" s="1334" t="s">
        <v>2663</v>
      </c>
      <c r="F58" s="1334"/>
      <c r="G58" s="1334"/>
      <c r="H58" s="1334"/>
      <c r="I58" s="1334"/>
      <c r="J58" s="1334"/>
      <c r="K58" s="1334"/>
    </row>
    <row r="59" spans="1:11">
      <c r="A59" s="219" t="str">
        <f>IF(ISBLANK(E59),"",COUNTA($E$18:E59))</f>
        <v/>
      </c>
      <c r="C59" s="219"/>
      <c r="E59" s="274"/>
    </row>
  </sheetData>
  <mergeCells count="7">
    <mergeCell ref="E58:K58"/>
    <mergeCell ref="A1:K1"/>
    <mergeCell ref="A2:K2"/>
    <mergeCell ref="A3:K3"/>
    <mergeCell ref="A4:K4"/>
    <mergeCell ref="A5:K5"/>
    <mergeCell ref="E57:K57"/>
  </mergeCells>
  <printOptions horizontalCentered="1"/>
  <pageMargins left="0.5" right="0.5" top="0.75" bottom="0.5" header="0.3" footer="0.3"/>
  <pageSetup scale="72"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K63"/>
  <sheetViews>
    <sheetView zoomScaleNormal="100" zoomScaleSheetLayoutView="100" workbookViewId="0">
      <selection activeCell="E21" sqref="E21"/>
    </sheetView>
  </sheetViews>
  <sheetFormatPr defaultColWidth="9.33203125" defaultRowHeight="12.75"/>
  <cols>
    <col min="1" max="1" width="6" style="218" customWidth="1"/>
    <col min="2" max="2" width="1.6640625" style="218" customWidth="1"/>
    <col min="3" max="3" width="11" style="218" customWidth="1"/>
    <col min="4" max="4" width="1.6640625" style="218" customWidth="1"/>
    <col min="5" max="5" width="118.1640625" style="218" customWidth="1"/>
    <col min="6" max="6" width="1.6640625" style="218" customWidth="1"/>
    <col min="7" max="7" width="37.5" style="218"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F'!C29</f>
        <v>NISOURCE SERVICE COMPANY ALLOCATED CHARITABLE CONTRIBUTIONS</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3008</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Index'!B61</f>
        <v xml:space="preserve">           KING</v>
      </c>
    </row>
    <row r="12" spans="1:11">
      <c r="K12" s="271" t="str">
        <f>"           "&amp;'General Headers Index'!B62</f>
        <v xml:space="preserve">           BLY</v>
      </c>
    </row>
    <row r="13" spans="1:11">
      <c r="A13" s="880"/>
      <c r="B13" s="880"/>
      <c r="C13" s="880"/>
      <c r="D13" s="880"/>
      <c r="E13" s="880"/>
      <c r="F13" s="880"/>
      <c r="G13" s="880"/>
      <c r="H13" s="880"/>
      <c r="I13" s="880"/>
      <c r="J13" s="880"/>
      <c r="K13" s="880"/>
    </row>
    <row r="14" spans="1:11">
      <c r="G14" s="273"/>
      <c r="H14" s="273"/>
      <c r="I14" s="272" t="s">
        <v>315</v>
      </c>
      <c r="J14" s="272"/>
      <c r="K14" s="272" t="s">
        <v>651</v>
      </c>
    </row>
    <row r="15" spans="1:11">
      <c r="A15" s="219" t="s">
        <v>313</v>
      </c>
      <c r="B15" s="219"/>
      <c r="C15" s="219" t="s">
        <v>1006</v>
      </c>
      <c r="E15" s="219" t="s">
        <v>61</v>
      </c>
      <c r="G15" s="219"/>
      <c r="I15" s="219" t="s">
        <v>319</v>
      </c>
      <c r="J15" s="219"/>
      <c r="K15" s="219" t="s">
        <v>319</v>
      </c>
    </row>
    <row r="16" spans="1:11">
      <c r="A16" s="879" t="s">
        <v>316</v>
      </c>
      <c r="B16" s="879"/>
      <c r="C16" s="879" t="s">
        <v>574</v>
      </c>
      <c r="D16" s="880"/>
      <c r="E16" s="879" t="s">
        <v>374</v>
      </c>
      <c r="F16" s="880"/>
      <c r="G16" s="879" t="s">
        <v>318</v>
      </c>
      <c r="H16" s="880"/>
      <c r="I16" s="879" t="s">
        <v>444</v>
      </c>
      <c r="J16" s="879"/>
      <c r="K16" s="879" t="s">
        <v>444</v>
      </c>
    </row>
    <row r="17" spans="1:11">
      <c r="A17" s="270"/>
      <c r="B17" s="273"/>
      <c r="C17" s="270" t="s">
        <v>532</v>
      </c>
      <c r="D17" s="272"/>
      <c r="E17" s="270" t="s">
        <v>541</v>
      </c>
      <c r="F17" s="273"/>
      <c r="G17" s="270" t="s">
        <v>542</v>
      </c>
      <c r="H17" s="272"/>
      <c r="I17" s="270" t="s">
        <v>668</v>
      </c>
      <c r="J17" s="272"/>
      <c r="K17" s="270" t="s">
        <v>669</v>
      </c>
    </row>
    <row r="18" spans="1:11">
      <c r="C18" s="219"/>
    </row>
    <row r="19" spans="1:11">
      <c r="A19" s="219">
        <f>IF(ISBLANK(E19),"",COUNTA($E$19:E19))</f>
        <v>1</v>
      </c>
      <c r="C19" s="219"/>
      <c r="E19" s="260" t="s">
        <v>3083</v>
      </c>
    </row>
    <row r="20" spans="1:11">
      <c r="A20" s="219">
        <f>IF(ISBLANK(E20),"",COUNTA($E$19:E20))</f>
        <v>2</v>
      </c>
      <c r="C20" s="219">
        <v>923</v>
      </c>
      <c r="E20" s="278" t="s">
        <v>2555</v>
      </c>
      <c r="I20" s="222">
        <v>522.83000000000004</v>
      </c>
      <c r="K20" s="222">
        <v>0</v>
      </c>
    </row>
    <row r="21" spans="1:11">
      <c r="A21" s="219">
        <f>IF(ISBLANK(E21),"",COUNTA($E$19:E21))</f>
        <v>3</v>
      </c>
      <c r="C21" s="219">
        <v>923</v>
      </c>
      <c r="E21" s="278" t="s">
        <v>2556</v>
      </c>
      <c r="I21" s="226">
        <v>199</v>
      </c>
      <c r="K21" s="226">
        <v>0</v>
      </c>
    </row>
    <row r="22" spans="1:11">
      <c r="A22" s="219">
        <f>IF(ISBLANK(E22),"",COUNTA($E$19:E22))</f>
        <v>4</v>
      </c>
      <c r="C22" s="219">
        <v>923</v>
      </c>
      <c r="E22" s="278" t="s">
        <v>2557</v>
      </c>
      <c r="I22" s="226">
        <v>2524.9399999999996</v>
      </c>
      <c r="K22" s="226">
        <v>0</v>
      </c>
    </row>
    <row r="23" spans="1:11">
      <c r="A23" s="219">
        <f>IF(ISBLANK(E23),"",COUNTA($E$19:E23))</f>
        <v>5</v>
      </c>
      <c r="C23" s="219">
        <v>923</v>
      </c>
      <c r="E23" s="278" t="s">
        <v>2558</v>
      </c>
      <c r="I23" s="226">
        <v>199</v>
      </c>
      <c r="K23" s="226">
        <v>0</v>
      </c>
    </row>
    <row r="24" spans="1:11">
      <c r="A24" s="219">
        <f>IF(ISBLANK(E24),"",COUNTA($E$19:E24))</f>
        <v>6</v>
      </c>
      <c r="C24" s="219">
        <v>923</v>
      </c>
      <c r="E24" s="278" t="s">
        <v>2672</v>
      </c>
      <c r="I24" s="226">
        <v>880.36999999999989</v>
      </c>
      <c r="K24" s="226">
        <v>0</v>
      </c>
    </row>
    <row r="25" spans="1:11">
      <c r="A25" s="219">
        <f>IF(ISBLANK(E25),"",COUNTA($E$19:E25))</f>
        <v>7</v>
      </c>
      <c r="C25" s="219">
        <v>923</v>
      </c>
      <c r="E25" s="278" t="s">
        <v>2559</v>
      </c>
      <c r="I25" s="226">
        <v>199</v>
      </c>
      <c r="K25" s="226">
        <v>0</v>
      </c>
    </row>
    <row r="26" spans="1:11">
      <c r="A26" s="219">
        <f>IF(ISBLANK(E26),"",COUNTA($E$19:E26))</f>
        <v>8</v>
      </c>
      <c r="C26" s="219">
        <v>923</v>
      </c>
      <c r="E26" s="278" t="s">
        <v>2560</v>
      </c>
      <c r="I26" s="226">
        <v>398</v>
      </c>
      <c r="K26" s="226">
        <v>0</v>
      </c>
    </row>
    <row r="27" spans="1:11">
      <c r="A27" s="219">
        <f>IF(ISBLANK(E27),"",COUNTA($E$19:E27))</f>
        <v>9</v>
      </c>
      <c r="C27" s="219">
        <v>923</v>
      </c>
      <c r="E27" s="278" t="s">
        <v>2561</v>
      </c>
      <c r="I27" s="226">
        <v>303</v>
      </c>
      <c r="K27" s="226">
        <v>0</v>
      </c>
    </row>
    <row r="28" spans="1:11">
      <c r="A28" s="219">
        <f>IF(ISBLANK(E28),"",COUNTA($E$19:E28))</f>
        <v>10</v>
      </c>
      <c r="C28" s="219">
        <v>923</v>
      </c>
      <c r="E28" s="278" t="s">
        <v>2562</v>
      </c>
      <c r="I28" s="226">
        <v>199</v>
      </c>
      <c r="K28" s="226">
        <v>0</v>
      </c>
    </row>
    <row r="29" spans="1:11">
      <c r="A29" s="219">
        <f>IF(ISBLANK(E29),"",COUNTA($E$19:E29))</f>
        <v>11</v>
      </c>
      <c r="C29" s="219">
        <v>923</v>
      </c>
      <c r="E29" s="278" t="s">
        <v>2563</v>
      </c>
      <c r="I29" s="226">
        <v>4.58</v>
      </c>
      <c r="K29" s="226">
        <v>0</v>
      </c>
    </row>
    <row r="30" spans="1:11">
      <c r="A30" s="219">
        <f>IF(ISBLANK(E30),"",COUNTA($E$19:E30))</f>
        <v>12</v>
      </c>
      <c r="C30" s="219">
        <v>923</v>
      </c>
      <c r="E30" s="278" t="s">
        <v>2564</v>
      </c>
      <c r="I30" s="226">
        <v>597</v>
      </c>
      <c r="K30" s="226">
        <v>0</v>
      </c>
    </row>
    <row r="31" spans="1:11">
      <c r="A31" s="219">
        <f>IF(ISBLANK(E31),"",COUNTA($E$19:E31))</f>
        <v>13</v>
      </c>
      <c r="C31" s="219">
        <v>923</v>
      </c>
      <c r="E31" s="278" t="s">
        <v>2565</v>
      </c>
      <c r="I31" s="226">
        <v>497.5</v>
      </c>
      <c r="K31" s="226">
        <v>0</v>
      </c>
    </row>
    <row r="32" spans="1:11">
      <c r="A32" s="219">
        <f>IF(ISBLANK(E32),"",COUNTA($E$19:E32))</f>
        <v>14</v>
      </c>
      <c r="C32" s="219">
        <v>930.1</v>
      </c>
      <c r="E32" s="278" t="s">
        <v>2526</v>
      </c>
      <c r="I32" s="226">
        <v>379.41</v>
      </c>
      <c r="K32" s="226">
        <v>0</v>
      </c>
    </row>
    <row r="33" spans="1:11">
      <c r="A33" s="219">
        <f>IF(ISBLANK(E33),"",COUNTA($E$19:E33))</f>
        <v>15</v>
      </c>
      <c r="C33" s="219">
        <v>930.1</v>
      </c>
      <c r="E33" s="278" t="s">
        <v>2672</v>
      </c>
      <c r="I33" s="226">
        <v>966.34</v>
      </c>
      <c r="K33" s="226">
        <v>0</v>
      </c>
    </row>
    <row r="34" spans="1:11">
      <c r="A34" s="219">
        <f>IF(ISBLANK(E34),"",COUNTA($E$19:E34))</f>
        <v>16</v>
      </c>
      <c r="C34" s="219">
        <v>930.1</v>
      </c>
      <c r="E34" s="278" t="s">
        <v>2566</v>
      </c>
      <c r="I34" s="226">
        <v>966.34</v>
      </c>
      <c r="K34" s="226">
        <v>0</v>
      </c>
    </row>
    <row r="35" spans="1:11">
      <c r="A35" s="219">
        <f>IF(ISBLANK(E35),"",COUNTA($E$19:E35))</f>
        <v>17</v>
      </c>
      <c r="C35" s="219" t="s">
        <v>62</v>
      </c>
      <c r="E35" s="218" t="s">
        <v>2677</v>
      </c>
      <c r="I35" s="1162">
        <v>0</v>
      </c>
      <c r="K35" s="1162">
        <f>-K58</f>
        <v>26309.044988550006</v>
      </c>
    </row>
    <row r="36" spans="1:11">
      <c r="A36" s="219">
        <f>IF(ISBLANK(E36),"",COUNTA($E$19:E36))</f>
        <v>18</v>
      </c>
      <c r="C36" s="219"/>
      <c r="E36" s="276" t="s">
        <v>2676</v>
      </c>
      <c r="I36" s="275">
        <f>SUM(I20:I35)</f>
        <v>8836.31</v>
      </c>
      <c r="K36" s="275">
        <f>SUM(K20:K35)</f>
        <v>26309.044988550006</v>
      </c>
    </row>
    <row r="37" spans="1:11">
      <c r="A37" s="219" t="str">
        <f>IF(ISBLANK(E37),"",COUNTA($E$19:E37))</f>
        <v/>
      </c>
      <c r="C37" s="219"/>
    </row>
    <row r="38" spans="1:11">
      <c r="A38" s="219">
        <f>IF(ISBLANK(E38),"",COUNTA($E$19:E38))</f>
        <v>19</v>
      </c>
      <c r="C38" s="219"/>
      <c r="E38" s="260" t="s">
        <v>2675</v>
      </c>
    </row>
    <row r="39" spans="1:11">
      <c r="A39" s="219">
        <f>IF(ISBLANK(E39),"",COUNTA($E$19:E39))</f>
        <v>20</v>
      </c>
      <c r="C39" s="219">
        <v>903</v>
      </c>
      <c r="E39" s="278" t="s">
        <v>2569</v>
      </c>
      <c r="G39" s="39" t="str">
        <f>"Workpaper WPD-2.6H Lines 2 &amp; 6"</f>
        <v>Workpaper WPD-2.6H Lines 2 &amp; 6</v>
      </c>
      <c r="K39" s="231">
        <v>-150.36934500000001</v>
      </c>
    </row>
    <row r="40" spans="1:11">
      <c r="A40" s="219">
        <f>IF(ISBLANK(E40),"",COUNTA($E$19:E40))</f>
        <v>21</v>
      </c>
      <c r="C40" s="219">
        <v>921</v>
      </c>
      <c r="E40" s="278" t="s">
        <v>2673</v>
      </c>
      <c r="G40" s="39" t="str">
        <f t="shared" ref="G40:G57" si="0">"Workpaper WPD-2.6H Lines 2 &amp; 6"</f>
        <v>Workpaper WPD-2.6H Lines 2 &amp; 6</v>
      </c>
      <c r="K40" s="231">
        <v>-1489.8615660000003</v>
      </c>
    </row>
    <row r="41" spans="1:11">
      <c r="A41" s="219">
        <f>IF(ISBLANK(E41),"",COUNTA($E$19:E41))</f>
        <v>22</v>
      </c>
      <c r="C41" s="219">
        <v>923</v>
      </c>
      <c r="E41" s="278" t="s">
        <v>2577</v>
      </c>
      <c r="G41" s="39" t="str">
        <f t="shared" si="0"/>
        <v>Workpaper WPD-2.6H Lines 2 &amp; 6</v>
      </c>
      <c r="K41" s="231">
        <v>-1395.8676270000001</v>
      </c>
    </row>
    <row r="42" spans="1:11">
      <c r="A42" s="219">
        <f>IF(ISBLANK(E42),"",COUNTA($E$19:E42))</f>
        <v>23</v>
      </c>
      <c r="C42" s="219">
        <v>923</v>
      </c>
      <c r="E42" s="278" t="s">
        <v>2578</v>
      </c>
      <c r="G42" s="39" t="str">
        <f t="shared" si="0"/>
        <v>Workpaper WPD-2.6H Lines 2 &amp; 6</v>
      </c>
      <c r="K42" s="231">
        <v>-39.735230400000006</v>
      </c>
    </row>
    <row r="43" spans="1:11">
      <c r="A43" s="219">
        <f>IF(ISBLANK(E43),"",COUNTA($E$19:E43))</f>
        <v>24</v>
      </c>
      <c r="C43" s="219">
        <v>923</v>
      </c>
      <c r="E43" s="278" t="s">
        <v>2579</v>
      </c>
      <c r="G43" s="39" t="str">
        <f t="shared" si="0"/>
        <v>Workpaper WPD-2.6H Lines 2 &amp; 6</v>
      </c>
      <c r="K43" s="231">
        <v>-105.79295520000002</v>
      </c>
    </row>
    <row r="44" spans="1:11">
      <c r="A44" s="219">
        <f>IF(ISBLANK(E44),"",COUNTA($E$19:E44))</f>
        <v>25</v>
      </c>
      <c r="C44" s="219">
        <v>923</v>
      </c>
      <c r="E44" s="278" t="s">
        <v>2580</v>
      </c>
      <c r="G44" s="39" t="str">
        <f t="shared" si="0"/>
        <v>Workpaper WPD-2.6H Lines 2 &amp; 6</v>
      </c>
      <c r="K44" s="231">
        <v>-14746.595919750001</v>
      </c>
    </row>
    <row r="45" spans="1:11">
      <c r="A45" s="219">
        <f>IF(ISBLANK(E45),"",COUNTA($E$19:E45))</f>
        <v>26</v>
      </c>
      <c r="C45" s="219">
        <v>923</v>
      </c>
      <c r="E45" s="278" t="s">
        <v>2581</v>
      </c>
      <c r="G45" s="39" t="str">
        <f t="shared" si="0"/>
        <v>Workpaper WPD-2.6H Lines 2 &amp; 6</v>
      </c>
      <c r="K45" s="231">
        <v>-575.28063000000009</v>
      </c>
    </row>
    <row r="46" spans="1:11">
      <c r="A46" s="219">
        <f>IF(ISBLANK(E46),"",COUNTA($E$19:E46))</f>
        <v>27</v>
      </c>
      <c r="C46" s="219">
        <v>923</v>
      </c>
      <c r="E46" s="278" t="s">
        <v>2731</v>
      </c>
      <c r="G46" s="39" t="str">
        <f t="shared" si="0"/>
        <v>Workpaper WPD-2.6H Lines 2 &amp; 6</v>
      </c>
      <c r="K46" s="231">
        <v>-401.33421000000004</v>
      </c>
    </row>
    <row r="47" spans="1:11">
      <c r="A47" s="219">
        <f>IF(ISBLANK(E47),"",COUNTA($E$19:E47))</f>
        <v>28</v>
      </c>
      <c r="C47" s="219">
        <v>923</v>
      </c>
      <c r="E47" s="278" t="s">
        <v>2582</v>
      </c>
      <c r="G47" s="39" t="str">
        <f t="shared" si="0"/>
        <v>Workpaper WPD-2.6H Lines 2 &amp; 6</v>
      </c>
      <c r="K47" s="231">
        <v>-309.89707380000004</v>
      </c>
    </row>
    <row r="48" spans="1:11">
      <c r="A48" s="219">
        <f>IF(ISBLANK(E48),"",COUNTA($E$19:E48))</f>
        <v>29</v>
      </c>
      <c r="C48" s="219">
        <v>923</v>
      </c>
      <c r="E48" s="278" t="s">
        <v>2583</v>
      </c>
      <c r="G48" s="39" t="str">
        <f t="shared" si="0"/>
        <v>Workpaper WPD-2.6H Lines 2 &amp; 6</v>
      </c>
      <c r="K48" s="231">
        <v>-414.89364780000005</v>
      </c>
    </row>
    <row r="49" spans="1:11">
      <c r="A49" s="219">
        <f>IF(ISBLANK(E49),"",COUNTA($E$19:E49))</f>
        <v>30</v>
      </c>
      <c r="C49" s="219">
        <v>923</v>
      </c>
      <c r="E49" s="278" t="s">
        <v>2584</v>
      </c>
      <c r="G49" s="39" t="str">
        <f t="shared" si="0"/>
        <v>Workpaper WPD-2.6H Lines 2 &amp; 6</v>
      </c>
      <c r="K49" s="231">
        <v>-83.829599999999999</v>
      </c>
    </row>
    <row r="50" spans="1:11">
      <c r="A50" s="219">
        <f>IF(ISBLANK(E50),"",COUNTA($E$19:E50))</f>
        <v>31</v>
      </c>
      <c r="C50" s="219">
        <v>923</v>
      </c>
      <c r="E50" s="278" t="s">
        <v>2586</v>
      </c>
      <c r="G50" s="39" t="str">
        <f t="shared" si="0"/>
        <v>Workpaper WPD-2.6H Lines 2 &amp; 6</v>
      </c>
      <c r="K50" s="231">
        <v>-255.64884390000003</v>
      </c>
    </row>
    <row r="51" spans="1:11">
      <c r="A51" s="219">
        <f>IF(ISBLANK(E51),"",COUNTA($E$19:E51))</f>
        <v>32</v>
      </c>
      <c r="C51" s="219">
        <v>923</v>
      </c>
      <c r="E51" s="278" t="s">
        <v>2587</v>
      </c>
      <c r="G51" s="39" t="str">
        <f t="shared" si="0"/>
        <v>Workpaper WPD-2.6H Lines 2 &amp; 6</v>
      </c>
      <c r="K51" s="231">
        <v>-833.26622400000008</v>
      </c>
    </row>
    <row r="52" spans="1:11">
      <c r="A52" s="219">
        <f>IF(ISBLANK(E52),"",COUNTA($E$19:E52))</f>
        <v>33</v>
      </c>
      <c r="C52" s="219">
        <v>923</v>
      </c>
      <c r="E52" s="278" t="s">
        <v>2588</v>
      </c>
      <c r="G52" s="39" t="str">
        <f t="shared" si="0"/>
        <v>Workpaper WPD-2.6H Lines 2 &amp; 6</v>
      </c>
      <c r="K52" s="231">
        <v>-639.2007000000001</v>
      </c>
    </row>
    <row r="53" spans="1:11">
      <c r="A53" s="219">
        <f>IF(ISBLANK(E53),"",COUNTA($E$19:E53))</f>
        <v>34</v>
      </c>
      <c r="C53" s="219">
        <v>930.2</v>
      </c>
      <c r="E53" s="278" t="s">
        <v>2592</v>
      </c>
      <c r="G53" s="39" t="str">
        <f t="shared" si="0"/>
        <v>Workpaper WPD-2.6H Lines 2 &amp; 6</v>
      </c>
      <c r="K53" s="231">
        <v>-1234.3908600000002</v>
      </c>
    </row>
    <row r="54" spans="1:11">
      <c r="A54" s="219">
        <f>IF(ISBLANK(E54),"",COUNTA($E$19:E54))</f>
        <v>35</v>
      </c>
      <c r="C54" s="219">
        <v>930.2</v>
      </c>
      <c r="E54" s="278" t="s">
        <v>2593</v>
      </c>
      <c r="G54" s="39" t="str">
        <f t="shared" si="0"/>
        <v>Workpaper WPD-2.6H Lines 2 &amp; 6</v>
      </c>
      <c r="K54" s="231">
        <v>-401.33421000000004</v>
      </c>
    </row>
    <row r="55" spans="1:11">
      <c r="A55" s="219">
        <f>IF(ISBLANK(E55),"",COUNTA($E$19:E55))</f>
        <v>36</v>
      </c>
      <c r="C55" s="219">
        <v>930.2</v>
      </c>
      <c r="E55" s="278" t="s">
        <v>2595</v>
      </c>
      <c r="G55" s="39" t="str">
        <f t="shared" si="0"/>
        <v>Workpaper WPD-2.6H Lines 2 &amp; 6</v>
      </c>
      <c r="K55" s="231">
        <v>-2753.1526806000002</v>
      </c>
    </row>
    <row r="56" spans="1:11">
      <c r="A56" s="219">
        <f>IF(ISBLANK(E56),"",COUNTA($E$19:E56))</f>
        <v>37</v>
      </c>
      <c r="C56" s="219">
        <v>930.2</v>
      </c>
      <c r="E56" s="278" t="s">
        <v>2596</v>
      </c>
      <c r="G56" s="39" t="str">
        <f t="shared" si="0"/>
        <v>Workpaper WPD-2.6H Lines 2 &amp; 6</v>
      </c>
      <c r="K56" s="231">
        <v>-401.33421000000004</v>
      </c>
    </row>
    <row r="57" spans="1:11">
      <c r="A57" s="219">
        <f>IF(ISBLANK(E57),"",COUNTA($E$19:E57))</f>
        <v>38</v>
      </c>
      <c r="C57" s="219">
        <v>932</v>
      </c>
      <c r="E57" s="278" t="s">
        <v>2599</v>
      </c>
      <c r="G57" s="39" t="str">
        <f t="shared" si="0"/>
        <v>Workpaper WPD-2.6H Lines 2 &amp; 6</v>
      </c>
      <c r="K57" s="1163">
        <v>-77.259455100000011</v>
      </c>
    </row>
    <row r="58" spans="1:11">
      <c r="A58" s="219">
        <f>IF(ISBLANK(E58),"",COUNTA($E$19:E58))</f>
        <v>39</v>
      </c>
      <c r="C58" s="220"/>
      <c r="E58" s="274" t="s">
        <v>2674</v>
      </c>
      <c r="K58" s="275">
        <f>SUM(K39:K57)</f>
        <v>-26309.044988550006</v>
      </c>
    </row>
    <row r="59" spans="1:11">
      <c r="A59" s="219" t="str">
        <f>IF(ISBLANK(E59),"",COUNTA($E$19:E59))</f>
        <v/>
      </c>
      <c r="C59" s="219"/>
    </row>
    <row r="60" spans="1:11">
      <c r="A60" s="219">
        <f>IF(ISBLANK(E60),"",COUNTA($E$19:E60))</f>
        <v>40</v>
      </c>
      <c r="C60" s="219"/>
      <c r="E60" s="218" t="s">
        <v>2676</v>
      </c>
      <c r="I60" s="237">
        <f>I36+I58</f>
        <v>8836.31</v>
      </c>
      <c r="K60" s="237">
        <f>K36+K58</f>
        <v>0</v>
      </c>
    </row>
    <row r="61" spans="1:11">
      <c r="A61" s="219" t="str">
        <f>IF(ISBLANK(E61),"",COUNTA($E$19:E61))</f>
        <v/>
      </c>
      <c r="C61" s="219"/>
      <c r="I61" s="241"/>
      <c r="K61" s="242"/>
    </row>
    <row r="62" spans="1:11">
      <c r="A62" s="219">
        <f>IF(ISBLANK(E62),"",COUNTA($E$19:E62))</f>
        <v>41</v>
      </c>
      <c r="C62" s="219"/>
      <c r="E62" s="274" t="s">
        <v>2554</v>
      </c>
      <c r="I62" s="241"/>
      <c r="K62" s="242"/>
    </row>
    <row r="63" spans="1:11">
      <c r="A63" s="219">
        <f>IF(ISBLANK(E63),"",COUNTA($E$19:E63))</f>
        <v>42</v>
      </c>
      <c r="C63" s="219"/>
      <c r="E63" s="1334" t="s">
        <v>2671</v>
      </c>
      <c r="F63" s="1334"/>
      <c r="G63" s="1334"/>
      <c r="H63" s="1334"/>
      <c r="I63" s="1334"/>
      <c r="J63" s="1334"/>
      <c r="K63" s="1334"/>
    </row>
  </sheetData>
  <mergeCells count="6">
    <mergeCell ref="E63:K63"/>
    <mergeCell ref="A1:K1"/>
    <mergeCell ref="A2:K2"/>
    <mergeCell ref="A3:K3"/>
    <mergeCell ref="A4:K4"/>
    <mergeCell ref="A5:K5"/>
  </mergeCells>
  <printOptions horizontalCentered="1"/>
  <pageMargins left="0.5" right="0.5" top="0.75" bottom="0.5" header="0.3" footer="0.3"/>
  <pageSetup scale="66"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K44"/>
  <sheetViews>
    <sheetView topLeftCell="A13" zoomScaleNormal="100" zoomScaleSheetLayoutView="100" workbookViewId="0">
      <selection activeCell="A42" sqref="A42:A44"/>
    </sheetView>
  </sheetViews>
  <sheetFormatPr defaultColWidth="9.33203125" defaultRowHeight="12.75"/>
  <cols>
    <col min="1" max="1" width="6.33203125" style="218" customWidth="1"/>
    <col min="2" max="2" width="1.6640625" style="218" customWidth="1"/>
    <col min="3" max="3" width="7" style="218" bestFit="1" customWidth="1"/>
    <col min="4" max="4" width="1.6640625" style="218" customWidth="1"/>
    <col min="5" max="5" width="107.6640625" style="218" customWidth="1"/>
    <col min="6" max="6" width="1.6640625" style="218" customWidth="1"/>
    <col min="7" max="7" width="18.6640625" style="218"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F'!C30</f>
        <v>TOTAL COMPANY CUSTOMER SERVICE AND INFORMATIONAL SALES AND GENERAL ADVERTISING EXPENSE</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3009</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Index'!B60</f>
        <v xml:space="preserve">           INSCHO</v>
      </c>
    </row>
    <row r="12" spans="1:11">
      <c r="K12" s="271" t="str">
        <f>"           "&amp;'General Headers Index'!B61</f>
        <v xml:space="preserve">           KING</v>
      </c>
    </row>
    <row r="13" spans="1:11">
      <c r="K13" s="271" t="str">
        <f>"           "&amp;'General Headers Index'!B62</f>
        <v xml:space="preserve">           BLY</v>
      </c>
    </row>
    <row r="14" spans="1:11">
      <c r="A14" s="880"/>
      <c r="B14" s="880"/>
      <c r="C14" s="880"/>
      <c r="D14" s="880"/>
      <c r="E14" s="880"/>
      <c r="F14" s="880"/>
      <c r="G14" s="880"/>
      <c r="H14" s="880"/>
      <c r="I14" s="880"/>
      <c r="J14" s="880"/>
      <c r="K14" s="880"/>
    </row>
    <row r="15" spans="1:11">
      <c r="G15" s="273"/>
      <c r="H15" s="273"/>
      <c r="I15" s="272" t="s">
        <v>315</v>
      </c>
      <c r="J15" s="272"/>
      <c r="K15" s="272" t="s">
        <v>651</v>
      </c>
    </row>
    <row r="16" spans="1:11">
      <c r="A16" s="219" t="s">
        <v>313</v>
      </c>
      <c r="B16" s="219"/>
      <c r="C16" s="219" t="s">
        <v>1006</v>
      </c>
      <c r="E16" s="219" t="s">
        <v>63</v>
      </c>
      <c r="G16" s="219"/>
      <c r="I16" s="219" t="s">
        <v>319</v>
      </c>
      <c r="J16" s="219"/>
      <c r="K16" s="219" t="s">
        <v>319</v>
      </c>
    </row>
    <row r="17" spans="1:11">
      <c r="A17" s="879" t="s">
        <v>316</v>
      </c>
      <c r="B17" s="879"/>
      <c r="C17" s="879" t="s">
        <v>574</v>
      </c>
      <c r="D17" s="880"/>
      <c r="E17" s="879" t="s">
        <v>744</v>
      </c>
      <c r="F17" s="880"/>
      <c r="G17" s="879" t="s">
        <v>318</v>
      </c>
      <c r="H17" s="880"/>
      <c r="I17" s="879" t="s">
        <v>444</v>
      </c>
      <c r="J17" s="879"/>
      <c r="K17" s="879" t="s">
        <v>444</v>
      </c>
    </row>
    <row r="18" spans="1:11">
      <c r="A18" s="270"/>
      <c r="B18" s="273"/>
      <c r="C18" s="270" t="s">
        <v>532</v>
      </c>
      <c r="D18" s="272"/>
      <c r="E18" s="270" t="s">
        <v>541</v>
      </c>
      <c r="F18" s="273"/>
      <c r="G18" s="270" t="s">
        <v>542</v>
      </c>
      <c r="H18" s="272"/>
      <c r="I18" s="270" t="s">
        <v>668</v>
      </c>
      <c r="J18" s="272"/>
      <c r="K18" s="270" t="s">
        <v>669</v>
      </c>
    </row>
    <row r="19" spans="1:11">
      <c r="C19" s="219"/>
    </row>
    <row r="20" spans="1:11">
      <c r="A20" s="219">
        <f>IF(ISBLANK(E20),"",COUNTA($E$20:E20))</f>
        <v>1</v>
      </c>
      <c r="C20" s="219"/>
      <c r="E20" s="263" t="s">
        <v>2701</v>
      </c>
      <c r="I20" s="236"/>
      <c r="K20" s="236"/>
    </row>
    <row r="21" spans="1:11">
      <c r="A21" s="219">
        <f>IF(ISBLANK(E21),"",COUNTA($E$20:E21))</f>
        <v>2</v>
      </c>
      <c r="C21" s="219">
        <v>907</v>
      </c>
      <c r="E21" s="218" t="s">
        <v>936</v>
      </c>
      <c r="G21" s="219" t="s">
        <v>2604</v>
      </c>
      <c r="I21" s="243">
        <f>+'F-4.B Cust. Serv.&amp;Sales Expense'!I19+'F-4.C Cust. Serv.&amp;Sales Expense'!I20</f>
        <v>0</v>
      </c>
      <c r="J21" s="280"/>
      <c r="K21" s="243">
        <f>+'F-4.B Cust. Serv.&amp;Sales Expense'!K19+'F-4.C Cust. Serv.&amp;Sales Expense'!K20</f>
        <v>0</v>
      </c>
    </row>
    <row r="22" spans="1:11">
      <c r="A22" s="219">
        <f>IF(ISBLANK(E22),"",COUNTA($E$20:E22))</f>
        <v>3</v>
      </c>
      <c r="C22" s="219">
        <v>908</v>
      </c>
      <c r="E22" s="218" t="s">
        <v>64</v>
      </c>
      <c r="G22" s="219" t="s">
        <v>2604</v>
      </c>
      <c r="I22" s="244">
        <f>+'F-4.B Cust. Serv.&amp;Sales Expense'!I20+'F-4.C Cust. Serv.&amp;Sales Expense'!I21</f>
        <v>69076.509999999995</v>
      </c>
      <c r="J22" s="275"/>
      <c r="K22" s="244">
        <f>+'F-4.B Cust. Serv.&amp;Sales Expense'!K20+'F-4.C Cust. Serv.&amp;Sales Expense'!K21</f>
        <v>106212.56000000001</v>
      </c>
    </row>
    <row r="23" spans="1:11">
      <c r="A23" s="219">
        <f>IF(ISBLANK(E23),"",COUNTA($E$20:E23))</f>
        <v>4</v>
      </c>
      <c r="C23" s="219">
        <v>909</v>
      </c>
      <c r="E23" s="218" t="s">
        <v>65</v>
      </c>
      <c r="G23" s="219" t="s">
        <v>2604</v>
      </c>
      <c r="I23" s="244">
        <f>+'F-4.B Cust. Serv.&amp;Sales Expense'!I21+'F-4.C Cust. Serv.&amp;Sales Expense'!I22</f>
        <v>4372.6499999999996</v>
      </c>
      <c r="J23" s="275"/>
      <c r="K23" s="244">
        <f>+'F-4.B Cust. Serv.&amp;Sales Expense'!K21+'F-4.C Cust. Serv.&amp;Sales Expense'!K22</f>
        <v>2539.0899999999997</v>
      </c>
    </row>
    <row r="24" spans="1:11">
      <c r="A24" s="219">
        <f>IF(ISBLANK(E24),"",COUNTA($E$20:E24))</f>
        <v>5</v>
      </c>
      <c r="C24" s="219">
        <v>910</v>
      </c>
      <c r="E24" s="218" t="s">
        <v>3106</v>
      </c>
      <c r="G24" s="219" t="s">
        <v>2604</v>
      </c>
      <c r="I24" s="1164">
        <f>+'F-4.B Cust. Serv.&amp;Sales Expense'!I22+'F-4.C Cust. Serv.&amp;Sales Expense'!I23</f>
        <v>309067.44000000006</v>
      </c>
      <c r="J24" s="275"/>
      <c r="K24" s="1164">
        <f>+'F-4.B Cust. Serv.&amp;Sales Expense'!K22+'F-4.C Cust. Serv.&amp;Sales Expense'!K23</f>
        <v>292107.62000000005</v>
      </c>
    </row>
    <row r="25" spans="1:11">
      <c r="A25" s="219">
        <f>IF(ISBLANK(E25),"",COUNTA($E$20:E25))</f>
        <v>6</v>
      </c>
      <c r="C25" s="219"/>
      <c r="E25" s="218" t="s">
        <v>2702</v>
      </c>
      <c r="G25" s="219"/>
      <c r="I25" s="244">
        <f>SUM(I21:I24)</f>
        <v>382516.60000000003</v>
      </c>
      <c r="J25" s="275"/>
      <c r="K25" s="244">
        <f>SUM(K21:K24)</f>
        <v>400859.27000000008</v>
      </c>
    </row>
    <row r="26" spans="1:11">
      <c r="A26" s="219" t="str">
        <f>IF(ISBLANK(E26),"",COUNTA($E$20:E26))</f>
        <v/>
      </c>
      <c r="C26" s="219"/>
      <c r="G26" s="219"/>
      <c r="I26" s="244"/>
      <c r="J26" s="275"/>
      <c r="K26" s="244"/>
    </row>
    <row r="27" spans="1:11">
      <c r="A27" s="219">
        <f>IF(ISBLANK(E27),"",COUNTA($E$20:E27))</f>
        <v>7</v>
      </c>
      <c r="C27" s="219"/>
      <c r="E27" s="263" t="s">
        <v>2509</v>
      </c>
      <c r="G27" s="219"/>
      <c r="I27" s="244"/>
      <c r="J27" s="275"/>
      <c r="K27" s="244"/>
    </row>
    <row r="28" spans="1:11">
      <c r="A28" s="219">
        <f>IF(ISBLANK(E28),"",COUNTA($E$20:E28))</f>
        <v>8</v>
      </c>
      <c r="C28" s="219">
        <v>911</v>
      </c>
      <c r="E28" s="218" t="s">
        <v>936</v>
      </c>
      <c r="G28" s="219" t="s">
        <v>2604</v>
      </c>
      <c r="I28" s="244">
        <f>+'F-4.B Cust. Serv.&amp;Sales Expense'!I26+'F-4.C Cust. Serv.&amp;Sales Expense'!I27</f>
        <v>0</v>
      </c>
      <c r="J28" s="275"/>
      <c r="K28" s="244">
        <f>+'F-4.B Cust. Serv.&amp;Sales Expense'!K26+'F-4.C Cust. Serv.&amp;Sales Expense'!K27</f>
        <v>0</v>
      </c>
    </row>
    <row r="29" spans="1:11">
      <c r="A29" s="219">
        <f>IF(ISBLANK(E29),"",COUNTA($E$20:E29))</f>
        <v>9</v>
      </c>
      <c r="C29" s="219">
        <v>912</v>
      </c>
      <c r="E29" s="218" t="s">
        <v>68</v>
      </c>
      <c r="G29" s="219" t="s">
        <v>2604</v>
      </c>
      <c r="I29" s="244">
        <f>+'F-4.B Cust. Serv.&amp;Sales Expense'!I27+'F-4.C Cust. Serv.&amp;Sales Expense'!I28</f>
        <v>5396.76</v>
      </c>
      <c r="J29" s="275"/>
      <c r="K29" s="244">
        <f>+'F-4.B Cust. Serv.&amp;Sales Expense'!K27+'F-4.C Cust. Serv.&amp;Sales Expense'!K28</f>
        <v>4679.1900000000005</v>
      </c>
    </row>
    <row r="30" spans="1:11">
      <c r="A30" s="219">
        <f>IF(ISBLANK(E30),"",COUNTA($E$20:E30))</f>
        <v>10</v>
      </c>
      <c r="C30" s="219">
        <v>913</v>
      </c>
      <c r="E30" s="218" t="s">
        <v>56</v>
      </c>
      <c r="G30" s="219" t="s">
        <v>2604</v>
      </c>
      <c r="I30" s="244">
        <f>+'F-4.B Cust. Serv.&amp;Sales Expense'!I28+'F-4.C Cust. Serv.&amp;Sales Expense'!I29</f>
        <v>11867.8</v>
      </c>
      <c r="J30" s="275"/>
      <c r="K30" s="244">
        <f>+'F-4.B Cust. Serv.&amp;Sales Expense'!K28+'F-4.C Cust. Serv.&amp;Sales Expense'!K29</f>
        <v>7675.6600000000008</v>
      </c>
    </row>
    <row r="31" spans="1:11">
      <c r="A31" s="219">
        <f>IF(ISBLANK(E31),"",COUNTA($E$20:E31))</f>
        <v>11</v>
      </c>
      <c r="C31" s="219">
        <v>916</v>
      </c>
      <c r="E31" s="218" t="s">
        <v>69</v>
      </c>
      <c r="G31" s="219" t="s">
        <v>2604</v>
      </c>
      <c r="I31" s="1164">
        <f>+'F-4.B Cust. Serv.&amp;Sales Expense'!I29+'F-4.C Cust. Serv.&amp;Sales Expense'!I30</f>
        <v>0</v>
      </c>
      <c r="J31" s="275"/>
      <c r="K31" s="1164">
        <f>+'F-4.B Cust. Serv.&amp;Sales Expense'!K29+'F-4.C Cust. Serv.&amp;Sales Expense'!K30</f>
        <v>0</v>
      </c>
    </row>
    <row r="32" spans="1:11">
      <c r="A32" s="219">
        <f>IF(ISBLANK(E32),"",COUNTA($E$20:E32))</f>
        <v>12</v>
      </c>
      <c r="C32" s="219"/>
      <c r="E32" s="218" t="s">
        <v>2703</v>
      </c>
      <c r="G32" s="219"/>
      <c r="I32" s="244">
        <f>SUM(I28:I31)</f>
        <v>17264.559999999998</v>
      </c>
      <c r="J32" s="275"/>
      <c r="K32" s="244">
        <f>SUM(K28:K31)</f>
        <v>12354.850000000002</v>
      </c>
    </row>
    <row r="33" spans="1:11">
      <c r="A33" s="219" t="str">
        <f>IF(ISBLANK(E33),"",COUNTA($E$20:E33))</f>
        <v/>
      </c>
      <c r="C33" s="219"/>
      <c r="G33" s="219"/>
      <c r="I33" s="244"/>
      <c r="J33" s="275"/>
      <c r="K33" s="244"/>
    </row>
    <row r="34" spans="1:11">
      <c r="A34" s="219">
        <f>IF(ISBLANK(E34),"",COUNTA($E$20:E34))</f>
        <v>13</v>
      </c>
      <c r="C34" s="219">
        <v>930.1</v>
      </c>
      <c r="E34" s="218" t="s">
        <v>3107</v>
      </c>
      <c r="G34" s="219" t="s">
        <v>2604</v>
      </c>
      <c r="I34" s="244">
        <f>+'F-4.B Cust. Serv.&amp;Sales Expense'!I32+'F-4.C Cust. Serv.&amp;Sales Expense'!I33</f>
        <v>30813.47</v>
      </c>
      <c r="J34" s="275"/>
      <c r="K34" s="244">
        <f>+'F-4.B Cust. Serv.&amp;Sales Expense'!K32+'F-4.C Cust. Serv.&amp;Sales Expense'!K33</f>
        <v>23226.350000000002</v>
      </c>
    </row>
    <row r="35" spans="1:11">
      <c r="A35" s="219" t="str">
        <f>IF(ISBLANK(E35),"",COUNTA($E$20:E35))</f>
        <v/>
      </c>
      <c r="C35" s="219"/>
      <c r="G35" s="219"/>
      <c r="I35" s="275"/>
      <c r="J35" s="275"/>
      <c r="K35" s="275"/>
    </row>
    <row r="36" spans="1:11">
      <c r="A36" s="219">
        <f>IF(ISBLANK(E36),"",COUNTA($E$20:E36))</f>
        <v>14</v>
      </c>
      <c r="C36" s="219"/>
      <c r="E36" s="218" t="s">
        <v>2685</v>
      </c>
      <c r="G36" s="219"/>
      <c r="I36" s="246">
        <f>+I25+I32+I34</f>
        <v>430594.63</v>
      </c>
      <c r="J36" s="281"/>
      <c r="K36" s="246">
        <f>+K25+K32+K34</f>
        <v>436440.47000000003</v>
      </c>
    </row>
    <row r="37" spans="1:11">
      <c r="A37" s="219" t="str">
        <f>IF(ISBLANK(E37),"",COUNTA($E$20:E37))</f>
        <v/>
      </c>
      <c r="C37" s="219"/>
      <c r="G37" s="219"/>
      <c r="I37" s="247"/>
      <c r="J37" s="281"/>
      <c r="K37" s="247"/>
    </row>
    <row r="38" spans="1:11">
      <c r="A38" s="219">
        <f>IF(ISBLANK(E38),"",COUNTA($E$20:E38))</f>
        <v>15</v>
      </c>
      <c r="C38" s="219"/>
      <c r="E38" s="274" t="s">
        <v>2554</v>
      </c>
      <c r="G38" s="219"/>
      <c r="I38" s="247"/>
      <c r="J38" s="281"/>
      <c r="K38" s="247"/>
    </row>
    <row r="39" spans="1:11" ht="12.75" customHeight="1">
      <c r="A39" s="219">
        <f>+A38+1</f>
        <v>16</v>
      </c>
      <c r="E39" s="1334" t="s">
        <v>3115</v>
      </c>
      <c r="F39" s="1334"/>
      <c r="G39" s="1334"/>
      <c r="H39" s="1334"/>
      <c r="I39" s="1334"/>
      <c r="J39" s="1334"/>
      <c r="K39" s="1334"/>
    </row>
    <row r="40" spans="1:11">
      <c r="A40" s="219">
        <f>+A39+1</f>
        <v>17</v>
      </c>
      <c r="E40" s="1334"/>
      <c r="F40" s="1334"/>
      <c r="G40" s="1334"/>
      <c r="H40" s="1334"/>
      <c r="I40" s="1334"/>
      <c r="J40" s="1334"/>
      <c r="K40" s="1334"/>
    </row>
    <row r="41" spans="1:11">
      <c r="A41" s="219">
        <f t="shared" ref="A41:A44" si="0">+A40+1</f>
        <v>18</v>
      </c>
      <c r="E41" s="1334"/>
      <c r="F41" s="1334"/>
      <c r="G41" s="1334"/>
      <c r="H41" s="1334"/>
      <c r="I41" s="1334"/>
      <c r="J41" s="1334"/>
      <c r="K41" s="1334"/>
    </row>
    <row r="42" spans="1:11">
      <c r="A42" s="219">
        <f t="shared" si="0"/>
        <v>19</v>
      </c>
      <c r="E42" s="1334"/>
      <c r="F42" s="1334"/>
      <c r="G42" s="1334"/>
      <c r="H42" s="1334"/>
      <c r="I42" s="1334"/>
      <c r="J42" s="1334"/>
      <c r="K42" s="1334"/>
    </row>
    <row r="43" spans="1:11">
      <c r="A43" s="219">
        <f t="shared" si="0"/>
        <v>20</v>
      </c>
      <c r="E43" s="1334"/>
      <c r="F43" s="1334"/>
      <c r="G43" s="1334"/>
      <c r="H43" s="1334"/>
      <c r="I43" s="1334"/>
      <c r="J43" s="1334"/>
      <c r="K43" s="1334"/>
    </row>
    <row r="44" spans="1:11">
      <c r="A44" s="219">
        <f t="shared" si="0"/>
        <v>21</v>
      </c>
      <c r="E44" s="1334"/>
      <c r="F44" s="1334"/>
      <c r="G44" s="1334"/>
      <c r="H44" s="1334"/>
      <c r="I44" s="1334"/>
      <c r="J44" s="1334"/>
      <c r="K44" s="1334"/>
    </row>
  </sheetData>
  <mergeCells count="6">
    <mergeCell ref="E39:K44"/>
    <mergeCell ref="A1:K1"/>
    <mergeCell ref="A2:K2"/>
    <mergeCell ref="A3:K3"/>
    <mergeCell ref="A4:K4"/>
    <mergeCell ref="A5:K5"/>
  </mergeCells>
  <printOptions horizontalCentered="1"/>
  <pageMargins left="0.5" right="0.5" top="0.75" bottom="0.5" header="0.3" footer="0.3"/>
  <pageSetup scale="8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K37"/>
  <sheetViews>
    <sheetView topLeftCell="A16" zoomScaleNormal="100" zoomScaleSheetLayoutView="100" workbookViewId="0">
      <selection activeCell="A3" sqref="A3:K3"/>
    </sheetView>
  </sheetViews>
  <sheetFormatPr defaultColWidth="9.33203125" defaultRowHeight="12.75"/>
  <cols>
    <col min="1" max="1" width="5.83203125" style="218" customWidth="1"/>
    <col min="2" max="2" width="1.6640625" style="218" customWidth="1"/>
    <col min="3" max="3" width="7" style="218" bestFit="1" customWidth="1"/>
    <col min="4" max="4" width="1.6640625" style="218" customWidth="1"/>
    <col min="5" max="5" width="104.83203125" style="218" customWidth="1"/>
    <col min="6" max="6" width="1.6640625" style="218" customWidth="1"/>
    <col min="7" max="7" width="18.6640625" style="218"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F'!C31</f>
        <v>COMPANY DIRECT CUSTOMER SERVICE AND INFORMATIONAL SALES AND GENERAL ADVERTISING EXPENSE</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3010</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Index'!B60</f>
        <v xml:space="preserve">           INSCHO</v>
      </c>
    </row>
    <row r="12" spans="1:11">
      <c r="A12" s="880"/>
      <c r="B12" s="880"/>
      <c r="C12" s="880"/>
      <c r="D12" s="880"/>
      <c r="E12" s="880"/>
      <c r="F12" s="880"/>
      <c r="G12" s="880"/>
      <c r="H12" s="880"/>
      <c r="I12" s="880"/>
      <c r="J12" s="880"/>
      <c r="K12" s="880"/>
    </row>
    <row r="13" spans="1:11">
      <c r="G13" s="273"/>
      <c r="H13" s="273"/>
      <c r="I13" s="272" t="s">
        <v>315</v>
      </c>
      <c r="J13" s="272"/>
      <c r="K13" s="272" t="s">
        <v>651</v>
      </c>
    </row>
    <row r="14" spans="1:11">
      <c r="A14" s="219" t="s">
        <v>313</v>
      </c>
      <c r="B14" s="219"/>
      <c r="C14" s="219" t="s">
        <v>1006</v>
      </c>
      <c r="E14" s="219" t="s">
        <v>63</v>
      </c>
      <c r="G14" s="219"/>
      <c r="I14" s="219" t="s">
        <v>319</v>
      </c>
      <c r="J14" s="219"/>
      <c r="K14" s="219" t="s">
        <v>319</v>
      </c>
    </row>
    <row r="15" spans="1:11">
      <c r="A15" s="879" t="s">
        <v>316</v>
      </c>
      <c r="B15" s="879"/>
      <c r="C15" s="879" t="s">
        <v>574</v>
      </c>
      <c r="D15" s="880"/>
      <c r="E15" s="879" t="s">
        <v>744</v>
      </c>
      <c r="F15" s="880"/>
      <c r="G15" s="879" t="s">
        <v>318</v>
      </c>
      <c r="H15" s="880"/>
      <c r="I15" s="879" t="s">
        <v>444</v>
      </c>
      <c r="J15" s="879"/>
      <c r="K15" s="879" t="s">
        <v>444</v>
      </c>
    </row>
    <row r="16" spans="1:11">
      <c r="A16" s="270"/>
      <c r="B16" s="273"/>
      <c r="C16" s="270" t="s">
        <v>532</v>
      </c>
      <c r="D16" s="272"/>
      <c r="E16" s="270" t="s">
        <v>541</v>
      </c>
      <c r="F16" s="273"/>
      <c r="G16" s="270" t="s">
        <v>542</v>
      </c>
      <c r="H16" s="272"/>
      <c r="I16" s="270" t="s">
        <v>668</v>
      </c>
      <c r="J16" s="272"/>
      <c r="K16" s="270" t="s">
        <v>669</v>
      </c>
    </row>
    <row r="17" spans="1:11">
      <c r="C17" s="219"/>
    </row>
    <row r="18" spans="1:11">
      <c r="A18" s="219">
        <f>IF(ISBLANK(E18),"",COUNTA($E$18:E18))</f>
        <v>1</v>
      </c>
      <c r="C18" s="219"/>
      <c r="E18" s="263" t="s">
        <v>2701</v>
      </c>
      <c r="I18" s="236"/>
      <c r="K18" s="236"/>
    </row>
    <row r="19" spans="1:11">
      <c r="A19" s="219">
        <f>IF(ISBLANK(E19),"",COUNTA($E$18:E19))</f>
        <v>2</v>
      </c>
      <c r="C19" s="219">
        <v>907</v>
      </c>
      <c r="E19" s="218" t="s">
        <v>936</v>
      </c>
      <c r="I19" s="222">
        <v>0</v>
      </c>
      <c r="J19" s="280"/>
      <c r="K19" s="241">
        <v>0</v>
      </c>
    </row>
    <row r="20" spans="1:11">
      <c r="A20" s="219">
        <f>IF(ISBLANK(E20),"",COUNTA($E$18:E20))</f>
        <v>3</v>
      </c>
      <c r="C20" s="219">
        <v>908</v>
      </c>
      <c r="E20" s="218" t="s">
        <v>64</v>
      </c>
      <c r="I20" s="245">
        <v>69147.37</v>
      </c>
      <c r="J20" s="275"/>
      <c r="K20" s="245">
        <v>106348.96</v>
      </c>
    </row>
    <row r="21" spans="1:11">
      <c r="A21" s="219">
        <f>IF(ISBLANK(E21),"",COUNTA($E$18:E21))</f>
        <v>4</v>
      </c>
      <c r="C21" s="219">
        <v>909</v>
      </c>
      <c r="E21" s="218" t="s">
        <v>65</v>
      </c>
      <c r="I21" s="245">
        <v>4372.6499999999996</v>
      </c>
      <c r="J21" s="275"/>
      <c r="K21" s="245">
        <v>2539.0899999999997</v>
      </c>
    </row>
    <row r="22" spans="1:11">
      <c r="A22" s="219">
        <f>IF(ISBLANK(E22),"",COUNTA($E$18:E22))</f>
        <v>5</v>
      </c>
      <c r="C22" s="219">
        <v>910</v>
      </c>
      <c r="E22" s="218" t="s">
        <v>66</v>
      </c>
      <c r="I22" s="1165">
        <v>0</v>
      </c>
      <c r="J22" s="275"/>
      <c r="K22" s="1165">
        <v>0</v>
      </c>
    </row>
    <row r="23" spans="1:11">
      <c r="A23" s="219">
        <f>IF(ISBLANK(E23),"",COUNTA($E$18:E23))</f>
        <v>6</v>
      </c>
      <c r="C23" s="219"/>
      <c r="E23" s="218" t="s">
        <v>2702</v>
      </c>
      <c r="I23" s="245">
        <f>SUM(I19:I22)</f>
        <v>73520.01999999999</v>
      </c>
      <c r="J23" s="275"/>
      <c r="K23" s="245">
        <f>SUM(K19:K22)</f>
        <v>108888.05</v>
      </c>
    </row>
    <row r="24" spans="1:11">
      <c r="A24" s="219" t="str">
        <f>IF(ISBLANK(E24),"",COUNTA($E$18:E24))</f>
        <v/>
      </c>
      <c r="C24" s="219"/>
      <c r="I24" s="245"/>
      <c r="J24" s="275"/>
      <c r="K24" s="245"/>
    </row>
    <row r="25" spans="1:11">
      <c r="A25" s="219">
        <f>IF(ISBLANK(E25),"",COUNTA($E$18:E25))</f>
        <v>7</v>
      </c>
      <c r="C25" s="219"/>
      <c r="E25" s="263" t="s">
        <v>2509</v>
      </c>
      <c r="I25" s="245"/>
      <c r="J25" s="275"/>
      <c r="K25" s="245"/>
    </row>
    <row r="26" spans="1:11">
      <c r="A26" s="219">
        <f>IF(ISBLANK(E26),"",COUNTA($E$18:E26))</f>
        <v>8</v>
      </c>
      <c r="C26" s="219">
        <v>911</v>
      </c>
      <c r="E26" s="218" t="s">
        <v>936</v>
      </c>
      <c r="I26" s="245">
        <v>0</v>
      </c>
      <c r="J26" s="275"/>
      <c r="K26" s="245">
        <v>0</v>
      </c>
    </row>
    <row r="27" spans="1:11">
      <c r="A27" s="219">
        <f>IF(ISBLANK(E27),"",COUNTA($E$18:E27))</f>
        <v>9</v>
      </c>
      <c r="C27" s="219">
        <v>912</v>
      </c>
      <c r="E27" s="218" t="s">
        <v>68</v>
      </c>
      <c r="I27" s="245">
        <v>0</v>
      </c>
      <c r="J27" s="275"/>
      <c r="K27" s="245">
        <v>0</v>
      </c>
    </row>
    <row r="28" spans="1:11">
      <c r="A28" s="219">
        <f>IF(ISBLANK(E28),"",COUNTA($E$18:E28))</f>
        <v>10</v>
      </c>
      <c r="C28" s="219">
        <v>913</v>
      </c>
      <c r="E28" s="218" t="s">
        <v>56</v>
      </c>
      <c r="I28" s="245">
        <v>0</v>
      </c>
      <c r="J28" s="275"/>
      <c r="K28" s="245">
        <v>0</v>
      </c>
    </row>
    <row r="29" spans="1:11">
      <c r="A29" s="219">
        <f>IF(ISBLANK(E29),"",COUNTA($E$18:E29))</f>
        <v>11</v>
      </c>
      <c r="C29" s="219">
        <v>916</v>
      </c>
      <c r="E29" s="218" t="s">
        <v>69</v>
      </c>
      <c r="I29" s="1165">
        <v>0</v>
      </c>
      <c r="J29" s="275"/>
      <c r="K29" s="1165">
        <v>0</v>
      </c>
    </row>
    <row r="30" spans="1:11">
      <c r="A30" s="219">
        <f>IF(ISBLANK(E30),"",COUNTA($E$18:E30))</f>
        <v>12</v>
      </c>
      <c r="C30" s="219"/>
      <c r="E30" s="218" t="s">
        <v>2703</v>
      </c>
      <c r="I30" s="245">
        <f>SUM(I26:I29)</f>
        <v>0</v>
      </c>
      <c r="J30" s="275"/>
      <c r="K30" s="245">
        <f>SUM(K26:K29)</f>
        <v>0</v>
      </c>
    </row>
    <row r="31" spans="1:11">
      <c r="A31" s="219" t="str">
        <f>IF(ISBLANK(E31),"",COUNTA($E$18:E31))</f>
        <v/>
      </c>
      <c r="C31" s="219"/>
      <c r="I31" s="245"/>
      <c r="J31" s="275"/>
      <c r="K31" s="245"/>
    </row>
    <row r="32" spans="1:11">
      <c r="A32" s="219">
        <f>IF(ISBLANK(E32),"",COUNTA($E$18:E32))</f>
        <v>13</v>
      </c>
      <c r="C32" s="219">
        <v>930.1</v>
      </c>
      <c r="E32" s="218" t="s">
        <v>70</v>
      </c>
      <c r="I32" s="245">
        <v>102.82</v>
      </c>
      <c r="J32" s="275"/>
      <c r="K32" s="245">
        <v>5.6399999999999979</v>
      </c>
    </row>
    <row r="33" spans="1:11">
      <c r="A33" s="219" t="str">
        <f>IF(ISBLANK(E33),"",COUNTA($E$18:E33))</f>
        <v/>
      </c>
      <c r="C33" s="219"/>
      <c r="I33" s="275"/>
      <c r="J33" s="275"/>
      <c r="K33" s="275"/>
    </row>
    <row r="34" spans="1:11">
      <c r="A34" s="219">
        <f>IF(ISBLANK(E34),"",COUNTA($E$18:E34))</f>
        <v>14</v>
      </c>
      <c r="C34" s="219"/>
      <c r="E34" s="218" t="s">
        <v>2685</v>
      </c>
      <c r="I34" s="246">
        <f>+I23+I30+I32</f>
        <v>73622.84</v>
      </c>
      <c r="J34" s="281"/>
      <c r="K34" s="246">
        <f>+K23+K30+K32</f>
        <v>108893.69</v>
      </c>
    </row>
    <row r="35" spans="1:11">
      <c r="A35" s="219" t="str">
        <f>IF(ISBLANK(E35),"",COUNTA($E$18:E35))</f>
        <v/>
      </c>
      <c r="C35" s="219"/>
      <c r="I35" s="247"/>
      <c r="J35" s="281"/>
      <c r="K35" s="247"/>
    </row>
    <row r="36" spans="1:11">
      <c r="A36" s="219">
        <f>IF(ISBLANK(E36),"",COUNTA($E$18:E36))</f>
        <v>15</v>
      </c>
      <c r="C36" s="219"/>
      <c r="E36" s="274" t="s">
        <v>2554</v>
      </c>
      <c r="I36" s="247"/>
      <c r="J36" s="281"/>
      <c r="K36" s="247"/>
    </row>
    <row r="37" spans="1:11">
      <c r="A37" s="219" t="str">
        <f>IF(ISBLANK(E37),"",COUNTA($E$18:E37))</f>
        <v/>
      </c>
      <c r="C37" s="219"/>
      <c r="K37" s="282"/>
    </row>
  </sheetData>
  <mergeCells count="5">
    <mergeCell ref="A1:K1"/>
    <mergeCell ref="A2:K2"/>
    <mergeCell ref="A3:K3"/>
    <mergeCell ref="A4:K4"/>
    <mergeCell ref="A5:K5"/>
  </mergeCells>
  <printOptions horizontalCentered="1"/>
  <pageMargins left="0.5" right="0.5" top="0.75" bottom="0.5" header="0.3" footer="0.3"/>
  <pageSetup scale="87"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K43"/>
  <sheetViews>
    <sheetView topLeftCell="A13" zoomScaleNormal="100" zoomScaleSheetLayoutView="100" workbookViewId="0">
      <selection activeCell="A41" sqref="A41:A43"/>
    </sheetView>
  </sheetViews>
  <sheetFormatPr defaultColWidth="9.33203125" defaultRowHeight="12.75"/>
  <cols>
    <col min="1" max="1" width="5.5" style="218" customWidth="1"/>
    <col min="2" max="2" width="1.6640625" style="218" customWidth="1"/>
    <col min="3" max="3" width="7" style="218" bestFit="1" customWidth="1"/>
    <col min="4" max="4" width="1.6640625" style="218" customWidth="1"/>
    <col min="5" max="5" width="105" style="218" customWidth="1"/>
    <col min="6" max="6" width="1.6640625" style="218" customWidth="1"/>
    <col min="7" max="7" width="18.6640625" style="218"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F'!C32</f>
        <v>NISOURCE SERVICE COMPANY ALLOCATED CUSTOMER SERVICE AND INFORMATIONAL SALES AND GENERAL ADVERTISING EXPENSE</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3011</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Index'!$B$61</f>
        <v xml:space="preserve">           KING</v>
      </c>
    </row>
    <row r="12" spans="1:11">
      <c r="K12" s="271" t="str">
        <f>"           "&amp;'General Headers Index'!$B$62</f>
        <v xml:space="preserve">           BLY</v>
      </c>
    </row>
    <row r="13" spans="1:11">
      <c r="A13" s="880"/>
      <c r="B13" s="880"/>
      <c r="C13" s="880"/>
      <c r="D13" s="880"/>
      <c r="E13" s="880"/>
      <c r="F13" s="880"/>
      <c r="G13" s="880"/>
      <c r="H13" s="880"/>
      <c r="I13" s="880"/>
      <c r="J13" s="880"/>
      <c r="K13" s="880"/>
    </row>
    <row r="14" spans="1:11">
      <c r="G14" s="273"/>
      <c r="H14" s="273"/>
      <c r="I14" s="272" t="s">
        <v>315</v>
      </c>
      <c r="J14" s="272"/>
      <c r="K14" s="272" t="s">
        <v>651</v>
      </c>
    </row>
    <row r="15" spans="1:11">
      <c r="A15" s="219" t="s">
        <v>313</v>
      </c>
      <c r="B15" s="219"/>
      <c r="C15" s="219" t="s">
        <v>1006</v>
      </c>
      <c r="E15" s="219" t="s">
        <v>63</v>
      </c>
      <c r="G15" s="219"/>
      <c r="I15" s="219" t="s">
        <v>319</v>
      </c>
      <c r="J15" s="219"/>
      <c r="K15" s="219" t="s">
        <v>319</v>
      </c>
    </row>
    <row r="16" spans="1:11">
      <c r="A16" s="219" t="s">
        <v>316</v>
      </c>
      <c r="B16" s="219"/>
      <c r="C16" s="219" t="s">
        <v>574</v>
      </c>
      <c r="E16" s="219" t="s">
        <v>744</v>
      </c>
      <c r="G16" s="219" t="s">
        <v>318</v>
      </c>
      <c r="I16" s="219" t="s">
        <v>444</v>
      </c>
      <c r="J16" s="219"/>
      <c r="K16" s="219" t="s">
        <v>444</v>
      </c>
    </row>
    <row r="17" spans="1:11">
      <c r="A17" s="270"/>
      <c r="B17" s="273"/>
      <c r="C17" s="270" t="s">
        <v>532</v>
      </c>
      <c r="D17" s="272"/>
      <c r="E17" s="270" t="s">
        <v>541</v>
      </c>
      <c r="F17" s="273"/>
      <c r="G17" s="270" t="s">
        <v>542</v>
      </c>
      <c r="H17" s="272"/>
      <c r="I17" s="270" t="s">
        <v>668</v>
      </c>
      <c r="J17" s="272"/>
      <c r="K17" s="270" t="s">
        <v>669</v>
      </c>
    </row>
    <row r="18" spans="1:11">
      <c r="C18" s="219"/>
    </row>
    <row r="19" spans="1:11">
      <c r="A19" s="219">
        <f>IF(ISBLANK(E19),"",COUNTA($E$19:E19))</f>
        <v>1</v>
      </c>
      <c r="C19" s="219"/>
      <c r="E19" s="263" t="s">
        <v>2701</v>
      </c>
      <c r="I19" s="236"/>
      <c r="K19" s="236"/>
    </row>
    <row r="20" spans="1:11">
      <c r="A20" s="219">
        <f>IF(ISBLANK(E20),"",COUNTA($E$19:E20))</f>
        <v>2</v>
      </c>
      <c r="C20" s="219">
        <v>907</v>
      </c>
      <c r="E20" s="218" t="s">
        <v>936</v>
      </c>
      <c r="I20" s="222">
        <v>0</v>
      </c>
      <c r="J20" s="280"/>
      <c r="K20" s="241">
        <v>0</v>
      </c>
    </row>
    <row r="21" spans="1:11">
      <c r="A21" s="219">
        <f>IF(ISBLANK(E21),"",COUNTA($E$19:E21))</f>
        <v>3</v>
      </c>
      <c r="C21" s="219">
        <v>908</v>
      </c>
      <c r="E21" s="218" t="s">
        <v>64</v>
      </c>
      <c r="I21" s="245">
        <v>-70.860000000000014</v>
      </c>
      <c r="J21" s="275"/>
      <c r="K21" s="245">
        <v>-136.4</v>
      </c>
    </row>
    <row r="22" spans="1:11">
      <c r="A22" s="219">
        <f>IF(ISBLANK(E22),"",COUNTA($E$19:E22))</f>
        <v>4</v>
      </c>
      <c r="C22" s="219">
        <v>909</v>
      </c>
      <c r="E22" s="218" t="s">
        <v>65</v>
      </c>
      <c r="I22" s="245">
        <v>0</v>
      </c>
      <c r="J22" s="275"/>
      <c r="K22" s="245">
        <v>0</v>
      </c>
    </row>
    <row r="23" spans="1:11">
      <c r="A23" s="219">
        <f>IF(ISBLANK(E23),"",COUNTA($E$19:E23))</f>
        <v>5</v>
      </c>
      <c r="C23" s="219">
        <v>910</v>
      </c>
      <c r="E23" s="218" t="s">
        <v>3106</v>
      </c>
      <c r="I23" s="1165">
        <v>309067.44000000006</v>
      </c>
      <c r="J23" s="275"/>
      <c r="K23" s="1165">
        <v>292107.62000000005</v>
      </c>
    </row>
    <row r="24" spans="1:11">
      <c r="A24" s="219">
        <f>IF(ISBLANK(E24),"",COUNTA($E$19:E24))</f>
        <v>6</v>
      </c>
      <c r="C24" s="219"/>
      <c r="E24" s="218" t="s">
        <v>2702</v>
      </c>
      <c r="I24" s="245">
        <f>SUM(I20:I23)</f>
        <v>308996.58000000007</v>
      </c>
      <c r="J24" s="275"/>
      <c r="K24" s="245">
        <f>SUM(K20:K23)</f>
        <v>291971.22000000003</v>
      </c>
    </row>
    <row r="25" spans="1:11">
      <c r="A25" s="219" t="str">
        <f>IF(ISBLANK(E25),"",COUNTA($E$19:E25))</f>
        <v/>
      </c>
      <c r="C25" s="219"/>
      <c r="I25" s="245"/>
      <c r="J25" s="275"/>
      <c r="K25" s="245"/>
    </row>
    <row r="26" spans="1:11">
      <c r="A26" s="219">
        <f>IF(ISBLANK(E26),"",COUNTA($E$19:E26))</f>
        <v>7</v>
      </c>
      <c r="C26" s="219"/>
      <c r="E26" s="263" t="s">
        <v>2509</v>
      </c>
      <c r="I26" s="245"/>
      <c r="J26" s="275"/>
      <c r="K26" s="245"/>
    </row>
    <row r="27" spans="1:11">
      <c r="A27" s="219">
        <f>IF(ISBLANK(E27),"",COUNTA($E$19:E27))</f>
        <v>8</v>
      </c>
      <c r="C27" s="219">
        <v>911</v>
      </c>
      <c r="E27" s="218" t="s">
        <v>936</v>
      </c>
      <c r="I27" s="245">
        <v>0</v>
      </c>
      <c r="J27" s="275"/>
      <c r="K27" s="245">
        <v>0</v>
      </c>
    </row>
    <row r="28" spans="1:11">
      <c r="A28" s="219">
        <f>IF(ISBLANK(E28),"",COUNTA($E$19:E28))</f>
        <v>9</v>
      </c>
      <c r="C28" s="219">
        <v>912</v>
      </c>
      <c r="E28" s="218" t="s">
        <v>68</v>
      </c>
      <c r="I28" s="245">
        <v>5396.76</v>
      </c>
      <c r="J28" s="275"/>
      <c r="K28" s="245">
        <v>4679.1900000000005</v>
      </c>
    </row>
    <row r="29" spans="1:11">
      <c r="A29" s="219">
        <f>IF(ISBLANK(E29),"",COUNTA($E$19:E29))</f>
        <v>10</v>
      </c>
      <c r="C29" s="219">
        <v>913</v>
      </c>
      <c r="E29" s="218" t="s">
        <v>56</v>
      </c>
      <c r="I29" s="245">
        <v>11867.8</v>
      </c>
      <c r="J29" s="275"/>
      <c r="K29" s="245">
        <v>7675.6600000000008</v>
      </c>
    </row>
    <row r="30" spans="1:11">
      <c r="A30" s="219">
        <f>IF(ISBLANK(E30),"",COUNTA($E$19:E30))</f>
        <v>11</v>
      </c>
      <c r="C30" s="219">
        <v>916</v>
      </c>
      <c r="E30" s="218" t="s">
        <v>69</v>
      </c>
      <c r="I30" s="1165">
        <v>0</v>
      </c>
      <c r="J30" s="275"/>
      <c r="K30" s="1165">
        <v>0</v>
      </c>
    </row>
    <row r="31" spans="1:11">
      <c r="A31" s="219">
        <f>IF(ISBLANK(E31),"",COUNTA($E$19:E31))</f>
        <v>12</v>
      </c>
      <c r="C31" s="219"/>
      <c r="E31" s="218" t="s">
        <v>2703</v>
      </c>
      <c r="I31" s="245">
        <f>SUM(I27:I30)</f>
        <v>17264.559999999998</v>
      </c>
      <c r="J31" s="275"/>
      <c r="K31" s="245">
        <f>SUM(K27:K30)</f>
        <v>12354.850000000002</v>
      </c>
    </row>
    <row r="32" spans="1:11">
      <c r="A32" s="219" t="str">
        <f>IF(ISBLANK(E32),"",COUNTA($E$19:E32))</f>
        <v/>
      </c>
      <c r="C32" s="219"/>
      <c r="I32" s="245"/>
      <c r="J32" s="275"/>
      <c r="K32" s="245"/>
    </row>
    <row r="33" spans="1:11">
      <c r="A33" s="219">
        <f>IF(ISBLANK(E33),"",COUNTA($E$19:E33))</f>
        <v>13</v>
      </c>
      <c r="C33" s="219">
        <v>930.1</v>
      </c>
      <c r="E33" s="218" t="s">
        <v>3107</v>
      </c>
      <c r="I33" s="245">
        <v>30710.65</v>
      </c>
      <c r="J33" s="275"/>
      <c r="K33" s="245">
        <v>23220.710000000003</v>
      </c>
    </row>
    <row r="34" spans="1:11">
      <c r="A34" s="219" t="str">
        <f>IF(ISBLANK(E34),"",COUNTA($E$19:E34))</f>
        <v/>
      </c>
      <c r="C34" s="219"/>
      <c r="I34" s="275"/>
      <c r="J34" s="275"/>
      <c r="K34" s="275"/>
    </row>
    <row r="35" spans="1:11">
      <c r="A35" s="219">
        <f>IF(ISBLANK(E35),"",COUNTA($E$19:E35))</f>
        <v>14</v>
      </c>
      <c r="C35" s="219"/>
      <c r="E35" s="218" t="s">
        <v>2685</v>
      </c>
      <c r="I35" s="246">
        <f>+I24+I31+I33</f>
        <v>356971.7900000001</v>
      </c>
      <c r="J35" s="281"/>
      <c r="K35" s="246">
        <f>+K24+K31+K33</f>
        <v>327546.78000000003</v>
      </c>
    </row>
    <row r="36" spans="1:11">
      <c r="A36" s="219" t="str">
        <f>IF(ISBLANK(E36),"",COUNTA($E$19:E36))</f>
        <v/>
      </c>
      <c r="C36" s="219"/>
      <c r="I36" s="247"/>
      <c r="J36" s="281"/>
      <c r="K36" s="247"/>
    </row>
    <row r="37" spans="1:11">
      <c r="A37" s="219">
        <f>IF(ISBLANK(E37),"",COUNTA($E$19:E37))</f>
        <v>15</v>
      </c>
      <c r="C37" s="219"/>
      <c r="E37" s="274" t="s">
        <v>2554</v>
      </c>
      <c r="I37" s="247"/>
      <c r="J37" s="281"/>
      <c r="K37" s="247"/>
    </row>
    <row r="38" spans="1:11" ht="12.75" customHeight="1">
      <c r="A38" s="219">
        <f>+A37+1</f>
        <v>16</v>
      </c>
      <c r="E38" s="1334" t="s">
        <v>3115</v>
      </c>
      <c r="F38" s="1334"/>
      <c r="G38" s="1334"/>
      <c r="H38" s="1334"/>
      <c r="I38" s="1334"/>
      <c r="J38" s="1334"/>
      <c r="K38" s="1334"/>
    </row>
    <row r="39" spans="1:11">
      <c r="A39" s="219">
        <f>+A38+1</f>
        <v>17</v>
      </c>
      <c r="E39" s="1334"/>
      <c r="F39" s="1334"/>
      <c r="G39" s="1334"/>
      <c r="H39" s="1334"/>
      <c r="I39" s="1334"/>
      <c r="J39" s="1334"/>
      <c r="K39" s="1334"/>
    </row>
    <row r="40" spans="1:11">
      <c r="A40" s="219">
        <f t="shared" ref="A40:A43" si="0">+A39+1</f>
        <v>18</v>
      </c>
      <c r="E40" s="1334"/>
      <c r="F40" s="1334"/>
      <c r="G40" s="1334"/>
      <c r="H40" s="1334"/>
      <c r="I40" s="1334"/>
      <c r="J40" s="1334"/>
      <c r="K40" s="1334"/>
    </row>
    <row r="41" spans="1:11">
      <c r="A41" s="219">
        <f t="shared" si="0"/>
        <v>19</v>
      </c>
      <c r="E41" s="1334"/>
      <c r="F41" s="1334"/>
      <c r="G41" s="1334"/>
      <c r="H41" s="1334"/>
      <c r="I41" s="1334"/>
      <c r="J41" s="1334"/>
      <c r="K41" s="1334"/>
    </row>
    <row r="42" spans="1:11">
      <c r="A42" s="219">
        <f t="shared" si="0"/>
        <v>20</v>
      </c>
      <c r="E42" s="1334"/>
      <c r="F42" s="1334"/>
      <c r="G42" s="1334"/>
      <c r="H42" s="1334"/>
      <c r="I42" s="1334"/>
      <c r="J42" s="1334"/>
      <c r="K42" s="1334"/>
    </row>
    <row r="43" spans="1:11">
      <c r="A43" s="219">
        <f t="shared" si="0"/>
        <v>21</v>
      </c>
      <c r="E43" s="1334"/>
      <c r="F43" s="1334"/>
      <c r="G43" s="1334"/>
      <c r="H43" s="1334"/>
      <c r="I43" s="1334"/>
      <c r="J43" s="1334"/>
      <c r="K43" s="1334"/>
    </row>
  </sheetData>
  <mergeCells count="6">
    <mergeCell ref="E38:K43"/>
    <mergeCell ref="A1:K1"/>
    <mergeCell ref="A2:K2"/>
    <mergeCell ref="A3:K3"/>
    <mergeCell ref="A4:K4"/>
    <mergeCell ref="A5:K5"/>
  </mergeCells>
  <printOptions horizontalCentered="1"/>
  <pageMargins left="0.5" right="0.5" top="0.75" bottom="0.5" header="0.3" footer="0.3"/>
  <pageSetup scale="87"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I53"/>
  <sheetViews>
    <sheetView topLeftCell="A25" zoomScaleNormal="100" zoomScaleSheetLayoutView="100" workbookViewId="0">
      <selection activeCell="A51" sqref="A51:A53"/>
    </sheetView>
  </sheetViews>
  <sheetFormatPr defaultColWidth="9.33203125" defaultRowHeight="12.75"/>
  <cols>
    <col min="1" max="1" width="6.1640625" style="218" customWidth="1"/>
    <col min="2" max="2" width="1.6640625" style="218" customWidth="1"/>
    <col min="3" max="3" width="114.83203125" style="218" customWidth="1"/>
    <col min="4" max="4" width="1.6640625" style="218" customWidth="1"/>
    <col min="5" max="5" width="31.83203125" style="218" bestFit="1" customWidth="1"/>
    <col min="6" max="6" width="1.6640625" style="218" customWidth="1"/>
    <col min="7" max="7" width="18.5" style="953" customWidth="1"/>
    <col min="8" max="8" width="1.6640625" style="218" customWidth="1"/>
    <col min="9" max="9" width="20.5" style="218" customWidth="1"/>
    <col min="10" max="10" width="2"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F'!C33</f>
        <v>TOTAL COMPANY ADVERTISING</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6" spans="1:9">
      <c r="H6" s="219"/>
    </row>
    <row r="7" spans="1:9">
      <c r="A7" s="218" t="s">
        <v>60</v>
      </c>
      <c r="I7" s="271" t="s">
        <v>3033</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I11" s="271" t="str">
        <f>"           "&amp;'General Headers Index'!$B$61</f>
        <v xml:space="preserve">           KING</v>
      </c>
    </row>
    <row r="12" spans="1:9">
      <c r="I12" s="271" t="str">
        <f>"           "&amp;'General Headers Index'!$B$62</f>
        <v xml:space="preserve">           BLY</v>
      </c>
    </row>
    <row r="13" spans="1:9">
      <c r="A13" s="880"/>
      <c r="B13" s="880"/>
      <c r="C13" s="880"/>
      <c r="D13" s="880"/>
      <c r="E13" s="880"/>
    </row>
    <row r="14" spans="1:9">
      <c r="B14" s="272"/>
      <c r="C14" s="272"/>
      <c r="D14" s="272"/>
      <c r="E14" s="272"/>
      <c r="F14" s="272"/>
      <c r="G14" s="272" t="s">
        <v>315</v>
      </c>
      <c r="H14" s="272"/>
      <c r="I14" s="272" t="s">
        <v>651</v>
      </c>
    </row>
    <row r="15" spans="1:9">
      <c r="A15" s="219" t="s">
        <v>313</v>
      </c>
      <c r="B15" s="219"/>
      <c r="C15" s="219"/>
      <c r="D15" s="219"/>
      <c r="E15" s="219"/>
      <c r="F15" s="219"/>
      <c r="G15" s="219" t="s">
        <v>319</v>
      </c>
      <c r="H15" s="219"/>
      <c r="I15" s="219" t="s">
        <v>319</v>
      </c>
    </row>
    <row r="16" spans="1:9">
      <c r="A16" s="879" t="s">
        <v>316</v>
      </c>
      <c r="B16" s="879"/>
      <c r="C16" s="879" t="s">
        <v>1015</v>
      </c>
      <c r="D16" s="879"/>
      <c r="E16" s="879" t="s">
        <v>318</v>
      </c>
      <c r="F16" s="879"/>
      <c r="G16" s="879" t="s">
        <v>444</v>
      </c>
      <c r="H16" s="879"/>
      <c r="I16" s="879" t="s">
        <v>444</v>
      </c>
    </row>
    <row r="17" spans="1:9">
      <c r="A17" s="270"/>
      <c r="B17" s="270"/>
      <c r="C17" s="270" t="s">
        <v>532</v>
      </c>
      <c r="D17" s="270"/>
      <c r="E17" s="270" t="s">
        <v>541</v>
      </c>
      <c r="F17" s="270"/>
      <c r="G17" s="270" t="s">
        <v>542</v>
      </c>
      <c r="H17" s="272"/>
      <c r="I17" s="270" t="s">
        <v>668</v>
      </c>
    </row>
    <row r="18" spans="1:9">
      <c r="A18" s="219"/>
      <c r="B18" s="274"/>
      <c r="C18" s="274"/>
      <c r="D18" s="274"/>
      <c r="E18" s="274"/>
      <c r="F18" s="274"/>
      <c r="G18" s="282"/>
      <c r="I18" s="282"/>
    </row>
    <row r="19" spans="1:9">
      <c r="A19" s="219">
        <f>IF(ISBLANK(C19),"",COUNTA($C19:C$19))</f>
        <v>1</v>
      </c>
      <c r="B19" s="274"/>
      <c r="C19" s="260" t="s">
        <v>2710</v>
      </c>
      <c r="D19" s="274"/>
      <c r="E19" s="274"/>
      <c r="F19" s="274"/>
      <c r="G19" s="282"/>
      <c r="I19" s="282"/>
    </row>
    <row r="20" spans="1:9">
      <c r="A20" s="219">
        <f>IF(ISBLANK(C20),"",COUNTA($C$19:C20))</f>
        <v>2</v>
      </c>
      <c r="B20" s="274"/>
      <c r="C20" s="218" t="s">
        <v>3108</v>
      </c>
      <c r="D20" s="274"/>
      <c r="E20" s="274"/>
      <c r="F20" s="274"/>
      <c r="G20" s="222">
        <f>'F-5.B Advertising'!G18+'F-5.C Advertising'!G19</f>
        <v>3070.9068800000005</v>
      </c>
      <c r="I20" s="222">
        <f>'F-5.B Advertising'!I18+'F-5.C Advertising'!I19</f>
        <v>0</v>
      </c>
    </row>
    <row r="21" spans="1:9">
      <c r="A21" s="219">
        <f>IF(ISBLANK(C21),"",COUNTA($C$19:C21))</f>
        <v>3</v>
      </c>
      <c r="B21" s="274"/>
      <c r="C21" s="218" t="s">
        <v>3113</v>
      </c>
      <c r="D21" s="274"/>
      <c r="E21" s="274"/>
      <c r="F21" s="274"/>
      <c r="G21" s="226">
        <f>'F-5.B Advertising'!G19+'F-5.C Advertising'!G20</f>
        <v>3992.9737</v>
      </c>
      <c r="H21" s="280"/>
      <c r="I21" s="226">
        <f>'F-5.B Advertising'!I19+'F-5.C Advertising'!I20</f>
        <v>0</v>
      </c>
    </row>
    <row r="22" spans="1:9">
      <c r="A22" s="219">
        <f>IF(ISBLANK(C22),"",COUNTA($C$19:C22))</f>
        <v>4</v>
      </c>
      <c r="C22" s="218" t="s">
        <v>2606</v>
      </c>
      <c r="G22" s="226">
        <f>'F-5.B Advertising'!G20+'F-5.C Advertising'!G21</f>
        <v>1238.8899999999999</v>
      </c>
      <c r="H22" s="275"/>
      <c r="I22" s="226">
        <f>'F-5.B Advertising'!I20+'F-5.C Advertising'!I21</f>
        <v>0</v>
      </c>
    </row>
    <row r="23" spans="1:9">
      <c r="A23" s="219">
        <f>IF(ISBLANK(C23),"",COUNTA($C$19:C23))</f>
        <v>5</v>
      </c>
      <c r="C23" s="218" t="s">
        <v>2607</v>
      </c>
      <c r="G23" s="226">
        <f>'F-5.B Advertising'!G21+'F-5.C Advertising'!G22</f>
        <v>10452.59001</v>
      </c>
      <c r="H23" s="275"/>
      <c r="I23" s="226">
        <f>'F-5.B Advertising'!I21+'F-5.C Advertising'!I22</f>
        <v>0</v>
      </c>
    </row>
    <row r="24" spans="1:9">
      <c r="A24" s="219">
        <f>IF(ISBLANK(C24),"",COUNTA($C$19:C24))</f>
        <v>6</v>
      </c>
      <c r="C24" s="218" t="s">
        <v>3114</v>
      </c>
      <c r="G24" s="226">
        <f>'F-5.B Advertising'!G22+'F-5.C Advertising'!G23</f>
        <v>42229.859400000001</v>
      </c>
      <c r="H24" s="275"/>
      <c r="I24" s="226">
        <f>'F-5.B Advertising'!I22+'F-5.C Advertising'!I23</f>
        <v>0</v>
      </c>
    </row>
    <row r="25" spans="1:9">
      <c r="A25" s="219">
        <f>IF(ISBLANK(C25),"",COUNTA($C$19:C25))</f>
        <v>7</v>
      </c>
      <c r="C25" s="218" t="s">
        <v>2714</v>
      </c>
      <c r="G25" s="1162">
        <f>'F-5.B Advertising'!G23+'F-5.C Advertising'!G24</f>
        <v>6024.9210432314167</v>
      </c>
      <c r="H25" s="275"/>
      <c r="I25" s="1162">
        <f>'F-5.B Advertising'!I23+'F-5.C Advertising'!I24</f>
        <v>11838.943014108747</v>
      </c>
    </row>
    <row r="26" spans="1:9">
      <c r="A26" s="219">
        <f>IF(ISBLANK(C26),"",COUNTA($C$19:C26))</f>
        <v>8</v>
      </c>
      <c r="B26" s="274"/>
      <c r="C26" s="274" t="s">
        <v>2711</v>
      </c>
      <c r="D26" s="274"/>
      <c r="E26" s="274"/>
      <c r="F26" s="274"/>
      <c r="G26" s="226">
        <f>SUM(G20:G25)</f>
        <v>67010.141033231412</v>
      </c>
      <c r="H26" s="275"/>
      <c r="I26" s="226">
        <f>SUM(I20:I25)</f>
        <v>11838.943014108747</v>
      </c>
    </row>
    <row r="27" spans="1:9">
      <c r="A27" s="219" t="str">
        <f>IF(ISBLANK(C27),"",COUNTA($C$19:C27))</f>
        <v/>
      </c>
      <c r="G27" s="226"/>
      <c r="H27" s="275"/>
      <c r="I27" s="226"/>
    </row>
    <row r="28" spans="1:9">
      <c r="A28" s="219">
        <f>IF(ISBLANK(C28),"",COUNTA($C$19:C28))</f>
        <v>9</v>
      </c>
      <c r="C28" s="260" t="s">
        <v>2712</v>
      </c>
      <c r="G28" s="226"/>
      <c r="H28" s="275"/>
      <c r="I28" s="226"/>
    </row>
    <row r="29" spans="1:9">
      <c r="A29" s="219">
        <f>IF(ISBLANK(C29),"",COUNTA($C$19:C29))</f>
        <v>10</v>
      </c>
      <c r="C29" s="278" t="s">
        <v>2609</v>
      </c>
      <c r="E29" s="217" t="s">
        <v>2665</v>
      </c>
      <c r="G29" s="226"/>
      <c r="H29" s="275"/>
      <c r="I29" s="224">
        <v>-1024.8168600000001</v>
      </c>
    </row>
    <row r="30" spans="1:9">
      <c r="A30" s="219">
        <f>IF(ISBLANK(C30),"",COUNTA($C$19:C30))</f>
        <v>11</v>
      </c>
      <c r="C30" s="278" t="s">
        <v>2610</v>
      </c>
      <c r="E30" s="217" t="s">
        <v>2713</v>
      </c>
      <c r="G30" s="226"/>
      <c r="H30" s="275"/>
      <c r="I30" s="224">
        <v>-1112.8379400000001</v>
      </c>
    </row>
    <row r="31" spans="1:9">
      <c r="A31" s="219">
        <f>IF(ISBLANK(C31),"",COUNTA($C$19:C31))</f>
        <v>12</v>
      </c>
      <c r="C31" s="278" t="s">
        <v>2611</v>
      </c>
      <c r="E31" s="217" t="s">
        <v>2713</v>
      </c>
      <c r="G31" s="226"/>
      <c r="H31" s="275"/>
      <c r="I31" s="224">
        <v>-430.67457000000002</v>
      </c>
    </row>
    <row r="32" spans="1:9">
      <c r="A32" s="219">
        <f>IF(ISBLANK(C32),"",COUNTA($C$19:C32))</f>
        <v>13</v>
      </c>
      <c r="C32" s="278" t="s">
        <v>2612</v>
      </c>
      <c r="E32" s="217" t="s">
        <v>2713</v>
      </c>
      <c r="G32" s="226"/>
      <c r="H32" s="275"/>
      <c r="I32" s="224">
        <v>-3544.9442100000001</v>
      </c>
    </row>
    <row r="33" spans="1:9">
      <c r="A33" s="219">
        <f>IF(ISBLANK(C33),"",COUNTA($C$19:C33))</f>
        <v>14</v>
      </c>
      <c r="C33" s="278" t="s">
        <v>2613</v>
      </c>
      <c r="E33" s="217" t="s">
        <v>2713</v>
      </c>
      <c r="G33" s="226"/>
      <c r="H33" s="275"/>
      <c r="I33" s="224">
        <v>-112.12209000000001</v>
      </c>
    </row>
    <row r="34" spans="1:9">
      <c r="A34" s="219">
        <f>IF(ISBLANK(C34),"",COUNTA($C$19:C34))</f>
        <v>15</v>
      </c>
      <c r="C34" s="278" t="s">
        <v>2614</v>
      </c>
      <c r="E34" s="217" t="s">
        <v>2713</v>
      </c>
      <c r="G34" s="226"/>
      <c r="H34" s="275"/>
      <c r="I34" s="224">
        <v>-447.44049000000001</v>
      </c>
    </row>
    <row r="35" spans="1:9">
      <c r="A35" s="219">
        <f>IF(ISBLANK(C35),"",COUNTA($C$19:C35))</f>
        <v>16</v>
      </c>
      <c r="C35" s="278" t="s">
        <v>2615</v>
      </c>
      <c r="E35" s="217" t="s">
        <v>2713</v>
      </c>
      <c r="G35" s="226"/>
      <c r="H35" s="275"/>
      <c r="I35" s="224">
        <v>-209.57400000000001</v>
      </c>
    </row>
    <row r="36" spans="1:9">
      <c r="A36" s="219">
        <f>IF(ISBLANK(C36),"",COUNTA($C$19:C36))</f>
        <v>17</v>
      </c>
      <c r="C36" s="278" t="s">
        <v>2616</v>
      </c>
      <c r="E36" s="217" t="s">
        <v>2713</v>
      </c>
      <c r="G36" s="226"/>
      <c r="H36" s="281"/>
      <c r="I36" s="224">
        <v>-440.10540000000003</v>
      </c>
    </row>
    <row r="37" spans="1:9">
      <c r="A37" s="219">
        <f>IF(ISBLANK(C37),"",COUNTA($C$19:C37))</f>
        <v>18</v>
      </c>
      <c r="C37" s="278" t="s">
        <v>2617</v>
      </c>
      <c r="E37" s="217" t="s">
        <v>2713</v>
      </c>
      <c r="G37" s="226"/>
      <c r="H37" s="281"/>
      <c r="I37" s="224">
        <v>-480.97233000000006</v>
      </c>
    </row>
    <row r="38" spans="1:9">
      <c r="A38" s="219">
        <f>IF(ISBLANK(C38),"",COUNTA($C$19:C38))</f>
        <v>19</v>
      </c>
      <c r="C38" s="278" t="s">
        <v>2618</v>
      </c>
      <c r="E38" s="217" t="s">
        <v>2713</v>
      </c>
      <c r="G38" s="226"/>
      <c r="H38" s="281"/>
      <c r="I38" s="224">
        <v>-401.33421000000004</v>
      </c>
    </row>
    <row r="39" spans="1:9">
      <c r="A39" s="219">
        <f>IF(ISBLANK(C39),"",COUNTA($C$19:C39))</f>
        <v>20</v>
      </c>
      <c r="C39" s="278" t="s">
        <v>2619</v>
      </c>
      <c r="E39" s="217" t="s">
        <v>2713</v>
      </c>
      <c r="G39" s="226"/>
      <c r="I39" s="224">
        <v>-417.05226000000005</v>
      </c>
    </row>
    <row r="40" spans="1:9">
      <c r="A40" s="219">
        <f>IF(ISBLANK(C40),"",COUNTA($C$19:C40))</f>
        <v>21</v>
      </c>
      <c r="C40" s="278" t="s">
        <v>2620</v>
      </c>
      <c r="E40" s="217" t="s">
        <v>2713</v>
      </c>
      <c r="G40" s="226"/>
      <c r="I40" s="224">
        <v>-500.88186000000002</v>
      </c>
    </row>
    <row r="41" spans="1:9">
      <c r="A41" s="219">
        <f>IF(ISBLANK(C41),"",COUNTA($C$19:C41))</f>
        <v>22</v>
      </c>
      <c r="C41" s="278" t="s">
        <v>2621</v>
      </c>
      <c r="E41" s="217" t="s">
        <v>2713</v>
      </c>
      <c r="G41" s="226"/>
      <c r="I41" s="224">
        <v>-82.78173000000001</v>
      </c>
    </row>
    <row r="42" spans="1:9">
      <c r="A42" s="219">
        <f>IF(ISBLANK(C42),"",COUNTA($C$19:C42))</f>
        <v>23</v>
      </c>
      <c r="C42" s="278" t="s">
        <v>2673</v>
      </c>
      <c r="E42" s="217" t="s">
        <v>2713</v>
      </c>
      <c r="G42" s="226"/>
      <c r="I42" s="1162">
        <v>-2067.4953800000003</v>
      </c>
    </row>
    <row r="43" spans="1:9">
      <c r="A43" s="219">
        <f>IF(ISBLANK(C43),"",COUNTA($C$19:C43))</f>
        <v>24</v>
      </c>
      <c r="B43" s="274"/>
      <c r="C43" s="274" t="s">
        <v>2732</v>
      </c>
      <c r="D43" s="274"/>
      <c r="E43" s="219" t="s">
        <v>2785</v>
      </c>
      <c r="F43" s="274"/>
      <c r="G43" s="224"/>
      <c r="I43" s="224">
        <f>SUM(I29:I42)</f>
        <v>-11273.033330000002</v>
      </c>
    </row>
    <row r="44" spans="1:9">
      <c r="A44" s="219" t="str">
        <f>IF(ISBLANK(C44),"",COUNTA($C$19:C44))</f>
        <v/>
      </c>
      <c r="B44" s="274"/>
      <c r="C44" s="274"/>
      <c r="D44" s="274"/>
      <c r="E44" s="274"/>
      <c r="F44" s="274"/>
      <c r="G44" s="226"/>
      <c r="I44" s="226"/>
    </row>
    <row r="45" spans="1:9">
      <c r="A45" s="219">
        <f>IF(ISBLANK(C45),"",COUNTA($C$19:C45))</f>
        <v>25</v>
      </c>
      <c r="B45" s="274"/>
      <c r="C45" s="274" t="s">
        <v>2711</v>
      </c>
      <c r="D45" s="274"/>
      <c r="E45" s="274"/>
      <c r="F45" s="274"/>
      <c r="G45" s="228">
        <f>G26+G43</f>
        <v>67010.141033231412</v>
      </c>
      <c r="I45" s="228">
        <f>I26+I43</f>
        <v>565.90968410874484</v>
      </c>
    </row>
    <row r="46" spans="1:9">
      <c r="A46" s="219" t="str">
        <f>IF(ISBLANK(C46),"",COUNTA($C$19:C46))</f>
        <v/>
      </c>
      <c r="G46" s="218"/>
    </row>
    <row r="47" spans="1:9">
      <c r="A47" s="219">
        <f>IF(ISBLANK(C47),"",COUNTA($C$19:C47))</f>
        <v>26</v>
      </c>
      <c r="B47" s="274"/>
      <c r="C47" s="274" t="s">
        <v>2554</v>
      </c>
      <c r="D47" s="274"/>
      <c r="E47" s="274"/>
      <c r="F47" s="274"/>
      <c r="G47" s="218"/>
    </row>
    <row r="48" spans="1:9" ht="12.75" customHeight="1">
      <c r="A48" s="219">
        <f>+A47+1</f>
        <v>27</v>
      </c>
      <c r="C48" s="1334" t="s">
        <v>3116</v>
      </c>
      <c r="D48" s="1334"/>
      <c r="E48" s="1334"/>
      <c r="F48" s="1334"/>
      <c r="G48" s="1334"/>
      <c r="H48" s="1334"/>
      <c r="I48" s="1334"/>
    </row>
    <row r="49" spans="1:9">
      <c r="A49" s="219">
        <f>+A48+1</f>
        <v>28</v>
      </c>
      <c r="C49" s="1334"/>
      <c r="D49" s="1334"/>
      <c r="E49" s="1334"/>
      <c r="F49" s="1334"/>
      <c r="G49" s="1334"/>
      <c r="H49" s="1334"/>
      <c r="I49" s="1334"/>
    </row>
    <row r="50" spans="1:9">
      <c r="A50" s="219">
        <f t="shared" ref="A50:A53" si="0">+A49+1</f>
        <v>29</v>
      </c>
      <c r="C50" s="1334"/>
      <c r="D50" s="1334"/>
      <c r="E50" s="1334"/>
      <c r="F50" s="1334"/>
      <c r="G50" s="1334"/>
      <c r="H50" s="1334"/>
      <c r="I50" s="1334"/>
    </row>
    <row r="51" spans="1:9">
      <c r="A51" s="219">
        <f t="shared" si="0"/>
        <v>30</v>
      </c>
      <c r="C51" s="1334"/>
      <c r="D51" s="1334"/>
      <c r="E51" s="1334"/>
      <c r="F51" s="1334"/>
      <c r="G51" s="1334"/>
      <c r="H51" s="1334"/>
      <c r="I51" s="1334"/>
    </row>
    <row r="52" spans="1:9">
      <c r="A52" s="219">
        <f t="shared" si="0"/>
        <v>31</v>
      </c>
      <c r="C52" s="1334"/>
      <c r="D52" s="1334"/>
      <c r="E52" s="1334"/>
      <c r="F52" s="1334"/>
      <c r="G52" s="1334"/>
      <c r="H52" s="1334"/>
      <c r="I52" s="1334"/>
    </row>
    <row r="53" spans="1:9">
      <c r="A53" s="219">
        <f t="shared" si="0"/>
        <v>32</v>
      </c>
      <c r="C53" s="1334"/>
      <c r="D53" s="1334"/>
      <c r="E53" s="1334"/>
      <c r="F53" s="1334"/>
      <c r="G53" s="1334"/>
      <c r="H53" s="1334"/>
      <c r="I53" s="1334"/>
    </row>
  </sheetData>
  <mergeCells count="6">
    <mergeCell ref="C48:I53"/>
    <mergeCell ref="A1:I1"/>
    <mergeCell ref="A2:I2"/>
    <mergeCell ref="A3:I3"/>
    <mergeCell ref="A4:I4"/>
    <mergeCell ref="A5:I5"/>
  </mergeCells>
  <printOptions horizontalCentered="1"/>
  <pageMargins left="0.5" right="0.5" top="0.75" bottom="0.5" header="0.3" footer="0.3"/>
  <pageSetup scale="79"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I38"/>
  <sheetViews>
    <sheetView topLeftCell="A10" zoomScaleNormal="100" zoomScaleSheetLayoutView="100" workbookViewId="0">
      <selection activeCell="C33" sqref="C33:I38"/>
    </sheetView>
  </sheetViews>
  <sheetFormatPr defaultColWidth="9.33203125" defaultRowHeight="12.75"/>
  <cols>
    <col min="1" max="1" width="6.1640625" style="218" customWidth="1"/>
    <col min="2" max="2" width="1.6640625" style="218" customWidth="1"/>
    <col min="3" max="3" width="74.5" style="218" customWidth="1"/>
    <col min="4" max="4" width="1.6640625" style="218" customWidth="1"/>
    <col min="5" max="5" width="31.5" style="218" bestFit="1" customWidth="1"/>
    <col min="6" max="6" width="1.6640625" style="218" customWidth="1"/>
    <col min="7" max="7" width="18.5" style="953" customWidth="1"/>
    <col min="8" max="8" width="1.6640625" style="218" customWidth="1"/>
    <col min="9" max="9" width="20.5" style="218" customWidth="1"/>
    <col min="10" max="10" width="2.332031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F'!C34</f>
        <v>COMPANY DIRECT ADVERTISING</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6" spans="1:9">
      <c r="H6" s="219"/>
    </row>
    <row r="7" spans="1:9">
      <c r="A7" s="218" t="s">
        <v>60</v>
      </c>
      <c r="I7" s="271" t="s">
        <v>3032</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A11" s="880"/>
      <c r="B11" s="880"/>
      <c r="C11" s="880"/>
      <c r="D11" s="880"/>
      <c r="E11" s="880"/>
    </row>
    <row r="12" spans="1:9">
      <c r="B12" s="272"/>
      <c r="C12" s="272"/>
      <c r="D12" s="272"/>
      <c r="E12" s="272"/>
      <c r="F12" s="272"/>
      <c r="G12" s="272" t="s">
        <v>315</v>
      </c>
      <c r="H12" s="272"/>
      <c r="I12" s="272" t="s">
        <v>651</v>
      </c>
    </row>
    <row r="13" spans="1:9">
      <c r="A13" s="219" t="s">
        <v>313</v>
      </c>
      <c r="B13" s="219"/>
      <c r="C13" s="219"/>
      <c r="D13" s="219"/>
      <c r="E13" s="219"/>
      <c r="F13" s="219"/>
      <c r="G13" s="219" t="s">
        <v>319</v>
      </c>
      <c r="H13" s="219"/>
      <c r="I13" s="219" t="s">
        <v>319</v>
      </c>
    </row>
    <row r="14" spans="1:9">
      <c r="A14" s="879" t="s">
        <v>316</v>
      </c>
      <c r="B14" s="879"/>
      <c r="C14" s="879" t="s">
        <v>1015</v>
      </c>
      <c r="D14" s="879"/>
      <c r="E14" s="879" t="s">
        <v>318</v>
      </c>
      <c r="F14" s="879"/>
      <c r="G14" s="879" t="s">
        <v>444</v>
      </c>
      <c r="H14" s="879"/>
      <c r="I14" s="879" t="s">
        <v>444</v>
      </c>
    </row>
    <row r="15" spans="1:9">
      <c r="A15" s="270"/>
      <c r="B15" s="270"/>
      <c r="C15" s="270" t="s">
        <v>532</v>
      </c>
      <c r="D15" s="270"/>
      <c r="E15" s="270" t="s">
        <v>541</v>
      </c>
      <c r="F15" s="270"/>
      <c r="G15" s="270" t="s">
        <v>542</v>
      </c>
      <c r="I15" s="270" t="s">
        <v>668</v>
      </c>
    </row>
    <row r="16" spans="1:9">
      <c r="A16" s="219"/>
      <c r="B16" s="274"/>
      <c r="C16" s="274"/>
      <c r="D16" s="274"/>
      <c r="E16" s="274"/>
      <c r="F16" s="274"/>
      <c r="G16" s="282"/>
      <c r="I16" s="282"/>
    </row>
    <row r="17" spans="1:9">
      <c r="A17" s="219">
        <f>IF(ISBLANK(C17),"",COUNTA($C17:C$17))</f>
        <v>1</v>
      </c>
      <c r="B17" s="274"/>
      <c r="C17" s="260" t="s">
        <v>2710</v>
      </c>
      <c r="D17" s="274"/>
      <c r="E17" s="274"/>
      <c r="F17" s="274"/>
      <c r="G17" s="282"/>
      <c r="I17" s="282"/>
    </row>
    <row r="18" spans="1:9">
      <c r="A18" s="219">
        <f>IF(ISBLANK(C18),"",COUNTA($C$17:C18))</f>
        <v>2</v>
      </c>
      <c r="B18" s="219"/>
      <c r="C18" s="218" t="s">
        <v>3108</v>
      </c>
      <c r="D18" s="274"/>
      <c r="E18" s="274"/>
      <c r="F18" s="274"/>
      <c r="G18" s="222">
        <v>512.38</v>
      </c>
      <c r="I18" s="222">
        <v>0</v>
      </c>
    </row>
    <row r="19" spans="1:9">
      <c r="A19" s="219">
        <f>IF(ISBLANK(C19),"",COUNTA($C$17:C19))</f>
        <v>3</v>
      </c>
      <c r="B19" s="219"/>
      <c r="C19" s="218" t="s">
        <v>2605</v>
      </c>
      <c r="D19" s="274"/>
      <c r="E19" s="274"/>
      <c r="F19" s="274"/>
      <c r="G19" s="226">
        <v>0</v>
      </c>
      <c r="I19" s="226">
        <v>0</v>
      </c>
    </row>
    <row r="20" spans="1:9">
      <c r="A20" s="219">
        <f>IF(ISBLANK(C20),"",COUNTA($C$17:C20))</f>
        <v>4</v>
      </c>
      <c r="B20" s="219"/>
      <c r="C20" s="218" t="s">
        <v>2606</v>
      </c>
      <c r="G20" s="226">
        <v>0</v>
      </c>
      <c r="I20" s="226">
        <v>0</v>
      </c>
    </row>
    <row r="21" spans="1:9">
      <c r="A21" s="219">
        <f>IF(ISBLANK(C21),"",COUNTA($C$17:C21))</f>
        <v>5</v>
      </c>
      <c r="B21" s="219"/>
      <c r="C21" s="218" t="s">
        <v>2607</v>
      </c>
      <c r="G21" s="226">
        <v>1685.64</v>
      </c>
      <c r="H21" s="280"/>
      <c r="I21" s="226">
        <v>0</v>
      </c>
    </row>
    <row r="22" spans="1:9">
      <c r="A22" s="219">
        <f>IF(ISBLANK(C22),"",COUNTA($C$17:C22))</f>
        <v>6</v>
      </c>
      <c r="B22" s="219"/>
      <c r="C22" s="218" t="s">
        <v>2608</v>
      </c>
      <c r="G22" s="226">
        <v>1293.6099999999999</v>
      </c>
      <c r="H22" s="275"/>
      <c r="I22" s="226">
        <v>0</v>
      </c>
    </row>
    <row r="23" spans="1:9">
      <c r="A23" s="219">
        <f>IF(ISBLANK(C23),"",COUNTA($C$17:C23))</f>
        <v>7</v>
      </c>
      <c r="B23" s="219"/>
      <c r="C23" s="218" t="s">
        <v>2714</v>
      </c>
      <c r="G23" s="1163">
        <v>649.91999999999985</v>
      </c>
      <c r="H23" s="275"/>
      <c r="I23" s="1163">
        <v>1299.8399999999999</v>
      </c>
    </row>
    <row r="24" spans="1:9">
      <c r="A24" s="219">
        <f>IF(ISBLANK(C24),"",COUNTA($C$17:C24))</f>
        <v>8</v>
      </c>
      <c r="B24" s="219"/>
      <c r="C24" s="274" t="s">
        <v>2711</v>
      </c>
      <c r="D24" s="274"/>
      <c r="E24" s="274"/>
      <c r="F24" s="274"/>
      <c r="G24" s="226">
        <f>SUM(G18:G23)</f>
        <v>4141.55</v>
      </c>
      <c r="H24" s="275"/>
      <c r="I24" s="226">
        <f>SUM(I18:I23)</f>
        <v>1299.8399999999999</v>
      </c>
    </row>
    <row r="25" spans="1:9">
      <c r="A25" s="219" t="str">
        <f>IF(ISBLANK(C25),"",COUNTA($C$17:C25))</f>
        <v/>
      </c>
      <c r="B25" s="219"/>
      <c r="G25" s="226"/>
      <c r="H25" s="275"/>
      <c r="I25" s="226"/>
    </row>
    <row r="26" spans="1:9">
      <c r="A26" s="219"/>
      <c r="B26" s="219"/>
      <c r="C26" s="260" t="s">
        <v>2712</v>
      </c>
      <c r="G26" s="226"/>
      <c r="H26" s="275"/>
      <c r="I26" s="226"/>
    </row>
    <row r="27" spans="1:9">
      <c r="A27" s="219">
        <f>IF(ISBLANK(C27),"",COUNTA($C$17:C27))</f>
        <v>10</v>
      </c>
      <c r="B27" s="219"/>
      <c r="C27" s="278" t="s">
        <v>2609</v>
      </c>
      <c r="E27" s="39" t="str">
        <f>"Workpaper WPD-2.6G Line 8"</f>
        <v>Workpaper WPD-2.6G Line 8</v>
      </c>
      <c r="G27" s="226"/>
      <c r="H27" s="275"/>
      <c r="I27" s="1162">
        <v>-1024.8168600000001</v>
      </c>
    </row>
    <row r="28" spans="1:9">
      <c r="A28" s="219">
        <f>IF(ISBLANK(C28),"",COUNTA($C$17:C28))</f>
        <v>11</v>
      </c>
      <c r="B28" s="219"/>
      <c r="C28" s="274" t="s">
        <v>2732</v>
      </c>
      <c r="D28" s="274"/>
      <c r="E28" s="274"/>
      <c r="F28" s="274"/>
      <c r="G28" s="224"/>
      <c r="H28" s="275"/>
      <c r="I28" s="224">
        <f>I27</f>
        <v>-1024.8168600000001</v>
      </c>
    </row>
    <row r="29" spans="1:9">
      <c r="A29" s="219" t="str">
        <f>IF(ISBLANK(C29),"",COUNTA($C$17:C29))</f>
        <v/>
      </c>
      <c r="B29" s="219"/>
      <c r="C29" s="274"/>
      <c r="D29" s="274"/>
      <c r="E29" s="274"/>
      <c r="F29" s="274"/>
      <c r="G29" s="226"/>
      <c r="H29" s="275"/>
      <c r="I29" s="226"/>
    </row>
    <row r="30" spans="1:9">
      <c r="A30" s="219">
        <f>IF(ISBLANK(C30),"",COUNTA($C$17:C30))</f>
        <v>12</v>
      </c>
      <c r="B30" s="219"/>
      <c r="C30" s="274" t="s">
        <v>2711</v>
      </c>
      <c r="D30" s="274"/>
      <c r="E30" s="274"/>
      <c r="F30" s="274"/>
      <c r="G30" s="228">
        <f>G24+G28</f>
        <v>4141.55</v>
      </c>
      <c r="H30" s="275"/>
      <c r="I30" s="228">
        <f>I24+I28</f>
        <v>275.02313999999978</v>
      </c>
    </row>
    <row r="31" spans="1:9">
      <c r="A31" s="219" t="str">
        <f>IF(ISBLANK(C31),"",COUNTA($C$17:C31))</f>
        <v/>
      </c>
      <c r="B31" s="219"/>
      <c r="G31" s="218"/>
      <c r="H31" s="275"/>
    </row>
    <row r="32" spans="1:9">
      <c r="A32" s="219">
        <f>IF(ISBLANK(C32),"",COUNTA($C$17:C32))</f>
        <v>13</v>
      </c>
      <c r="B32" s="219"/>
      <c r="C32" s="274" t="s">
        <v>2554</v>
      </c>
      <c r="D32" s="274"/>
      <c r="E32" s="274"/>
      <c r="F32" s="274"/>
      <c r="G32" s="218"/>
      <c r="H32" s="275"/>
    </row>
    <row r="33" spans="1:9" ht="12.75" customHeight="1">
      <c r="A33" s="219">
        <f>+A32+1</f>
        <v>14</v>
      </c>
      <c r="C33" s="1334" t="s">
        <v>3115</v>
      </c>
      <c r="D33" s="1334"/>
      <c r="E33" s="1334"/>
      <c r="F33" s="1334"/>
      <c r="G33" s="1334"/>
      <c r="H33" s="1334"/>
      <c r="I33" s="1334"/>
    </row>
    <row r="34" spans="1:9">
      <c r="A34" s="219">
        <f>+A33+1</f>
        <v>15</v>
      </c>
      <c r="C34" s="1334"/>
      <c r="D34" s="1334"/>
      <c r="E34" s="1334"/>
      <c r="F34" s="1334"/>
      <c r="G34" s="1334"/>
      <c r="H34" s="1334"/>
      <c r="I34" s="1334"/>
    </row>
    <row r="35" spans="1:9">
      <c r="A35" s="219">
        <f t="shared" ref="A35:A38" si="0">+A34+1</f>
        <v>16</v>
      </c>
      <c r="C35" s="1334"/>
      <c r="D35" s="1334"/>
      <c r="E35" s="1334"/>
      <c r="F35" s="1334"/>
      <c r="G35" s="1334"/>
      <c r="H35" s="1334"/>
      <c r="I35" s="1334"/>
    </row>
    <row r="36" spans="1:9">
      <c r="A36" s="219">
        <f t="shared" si="0"/>
        <v>17</v>
      </c>
      <c r="C36" s="1334"/>
      <c r="D36" s="1334"/>
      <c r="E36" s="1334"/>
      <c r="F36" s="1334"/>
      <c r="G36" s="1334"/>
      <c r="H36" s="1334"/>
      <c r="I36" s="1334"/>
    </row>
    <row r="37" spans="1:9">
      <c r="A37" s="219">
        <f t="shared" si="0"/>
        <v>18</v>
      </c>
      <c r="C37" s="1334"/>
      <c r="D37" s="1334"/>
      <c r="E37" s="1334"/>
      <c r="F37" s="1334"/>
      <c r="G37" s="1334"/>
      <c r="H37" s="1334"/>
      <c r="I37" s="1334"/>
    </row>
    <row r="38" spans="1:9">
      <c r="A38" s="219">
        <f t="shared" si="0"/>
        <v>19</v>
      </c>
      <c r="C38" s="1334"/>
      <c r="D38" s="1334"/>
      <c r="E38" s="1334"/>
      <c r="F38" s="1334"/>
      <c r="G38" s="1334"/>
      <c r="H38" s="1334"/>
      <c r="I38" s="1334"/>
    </row>
  </sheetData>
  <mergeCells count="6">
    <mergeCell ref="C33:I38"/>
    <mergeCell ref="A1:I1"/>
    <mergeCell ref="A2:I2"/>
    <mergeCell ref="A3:I3"/>
    <mergeCell ref="A4:I4"/>
    <mergeCell ref="A5:I5"/>
  </mergeCells>
  <printOptions horizontalCentered="1"/>
  <pageMargins left="0.5" right="0.5" top="0.75" bottom="0.5" header="0.3" footer="0.3"/>
  <pageSetup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I50"/>
  <sheetViews>
    <sheetView topLeftCell="A25" zoomScaleNormal="100" zoomScaleSheetLayoutView="100" workbookViewId="0">
      <selection activeCell="A49" sqref="A49:A50"/>
    </sheetView>
  </sheetViews>
  <sheetFormatPr defaultColWidth="9.33203125" defaultRowHeight="12.75"/>
  <cols>
    <col min="1" max="1" width="6.1640625" style="218" customWidth="1"/>
    <col min="2" max="2" width="1.6640625" style="218" customWidth="1"/>
    <col min="3" max="3" width="114.5" style="218" customWidth="1"/>
    <col min="4" max="4" width="1.6640625" style="218" customWidth="1"/>
    <col min="5" max="5" width="35.5" style="218"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F'!C35</f>
        <v>NISOURCE SERVICE COMPANY ALLOCATED ADVERTISING</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3034</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Index'!$B$61</f>
        <v xml:space="preserve">           KING</v>
      </c>
    </row>
    <row r="11" spans="1:9">
      <c r="I11" s="271" t="str">
        <f>"           "&amp;'General Headers Index'!$B$62</f>
        <v xml:space="preserve">           BLY</v>
      </c>
    </row>
    <row r="12" spans="1:9">
      <c r="A12" s="880"/>
      <c r="B12" s="880"/>
      <c r="C12" s="880"/>
      <c r="D12" s="880"/>
      <c r="E12" s="880"/>
    </row>
    <row r="13" spans="1:9">
      <c r="B13" s="272"/>
      <c r="C13" s="272"/>
      <c r="D13" s="272"/>
      <c r="E13" s="272"/>
      <c r="F13" s="272"/>
      <c r="G13" s="272" t="s">
        <v>315</v>
      </c>
      <c r="H13" s="273"/>
      <c r="I13" s="272" t="s">
        <v>651</v>
      </c>
    </row>
    <row r="14" spans="1:9">
      <c r="A14" s="219" t="s">
        <v>313</v>
      </c>
      <c r="B14" s="219"/>
      <c r="C14" s="219"/>
      <c r="D14" s="219"/>
      <c r="E14" s="219"/>
      <c r="F14" s="219"/>
      <c r="G14" s="219" t="s">
        <v>319</v>
      </c>
      <c r="I14" s="219" t="s">
        <v>319</v>
      </c>
    </row>
    <row r="15" spans="1:9">
      <c r="A15" s="879" t="s">
        <v>316</v>
      </c>
      <c r="B15" s="879"/>
      <c r="C15" s="879" t="s">
        <v>1015</v>
      </c>
      <c r="D15" s="879"/>
      <c r="E15" s="879" t="s">
        <v>318</v>
      </c>
      <c r="F15" s="879"/>
      <c r="G15" s="879" t="s">
        <v>444</v>
      </c>
      <c r="H15" s="880"/>
      <c r="I15" s="879" t="s">
        <v>444</v>
      </c>
    </row>
    <row r="16" spans="1:9">
      <c r="A16" s="270"/>
      <c r="B16" s="270"/>
      <c r="C16" s="270" t="s">
        <v>532</v>
      </c>
      <c r="D16" s="270"/>
      <c r="E16" s="270" t="s">
        <v>541</v>
      </c>
      <c r="F16" s="270"/>
      <c r="G16" s="270" t="s">
        <v>542</v>
      </c>
      <c r="H16" s="273"/>
      <c r="I16" s="270" t="s">
        <v>668</v>
      </c>
    </row>
    <row r="17" spans="1:9">
      <c r="A17" s="219"/>
      <c r="B17" s="274"/>
      <c r="C17" s="274"/>
      <c r="D17" s="274"/>
      <c r="E17" s="274"/>
      <c r="F17" s="274"/>
      <c r="G17" s="282"/>
      <c r="H17" s="282"/>
      <c r="I17" s="282"/>
    </row>
    <row r="18" spans="1:9">
      <c r="A18" s="219">
        <f>IF(ISBLANK(C18),"",COUNTA($C$18:C18))</f>
        <v>1</v>
      </c>
      <c r="B18" s="274"/>
      <c r="C18" s="260" t="s">
        <v>2710</v>
      </c>
      <c r="D18" s="274"/>
      <c r="E18" s="274"/>
      <c r="F18" s="274"/>
      <c r="G18" s="282"/>
      <c r="H18" s="282"/>
      <c r="I18" s="282"/>
    </row>
    <row r="19" spans="1:9">
      <c r="A19" s="219">
        <f>IF(ISBLANK(C19),"",COUNTA($C$18:C19))</f>
        <v>2</v>
      </c>
      <c r="B19" s="219"/>
      <c r="C19" s="218" t="s">
        <v>3108</v>
      </c>
      <c r="D19" s="274"/>
      <c r="E19" s="274"/>
      <c r="F19" s="274"/>
      <c r="G19" s="222">
        <v>2558.5268800000003</v>
      </c>
      <c r="H19" s="222"/>
      <c r="I19" s="222">
        <v>0</v>
      </c>
    </row>
    <row r="20" spans="1:9">
      <c r="A20" s="219">
        <f>IF(ISBLANK(C20),"",COUNTA($C$18:C20))</f>
        <v>3</v>
      </c>
      <c r="B20" s="219"/>
      <c r="C20" s="218" t="s">
        <v>3113</v>
      </c>
      <c r="D20" s="274"/>
      <c r="E20" s="274"/>
      <c r="F20" s="274"/>
      <c r="G20" s="226">
        <v>3992.9737</v>
      </c>
      <c r="H20" s="226"/>
      <c r="I20" s="226">
        <v>0</v>
      </c>
    </row>
    <row r="21" spans="1:9">
      <c r="A21" s="219">
        <f>IF(ISBLANK(C21),"",COUNTA($C$18:C21))</f>
        <v>4</v>
      </c>
      <c r="B21" s="219"/>
      <c r="C21" s="218" t="s">
        <v>2606</v>
      </c>
      <c r="G21" s="226">
        <v>1238.8899999999999</v>
      </c>
      <c r="H21" s="226"/>
      <c r="I21" s="226">
        <v>0</v>
      </c>
    </row>
    <row r="22" spans="1:9">
      <c r="A22" s="219">
        <f>IF(ISBLANK(C22),"",COUNTA($C$18:C22))</f>
        <v>5</v>
      </c>
      <c r="B22" s="219"/>
      <c r="C22" s="218" t="s">
        <v>2607</v>
      </c>
      <c r="G22" s="226">
        <v>8766.9500100000005</v>
      </c>
      <c r="H22" s="226"/>
      <c r="I22" s="226">
        <v>0</v>
      </c>
    </row>
    <row r="23" spans="1:9">
      <c r="A23" s="219">
        <f>IF(ISBLANK(C23),"",COUNTA($C$18:C23))</f>
        <v>6</v>
      </c>
      <c r="B23" s="219"/>
      <c r="C23" s="218" t="s">
        <v>3114</v>
      </c>
      <c r="G23" s="226">
        <v>40936.249400000001</v>
      </c>
      <c r="H23" s="226"/>
      <c r="I23" s="226">
        <v>0</v>
      </c>
    </row>
    <row r="24" spans="1:9">
      <c r="A24" s="219">
        <f>IF(ISBLANK(C24),"",COUNTA($C$18:C24))</f>
        <v>7</v>
      </c>
      <c r="B24" s="219"/>
      <c r="C24" s="218" t="s">
        <v>2714</v>
      </c>
      <c r="G24" s="1162">
        <v>5375.0010432314166</v>
      </c>
      <c r="H24" s="226"/>
      <c r="I24" s="1162">
        <v>10539.103014108747</v>
      </c>
    </row>
    <row r="25" spans="1:9">
      <c r="A25" s="219">
        <f>IF(ISBLANK(C25),"",COUNTA($C$18:C25))</f>
        <v>8</v>
      </c>
      <c r="B25" s="219"/>
      <c r="C25" s="274" t="s">
        <v>2711</v>
      </c>
      <c r="D25" s="274"/>
      <c r="E25" s="274"/>
      <c r="F25" s="274"/>
      <c r="G25" s="226">
        <f>SUM(G19:G24)</f>
        <v>62868.591033231416</v>
      </c>
      <c r="H25" s="226"/>
      <c r="I25" s="226">
        <f>SUM(I19:I24)</f>
        <v>10539.103014108747</v>
      </c>
    </row>
    <row r="26" spans="1:9">
      <c r="A26" s="219" t="str">
        <f>IF(ISBLANK(C26),"",COUNTA($C$18:C26))</f>
        <v/>
      </c>
      <c r="B26" s="219"/>
      <c r="G26" s="226"/>
      <c r="H26" s="226"/>
      <c r="I26" s="226"/>
    </row>
    <row r="27" spans="1:9">
      <c r="A27" s="219">
        <f>IF(ISBLANK(C27),"",COUNTA($C$18:C27))</f>
        <v>9</v>
      </c>
      <c r="B27" s="219"/>
      <c r="C27" s="260" t="s">
        <v>2712</v>
      </c>
      <c r="G27" s="226"/>
      <c r="H27" s="226"/>
      <c r="I27" s="226"/>
    </row>
    <row r="28" spans="1:9">
      <c r="A28" s="219">
        <f>IF(ISBLANK(C28),"",COUNTA($C$18:C28))</f>
        <v>10</v>
      </c>
      <c r="B28" s="219"/>
      <c r="C28" s="278" t="s">
        <v>2610</v>
      </c>
      <c r="E28" s="39" t="str">
        <f>"Workpaper WPD-2.6H Line 7"</f>
        <v>Workpaper WPD-2.6H Line 7</v>
      </c>
      <c r="G28" s="226"/>
      <c r="H28" s="226"/>
      <c r="I28" s="224">
        <v>-1112.8379400000001</v>
      </c>
    </row>
    <row r="29" spans="1:9">
      <c r="A29" s="219">
        <f>IF(ISBLANK(C29),"",COUNTA($C$18:C29))</f>
        <v>11</v>
      </c>
      <c r="B29" s="219"/>
      <c r="C29" s="278" t="s">
        <v>2611</v>
      </c>
      <c r="E29" s="39" t="str">
        <f t="shared" ref="E29:E40" si="0">"Workpaper WPD-2.6H Line 7"</f>
        <v>Workpaper WPD-2.6H Line 7</v>
      </c>
      <c r="G29" s="226"/>
      <c r="H29" s="226"/>
      <c r="I29" s="224">
        <v>-430.67457000000002</v>
      </c>
    </row>
    <row r="30" spans="1:9">
      <c r="A30" s="219">
        <f>IF(ISBLANK(C30),"",COUNTA($C$18:C30))</f>
        <v>12</v>
      </c>
      <c r="B30" s="219"/>
      <c r="C30" s="278" t="s">
        <v>2612</v>
      </c>
      <c r="E30" s="39" t="str">
        <f t="shared" si="0"/>
        <v>Workpaper WPD-2.6H Line 7</v>
      </c>
      <c r="G30" s="226"/>
      <c r="H30" s="226"/>
      <c r="I30" s="224">
        <v>-3544.9442100000001</v>
      </c>
    </row>
    <row r="31" spans="1:9">
      <c r="A31" s="219">
        <f>IF(ISBLANK(C31),"",COUNTA($C$18:C31))</f>
        <v>13</v>
      </c>
      <c r="B31" s="219"/>
      <c r="C31" s="278" t="s">
        <v>2613</v>
      </c>
      <c r="E31" s="39" t="str">
        <f t="shared" si="0"/>
        <v>Workpaper WPD-2.6H Line 7</v>
      </c>
      <c r="G31" s="226"/>
      <c r="H31" s="226"/>
      <c r="I31" s="224">
        <v>-112.12209000000001</v>
      </c>
    </row>
    <row r="32" spans="1:9">
      <c r="A32" s="219">
        <f>IF(ISBLANK(C32),"",COUNTA($C$18:C32))</f>
        <v>14</v>
      </c>
      <c r="B32" s="219"/>
      <c r="C32" s="278" t="s">
        <v>2614</v>
      </c>
      <c r="E32" s="39" t="str">
        <f t="shared" si="0"/>
        <v>Workpaper WPD-2.6H Line 7</v>
      </c>
      <c r="G32" s="226"/>
      <c r="H32" s="226"/>
      <c r="I32" s="224">
        <v>-447.44049000000001</v>
      </c>
    </row>
    <row r="33" spans="1:9">
      <c r="A33" s="219">
        <f>IF(ISBLANK(C33),"",COUNTA($C$18:C33))</f>
        <v>15</v>
      </c>
      <c r="B33" s="219"/>
      <c r="C33" s="278" t="s">
        <v>2615</v>
      </c>
      <c r="E33" s="39" t="str">
        <f t="shared" si="0"/>
        <v>Workpaper WPD-2.6H Line 7</v>
      </c>
      <c r="G33" s="226"/>
      <c r="H33" s="226"/>
      <c r="I33" s="224">
        <v>-209.57400000000001</v>
      </c>
    </row>
    <row r="34" spans="1:9">
      <c r="A34" s="219">
        <f>IF(ISBLANK(C34),"",COUNTA($C$18:C34))</f>
        <v>16</v>
      </c>
      <c r="B34" s="219"/>
      <c r="C34" s="278" t="s">
        <v>2616</v>
      </c>
      <c r="E34" s="39" t="str">
        <f t="shared" si="0"/>
        <v>Workpaper WPD-2.6H Line 7</v>
      </c>
      <c r="G34" s="226"/>
      <c r="H34" s="226"/>
      <c r="I34" s="224">
        <v>-440.10540000000003</v>
      </c>
    </row>
    <row r="35" spans="1:9">
      <c r="A35" s="219">
        <f>IF(ISBLANK(C35),"",COUNTA($C$18:C35))</f>
        <v>17</v>
      </c>
      <c r="B35" s="219"/>
      <c r="C35" s="278" t="s">
        <v>2617</v>
      </c>
      <c r="E35" s="39" t="str">
        <f t="shared" si="0"/>
        <v>Workpaper WPD-2.6H Line 7</v>
      </c>
      <c r="G35" s="226"/>
      <c r="H35" s="226"/>
      <c r="I35" s="224">
        <v>-480.97233000000006</v>
      </c>
    </row>
    <row r="36" spans="1:9">
      <c r="A36" s="219">
        <f>IF(ISBLANK(C36),"",COUNTA($C$18:C36))</f>
        <v>18</v>
      </c>
      <c r="B36" s="219"/>
      <c r="C36" s="278" t="s">
        <v>2618</v>
      </c>
      <c r="E36" s="39" t="str">
        <f t="shared" si="0"/>
        <v>Workpaper WPD-2.6H Line 7</v>
      </c>
      <c r="G36" s="226"/>
      <c r="H36" s="226"/>
      <c r="I36" s="224">
        <v>-401.33421000000004</v>
      </c>
    </row>
    <row r="37" spans="1:9">
      <c r="A37" s="219">
        <f>IF(ISBLANK(C37),"",COUNTA($C$18:C37))</f>
        <v>19</v>
      </c>
      <c r="B37" s="219"/>
      <c r="C37" s="278" t="s">
        <v>2619</v>
      </c>
      <c r="E37" s="39" t="str">
        <f t="shared" si="0"/>
        <v>Workpaper WPD-2.6H Line 7</v>
      </c>
      <c r="G37" s="226"/>
      <c r="H37" s="226"/>
      <c r="I37" s="224">
        <v>-417.05226000000005</v>
      </c>
    </row>
    <row r="38" spans="1:9">
      <c r="A38" s="219">
        <f>IF(ISBLANK(C38),"",COUNTA($C$18:C38))</f>
        <v>20</v>
      </c>
      <c r="B38" s="219"/>
      <c r="C38" s="278" t="s">
        <v>2620</v>
      </c>
      <c r="E38" s="39" t="str">
        <f t="shared" si="0"/>
        <v>Workpaper WPD-2.6H Line 7</v>
      </c>
      <c r="G38" s="226"/>
      <c r="H38" s="226"/>
      <c r="I38" s="224">
        <v>-500.88186000000002</v>
      </c>
    </row>
    <row r="39" spans="1:9">
      <c r="A39" s="219">
        <f>IF(ISBLANK(C39),"",COUNTA($C$18:C39))</f>
        <v>21</v>
      </c>
      <c r="B39" s="219"/>
      <c r="C39" s="278" t="s">
        <v>2621</v>
      </c>
      <c r="E39" s="39" t="str">
        <f t="shared" si="0"/>
        <v>Workpaper WPD-2.6H Line 7</v>
      </c>
      <c r="G39" s="226"/>
      <c r="H39" s="226"/>
      <c r="I39" s="224">
        <v>-82.78173000000001</v>
      </c>
    </row>
    <row r="40" spans="1:9">
      <c r="A40" s="219">
        <f>IF(ISBLANK(C40),"",COUNTA($C$18:C40))</f>
        <v>22</v>
      </c>
      <c r="B40" s="219"/>
      <c r="C40" s="278" t="s">
        <v>2673</v>
      </c>
      <c r="E40" s="39" t="str">
        <f t="shared" si="0"/>
        <v>Workpaper WPD-2.6H Line 7</v>
      </c>
      <c r="G40" s="226"/>
      <c r="H40" s="226"/>
      <c r="I40" s="1162">
        <v>-2067.4953800000003</v>
      </c>
    </row>
    <row r="41" spans="1:9">
      <c r="A41" s="219">
        <f>IF(ISBLANK(C41),"",COUNTA($C$18:C41))</f>
        <v>23</v>
      </c>
      <c r="B41" s="219"/>
      <c r="C41" s="274" t="s">
        <v>2732</v>
      </c>
      <c r="D41" s="274"/>
      <c r="E41" s="274"/>
      <c r="F41" s="274"/>
      <c r="G41" s="224"/>
      <c r="H41" s="226"/>
      <c r="I41" s="224">
        <f>SUM(I28:I40)</f>
        <v>-10248.216469999999</v>
      </c>
    </row>
    <row r="42" spans="1:9">
      <c r="A42" s="219" t="str">
        <f>IF(ISBLANK(C42),"",COUNTA($C$18:C42))</f>
        <v/>
      </c>
      <c r="B42" s="219"/>
      <c r="C42" s="274"/>
      <c r="D42" s="274"/>
      <c r="E42" s="274"/>
      <c r="F42" s="274"/>
      <c r="G42" s="226"/>
      <c r="H42" s="226"/>
      <c r="I42" s="226"/>
    </row>
    <row r="43" spans="1:9">
      <c r="A43" s="219">
        <f>IF(ISBLANK(C43),"",COUNTA($C$18:C43))</f>
        <v>24</v>
      </c>
      <c r="B43" s="219"/>
      <c r="C43" s="274" t="s">
        <v>2711</v>
      </c>
      <c r="D43" s="274"/>
      <c r="E43" s="274"/>
      <c r="F43" s="274"/>
      <c r="G43" s="228">
        <f>G25+G41</f>
        <v>62868.591033231416</v>
      </c>
      <c r="H43" s="281"/>
      <c r="I43" s="228">
        <f>I25+I41</f>
        <v>290.88654410874733</v>
      </c>
    </row>
    <row r="44" spans="1:9">
      <c r="A44" s="219" t="str">
        <f>IF(ISBLANK(C44),"",COUNTA($C$18:C44))</f>
        <v/>
      </c>
      <c r="B44" s="219"/>
      <c r="G44" s="218"/>
    </row>
    <row r="45" spans="1:9">
      <c r="A45" s="219">
        <f>IF(ISBLANK(C45),"",COUNTA($C$18:C45))</f>
        <v>25</v>
      </c>
      <c r="B45" s="219"/>
      <c r="C45" s="274" t="s">
        <v>2554</v>
      </c>
      <c r="D45" s="274"/>
      <c r="E45" s="274"/>
      <c r="F45" s="274"/>
      <c r="G45" s="218"/>
    </row>
    <row r="46" spans="1:9" ht="12.75" customHeight="1">
      <c r="A46" s="219">
        <f>+A45+1</f>
        <v>26</v>
      </c>
      <c r="C46" s="1334" t="s">
        <v>3116</v>
      </c>
      <c r="D46" s="1334"/>
      <c r="E46" s="1334"/>
      <c r="F46" s="1334"/>
      <c r="G46" s="1334"/>
      <c r="H46" s="1334"/>
      <c r="I46" s="1334"/>
    </row>
    <row r="47" spans="1:9">
      <c r="A47" s="219">
        <f t="shared" ref="A47:A50" si="1">+A46+1</f>
        <v>27</v>
      </c>
      <c r="C47" s="1334"/>
      <c r="D47" s="1334"/>
      <c r="E47" s="1334"/>
      <c r="F47" s="1334"/>
      <c r="G47" s="1334"/>
      <c r="H47" s="1334"/>
      <c r="I47" s="1334"/>
    </row>
    <row r="48" spans="1:9">
      <c r="A48" s="219">
        <f t="shared" si="1"/>
        <v>28</v>
      </c>
      <c r="C48" s="1334"/>
      <c r="D48" s="1334"/>
      <c r="E48" s="1334"/>
      <c r="F48" s="1334"/>
      <c r="G48" s="1334"/>
      <c r="H48" s="1334"/>
      <c r="I48" s="1334"/>
    </row>
    <row r="49" spans="1:9">
      <c r="A49" s="219">
        <f t="shared" si="1"/>
        <v>29</v>
      </c>
      <c r="C49" s="1334"/>
      <c r="D49" s="1334"/>
      <c r="E49" s="1334"/>
      <c r="F49" s="1334"/>
      <c r="G49" s="1334"/>
      <c r="H49" s="1334"/>
      <c r="I49" s="1334"/>
    </row>
    <row r="50" spans="1:9">
      <c r="A50" s="219">
        <f t="shared" si="1"/>
        <v>30</v>
      </c>
      <c r="C50" s="1334"/>
      <c r="D50" s="1334"/>
      <c r="E50" s="1334"/>
      <c r="F50" s="1334"/>
      <c r="G50" s="1334"/>
      <c r="H50" s="1334"/>
      <c r="I50" s="1334"/>
    </row>
  </sheetData>
  <mergeCells count="6">
    <mergeCell ref="C46:I50"/>
    <mergeCell ref="A1:I1"/>
    <mergeCell ref="A2:I2"/>
    <mergeCell ref="A3:I3"/>
    <mergeCell ref="A4:I4"/>
    <mergeCell ref="A5:I5"/>
  </mergeCells>
  <printOptions horizontalCentered="1"/>
  <pageMargins left="0.5" right="0.5" top="0.75" bottom="0.5" header="0.3" footer="0.3"/>
  <pageSetup scale="79"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I34"/>
  <sheetViews>
    <sheetView zoomScaleNormal="100" zoomScaleSheetLayoutView="100" workbookViewId="0">
      <selection activeCell="A32" sqref="A32:A34"/>
    </sheetView>
  </sheetViews>
  <sheetFormatPr defaultColWidth="9.33203125" defaultRowHeight="12.75"/>
  <cols>
    <col min="1" max="1" width="6.1640625" style="218" customWidth="1"/>
    <col min="2" max="2" width="1.6640625" style="218" customWidth="1"/>
    <col min="3" max="3" width="82.83203125"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F'!C36</f>
        <v xml:space="preserve">TOTAL COMPANY PROFESSIONAL SERVICE EXPENSES </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3035</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I11" s="271" t="str">
        <f>"           "&amp;'General Headers Index'!$B$61</f>
        <v xml:space="preserve">           KING</v>
      </c>
    </row>
    <row r="12" spans="1:9">
      <c r="I12" s="271" t="str">
        <f>"           "&amp;'General Headers Index'!$B$62</f>
        <v xml:space="preserve">           BLY</v>
      </c>
    </row>
    <row r="13" spans="1:9">
      <c r="A13" s="880"/>
      <c r="B13" s="880"/>
      <c r="C13" s="880"/>
      <c r="D13" s="880"/>
      <c r="E13" s="880"/>
    </row>
    <row r="14" spans="1:9">
      <c r="B14" s="272"/>
      <c r="C14" s="272"/>
      <c r="D14" s="272"/>
      <c r="E14" s="272"/>
      <c r="F14" s="272"/>
      <c r="G14" s="272" t="s">
        <v>315</v>
      </c>
      <c r="H14" s="273"/>
      <c r="I14" s="272" t="s">
        <v>651</v>
      </c>
    </row>
    <row r="15" spans="1:9">
      <c r="A15" s="219" t="s">
        <v>313</v>
      </c>
      <c r="B15" s="219"/>
      <c r="C15" s="219"/>
      <c r="D15" s="219"/>
      <c r="E15" s="219"/>
      <c r="F15" s="219"/>
      <c r="G15" s="219" t="s">
        <v>319</v>
      </c>
      <c r="I15" s="219" t="s">
        <v>319</v>
      </c>
    </row>
    <row r="16" spans="1:9">
      <c r="A16" s="879" t="s">
        <v>316</v>
      </c>
      <c r="B16" s="879"/>
      <c r="C16" s="879" t="s">
        <v>1015</v>
      </c>
      <c r="D16" s="879"/>
      <c r="E16" s="879" t="s">
        <v>318</v>
      </c>
      <c r="F16" s="879"/>
      <c r="G16" s="879" t="s">
        <v>444</v>
      </c>
      <c r="H16" s="880"/>
      <c r="I16" s="879" t="s">
        <v>444</v>
      </c>
    </row>
    <row r="17" spans="1:9">
      <c r="A17" s="270"/>
      <c r="B17" s="270"/>
      <c r="C17" s="270" t="s">
        <v>532</v>
      </c>
      <c r="D17" s="270"/>
      <c r="E17" s="270" t="s">
        <v>541</v>
      </c>
      <c r="F17" s="270"/>
      <c r="G17" s="270" t="s">
        <v>542</v>
      </c>
      <c r="H17" s="273"/>
      <c r="I17" s="270" t="s">
        <v>668</v>
      </c>
    </row>
    <row r="18" spans="1:9">
      <c r="A18" s="219"/>
      <c r="B18" s="274"/>
      <c r="C18" s="274"/>
      <c r="D18" s="274"/>
      <c r="E18" s="274"/>
      <c r="F18" s="274"/>
      <c r="G18" s="282"/>
      <c r="H18" s="282"/>
      <c r="I18" s="282"/>
    </row>
    <row r="19" spans="1:9">
      <c r="A19" s="219">
        <f>IF(ISBLANK(C19),"",COUNTA($C$19:C19))</f>
        <v>1</v>
      </c>
      <c r="B19" s="219"/>
      <c r="C19" s="274" t="s">
        <v>2718</v>
      </c>
      <c r="D19" s="274"/>
      <c r="E19" s="219" t="s">
        <v>2622</v>
      </c>
      <c r="F19" s="274"/>
      <c r="G19" s="241">
        <f>'F-6.B Professional Services Exp'!G17+'F-6.C Professional Services Exp'!G18</f>
        <v>235383.27210646134</v>
      </c>
      <c r="H19" s="281"/>
      <c r="I19" s="241">
        <f>'F-6.B Professional Services Exp'!I17+'F-6.C Professional Services Exp'!I18</f>
        <v>253956.2430781828</v>
      </c>
    </row>
    <row r="20" spans="1:9">
      <c r="A20" s="219" t="str">
        <f>IF(ISBLANK(C20),"",COUNTA($C$19:C20))</f>
        <v/>
      </c>
      <c r="B20" s="219"/>
      <c r="C20" s="248"/>
      <c r="D20" s="248"/>
      <c r="E20" s="249"/>
      <c r="F20" s="248"/>
      <c r="G20" s="275"/>
      <c r="H20" s="275"/>
      <c r="I20" s="275"/>
    </row>
    <row r="21" spans="1:9">
      <c r="A21" s="219">
        <f>IF(ISBLANK(C21),"",COUNTA($C$19:C21))</f>
        <v>2</v>
      </c>
      <c r="B21" s="219"/>
      <c r="C21" s="274" t="s">
        <v>3109</v>
      </c>
      <c r="D21" s="274"/>
      <c r="E21" s="219" t="s">
        <v>2622</v>
      </c>
      <c r="F21" s="274"/>
      <c r="G21" s="250">
        <f>'F-6.B Professional Services Exp'!G19+'F-6.C Professional Services Exp'!G20</f>
        <v>1675161.1808688238</v>
      </c>
      <c r="H21" s="224"/>
      <c r="I21" s="245">
        <f>'F-6.B Professional Services Exp'!I19+'F-6.C Professional Services Exp'!I20</f>
        <v>541718.33229814598</v>
      </c>
    </row>
    <row r="22" spans="1:9">
      <c r="A22" s="219" t="str">
        <f>IF(ISBLANK(C22),"",COUNTA($C$19:C22))</f>
        <v/>
      </c>
      <c r="B22" s="219"/>
      <c r="C22" s="274"/>
      <c r="D22" s="274"/>
      <c r="E22" s="219"/>
      <c r="F22" s="274"/>
      <c r="G22" s="275"/>
      <c r="H22" s="275"/>
      <c r="I22" s="275"/>
    </row>
    <row r="23" spans="1:9">
      <c r="A23" s="219">
        <f>IF(ISBLANK(C23),"",COUNTA($C$19:C23))</f>
        <v>3</v>
      </c>
      <c r="B23" s="219"/>
      <c r="C23" s="218" t="s">
        <v>2720</v>
      </c>
      <c r="E23" s="219"/>
      <c r="G23" s="228">
        <f>SUM(G19:G22)</f>
        <v>1910544.4529752852</v>
      </c>
      <c r="H23" s="251"/>
      <c r="I23" s="228">
        <f>SUM(I19:I22)</f>
        <v>795674.57537632878</v>
      </c>
    </row>
    <row r="24" spans="1:9">
      <c r="A24" s="219" t="str">
        <f>IF(ISBLANK(C24),"",COUNTA($C$19:C24))</f>
        <v/>
      </c>
      <c r="B24" s="219"/>
      <c r="C24" s="274"/>
      <c r="D24" s="274"/>
      <c r="E24" s="219"/>
      <c r="F24" s="274"/>
      <c r="G24" s="218"/>
    </row>
    <row r="25" spans="1:9">
      <c r="A25" s="219">
        <f>IF(ISBLANK(C25),"",COUNTA($C$19:C25))</f>
        <v>4</v>
      </c>
      <c r="B25" s="219"/>
      <c r="C25" s="274" t="s">
        <v>2554</v>
      </c>
      <c r="D25" s="274"/>
      <c r="E25" s="219"/>
      <c r="F25" s="274"/>
      <c r="G25" s="218"/>
    </row>
    <row r="26" spans="1:9">
      <c r="A26" s="219">
        <f>IF(ISBLANK(C26),"",COUNTA($C$19:C26))</f>
        <v>5</v>
      </c>
      <c r="B26" s="219"/>
      <c r="C26" s="274" t="s">
        <v>2715</v>
      </c>
      <c r="D26" s="274"/>
      <c r="E26" s="219"/>
      <c r="F26" s="274"/>
      <c r="G26" s="218"/>
    </row>
    <row r="27" spans="1:9">
      <c r="A27" s="219">
        <f>IF(ISBLANK(C27),"",COUNTA($C$19:C27))</f>
        <v>6</v>
      </c>
      <c r="B27" s="219"/>
      <c r="C27" s="218" t="s">
        <v>2716</v>
      </c>
      <c r="G27" s="252"/>
      <c r="H27" s="252"/>
      <c r="I27" s="252"/>
    </row>
    <row r="28" spans="1:9" ht="12.75" customHeight="1">
      <c r="A28" s="219">
        <f>+A27+1</f>
        <v>7</v>
      </c>
      <c r="C28" s="1334" t="s">
        <v>3117</v>
      </c>
      <c r="D28" s="1334"/>
      <c r="E28" s="1334"/>
      <c r="F28" s="1334"/>
      <c r="G28" s="1334"/>
      <c r="H28" s="1334"/>
      <c r="I28" s="1334"/>
    </row>
    <row r="29" spans="1:9">
      <c r="A29" s="219">
        <f t="shared" ref="A29:A34" si="0">+A28+1</f>
        <v>8</v>
      </c>
      <c r="C29" s="1334"/>
      <c r="D29" s="1334"/>
      <c r="E29" s="1334"/>
      <c r="F29" s="1334"/>
      <c r="G29" s="1334"/>
      <c r="H29" s="1334"/>
      <c r="I29" s="1334"/>
    </row>
    <row r="30" spans="1:9">
      <c r="A30" s="219">
        <f t="shared" si="0"/>
        <v>9</v>
      </c>
      <c r="C30" s="1334"/>
      <c r="D30" s="1334"/>
      <c r="E30" s="1334"/>
      <c r="F30" s="1334"/>
      <c r="G30" s="1334"/>
      <c r="H30" s="1334"/>
      <c r="I30" s="1334"/>
    </row>
    <row r="31" spans="1:9">
      <c r="A31" s="219">
        <f t="shared" si="0"/>
        <v>10</v>
      </c>
      <c r="C31" s="1334"/>
      <c r="D31" s="1334"/>
      <c r="E31" s="1334"/>
      <c r="F31" s="1334"/>
      <c r="G31" s="1334"/>
      <c r="H31" s="1334"/>
      <c r="I31" s="1334"/>
    </row>
    <row r="32" spans="1:9">
      <c r="A32" s="219">
        <f t="shared" si="0"/>
        <v>11</v>
      </c>
      <c r="C32" s="1334"/>
      <c r="D32" s="1334"/>
      <c r="E32" s="1334"/>
      <c r="F32" s="1334"/>
      <c r="G32" s="1334"/>
      <c r="H32" s="1334"/>
      <c r="I32" s="1334"/>
    </row>
    <row r="33" spans="1:9">
      <c r="A33" s="219">
        <f t="shared" si="0"/>
        <v>12</v>
      </c>
      <c r="C33" s="1334"/>
      <c r="D33" s="1334"/>
      <c r="E33" s="1334"/>
      <c r="F33" s="1334"/>
      <c r="G33" s="1334"/>
      <c r="H33" s="1334"/>
      <c r="I33" s="1334"/>
    </row>
    <row r="34" spans="1:9">
      <c r="A34" s="219">
        <f t="shared" si="0"/>
        <v>13</v>
      </c>
      <c r="C34" s="1334"/>
      <c r="D34" s="1334"/>
      <c r="E34" s="1334"/>
      <c r="F34" s="1334"/>
      <c r="G34" s="1334"/>
      <c r="H34" s="1334"/>
      <c r="I34" s="1334"/>
    </row>
  </sheetData>
  <mergeCells count="6">
    <mergeCell ref="C28:I34"/>
    <mergeCell ref="A1:I1"/>
    <mergeCell ref="A2:I2"/>
    <mergeCell ref="A3:I3"/>
    <mergeCell ref="A4:I4"/>
    <mergeCell ref="A5:I5"/>
  </mergeCells>
  <printOptions horizontalCentered="1"/>
  <pageMargins left="0.5" right="0.5" top="0.75" bottom="0.5" header="0.3" footer="0.3"/>
  <pageSetup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I25"/>
  <sheetViews>
    <sheetView zoomScaleNormal="100" zoomScaleSheetLayoutView="100" workbookViewId="0">
      <selection activeCell="K37" sqref="K37"/>
    </sheetView>
  </sheetViews>
  <sheetFormatPr defaultColWidth="9.33203125" defaultRowHeight="12.75"/>
  <cols>
    <col min="1" max="1" width="6.1640625" style="218" customWidth="1"/>
    <col min="2" max="2" width="1.6640625" style="218" customWidth="1"/>
    <col min="3" max="3" width="81.1640625"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F'!C37</f>
        <v xml:space="preserve">COMPANY DIRECT PROFESSIONAL SERVICE EXPENSES </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3036</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A11" s="880"/>
      <c r="B11" s="880"/>
      <c r="C11" s="880"/>
      <c r="D11" s="880"/>
      <c r="E11" s="880"/>
    </row>
    <row r="12" spans="1:9">
      <c r="B12" s="272"/>
      <c r="C12" s="272"/>
      <c r="D12" s="272"/>
      <c r="E12" s="272"/>
      <c r="F12" s="272"/>
      <c r="G12" s="272" t="s">
        <v>315</v>
      </c>
      <c r="H12" s="273"/>
      <c r="I12" s="272" t="s">
        <v>651</v>
      </c>
    </row>
    <row r="13" spans="1:9">
      <c r="A13" s="219" t="s">
        <v>313</v>
      </c>
      <c r="B13" s="219"/>
      <c r="C13" s="219"/>
      <c r="D13" s="219"/>
      <c r="E13" s="219"/>
      <c r="F13" s="219"/>
      <c r="G13" s="219" t="s">
        <v>319</v>
      </c>
      <c r="I13" s="219" t="s">
        <v>319</v>
      </c>
    </row>
    <row r="14" spans="1:9">
      <c r="A14" s="879" t="s">
        <v>316</v>
      </c>
      <c r="B14" s="879"/>
      <c r="C14" s="879" t="s">
        <v>1015</v>
      </c>
      <c r="D14" s="879"/>
      <c r="E14" s="879" t="s">
        <v>318</v>
      </c>
      <c r="F14" s="879"/>
      <c r="G14" s="879" t="s">
        <v>444</v>
      </c>
      <c r="H14" s="880"/>
      <c r="I14" s="879" t="s">
        <v>444</v>
      </c>
    </row>
    <row r="15" spans="1:9">
      <c r="A15" s="270"/>
      <c r="B15" s="270"/>
      <c r="C15" s="270" t="s">
        <v>532</v>
      </c>
      <c r="D15" s="270"/>
      <c r="E15" s="270" t="s">
        <v>541</v>
      </c>
      <c r="F15" s="270"/>
      <c r="G15" s="270" t="s">
        <v>542</v>
      </c>
      <c r="H15" s="273"/>
      <c r="I15" s="270" t="s">
        <v>668</v>
      </c>
    </row>
    <row r="16" spans="1:9">
      <c r="A16" s="219"/>
      <c r="B16" s="274"/>
      <c r="C16" s="274"/>
      <c r="D16" s="274"/>
      <c r="E16" s="274"/>
      <c r="F16" s="274"/>
      <c r="G16" s="282"/>
      <c r="H16" s="282"/>
      <c r="I16" s="282"/>
    </row>
    <row r="17" spans="1:9">
      <c r="A17" s="219">
        <f>IF(ISBLANK(C17),"",COUNTA($C17:C$17))</f>
        <v>1</v>
      </c>
      <c r="B17" s="219"/>
      <c r="C17" s="274" t="s">
        <v>2718</v>
      </c>
      <c r="D17" s="274"/>
      <c r="E17" s="219"/>
      <c r="F17" s="274"/>
      <c r="G17" s="241">
        <v>204545.54</v>
      </c>
      <c r="H17" s="281"/>
      <c r="I17" s="241">
        <v>207021.84000000005</v>
      </c>
    </row>
    <row r="18" spans="1:9">
      <c r="A18" s="219" t="str">
        <f>IF(ISBLANK(C18),"",COUNTA($C$17:C18))</f>
        <v/>
      </c>
      <c r="B18" s="219"/>
      <c r="C18" s="248"/>
      <c r="D18" s="248"/>
      <c r="E18" s="249"/>
      <c r="F18" s="248"/>
      <c r="G18" s="275"/>
      <c r="H18" s="275"/>
      <c r="I18" s="275"/>
    </row>
    <row r="19" spans="1:9">
      <c r="A19" s="219">
        <f>IF(ISBLANK(C19),"",COUNTA($C$17:C19))</f>
        <v>2</v>
      </c>
      <c r="B19" s="219"/>
      <c r="C19" s="274" t="s">
        <v>2719</v>
      </c>
      <c r="D19" s="274"/>
      <c r="E19" s="219"/>
      <c r="F19" s="274"/>
      <c r="G19" s="250">
        <v>365183.80340324674</v>
      </c>
      <c r="H19" s="224"/>
      <c r="I19" s="245">
        <v>400011.77063059213</v>
      </c>
    </row>
    <row r="20" spans="1:9">
      <c r="A20" s="219" t="str">
        <f>IF(ISBLANK(C20),"",COUNTA($C$17:C20))</f>
        <v/>
      </c>
      <c r="B20" s="219"/>
      <c r="C20" s="274"/>
      <c r="D20" s="274"/>
      <c r="E20" s="219"/>
      <c r="F20" s="274"/>
      <c r="G20" s="275"/>
      <c r="H20" s="275"/>
      <c r="I20" s="275"/>
    </row>
    <row r="21" spans="1:9">
      <c r="A21" s="219">
        <f>IF(ISBLANK(C21),"",COUNTA($C$17:C21))</f>
        <v>3</v>
      </c>
      <c r="B21" s="219"/>
      <c r="C21" s="218" t="s">
        <v>2720</v>
      </c>
      <c r="E21" s="219"/>
      <c r="G21" s="228">
        <f>SUM(G17:G20)</f>
        <v>569729.34340324672</v>
      </c>
      <c r="H21" s="251"/>
      <c r="I21" s="228">
        <f>SUM(I17:I20)</f>
        <v>607033.61063059221</v>
      </c>
    </row>
    <row r="22" spans="1:9">
      <c r="A22" s="219" t="str">
        <f>IF(ISBLANK(C22),"",COUNTA($C$17:C22))</f>
        <v/>
      </c>
      <c r="B22" s="219"/>
      <c r="C22" s="274"/>
      <c r="D22" s="274"/>
      <c r="E22" s="219"/>
      <c r="F22" s="274"/>
      <c r="G22" s="218"/>
    </row>
    <row r="23" spans="1:9">
      <c r="A23" s="219">
        <f>IF(ISBLANK(C23),"",COUNTA($C$17:C23))</f>
        <v>4</v>
      </c>
      <c r="B23" s="219"/>
      <c r="C23" s="274" t="s">
        <v>2554</v>
      </c>
      <c r="D23" s="274"/>
      <c r="E23" s="219"/>
      <c r="F23" s="274"/>
      <c r="G23" s="218"/>
    </row>
    <row r="24" spans="1:9">
      <c r="A24" s="219">
        <f>IF(ISBLANK(C24),"",COUNTA($C$17:C24))</f>
        <v>5</v>
      </c>
      <c r="B24" s="219"/>
      <c r="C24" s="274" t="s">
        <v>2715</v>
      </c>
      <c r="D24" s="274"/>
      <c r="E24" s="219"/>
      <c r="F24" s="274"/>
      <c r="G24" s="218"/>
    </row>
    <row r="25" spans="1:9">
      <c r="A25" s="219">
        <f>IF(ISBLANK(C25),"",COUNTA($C$17:C25))</f>
        <v>6</v>
      </c>
      <c r="B25" s="219"/>
      <c r="C25" s="218" t="s">
        <v>2716</v>
      </c>
      <c r="G25" s="252"/>
      <c r="H25" s="252"/>
      <c r="I25" s="252"/>
    </row>
  </sheetData>
  <mergeCells count="5">
    <mergeCell ref="A1:I1"/>
    <mergeCell ref="A2:I2"/>
    <mergeCell ref="A3:I3"/>
    <mergeCell ref="A4:I4"/>
    <mergeCell ref="A5:I5"/>
  </mergeCells>
  <printOptions horizontalCentered="1"/>
  <pageMargins left="0.5" right="0.5" top="0.75" bottom="0.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22"/>
  <sheetViews>
    <sheetView tabSelected="1" zoomScaleNormal="100" zoomScaleSheetLayoutView="106" workbookViewId="0">
      <selection activeCell="C17" sqref="C17"/>
    </sheetView>
  </sheetViews>
  <sheetFormatPr defaultRowHeight="10.5"/>
  <cols>
    <col min="1" max="1" width="25.5" customWidth="1"/>
    <col min="2" max="2" width="2.1640625" customWidth="1"/>
    <col min="3" max="3" width="75" customWidth="1"/>
  </cols>
  <sheetData>
    <row r="1" spans="1:3" ht="12.75" customHeight="1"/>
    <row r="2" spans="1:3" ht="12.75" customHeight="1"/>
    <row r="3" spans="1:3" ht="12.75">
      <c r="A3" s="883" t="s">
        <v>681</v>
      </c>
      <c r="B3" s="883"/>
      <c r="C3" s="883"/>
    </row>
    <row r="4" spans="1:3" ht="12.75">
      <c r="A4" s="255"/>
      <c r="B4" s="255"/>
      <c r="C4" s="255"/>
    </row>
    <row r="5" spans="1:3" ht="12.75">
      <c r="A5" s="883" t="s">
        <v>682</v>
      </c>
      <c r="B5" s="883"/>
      <c r="C5" s="883"/>
    </row>
    <row r="6" spans="1:3" ht="12.75">
      <c r="A6" s="255"/>
      <c r="B6" s="255"/>
      <c r="C6" s="255"/>
    </row>
    <row r="7" spans="1:3" ht="12.75">
      <c r="A7" s="883" t="str">
        <f>'General Headers Index'!B4</f>
        <v>COLUMBIA GAS OF KENTUCKY, INC.</v>
      </c>
      <c r="B7" s="883"/>
      <c r="C7" s="883"/>
    </row>
    <row r="8" spans="1:3" ht="12.75">
      <c r="A8" s="255"/>
      <c r="B8" s="255"/>
      <c r="C8" s="255"/>
    </row>
    <row r="9" spans="1:3" ht="12.75">
      <c r="A9" s="883" t="str">
        <f>'General Headers Index'!B6</f>
        <v>CASE NO. 2024 - 00092</v>
      </c>
      <c r="B9" s="883"/>
      <c r="C9" s="883"/>
    </row>
    <row r="10" spans="1:3" ht="12.75">
      <c r="A10" s="255"/>
      <c r="B10" s="255"/>
      <c r="C10" s="255"/>
    </row>
    <row r="11" spans="1:3" ht="12.75">
      <c r="A11" s="255"/>
      <c r="B11" s="255"/>
      <c r="C11" s="255"/>
    </row>
    <row r="12" spans="1:3" ht="12.75">
      <c r="A12" s="255"/>
      <c r="B12" s="255"/>
      <c r="C12" s="255"/>
    </row>
    <row r="13" spans="1:3" ht="12.75">
      <c r="A13" s="286" t="s">
        <v>683</v>
      </c>
      <c r="B13" s="255"/>
      <c r="C13" s="286" t="str">
        <f>'General Headers Index'!B8</f>
        <v>FOR THE TWELVE MONTHS ENDED AUGUST 31, 2024</v>
      </c>
    </row>
    <row r="14" spans="1:3" ht="12.75">
      <c r="A14" s="255"/>
      <c r="B14" s="255"/>
      <c r="C14" s="255"/>
    </row>
    <row r="15" spans="1:3" ht="12.75">
      <c r="A15" s="286" t="s">
        <v>684</v>
      </c>
      <c r="B15" s="255"/>
      <c r="C15" s="286" t="str">
        <f>'General Headers Index'!B15</f>
        <v>FOR THE TWELVE MONTHS ENDED DECEMBER 31, 2025</v>
      </c>
    </row>
    <row r="16" spans="1:3" ht="12.75">
      <c r="A16" s="255"/>
      <c r="B16" s="255"/>
      <c r="C16" s="255"/>
    </row>
    <row r="17" spans="1:3" ht="12.75">
      <c r="A17" s="255"/>
      <c r="B17" s="255"/>
      <c r="C17" s="255"/>
    </row>
    <row r="18" spans="1:3" ht="12.75">
      <c r="A18" s="287" t="s">
        <v>314</v>
      </c>
      <c r="B18" s="288"/>
      <c r="C18" s="287" t="s">
        <v>451</v>
      </c>
    </row>
    <row r="19" spans="1:3" ht="12.75">
      <c r="A19" s="255"/>
      <c r="B19" s="255"/>
      <c r="C19" s="255"/>
    </row>
    <row r="20" spans="1:3" ht="12.75">
      <c r="A20" s="255"/>
      <c r="B20" s="255"/>
      <c r="C20" s="255"/>
    </row>
    <row r="21" spans="1:3" ht="12.75">
      <c r="A21" s="286" t="s">
        <v>685</v>
      </c>
      <c r="B21" s="255"/>
      <c r="C21" s="286" t="s">
        <v>680</v>
      </c>
    </row>
    <row r="22" spans="1:3" ht="12.75">
      <c r="A22" s="286"/>
      <c r="B22" s="255"/>
      <c r="C22" s="286"/>
    </row>
  </sheetData>
  <printOptions horizontalCentered="1"/>
  <pageMargins left="0.5" right="0.5" top="0.75" bottom="0.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I33"/>
  <sheetViews>
    <sheetView zoomScaleNormal="100" zoomScaleSheetLayoutView="100" workbookViewId="0">
      <selection activeCell="A31" sqref="A31:A33"/>
    </sheetView>
  </sheetViews>
  <sheetFormatPr defaultColWidth="9.33203125" defaultRowHeight="12.75"/>
  <cols>
    <col min="1" max="1" width="6.1640625" style="218" customWidth="1"/>
    <col min="2" max="2" width="1.6640625" style="218" customWidth="1"/>
    <col min="3" max="3" width="82.6640625"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F'!C38</f>
        <v xml:space="preserve">NISOURCE SERVICE COMPANY ALLOCATED PROFESSIONAL SERVICE EXPENSES </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3037</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Index'!$B$61</f>
        <v xml:space="preserve">           KING</v>
      </c>
    </row>
    <row r="11" spans="1:9">
      <c r="I11" s="271" t="str">
        <f>"           "&amp;'General Headers Index'!$B$62</f>
        <v xml:space="preserve">           BLY</v>
      </c>
    </row>
    <row r="12" spans="1:9">
      <c r="A12" s="880"/>
      <c r="B12" s="880"/>
      <c r="C12" s="880"/>
      <c r="D12" s="880"/>
      <c r="E12" s="880"/>
    </row>
    <row r="13" spans="1:9">
      <c r="B13" s="272"/>
      <c r="C13" s="272"/>
      <c r="D13" s="272"/>
      <c r="E13" s="272"/>
      <c r="F13" s="272"/>
      <c r="G13" s="272" t="s">
        <v>315</v>
      </c>
      <c r="H13" s="273"/>
      <c r="I13" s="272" t="s">
        <v>651</v>
      </c>
    </row>
    <row r="14" spans="1:9">
      <c r="A14" s="219" t="s">
        <v>313</v>
      </c>
      <c r="B14" s="219"/>
      <c r="C14" s="219"/>
      <c r="D14" s="219"/>
      <c r="E14" s="219"/>
      <c r="F14" s="219"/>
      <c r="G14" s="219" t="s">
        <v>319</v>
      </c>
      <c r="I14" s="219" t="s">
        <v>319</v>
      </c>
    </row>
    <row r="15" spans="1:9">
      <c r="A15" s="879" t="s">
        <v>316</v>
      </c>
      <c r="B15" s="879"/>
      <c r="C15" s="879" t="s">
        <v>1015</v>
      </c>
      <c r="D15" s="879"/>
      <c r="E15" s="879" t="s">
        <v>318</v>
      </c>
      <c r="F15" s="879"/>
      <c r="G15" s="879" t="s">
        <v>444</v>
      </c>
      <c r="H15" s="880"/>
      <c r="I15" s="879" t="s">
        <v>444</v>
      </c>
    </row>
    <row r="16" spans="1:9">
      <c r="A16" s="270"/>
      <c r="B16" s="270"/>
      <c r="C16" s="270" t="s">
        <v>532</v>
      </c>
      <c r="D16" s="270"/>
      <c r="E16" s="270" t="s">
        <v>541</v>
      </c>
      <c r="F16" s="270"/>
      <c r="G16" s="270" t="s">
        <v>542</v>
      </c>
      <c r="H16" s="273"/>
      <c r="I16" s="270" t="s">
        <v>668</v>
      </c>
    </row>
    <row r="17" spans="1:9">
      <c r="A17" s="219"/>
      <c r="B17" s="274"/>
      <c r="C17" s="274"/>
      <c r="D17" s="274"/>
      <c r="E17" s="274"/>
      <c r="F17" s="274"/>
      <c r="G17" s="282"/>
      <c r="H17" s="282"/>
      <c r="I17" s="282"/>
    </row>
    <row r="18" spans="1:9">
      <c r="A18" s="219">
        <f>IF(ISBLANK(C18),"",COUNTA($C$17:C18))</f>
        <v>1</v>
      </c>
      <c r="B18" s="219"/>
      <c r="C18" s="274" t="s">
        <v>2718</v>
      </c>
      <c r="D18" s="274"/>
      <c r="E18" s="219"/>
      <c r="F18" s="274"/>
      <c r="G18" s="241">
        <v>30837.732106461339</v>
      </c>
      <c r="H18" s="281"/>
      <c r="I18" s="241">
        <v>46934.403078182731</v>
      </c>
    </row>
    <row r="19" spans="1:9">
      <c r="A19" s="219" t="str">
        <f>IF(ISBLANK(C19),"",COUNTA($C$17:C19))</f>
        <v/>
      </c>
      <c r="B19" s="219"/>
      <c r="C19" s="248"/>
      <c r="D19" s="248"/>
      <c r="E19" s="249"/>
      <c r="F19" s="248"/>
      <c r="G19" s="275"/>
      <c r="H19" s="275"/>
      <c r="I19" s="275"/>
    </row>
    <row r="20" spans="1:9">
      <c r="A20" s="219">
        <f>IF(ISBLANK(C20),"",COUNTA($C$17:C20))</f>
        <v>2</v>
      </c>
      <c r="B20" s="219"/>
      <c r="C20" s="274" t="s">
        <v>3109</v>
      </c>
      <c r="D20" s="274"/>
      <c r="E20" s="219"/>
      <c r="F20" s="274"/>
      <c r="G20" s="250">
        <v>1309977.3774655771</v>
      </c>
      <c r="H20" s="224"/>
      <c r="I20" s="245">
        <v>141706.56166755388</v>
      </c>
    </row>
    <row r="21" spans="1:9">
      <c r="A21" s="219" t="str">
        <f>IF(ISBLANK(C21),"",COUNTA($C$17:C21))</f>
        <v/>
      </c>
      <c r="B21" s="219"/>
      <c r="C21" s="274"/>
      <c r="D21" s="274"/>
      <c r="E21" s="219"/>
      <c r="F21" s="274"/>
      <c r="G21" s="275"/>
      <c r="H21" s="275"/>
      <c r="I21" s="275"/>
    </row>
    <row r="22" spans="1:9">
      <c r="A22" s="219">
        <f>IF(ISBLANK(C22),"",COUNTA($C$17:C22))</f>
        <v>3</v>
      </c>
      <c r="B22" s="219"/>
      <c r="C22" s="218" t="s">
        <v>2720</v>
      </c>
      <c r="E22" s="219"/>
      <c r="G22" s="228">
        <f>SUM(G18:G21)</f>
        <v>1340815.1095720385</v>
      </c>
      <c r="H22" s="251"/>
      <c r="I22" s="228">
        <f>SUM(I18:I21)</f>
        <v>188640.96474573662</v>
      </c>
    </row>
    <row r="23" spans="1:9">
      <c r="A23" s="219" t="str">
        <f>IF(ISBLANK(C23),"",COUNTA($C$17:C23))</f>
        <v/>
      </c>
      <c r="B23" s="219"/>
      <c r="C23" s="274"/>
      <c r="D23" s="274"/>
      <c r="E23" s="219"/>
      <c r="F23" s="274"/>
      <c r="G23" s="218"/>
    </row>
    <row r="24" spans="1:9">
      <c r="A24" s="219">
        <f>IF(ISBLANK(C24),"",COUNTA($C$17:C24))</f>
        <v>4</v>
      </c>
      <c r="B24" s="219"/>
      <c r="C24" s="274" t="s">
        <v>2554</v>
      </c>
      <c r="D24" s="274"/>
      <c r="E24" s="219"/>
      <c r="F24" s="274"/>
      <c r="G24" s="218"/>
    </row>
    <row r="25" spans="1:9">
      <c r="A25" s="219">
        <f>IF(ISBLANK(C25),"",COUNTA($C$17:C25))</f>
        <v>5</v>
      </c>
      <c r="B25" s="219"/>
      <c r="C25" s="274" t="s">
        <v>2715</v>
      </c>
      <c r="D25" s="274"/>
      <c r="E25" s="219"/>
      <c r="F25" s="274"/>
      <c r="G25" s="218"/>
    </row>
    <row r="26" spans="1:9">
      <c r="A26" s="219">
        <f>IF(ISBLANK(C26),"",COUNTA($C$17:C26))</f>
        <v>6</v>
      </c>
      <c r="B26" s="219"/>
      <c r="C26" s="218" t="s">
        <v>2716</v>
      </c>
      <c r="G26" s="252"/>
      <c r="H26" s="252"/>
      <c r="I26" s="252"/>
    </row>
    <row r="27" spans="1:9" ht="12.75" customHeight="1">
      <c r="A27" s="219">
        <f>+A26+1</f>
        <v>7</v>
      </c>
      <c r="C27" s="1334" t="s">
        <v>3117</v>
      </c>
      <c r="D27" s="1334"/>
      <c r="E27" s="1334"/>
      <c r="F27" s="1334"/>
      <c r="G27" s="1334"/>
      <c r="H27" s="1334"/>
      <c r="I27" s="1334"/>
    </row>
    <row r="28" spans="1:9">
      <c r="A28" s="219">
        <f t="shared" ref="A28:A33" si="0">+A27+1</f>
        <v>8</v>
      </c>
      <c r="C28" s="1334"/>
      <c r="D28" s="1334"/>
      <c r="E28" s="1334"/>
      <c r="F28" s="1334"/>
      <c r="G28" s="1334"/>
      <c r="H28" s="1334"/>
      <c r="I28" s="1334"/>
    </row>
    <row r="29" spans="1:9">
      <c r="A29" s="219">
        <f t="shared" si="0"/>
        <v>9</v>
      </c>
      <c r="C29" s="1334"/>
      <c r="D29" s="1334"/>
      <c r="E29" s="1334"/>
      <c r="F29" s="1334"/>
      <c r="G29" s="1334"/>
      <c r="H29" s="1334"/>
      <c r="I29" s="1334"/>
    </row>
    <row r="30" spans="1:9">
      <c r="A30" s="219">
        <f t="shared" si="0"/>
        <v>10</v>
      </c>
      <c r="C30" s="1334"/>
      <c r="D30" s="1334"/>
      <c r="E30" s="1334"/>
      <c r="F30" s="1334"/>
      <c r="G30" s="1334"/>
      <c r="H30" s="1334"/>
      <c r="I30" s="1334"/>
    </row>
    <row r="31" spans="1:9">
      <c r="A31" s="219">
        <f t="shared" si="0"/>
        <v>11</v>
      </c>
      <c r="C31" s="1334"/>
      <c r="D31" s="1334"/>
      <c r="E31" s="1334"/>
      <c r="F31" s="1334"/>
      <c r="G31" s="1334"/>
      <c r="H31" s="1334"/>
      <c r="I31" s="1334"/>
    </row>
    <row r="32" spans="1:9">
      <c r="A32" s="219">
        <f t="shared" si="0"/>
        <v>12</v>
      </c>
      <c r="C32" s="1334"/>
      <c r="D32" s="1334"/>
      <c r="E32" s="1334"/>
      <c r="F32" s="1334"/>
      <c r="G32" s="1334"/>
      <c r="H32" s="1334"/>
      <c r="I32" s="1334"/>
    </row>
    <row r="33" spans="1:9">
      <c r="A33" s="219">
        <f t="shared" si="0"/>
        <v>13</v>
      </c>
      <c r="C33" s="1334"/>
      <c r="D33" s="1334"/>
      <c r="E33" s="1334"/>
      <c r="F33" s="1334"/>
      <c r="G33" s="1334"/>
      <c r="H33" s="1334"/>
      <c r="I33" s="1334"/>
    </row>
  </sheetData>
  <mergeCells count="6">
    <mergeCell ref="C27:I33"/>
    <mergeCell ref="A1:I1"/>
    <mergeCell ref="A2:I2"/>
    <mergeCell ref="A3:I3"/>
    <mergeCell ref="A4:I4"/>
    <mergeCell ref="A5:I5"/>
  </mergeCells>
  <printOptions horizontalCentered="1"/>
  <pageMargins left="0.5" right="0.5" top="0.75" bottom="0.5" header="0.3" footer="0.3"/>
  <pageSetup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I29"/>
  <sheetViews>
    <sheetView zoomScaleNormal="100" zoomScaleSheetLayoutView="100" workbookViewId="0">
      <selection activeCell="A3" sqref="A3:I3"/>
    </sheetView>
  </sheetViews>
  <sheetFormatPr defaultColWidth="9.33203125" defaultRowHeight="12.75"/>
  <cols>
    <col min="1" max="1" width="6.1640625" style="218" customWidth="1"/>
    <col min="2" max="2" width="1.6640625" style="218" customWidth="1"/>
    <col min="3" max="3" width="82"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F'!C39</f>
        <v>TOTAL COMPANY CIVIC, POLITICAL AND RELATED ACTIVITIES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3038</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I11" s="271" t="str">
        <f>"           "&amp;'General Headers Index'!$B$61</f>
        <v xml:space="preserve">           KING</v>
      </c>
    </row>
    <row r="12" spans="1:9">
      <c r="I12" s="271" t="str">
        <f>"           "&amp;'General Headers Index'!$B$62</f>
        <v xml:space="preserve">           BLY</v>
      </c>
    </row>
    <row r="13" spans="1:9">
      <c r="A13" s="880"/>
      <c r="B13" s="880"/>
      <c r="C13" s="880"/>
      <c r="D13" s="880"/>
      <c r="E13" s="880"/>
    </row>
    <row r="14" spans="1:9">
      <c r="B14" s="272"/>
      <c r="C14" s="272"/>
      <c r="D14" s="272"/>
      <c r="E14" s="272"/>
      <c r="F14" s="272"/>
      <c r="G14" s="272" t="s">
        <v>315</v>
      </c>
      <c r="H14" s="273"/>
      <c r="I14" s="272" t="s">
        <v>651</v>
      </c>
    </row>
    <row r="15" spans="1:9">
      <c r="A15" s="219" t="s">
        <v>313</v>
      </c>
      <c r="B15" s="219"/>
      <c r="C15" s="219"/>
      <c r="D15" s="219"/>
      <c r="E15" s="219"/>
      <c r="F15" s="219"/>
      <c r="G15" s="219" t="s">
        <v>319</v>
      </c>
      <c r="I15" s="219" t="s">
        <v>319</v>
      </c>
    </row>
    <row r="16" spans="1:9">
      <c r="A16" s="879" t="s">
        <v>316</v>
      </c>
      <c r="B16" s="879"/>
      <c r="C16" s="879" t="s">
        <v>1015</v>
      </c>
      <c r="D16" s="879"/>
      <c r="E16" s="879" t="s">
        <v>318</v>
      </c>
      <c r="F16" s="879"/>
      <c r="G16" s="879" t="s">
        <v>444</v>
      </c>
      <c r="H16" s="880"/>
      <c r="I16" s="879" t="s">
        <v>444</v>
      </c>
    </row>
    <row r="17" spans="1:9">
      <c r="A17" s="270"/>
      <c r="B17" s="270"/>
      <c r="C17" s="270" t="s">
        <v>532</v>
      </c>
      <c r="D17" s="270"/>
      <c r="E17" s="270" t="s">
        <v>541</v>
      </c>
      <c r="F17" s="270"/>
      <c r="G17" s="270" t="s">
        <v>542</v>
      </c>
      <c r="H17" s="273"/>
      <c r="I17" s="270" t="s">
        <v>668</v>
      </c>
    </row>
    <row r="18" spans="1:9">
      <c r="A18" s="219"/>
      <c r="B18" s="274"/>
      <c r="C18" s="274"/>
      <c r="D18" s="274"/>
      <c r="E18" s="274"/>
      <c r="F18" s="274"/>
      <c r="G18" s="282"/>
      <c r="H18" s="282"/>
      <c r="I18" s="282"/>
    </row>
    <row r="19" spans="1:9">
      <c r="A19" s="219">
        <f>IF(ISBLANK(C19),"",COUNTA($C$18:C19))</f>
        <v>1</v>
      </c>
      <c r="B19" s="219"/>
      <c r="C19" s="218" t="s">
        <v>2717</v>
      </c>
      <c r="E19" s="219" t="s">
        <v>2735</v>
      </c>
      <c r="G19" s="222">
        <f>'F-7.B Civic,Political Activ'!G17+'F-7.C Civic,Political Activ'!G18</f>
        <v>3159</v>
      </c>
      <c r="H19" s="281"/>
      <c r="I19" s="222">
        <f>'F-7.B Civic,Political Activ'!I17+'F-7.C Civic,Political Activ'!I18</f>
        <v>5976.6915845250005</v>
      </c>
    </row>
    <row r="20" spans="1:9">
      <c r="A20" s="219" t="str">
        <f>IF(ISBLANK(C20),"",COUNTA($C$18:C20))</f>
        <v/>
      </c>
      <c r="B20" s="219"/>
      <c r="E20" s="219"/>
      <c r="G20" s="275"/>
      <c r="H20" s="275"/>
      <c r="I20" s="275"/>
    </row>
    <row r="21" spans="1:9">
      <c r="A21" s="219">
        <f>IF(ISBLANK(C21),"",COUNTA($C$18:C21))</f>
        <v>2</v>
      </c>
      <c r="B21" s="219"/>
      <c r="C21" s="218" t="s">
        <v>2721</v>
      </c>
      <c r="E21" s="219" t="s">
        <v>2735</v>
      </c>
      <c r="G21" s="245">
        <f>'F-7.B Civic,Political Activ'!G19+'F-7.C Civic,Political Activ'!G20</f>
        <v>99923.059959999999</v>
      </c>
      <c r="H21" s="275"/>
      <c r="I21" s="245">
        <f>'F-7.B Civic,Political Activ'!I19+'F-7.C Civic,Political Activ'!I20</f>
        <v>101736.44104131822</v>
      </c>
    </row>
    <row r="22" spans="1:9">
      <c r="A22" s="219" t="str">
        <f>IF(ISBLANK(C22),"",COUNTA($C$18:C22))</f>
        <v/>
      </c>
      <c r="B22" s="219"/>
      <c r="G22" s="275"/>
      <c r="H22" s="275"/>
      <c r="I22" s="275"/>
    </row>
    <row r="23" spans="1:9">
      <c r="A23" s="219">
        <f>IF(ISBLANK(C23),"",COUNTA($C$18:C23))</f>
        <v>3</v>
      </c>
      <c r="B23" s="219"/>
      <c r="C23" s="218" t="s">
        <v>2722</v>
      </c>
      <c r="G23" s="228">
        <f>SUM(G19:G22)</f>
        <v>103082.05996</v>
      </c>
      <c r="H23" s="281"/>
      <c r="I23" s="228">
        <f>SUM(I19:I22)</f>
        <v>107713.13262584322</v>
      </c>
    </row>
    <row r="24" spans="1:9">
      <c r="A24" s="219" t="str">
        <f>IF(ISBLANK(C24),"",COUNTA($C$18:C24))</f>
        <v/>
      </c>
      <c r="B24" s="219"/>
      <c r="G24" s="282"/>
      <c r="H24" s="282"/>
      <c r="I24" s="282"/>
    </row>
    <row r="25" spans="1:9">
      <c r="A25" s="219" t="str">
        <f>IF(ISBLANK(C25),"",COUNTA($C$18:C25))</f>
        <v/>
      </c>
      <c r="B25" s="219"/>
      <c r="G25" s="282"/>
      <c r="H25" s="282"/>
      <c r="I25" s="282"/>
    </row>
    <row r="26" spans="1:9">
      <c r="A26" s="219">
        <f>IF(ISBLANK(C26),"",COUNTA($C$18:C26))</f>
        <v>4</v>
      </c>
      <c r="B26" s="219"/>
      <c r="C26" s="274" t="s">
        <v>2623</v>
      </c>
      <c r="D26" s="274"/>
      <c r="E26" s="274"/>
      <c r="F26" s="274"/>
      <c r="G26" s="282"/>
      <c r="H26" s="282"/>
      <c r="I26" s="282"/>
    </row>
    <row r="27" spans="1:9">
      <c r="A27" s="219">
        <f>IF(ISBLANK(C27),"",COUNTA($C$18:C27))</f>
        <v>5</v>
      </c>
      <c r="B27" s="219"/>
      <c r="C27" s="274" t="s">
        <v>2624</v>
      </c>
      <c r="D27" s="274"/>
      <c r="E27" s="274"/>
      <c r="F27" s="274"/>
      <c r="G27" s="282"/>
      <c r="H27" s="282"/>
      <c r="I27" s="282"/>
    </row>
    <row r="28" spans="1:9">
      <c r="A28" s="219">
        <f>IF(ISBLANK(C28),"",COUNTA($C$18:C28))</f>
        <v>6</v>
      </c>
      <c r="B28" s="219"/>
      <c r="C28" s="218" t="s">
        <v>2625</v>
      </c>
      <c r="G28" s="283"/>
      <c r="H28" s="283"/>
      <c r="I28" s="283"/>
    </row>
    <row r="29" spans="1:9">
      <c r="A29" s="219" t="str">
        <f>IF(ISBLANK(C29),"",COUNTA($C$20:C29))</f>
        <v/>
      </c>
      <c r="B29" s="219"/>
      <c r="C29" s="274"/>
      <c r="D29" s="274"/>
      <c r="E29" s="274"/>
      <c r="F29" s="274"/>
      <c r="G29" s="283"/>
      <c r="H29" s="283"/>
      <c r="I29" s="283"/>
    </row>
  </sheetData>
  <mergeCells count="5">
    <mergeCell ref="A1:I1"/>
    <mergeCell ref="A2:I2"/>
    <mergeCell ref="A3:I3"/>
    <mergeCell ref="A4:I4"/>
    <mergeCell ref="A5:I5"/>
  </mergeCells>
  <printOptions horizontalCentered="1"/>
  <pageMargins left="0.5" right="0.5" top="0.75" bottom="0.5" header="0.3" footer="0.3"/>
  <pageSetup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I27"/>
  <sheetViews>
    <sheetView zoomScaleNormal="100" zoomScaleSheetLayoutView="100" workbookViewId="0">
      <selection activeCell="A3" sqref="A3:I3"/>
    </sheetView>
  </sheetViews>
  <sheetFormatPr defaultColWidth="9.33203125" defaultRowHeight="12.75"/>
  <cols>
    <col min="1" max="1" width="6.1640625" style="218" customWidth="1"/>
    <col min="2" max="2" width="1.6640625" style="218" customWidth="1"/>
    <col min="3" max="3" width="80.83203125"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F'!C40</f>
        <v>COMPANY DIRECT CIVIC, POLITICAL AND RELATED ACTIVITIES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3039</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A11" s="880"/>
      <c r="B11" s="880"/>
      <c r="C11" s="880"/>
      <c r="D11" s="880"/>
      <c r="E11" s="880"/>
    </row>
    <row r="12" spans="1:9">
      <c r="B12" s="272"/>
      <c r="C12" s="272"/>
      <c r="D12" s="272"/>
      <c r="E12" s="272"/>
      <c r="F12" s="272"/>
      <c r="G12" s="272" t="s">
        <v>315</v>
      </c>
      <c r="H12" s="273"/>
      <c r="I12" s="272" t="s">
        <v>651</v>
      </c>
    </row>
    <row r="13" spans="1:9">
      <c r="A13" s="219" t="s">
        <v>313</v>
      </c>
      <c r="B13" s="219"/>
      <c r="C13" s="219"/>
      <c r="D13" s="219"/>
      <c r="E13" s="219"/>
      <c r="F13" s="219"/>
      <c r="G13" s="219" t="s">
        <v>319</v>
      </c>
      <c r="I13" s="219" t="s">
        <v>319</v>
      </c>
    </row>
    <row r="14" spans="1:9">
      <c r="A14" s="879" t="s">
        <v>316</v>
      </c>
      <c r="B14" s="879"/>
      <c r="C14" s="879" t="s">
        <v>1015</v>
      </c>
      <c r="D14" s="879"/>
      <c r="E14" s="879" t="s">
        <v>318</v>
      </c>
      <c r="F14" s="879"/>
      <c r="G14" s="879" t="s">
        <v>444</v>
      </c>
      <c r="H14" s="880"/>
      <c r="I14" s="879" t="s">
        <v>444</v>
      </c>
    </row>
    <row r="15" spans="1:9">
      <c r="A15" s="270"/>
      <c r="B15" s="270"/>
      <c r="C15" s="270" t="s">
        <v>532</v>
      </c>
      <c r="D15" s="270"/>
      <c r="E15" s="270" t="s">
        <v>541</v>
      </c>
      <c r="F15" s="270"/>
      <c r="G15" s="270" t="s">
        <v>542</v>
      </c>
      <c r="H15" s="273"/>
      <c r="I15" s="270" t="s">
        <v>668</v>
      </c>
    </row>
    <row r="16" spans="1:9">
      <c r="A16" s="219"/>
      <c r="B16" s="274"/>
      <c r="C16" s="274"/>
      <c r="D16" s="274"/>
      <c r="E16" s="274"/>
      <c r="F16" s="274"/>
      <c r="G16" s="282"/>
      <c r="H16" s="282"/>
      <c r="I16" s="282"/>
    </row>
    <row r="17" spans="1:9">
      <c r="A17" s="219">
        <f>IF(ISBLANK(C17),"",COUNTA($C$17:C17))</f>
        <v>1</v>
      </c>
      <c r="B17" s="219"/>
      <c r="C17" s="218" t="s">
        <v>2717</v>
      </c>
      <c r="G17" s="222">
        <v>0</v>
      </c>
      <c r="H17" s="281"/>
      <c r="I17" s="222">
        <v>0</v>
      </c>
    </row>
    <row r="18" spans="1:9">
      <c r="A18" s="219" t="str">
        <f>IF(ISBLANK(C18),"",COUNTA($C$17:C18))</f>
        <v/>
      </c>
      <c r="B18" s="219"/>
      <c r="G18" s="275"/>
      <c r="H18" s="275"/>
      <c r="I18" s="275"/>
    </row>
    <row r="19" spans="1:9">
      <c r="A19" s="219">
        <f>IF(ISBLANK(C19),"",COUNTA($C$17:C19))</f>
        <v>2</v>
      </c>
      <c r="B19" s="219"/>
      <c r="C19" s="218" t="s">
        <v>2721</v>
      </c>
      <c r="G19" s="245">
        <v>83643.20336</v>
      </c>
      <c r="H19" s="275"/>
      <c r="I19" s="245">
        <v>86590.078378386417</v>
      </c>
    </row>
    <row r="20" spans="1:9">
      <c r="A20" s="219" t="str">
        <f>IF(ISBLANK(C20),"",COUNTA($C$17:C20))</f>
        <v/>
      </c>
      <c r="B20" s="219"/>
      <c r="G20" s="275"/>
      <c r="H20" s="275"/>
      <c r="I20" s="275"/>
    </row>
    <row r="21" spans="1:9">
      <c r="A21" s="219">
        <f>IF(ISBLANK(C21),"",COUNTA($C$17:C21))</f>
        <v>3</v>
      </c>
      <c r="B21" s="219"/>
      <c r="C21" s="218" t="s">
        <v>2722</v>
      </c>
      <c r="G21" s="228">
        <f>SUM(G17:G20)</f>
        <v>83643.20336</v>
      </c>
      <c r="H21" s="281"/>
      <c r="I21" s="228">
        <f>SUM(I17:I20)</f>
        <v>86590.078378386417</v>
      </c>
    </row>
    <row r="22" spans="1:9">
      <c r="A22" s="219" t="str">
        <f>IF(ISBLANK(C22),"",COUNTA($C$17:C22))</f>
        <v/>
      </c>
      <c r="B22" s="219"/>
      <c r="G22" s="282"/>
      <c r="H22" s="282"/>
      <c r="I22" s="282"/>
    </row>
    <row r="23" spans="1:9">
      <c r="A23" s="219" t="str">
        <f>IF(ISBLANK(C23),"",COUNTA($C$17:C23))</f>
        <v/>
      </c>
      <c r="B23" s="219"/>
      <c r="G23" s="282"/>
      <c r="H23" s="282"/>
      <c r="I23" s="282"/>
    </row>
    <row r="24" spans="1:9">
      <c r="A24" s="219">
        <f>IF(ISBLANK(C24),"",COUNTA($C$17:C24))</f>
        <v>4</v>
      </c>
      <c r="B24" s="219"/>
      <c r="C24" s="274" t="s">
        <v>2623</v>
      </c>
      <c r="D24" s="274"/>
      <c r="E24" s="274"/>
      <c r="F24" s="274"/>
      <c r="G24" s="282"/>
      <c r="H24" s="282"/>
      <c r="I24" s="282"/>
    </row>
    <row r="25" spans="1:9">
      <c r="A25" s="219">
        <f>IF(ISBLANK(C25),"",COUNTA($C$17:C25))</f>
        <v>5</v>
      </c>
      <c r="B25" s="219"/>
      <c r="C25" s="274" t="s">
        <v>2624</v>
      </c>
      <c r="D25" s="274"/>
      <c r="E25" s="274"/>
      <c r="F25" s="274"/>
      <c r="G25" s="282"/>
      <c r="H25" s="282"/>
      <c r="I25" s="282"/>
    </row>
    <row r="26" spans="1:9">
      <c r="A26" s="219">
        <f>IF(ISBLANK(C26),"",COUNTA($C$17:C26))</f>
        <v>6</v>
      </c>
      <c r="B26" s="219"/>
      <c r="C26" s="218" t="s">
        <v>2625</v>
      </c>
      <c r="G26" s="283"/>
      <c r="H26" s="283"/>
      <c r="I26" s="283"/>
    </row>
    <row r="27" spans="1:9">
      <c r="A27" s="219" t="str">
        <f>IF(ISBLANK(C27),"",COUNTA($C$18:C27))</f>
        <v/>
      </c>
      <c r="B27" s="219"/>
      <c r="C27" s="274"/>
      <c r="D27" s="274"/>
      <c r="E27" s="274"/>
      <c r="F27" s="274"/>
      <c r="G27" s="283"/>
      <c r="H27" s="283"/>
      <c r="I27" s="283"/>
    </row>
  </sheetData>
  <mergeCells count="5">
    <mergeCell ref="A1:I1"/>
    <mergeCell ref="A2:I2"/>
    <mergeCell ref="A3:I3"/>
    <mergeCell ref="A4:I4"/>
    <mergeCell ref="A5:I5"/>
  </mergeCells>
  <printOptions horizontalCentered="1"/>
  <pageMargins left="0.5" right="0.5" top="0.75" bottom="0.5" header="0.3" footer="0.3"/>
  <pageSetup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I28"/>
  <sheetViews>
    <sheetView zoomScaleNormal="100" zoomScaleSheetLayoutView="100" workbookViewId="0">
      <selection activeCell="A3" sqref="A3:I3"/>
    </sheetView>
  </sheetViews>
  <sheetFormatPr defaultColWidth="9.33203125" defaultRowHeight="12.75"/>
  <cols>
    <col min="1" max="1" width="6.1640625" style="218" customWidth="1"/>
    <col min="2" max="2" width="1.6640625" style="218" customWidth="1"/>
    <col min="3" max="3" width="81.5" style="218" customWidth="1"/>
    <col min="4" max="4" width="1.6640625" style="218" customWidth="1"/>
    <col min="5" max="5" width="14.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F'!C41</f>
        <v>NISOURCE SERVICE COMPANY ALLOCATED CIVIC, POLITICAL AND RELATED ACTIVITIES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3040</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Index'!$B$61</f>
        <v xml:space="preserve">           KING</v>
      </c>
    </row>
    <row r="11" spans="1:9">
      <c r="I11" s="271" t="str">
        <f>"           "&amp;'General Headers Index'!$B$62</f>
        <v xml:space="preserve">           BLY</v>
      </c>
    </row>
    <row r="12" spans="1:9">
      <c r="A12" s="880"/>
      <c r="B12" s="880"/>
      <c r="C12" s="880"/>
      <c r="D12" s="880"/>
      <c r="E12" s="880"/>
    </row>
    <row r="13" spans="1:9">
      <c r="B13" s="272"/>
      <c r="C13" s="272"/>
      <c r="D13" s="272"/>
      <c r="E13" s="272"/>
      <c r="F13" s="272"/>
      <c r="G13" s="272" t="s">
        <v>315</v>
      </c>
      <c r="H13" s="273"/>
      <c r="I13" s="272" t="s">
        <v>651</v>
      </c>
    </row>
    <row r="14" spans="1:9">
      <c r="A14" s="219" t="s">
        <v>313</v>
      </c>
      <c r="B14" s="219"/>
      <c r="C14" s="219"/>
      <c r="D14" s="219"/>
      <c r="E14" s="219"/>
      <c r="F14" s="219"/>
      <c r="G14" s="219" t="s">
        <v>319</v>
      </c>
      <c r="I14" s="219" t="s">
        <v>319</v>
      </c>
    </row>
    <row r="15" spans="1:9">
      <c r="A15" s="879" t="s">
        <v>316</v>
      </c>
      <c r="B15" s="879"/>
      <c r="C15" s="879" t="s">
        <v>1015</v>
      </c>
      <c r="D15" s="879"/>
      <c r="E15" s="879" t="s">
        <v>318</v>
      </c>
      <c r="F15" s="879"/>
      <c r="G15" s="879" t="s">
        <v>444</v>
      </c>
      <c r="H15" s="880"/>
      <c r="I15" s="879" t="s">
        <v>444</v>
      </c>
    </row>
    <row r="16" spans="1:9">
      <c r="A16" s="270"/>
      <c r="B16" s="270"/>
      <c r="C16" s="270" t="s">
        <v>532</v>
      </c>
      <c r="D16" s="270"/>
      <c r="E16" s="270" t="s">
        <v>541</v>
      </c>
      <c r="F16" s="270"/>
      <c r="G16" s="270" t="s">
        <v>542</v>
      </c>
      <c r="H16" s="273"/>
      <c r="I16" s="270" t="s">
        <v>668</v>
      </c>
    </row>
    <row r="17" spans="1:9">
      <c r="A17" s="219"/>
      <c r="B17" s="274"/>
      <c r="C17" s="274"/>
      <c r="D17" s="274"/>
      <c r="E17" s="274"/>
      <c r="F17" s="274"/>
      <c r="G17" s="282"/>
      <c r="H17" s="282"/>
      <c r="I17" s="282"/>
    </row>
    <row r="18" spans="1:9">
      <c r="A18" s="219">
        <f>IF(ISBLANK(C18),"",COUNTA($C$17:C18))</f>
        <v>1</v>
      </c>
      <c r="B18" s="219"/>
      <c r="C18" s="218" t="s">
        <v>2717</v>
      </c>
      <c r="G18" s="222">
        <v>3159</v>
      </c>
      <c r="H18" s="281"/>
      <c r="I18" s="222">
        <v>5976.6915845250005</v>
      </c>
    </row>
    <row r="19" spans="1:9">
      <c r="A19" s="219" t="str">
        <f>IF(ISBLANK(C19),"",COUNTA($C$17:C19))</f>
        <v/>
      </c>
      <c r="B19" s="219"/>
      <c r="G19" s="275"/>
      <c r="H19" s="275"/>
      <c r="I19" s="275"/>
    </row>
    <row r="20" spans="1:9">
      <c r="A20" s="219">
        <f>IF(ISBLANK(C20),"",COUNTA($C$17:C20))</f>
        <v>2</v>
      </c>
      <c r="B20" s="219"/>
      <c r="C20" s="218" t="s">
        <v>2721</v>
      </c>
      <c r="G20" s="245">
        <v>16279.856600000001</v>
      </c>
      <c r="H20" s="275"/>
      <c r="I20" s="245">
        <v>15146.362662931802</v>
      </c>
    </row>
    <row r="21" spans="1:9">
      <c r="A21" s="219" t="str">
        <f>IF(ISBLANK(C21),"",COUNTA($C$17:C21))</f>
        <v/>
      </c>
      <c r="B21" s="219"/>
      <c r="G21" s="275"/>
      <c r="H21" s="275"/>
      <c r="I21" s="275"/>
    </row>
    <row r="22" spans="1:9">
      <c r="A22" s="219">
        <f>IF(ISBLANK(C22),"",COUNTA($C$17:C22))</f>
        <v>3</v>
      </c>
      <c r="B22" s="219"/>
      <c r="C22" s="218" t="s">
        <v>2722</v>
      </c>
      <c r="G22" s="228">
        <f>SUM(G18:G21)</f>
        <v>19438.856599999999</v>
      </c>
      <c r="H22" s="281"/>
      <c r="I22" s="228">
        <f>SUM(I18:I21)</f>
        <v>21123.054247456803</v>
      </c>
    </row>
    <row r="23" spans="1:9">
      <c r="A23" s="219" t="str">
        <f>IF(ISBLANK(C23),"",COUNTA($C$17:C23))</f>
        <v/>
      </c>
      <c r="B23" s="219"/>
      <c r="G23" s="282"/>
      <c r="H23" s="282"/>
      <c r="I23" s="282"/>
    </row>
    <row r="24" spans="1:9">
      <c r="A24" s="219" t="str">
        <f>IF(ISBLANK(C24),"",COUNTA($C$17:C24))</f>
        <v/>
      </c>
      <c r="B24" s="219"/>
      <c r="G24" s="282"/>
      <c r="H24" s="282"/>
      <c r="I24" s="282"/>
    </row>
    <row r="25" spans="1:9">
      <c r="A25" s="219">
        <f>IF(ISBLANK(C25),"",COUNTA($C$17:C25))</f>
        <v>4</v>
      </c>
      <c r="B25" s="219"/>
      <c r="C25" s="274" t="s">
        <v>2623</v>
      </c>
      <c r="D25" s="274"/>
      <c r="E25" s="274"/>
      <c r="F25" s="274"/>
      <c r="G25" s="282"/>
      <c r="H25" s="282"/>
      <c r="I25" s="282"/>
    </row>
    <row r="26" spans="1:9">
      <c r="A26" s="219">
        <f>IF(ISBLANK(C26),"",COUNTA($C$17:C26))</f>
        <v>5</v>
      </c>
      <c r="B26" s="219"/>
      <c r="C26" s="274" t="s">
        <v>2624</v>
      </c>
      <c r="D26" s="274"/>
      <c r="E26" s="274"/>
      <c r="F26" s="274"/>
      <c r="G26" s="282"/>
      <c r="H26" s="282"/>
      <c r="I26" s="282"/>
    </row>
    <row r="27" spans="1:9">
      <c r="A27" s="219">
        <f>IF(ISBLANK(C27),"",COUNTA($C$17:C27))</f>
        <v>6</v>
      </c>
      <c r="B27" s="219"/>
      <c r="C27" s="218" t="s">
        <v>2625</v>
      </c>
      <c r="G27" s="283"/>
      <c r="H27" s="283"/>
      <c r="I27" s="283"/>
    </row>
    <row r="28" spans="1:9">
      <c r="A28" s="219" t="str">
        <f>IF(ISBLANK(C28),"",COUNTA($C$19:C28))</f>
        <v/>
      </c>
      <c r="B28" s="219"/>
      <c r="C28" s="274"/>
      <c r="D28" s="274"/>
      <c r="E28" s="274"/>
      <c r="F28" s="274"/>
      <c r="G28" s="283"/>
      <c r="H28" s="283"/>
      <c r="I28" s="283"/>
    </row>
  </sheetData>
  <mergeCells count="5">
    <mergeCell ref="A1:I1"/>
    <mergeCell ref="A2:I2"/>
    <mergeCell ref="A3:I3"/>
    <mergeCell ref="A4:I4"/>
    <mergeCell ref="A5:I5"/>
  </mergeCells>
  <printOptions horizontalCentered="1"/>
  <pageMargins left="0.5" right="0.5" top="0.75" bottom="0.5" header="0.3" footer="0.3"/>
  <pageSetup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I50"/>
  <sheetViews>
    <sheetView topLeftCell="A16" zoomScaleNormal="100" zoomScaleSheetLayoutView="100" workbookViewId="0">
      <selection activeCell="A48" sqref="A48:A50"/>
    </sheetView>
  </sheetViews>
  <sheetFormatPr defaultColWidth="9.33203125" defaultRowHeight="12.75"/>
  <cols>
    <col min="1" max="1" width="6.1640625" style="218" customWidth="1"/>
    <col min="2" max="2" width="1.6640625" style="218" customWidth="1"/>
    <col min="3" max="3" width="117.5" style="218" customWidth="1"/>
    <col min="4" max="4" width="1.6640625" style="218" customWidth="1"/>
    <col min="5" max="5" width="15.6640625" style="218" bestFit="1"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F'!C42</f>
        <v>TOTAL COMPANY EMPLOYEE PARTY, OUTING, AND GIFT EXPENSES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3041</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I11" s="271" t="str">
        <f>"           "&amp;'General Headers Index'!$B$61</f>
        <v xml:space="preserve">           KING</v>
      </c>
    </row>
    <row r="12" spans="1:9">
      <c r="I12" s="271" t="str">
        <f>"           "&amp;'General Headers Index'!$B$62</f>
        <v xml:space="preserve">           BLY</v>
      </c>
    </row>
    <row r="13" spans="1:9">
      <c r="A13" s="880"/>
      <c r="B13" s="880"/>
      <c r="C13" s="880"/>
      <c r="D13" s="880"/>
      <c r="E13" s="880"/>
    </row>
    <row r="14" spans="1:9">
      <c r="B14" s="272"/>
      <c r="C14" s="272"/>
      <c r="D14" s="272"/>
      <c r="E14" s="272"/>
      <c r="F14" s="272"/>
      <c r="G14" s="272" t="s">
        <v>315</v>
      </c>
      <c r="H14" s="273"/>
      <c r="I14" s="272" t="s">
        <v>651</v>
      </c>
    </row>
    <row r="15" spans="1:9">
      <c r="A15" s="219" t="s">
        <v>313</v>
      </c>
      <c r="B15" s="219"/>
      <c r="C15" s="219"/>
      <c r="D15" s="219"/>
      <c r="E15" s="219"/>
      <c r="F15" s="219"/>
      <c r="G15" s="219" t="s">
        <v>319</v>
      </c>
      <c r="I15" s="219" t="s">
        <v>319</v>
      </c>
    </row>
    <row r="16" spans="1:9">
      <c r="A16" s="879" t="s">
        <v>316</v>
      </c>
      <c r="B16" s="879"/>
      <c r="C16" s="879" t="s">
        <v>1015</v>
      </c>
      <c r="D16" s="879"/>
      <c r="E16" s="879" t="s">
        <v>318</v>
      </c>
      <c r="F16" s="879"/>
      <c r="G16" s="879" t="s">
        <v>444</v>
      </c>
      <c r="H16" s="880"/>
      <c r="I16" s="879" t="s">
        <v>444</v>
      </c>
    </row>
    <row r="17" spans="1:9">
      <c r="A17" s="270"/>
      <c r="B17" s="270"/>
      <c r="C17" s="270" t="s">
        <v>532</v>
      </c>
      <c r="D17" s="270"/>
      <c r="E17" s="270" t="s">
        <v>541</v>
      </c>
      <c r="F17" s="270"/>
      <c r="G17" s="270" t="s">
        <v>542</v>
      </c>
      <c r="H17" s="273"/>
      <c r="I17" s="270" t="s">
        <v>668</v>
      </c>
    </row>
    <row r="18" spans="1:9">
      <c r="A18" s="219"/>
      <c r="B18" s="274"/>
      <c r="C18" s="274"/>
      <c r="D18" s="274"/>
      <c r="E18" s="274"/>
      <c r="F18" s="274"/>
      <c r="G18" s="282"/>
      <c r="H18" s="282"/>
      <c r="I18" s="282"/>
    </row>
    <row r="19" spans="1:9">
      <c r="A19" s="219">
        <f>IF(ISBLANK(C19),"",COUNTA($C$19:C19))</f>
        <v>1</v>
      </c>
      <c r="B19" s="274"/>
      <c r="C19" s="264" t="s">
        <v>2723</v>
      </c>
      <c r="D19" s="274"/>
      <c r="E19" s="274"/>
      <c r="F19" s="274"/>
      <c r="G19" s="282"/>
      <c r="H19" s="282"/>
      <c r="I19" s="282"/>
    </row>
    <row r="20" spans="1:9">
      <c r="A20" s="219">
        <f>IF(ISBLANK(C20),"",COUNTA($C$19:C20))</f>
        <v>2</v>
      </c>
      <c r="B20" s="219"/>
      <c r="C20" s="274" t="s">
        <v>3112</v>
      </c>
      <c r="D20" s="274"/>
      <c r="E20" s="219" t="s">
        <v>2630</v>
      </c>
      <c r="F20" s="274"/>
      <c r="G20" s="222">
        <f>+'F-8.B Emp Recog &amp; Activities'!G18+'F-8.C Emp Recog &amp; Activities'!G19</f>
        <v>7589.81</v>
      </c>
      <c r="H20" s="281"/>
      <c r="I20" s="222">
        <f>+'F-8.B Emp Recog &amp; Activities'!I18+'F-8.C Emp Recog &amp; Activities'!I19</f>
        <v>0</v>
      </c>
    </row>
    <row r="21" spans="1:9">
      <c r="A21" s="219" t="str">
        <f>IF(ISBLANK(C21),"",COUNTA($C$19:C21))</f>
        <v/>
      </c>
      <c r="B21" s="219"/>
      <c r="C21" s="274"/>
      <c r="D21" s="274"/>
      <c r="E21" s="219"/>
      <c r="F21" s="274"/>
      <c r="G21" s="275"/>
      <c r="H21" s="275"/>
      <c r="I21" s="275"/>
    </row>
    <row r="22" spans="1:9">
      <c r="A22" s="219">
        <f>IF(ISBLANK(C22),"",COUNTA($C$19:C22))</f>
        <v>3</v>
      </c>
      <c r="B22" s="219"/>
      <c r="C22" s="274" t="s">
        <v>3110</v>
      </c>
      <c r="D22" s="274"/>
      <c r="E22" s="219" t="s">
        <v>2630</v>
      </c>
      <c r="F22" s="274"/>
      <c r="G22" s="275">
        <f>+'F-8.B Emp Recog &amp; Activities'!G20+'F-8.C Emp Recog &amp; Activities'!G21</f>
        <v>18033.2</v>
      </c>
      <c r="H22" s="275"/>
      <c r="I22" s="275">
        <f>+'F-8.B Emp Recog &amp; Activities'!I20+'F-8.C Emp Recog &amp; Activities'!I21</f>
        <v>0</v>
      </c>
    </row>
    <row r="23" spans="1:9">
      <c r="A23" s="219" t="str">
        <f>IF(ISBLANK(C23),"",COUNTA($C$19:C23))</f>
        <v/>
      </c>
      <c r="B23" s="219"/>
      <c r="C23" s="274"/>
      <c r="D23" s="274"/>
      <c r="E23" s="219"/>
      <c r="F23" s="274"/>
      <c r="G23" s="275"/>
      <c r="H23" s="275"/>
      <c r="I23" s="275"/>
    </row>
    <row r="24" spans="1:9">
      <c r="A24" s="219">
        <f>IF(ISBLANK(C24),"",COUNTA($C$19:C24))</f>
        <v>4</v>
      </c>
      <c r="B24" s="219"/>
      <c r="C24" s="274" t="s">
        <v>3111</v>
      </c>
      <c r="D24" s="274"/>
      <c r="E24" s="219" t="s">
        <v>2630</v>
      </c>
      <c r="F24" s="274"/>
      <c r="G24" s="275">
        <f>+'F-8.B Emp Recog &amp; Activities'!G22+'F-8.C Emp Recog &amp; Activities'!G23</f>
        <v>563724.66000000015</v>
      </c>
      <c r="H24" s="226"/>
      <c r="I24" s="275">
        <f>+'F-8.B Emp Recog &amp; Activities'!I22+'F-8.C Emp Recog &amp; Activities'!I23</f>
        <v>0</v>
      </c>
    </row>
    <row r="25" spans="1:9">
      <c r="A25" s="219" t="str">
        <f>IF(ISBLANK(C25),"",COUNTA($C$19:C25))</f>
        <v/>
      </c>
      <c r="B25" s="219"/>
      <c r="C25" s="274"/>
      <c r="D25" s="274"/>
      <c r="E25" s="219"/>
      <c r="F25" s="274"/>
      <c r="G25" s="275"/>
      <c r="H25" s="275"/>
      <c r="I25" s="275"/>
    </row>
    <row r="26" spans="1:9">
      <c r="A26" s="219">
        <f>IF(ISBLANK(C26),"",COUNTA($C$19:C26))</f>
        <v>5</v>
      </c>
      <c r="B26" s="219"/>
      <c r="C26" s="218" t="s">
        <v>1140</v>
      </c>
      <c r="E26" s="219" t="s">
        <v>2630</v>
      </c>
      <c r="G26" s="275">
        <f>+'F-8.B Emp Recog &amp; Activities'!G24+'F-8.C Emp Recog &amp; Activities'!G25</f>
        <v>529753.53731433803</v>
      </c>
      <c r="H26" s="275"/>
      <c r="I26" s="275">
        <f>+'F-8.B Emp Recog &amp; Activities'!I24+'F-8.C Emp Recog &amp; Activities'!I25</f>
        <v>1047552.6609388365</v>
      </c>
    </row>
    <row r="27" spans="1:9">
      <c r="A27" s="219" t="str">
        <f>IF(ISBLANK(C27),"",COUNTA($C$19:C27))</f>
        <v/>
      </c>
      <c r="B27" s="219"/>
      <c r="C27" s="274"/>
      <c r="D27" s="274"/>
      <c r="E27" s="219"/>
      <c r="F27" s="274"/>
      <c r="G27" s="275"/>
      <c r="H27" s="275"/>
      <c r="I27" s="275"/>
    </row>
    <row r="28" spans="1:9">
      <c r="A28" s="219">
        <f>IF(ISBLANK(C28),"",COUNTA($C$19:C28))</f>
        <v>6</v>
      </c>
      <c r="B28" s="219"/>
      <c r="C28" s="274" t="s">
        <v>2724</v>
      </c>
      <c r="D28" s="274"/>
      <c r="E28" s="219"/>
      <c r="F28" s="274"/>
      <c r="G28" s="284">
        <f>SUM(G20:G27)</f>
        <v>1119101.2073143381</v>
      </c>
      <c r="H28" s="275"/>
      <c r="I28" s="284">
        <f>SUM(I20:I27)</f>
        <v>1047552.6609388365</v>
      </c>
    </row>
    <row r="29" spans="1:9">
      <c r="A29" s="219" t="str">
        <f>IF(ISBLANK(C29),"",COUNTA($C$19:C29))</f>
        <v/>
      </c>
      <c r="B29" s="219"/>
      <c r="C29" s="274"/>
      <c r="D29" s="274"/>
      <c r="E29" s="219"/>
      <c r="F29" s="274"/>
      <c r="G29" s="275"/>
      <c r="H29" s="275"/>
      <c r="I29" s="275"/>
    </row>
    <row r="30" spans="1:9">
      <c r="A30" s="219">
        <f>IF(ISBLANK(C30),"",COUNTA($C$19:C30))</f>
        <v>7</v>
      </c>
      <c r="B30" s="219"/>
      <c r="C30" s="264" t="s">
        <v>2725</v>
      </c>
      <c r="D30" s="274"/>
      <c r="E30" s="219"/>
      <c r="F30" s="274"/>
      <c r="G30" s="275"/>
      <c r="H30" s="275"/>
      <c r="I30" s="275"/>
    </row>
    <row r="31" spans="1:9">
      <c r="A31" s="219">
        <f>IF(ISBLANK(C31),"",COUNTA($C$19:C31))</f>
        <v>8</v>
      </c>
      <c r="B31" s="219"/>
      <c r="C31" s="218" t="s">
        <v>2626</v>
      </c>
      <c r="E31" s="219" t="s">
        <v>2630</v>
      </c>
      <c r="G31" s="275"/>
      <c r="H31" s="226"/>
      <c r="I31" s="245">
        <f>'F-8.B Emp Recog &amp; Activities'!I29+'F-8.C Emp Recog &amp; Activities'!I30</f>
        <v>-7633.7329500000005</v>
      </c>
    </row>
    <row r="32" spans="1:9">
      <c r="A32" s="219" t="str">
        <f>IF(ISBLANK(C32),"",COUNTA($C$19:C32))</f>
        <v/>
      </c>
      <c r="B32" s="219"/>
      <c r="E32" s="219"/>
      <c r="G32" s="275"/>
      <c r="H32" s="226"/>
      <c r="I32" s="226"/>
    </row>
    <row r="33" spans="1:9">
      <c r="A33" s="219">
        <f>IF(ISBLANK(C33),"",COUNTA($C$19:C33))</f>
        <v>9</v>
      </c>
      <c r="B33" s="219"/>
      <c r="C33" s="218" t="s">
        <v>2627</v>
      </c>
      <c r="E33" s="219" t="s">
        <v>2630</v>
      </c>
      <c r="G33" s="275"/>
      <c r="H33" s="226"/>
      <c r="I33" s="245">
        <f>'F-8.B Emp Recog &amp; Activities'!I31+'F-8.C Emp Recog &amp; Activities'!I32</f>
        <v>-25384.650750000001</v>
      </c>
    </row>
    <row r="34" spans="1:9">
      <c r="A34" s="219" t="str">
        <f>IF(ISBLANK(C34),"",COUNTA($C$19:C34))</f>
        <v/>
      </c>
      <c r="B34" s="219"/>
      <c r="E34" s="219"/>
      <c r="G34" s="275"/>
      <c r="H34" s="226"/>
      <c r="I34" s="226"/>
    </row>
    <row r="35" spans="1:9">
      <c r="A35" s="219">
        <f>IF(ISBLANK(C35),"",COUNTA($C$19:C35))</f>
        <v>10</v>
      </c>
      <c r="B35" s="219"/>
      <c r="C35" s="218" t="s">
        <v>2628</v>
      </c>
      <c r="E35" s="219" t="s">
        <v>2630</v>
      </c>
      <c r="G35" s="275"/>
      <c r="H35" s="226"/>
      <c r="I35" s="245">
        <f>'F-8.B Emp Recog &amp; Activities'!I33+'F-8.C Emp Recog &amp; Activities'!I34</f>
        <v>-75056.83236</v>
      </c>
    </row>
    <row r="36" spans="1:9">
      <c r="A36" s="219" t="str">
        <f>IF(ISBLANK(C36),"",COUNTA($C$19:C36))</f>
        <v/>
      </c>
      <c r="B36" s="219"/>
      <c r="E36" s="219"/>
      <c r="G36" s="275"/>
      <c r="H36" s="226"/>
      <c r="I36" s="245"/>
    </row>
    <row r="37" spans="1:9">
      <c r="A37" s="219">
        <f>IF(ISBLANK(C37),"",COUNTA($C$19:C37))</f>
        <v>11</v>
      </c>
      <c r="B37" s="219"/>
      <c r="C37" s="274" t="s">
        <v>2726</v>
      </c>
      <c r="D37" s="274"/>
      <c r="E37" s="219"/>
      <c r="F37" s="274"/>
      <c r="G37" s="275"/>
      <c r="H37" s="226"/>
      <c r="I37" s="253">
        <f>SUM(I31:I36)</f>
        <v>-108075.21606000001</v>
      </c>
    </row>
    <row r="38" spans="1:9">
      <c r="A38" s="219" t="str">
        <f>IF(ISBLANK(C38),"",COUNTA($C$19:C38))</f>
        <v/>
      </c>
      <c r="B38" s="219"/>
      <c r="C38" s="274"/>
      <c r="D38" s="274"/>
      <c r="E38" s="219"/>
      <c r="F38" s="274"/>
      <c r="G38" s="275"/>
      <c r="H38" s="275"/>
      <c r="I38" s="226"/>
    </row>
    <row r="39" spans="1:9">
      <c r="A39" s="219">
        <f>IF(ISBLANK(C39),"",COUNTA($C$19:C39))</f>
        <v>12</v>
      </c>
      <c r="B39" s="219"/>
      <c r="C39" s="274" t="s">
        <v>2724</v>
      </c>
      <c r="D39" s="274"/>
      <c r="E39" s="219"/>
      <c r="F39" s="274"/>
      <c r="G39" s="228">
        <f>G28+G37</f>
        <v>1119101.2073143381</v>
      </c>
      <c r="H39" s="281"/>
      <c r="I39" s="228">
        <f>I28+I37</f>
        <v>939477.44487883651</v>
      </c>
    </row>
    <row r="40" spans="1:9">
      <c r="A40" s="219" t="str">
        <f>IF(ISBLANK(C40),"",COUNTA($C$19:C40))</f>
        <v/>
      </c>
      <c r="B40" s="219"/>
      <c r="G40" s="282"/>
      <c r="H40" s="282"/>
      <c r="I40" s="282"/>
    </row>
    <row r="41" spans="1:9">
      <c r="A41" s="219" t="str">
        <f>IF(ISBLANK(C41),"",COUNTA($C$19:C41))</f>
        <v/>
      </c>
      <c r="B41" s="219"/>
      <c r="C41" s="219"/>
      <c r="D41" s="219"/>
      <c r="E41" s="219"/>
      <c r="F41" s="219"/>
      <c r="G41" s="218"/>
    </row>
    <row r="42" spans="1:9">
      <c r="A42" s="219">
        <f>IF(ISBLANK(C42),"",COUNTA($C$19:C42))</f>
        <v>13</v>
      </c>
      <c r="B42" s="219"/>
      <c r="C42" s="274" t="s">
        <v>2554</v>
      </c>
      <c r="D42" s="274"/>
      <c r="E42" s="274"/>
      <c r="F42" s="274"/>
      <c r="G42" s="218"/>
    </row>
    <row r="43" spans="1:9">
      <c r="A43" s="219">
        <f>IF(ISBLANK(C43),"",COUNTA($C$19:C43))</f>
        <v>14</v>
      </c>
      <c r="B43" s="219"/>
      <c r="C43" s="218" t="s">
        <v>2660</v>
      </c>
      <c r="G43" s="218"/>
    </row>
    <row r="44" spans="1:9">
      <c r="A44" s="219">
        <f>IF(ISBLANK(C44),"",COUNTA($C$19:C44))</f>
        <v>15</v>
      </c>
      <c r="B44" s="219"/>
      <c r="C44" s="218" t="s">
        <v>2629</v>
      </c>
      <c r="G44" s="218"/>
    </row>
    <row r="45" spans="1:9" ht="12.75" customHeight="1">
      <c r="A45" s="219">
        <f>+A44+1</f>
        <v>16</v>
      </c>
      <c r="C45" s="1334" t="s">
        <v>3117</v>
      </c>
      <c r="D45" s="1334"/>
      <c r="E45" s="1334"/>
      <c r="F45" s="1334"/>
      <c r="G45" s="1334"/>
      <c r="H45" s="1334"/>
      <c r="I45" s="1334"/>
    </row>
    <row r="46" spans="1:9">
      <c r="A46" s="219">
        <f t="shared" ref="A46:A50" si="0">+A45+1</f>
        <v>17</v>
      </c>
      <c r="C46" s="1334"/>
      <c r="D46" s="1334"/>
      <c r="E46" s="1334"/>
      <c r="F46" s="1334"/>
      <c r="G46" s="1334"/>
      <c r="H46" s="1334"/>
      <c r="I46" s="1334"/>
    </row>
    <row r="47" spans="1:9">
      <c r="A47" s="219">
        <f t="shared" si="0"/>
        <v>18</v>
      </c>
      <c r="C47" s="1334"/>
      <c r="D47" s="1334"/>
      <c r="E47" s="1334"/>
      <c r="F47" s="1334"/>
      <c r="G47" s="1334"/>
      <c r="H47" s="1334"/>
      <c r="I47" s="1334"/>
    </row>
    <row r="48" spans="1:9">
      <c r="A48" s="219">
        <f t="shared" si="0"/>
        <v>19</v>
      </c>
      <c r="C48" s="1334"/>
      <c r="D48" s="1334"/>
      <c r="E48" s="1334"/>
      <c r="F48" s="1334"/>
      <c r="G48" s="1334"/>
      <c r="H48" s="1334"/>
      <c r="I48" s="1334"/>
    </row>
    <row r="49" spans="1:9">
      <c r="A49" s="219">
        <f t="shared" si="0"/>
        <v>20</v>
      </c>
      <c r="C49" s="1334"/>
      <c r="D49" s="1334"/>
      <c r="E49" s="1334"/>
      <c r="F49" s="1334"/>
      <c r="G49" s="1334"/>
      <c r="H49" s="1334"/>
      <c r="I49" s="1334"/>
    </row>
    <row r="50" spans="1:9">
      <c r="A50" s="219">
        <f t="shared" si="0"/>
        <v>21</v>
      </c>
      <c r="C50" s="1334"/>
      <c r="D50" s="1334"/>
      <c r="E50" s="1334"/>
      <c r="F50" s="1334"/>
      <c r="G50" s="1334"/>
      <c r="H50" s="1334"/>
      <c r="I50" s="1334"/>
    </row>
  </sheetData>
  <mergeCells count="6">
    <mergeCell ref="C45:I50"/>
    <mergeCell ref="A1:I1"/>
    <mergeCell ref="A2:I2"/>
    <mergeCell ref="A3:I3"/>
    <mergeCell ref="A4:I4"/>
    <mergeCell ref="A5:I5"/>
  </mergeCells>
  <printOptions horizontalCentered="1"/>
  <pageMargins left="0.5" right="0.5" top="0.75" bottom="0.5" header="0.3" footer="0.3"/>
  <pageSetup scale="83"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I48"/>
  <sheetViews>
    <sheetView topLeftCell="A25" zoomScaleNormal="100" zoomScaleSheetLayoutView="100" workbookViewId="0">
      <selection activeCell="A46" sqref="A46:A48"/>
    </sheetView>
  </sheetViews>
  <sheetFormatPr defaultColWidth="9.33203125" defaultRowHeight="12.75"/>
  <cols>
    <col min="1" max="1" width="6.1640625" style="218" customWidth="1"/>
    <col min="2" max="2" width="1.6640625" style="218" customWidth="1"/>
    <col min="3" max="3" width="95.5" style="218" customWidth="1"/>
    <col min="4" max="4" width="1.6640625" style="218" customWidth="1"/>
    <col min="5" max="5" width="39" style="218" customWidth="1"/>
    <col min="6" max="6" width="1.6640625" style="218" customWidth="1"/>
    <col min="7" max="7" width="18.5"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F'!C43</f>
        <v>COMPANY DIRECT EMPLOYEE PARTY, OUTING, AND GIFT EXPENSES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3042</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Index'!$B$60</f>
        <v xml:space="preserve">           INSCHO</v>
      </c>
    </row>
    <row r="11" spans="1:9">
      <c r="A11" s="880"/>
      <c r="B11" s="880"/>
      <c r="C11" s="880"/>
      <c r="D11" s="880"/>
      <c r="E11" s="880"/>
    </row>
    <row r="12" spans="1:9">
      <c r="B12" s="272"/>
      <c r="C12" s="272"/>
      <c r="D12" s="272"/>
      <c r="E12" s="272"/>
      <c r="F12" s="272"/>
      <c r="G12" s="272" t="s">
        <v>315</v>
      </c>
      <c r="H12" s="273"/>
      <c r="I12" s="272" t="s">
        <v>651</v>
      </c>
    </row>
    <row r="13" spans="1:9">
      <c r="A13" s="219" t="s">
        <v>313</v>
      </c>
      <c r="B13" s="219"/>
      <c r="C13" s="219"/>
      <c r="D13" s="219"/>
      <c r="E13" s="219"/>
      <c r="F13" s="219"/>
      <c r="G13" s="219" t="s">
        <v>319</v>
      </c>
      <c r="I13" s="219" t="s">
        <v>319</v>
      </c>
    </row>
    <row r="14" spans="1:9">
      <c r="A14" s="879" t="s">
        <v>316</v>
      </c>
      <c r="B14" s="879"/>
      <c r="C14" s="879" t="s">
        <v>1015</v>
      </c>
      <c r="D14" s="879"/>
      <c r="E14" s="879" t="s">
        <v>318</v>
      </c>
      <c r="F14" s="879"/>
      <c r="G14" s="879" t="s">
        <v>444</v>
      </c>
      <c r="H14" s="880"/>
      <c r="I14" s="879" t="s">
        <v>444</v>
      </c>
    </row>
    <row r="15" spans="1:9">
      <c r="A15" s="270"/>
      <c r="B15" s="270"/>
      <c r="C15" s="270" t="s">
        <v>532</v>
      </c>
      <c r="D15" s="270"/>
      <c r="E15" s="270" t="s">
        <v>541</v>
      </c>
      <c r="F15" s="270"/>
      <c r="G15" s="270" t="s">
        <v>542</v>
      </c>
      <c r="H15" s="273"/>
      <c r="I15" s="270" t="s">
        <v>668</v>
      </c>
    </row>
    <row r="16" spans="1:9">
      <c r="A16" s="219"/>
      <c r="B16" s="274"/>
      <c r="C16" s="274"/>
      <c r="D16" s="274"/>
      <c r="E16" s="274"/>
      <c r="F16" s="274"/>
      <c r="G16" s="282"/>
      <c r="H16" s="282"/>
      <c r="I16" s="282"/>
    </row>
    <row r="17" spans="1:9">
      <c r="A17" s="219">
        <f>IF(ISBLANK(C17),"",COUNTA($C17:C$17))</f>
        <v>1</v>
      </c>
      <c r="B17" s="274"/>
      <c r="C17" s="264" t="s">
        <v>2723</v>
      </c>
      <c r="D17" s="274"/>
      <c r="E17" s="274"/>
      <c r="F17" s="274"/>
      <c r="G17" s="282"/>
      <c r="H17" s="282"/>
      <c r="I17" s="282"/>
    </row>
    <row r="18" spans="1:9">
      <c r="A18" s="219">
        <f>IF(ISBLANK(C18),"",COUNTA($C$17:C18))</f>
        <v>2</v>
      </c>
      <c r="B18" s="219"/>
      <c r="C18" s="274" t="s">
        <v>3112</v>
      </c>
      <c r="D18" s="274"/>
      <c r="E18" s="219"/>
      <c r="F18" s="274"/>
      <c r="G18" s="222">
        <v>7333</v>
      </c>
      <c r="H18" s="281"/>
      <c r="I18" s="222">
        <v>0</v>
      </c>
    </row>
    <row r="19" spans="1:9">
      <c r="A19" s="219" t="str">
        <f>IF(ISBLANK(C19),"",COUNTA($C$17:C19))</f>
        <v/>
      </c>
      <c r="B19" s="219"/>
      <c r="C19" s="274"/>
      <c r="D19" s="274"/>
      <c r="E19" s="219"/>
      <c r="F19" s="274"/>
      <c r="G19" s="275"/>
      <c r="H19" s="275"/>
      <c r="I19" s="275"/>
    </row>
    <row r="20" spans="1:9">
      <c r="A20" s="219">
        <f>IF(ISBLANK(C20),"",COUNTA($C$17:C20))</f>
        <v>3</v>
      </c>
      <c r="B20" s="219"/>
      <c r="C20" s="274" t="s">
        <v>3110</v>
      </c>
      <c r="D20" s="274"/>
      <c r="E20" s="219"/>
      <c r="F20" s="274"/>
      <c r="G20" s="245">
        <v>12465.38</v>
      </c>
      <c r="H20" s="275"/>
      <c r="I20" s="275">
        <v>0</v>
      </c>
    </row>
    <row r="21" spans="1:9">
      <c r="A21" s="219" t="str">
        <f>IF(ISBLANK(C21),"",COUNTA($C$17:C21))</f>
        <v/>
      </c>
      <c r="B21" s="219"/>
      <c r="C21" s="274"/>
      <c r="D21" s="274"/>
      <c r="E21" s="219"/>
      <c r="F21" s="274"/>
      <c r="G21" s="275"/>
      <c r="H21" s="275"/>
      <c r="I21" s="275"/>
    </row>
    <row r="22" spans="1:9">
      <c r="A22" s="219">
        <f>IF(ISBLANK(C22),"",COUNTA($C$17:C22))</f>
        <v>4</v>
      </c>
      <c r="B22" s="219"/>
      <c r="C22" s="274" t="s">
        <v>3111</v>
      </c>
      <c r="D22" s="274"/>
      <c r="E22" s="219"/>
      <c r="F22" s="274"/>
      <c r="G22" s="245">
        <v>409746.81000000006</v>
      </c>
      <c r="H22" s="226"/>
      <c r="I22" s="226">
        <v>0</v>
      </c>
    </row>
    <row r="23" spans="1:9">
      <c r="A23" s="219" t="str">
        <f>IF(ISBLANK(C23),"",COUNTA($C$17:C23))</f>
        <v/>
      </c>
      <c r="B23" s="219"/>
      <c r="C23" s="274"/>
      <c r="D23" s="274"/>
      <c r="E23" s="219"/>
      <c r="F23" s="274"/>
      <c r="G23" s="275"/>
      <c r="H23" s="275"/>
      <c r="I23" s="275"/>
    </row>
    <row r="24" spans="1:9">
      <c r="A24" s="219">
        <f>IF(ISBLANK(C24),"",COUNTA($C$17:C24))</f>
        <v>5</v>
      </c>
      <c r="B24" s="219"/>
      <c r="C24" s="218" t="s">
        <v>1140</v>
      </c>
      <c r="E24" s="219"/>
      <c r="G24" s="224">
        <v>389773.02999999997</v>
      </c>
      <c r="H24" s="275"/>
      <c r="I24" s="224">
        <v>772541.36</v>
      </c>
    </row>
    <row r="25" spans="1:9">
      <c r="A25" s="219" t="str">
        <f>IF(ISBLANK(C25),"",COUNTA($C$17:C25))</f>
        <v/>
      </c>
      <c r="B25" s="219"/>
      <c r="C25" s="274"/>
      <c r="D25" s="274"/>
      <c r="E25" s="219"/>
      <c r="F25" s="274"/>
      <c r="G25" s="275"/>
      <c r="H25" s="275"/>
      <c r="I25" s="275"/>
    </row>
    <row r="26" spans="1:9">
      <c r="A26" s="219">
        <f>IF(ISBLANK(C26),"",COUNTA($C$17:C26))</f>
        <v>6</v>
      </c>
      <c r="B26" s="219"/>
      <c r="C26" s="274" t="s">
        <v>2724</v>
      </c>
      <c r="D26" s="274"/>
      <c r="E26" s="219"/>
      <c r="F26" s="274"/>
      <c r="G26" s="284">
        <f>SUM(G18:G25)</f>
        <v>819318.22</v>
      </c>
      <c r="H26" s="275"/>
      <c r="I26" s="284">
        <f>SUM(I18:I25)</f>
        <v>772541.36</v>
      </c>
    </row>
    <row r="27" spans="1:9">
      <c r="A27" s="219" t="str">
        <f>IF(ISBLANK(C27),"",COUNTA($C$17:C27))</f>
        <v/>
      </c>
      <c r="B27" s="219"/>
      <c r="C27" s="274"/>
      <c r="D27" s="274"/>
      <c r="E27" s="219"/>
      <c r="F27" s="274"/>
      <c r="G27" s="275"/>
      <c r="H27" s="275"/>
      <c r="I27" s="275"/>
    </row>
    <row r="28" spans="1:9">
      <c r="A28" s="219">
        <f>IF(ISBLANK(C28),"",COUNTA($C$17:C28))</f>
        <v>7</v>
      </c>
      <c r="B28" s="219"/>
      <c r="C28" s="264" t="s">
        <v>2725</v>
      </c>
      <c r="D28" s="274"/>
      <c r="E28" s="219"/>
      <c r="F28" s="274"/>
      <c r="G28" s="275"/>
      <c r="H28" s="275"/>
      <c r="I28" s="275"/>
    </row>
    <row r="29" spans="1:9">
      <c r="A29" s="219">
        <f>IF(ISBLANK(C29),"",COUNTA($C$17:C29))</f>
        <v>8</v>
      </c>
      <c r="B29" s="219"/>
      <c r="C29" s="218" t="s">
        <v>2626</v>
      </c>
      <c r="E29" s="39" t="str">
        <f>"Workpaper WPD-2.6G Line 9"</f>
        <v>Workpaper WPD-2.6G Line 9</v>
      </c>
      <c r="G29" s="275"/>
      <c r="H29" s="226"/>
      <c r="I29" s="245">
        <f>+'WPD-2.6.G CKY Direct Exclusions'!F32</f>
        <v>-7052.1651000000002</v>
      </c>
    </row>
    <row r="30" spans="1:9">
      <c r="A30" s="219" t="str">
        <f>IF(ISBLANK(C30),"",COUNTA($C$17:C30))</f>
        <v/>
      </c>
      <c r="B30" s="219"/>
      <c r="E30" s="219"/>
      <c r="G30" s="275"/>
      <c r="H30" s="226"/>
      <c r="I30" s="226"/>
    </row>
    <row r="31" spans="1:9">
      <c r="A31" s="219">
        <f>IF(ISBLANK(C31),"",COUNTA($C$17:C31))</f>
        <v>9</v>
      </c>
      <c r="B31" s="219"/>
      <c r="C31" s="218" t="s">
        <v>2627</v>
      </c>
      <c r="E31" s="39" t="str">
        <f>"Workpaper WPD-2.6G Line 10"</f>
        <v>Workpaper WPD-2.6G Line 10</v>
      </c>
      <c r="G31" s="275"/>
      <c r="H31" s="226"/>
      <c r="I31" s="245">
        <f>+'WPD-2.6.G CKY Direct Exclusions'!F34</f>
        <v>-13061.699550000001</v>
      </c>
    </row>
    <row r="32" spans="1:9">
      <c r="A32" s="219" t="str">
        <f>IF(ISBLANK(C32),"",COUNTA($C$17:C32))</f>
        <v/>
      </c>
      <c r="B32" s="219"/>
      <c r="E32" s="219"/>
      <c r="G32" s="275"/>
      <c r="H32" s="226"/>
      <c r="I32" s="226"/>
    </row>
    <row r="33" spans="1:9">
      <c r="A33" s="219">
        <f>IF(ISBLANK(C33),"",COUNTA($C$17:C33))</f>
        <v>10</v>
      </c>
      <c r="B33" s="219"/>
      <c r="C33" s="218" t="s">
        <v>2628</v>
      </c>
      <c r="E33" s="39" t="str">
        <f>"Workpaper WPD-2.6G Lines 2 &amp; 11"</f>
        <v>Workpaper WPD-2.6G Lines 2 &amp; 11</v>
      </c>
      <c r="G33" s="275"/>
      <c r="H33" s="226"/>
      <c r="I33" s="245">
        <f>+'WPD-2.6.G CKY Direct Exclusions'!F18+'WPD-2.6.G CKY Direct Exclusions'!F36</f>
        <v>-62807.232060000002</v>
      </c>
    </row>
    <row r="34" spans="1:9">
      <c r="A34" s="219" t="str">
        <f>IF(ISBLANK(C34),"",COUNTA($C$17:C34))</f>
        <v/>
      </c>
      <c r="B34" s="219"/>
      <c r="E34" s="219"/>
      <c r="G34" s="275"/>
      <c r="H34" s="226"/>
      <c r="I34" s="245"/>
    </row>
    <row r="35" spans="1:9">
      <c r="A35" s="219">
        <f>IF(ISBLANK(C35),"",COUNTA($C$17:C35))</f>
        <v>11</v>
      </c>
      <c r="B35" s="219"/>
      <c r="C35" s="274" t="s">
        <v>2726</v>
      </c>
      <c r="D35" s="274"/>
      <c r="E35" s="219"/>
      <c r="F35" s="274"/>
      <c r="G35" s="275"/>
      <c r="H35" s="226"/>
      <c r="I35" s="253">
        <f>SUM(I29:I34)</f>
        <v>-82921.096710000013</v>
      </c>
    </row>
    <row r="36" spans="1:9">
      <c r="A36" s="219" t="str">
        <f>IF(ISBLANK(C36),"",COUNTA($C$17:C36))</f>
        <v/>
      </c>
      <c r="B36" s="219"/>
      <c r="C36" s="274"/>
      <c r="D36" s="274"/>
      <c r="E36" s="219"/>
      <c r="F36" s="274"/>
      <c r="G36" s="275"/>
      <c r="H36" s="275"/>
      <c r="I36" s="226"/>
    </row>
    <row r="37" spans="1:9">
      <c r="A37" s="219">
        <f>IF(ISBLANK(C37),"",COUNTA($C$17:C37))</f>
        <v>12</v>
      </c>
      <c r="B37" s="219"/>
      <c r="C37" s="274" t="s">
        <v>2724</v>
      </c>
      <c r="D37" s="274"/>
      <c r="E37" s="219"/>
      <c r="F37" s="274"/>
      <c r="G37" s="228">
        <f>G26+G35</f>
        <v>819318.22</v>
      </c>
      <c r="H37" s="281"/>
      <c r="I37" s="228">
        <f>I26+I35</f>
        <v>689620.26328999992</v>
      </c>
    </row>
    <row r="38" spans="1:9">
      <c r="A38" s="219" t="str">
        <f>IF(ISBLANK(C38),"",COUNTA($C$17:C38))</f>
        <v/>
      </c>
      <c r="B38" s="219"/>
      <c r="G38" s="282"/>
      <c r="H38" s="282"/>
      <c r="I38" s="282"/>
    </row>
    <row r="39" spans="1:9">
      <c r="A39" s="219" t="str">
        <f>IF(ISBLANK(C39),"",COUNTA($C$17:C39))</f>
        <v/>
      </c>
      <c r="B39" s="219"/>
      <c r="C39" s="219"/>
      <c r="D39" s="219"/>
      <c r="E39" s="219"/>
      <c r="F39" s="219"/>
      <c r="G39" s="218"/>
    </row>
    <row r="40" spans="1:9">
      <c r="A40" s="219">
        <f>IF(ISBLANK(C40),"",COUNTA($C$17:C40))</f>
        <v>13</v>
      </c>
      <c r="B40" s="219"/>
      <c r="C40" s="274" t="s">
        <v>2554</v>
      </c>
      <c r="D40" s="274"/>
      <c r="E40" s="274"/>
      <c r="F40" s="274"/>
      <c r="G40" s="218"/>
    </row>
    <row r="41" spans="1:9">
      <c r="A41" s="219">
        <f>IF(ISBLANK(C41),"",COUNTA($C$17:C41))</f>
        <v>14</v>
      </c>
      <c r="B41" s="219"/>
      <c r="C41" s="218" t="s">
        <v>2660</v>
      </c>
      <c r="G41" s="218"/>
    </row>
    <row r="42" spans="1:9">
      <c r="A42" s="219">
        <f>IF(ISBLANK(C42),"",COUNTA($C$17:C42))</f>
        <v>15</v>
      </c>
      <c r="B42" s="219"/>
      <c r="C42" s="218" t="s">
        <v>2629</v>
      </c>
      <c r="G42" s="218"/>
    </row>
    <row r="43" spans="1:9" ht="12.75" customHeight="1">
      <c r="A43" s="219">
        <f>+A42+1</f>
        <v>16</v>
      </c>
      <c r="C43" s="1334" t="s">
        <v>3117</v>
      </c>
      <c r="D43" s="1334"/>
      <c r="E43" s="1334"/>
      <c r="F43" s="1334"/>
      <c r="G43" s="1334"/>
      <c r="H43" s="1334"/>
      <c r="I43" s="1334"/>
    </row>
    <row r="44" spans="1:9">
      <c r="A44" s="219">
        <f t="shared" ref="A44:A48" si="0">+A43+1</f>
        <v>17</v>
      </c>
      <c r="C44" s="1334"/>
      <c r="D44" s="1334"/>
      <c r="E44" s="1334"/>
      <c r="F44" s="1334"/>
      <c r="G44" s="1334"/>
      <c r="H44" s="1334"/>
      <c r="I44" s="1334"/>
    </row>
    <row r="45" spans="1:9">
      <c r="A45" s="219">
        <f t="shared" si="0"/>
        <v>18</v>
      </c>
      <c r="C45" s="1334"/>
      <c r="D45" s="1334"/>
      <c r="E45" s="1334"/>
      <c r="F45" s="1334"/>
      <c r="G45" s="1334"/>
      <c r="H45" s="1334"/>
      <c r="I45" s="1334"/>
    </row>
    <row r="46" spans="1:9">
      <c r="A46" s="219">
        <f t="shared" si="0"/>
        <v>19</v>
      </c>
      <c r="C46" s="1334"/>
      <c r="D46" s="1334"/>
      <c r="E46" s="1334"/>
      <c r="F46" s="1334"/>
      <c r="G46" s="1334"/>
      <c r="H46" s="1334"/>
      <c r="I46" s="1334"/>
    </row>
    <row r="47" spans="1:9">
      <c r="A47" s="219">
        <f t="shared" si="0"/>
        <v>20</v>
      </c>
      <c r="C47" s="1334"/>
      <c r="D47" s="1334"/>
      <c r="E47" s="1334"/>
      <c r="F47" s="1334"/>
      <c r="G47" s="1334"/>
      <c r="H47" s="1334"/>
      <c r="I47" s="1334"/>
    </row>
    <row r="48" spans="1:9">
      <c r="A48" s="219">
        <f t="shared" si="0"/>
        <v>21</v>
      </c>
      <c r="C48" s="1334"/>
      <c r="D48" s="1334"/>
      <c r="E48" s="1334"/>
      <c r="F48" s="1334"/>
      <c r="G48" s="1334"/>
      <c r="H48" s="1334"/>
      <c r="I48" s="1334"/>
    </row>
  </sheetData>
  <mergeCells count="6">
    <mergeCell ref="C43:I48"/>
    <mergeCell ref="A1:I1"/>
    <mergeCell ref="A2:I2"/>
    <mergeCell ref="A3:I3"/>
    <mergeCell ref="A4:I4"/>
    <mergeCell ref="A5:I5"/>
  </mergeCells>
  <printOptions horizontalCentered="1"/>
  <pageMargins left="0.5" right="0.5" top="0.75" bottom="0.5" header="0.3" footer="0.3"/>
  <pageSetup scale="86"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I49"/>
  <sheetViews>
    <sheetView topLeftCell="A22" zoomScaleNormal="100" zoomScaleSheetLayoutView="100" workbookViewId="0">
      <selection activeCell="K43" sqref="K43"/>
    </sheetView>
  </sheetViews>
  <sheetFormatPr defaultColWidth="9.33203125" defaultRowHeight="12.75"/>
  <cols>
    <col min="1" max="1" width="6.1640625" style="218" customWidth="1"/>
    <col min="2" max="2" width="1.6640625" style="218" customWidth="1"/>
    <col min="3" max="3" width="92.33203125" style="218" customWidth="1"/>
    <col min="4" max="4" width="1.6640625" style="218" customWidth="1"/>
    <col min="5" max="5" width="39.83203125" style="218" customWidth="1"/>
    <col min="6" max="6" width="1.6640625" style="218" customWidth="1"/>
    <col min="7" max="7" width="22" style="953" customWidth="1"/>
    <col min="8" max="8" width="1.6640625" style="218" customWidth="1"/>
    <col min="9" max="9" width="20.5" style="218" customWidth="1"/>
    <col min="10" max="10" width="2.6640625" style="218" customWidth="1"/>
    <col min="11" max="16384" width="9.33203125" style="218"/>
  </cols>
  <sheetData>
    <row r="1" spans="1:9">
      <c r="A1" s="1320" t="str">
        <f>'General Headers Index'!B4</f>
        <v>COLUMBIA GAS OF KENTUCKY, INC.</v>
      </c>
      <c r="B1" s="1320"/>
      <c r="C1" s="1320"/>
      <c r="D1" s="1320"/>
      <c r="E1" s="1320"/>
      <c r="F1" s="1320"/>
      <c r="G1" s="1320"/>
      <c r="H1" s="1320"/>
      <c r="I1" s="1320"/>
    </row>
    <row r="2" spans="1:9">
      <c r="A2" s="1320" t="str">
        <f>'General Headers Index'!B6</f>
        <v>CASE NO. 2024 - 00092</v>
      </c>
      <c r="B2" s="1320"/>
      <c r="C2" s="1320"/>
      <c r="D2" s="1320"/>
      <c r="E2" s="1320"/>
      <c r="F2" s="1320"/>
      <c r="G2" s="1320"/>
      <c r="H2" s="1320"/>
      <c r="I2" s="1320"/>
    </row>
    <row r="3" spans="1:9">
      <c r="A3" s="1320" t="str">
        <f>'Index F'!C44</f>
        <v>NISOURCE SERVICE COMPANY ALLOCATED EMPLOYEE PARTY, OUTING, AND GIFT EXPENSES</v>
      </c>
      <c r="B3" s="1320"/>
      <c r="C3" s="1320"/>
      <c r="D3" s="1320"/>
      <c r="E3" s="1320"/>
      <c r="F3" s="1320"/>
      <c r="G3" s="1320"/>
      <c r="H3" s="1320"/>
      <c r="I3" s="1320"/>
    </row>
    <row r="4" spans="1:9">
      <c r="A4" s="1320" t="str">
        <f>'General Headers Index'!B9</f>
        <v>BASE PERIOD: TWELVE MONTHS ENDED AUGUST 31, 2024</v>
      </c>
      <c r="B4" s="1320"/>
      <c r="C4" s="1320"/>
      <c r="D4" s="1320"/>
      <c r="E4" s="1320"/>
      <c r="F4" s="1320"/>
      <c r="G4" s="1320"/>
      <c r="H4" s="1320"/>
      <c r="I4" s="1320"/>
    </row>
    <row r="5" spans="1:9">
      <c r="A5" s="1320" t="str">
        <f>'General Headers Index'!B16</f>
        <v>FORECASTED TEST PERIOD: TWELVE MONTHS ENDED DECEMBER 31, 2025</v>
      </c>
      <c r="B5" s="1320"/>
      <c r="C5" s="1320"/>
      <c r="D5" s="1320"/>
      <c r="E5" s="1320"/>
      <c r="F5" s="1320"/>
      <c r="G5" s="1320"/>
      <c r="H5" s="1320"/>
      <c r="I5" s="1320"/>
    </row>
    <row r="7" spans="1:9">
      <c r="A7" s="218" t="s">
        <v>60</v>
      </c>
      <c r="I7" s="271" t="s">
        <v>3043</v>
      </c>
    </row>
    <row r="8" spans="1:9">
      <c r="A8" s="218" t="str">
        <f>'General Headers Index'!B37</f>
        <v>TYPE OF FILING:___X___ORIGINAL______UPDATED</v>
      </c>
      <c r="I8" s="271" t="s">
        <v>57</v>
      </c>
    </row>
    <row r="9" spans="1:9">
      <c r="A9" s="218" t="s">
        <v>58</v>
      </c>
      <c r="I9" s="271" t="str">
        <f>"WITNESSES: "&amp;'General Headers Index'!$B$59</f>
        <v>WITNESSES: SHAEFFER</v>
      </c>
    </row>
    <row r="10" spans="1:9">
      <c r="I10" s="271" t="str">
        <f>"           "&amp;'General Headers Index'!$B$61</f>
        <v xml:space="preserve">           KING</v>
      </c>
    </row>
    <row r="11" spans="1:9">
      <c r="I11" s="271" t="str">
        <f>"           "&amp;'General Headers Index'!$B$62</f>
        <v xml:space="preserve">           BLY</v>
      </c>
    </row>
    <row r="12" spans="1:9">
      <c r="A12" s="880"/>
      <c r="B12" s="880"/>
      <c r="C12" s="880"/>
      <c r="D12" s="880"/>
      <c r="E12" s="880"/>
    </row>
    <row r="13" spans="1:9">
      <c r="B13" s="272"/>
      <c r="C13" s="272"/>
      <c r="D13" s="272"/>
      <c r="E13" s="272"/>
      <c r="F13" s="272"/>
      <c r="G13" s="272" t="s">
        <v>315</v>
      </c>
      <c r="H13" s="273"/>
      <c r="I13" s="272" t="s">
        <v>651</v>
      </c>
    </row>
    <row r="14" spans="1:9">
      <c r="A14" s="219" t="s">
        <v>313</v>
      </c>
      <c r="B14" s="219"/>
      <c r="C14" s="219"/>
      <c r="D14" s="219"/>
      <c r="E14" s="219"/>
      <c r="F14" s="219"/>
      <c r="G14" s="219" t="s">
        <v>319</v>
      </c>
      <c r="I14" s="219" t="s">
        <v>319</v>
      </c>
    </row>
    <row r="15" spans="1:9">
      <c r="A15" s="879" t="s">
        <v>316</v>
      </c>
      <c r="B15" s="879"/>
      <c r="C15" s="879" t="s">
        <v>1015</v>
      </c>
      <c r="D15" s="879"/>
      <c r="E15" s="879" t="s">
        <v>318</v>
      </c>
      <c r="F15" s="879"/>
      <c r="G15" s="879" t="s">
        <v>444</v>
      </c>
      <c r="H15" s="880"/>
      <c r="I15" s="879" t="s">
        <v>444</v>
      </c>
    </row>
    <row r="16" spans="1:9">
      <c r="A16" s="270"/>
      <c r="B16" s="270"/>
      <c r="C16" s="270" t="s">
        <v>532</v>
      </c>
      <c r="D16" s="270"/>
      <c r="E16" s="270" t="s">
        <v>541</v>
      </c>
      <c r="F16" s="270"/>
      <c r="G16" s="270" t="s">
        <v>542</v>
      </c>
      <c r="H16" s="273"/>
      <c r="I16" s="270" t="s">
        <v>668</v>
      </c>
    </row>
    <row r="17" spans="1:9">
      <c r="A17" s="219"/>
      <c r="B17" s="274"/>
      <c r="C17" s="274"/>
      <c r="D17" s="274"/>
      <c r="E17" s="274"/>
      <c r="F17" s="274"/>
      <c r="G17" s="282"/>
      <c r="H17" s="282"/>
      <c r="I17" s="282"/>
    </row>
    <row r="18" spans="1:9">
      <c r="A18" s="219">
        <f>IF(ISBLANK(C18),"",COUNTA($C$17:C18))</f>
        <v>1</v>
      </c>
      <c r="B18" s="274"/>
      <c r="C18" s="264" t="s">
        <v>2723</v>
      </c>
      <c r="D18" s="274"/>
      <c r="E18" s="274"/>
      <c r="F18" s="274"/>
      <c r="G18" s="282"/>
      <c r="H18" s="282"/>
      <c r="I18" s="282"/>
    </row>
    <row r="19" spans="1:9">
      <c r="A19" s="219">
        <f>IF(ISBLANK(C19),"",COUNTA($C$17:C19))</f>
        <v>2</v>
      </c>
      <c r="B19" s="219"/>
      <c r="C19" s="274" t="s">
        <v>3112</v>
      </c>
      <c r="D19" s="274"/>
      <c r="E19" s="219"/>
      <c r="F19" s="274"/>
      <c r="G19" s="222">
        <v>256.81000000000051</v>
      </c>
      <c r="H19" s="281"/>
      <c r="I19" s="222">
        <v>0</v>
      </c>
    </row>
    <row r="20" spans="1:9">
      <c r="A20" s="219" t="str">
        <f>IF(ISBLANK(C20),"",COUNTA($C$17:C20))</f>
        <v/>
      </c>
      <c r="B20" s="219"/>
      <c r="C20" s="274"/>
      <c r="D20" s="274"/>
      <c r="E20" s="219"/>
      <c r="F20" s="274"/>
      <c r="G20" s="275"/>
      <c r="H20" s="275"/>
      <c r="I20" s="275"/>
    </row>
    <row r="21" spans="1:9">
      <c r="A21" s="219">
        <f>IF(ISBLANK(C21),"",COUNTA($C$17:C21))</f>
        <v>3</v>
      </c>
      <c r="B21" s="219"/>
      <c r="C21" s="274" t="s">
        <v>3110</v>
      </c>
      <c r="D21" s="274"/>
      <c r="E21" s="219"/>
      <c r="F21" s="274"/>
      <c r="G21" s="245">
        <v>5567.8200000000024</v>
      </c>
      <c r="H21" s="275"/>
      <c r="I21" s="275">
        <v>0</v>
      </c>
    </row>
    <row r="22" spans="1:9">
      <c r="A22" s="219" t="str">
        <f>IF(ISBLANK(C22),"",COUNTA($C$17:C22))</f>
        <v/>
      </c>
      <c r="B22" s="219"/>
      <c r="C22" s="274"/>
      <c r="D22" s="274"/>
      <c r="E22" s="219"/>
      <c r="F22" s="274"/>
      <c r="G22" s="275"/>
      <c r="H22" s="275"/>
      <c r="I22" s="275"/>
    </row>
    <row r="23" spans="1:9">
      <c r="A23" s="219">
        <f>IF(ISBLANK(C23),"",COUNTA($C$17:C23))</f>
        <v>4</v>
      </c>
      <c r="B23" s="219"/>
      <c r="C23" s="274" t="s">
        <v>3111</v>
      </c>
      <c r="D23" s="274"/>
      <c r="E23" s="219"/>
      <c r="F23" s="274"/>
      <c r="G23" s="245">
        <v>153977.85000000009</v>
      </c>
      <c r="H23" s="226"/>
      <c r="I23" s="226">
        <v>0</v>
      </c>
    </row>
    <row r="24" spans="1:9">
      <c r="A24" s="219" t="str">
        <f>IF(ISBLANK(C24),"",COUNTA($C$17:C24))</f>
        <v/>
      </c>
      <c r="B24" s="219"/>
      <c r="C24" s="274"/>
      <c r="D24" s="274"/>
      <c r="E24" s="219"/>
      <c r="F24" s="274"/>
      <c r="G24" s="275"/>
      <c r="H24" s="275"/>
      <c r="I24" s="275"/>
    </row>
    <row r="25" spans="1:9">
      <c r="A25" s="219">
        <f>IF(ISBLANK(C25),"",COUNTA($C$17:C25))</f>
        <v>5</v>
      </c>
      <c r="B25" s="219"/>
      <c r="C25" s="218" t="s">
        <v>1140</v>
      </c>
      <c r="E25" s="219"/>
      <c r="G25" s="224">
        <v>139980.50731433809</v>
      </c>
      <c r="H25" s="275"/>
      <c r="I25" s="224">
        <v>275011.30093883653</v>
      </c>
    </row>
    <row r="26" spans="1:9">
      <c r="A26" s="219" t="str">
        <f>IF(ISBLANK(C26),"",COUNTA($C$17:C26))</f>
        <v/>
      </c>
      <c r="B26" s="219"/>
      <c r="C26" s="274"/>
      <c r="D26" s="274"/>
      <c r="E26" s="219"/>
      <c r="F26" s="274"/>
      <c r="G26" s="275"/>
      <c r="H26" s="275"/>
      <c r="I26" s="275"/>
    </row>
    <row r="27" spans="1:9">
      <c r="A27" s="219">
        <f>IF(ISBLANK(C27),"",COUNTA($C$17:C27))</f>
        <v>6</v>
      </c>
      <c r="B27" s="219"/>
      <c r="C27" s="274" t="s">
        <v>2724</v>
      </c>
      <c r="D27" s="274"/>
      <c r="E27" s="219"/>
      <c r="F27" s="274"/>
      <c r="G27" s="284">
        <f>SUM(G19:G26)</f>
        <v>299782.98731433821</v>
      </c>
      <c r="H27" s="275"/>
      <c r="I27" s="284">
        <f>SUM(I19:I26)</f>
        <v>275011.30093883653</v>
      </c>
    </row>
    <row r="28" spans="1:9">
      <c r="A28" s="219" t="str">
        <f>IF(ISBLANK(C28),"",COUNTA($C$17:C28))</f>
        <v/>
      </c>
      <c r="B28" s="219"/>
      <c r="C28" s="274"/>
      <c r="D28" s="274"/>
      <c r="E28" s="219"/>
      <c r="F28" s="274"/>
      <c r="G28" s="275"/>
      <c r="H28" s="275"/>
      <c r="I28" s="275"/>
    </row>
    <row r="29" spans="1:9">
      <c r="A29" s="219">
        <f>IF(ISBLANK(C29),"",COUNTA($C$17:C29))</f>
        <v>7</v>
      </c>
      <c r="B29" s="219"/>
      <c r="C29" s="264" t="s">
        <v>2725</v>
      </c>
      <c r="D29" s="274"/>
      <c r="E29" s="219"/>
      <c r="F29" s="274"/>
      <c r="G29" s="275"/>
      <c r="H29" s="275"/>
      <c r="I29" s="275"/>
    </row>
    <row r="30" spans="1:9">
      <c r="A30" s="219">
        <f>IF(ISBLANK(C30),"",COUNTA($C$17:C30))</f>
        <v>8</v>
      </c>
      <c r="B30" s="219"/>
      <c r="C30" s="218" t="s">
        <v>2626</v>
      </c>
      <c r="E30" s="39" t="str">
        <f>"Workpaper WPD-2.6H Line 8"</f>
        <v>Workpaper WPD-2.6H Line 8</v>
      </c>
      <c r="G30" s="275"/>
      <c r="H30" s="226"/>
      <c r="I30" s="245">
        <f>+'WPD-2.6.H NCSC Alloc Exclusions'!F29</f>
        <v>-581.56785000000013</v>
      </c>
    </row>
    <row r="31" spans="1:9">
      <c r="A31" s="219" t="str">
        <f>IF(ISBLANK(C31),"",COUNTA($C$17:C31))</f>
        <v/>
      </c>
      <c r="B31" s="219"/>
      <c r="E31" s="219"/>
      <c r="G31" s="275"/>
      <c r="H31" s="226"/>
      <c r="I31" s="226"/>
    </row>
    <row r="32" spans="1:9">
      <c r="A32" s="219">
        <f>IF(ISBLANK(C32),"",COUNTA($C$17:C32))</f>
        <v>9</v>
      </c>
      <c r="B32" s="219"/>
      <c r="C32" s="218" t="s">
        <v>2627</v>
      </c>
      <c r="E32" s="39" t="str">
        <f>"Workpaper WPD-2.6H Line 9"</f>
        <v>Workpaper WPD-2.6H Line 9</v>
      </c>
      <c r="G32" s="275"/>
      <c r="H32" s="226"/>
      <c r="I32" s="245">
        <f>+'WPD-2.6.H NCSC Alloc Exclusions'!F31</f>
        <v>-12322.9512</v>
      </c>
    </row>
    <row r="33" spans="1:9">
      <c r="A33" s="219" t="str">
        <f>IF(ISBLANK(C33),"",COUNTA($C$17:C33))</f>
        <v/>
      </c>
      <c r="B33" s="219"/>
      <c r="E33" s="219"/>
      <c r="G33" s="275"/>
      <c r="H33" s="226"/>
      <c r="I33" s="226"/>
    </row>
    <row r="34" spans="1:9">
      <c r="A34" s="219">
        <f>IF(ISBLANK(C34),"",COUNTA($C$17:C34))</f>
        <v>10</v>
      </c>
      <c r="B34" s="219"/>
      <c r="C34" s="218" t="s">
        <v>2628</v>
      </c>
      <c r="E34" s="39" t="str">
        <f>"Workpaper WPD-2.6H Lines 3 &amp; 10"</f>
        <v>Workpaper WPD-2.6H Lines 3 &amp; 10</v>
      </c>
      <c r="G34" s="275"/>
      <c r="H34" s="226"/>
      <c r="I34" s="245">
        <f>+'WPD-2.6.H NCSC Alloc Exclusions'!F19+'WPD-2.6.H NCSC Alloc Exclusions'!F33</f>
        <v>-12249.6003</v>
      </c>
    </row>
    <row r="35" spans="1:9">
      <c r="A35" s="219" t="str">
        <f>IF(ISBLANK(C35),"",COUNTA($C$17:C35))</f>
        <v/>
      </c>
      <c r="B35" s="219"/>
      <c r="E35" s="219"/>
      <c r="G35" s="275"/>
      <c r="H35" s="226"/>
      <c r="I35" s="245"/>
    </row>
    <row r="36" spans="1:9">
      <c r="A36" s="219">
        <f>IF(ISBLANK(C36),"",COUNTA($C$17:C36))</f>
        <v>11</v>
      </c>
      <c r="B36" s="219"/>
      <c r="C36" s="274" t="s">
        <v>2726</v>
      </c>
      <c r="D36" s="274"/>
      <c r="E36" s="219"/>
      <c r="F36" s="274"/>
      <c r="G36" s="275"/>
      <c r="H36" s="226"/>
      <c r="I36" s="253">
        <f>SUM(I30:I35)</f>
        <v>-25154.119350000001</v>
      </c>
    </row>
    <row r="37" spans="1:9">
      <c r="A37" s="219" t="str">
        <f>IF(ISBLANK(C37),"",COUNTA($C$17:C37))</f>
        <v/>
      </c>
      <c r="B37" s="219"/>
      <c r="C37" s="274"/>
      <c r="D37" s="274"/>
      <c r="E37" s="219"/>
      <c r="F37" s="274"/>
      <c r="G37" s="275"/>
      <c r="H37" s="275"/>
      <c r="I37" s="226"/>
    </row>
    <row r="38" spans="1:9">
      <c r="A38" s="219">
        <f>IF(ISBLANK(C38),"",COUNTA($C$17:C38))</f>
        <v>12</v>
      </c>
      <c r="B38" s="219"/>
      <c r="C38" s="274" t="s">
        <v>2724</v>
      </c>
      <c r="D38" s="274"/>
      <c r="E38" s="219"/>
      <c r="F38" s="274"/>
      <c r="G38" s="228">
        <f>G27+G36</f>
        <v>299782.98731433821</v>
      </c>
      <c r="H38" s="281"/>
      <c r="I38" s="228">
        <f>I27+I36</f>
        <v>249857.18158883654</v>
      </c>
    </row>
    <row r="39" spans="1:9">
      <c r="A39" s="219" t="str">
        <f>IF(ISBLANK(C39),"",COUNTA($C$17:C39))</f>
        <v/>
      </c>
      <c r="B39" s="219"/>
      <c r="G39" s="282"/>
      <c r="H39" s="282"/>
      <c r="I39" s="282"/>
    </row>
    <row r="40" spans="1:9">
      <c r="A40" s="219" t="str">
        <f>IF(ISBLANK(C40),"",COUNTA($C$17:C40))</f>
        <v/>
      </c>
      <c r="B40" s="219"/>
      <c r="C40" s="219"/>
      <c r="D40" s="219"/>
      <c r="E40" s="219"/>
      <c r="F40" s="219"/>
      <c r="G40" s="218"/>
    </row>
    <row r="41" spans="1:9">
      <c r="A41" s="219">
        <f>IF(ISBLANK(C41),"",COUNTA($C$17:C41))</f>
        <v>13</v>
      </c>
      <c r="B41" s="219"/>
      <c r="C41" s="274" t="s">
        <v>2554</v>
      </c>
      <c r="D41" s="274"/>
      <c r="E41" s="274"/>
      <c r="F41" s="274"/>
      <c r="G41" s="218"/>
    </row>
    <row r="42" spans="1:9">
      <c r="A42" s="219">
        <f>IF(ISBLANK(C42),"",COUNTA($C$17:C42))</f>
        <v>14</v>
      </c>
      <c r="B42" s="219"/>
      <c r="C42" s="218" t="s">
        <v>2660</v>
      </c>
      <c r="G42" s="218"/>
    </row>
    <row r="43" spans="1:9">
      <c r="A43" s="219">
        <f>IF(ISBLANK(C43),"",COUNTA($C$17:C43))</f>
        <v>15</v>
      </c>
      <c r="B43" s="219"/>
      <c r="C43" s="218" t="s">
        <v>2629</v>
      </c>
      <c r="G43" s="218"/>
    </row>
    <row r="44" spans="1:9" ht="12.75" customHeight="1">
      <c r="A44" s="219">
        <f>+A43+1</f>
        <v>16</v>
      </c>
      <c r="C44" s="1334" t="s">
        <v>3117</v>
      </c>
      <c r="D44" s="1334"/>
      <c r="E44" s="1334"/>
      <c r="F44" s="1334"/>
      <c r="G44" s="1334"/>
      <c r="H44" s="1334"/>
      <c r="I44" s="1334"/>
    </row>
    <row r="45" spans="1:9">
      <c r="A45" s="219">
        <f t="shared" ref="A45:A49" si="0">+A44+1</f>
        <v>17</v>
      </c>
      <c r="C45" s="1334"/>
      <c r="D45" s="1334"/>
      <c r="E45" s="1334"/>
      <c r="F45" s="1334"/>
      <c r="G45" s="1334"/>
      <c r="H45" s="1334"/>
      <c r="I45" s="1334"/>
    </row>
    <row r="46" spans="1:9">
      <c r="A46" s="219">
        <f t="shared" si="0"/>
        <v>18</v>
      </c>
      <c r="C46" s="1334"/>
      <c r="D46" s="1334"/>
      <c r="E46" s="1334"/>
      <c r="F46" s="1334"/>
      <c r="G46" s="1334"/>
      <c r="H46" s="1334"/>
      <c r="I46" s="1334"/>
    </row>
    <row r="47" spans="1:9">
      <c r="A47" s="219">
        <f t="shared" si="0"/>
        <v>19</v>
      </c>
      <c r="C47" s="1334"/>
      <c r="D47" s="1334"/>
      <c r="E47" s="1334"/>
      <c r="F47" s="1334"/>
      <c r="G47" s="1334"/>
      <c r="H47" s="1334"/>
      <c r="I47" s="1334"/>
    </row>
    <row r="48" spans="1:9">
      <c r="A48" s="219">
        <f t="shared" si="0"/>
        <v>20</v>
      </c>
      <c r="C48" s="1334"/>
      <c r="D48" s="1334"/>
      <c r="E48" s="1334"/>
      <c r="F48" s="1334"/>
      <c r="G48" s="1334"/>
      <c r="H48" s="1334"/>
      <c r="I48" s="1334"/>
    </row>
    <row r="49" spans="1:9">
      <c r="A49" s="219">
        <f t="shared" si="0"/>
        <v>21</v>
      </c>
      <c r="C49" s="1334"/>
      <c r="D49" s="1334"/>
      <c r="E49" s="1334"/>
      <c r="F49" s="1334"/>
      <c r="G49" s="1334"/>
      <c r="H49" s="1334"/>
      <c r="I49" s="1334"/>
    </row>
  </sheetData>
  <mergeCells count="6">
    <mergeCell ref="C44:I49"/>
    <mergeCell ref="A1:I1"/>
    <mergeCell ref="A2:I2"/>
    <mergeCell ref="A3:I3"/>
    <mergeCell ref="A4:I4"/>
    <mergeCell ref="A5:I5"/>
  </mergeCells>
  <printOptions horizontalCentered="1"/>
  <pageMargins left="0.5" right="0.5" top="0.75" bottom="0.5" header="0.3" footer="0.3"/>
  <pageSetup scale="8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H39"/>
  <sheetViews>
    <sheetView zoomScaleNormal="100" zoomScaleSheetLayoutView="100" workbookViewId="0">
      <selection activeCell="A4" sqref="A4:H4"/>
    </sheetView>
  </sheetViews>
  <sheetFormatPr defaultColWidth="9.33203125" defaultRowHeight="12.75"/>
  <cols>
    <col min="1" max="1" width="5.6640625" style="218" customWidth="1"/>
    <col min="2" max="2" width="2.33203125" style="218" customWidth="1"/>
    <col min="3" max="3" width="60.1640625" style="218" customWidth="1"/>
    <col min="4" max="4" width="4.1640625" style="218" customWidth="1"/>
    <col min="5" max="5" width="9.33203125" style="218"/>
    <col min="6" max="6" width="2.5" style="218" customWidth="1"/>
    <col min="7" max="7" width="3.1640625" style="218" customWidth="1"/>
    <col min="8" max="8" width="21.83203125" style="218" customWidth="1"/>
    <col min="9" max="9" width="3.1640625" style="218" customWidth="1"/>
    <col min="10" max="16384" width="9.33203125" style="218"/>
  </cols>
  <sheetData>
    <row r="1" spans="1:8">
      <c r="A1" s="1320" t="str">
        <f>'General Headers Index'!B4</f>
        <v>COLUMBIA GAS OF KENTUCKY, INC.</v>
      </c>
      <c r="B1" s="1320"/>
      <c r="C1" s="1320"/>
      <c r="D1" s="1320"/>
      <c r="E1" s="1320"/>
      <c r="F1" s="1320"/>
      <c r="G1" s="1320"/>
      <c r="H1" s="1320"/>
    </row>
    <row r="2" spans="1:8">
      <c r="A2" s="1320" t="str">
        <f>'General Headers Index'!B6</f>
        <v>CASE NO. 2024 - 00092</v>
      </c>
      <c r="B2" s="1320"/>
      <c r="C2" s="1320"/>
      <c r="D2" s="1320"/>
      <c r="E2" s="1320"/>
      <c r="F2" s="1320"/>
      <c r="G2" s="1320"/>
      <c r="H2" s="1320"/>
    </row>
    <row r="3" spans="1:8">
      <c r="A3" s="1320" t="str">
        <f>'Index F'!$C$45</f>
        <v>TOTAL COMPANY PROJECTED RATE CASE EXPENSES</v>
      </c>
      <c r="B3" s="1320"/>
      <c r="C3" s="1320"/>
      <c r="D3" s="1320"/>
      <c r="E3" s="1320"/>
      <c r="F3" s="1320"/>
      <c r="G3" s="1320"/>
      <c r="H3" s="1320"/>
    </row>
    <row r="4" spans="1:8">
      <c r="A4" s="1320" t="str">
        <f>'General Headers Index'!B9</f>
        <v>BASE PERIOD: TWELVE MONTHS ENDED AUGUST 31, 2024</v>
      </c>
      <c r="B4" s="1320"/>
      <c r="C4" s="1320"/>
      <c r="D4" s="1320"/>
      <c r="E4" s="1320"/>
      <c r="F4" s="1320"/>
      <c r="G4" s="1320"/>
      <c r="H4" s="1320"/>
    </row>
    <row r="5" spans="1:8">
      <c r="A5" s="1320" t="str">
        <f>'General Headers Index'!B16</f>
        <v>FORECASTED TEST PERIOD: TWELVE MONTHS ENDED DECEMBER 31, 2025</v>
      </c>
      <c r="B5" s="1320"/>
      <c r="C5" s="1320"/>
      <c r="D5" s="1320"/>
      <c r="E5" s="1320"/>
      <c r="F5" s="1320"/>
      <c r="G5" s="1320"/>
      <c r="H5" s="1320"/>
    </row>
    <row r="7" spans="1:8">
      <c r="A7" s="218" t="s">
        <v>60</v>
      </c>
      <c r="H7" s="271" t="s">
        <v>2643</v>
      </c>
    </row>
    <row r="8" spans="1:8" ht="12.75" customHeight="1">
      <c r="A8" s="218" t="str">
        <f>'General Headers Index'!B37</f>
        <v>TYPE OF FILING:___X___ORIGINAL______UPDATED</v>
      </c>
      <c r="H8" s="271" t="s">
        <v>57</v>
      </c>
    </row>
    <row r="9" spans="1:8">
      <c r="A9" s="218" t="s">
        <v>58</v>
      </c>
      <c r="H9" s="271" t="str">
        <f>"WITNESS: "&amp;'General Headers Index'!B59</f>
        <v>WITNESS: SHAEFFER</v>
      </c>
    </row>
    <row r="10" spans="1:8">
      <c r="A10" s="880"/>
      <c r="B10" s="880"/>
      <c r="C10" s="880"/>
      <c r="D10" s="880"/>
      <c r="E10" s="880"/>
      <c r="F10" s="880"/>
      <c r="G10" s="880"/>
      <c r="H10" s="880"/>
    </row>
    <row r="11" spans="1:8">
      <c r="A11" s="219" t="s">
        <v>313</v>
      </c>
    </row>
    <row r="12" spans="1:8">
      <c r="A12" s="879" t="s">
        <v>316</v>
      </c>
      <c r="B12" s="880"/>
      <c r="C12" s="880" t="s">
        <v>451</v>
      </c>
      <c r="D12" s="880"/>
      <c r="E12" s="880"/>
      <c r="F12" s="880"/>
      <c r="G12" s="880"/>
      <c r="H12" s="879" t="s">
        <v>444</v>
      </c>
    </row>
    <row r="13" spans="1:8">
      <c r="A13" s="219"/>
    </row>
    <row r="14" spans="1:8">
      <c r="A14" s="219">
        <v>1</v>
      </c>
      <c r="C14" s="218" t="s">
        <v>2644</v>
      </c>
      <c r="H14" s="225">
        <v>287250</v>
      </c>
    </row>
    <row r="15" spans="1:8">
      <c r="A15" s="219"/>
      <c r="C15" s="218" t="s">
        <v>2645</v>
      </c>
      <c r="H15" s="225"/>
    </row>
    <row r="16" spans="1:8">
      <c r="A16" s="219"/>
      <c r="H16" s="227"/>
    </row>
    <row r="17" spans="1:8">
      <c r="A17" s="219">
        <f>+A14+1</f>
        <v>2</v>
      </c>
      <c r="C17" s="218" t="s">
        <v>2646</v>
      </c>
      <c r="F17" s="227"/>
      <c r="H17" s="227">
        <v>375000</v>
      </c>
    </row>
    <row r="18" spans="1:8">
      <c r="A18" s="219"/>
      <c r="F18" s="227"/>
      <c r="H18" s="227"/>
    </row>
    <row r="19" spans="1:8">
      <c r="A19" s="219">
        <f>+A17+1</f>
        <v>3</v>
      </c>
      <c r="C19" s="218" t="s">
        <v>2647</v>
      </c>
      <c r="F19" s="227"/>
      <c r="H19" s="227">
        <v>380000</v>
      </c>
    </row>
    <row r="20" spans="1:8">
      <c r="A20" s="219"/>
      <c r="F20" s="227"/>
      <c r="H20" s="227"/>
    </row>
    <row r="21" spans="1:8">
      <c r="A21" s="219">
        <f>+A19+1</f>
        <v>4</v>
      </c>
      <c r="C21" s="218" t="s">
        <v>2648</v>
      </c>
      <c r="F21" s="227"/>
      <c r="H21" s="227"/>
    </row>
    <row r="22" spans="1:8">
      <c r="A22" s="219">
        <f>+A21+1</f>
        <v>5</v>
      </c>
      <c r="C22" s="218" t="s">
        <v>2649</v>
      </c>
      <c r="F22" s="227"/>
      <c r="H22" s="227">
        <v>100000</v>
      </c>
    </row>
    <row r="23" spans="1:8">
      <c r="A23" s="219"/>
      <c r="H23" s="227"/>
    </row>
    <row r="24" spans="1:8">
      <c r="A24" s="219">
        <f>+A22+1</f>
        <v>6</v>
      </c>
      <c r="C24" s="218" t="s">
        <v>2650</v>
      </c>
      <c r="H24" s="702">
        <f>SUM(H14:H22)</f>
        <v>1142250</v>
      </c>
    </row>
    <row r="25" spans="1:8">
      <c r="A25" s="219"/>
      <c r="H25" s="703"/>
    </row>
    <row r="26" spans="1:8">
      <c r="A26" s="219"/>
      <c r="H26" s="703"/>
    </row>
    <row r="27" spans="1:8">
      <c r="A27" s="219"/>
      <c r="B27" s="880"/>
      <c r="C27" s="880"/>
      <c r="D27" s="880"/>
      <c r="E27" s="880"/>
      <c r="F27" s="880"/>
      <c r="G27" s="880"/>
      <c r="H27" s="984"/>
    </row>
    <row r="28" spans="1:8">
      <c r="A28" s="11"/>
      <c r="B28" s="1339" t="s">
        <v>2651</v>
      </c>
      <c r="C28" s="1340"/>
      <c r="D28" s="1340"/>
      <c r="E28" s="1340"/>
      <c r="F28" s="1340"/>
      <c r="G28" s="1340"/>
      <c r="H28" s="1341"/>
    </row>
    <row r="29" spans="1:8" ht="25.5">
      <c r="A29" s="11"/>
      <c r="B29" s="832"/>
      <c r="C29" s="1338" t="s">
        <v>2652</v>
      </c>
      <c r="D29" s="1338"/>
      <c r="E29" s="1338"/>
      <c r="F29" s="1338"/>
      <c r="G29" s="1338"/>
      <c r="H29" s="1166" t="s">
        <v>2653</v>
      </c>
    </row>
    <row r="30" spans="1:8">
      <c r="C30" s="257"/>
      <c r="E30" s="39"/>
      <c r="F30" s="39"/>
    </row>
    <row r="31" spans="1:8">
      <c r="A31" s="217">
        <f>+A24+1</f>
        <v>7</v>
      </c>
      <c r="C31" s="220" t="s">
        <v>2654</v>
      </c>
      <c r="E31" s="217"/>
      <c r="H31" s="703">
        <f>+H24</f>
        <v>1142250</v>
      </c>
    </row>
    <row r="32" spans="1:8">
      <c r="A32" s="217"/>
      <c r="C32" s="220"/>
      <c r="E32" s="217"/>
      <c r="H32" s="703"/>
    </row>
    <row r="33" spans="1:8">
      <c r="A33" s="217">
        <f>+A31+1</f>
        <v>8</v>
      </c>
      <c r="C33" s="257" t="s">
        <v>2655</v>
      </c>
      <c r="E33" s="220"/>
      <c r="H33" s="217">
        <v>1</v>
      </c>
    </row>
    <row r="34" spans="1:8">
      <c r="A34" s="217"/>
      <c r="C34" s="257"/>
      <c r="E34" s="220"/>
      <c r="H34" s="217"/>
    </row>
    <row r="35" spans="1:8">
      <c r="A35" s="219">
        <f>+A33+1</f>
        <v>9</v>
      </c>
      <c r="C35" s="218" t="s">
        <v>2656</v>
      </c>
      <c r="H35" s="702">
        <f>ROUND(H31/H33,0)</f>
        <v>1142250</v>
      </c>
    </row>
    <row r="37" spans="1:8">
      <c r="A37" s="219"/>
      <c r="C37" s="274" t="s">
        <v>2657</v>
      </c>
    </row>
    <row r="38" spans="1:8">
      <c r="A38" s="219"/>
      <c r="H38" s="225"/>
    </row>
    <row r="39" spans="1:8">
      <c r="A39" s="219"/>
    </row>
  </sheetData>
  <mergeCells count="7">
    <mergeCell ref="C29:G29"/>
    <mergeCell ref="A1:H1"/>
    <mergeCell ref="A2:H2"/>
    <mergeCell ref="A3:H3"/>
    <mergeCell ref="A4:H4"/>
    <mergeCell ref="A5:H5"/>
    <mergeCell ref="B28:H28"/>
  </mergeCells>
  <printOptions horizontalCentered="1"/>
  <pageMargins left="0.5" right="0.5" top="0.75" bottom="0.5" header="0.3" footer="0.3"/>
  <pageSetup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85"/>
  <sheetViews>
    <sheetView zoomScaleNormal="100" zoomScaleSheetLayoutView="100" workbookViewId="0">
      <selection activeCell="C25" sqref="C25"/>
    </sheetView>
  </sheetViews>
  <sheetFormatPr defaultRowHeight="10.5"/>
  <cols>
    <col min="1" max="1" width="25.33203125" customWidth="1"/>
    <col min="2" max="2" width="2.5" customWidth="1"/>
    <col min="3" max="3" width="73.6640625" customWidth="1"/>
  </cols>
  <sheetData>
    <row r="1" spans="1:5" ht="12.75">
      <c r="A1" s="286" t="s">
        <v>358</v>
      </c>
      <c r="B1" s="255"/>
      <c r="C1" s="255"/>
      <c r="D1" s="546"/>
      <c r="E1" s="546"/>
    </row>
    <row r="2" spans="1:5" ht="12.75">
      <c r="A2" s="255"/>
      <c r="B2" s="255"/>
      <c r="C2" s="255"/>
      <c r="D2" s="546"/>
      <c r="E2" s="546"/>
    </row>
    <row r="3" spans="1:5" ht="12.75">
      <c r="A3" s="255"/>
      <c r="B3" s="255"/>
      <c r="C3" s="255"/>
      <c r="D3" s="546"/>
      <c r="E3" s="546"/>
    </row>
    <row r="4" spans="1:5" ht="12.75">
      <c r="A4" s="255"/>
      <c r="B4" s="255"/>
      <c r="C4" s="255"/>
      <c r="D4" s="546"/>
      <c r="E4" s="546"/>
    </row>
    <row r="5" spans="1:5" ht="12.75">
      <c r="A5" s="883" t="s">
        <v>1002</v>
      </c>
      <c r="B5" s="883"/>
      <c r="C5" s="883"/>
      <c r="D5" s="546"/>
      <c r="E5" s="546"/>
    </row>
    <row r="6" spans="1:5" ht="12.75">
      <c r="A6" s="255"/>
      <c r="B6" s="255"/>
      <c r="C6" s="255"/>
      <c r="D6" s="546"/>
      <c r="E6" s="546"/>
    </row>
    <row r="7" spans="1:5" ht="12.75">
      <c r="A7" s="883" t="s">
        <v>73</v>
      </c>
      <c r="B7" s="883"/>
      <c r="C7" s="883"/>
      <c r="D7" s="546"/>
      <c r="E7" s="546"/>
    </row>
    <row r="8" spans="1:5" ht="12.75">
      <c r="A8" s="255"/>
      <c r="B8" s="255"/>
      <c r="C8" s="255"/>
      <c r="D8" s="546"/>
      <c r="E8" s="546"/>
    </row>
    <row r="9" spans="1:5" ht="12.75">
      <c r="A9" s="883" t="str">
        <f>'General Headers Index'!B4</f>
        <v>COLUMBIA GAS OF KENTUCKY, INC.</v>
      </c>
      <c r="B9" s="883"/>
      <c r="C9" s="883"/>
      <c r="D9" s="546"/>
      <c r="E9" s="546"/>
    </row>
    <row r="10" spans="1:5" ht="12.75">
      <c r="A10" s="255"/>
      <c r="B10" s="255"/>
      <c r="C10" s="255"/>
      <c r="D10" s="546"/>
      <c r="E10" s="546"/>
    </row>
    <row r="11" spans="1:5" ht="12.75">
      <c r="A11" s="883" t="str">
        <f>'General Headers Index'!B6</f>
        <v>CASE NO. 2024 - 00092</v>
      </c>
      <c r="B11" s="883"/>
      <c r="C11" s="883"/>
      <c r="D11" s="546"/>
      <c r="E11" s="546"/>
    </row>
    <row r="12" spans="1:5" ht="12.75">
      <c r="A12" s="255"/>
      <c r="B12" s="255"/>
      <c r="C12" s="255"/>
      <c r="D12" s="546"/>
      <c r="E12" s="546"/>
    </row>
    <row r="13" spans="1:5" ht="12.75">
      <c r="A13" s="255"/>
      <c r="B13" s="255"/>
      <c r="C13" s="255"/>
      <c r="D13" s="546"/>
      <c r="E13" s="546"/>
    </row>
    <row r="14" spans="1:5" ht="12.75">
      <c r="A14" s="255"/>
      <c r="B14" s="255"/>
      <c r="C14" s="255"/>
      <c r="D14" s="546"/>
      <c r="E14" s="546"/>
    </row>
    <row r="15" spans="1:5" ht="12.75">
      <c r="A15" s="255"/>
      <c r="B15" s="255"/>
      <c r="C15" s="255"/>
      <c r="D15" s="546"/>
      <c r="E15" s="546"/>
    </row>
    <row r="16" spans="1:5" ht="12.75">
      <c r="A16" s="286" t="s">
        <v>97</v>
      </c>
      <c r="B16" s="255"/>
      <c r="C16" s="286" t="str">
        <f>'General Headers Index'!B8</f>
        <v>FOR THE TWELVE MONTHS ENDED AUGUST 31, 2024</v>
      </c>
      <c r="D16" s="546"/>
      <c r="E16" s="546"/>
    </row>
    <row r="17" spans="1:5" ht="12.75">
      <c r="A17" s="255"/>
      <c r="B17" s="255"/>
      <c r="C17" s="255"/>
      <c r="D17" s="546"/>
      <c r="E17" s="546"/>
    </row>
    <row r="18" spans="1:5" ht="12.75">
      <c r="A18" s="286" t="s">
        <v>684</v>
      </c>
      <c r="B18" s="255"/>
      <c r="C18" s="286" t="str">
        <f>'General Headers Index'!B15</f>
        <v>FOR THE TWELVE MONTHS ENDED DECEMBER 31, 2025</v>
      </c>
      <c r="D18" s="546"/>
      <c r="E18" s="546"/>
    </row>
    <row r="19" spans="1:5" ht="12.75">
      <c r="A19" s="255"/>
      <c r="B19" s="255"/>
      <c r="C19" s="255"/>
      <c r="D19" s="546"/>
      <c r="E19" s="546"/>
    </row>
    <row r="20" spans="1:5" ht="12.75">
      <c r="A20" s="255"/>
      <c r="B20" s="255"/>
      <c r="C20" s="255"/>
      <c r="D20" s="546"/>
      <c r="E20" s="546"/>
    </row>
    <row r="21" spans="1:5" ht="12.75">
      <c r="A21" s="288" t="s">
        <v>314</v>
      </c>
      <c r="B21" s="288"/>
      <c r="C21" s="287" t="s">
        <v>451</v>
      </c>
      <c r="D21" s="704"/>
      <c r="E21" s="704"/>
    </row>
    <row r="22" spans="1:5" ht="12.75">
      <c r="A22" s="255"/>
      <c r="B22" s="255"/>
      <c r="C22" s="255"/>
      <c r="D22" s="546"/>
      <c r="E22" s="546"/>
    </row>
    <row r="23" spans="1:5" ht="12.75">
      <c r="A23" s="286" t="s">
        <v>74</v>
      </c>
      <c r="B23" s="255"/>
      <c r="C23" s="255" t="s">
        <v>75</v>
      </c>
      <c r="D23" s="546"/>
      <c r="E23" s="546"/>
    </row>
    <row r="24" spans="1:5" ht="12.75">
      <c r="A24" s="255" t="s">
        <v>76</v>
      </c>
      <c r="B24" s="255"/>
      <c r="C24" s="255" t="s">
        <v>77</v>
      </c>
      <c r="D24" s="546"/>
      <c r="E24" s="546"/>
    </row>
    <row r="25" spans="1:5" ht="12.75">
      <c r="A25" s="255"/>
      <c r="B25" s="255"/>
      <c r="C25" s="255"/>
      <c r="D25" s="546"/>
      <c r="E25" s="546"/>
    </row>
    <row r="26" spans="1:5" ht="12.75">
      <c r="A26" s="255"/>
      <c r="B26" s="255"/>
      <c r="C26" s="255"/>
      <c r="D26" s="255"/>
      <c r="E26" s="546"/>
    </row>
    <row r="27" spans="1:5" ht="12.75">
      <c r="A27" s="255"/>
      <c r="B27" s="255"/>
      <c r="C27" s="255"/>
      <c r="D27" s="546"/>
      <c r="E27" s="546"/>
    </row>
    <row r="28" spans="1:5" ht="12.75">
      <c r="A28" s="255"/>
      <c r="B28" s="255"/>
      <c r="C28" s="255"/>
      <c r="D28" s="546"/>
      <c r="E28" s="546"/>
    </row>
    <row r="29" spans="1:5" ht="12.75">
      <c r="A29" s="255"/>
      <c r="B29" s="255"/>
      <c r="C29" s="255"/>
      <c r="D29" s="546"/>
      <c r="E29" s="546"/>
    </row>
    <row r="30" spans="1:5" ht="12.75">
      <c r="A30" s="255"/>
      <c r="B30" s="255"/>
      <c r="C30" s="255"/>
      <c r="D30" s="546"/>
      <c r="E30" s="546"/>
    </row>
    <row r="31" spans="1:5" ht="12.75">
      <c r="A31" s="255"/>
      <c r="B31" s="255"/>
      <c r="C31" s="255"/>
      <c r="D31" s="546"/>
      <c r="E31" s="546"/>
    </row>
    <row r="32" spans="1:5" ht="12.75">
      <c r="A32" s="255"/>
      <c r="B32" s="255"/>
      <c r="C32" s="255"/>
      <c r="D32" s="546"/>
      <c r="E32" s="546"/>
    </row>
    <row r="33" spans="1:5" ht="12.75">
      <c r="A33" s="255"/>
      <c r="B33" s="255"/>
      <c r="C33" s="255"/>
      <c r="D33" s="546"/>
      <c r="E33" s="546"/>
    </row>
    <row r="34" spans="1:5" ht="12.75">
      <c r="A34" s="255"/>
      <c r="B34" s="255"/>
      <c r="C34" s="255"/>
      <c r="D34" s="546"/>
      <c r="E34" s="546"/>
    </row>
    <row r="35" spans="1:5" ht="12.75">
      <c r="A35" s="255"/>
      <c r="B35" s="255"/>
      <c r="C35" s="255"/>
      <c r="D35" s="546"/>
      <c r="E35" s="546"/>
    </row>
    <row r="36" spans="1:5" ht="12.75">
      <c r="A36" s="255"/>
      <c r="B36" s="255"/>
      <c r="C36" s="255"/>
      <c r="D36" s="546"/>
      <c r="E36" s="546"/>
    </row>
    <row r="37" spans="1:5" ht="12.75">
      <c r="A37" s="255"/>
      <c r="B37" s="255"/>
      <c r="C37" s="255"/>
      <c r="D37" s="546"/>
      <c r="E37" s="546"/>
    </row>
    <row r="38" spans="1:5" ht="12.75">
      <c r="A38" s="255"/>
      <c r="B38" s="255"/>
      <c r="C38" s="255"/>
      <c r="D38" s="546"/>
      <c r="E38" s="546"/>
    </row>
    <row r="39" spans="1:5" ht="12.75">
      <c r="A39" s="255"/>
      <c r="B39" s="255"/>
      <c r="C39" s="255"/>
      <c r="D39" s="546"/>
      <c r="E39" s="546"/>
    </row>
    <row r="40" spans="1:5" ht="11.25">
      <c r="A40" s="546"/>
      <c r="B40" s="546"/>
      <c r="C40" s="546"/>
      <c r="D40" s="546"/>
      <c r="E40" s="546"/>
    </row>
    <row r="41" spans="1:5" ht="11.25">
      <c r="A41" s="546"/>
      <c r="B41" s="546"/>
      <c r="C41" s="546"/>
      <c r="D41" s="546"/>
      <c r="E41" s="546"/>
    </row>
    <row r="42" spans="1:5" ht="11.25">
      <c r="A42" s="546"/>
      <c r="B42" s="546"/>
      <c r="C42" s="546"/>
      <c r="D42" s="546"/>
      <c r="E42" s="546"/>
    </row>
    <row r="43" spans="1:5" ht="11.25">
      <c r="A43" s="546"/>
      <c r="B43" s="546"/>
      <c r="C43" s="546"/>
      <c r="D43" s="546"/>
      <c r="E43" s="546"/>
    </row>
    <row r="44" spans="1:5" ht="11.25">
      <c r="A44" s="546"/>
      <c r="B44" s="546"/>
      <c r="C44" s="546"/>
      <c r="D44" s="546"/>
      <c r="E44" s="546"/>
    </row>
    <row r="45" spans="1:5" ht="11.25">
      <c r="A45" s="546"/>
      <c r="B45" s="546"/>
      <c r="C45" s="546"/>
      <c r="D45" s="546"/>
      <c r="E45" s="546"/>
    </row>
    <row r="46" spans="1:5" ht="11.25">
      <c r="A46" s="546"/>
      <c r="B46" s="546"/>
      <c r="C46" s="546"/>
      <c r="D46" s="546"/>
      <c r="E46" s="546"/>
    </row>
    <row r="47" spans="1:5" ht="11.25">
      <c r="A47" s="546"/>
      <c r="B47" s="546"/>
      <c r="C47" s="546"/>
      <c r="D47" s="546"/>
      <c r="E47" s="546"/>
    </row>
    <row r="48" spans="1:5" ht="11.25">
      <c r="A48" s="546"/>
      <c r="B48" s="546"/>
      <c r="C48" s="546"/>
      <c r="D48" s="546"/>
      <c r="E48" s="546"/>
    </row>
    <row r="49" spans="1:5" ht="11.25">
      <c r="A49" s="546"/>
      <c r="B49" s="546"/>
      <c r="C49" s="546"/>
      <c r="D49" s="546"/>
      <c r="E49" s="546"/>
    </row>
    <row r="50" spans="1:5" ht="11.25">
      <c r="A50" s="546"/>
      <c r="B50" s="546"/>
      <c r="C50" s="546"/>
      <c r="D50" s="546"/>
      <c r="E50" s="546"/>
    </row>
    <row r="51" spans="1:5" ht="11.25">
      <c r="A51" s="546"/>
      <c r="B51" s="546"/>
      <c r="C51" s="546"/>
      <c r="D51" s="546"/>
      <c r="E51" s="546"/>
    </row>
    <row r="52" spans="1:5" ht="11.25">
      <c r="A52" s="546"/>
      <c r="B52" s="546"/>
      <c r="C52" s="546"/>
      <c r="D52" s="546"/>
      <c r="E52" s="546"/>
    </row>
    <row r="53" spans="1:5" ht="11.25">
      <c r="A53" s="546"/>
      <c r="B53" s="546"/>
      <c r="C53" s="546"/>
      <c r="D53" s="546"/>
      <c r="E53" s="546"/>
    </row>
    <row r="54" spans="1:5" ht="11.25">
      <c r="A54" s="546"/>
      <c r="B54" s="546"/>
      <c r="C54" s="546"/>
      <c r="D54" s="546"/>
      <c r="E54" s="546"/>
    </row>
    <row r="55" spans="1:5" ht="11.25">
      <c r="A55" s="546"/>
      <c r="B55" s="546"/>
      <c r="C55" s="546"/>
      <c r="D55" s="546"/>
      <c r="E55" s="546"/>
    </row>
    <row r="56" spans="1:5" ht="11.25">
      <c r="A56" s="546"/>
      <c r="B56" s="546"/>
      <c r="C56" s="546"/>
      <c r="D56" s="546"/>
      <c r="E56" s="546"/>
    </row>
    <row r="57" spans="1:5" ht="11.25">
      <c r="A57" s="546"/>
      <c r="B57" s="546"/>
      <c r="C57" s="546"/>
      <c r="D57" s="546"/>
      <c r="E57" s="546"/>
    </row>
    <row r="58" spans="1:5" ht="11.25">
      <c r="A58" s="546"/>
      <c r="B58" s="546"/>
      <c r="C58" s="546"/>
      <c r="D58" s="546"/>
      <c r="E58" s="546"/>
    </row>
    <row r="59" spans="1:5" ht="11.25">
      <c r="A59" s="546"/>
      <c r="B59" s="546"/>
      <c r="C59" s="546"/>
      <c r="D59" s="546"/>
      <c r="E59" s="546"/>
    </row>
    <row r="60" spans="1:5" ht="11.25">
      <c r="A60" s="546"/>
      <c r="B60" s="546"/>
      <c r="C60" s="546"/>
      <c r="D60" s="546"/>
      <c r="E60" s="546"/>
    </row>
    <row r="61" spans="1:5" ht="11.25">
      <c r="A61" s="546"/>
      <c r="B61" s="546"/>
      <c r="C61" s="546"/>
      <c r="D61" s="546"/>
      <c r="E61" s="546"/>
    </row>
    <row r="62" spans="1:5" ht="11.25">
      <c r="A62" s="546"/>
      <c r="B62" s="546"/>
      <c r="C62" s="546"/>
      <c r="D62" s="546"/>
      <c r="E62" s="546"/>
    </row>
    <row r="63" spans="1:5" ht="11.25">
      <c r="A63" s="546"/>
      <c r="B63" s="546"/>
      <c r="C63" s="546"/>
      <c r="D63" s="546"/>
      <c r="E63" s="546"/>
    </row>
    <row r="64" spans="1:5" ht="11.25">
      <c r="A64" s="546"/>
      <c r="B64" s="546"/>
      <c r="C64" s="546"/>
      <c r="D64" s="546"/>
      <c r="E64" s="546"/>
    </row>
    <row r="65" spans="1:5" ht="11.25">
      <c r="A65" s="546"/>
      <c r="B65" s="546"/>
      <c r="C65" s="546"/>
      <c r="D65" s="546"/>
      <c r="E65" s="546"/>
    </row>
    <row r="66" spans="1:5" ht="11.25">
      <c r="A66" s="546"/>
      <c r="B66" s="546"/>
      <c r="C66" s="546"/>
      <c r="D66" s="546"/>
      <c r="E66" s="546"/>
    </row>
    <row r="67" spans="1:5" ht="11.25">
      <c r="A67" s="546"/>
      <c r="B67" s="546"/>
      <c r="C67" s="546"/>
      <c r="D67" s="546"/>
      <c r="E67" s="546"/>
    </row>
    <row r="68" spans="1:5" ht="11.25">
      <c r="A68" s="546"/>
      <c r="B68" s="546"/>
      <c r="C68" s="546"/>
      <c r="D68" s="546"/>
      <c r="E68" s="546"/>
    </row>
    <row r="69" spans="1:5" ht="11.25">
      <c r="A69" s="546"/>
      <c r="B69" s="546"/>
      <c r="C69" s="546"/>
      <c r="D69" s="546"/>
      <c r="E69" s="546"/>
    </row>
    <row r="70" spans="1:5" ht="11.25">
      <c r="A70" s="546"/>
      <c r="B70" s="546"/>
      <c r="C70" s="546"/>
      <c r="D70" s="546"/>
      <c r="E70" s="546"/>
    </row>
    <row r="71" spans="1:5" ht="11.25">
      <c r="A71" s="546"/>
      <c r="B71" s="546"/>
      <c r="C71" s="546"/>
      <c r="D71" s="546"/>
      <c r="E71" s="546"/>
    </row>
    <row r="72" spans="1:5" ht="11.25">
      <c r="A72" s="546"/>
      <c r="B72" s="546"/>
      <c r="C72" s="546"/>
      <c r="D72" s="546"/>
      <c r="E72" s="546"/>
    </row>
    <row r="73" spans="1:5" ht="11.25">
      <c r="A73" s="546"/>
      <c r="B73" s="546"/>
      <c r="C73" s="546"/>
      <c r="D73" s="546"/>
      <c r="E73" s="546"/>
    </row>
    <row r="74" spans="1:5" ht="11.25">
      <c r="A74" s="546"/>
      <c r="B74" s="546"/>
      <c r="C74" s="546"/>
      <c r="D74" s="546"/>
      <c r="E74" s="546"/>
    </row>
    <row r="75" spans="1:5" ht="11.25">
      <c r="A75" s="546"/>
      <c r="B75" s="546"/>
      <c r="C75" s="546"/>
      <c r="D75" s="546"/>
      <c r="E75" s="546"/>
    </row>
    <row r="76" spans="1:5" ht="11.25">
      <c r="A76" s="546"/>
      <c r="B76" s="546"/>
      <c r="C76" s="546"/>
      <c r="D76" s="546"/>
      <c r="E76" s="546"/>
    </row>
    <row r="77" spans="1:5" ht="11.25">
      <c r="A77" s="546"/>
      <c r="B77" s="546"/>
      <c r="C77" s="546"/>
      <c r="D77" s="546"/>
      <c r="E77" s="546"/>
    </row>
    <row r="78" spans="1:5" ht="11.25">
      <c r="A78" s="546"/>
      <c r="B78" s="546"/>
      <c r="C78" s="546"/>
      <c r="D78" s="546"/>
      <c r="E78" s="546"/>
    </row>
    <row r="79" spans="1:5" ht="11.25">
      <c r="A79" s="546"/>
      <c r="B79" s="546"/>
      <c r="C79" s="546"/>
      <c r="D79" s="546"/>
      <c r="E79" s="546"/>
    </row>
    <row r="80" spans="1:5" ht="11.25">
      <c r="A80" s="546"/>
      <c r="B80" s="546"/>
      <c r="C80" s="546"/>
      <c r="D80" s="546"/>
      <c r="E80" s="546"/>
    </row>
    <row r="81" spans="1:5" ht="11.25">
      <c r="A81" s="546"/>
      <c r="B81" s="546"/>
      <c r="C81" s="546"/>
      <c r="D81" s="546"/>
      <c r="E81" s="546"/>
    </row>
    <row r="82" spans="1:5" ht="11.25">
      <c r="A82" s="546"/>
      <c r="B82" s="546"/>
      <c r="C82" s="546"/>
      <c r="D82" s="546"/>
      <c r="E82" s="546"/>
    </row>
    <row r="83" spans="1:5" ht="11.25">
      <c r="A83" s="546"/>
      <c r="B83" s="546"/>
      <c r="C83" s="546"/>
      <c r="D83" s="546"/>
      <c r="E83" s="546"/>
    </row>
    <row r="84" spans="1:5" ht="11.25">
      <c r="A84" s="546"/>
      <c r="B84" s="546"/>
      <c r="C84" s="546"/>
      <c r="D84" s="546"/>
      <c r="E84" s="546"/>
    </row>
    <row r="85" spans="1:5" ht="11.25">
      <c r="A85" s="546"/>
      <c r="B85" s="546"/>
      <c r="C85" s="546"/>
      <c r="D85" s="546"/>
      <c r="E85" s="546"/>
    </row>
  </sheetData>
  <printOptions horizontalCentered="1"/>
  <pageMargins left="0.5" right="0.5" top="0.75" bottom="0.5" header="0.3" footer="0.3"/>
  <pageSetup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M34"/>
  <sheetViews>
    <sheetView zoomScaleNormal="100" zoomScaleSheetLayoutView="100" workbookViewId="0">
      <selection activeCell="A4" sqref="A4:M4"/>
    </sheetView>
  </sheetViews>
  <sheetFormatPr defaultColWidth="9.33203125" defaultRowHeight="12.75"/>
  <cols>
    <col min="1" max="1" width="7.1640625" style="218" customWidth="1"/>
    <col min="2" max="2" width="1.33203125" style="218" customWidth="1"/>
    <col min="3" max="3" width="64.83203125" style="218" customWidth="1"/>
    <col min="4" max="4" width="2" style="218" customWidth="1"/>
    <col min="5" max="5" width="19.6640625" style="218" customWidth="1"/>
    <col min="6" max="6" width="2" style="218" customWidth="1"/>
    <col min="7" max="7" width="19.6640625" style="218" customWidth="1"/>
    <col min="8" max="8" width="2" style="218" customWidth="1"/>
    <col min="9" max="9" width="19.6640625" style="218" customWidth="1"/>
    <col min="10" max="10" width="2" style="218" customWidth="1"/>
    <col min="11" max="11" width="19.6640625" style="218" customWidth="1"/>
    <col min="12" max="12" width="2" style="218" customWidth="1"/>
    <col min="13" max="13" width="19.6640625" style="218" customWidth="1"/>
    <col min="14" max="14" width="3.5" style="218" customWidth="1"/>
    <col min="15" max="16384" width="9.33203125" style="218"/>
  </cols>
  <sheetData>
    <row r="1" spans="1:13">
      <c r="A1" s="1320" t="str">
        <f>'General Headers Index'!B4</f>
        <v>COLUMBIA GAS OF KENTUCKY, INC.</v>
      </c>
      <c r="B1" s="1320"/>
      <c r="C1" s="1320"/>
      <c r="D1" s="1320"/>
      <c r="E1" s="1320"/>
      <c r="F1" s="1320"/>
      <c r="G1" s="1320"/>
      <c r="H1" s="1320"/>
      <c r="I1" s="1320"/>
      <c r="J1" s="1320"/>
      <c r="K1" s="1320"/>
      <c r="L1" s="1320"/>
      <c r="M1" s="1320"/>
    </row>
    <row r="2" spans="1:13">
      <c r="A2" s="1320" t="str">
        <f>'General Headers Index'!B6</f>
        <v>CASE NO. 2024 - 00092</v>
      </c>
      <c r="B2" s="1320"/>
      <c r="C2" s="1320"/>
      <c r="D2" s="1320"/>
      <c r="E2" s="1320"/>
      <c r="F2" s="1320"/>
      <c r="G2" s="1320"/>
      <c r="H2" s="1320"/>
      <c r="I2" s="1320"/>
      <c r="J2" s="1320"/>
      <c r="K2" s="1320"/>
      <c r="L2" s="1320"/>
      <c r="M2" s="1320"/>
    </row>
    <row r="3" spans="1:13">
      <c r="A3" s="1320" t="str">
        <f>'Index G'!$C$23</f>
        <v>PAYROLL COSTS</v>
      </c>
      <c r="B3" s="1320"/>
      <c r="C3" s="1320"/>
      <c r="D3" s="1320"/>
      <c r="E3" s="1320"/>
      <c r="F3" s="1320"/>
      <c r="G3" s="1320"/>
      <c r="H3" s="1320"/>
      <c r="I3" s="1320"/>
      <c r="J3" s="1320"/>
      <c r="K3" s="1320"/>
      <c r="L3" s="1320"/>
      <c r="M3" s="1320"/>
    </row>
    <row r="4" spans="1:13">
      <c r="A4" s="1320" t="str">
        <f>'General Headers Index'!B9</f>
        <v>BASE PERIOD: TWELVE MONTHS ENDED AUGUST 31, 2024</v>
      </c>
      <c r="B4" s="1320"/>
      <c r="C4" s="1320"/>
      <c r="D4" s="1320"/>
      <c r="E4" s="1320"/>
      <c r="F4" s="1320"/>
      <c r="G4" s="1320"/>
      <c r="H4" s="1320"/>
      <c r="I4" s="1320"/>
      <c r="J4" s="1320"/>
      <c r="K4" s="1320"/>
      <c r="L4" s="1320"/>
      <c r="M4" s="1320"/>
    </row>
    <row r="5" spans="1:13">
      <c r="A5" s="1320" t="str">
        <f>'General Headers Index'!B16</f>
        <v>FORECASTED TEST PERIOD: TWELVE MONTHS ENDED DECEMBER 31, 2025</v>
      </c>
      <c r="B5" s="1320"/>
      <c r="C5" s="1320"/>
      <c r="D5" s="1320"/>
      <c r="E5" s="1320"/>
      <c r="F5" s="1320"/>
      <c r="G5" s="1320"/>
      <c r="H5" s="1320"/>
      <c r="I5" s="1320"/>
      <c r="J5" s="1320"/>
      <c r="K5" s="1320"/>
      <c r="L5" s="1320"/>
      <c r="M5" s="1320"/>
    </row>
    <row r="6" spans="1:13">
      <c r="A6" s="219"/>
      <c r="B6" s="219"/>
      <c r="C6" s="219"/>
      <c r="D6" s="219"/>
      <c r="E6" s="219"/>
      <c r="F6" s="219"/>
      <c r="G6" s="219"/>
      <c r="H6" s="219"/>
      <c r="I6" s="219"/>
      <c r="J6" s="219"/>
      <c r="K6" s="219"/>
      <c r="L6" s="219"/>
      <c r="M6" s="219"/>
    </row>
    <row r="8" spans="1:13">
      <c r="A8" s="218" t="s">
        <v>2786</v>
      </c>
      <c r="M8" s="271" t="s">
        <v>1010</v>
      </c>
    </row>
    <row r="9" spans="1:13">
      <c r="A9" s="218" t="str">
        <f>'General Headers Index'!B37</f>
        <v>TYPE OF FILING:___X___ORIGINAL______UPDATED</v>
      </c>
      <c r="M9" s="271" t="s">
        <v>57</v>
      </c>
    </row>
    <row r="10" spans="1:13">
      <c r="A10" s="218" t="s">
        <v>58</v>
      </c>
      <c r="M10" s="271" t="str">
        <f>"WITNESSES: "&amp;'General Headers Index'!$B$63</f>
        <v>WITNESSES: SHAEFFER</v>
      </c>
    </row>
    <row r="11" spans="1:13">
      <c r="M11" s="271" t="str">
        <f>'General Headers Index'!$B$48</f>
        <v>INSCHO</v>
      </c>
    </row>
    <row r="12" spans="1:13">
      <c r="A12" s="1073"/>
      <c r="B12" s="1073"/>
      <c r="C12" s="1073"/>
      <c r="D12" s="1073"/>
      <c r="E12" s="1073"/>
      <c r="F12" s="1073"/>
      <c r="G12" s="1073"/>
      <c r="H12" s="1073"/>
      <c r="I12" s="1073"/>
      <c r="J12" s="1073"/>
      <c r="K12" s="1073"/>
      <c r="L12" s="1073"/>
      <c r="M12" s="1073"/>
    </row>
    <row r="13" spans="1:13">
      <c r="I13" s="219" t="s">
        <v>755</v>
      </c>
      <c r="K13" s="219"/>
      <c r="M13" s="219" t="s">
        <v>351</v>
      </c>
    </row>
    <row r="14" spans="1:13">
      <c r="A14" s="219" t="s">
        <v>313</v>
      </c>
      <c r="B14" s="219"/>
      <c r="E14" s="219" t="s">
        <v>315</v>
      </c>
      <c r="G14" s="219"/>
      <c r="I14" s="219" t="s">
        <v>741</v>
      </c>
      <c r="K14" s="219"/>
      <c r="M14" s="219" t="s">
        <v>741</v>
      </c>
    </row>
    <row r="15" spans="1:13">
      <c r="A15" s="994" t="s">
        <v>316</v>
      </c>
      <c r="B15" s="994"/>
      <c r="C15" s="994" t="s">
        <v>451</v>
      </c>
      <c r="D15" s="1073"/>
      <c r="E15" s="994" t="s">
        <v>319</v>
      </c>
      <c r="F15" s="1073"/>
      <c r="G15" s="994" t="s">
        <v>355</v>
      </c>
      <c r="H15" s="1073"/>
      <c r="I15" s="994" t="s">
        <v>319</v>
      </c>
      <c r="J15" s="1073"/>
      <c r="K15" s="994" t="s">
        <v>355</v>
      </c>
      <c r="L15" s="1073"/>
      <c r="M15" s="994" t="s">
        <v>319</v>
      </c>
    </row>
    <row r="16" spans="1:13">
      <c r="A16" s="270"/>
      <c r="B16" s="270"/>
      <c r="C16" s="270"/>
      <c r="D16" s="270"/>
      <c r="E16" s="270" t="s">
        <v>532</v>
      </c>
      <c r="F16" s="270"/>
      <c r="G16" s="270" t="s">
        <v>3055</v>
      </c>
      <c r="H16" s="273"/>
      <c r="I16" s="270" t="s">
        <v>542</v>
      </c>
      <c r="J16" s="270"/>
      <c r="K16" s="270" t="s">
        <v>2642</v>
      </c>
      <c r="L16" s="270"/>
      <c r="M16" s="270" t="s">
        <v>669</v>
      </c>
    </row>
    <row r="17" spans="1:13">
      <c r="A17" s="256"/>
      <c r="B17" s="256"/>
      <c r="C17" s="256"/>
      <c r="D17" s="256"/>
      <c r="E17" s="256"/>
      <c r="F17" s="256"/>
      <c r="G17" s="256"/>
      <c r="I17" s="256"/>
      <c r="J17" s="256"/>
      <c r="K17" s="256"/>
      <c r="L17" s="256"/>
      <c r="M17" s="256"/>
    </row>
    <row r="18" spans="1:13">
      <c r="E18" s="1342" t="s">
        <v>1137</v>
      </c>
      <c r="F18" s="1342"/>
      <c r="G18" s="1342"/>
      <c r="H18" s="1342"/>
      <c r="I18" s="1342"/>
      <c r="J18" s="1342"/>
      <c r="K18" s="1342"/>
      <c r="L18" s="1342"/>
      <c r="M18" s="1342"/>
    </row>
    <row r="19" spans="1:13">
      <c r="A19" s="219"/>
    </row>
    <row r="20" spans="1:13">
      <c r="A20" s="219">
        <v>1</v>
      </c>
      <c r="C20" s="218" t="s">
        <v>2491</v>
      </c>
      <c r="E20" s="225">
        <f>+'WPD-2.4.A BP O&amp;M by Category'!O16+'WPD-2.4.A BP O&amp;M by Category'!O17+'WPD-2.4.A BP O&amp;M by Category'!O18</f>
        <v>13470875.922592418</v>
      </c>
      <c r="G20" s="1074">
        <f>I20-E20</f>
        <v>-248990.64105344005</v>
      </c>
      <c r="I20" s="225">
        <f>+'WPD-2.4.B FTP O&amp;M by Category'!O16+'WPD-2.4.B FTP O&amp;M by Category'!O17+'WPD-2.4.B FTP O&amp;M by Category'!O18</f>
        <v>13221885.281538978</v>
      </c>
      <c r="K20" s="1074">
        <f>M20-I20</f>
        <v>0</v>
      </c>
      <c r="M20" s="225">
        <f>+'WPD-2.4.B FTP O&amp;M by Category'!O16+'WPD-2.4.B FTP O&amp;M by Category'!O17+'WPD-2.4.B FTP O&amp;M by Category'!O18</f>
        <v>13221885.281538978</v>
      </c>
    </row>
    <row r="21" spans="1:13">
      <c r="A21" s="219"/>
      <c r="E21" s="225"/>
      <c r="G21" s="705"/>
      <c r="I21" s="225"/>
      <c r="K21" s="705"/>
      <c r="M21" s="225"/>
    </row>
    <row r="22" spans="1:13">
      <c r="A22" s="219">
        <f>A20+1</f>
        <v>2</v>
      </c>
      <c r="C22" s="218" t="s">
        <v>79</v>
      </c>
      <c r="E22" s="225">
        <f>+'WPD-2.4.A BP O&amp;M by Category'!O27-E20</f>
        <v>2930114.9924222771</v>
      </c>
      <c r="G22" s="1074">
        <f>I22-E22</f>
        <v>162041.72152299061</v>
      </c>
      <c r="I22" s="225">
        <f>+'WPD-2.4.B FTP O&amp;M by Category'!O27-I20</f>
        <v>3092156.7139452677</v>
      </c>
      <c r="K22" s="1074">
        <f>M22-I22</f>
        <v>-29637</v>
      </c>
      <c r="M22" s="225">
        <f>+'WPD-2.4.B FTP O&amp;M by Category'!O27+'D-2.6'!R31-M20</f>
        <v>3062519.7139452677</v>
      </c>
    </row>
    <row r="23" spans="1:13">
      <c r="A23" s="219"/>
      <c r="E23" s="225"/>
      <c r="G23" s="705"/>
      <c r="I23" s="225"/>
      <c r="K23" s="705"/>
      <c r="M23" s="225"/>
    </row>
    <row r="24" spans="1:13">
      <c r="A24" s="219">
        <f>A22+1</f>
        <v>3</v>
      </c>
      <c r="C24" s="218" t="s">
        <v>80</v>
      </c>
      <c r="E24" s="225">
        <f>+'C-2.2.A Total Co Accts Activ '!P18</f>
        <v>879840.944183129</v>
      </c>
      <c r="G24" s="1074">
        <f>I24-E24</f>
        <v>20591.498681466212</v>
      </c>
      <c r="I24" s="225">
        <f>'C-2.2.B Total Co Accts Activ '!P18</f>
        <v>900432.44286459521</v>
      </c>
      <c r="K24" s="1074">
        <f>M24-I24</f>
        <v>0</v>
      </c>
      <c r="M24" s="225">
        <f>'C-2.2.B Total Co Accts Activ '!P18</f>
        <v>900432.44286459521</v>
      </c>
    </row>
    <row r="25" spans="1:13">
      <c r="A25" s="219"/>
      <c r="I25" s="282"/>
      <c r="K25" s="282"/>
      <c r="M25" s="282"/>
    </row>
    <row r="26" spans="1:13">
      <c r="A26" s="219">
        <f>A24+1</f>
        <v>4</v>
      </c>
      <c r="C26" s="218" t="s">
        <v>81</v>
      </c>
      <c r="E26" s="237">
        <f>E20+E22+E24</f>
        <v>17280831.859197825</v>
      </c>
      <c r="G26" s="237">
        <f>I26-E26</f>
        <v>-66357.420848984271</v>
      </c>
      <c r="I26" s="237">
        <f>I20+I22+I24</f>
        <v>17214474.438348841</v>
      </c>
      <c r="K26" s="237">
        <f>K20+K22+K24</f>
        <v>-29637</v>
      </c>
      <c r="M26" s="237">
        <f>M20+M22+M24</f>
        <v>17184837.438348841</v>
      </c>
    </row>
    <row r="27" spans="1:13">
      <c r="I27" s="282"/>
      <c r="K27" s="282"/>
      <c r="M27" s="282"/>
    </row>
    <row r="28" spans="1:13">
      <c r="I28" s="282"/>
      <c r="K28" s="282"/>
      <c r="M28" s="282"/>
    </row>
    <row r="29" spans="1:13">
      <c r="A29" s="219">
        <f>A26+1</f>
        <v>5</v>
      </c>
      <c r="C29" s="274" t="s">
        <v>1144</v>
      </c>
      <c r="E29" s="227">
        <f>137756+63609</f>
        <v>201365</v>
      </c>
      <c r="I29" s="1075" t="s">
        <v>230</v>
      </c>
      <c r="K29" s="1075"/>
      <c r="M29" s="1075" t="s">
        <v>230</v>
      </c>
    </row>
    <row r="30" spans="1:13">
      <c r="A30" s="219">
        <f>A29+1</f>
        <v>6</v>
      </c>
      <c r="C30" s="274" t="s">
        <v>1145</v>
      </c>
      <c r="E30" s="227">
        <f>11260+5082</f>
        <v>16342</v>
      </c>
      <c r="I30" s="1075" t="s">
        <v>230</v>
      </c>
      <c r="K30" s="1075"/>
      <c r="M30" s="1075" t="s">
        <v>230</v>
      </c>
    </row>
    <row r="31" spans="1:13">
      <c r="I31" s="282"/>
      <c r="K31" s="282"/>
      <c r="M31" s="282"/>
    </row>
    <row r="32" spans="1:13">
      <c r="C32" s="218" t="s">
        <v>1138</v>
      </c>
    </row>
    <row r="34" spans="3:3">
      <c r="C34" s="218" t="s">
        <v>2493</v>
      </c>
    </row>
  </sheetData>
  <mergeCells count="6">
    <mergeCell ref="E18:M18"/>
    <mergeCell ref="A1:M1"/>
    <mergeCell ref="A2:M2"/>
    <mergeCell ref="A3:M3"/>
    <mergeCell ref="A4:M4"/>
    <mergeCell ref="A5:M5"/>
  </mergeCells>
  <printOptions horizontalCentered="1"/>
  <pageMargins left="0.5" right="0.5" top="0.75" bottom="0.5" header="0.3" footer="0.3"/>
  <pageSetup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8"/>
  <sheetViews>
    <sheetView zoomScaleNormal="100" zoomScaleSheetLayoutView="106" workbookViewId="0">
      <selection activeCell="I32" sqref="I32"/>
    </sheetView>
  </sheetViews>
  <sheetFormatPr defaultRowHeight="10.5"/>
  <cols>
    <col min="1" max="1" width="7.33203125" customWidth="1"/>
    <col min="2" max="2" width="45.83203125" bestFit="1" customWidth="1"/>
    <col min="3" max="3" width="2.83203125" customWidth="1"/>
    <col min="4" max="4" width="16" bestFit="1" customWidth="1"/>
    <col min="5" max="5" width="18.5" bestFit="1" customWidth="1"/>
    <col min="6" max="6" width="25.5" bestFit="1" customWidth="1"/>
  </cols>
  <sheetData>
    <row r="1" spans="1:7" ht="12.75">
      <c r="A1" s="238" t="str">
        <f>'General Headers Index'!$B$4</f>
        <v>COLUMBIA GAS OF KENTUCKY, INC.</v>
      </c>
      <c r="B1" s="238"/>
      <c r="C1" s="238"/>
      <c r="D1" s="238"/>
      <c r="E1" s="238"/>
      <c r="F1" s="238"/>
      <c r="G1" s="220"/>
    </row>
    <row r="2" spans="1:7" ht="12.75">
      <c r="A2" s="238" t="str">
        <f>'General Headers Index'!$B$6</f>
        <v>CASE NO. 2024 - 00092</v>
      </c>
      <c r="B2" s="238"/>
      <c r="C2" s="238"/>
      <c r="D2" s="238"/>
      <c r="E2" s="238"/>
      <c r="F2" s="238"/>
      <c r="G2" s="220"/>
    </row>
    <row r="3" spans="1:7" ht="12.75">
      <c r="A3" s="238" t="str">
        <f>'Index A'!$C$21</f>
        <v>OVERALL FINANCIAL SUMMARY</v>
      </c>
      <c r="B3" s="238"/>
      <c r="C3" s="238"/>
      <c r="D3" s="238"/>
      <c r="E3" s="238"/>
      <c r="F3" s="238"/>
      <c r="G3" s="220"/>
    </row>
    <row r="4" spans="1:7" ht="12.75">
      <c r="A4" s="238" t="str">
        <f>'General Headers Index'!$B$9</f>
        <v>BASE PERIOD: TWELVE MONTHS ENDED AUGUST 31, 2024</v>
      </c>
      <c r="B4" s="238"/>
      <c r="C4" s="238"/>
      <c r="D4" s="238"/>
      <c r="E4" s="238"/>
      <c r="F4" s="238"/>
      <c r="G4" s="220"/>
    </row>
    <row r="5" spans="1:7" ht="12.75">
      <c r="A5" s="238" t="str">
        <f>'General Headers Index'!$B$16</f>
        <v>FORECASTED TEST PERIOD: TWELVE MONTHS ENDED DECEMBER 31, 2025</v>
      </c>
      <c r="B5" s="238"/>
      <c r="C5" s="238"/>
      <c r="D5" s="238"/>
      <c r="E5" s="238"/>
      <c r="F5" s="238"/>
    </row>
    <row r="6" spans="1:7" ht="12.75">
      <c r="A6" s="238"/>
      <c r="B6" s="238"/>
      <c r="C6" s="238"/>
      <c r="D6" s="238"/>
      <c r="E6" s="238"/>
      <c r="F6" s="338"/>
    </row>
    <row r="7" spans="1:7" ht="12.75">
      <c r="A7" s="238"/>
      <c r="B7" s="238"/>
      <c r="C7" s="238"/>
      <c r="D7" s="238"/>
      <c r="E7" s="238"/>
      <c r="F7" s="338"/>
    </row>
    <row r="8" spans="1:7" ht="12.75">
      <c r="A8" s="339"/>
      <c r="F8" s="220"/>
    </row>
    <row r="9" spans="1:7" ht="12.75">
      <c r="A9" s="229" t="s">
        <v>2786</v>
      </c>
      <c r="B9" s="238"/>
      <c r="C9" s="238"/>
      <c r="D9" s="238"/>
      <c r="E9" s="238"/>
      <c r="F9" s="326" t="s">
        <v>686</v>
      </c>
    </row>
    <row r="10" spans="1:7" ht="12.75">
      <c r="A10" s="220" t="str">
        <f>'General Headers Index'!$B$37</f>
        <v>TYPE OF FILING:___X___ORIGINAL______UPDATED</v>
      </c>
      <c r="B10" s="220"/>
      <c r="C10" s="220"/>
      <c r="D10" s="220"/>
      <c r="E10" s="220"/>
      <c r="F10" s="326" t="s">
        <v>57</v>
      </c>
    </row>
    <row r="11" spans="1:7" ht="12.75">
      <c r="A11" s="220" t="s">
        <v>575</v>
      </c>
      <c r="B11" s="220"/>
      <c r="C11" s="220"/>
      <c r="D11" s="220"/>
      <c r="E11" s="220"/>
      <c r="F11" s="326" t="str">
        <f>"WITNESS: "&amp;'General Headers Index'!B41</f>
        <v>WITNESS: SHAEFFER</v>
      </c>
    </row>
    <row r="12" spans="1:7" ht="12.75">
      <c r="A12" s="833"/>
      <c r="B12" s="833"/>
      <c r="C12" s="833"/>
      <c r="D12" s="884"/>
      <c r="E12" s="884"/>
      <c r="F12" s="834"/>
    </row>
    <row r="13" spans="1:7" ht="12.75">
      <c r="A13" s="217"/>
      <c r="B13" s="220"/>
      <c r="C13" s="220"/>
      <c r="D13" s="217"/>
      <c r="E13" s="217" t="s">
        <v>502</v>
      </c>
      <c r="F13" s="217" t="s">
        <v>694</v>
      </c>
    </row>
    <row r="14" spans="1:7" ht="12.75">
      <c r="A14" s="217"/>
      <c r="B14" s="220"/>
      <c r="C14" s="220"/>
      <c r="D14" s="217" t="s">
        <v>689</v>
      </c>
      <c r="E14" s="217" t="s">
        <v>350</v>
      </c>
      <c r="F14" s="217" t="s">
        <v>350</v>
      </c>
    </row>
    <row r="15" spans="1:7" ht="12.75">
      <c r="A15" s="217" t="s">
        <v>313</v>
      </c>
      <c r="B15" s="220"/>
      <c r="C15" s="220"/>
      <c r="D15" s="217" t="s">
        <v>690</v>
      </c>
      <c r="E15" s="217" t="s">
        <v>693</v>
      </c>
      <c r="F15" s="217" t="s">
        <v>691</v>
      </c>
    </row>
    <row r="16" spans="1:7" ht="12.75">
      <c r="A16" s="333" t="s">
        <v>316</v>
      </c>
      <c r="B16" s="333" t="s">
        <v>451</v>
      </c>
      <c r="C16" s="299"/>
      <c r="D16" s="885" t="s">
        <v>318</v>
      </c>
      <c r="E16" s="885" t="s">
        <v>692</v>
      </c>
      <c r="F16" s="333" t="s">
        <v>692</v>
      </c>
    </row>
    <row r="17" spans="1:6" ht="12.75">
      <c r="A17" s="217"/>
      <c r="B17" s="220"/>
      <c r="C17" s="220"/>
      <c r="D17" s="217"/>
      <c r="E17" s="217"/>
      <c r="F17" s="220"/>
    </row>
    <row r="18" spans="1:6" ht="12.75">
      <c r="A18" s="217">
        <f>IF(ISBLANK($B18),"",COUNTA($B$18:B18))</f>
        <v>1</v>
      </c>
      <c r="B18" s="220" t="s">
        <v>695</v>
      </c>
      <c r="C18" s="220"/>
      <c r="D18" s="217" t="s">
        <v>582</v>
      </c>
      <c r="E18" s="886">
        <f>'B-1 p.1 Summary (Base)'!J38</f>
        <v>512510188.60996556</v>
      </c>
      <c r="F18" s="887">
        <f>'B-1 p.2 Summary (Forecast)'!K41</f>
        <v>518827311.76319563</v>
      </c>
    </row>
    <row r="19" spans="1:6" ht="12.75">
      <c r="A19" s="217" t="str">
        <f>IF(ISBLANK($B19),"",COUNTA($B$18:B19))</f>
        <v/>
      </c>
      <c r="B19" s="220"/>
      <c r="C19" s="220"/>
      <c r="D19" s="217"/>
      <c r="E19" s="473"/>
      <c r="F19" s="328"/>
    </row>
    <row r="20" spans="1:6" ht="12.75">
      <c r="A20" s="217">
        <f>IF(ISBLANK($B20),"",COUNTA($B$18:B20))</f>
        <v>2</v>
      </c>
      <c r="B20" s="220" t="s">
        <v>696</v>
      </c>
      <c r="C20" s="220"/>
      <c r="D20" s="217" t="s">
        <v>697</v>
      </c>
      <c r="E20" s="886">
        <f>'C-1 Operating Income Summary'!I34</f>
        <v>32221497.565757886</v>
      </c>
      <c r="F20" s="888">
        <f>'C-1 Operating Income Summary'!M34</f>
        <v>23814042.517134205</v>
      </c>
    </row>
    <row r="21" spans="1:6" ht="12.75">
      <c r="A21" s="217" t="str">
        <f>IF(ISBLANK($B21),"",COUNTA($B$18:B21))</f>
        <v/>
      </c>
      <c r="B21" s="220"/>
      <c r="C21" s="220"/>
      <c r="D21" s="217"/>
      <c r="E21" s="473"/>
      <c r="F21" s="220"/>
    </row>
    <row r="22" spans="1:6" ht="12.75">
      <c r="A22" s="217">
        <f>IF(ISBLANK($B22),"",COUNTA($B$18:B22))</f>
        <v>3</v>
      </c>
      <c r="B22" s="220" t="s">
        <v>698</v>
      </c>
      <c r="C22" s="220"/>
      <c r="D22" s="217"/>
      <c r="E22" s="329">
        <f>ROUND(E20/E18,4)</f>
        <v>6.2899999999999998E-2</v>
      </c>
      <c r="F22" s="340">
        <f>ROUND(F20/F18,4)</f>
        <v>4.5900000000000003E-2</v>
      </c>
    </row>
    <row r="23" spans="1:6" ht="12.75">
      <c r="A23" s="217" t="str">
        <f>IF(ISBLANK($B23),"",COUNTA($B$18:B23))</f>
        <v/>
      </c>
      <c r="B23" s="220"/>
      <c r="C23" s="220"/>
      <c r="D23" s="217"/>
      <c r="E23" s="217"/>
      <c r="F23" s="220"/>
    </row>
    <row r="24" spans="1:6" ht="12.75">
      <c r="A24" s="217">
        <f>IF(ISBLANK($B24),"",COUNTA($B$18:B24))</f>
        <v>4</v>
      </c>
      <c r="B24" s="220" t="s">
        <v>699</v>
      </c>
      <c r="C24" s="220"/>
      <c r="D24" s="217" t="s">
        <v>700</v>
      </c>
      <c r="E24" s="329">
        <f>'J-1 Base Period Cost of Capital'!M25</f>
        <v>7.9500000000000001E-2</v>
      </c>
      <c r="F24" s="329">
        <f>'J-1.1, J-1.2 13 MO AVG WACC'!M25</f>
        <v>8.0100000000000005E-2</v>
      </c>
    </row>
    <row r="25" spans="1:6" ht="12.75">
      <c r="A25" s="217" t="str">
        <f>IF(ISBLANK($B25),"",COUNTA($B$18:B25))</f>
        <v/>
      </c>
      <c r="B25" s="220"/>
      <c r="C25" s="220"/>
      <c r="D25" s="217"/>
      <c r="E25" s="217"/>
      <c r="F25" s="328"/>
    </row>
    <row r="26" spans="1:6" ht="12.75">
      <c r="A26" s="217">
        <f>IF(ISBLANK($B26),"",COUNTA($B$18:B26))</f>
        <v>5</v>
      </c>
      <c r="B26" s="220" t="s">
        <v>701</v>
      </c>
      <c r="C26" s="220"/>
      <c r="D26" s="217" t="s">
        <v>697</v>
      </c>
      <c r="E26" s="886">
        <f>ROUND(E24*E18,0)</f>
        <v>40744560</v>
      </c>
      <c r="F26" s="887">
        <f>ROUND(F24*F18,0)</f>
        <v>41558068</v>
      </c>
    </row>
    <row r="27" spans="1:6" ht="12.75">
      <c r="A27" s="217" t="str">
        <f>IF(ISBLANK($B27),"",COUNTA($B$18:B27))</f>
        <v/>
      </c>
      <c r="B27" s="220"/>
      <c r="C27" s="220"/>
      <c r="D27" s="217"/>
      <c r="E27" s="220"/>
      <c r="F27" s="328"/>
    </row>
    <row r="28" spans="1:6" ht="12.75">
      <c r="A28" s="217">
        <f>IF(ISBLANK($B28),"",COUNTA($B$18:B28))</f>
        <v>6</v>
      </c>
      <c r="B28" s="220" t="s">
        <v>702</v>
      </c>
      <c r="C28" s="220"/>
      <c r="D28" s="217" t="s">
        <v>697</v>
      </c>
      <c r="E28" s="886">
        <f>E26-E20</f>
        <v>8523062.4342421144</v>
      </c>
      <c r="F28" s="887">
        <f>F26-F20</f>
        <v>17744025.482865795</v>
      </c>
    </row>
    <row r="29" spans="1:6" ht="12.75">
      <c r="A29" s="217" t="str">
        <f>IF(ISBLANK($B29),"",COUNTA($B$18:B29))</f>
        <v/>
      </c>
      <c r="B29" s="220"/>
      <c r="C29" s="220"/>
      <c r="D29" s="217"/>
      <c r="E29" s="220"/>
      <c r="F29" s="220"/>
    </row>
    <row r="30" spans="1:6" ht="12.75">
      <c r="A30" s="217">
        <f>IF(ISBLANK($B30),"",COUNTA($B$18:B30))</f>
        <v>7</v>
      </c>
      <c r="B30" s="220" t="s">
        <v>703</v>
      </c>
      <c r="C30" s="220"/>
      <c r="D30" s="217" t="s">
        <v>98</v>
      </c>
      <c r="E30" s="341">
        <f>F30</f>
        <v>1.3397760000000001</v>
      </c>
      <c r="F30" s="341">
        <f>'H-1 Gross Conversion Factor'!I34</f>
        <v>1.3397760000000001</v>
      </c>
    </row>
    <row r="31" spans="1:6" ht="12.75">
      <c r="A31" s="217" t="str">
        <f>IF(ISBLANK($B31),"",COUNTA($B$18:B31))</f>
        <v/>
      </c>
      <c r="B31" s="220"/>
      <c r="C31" s="220"/>
      <c r="D31" s="217"/>
      <c r="E31" s="220"/>
      <c r="F31" s="220"/>
    </row>
    <row r="32" spans="1:6" ht="12.75">
      <c r="A32" s="217">
        <f>IF(ISBLANK($B32),"",COUNTA($B$18:B32))</f>
        <v>8</v>
      </c>
      <c r="B32" s="220" t="s">
        <v>704</v>
      </c>
      <c r="C32" s="220"/>
      <c r="D32" s="217"/>
      <c r="E32" s="886">
        <f>ROUND(E30*E28,0)</f>
        <v>11418994</v>
      </c>
      <c r="F32" s="887">
        <f>F30*F28</f>
        <v>23773019.485332005</v>
      </c>
    </row>
    <row r="33" spans="1:6" ht="12.75">
      <c r="A33" s="217" t="str">
        <f>IF(ISBLANK($B33),"",COUNTA($B$18:B33))</f>
        <v/>
      </c>
      <c r="B33" s="220"/>
      <c r="C33" s="220"/>
      <c r="D33" s="217"/>
      <c r="E33" s="220"/>
      <c r="F33" s="220"/>
    </row>
    <row r="34" spans="1:6" ht="12.75">
      <c r="A34" s="217">
        <f>IF(ISBLANK($B34),"",COUNTA($B$18:B34))</f>
        <v>9</v>
      </c>
      <c r="B34" s="220" t="s">
        <v>705</v>
      </c>
      <c r="C34" s="220"/>
      <c r="D34" s="217" t="s">
        <v>697</v>
      </c>
      <c r="E34" s="220"/>
      <c r="F34" s="887">
        <f>'C-1 Operating Income Summary'!O19</f>
        <v>23773019.485332005</v>
      </c>
    </row>
    <row r="35" spans="1:6" ht="12.75">
      <c r="A35" s="217" t="str">
        <f>IF(ISBLANK($B35),"",COUNTA($B$18:B35))</f>
        <v/>
      </c>
      <c r="B35" s="220"/>
      <c r="C35" s="220"/>
      <c r="D35" s="217"/>
      <c r="E35" s="220"/>
      <c r="F35" s="220"/>
    </row>
    <row r="36" spans="1:6" ht="12.75">
      <c r="A36" s="217">
        <f>IF(ISBLANK($B36),"",COUNTA($B$18:B36))</f>
        <v>10</v>
      </c>
      <c r="B36" s="220" t="s">
        <v>706</v>
      </c>
      <c r="C36" s="220"/>
      <c r="D36" s="217" t="s">
        <v>697</v>
      </c>
      <c r="E36" s="220"/>
      <c r="F36" s="887">
        <f>'C-1 Operating Income Summary'!M19</f>
        <v>150357677.62666669</v>
      </c>
    </row>
    <row r="37" spans="1:6" ht="12.75">
      <c r="A37" s="217" t="str">
        <f>IF(ISBLANK($B37),"",COUNTA($B$18:B37))</f>
        <v/>
      </c>
      <c r="B37" s="220"/>
      <c r="C37" s="220"/>
      <c r="D37" s="220"/>
      <c r="E37" s="220"/>
      <c r="F37" s="220"/>
    </row>
    <row r="38" spans="1:6" ht="12.75">
      <c r="A38" s="217">
        <f>IF(ISBLANK($B38),"",COUNTA($B$18:B38))</f>
        <v>11</v>
      </c>
      <c r="B38" s="220" t="s">
        <v>707</v>
      </c>
      <c r="C38" s="220"/>
      <c r="D38" s="220"/>
      <c r="E38" s="220"/>
      <c r="F38" s="889">
        <f>F36+F34</f>
        <v>174130697.11199871</v>
      </c>
    </row>
    <row r="39" spans="1:6" ht="12.75">
      <c r="A39" s="220"/>
      <c r="B39" s="220"/>
      <c r="C39" s="220"/>
      <c r="D39" s="220"/>
      <c r="E39" s="220"/>
      <c r="F39" s="220"/>
    </row>
    <row r="40" spans="1:6" ht="12.75">
      <c r="A40" s="220"/>
      <c r="B40" s="220"/>
      <c r="C40" s="220"/>
      <c r="D40" s="220"/>
      <c r="E40" s="220"/>
      <c r="F40" s="342"/>
    </row>
    <row r="41" spans="1:6" ht="12.75">
      <c r="A41" s="220"/>
      <c r="B41" s="220"/>
      <c r="C41" s="220"/>
      <c r="D41" s="220"/>
      <c r="E41" s="220"/>
      <c r="F41" s="328"/>
    </row>
    <row r="42" spans="1:6" ht="12.75">
      <c r="A42" s="220"/>
      <c r="B42" s="220"/>
      <c r="C42" s="220"/>
      <c r="D42" s="220"/>
      <c r="E42" s="220"/>
      <c r="F42" s="328"/>
    </row>
    <row r="43" spans="1:6" ht="12.75">
      <c r="A43" s="220"/>
      <c r="B43" s="220"/>
      <c r="C43" s="220"/>
      <c r="D43" s="220"/>
      <c r="E43" s="220"/>
      <c r="F43" s="220"/>
    </row>
    <row r="44" spans="1:6" ht="12.75">
      <c r="A44" s="220"/>
      <c r="B44" s="220"/>
      <c r="C44" s="220"/>
      <c r="D44" s="220"/>
      <c r="E44" s="220"/>
      <c r="F44" s="220"/>
    </row>
    <row r="45" spans="1:6" ht="12.75">
      <c r="A45" s="220"/>
      <c r="B45" s="220"/>
      <c r="C45" s="220"/>
      <c r="D45" s="220"/>
      <c r="E45" s="220"/>
      <c r="F45" s="220"/>
    </row>
    <row r="46" spans="1:6" ht="12.75">
      <c r="A46" s="220"/>
      <c r="B46" s="220"/>
      <c r="C46" s="220"/>
      <c r="D46" s="220"/>
      <c r="E46" s="220"/>
      <c r="F46" s="220"/>
    </row>
    <row r="47" spans="1:6" ht="12.75">
      <c r="A47" s="220"/>
      <c r="B47" s="220"/>
      <c r="C47" s="220"/>
      <c r="D47" s="220"/>
      <c r="E47" s="220"/>
      <c r="F47" s="220"/>
    </row>
    <row r="48" spans="1:6" ht="12.75">
      <c r="A48" s="220"/>
      <c r="B48" s="220"/>
      <c r="C48" s="220"/>
      <c r="D48" s="220"/>
      <c r="E48" s="220"/>
      <c r="F48" s="220"/>
    </row>
    <row r="49" spans="1:6" ht="12.75">
      <c r="A49" s="220"/>
      <c r="B49" s="220"/>
      <c r="C49" s="220"/>
      <c r="D49" s="220"/>
      <c r="E49" s="220"/>
      <c r="F49" s="220"/>
    </row>
    <row r="50" spans="1:6" ht="12.75">
      <c r="A50" s="220"/>
      <c r="B50" s="220"/>
      <c r="C50" s="220"/>
      <c r="D50" s="220"/>
      <c r="E50" s="220"/>
      <c r="F50" s="220"/>
    </row>
    <row r="51" spans="1:6" ht="12.75">
      <c r="A51" s="220"/>
      <c r="B51" s="220"/>
      <c r="C51" s="220"/>
      <c r="D51" s="220"/>
      <c r="E51" s="220"/>
      <c r="F51" s="220"/>
    </row>
    <row r="52" spans="1:6" ht="12.75">
      <c r="A52" s="220"/>
      <c r="B52" s="220"/>
      <c r="C52" s="220"/>
      <c r="D52" s="220"/>
      <c r="E52" s="220"/>
      <c r="F52" s="220"/>
    </row>
    <row r="53" spans="1:6" ht="12.75">
      <c r="A53" s="220"/>
      <c r="B53" s="220"/>
      <c r="C53" s="220"/>
      <c r="D53" s="220"/>
      <c r="E53" s="220"/>
      <c r="F53" s="220"/>
    </row>
    <row r="54" spans="1:6" ht="12.75">
      <c r="A54" s="220"/>
      <c r="B54" s="220"/>
      <c r="C54" s="220"/>
      <c r="D54" s="220"/>
      <c r="E54" s="220"/>
      <c r="F54" s="220"/>
    </row>
    <row r="55" spans="1:6" ht="12.75">
      <c r="A55" s="220"/>
      <c r="B55" s="220"/>
      <c r="C55" s="220"/>
      <c r="D55" s="220"/>
      <c r="E55" s="220"/>
      <c r="F55" s="220"/>
    </row>
    <row r="56" spans="1:6" ht="12.75">
      <c r="A56" s="220"/>
      <c r="B56" s="220"/>
      <c r="C56" s="220"/>
      <c r="D56" s="220"/>
      <c r="E56" s="220"/>
      <c r="F56" s="220"/>
    </row>
    <row r="57" spans="1:6" ht="12.75">
      <c r="A57" s="220"/>
      <c r="B57" s="220"/>
      <c r="C57" s="220"/>
      <c r="D57" s="220"/>
      <c r="E57" s="220"/>
      <c r="F57" s="220"/>
    </row>
    <row r="58" spans="1:6" ht="12.75">
      <c r="A58" s="220"/>
      <c r="B58" s="220"/>
      <c r="C58" s="220"/>
      <c r="D58" s="220"/>
      <c r="E58" s="220"/>
      <c r="F58" s="220"/>
    </row>
    <row r="59" spans="1:6" ht="12.75">
      <c r="A59" s="220"/>
      <c r="B59" s="220"/>
      <c r="C59" s="220"/>
      <c r="D59" s="220"/>
      <c r="E59" s="220"/>
      <c r="F59" s="220"/>
    </row>
    <row r="60" spans="1:6" ht="12.75">
      <c r="A60" s="220"/>
      <c r="B60" s="220"/>
      <c r="C60" s="220"/>
      <c r="D60" s="220"/>
      <c r="E60" s="220"/>
      <c r="F60" s="220"/>
    </row>
    <row r="61" spans="1:6" ht="12.75">
      <c r="A61" s="220"/>
      <c r="B61" s="220"/>
      <c r="C61" s="220"/>
      <c r="D61" s="220"/>
      <c r="E61" s="220"/>
      <c r="F61" s="220"/>
    </row>
    <row r="62" spans="1:6" ht="12.75">
      <c r="A62" s="220"/>
      <c r="B62" s="220"/>
      <c r="C62" s="220"/>
      <c r="D62" s="220"/>
      <c r="E62" s="220"/>
      <c r="F62" s="220"/>
    </row>
    <row r="63" spans="1:6" ht="12.75">
      <c r="A63" s="220"/>
      <c r="B63" s="220"/>
      <c r="C63" s="220"/>
      <c r="D63" s="220"/>
      <c r="E63" s="220"/>
      <c r="F63" s="220"/>
    </row>
    <row r="64" spans="1:6" ht="12.75">
      <c r="A64" s="220"/>
      <c r="B64" s="220"/>
      <c r="C64" s="220"/>
      <c r="D64" s="220"/>
      <c r="E64" s="220"/>
      <c r="F64" s="220"/>
    </row>
    <row r="65" spans="1:6" ht="12.75">
      <c r="A65" s="220"/>
      <c r="B65" s="220"/>
      <c r="C65" s="220"/>
      <c r="D65" s="220"/>
      <c r="E65" s="220"/>
      <c r="F65" s="220"/>
    </row>
    <row r="66" spans="1:6" ht="12.75">
      <c r="A66" s="220"/>
      <c r="B66" s="220"/>
      <c r="C66" s="220"/>
      <c r="D66" s="220"/>
      <c r="E66" s="220"/>
      <c r="F66" s="220"/>
    </row>
    <row r="67" spans="1:6" ht="12.75">
      <c r="A67" s="220"/>
      <c r="B67" s="220"/>
      <c r="C67" s="220"/>
      <c r="D67" s="220"/>
      <c r="E67" s="220"/>
      <c r="F67" s="220"/>
    </row>
    <row r="68" spans="1:6" ht="12.75">
      <c r="A68" s="220"/>
      <c r="B68" s="220"/>
      <c r="C68" s="220"/>
      <c r="D68" s="220"/>
      <c r="E68" s="220"/>
      <c r="F68" s="220"/>
    </row>
  </sheetData>
  <printOptions horizontalCentered="1"/>
  <pageMargins left="0.5" right="0.5" top="0.75" bottom="0.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AC242"/>
  <sheetViews>
    <sheetView zoomScaleNormal="100" zoomScaleSheetLayoutView="100" workbookViewId="0">
      <selection activeCell="L168" sqref="L168"/>
    </sheetView>
  </sheetViews>
  <sheetFormatPr defaultColWidth="9.33203125" defaultRowHeight="12"/>
  <cols>
    <col min="1" max="1" width="7" style="285" customWidth="1"/>
    <col min="2" max="2" width="1.83203125" style="285" customWidth="1"/>
    <col min="3" max="3" width="55.1640625" style="285" customWidth="1"/>
    <col min="4" max="4" width="1.83203125" style="285" customWidth="1"/>
    <col min="5" max="5" width="22.33203125" style="285" customWidth="1"/>
    <col min="6" max="6" width="1.83203125" style="285" customWidth="1"/>
    <col min="7" max="7" width="22.33203125" style="285" customWidth="1"/>
    <col min="8" max="8" width="1.83203125" style="285" customWidth="1"/>
    <col min="9" max="9" width="22.33203125" style="285" customWidth="1"/>
    <col min="10" max="10" width="3.5" style="285" customWidth="1"/>
    <col min="11" max="16384" width="9.33203125" style="285"/>
  </cols>
  <sheetData>
    <row r="1" spans="1:14">
      <c r="A1" s="1343" t="str">
        <f>'General Headers Index'!B4</f>
        <v>COLUMBIA GAS OF KENTUCKY, INC.</v>
      </c>
      <c r="B1" s="1343"/>
      <c r="C1" s="1343"/>
      <c r="D1" s="1343"/>
      <c r="E1" s="1343"/>
      <c r="F1" s="1343"/>
      <c r="G1" s="1343"/>
      <c r="H1" s="1343"/>
      <c r="I1" s="1343"/>
    </row>
    <row r="2" spans="1:14">
      <c r="A2" s="1343" t="str">
        <f>'General Headers Index'!B6</f>
        <v>CASE NO. 2024 - 00092</v>
      </c>
      <c r="B2" s="1343"/>
      <c r="C2" s="1343"/>
      <c r="D2" s="1343"/>
      <c r="E2" s="1343"/>
      <c r="F2" s="1343"/>
      <c r="G2" s="1343"/>
      <c r="H2" s="1343"/>
      <c r="I2" s="1343"/>
    </row>
    <row r="3" spans="1:14">
      <c r="A3" s="1343" t="str">
        <f>'Index G'!$C$24</f>
        <v>EXECUTIVE COMPENSATION</v>
      </c>
      <c r="B3" s="1343"/>
      <c r="C3" s="1343"/>
      <c r="D3" s="1343"/>
      <c r="E3" s="1343"/>
      <c r="F3" s="1343"/>
      <c r="G3" s="1343"/>
      <c r="H3" s="1343"/>
      <c r="I3" s="1343"/>
    </row>
    <row r="4" spans="1:14">
      <c r="A4" s="1343" t="str">
        <f>'General Headers Index'!B9</f>
        <v>BASE PERIOD: TWELVE MONTHS ENDED AUGUST 31, 2024</v>
      </c>
      <c r="B4" s="1343"/>
      <c r="C4" s="1343"/>
      <c r="D4" s="1343"/>
      <c r="E4" s="1343"/>
      <c r="F4" s="1343"/>
      <c r="G4" s="1343"/>
      <c r="H4" s="1343"/>
      <c r="I4" s="1343"/>
    </row>
    <row r="5" spans="1:14">
      <c r="A5" s="1343" t="str">
        <f>'General Headers Index'!B16</f>
        <v>FORECASTED TEST PERIOD: TWELVE MONTHS ENDED DECEMBER 31, 2025</v>
      </c>
      <c r="B5" s="1343"/>
      <c r="C5" s="1343"/>
      <c r="D5" s="1343"/>
      <c r="E5" s="1343"/>
      <c r="F5" s="1343"/>
      <c r="G5" s="1343"/>
      <c r="H5" s="1343"/>
      <c r="I5" s="1343"/>
    </row>
    <row r="6" spans="1:14">
      <c r="A6" s="1024"/>
      <c r="B6" s="1024"/>
      <c r="C6" s="1024"/>
      <c r="D6" s="1024"/>
      <c r="E6" s="1024"/>
      <c r="F6" s="1024"/>
      <c r="G6" s="1024"/>
      <c r="H6" s="1024"/>
      <c r="I6" s="1024"/>
    </row>
    <row r="7" spans="1:14">
      <c r="I7" s="1267" t="s">
        <v>3084</v>
      </c>
    </row>
    <row r="8" spans="1:14">
      <c r="A8" s="285" t="s">
        <v>2786</v>
      </c>
      <c r="I8" s="1076" t="s">
        <v>1011</v>
      </c>
    </row>
    <row r="9" spans="1:14">
      <c r="A9" s="285" t="str">
        <f>'General Headers Index'!B37</f>
        <v>TYPE OF FILING:___X___ORIGINAL______UPDATED</v>
      </c>
      <c r="I9" s="1076" t="s">
        <v>1068</v>
      </c>
    </row>
    <row r="10" spans="1:14">
      <c r="A10" s="285" t="s">
        <v>58</v>
      </c>
      <c r="I10" s="1076" t="str">
        <f>"WITNESSES: "&amp;'General Headers Index'!B63</f>
        <v>WITNESSES: SHAEFFER</v>
      </c>
    </row>
    <row r="11" spans="1:14">
      <c r="I11" s="1076" t="str">
        <f>'General Headers Index'!$B$67</f>
        <v>OWENS</v>
      </c>
    </row>
    <row r="12" spans="1:14" ht="12.75" customHeight="1">
      <c r="A12" s="1028"/>
      <c r="B12" s="1028"/>
      <c r="C12" s="1028"/>
      <c r="D12" s="1028"/>
      <c r="E12" s="1028"/>
      <c r="F12" s="1028"/>
      <c r="G12" s="1028"/>
      <c r="H12" s="1028"/>
      <c r="I12" s="1028"/>
      <c r="K12" s="1077"/>
      <c r="L12" s="1077"/>
      <c r="M12" s="1077"/>
      <c r="N12" s="1077"/>
    </row>
    <row r="13" spans="1:14" ht="12.75" customHeight="1">
      <c r="A13" s="1024" t="s">
        <v>313</v>
      </c>
      <c r="E13" s="1024" t="s">
        <v>315</v>
      </c>
      <c r="G13" s="1024"/>
      <c r="I13" s="1078" t="s">
        <v>741</v>
      </c>
      <c r="K13" s="1077"/>
      <c r="L13" s="1077"/>
      <c r="M13" s="1077"/>
      <c r="N13" s="1077"/>
    </row>
    <row r="14" spans="1:14" ht="12.75" customHeight="1">
      <c r="A14" s="1079" t="s">
        <v>316</v>
      </c>
      <c r="B14" s="1028"/>
      <c r="C14" s="1079" t="s">
        <v>451</v>
      </c>
      <c r="D14" s="1028"/>
      <c r="E14" s="1079" t="s">
        <v>319</v>
      </c>
      <c r="F14" s="1028"/>
      <c r="G14" s="1079" t="s">
        <v>355</v>
      </c>
      <c r="H14" s="1028"/>
      <c r="I14" s="1079" t="s">
        <v>319</v>
      </c>
      <c r="K14" s="1077"/>
      <c r="L14" s="1077"/>
      <c r="M14" s="1077"/>
      <c r="N14" s="1077"/>
    </row>
    <row r="15" spans="1:14" ht="12.75" customHeight="1">
      <c r="A15" s="1080"/>
      <c r="B15" s="1080"/>
      <c r="C15" s="1080"/>
      <c r="D15" s="1080"/>
      <c r="E15" s="1080" t="s">
        <v>532</v>
      </c>
      <c r="F15" s="1080"/>
      <c r="G15" s="1080" t="s">
        <v>541</v>
      </c>
      <c r="I15" s="1080" t="s">
        <v>542</v>
      </c>
      <c r="K15" s="1077"/>
      <c r="L15" s="1077"/>
      <c r="M15" s="1077"/>
      <c r="N15" s="1077"/>
    </row>
    <row r="16" spans="1:14" ht="12.75" customHeight="1">
      <c r="A16" s="1024"/>
      <c r="C16" s="1024"/>
      <c r="E16" s="1024"/>
      <c r="G16" s="1024"/>
      <c r="I16" s="1024"/>
      <c r="K16" s="1077"/>
      <c r="L16" s="1077"/>
      <c r="M16" s="1077"/>
      <c r="N16" s="1077"/>
    </row>
    <row r="17" spans="1:14" ht="12.75" customHeight="1">
      <c r="A17" s="219">
        <f>IF(ISBLANK(C17),"",COUNTA($C$17:C17))</f>
        <v>1</v>
      </c>
      <c r="C17" s="1081" t="s">
        <v>3047</v>
      </c>
      <c r="K17" s="1077"/>
      <c r="L17" s="1077"/>
      <c r="M17" s="1077"/>
      <c r="N17" s="1077"/>
    </row>
    <row r="18" spans="1:14" ht="12.75" customHeight="1">
      <c r="A18" s="219">
        <f>IF(ISBLANK(C18),"",COUNTA($C$17:C18))</f>
        <v>2</v>
      </c>
      <c r="C18" s="1082" t="s">
        <v>84</v>
      </c>
      <c r="E18" s="1083"/>
      <c r="I18" s="1084"/>
      <c r="K18" s="1077"/>
      <c r="L18" s="1077"/>
      <c r="M18" s="1077"/>
      <c r="N18" s="1077"/>
    </row>
    <row r="19" spans="1:14" ht="12.75" customHeight="1">
      <c r="A19" s="219">
        <f>IF(ISBLANK(C19),"",COUNTA($C$17:C19))</f>
        <v>3</v>
      </c>
      <c r="C19" s="285" t="s">
        <v>3097</v>
      </c>
      <c r="E19" s="1268"/>
      <c r="F19" s="1273"/>
      <c r="G19" s="1271">
        <f>+I19-E19</f>
        <v>0</v>
      </c>
      <c r="H19" s="1273"/>
      <c r="I19" s="1268"/>
    </row>
    <row r="20" spans="1:14" ht="12.75" customHeight="1">
      <c r="A20" s="219">
        <f>IF(ISBLANK(C20),"",COUNTA($C$17:C20))</f>
        <v>4</v>
      </c>
      <c r="C20" s="285" t="s">
        <v>3098</v>
      </c>
      <c r="E20" s="1269"/>
      <c r="F20" s="1273"/>
      <c r="G20" s="1272">
        <f>+I20-E20</f>
        <v>0</v>
      </c>
      <c r="H20" s="1273"/>
      <c r="I20" s="1269"/>
      <c r="K20" s="1077"/>
      <c r="L20" s="1077"/>
      <c r="M20" s="1077"/>
      <c r="N20" s="1077"/>
    </row>
    <row r="21" spans="1:14" ht="12.75" customHeight="1">
      <c r="A21" s="219">
        <f>IF(ISBLANK(C21),"",COUNTA($C$17:C21))</f>
        <v>5</v>
      </c>
      <c r="C21" s="285" t="s">
        <v>85</v>
      </c>
      <c r="E21" s="1270">
        <f>SUM(E19:E20)</f>
        <v>0</v>
      </c>
      <c r="F21" s="1274"/>
      <c r="G21" s="1270">
        <f>SUM(G19:G20)</f>
        <v>0</v>
      </c>
      <c r="H21" s="1274"/>
      <c r="I21" s="1270">
        <f>SUM(I19:I20)</f>
        <v>0</v>
      </c>
      <c r="K21" s="1077"/>
      <c r="L21" s="1077"/>
      <c r="M21" s="1077"/>
      <c r="N21" s="1077"/>
    </row>
    <row r="22" spans="1:14" ht="12.75" customHeight="1">
      <c r="A22" s="219" t="str">
        <f>IF(ISBLANK(C22),"",COUNTA($C$17:C22))</f>
        <v/>
      </c>
      <c r="E22" s="1275"/>
      <c r="F22" s="1276"/>
      <c r="G22" s="1275"/>
      <c r="H22" s="1276"/>
      <c r="I22" s="1275"/>
      <c r="K22" s="1077"/>
      <c r="L22" s="1077"/>
      <c r="M22" s="1077"/>
      <c r="N22" s="1077"/>
    </row>
    <row r="23" spans="1:14" ht="12.75" customHeight="1">
      <c r="A23" s="219">
        <f>IF(ISBLANK(C23),"",COUNTA($C$17:C23))</f>
        <v>6</v>
      </c>
      <c r="C23" s="1082" t="s">
        <v>82</v>
      </c>
      <c r="E23" s="1271"/>
      <c r="F23" s="1276"/>
      <c r="G23" s="1271"/>
      <c r="H23" s="1276"/>
      <c r="I23" s="1271"/>
      <c r="K23" s="1077"/>
      <c r="L23" s="1077"/>
      <c r="M23" s="1077"/>
      <c r="N23" s="1077"/>
    </row>
    <row r="24" spans="1:14" ht="12.75" customHeight="1">
      <c r="A24" s="219">
        <f>IF(ISBLANK(C24),"",COUNTA($C$17:C24))</f>
        <v>7</v>
      </c>
      <c r="C24" s="285" t="s">
        <v>86</v>
      </c>
      <c r="E24" s="1271"/>
      <c r="F24" s="1273"/>
      <c r="G24" s="1271">
        <f>+I24-E24</f>
        <v>0</v>
      </c>
      <c r="H24" s="1273"/>
      <c r="I24" s="1271"/>
    </row>
    <row r="25" spans="1:14" ht="12.75" customHeight="1">
      <c r="A25" s="219">
        <f>IF(ISBLANK(C25),"",COUNTA($C$17:C25))</f>
        <v>8</v>
      </c>
      <c r="C25" s="285" t="s">
        <v>87</v>
      </c>
      <c r="E25" s="1272"/>
      <c r="F25" s="1273"/>
      <c r="G25" s="1272">
        <f>+I25-E25</f>
        <v>0</v>
      </c>
      <c r="H25" s="1273"/>
      <c r="I25" s="1272"/>
    </row>
    <row r="26" spans="1:14" ht="12.75" customHeight="1">
      <c r="A26" s="219">
        <f>IF(ISBLANK(C26),"",COUNTA($C$17:C26))</f>
        <v>9</v>
      </c>
      <c r="C26" s="285" t="s">
        <v>88</v>
      </c>
      <c r="E26" s="1270">
        <f>SUM(E24:E25)</f>
        <v>0</v>
      </c>
      <c r="F26" s="1274"/>
      <c r="G26" s="1270">
        <f>SUM(G24:G25)</f>
        <v>0</v>
      </c>
      <c r="H26" s="1274"/>
      <c r="I26" s="1270">
        <f>SUM(I24:I25)</f>
        <v>0</v>
      </c>
    </row>
    <row r="27" spans="1:14" ht="12.75" customHeight="1">
      <c r="A27" s="219" t="str">
        <f>IF(ISBLANK(C27),"",COUNTA($C$17:C27))</f>
        <v/>
      </c>
      <c r="E27" s="1277"/>
      <c r="F27" s="1273"/>
      <c r="G27" s="1277"/>
      <c r="H27" s="1273"/>
      <c r="I27" s="1277"/>
    </row>
    <row r="28" spans="1:14" ht="12.75" customHeight="1">
      <c r="A28" s="219">
        <f>IF(ISBLANK(C28),"",COUNTA($C$17:C28))</f>
        <v>10</v>
      </c>
      <c r="C28" s="1082" t="s">
        <v>83</v>
      </c>
      <c r="E28" s="1276"/>
      <c r="F28" s="1276"/>
      <c r="G28" s="1276"/>
      <c r="H28" s="1276"/>
      <c r="I28" s="1276"/>
    </row>
    <row r="29" spans="1:14" ht="12.75" customHeight="1">
      <c r="A29" s="219">
        <f>IF(ISBLANK(C29),"",COUNTA($C$17:C29))</f>
        <v>11</v>
      </c>
      <c r="C29" s="285" t="s">
        <v>89</v>
      </c>
      <c r="E29" s="1270"/>
      <c r="F29" s="1273"/>
      <c r="G29" s="1270">
        <f>+I29-E29</f>
        <v>0</v>
      </c>
      <c r="H29" s="1273"/>
      <c r="I29" s="1270"/>
      <c r="K29" s="1088"/>
    </row>
    <row r="30" spans="1:14" ht="12.75" customHeight="1">
      <c r="A30" s="219">
        <f>IF(ISBLANK(C30),"",COUNTA($C$17:C30))</f>
        <v>12</v>
      </c>
      <c r="C30" s="285" t="s">
        <v>90</v>
      </c>
      <c r="E30" s="1270"/>
      <c r="F30" s="1273"/>
      <c r="G30" s="1270">
        <f>+I30-E30</f>
        <v>0</v>
      </c>
      <c r="H30" s="1273"/>
      <c r="I30" s="1270"/>
      <c r="K30" s="1088"/>
    </row>
    <row r="31" spans="1:14" ht="12.75" customHeight="1">
      <c r="A31" s="219">
        <f>IF(ISBLANK(C31),"",COUNTA($C$17:C31))</f>
        <v>13</v>
      </c>
      <c r="C31" s="285" t="s">
        <v>91</v>
      </c>
      <c r="E31" s="1272"/>
      <c r="F31" s="1276"/>
      <c r="G31" s="1272">
        <f>+I31-E31</f>
        <v>0</v>
      </c>
      <c r="H31" s="1276"/>
      <c r="I31" s="1272"/>
      <c r="K31" s="1088"/>
    </row>
    <row r="32" spans="1:14" ht="12.75" customHeight="1">
      <c r="A32" s="219">
        <f>IF(ISBLANK(C32),"",COUNTA($C$17:C32))</f>
        <v>14</v>
      </c>
      <c r="C32" s="285" t="s">
        <v>92</v>
      </c>
      <c r="E32" s="1270">
        <f>SUM(E29:E31)</f>
        <v>0</v>
      </c>
      <c r="F32" s="1278"/>
      <c r="G32" s="1270">
        <f>SUM(G29:G31)</f>
        <v>0</v>
      </c>
      <c r="H32" s="1278"/>
      <c r="I32" s="1270">
        <f>SUM(I29:I31)</f>
        <v>0</v>
      </c>
      <c r="K32" s="1088"/>
    </row>
    <row r="33" spans="1:14" ht="12.75" customHeight="1">
      <c r="A33" s="219" t="str">
        <f>IF(ISBLANK(C33),"",COUNTA($C$17:C33))</f>
        <v/>
      </c>
      <c r="E33" s="1279"/>
      <c r="F33" s="1278"/>
      <c r="G33" s="1279"/>
      <c r="H33" s="1278"/>
      <c r="I33" s="1279"/>
    </row>
    <row r="34" spans="1:14" ht="12.75" customHeight="1">
      <c r="A34" s="219">
        <f>IF(ISBLANK(C34),"",COUNTA($C$17:C34))</f>
        <v>15</v>
      </c>
      <c r="C34" s="285" t="s">
        <v>93</v>
      </c>
      <c r="E34" s="1280">
        <f>+E21+E26+E32</f>
        <v>0</v>
      </c>
      <c r="F34" s="1278"/>
      <c r="G34" s="1280">
        <f>+G21+G26+G32</f>
        <v>0</v>
      </c>
      <c r="H34" s="1278"/>
      <c r="I34" s="1280">
        <f>+I21+I26+I32</f>
        <v>0</v>
      </c>
    </row>
    <row r="35" spans="1:14" ht="12.75" customHeight="1">
      <c r="A35" s="219" t="str">
        <f>IF(ISBLANK(C35),"",COUNTA($C$17:C35))</f>
        <v/>
      </c>
      <c r="E35" s="1091"/>
      <c r="G35" s="1091"/>
      <c r="I35" s="1091"/>
    </row>
    <row r="36" spans="1:14" ht="12.75" customHeight="1">
      <c r="A36" s="219">
        <f>IF(ISBLANK(C36),"",COUNTA($C$17:C36))</f>
        <v>16</v>
      </c>
      <c r="C36" s="1081" t="s">
        <v>3048</v>
      </c>
    </row>
    <row r="37" spans="1:14" ht="12.75" customHeight="1">
      <c r="A37" s="219">
        <f>IF(ISBLANK(C37),"",COUNTA($C$17:C37))</f>
        <v>17</v>
      </c>
      <c r="C37" s="1082" t="s">
        <v>84</v>
      </c>
      <c r="E37" s="1083"/>
      <c r="I37" s="1084"/>
      <c r="K37" s="1077"/>
      <c r="L37" s="1077"/>
      <c r="M37" s="1077"/>
      <c r="N37" s="1077"/>
    </row>
    <row r="38" spans="1:14" ht="12.75" customHeight="1">
      <c r="A38" s="219">
        <f>IF(ISBLANK(C38),"",COUNTA($C$17:C38))</f>
        <v>18</v>
      </c>
      <c r="C38" s="285" t="s">
        <v>3097</v>
      </c>
      <c r="E38" s="1271"/>
      <c r="F38" s="1273"/>
      <c r="G38" s="1270">
        <f>+I38-E38</f>
        <v>0</v>
      </c>
      <c r="H38" s="1273"/>
      <c r="I38" s="1271"/>
    </row>
    <row r="39" spans="1:14" ht="12.75" customHeight="1">
      <c r="A39" s="219">
        <f>IF(ISBLANK(C39),"",COUNTA($C$17:C39))</f>
        <v>19</v>
      </c>
      <c r="C39" s="285" t="s">
        <v>3098</v>
      </c>
      <c r="E39" s="1272"/>
      <c r="F39" s="1273"/>
      <c r="G39" s="1281">
        <f>+I39-E39</f>
        <v>0</v>
      </c>
      <c r="H39" s="1273"/>
      <c r="I39" s="1272"/>
      <c r="K39" s="1077"/>
      <c r="L39" s="1077"/>
      <c r="M39" s="1077"/>
      <c r="N39" s="1077"/>
    </row>
    <row r="40" spans="1:14" ht="12.75" customHeight="1">
      <c r="A40" s="219">
        <f>IF(ISBLANK(C40),"",COUNTA($C$17:C40))</f>
        <v>20</v>
      </c>
      <c r="C40" s="285" t="s">
        <v>85</v>
      </c>
      <c r="E40" s="1270">
        <f>SUM(E38:E39)</f>
        <v>0</v>
      </c>
      <c r="F40" s="1274"/>
      <c r="G40" s="1282">
        <f>SUM(G38:G39)</f>
        <v>0</v>
      </c>
      <c r="H40" s="1274"/>
      <c r="I40" s="1270">
        <f>SUM(I38:I39)</f>
        <v>0</v>
      </c>
      <c r="K40" s="1077"/>
      <c r="L40" s="1077"/>
      <c r="M40" s="1077"/>
      <c r="N40" s="1077"/>
    </row>
    <row r="41" spans="1:14" ht="12.75" customHeight="1">
      <c r="A41" s="219" t="str">
        <f>IF(ISBLANK(C41),"",COUNTA($C$17:C41))</f>
        <v/>
      </c>
      <c r="E41" s="1275"/>
      <c r="F41" s="1276"/>
      <c r="G41" s="1276"/>
      <c r="H41" s="1276"/>
      <c r="I41" s="1275"/>
      <c r="K41" s="1077"/>
      <c r="L41" s="1077"/>
      <c r="M41" s="1077"/>
      <c r="N41" s="1077"/>
    </row>
    <row r="42" spans="1:14" ht="12.75" customHeight="1">
      <c r="A42" s="219">
        <f>IF(ISBLANK(C42),"",COUNTA($C$17:C42))</f>
        <v>21</v>
      </c>
      <c r="C42" s="1082" t="s">
        <v>82</v>
      </c>
      <c r="E42" s="1271"/>
      <c r="F42" s="1276"/>
      <c r="G42" s="1276"/>
      <c r="H42" s="1276"/>
      <c r="I42" s="1271"/>
      <c r="K42" s="1077"/>
      <c r="L42" s="1077"/>
      <c r="M42" s="1077"/>
      <c r="N42" s="1077"/>
    </row>
    <row r="43" spans="1:14" ht="12.75" customHeight="1">
      <c r="A43" s="219">
        <f>IF(ISBLANK(C43),"",COUNTA($C$17:C43))</f>
        <v>22</v>
      </c>
      <c r="C43" s="285" t="s">
        <v>86</v>
      </c>
      <c r="E43" s="1271"/>
      <c r="F43" s="1273"/>
      <c r="G43" s="1270">
        <f>+I43-E43</f>
        <v>0</v>
      </c>
      <c r="H43" s="1273"/>
      <c r="I43" s="1271"/>
    </row>
    <row r="44" spans="1:14" ht="12.75" customHeight="1">
      <c r="A44" s="219">
        <f>IF(ISBLANK(C44),"",COUNTA($C$17:C44))</f>
        <v>23</v>
      </c>
      <c r="C44" s="285" t="s">
        <v>87</v>
      </c>
      <c r="E44" s="1272"/>
      <c r="F44" s="1273"/>
      <c r="G44" s="1281">
        <f>+I44-E44</f>
        <v>0</v>
      </c>
      <c r="H44" s="1273"/>
      <c r="I44" s="1272"/>
    </row>
    <row r="45" spans="1:14" ht="12.75" customHeight="1">
      <c r="A45" s="219">
        <f>IF(ISBLANK(C45),"",COUNTA($C$17:C45))</f>
        <v>24</v>
      </c>
      <c r="C45" s="285" t="s">
        <v>88</v>
      </c>
      <c r="E45" s="1270">
        <f>SUM(E43:E44)</f>
        <v>0</v>
      </c>
      <c r="F45" s="1274"/>
      <c r="G45" s="1282">
        <f>SUM(G43:G44)</f>
        <v>0</v>
      </c>
      <c r="H45" s="1274"/>
      <c r="I45" s="1270">
        <f>SUM(I43:I44)</f>
        <v>0</v>
      </c>
    </row>
    <row r="46" spans="1:14" ht="12.75" customHeight="1">
      <c r="A46" s="219" t="str">
        <f>IF(ISBLANK(C46),"",COUNTA($C$17:C46))</f>
        <v/>
      </c>
      <c r="E46" s="1277"/>
      <c r="F46" s="1273"/>
      <c r="G46" s="1273"/>
      <c r="H46" s="1273"/>
      <c r="I46" s="1277"/>
    </row>
    <row r="47" spans="1:14" ht="12.75" customHeight="1">
      <c r="A47" s="219">
        <f>IF(ISBLANK(C47),"",COUNTA($C$17:C47))</f>
        <v>25</v>
      </c>
      <c r="C47" s="1082" t="s">
        <v>83</v>
      </c>
      <c r="E47" s="1276"/>
      <c r="F47" s="1276"/>
      <c r="G47" s="1276"/>
      <c r="H47" s="1276"/>
      <c r="I47" s="1276"/>
    </row>
    <row r="48" spans="1:14" ht="12.75" customHeight="1">
      <c r="A48" s="219">
        <f>IF(ISBLANK(C48),"",COUNTA($C$17:C48))</f>
        <v>26</v>
      </c>
      <c r="C48" s="285" t="s">
        <v>89</v>
      </c>
      <c r="E48" s="1271"/>
      <c r="F48" s="1273"/>
      <c r="G48" s="1270">
        <f>+I48-E48</f>
        <v>0</v>
      </c>
      <c r="H48" s="1273"/>
      <c r="I48" s="1271"/>
      <c r="K48" s="1088"/>
    </row>
    <row r="49" spans="1:29" ht="12.75" customHeight="1">
      <c r="A49" s="219">
        <f>IF(ISBLANK(C49),"",COUNTA($C$17:C49))</f>
        <v>27</v>
      </c>
      <c r="C49" s="285" t="s">
        <v>90</v>
      </c>
      <c r="E49" s="1271"/>
      <c r="F49" s="1273"/>
      <c r="G49" s="1270">
        <f>+I49-E49</f>
        <v>0</v>
      </c>
      <c r="H49" s="1273"/>
      <c r="I49" s="1271"/>
      <c r="K49" s="1088"/>
    </row>
    <row r="50" spans="1:29" ht="12.75" customHeight="1">
      <c r="A50" s="219">
        <f>IF(ISBLANK(C50),"",COUNTA($C$17:C50))</f>
        <v>28</v>
      </c>
      <c r="C50" s="285" t="s">
        <v>91</v>
      </c>
      <c r="E50" s="1272"/>
      <c r="F50" s="1276"/>
      <c r="G50" s="1272">
        <f>+I50-E50</f>
        <v>0</v>
      </c>
      <c r="H50" s="1276"/>
      <c r="I50" s="1272"/>
      <c r="K50" s="1088"/>
    </row>
    <row r="51" spans="1:29" ht="12.75" customHeight="1">
      <c r="A51" s="219">
        <f>IF(ISBLANK(C51),"",COUNTA($C$17:C51))</f>
        <v>29</v>
      </c>
      <c r="C51" s="285" t="s">
        <v>92</v>
      </c>
      <c r="E51" s="1270">
        <f>SUM(E48:E50)</f>
        <v>0</v>
      </c>
      <c r="F51" s="1278"/>
      <c r="G51" s="1270">
        <f>SUM(G48:G50)</f>
        <v>0</v>
      </c>
      <c r="H51" s="1278"/>
      <c r="I51" s="1270">
        <f>SUM(I48:I50)</f>
        <v>0</v>
      </c>
      <c r="K51" s="1088"/>
    </row>
    <row r="52" spans="1:29" ht="12.75" customHeight="1">
      <c r="A52" s="219" t="str">
        <f>IF(ISBLANK(C52),"",COUNTA($C$17:C52))</f>
        <v/>
      </c>
      <c r="E52" s="1279"/>
      <c r="F52" s="1278"/>
      <c r="G52" s="1278"/>
      <c r="H52" s="1278"/>
      <c r="I52" s="1279"/>
    </row>
    <row r="53" spans="1:29" ht="12.75" customHeight="1">
      <c r="A53" s="219">
        <f>IF(ISBLANK(C53),"",COUNTA($C$17:C53))</f>
        <v>30</v>
      </c>
      <c r="C53" s="285" t="s">
        <v>93</v>
      </c>
      <c r="E53" s="1280">
        <f>+E40+E45+E51</f>
        <v>0</v>
      </c>
      <c r="F53" s="1278"/>
      <c r="G53" s="1280">
        <f>+G40+G45+G51</f>
        <v>0</v>
      </c>
      <c r="H53" s="1278"/>
      <c r="I53" s="1280">
        <f>+I40+I45+I51</f>
        <v>0</v>
      </c>
    </row>
    <row r="54" spans="1:29" s="1089" customFormat="1" ht="12.75" customHeight="1">
      <c r="A54" s="219" t="str">
        <f>IF(ISBLANK(C54),"",COUNTA($C$17:C54))</f>
        <v/>
      </c>
      <c r="E54" s="1093"/>
      <c r="G54" s="1093"/>
      <c r="I54" s="1093"/>
      <c r="K54" s="1094"/>
      <c r="M54" s="1095"/>
      <c r="N54" s="1095"/>
      <c r="O54" s="1095"/>
      <c r="P54" s="1095"/>
      <c r="Q54" s="1095"/>
      <c r="R54" s="1095"/>
      <c r="S54" s="1095"/>
      <c r="T54" s="1095"/>
      <c r="U54" s="1095"/>
      <c r="V54" s="1095"/>
      <c r="W54" s="1095"/>
      <c r="X54" s="1095"/>
      <c r="Y54" s="1095"/>
      <c r="Z54" s="1095"/>
    </row>
    <row r="55" spans="1:29" s="1089" customFormat="1" ht="12.75" customHeight="1">
      <c r="A55" s="219">
        <f>IF(ISBLANK(C55),"",COUNTA($C$17:C55))</f>
        <v>31</v>
      </c>
      <c r="C55" s="1096" t="s">
        <v>3049</v>
      </c>
      <c r="N55" s="1095"/>
      <c r="O55" s="1095"/>
      <c r="P55" s="1095"/>
      <c r="Q55" s="1095"/>
    </row>
    <row r="56" spans="1:29" s="1089" customFormat="1" ht="12.75" customHeight="1">
      <c r="A56" s="219">
        <f>IF(ISBLANK(C56),"",COUNTA($C$17:C56))</f>
        <v>32</v>
      </c>
      <c r="C56" s="1090" t="s">
        <v>84</v>
      </c>
      <c r="E56" s="1086"/>
      <c r="I56" s="1097"/>
      <c r="K56" s="1095"/>
      <c r="L56" s="1095"/>
      <c r="M56" s="1095"/>
      <c r="N56" s="1095"/>
      <c r="O56" s="1095"/>
      <c r="P56" s="1095"/>
      <c r="Q56" s="1095"/>
      <c r="R56" s="1095"/>
      <c r="S56" s="1095"/>
      <c r="T56" s="1095"/>
      <c r="U56" s="1095"/>
      <c r="V56" s="1095"/>
      <c r="W56" s="1095"/>
      <c r="X56" s="1095"/>
      <c r="Y56" s="1095"/>
      <c r="Z56" s="1095"/>
      <c r="AA56" s="1095"/>
      <c r="AB56" s="1095"/>
      <c r="AC56" s="1095"/>
    </row>
    <row r="57" spans="1:29" s="1089" customFormat="1" ht="12.75" customHeight="1">
      <c r="A57" s="219">
        <f>IF(ISBLANK(C57),"",COUNTA($C$17:C57))</f>
        <v>33</v>
      </c>
      <c r="C57" s="285" t="s">
        <v>3097</v>
      </c>
      <c r="E57" s="1270"/>
      <c r="F57" s="1274"/>
      <c r="G57" s="1270">
        <f>+I57-E57</f>
        <v>0</v>
      </c>
      <c r="H57" s="1274"/>
      <c r="I57" s="1270"/>
    </row>
    <row r="58" spans="1:29" s="1089" customFormat="1" ht="12.75" customHeight="1">
      <c r="A58" s="219">
        <f>IF(ISBLANK(C58),"",COUNTA($C$17:C58))</f>
        <v>34</v>
      </c>
      <c r="C58" s="285" t="s">
        <v>3098</v>
      </c>
      <c r="E58" s="1281"/>
      <c r="F58" s="1274"/>
      <c r="G58" s="1281">
        <f>+I58-E58</f>
        <v>0</v>
      </c>
      <c r="H58" s="1274"/>
      <c r="I58" s="1281"/>
      <c r="K58" s="1095"/>
      <c r="L58" s="1095"/>
      <c r="M58" s="1095"/>
      <c r="N58" s="1095"/>
      <c r="O58" s="1095"/>
    </row>
    <row r="59" spans="1:29" s="1089" customFormat="1" ht="12.75" customHeight="1">
      <c r="A59" s="219">
        <f>IF(ISBLANK(C59),"",COUNTA($C$17:C59))</f>
        <v>35</v>
      </c>
      <c r="C59" s="1089" t="s">
        <v>85</v>
      </c>
      <c r="E59" s="1270">
        <f>SUM(E57:E58)</f>
        <v>0</v>
      </c>
      <c r="F59" s="1274"/>
      <c r="G59" s="1282">
        <f>SUM(G57:G58)</f>
        <v>0</v>
      </c>
      <c r="H59" s="1274"/>
      <c r="I59" s="1270">
        <f>SUM(I57:I58)</f>
        <v>0</v>
      </c>
      <c r="K59" s="1095"/>
      <c r="L59" s="1095"/>
      <c r="M59" s="1095"/>
      <c r="N59" s="1095"/>
      <c r="O59" s="1095"/>
    </row>
    <row r="60" spans="1:29" s="1089" customFormat="1" ht="12.75" customHeight="1">
      <c r="A60" s="219" t="str">
        <f>IF(ISBLANK(C60),"",COUNTA($C$17:C60))</f>
        <v/>
      </c>
      <c r="E60" s="1283"/>
      <c r="F60" s="1278"/>
      <c r="G60" s="1278"/>
      <c r="H60" s="1278"/>
      <c r="I60" s="1283"/>
      <c r="K60" s="1095"/>
      <c r="L60" s="1095"/>
      <c r="M60" s="1095"/>
      <c r="N60" s="1095"/>
      <c r="O60" s="1095"/>
    </row>
    <row r="61" spans="1:29" s="1089" customFormat="1" ht="12.75" customHeight="1">
      <c r="A61" s="219">
        <f>IF(ISBLANK(C61),"",COUNTA($C$17:C61))</f>
        <v>36</v>
      </c>
      <c r="C61" s="1090" t="s">
        <v>82</v>
      </c>
      <c r="E61" s="1270"/>
      <c r="F61" s="1278"/>
      <c r="G61" s="1278"/>
      <c r="H61" s="1278"/>
      <c r="I61" s="1270"/>
      <c r="K61" s="1095"/>
      <c r="L61" s="1095"/>
      <c r="M61" s="1095"/>
      <c r="N61" s="1095"/>
      <c r="O61" s="1095"/>
    </row>
    <row r="62" spans="1:29" s="1089" customFormat="1" ht="12.75" customHeight="1">
      <c r="A62" s="219">
        <f>IF(ISBLANK(C62),"",COUNTA($C$17:C62))</f>
        <v>37</v>
      </c>
      <c r="C62" s="1089" t="s">
        <v>86</v>
      </c>
      <c r="E62" s="1270"/>
      <c r="F62" s="1274"/>
      <c r="G62" s="1270">
        <f>+I62-E62</f>
        <v>0</v>
      </c>
      <c r="H62" s="1274"/>
      <c r="I62" s="1270"/>
    </row>
    <row r="63" spans="1:29" s="1089" customFormat="1" ht="12.75" customHeight="1">
      <c r="A63" s="219">
        <f>IF(ISBLANK(C63),"",COUNTA($C$17:C63))</f>
        <v>38</v>
      </c>
      <c r="C63" s="1089" t="s">
        <v>87</v>
      </c>
      <c r="E63" s="1281"/>
      <c r="F63" s="1274"/>
      <c r="G63" s="1281">
        <f>+I63-E63</f>
        <v>0</v>
      </c>
      <c r="H63" s="1274"/>
      <c r="I63" s="1281"/>
    </row>
    <row r="64" spans="1:29" s="1089" customFormat="1" ht="12.75" customHeight="1">
      <c r="A64" s="219">
        <f>IF(ISBLANK(C64),"",COUNTA($C$17:C64))</f>
        <v>39</v>
      </c>
      <c r="C64" s="1089" t="s">
        <v>88</v>
      </c>
      <c r="E64" s="1270">
        <f>SUM(E62:E63)</f>
        <v>0</v>
      </c>
      <c r="F64" s="1274"/>
      <c r="G64" s="1282">
        <f>SUM(G62:G63)</f>
        <v>0</v>
      </c>
      <c r="H64" s="1274"/>
      <c r="I64" s="1270">
        <f>SUM(I62:I63)</f>
        <v>0</v>
      </c>
    </row>
    <row r="65" spans="1:12" s="1089" customFormat="1" ht="12.75" customHeight="1">
      <c r="A65" s="219" t="str">
        <f>IF(ISBLANK(C65),"",COUNTA($C$17:C65))</f>
        <v/>
      </c>
      <c r="E65" s="1284"/>
      <c r="F65" s="1274"/>
      <c r="G65" s="1274"/>
      <c r="H65" s="1274"/>
      <c r="I65" s="1284"/>
    </row>
    <row r="66" spans="1:12" s="1089" customFormat="1" ht="12.75" customHeight="1">
      <c r="A66" s="219">
        <f>IF(ISBLANK(C66),"",COUNTA($C$17:C66))</f>
        <v>40</v>
      </c>
      <c r="C66" s="1090" t="s">
        <v>83</v>
      </c>
      <c r="E66" s="1278"/>
      <c r="F66" s="1278"/>
      <c r="G66" s="1278"/>
      <c r="H66" s="1278"/>
      <c r="I66" s="1278"/>
    </row>
    <row r="67" spans="1:12" s="1089" customFormat="1" ht="12.75" customHeight="1">
      <c r="A67" s="219">
        <f>IF(ISBLANK(C67),"",COUNTA($C$17:C67))</f>
        <v>41</v>
      </c>
      <c r="C67" s="1089" t="s">
        <v>89</v>
      </c>
      <c r="E67" s="1270"/>
      <c r="F67" s="1274"/>
      <c r="G67" s="1270">
        <f>+I67-E67</f>
        <v>0</v>
      </c>
      <c r="H67" s="1274"/>
      <c r="I67" s="1270"/>
      <c r="L67" s="1098"/>
    </row>
    <row r="68" spans="1:12" s="1089" customFormat="1" ht="12.75" customHeight="1">
      <c r="A68" s="219">
        <f>IF(ISBLANK(C68),"",COUNTA($C$17:C68))</f>
        <v>42</v>
      </c>
      <c r="C68" s="1089" t="s">
        <v>90</v>
      </c>
      <c r="E68" s="1270"/>
      <c r="F68" s="1274"/>
      <c r="G68" s="1270">
        <f>+I68-E68</f>
        <v>0</v>
      </c>
      <c r="H68" s="1274"/>
      <c r="I68" s="1270"/>
      <c r="L68" s="1098"/>
    </row>
    <row r="69" spans="1:12" s="1089" customFormat="1" ht="12.75" customHeight="1">
      <c r="A69" s="219">
        <f>IF(ISBLANK(C69),"",COUNTA($C$17:C69))</f>
        <v>43</v>
      </c>
      <c r="C69" s="1089" t="s">
        <v>91</v>
      </c>
      <c r="E69" s="1272"/>
      <c r="F69" s="1276"/>
      <c r="G69" s="1272">
        <f>+I69-E69</f>
        <v>0</v>
      </c>
      <c r="H69" s="1276"/>
      <c r="I69" s="1272"/>
      <c r="L69" s="1098"/>
    </row>
    <row r="70" spans="1:12" s="1089" customFormat="1" ht="12.75" customHeight="1">
      <c r="A70" s="219">
        <f>IF(ISBLANK(C70),"",COUNTA($C$17:C70))</f>
        <v>44</v>
      </c>
      <c r="C70" s="1089" t="s">
        <v>92</v>
      </c>
      <c r="E70" s="1270">
        <f>SUM(E67:E69)</f>
        <v>0</v>
      </c>
      <c r="F70" s="1278"/>
      <c r="G70" s="1270">
        <f>SUM(G67:G69)</f>
        <v>0</v>
      </c>
      <c r="H70" s="1278"/>
      <c r="I70" s="1270">
        <f>SUM(I67:I69)</f>
        <v>0</v>
      </c>
      <c r="K70" s="1094"/>
      <c r="L70" s="1098"/>
    </row>
    <row r="71" spans="1:12" s="1089" customFormat="1" ht="12.75" customHeight="1">
      <c r="A71" s="219" t="str">
        <f>IF(ISBLANK(C71),"",COUNTA($C$17:C71))</f>
        <v/>
      </c>
      <c r="E71" s="1279"/>
      <c r="F71" s="1278"/>
      <c r="G71" s="1278"/>
      <c r="H71" s="1278"/>
      <c r="I71" s="1279"/>
    </row>
    <row r="72" spans="1:12" s="1089" customFormat="1" ht="12.75" customHeight="1">
      <c r="A72" s="219">
        <f>IF(ISBLANK(C72),"",COUNTA($C$17:C72))</f>
        <v>45</v>
      </c>
      <c r="C72" s="1089" t="s">
        <v>93</v>
      </c>
      <c r="E72" s="1280">
        <f>+E59+E64+E70</f>
        <v>0</v>
      </c>
      <c r="F72" s="1278"/>
      <c r="G72" s="1280">
        <f>+G59+G64+G70</f>
        <v>0</v>
      </c>
      <c r="H72" s="1278"/>
      <c r="I72" s="1280">
        <f>+I59+I64+I70</f>
        <v>0</v>
      </c>
      <c r="K72" s="1094"/>
    </row>
    <row r="73" spans="1:12" s="1089" customFormat="1" ht="12.75" customHeight="1">
      <c r="A73" s="1092"/>
      <c r="E73" s="1093"/>
      <c r="G73" s="1093"/>
      <c r="I73" s="1093"/>
      <c r="K73" s="1094"/>
    </row>
    <row r="74" spans="1:12" ht="12.75" customHeight="1">
      <c r="C74" s="285" t="s">
        <v>3094</v>
      </c>
      <c r="E74" s="1091"/>
      <c r="G74" s="1091"/>
      <c r="I74" s="1091"/>
    </row>
    <row r="75" spans="1:12" ht="12.75" customHeight="1">
      <c r="C75" s="285" t="s">
        <v>3092</v>
      </c>
      <c r="E75" s="1091"/>
      <c r="G75" s="1091"/>
      <c r="I75" s="1091"/>
    </row>
    <row r="76" spans="1:12" ht="12.75" customHeight="1">
      <c r="C76" s="1344" t="s">
        <v>3093</v>
      </c>
      <c r="D76" s="1344"/>
      <c r="E76" s="1344"/>
      <c r="F76" s="1344"/>
      <c r="G76" s="1344"/>
      <c r="H76" s="1344"/>
      <c r="I76" s="1344"/>
    </row>
    <row r="77" spans="1:12" ht="12.75" customHeight="1">
      <c r="C77" s="1344"/>
      <c r="D77" s="1344"/>
      <c r="E77" s="1344"/>
      <c r="F77" s="1344"/>
      <c r="G77" s="1344"/>
      <c r="H77" s="1344"/>
      <c r="I77" s="1344"/>
    </row>
    <row r="78" spans="1:12" ht="12.75" customHeight="1">
      <c r="C78" s="1344"/>
      <c r="D78" s="1344"/>
      <c r="E78" s="1344"/>
      <c r="F78" s="1344"/>
      <c r="G78" s="1344"/>
      <c r="H78" s="1344"/>
      <c r="I78" s="1344"/>
    </row>
    <row r="79" spans="1:12" ht="12.75" customHeight="1">
      <c r="C79" s="1344"/>
      <c r="D79" s="1344"/>
      <c r="E79" s="1344"/>
      <c r="F79" s="1344"/>
      <c r="G79" s="1344"/>
      <c r="H79" s="1344"/>
      <c r="I79" s="1344"/>
    </row>
    <row r="80" spans="1:12" ht="6.95" customHeight="1">
      <c r="C80" s="1344"/>
      <c r="D80" s="1344"/>
      <c r="E80" s="1344"/>
      <c r="F80" s="1344"/>
      <c r="G80" s="1344"/>
      <c r="H80" s="1344"/>
      <c r="I80" s="1344"/>
    </row>
    <row r="81" spans="1:14" ht="12.75" customHeight="1">
      <c r="A81" s="1343" t="str">
        <f>A1</f>
        <v>COLUMBIA GAS OF KENTUCKY, INC.</v>
      </c>
      <c r="B81" s="1343"/>
      <c r="C81" s="1343"/>
      <c r="D81" s="1343"/>
      <c r="E81" s="1343"/>
      <c r="F81" s="1343"/>
      <c r="G81" s="1343"/>
      <c r="H81" s="1343"/>
      <c r="I81" s="1343"/>
    </row>
    <row r="82" spans="1:14" ht="12.75" customHeight="1">
      <c r="A82" s="1343" t="str">
        <f>A2</f>
        <v>CASE NO. 2024 - 00092</v>
      </c>
      <c r="B82" s="1343"/>
      <c r="C82" s="1343"/>
      <c r="D82" s="1343"/>
      <c r="E82" s="1343"/>
      <c r="F82" s="1343"/>
      <c r="G82" s="1343"/>
      <c r="H82" s="1343"/>
      <c r="I82" s="1343"/>
    </row>
    <row r="83" spans="1:14" ht="12.75" customHeight="1">
      <c r="A83" s="1343" t="str">
        <f>A3</f>
        <v>EXECUTIVE COMPENSATION</v>
      </c>
      <c r="B83" s="1343"/>
      <c r="C83" s="1343"/>
      <c r="D83" s="1343"/>
      <c r="E83" s="1343"/>
      <c r="F83" s="1343"/>
      <c r="G83" s="1343"/>
      <c r="H83" s="1343"/>
      <c r="I83" s="1343"/>
    </row>
    <row r="84" spans="1:14" ht="12.75" customHeight="1">
      <c r="A84" s="1343" t="str">
        <f>A4</f>
        <v>BASE PERIOD: TWELVE MONTHS ENDED AUGUST 31, 2024</v>
      </c>
      <c r="B84" s="1343"/>
      <c r="C84" s="1343"/>
      <c r="D84" s="1343"/>
      <c r="E84" s="1343"/>
      <c r="F84" s="1343"/>
      <c r="G84" s="1343"/>
      <c r="H84" s="1343"/>
      <c r="I84" s="1343"/>
    </row>
    <row r="85" spans="1:14" ht="12.75" customHeight="1">
      <c r="A85" s="1343" t="str">
        <f>A5</f>
        <v>FORECASTED TEST PERIOD: TWELVE MONTHS ENDED DECEMBER 31, 2025</v>
      </c>
      <c r="B85" s="1343"/>
      <c r="C85" s="1343"/>
      <c r="D85" s="1343"/>
      <c r="E85" s="1343"/>
      <c r="F85" s="1343"/>
      <c r="G85" s="1343"/>
      <c r="H85" s="1343"/>
      <c r="I85" s="1343"/>
    </row>
    <row r="86" spans="1:14" ht="12.75" customHeight="1">
      <c r="A86" s="1024"/>
      <c r="B86" s="1024"/>
      <c r="C86" s="1024"/>
      <c r="D86" s="1024"/>
      <c r="E86" s="1024"/>
      <c r="F86" s="1024"/>
      <c r="G86" s="1024"/>
      <c r="H86" s="1024"/>
      <c r="I86" s="1024"/>
    </row>
    <row r="87" spans="1:14" ht="12.75" customHeight="1">
      <c r="I87" s="1267" t="s">
        <v>3084</v>
      </c>
    </row>
    <row r="88" spans="1:14" ht="12.75" customHeight="1">
      <c r="A88" s="285" t="s">
        <v>2786</v>
      </c>
      <c r="I88" s="1076" t="str">
        <f>I8</f>
        <v>SCHEDULE G-2</v>
      </c>
    </row>
    <row r="89" spans="1:14" ht="12.75" customHeight="1">
      <c r="A89" s="285" t="str">
        <f>'General Headers Index'!B37</f>
        <v>TYPE OF FILING:___X___ORIGINAL______UPDATED</v>
      </c>
      <c r="I89" s="1076" t="s">
        <v>1069</v>
      </c>
    </row>
    <row r="90" spans="1:14" ht="12.75" customHeight="1">
      <c r="A90" s="285" t="s">
        <v>58</v>
      </c>
      <c r="I90" s="1076" t="str">
        <f>"WITNESS: "&amp;'General Headers Index'!B63</f>
        <v>WITNESS: SHAEFFER</v>
      </c>
    </row>
    <row r="91" spans="1:14" ht="12.75" customHeight="1">
      <c r="I91" s="1076" t="str">
        <f>'General Headers Index'!$B$67</f>
        <v>OWENS</v>
      </c>
    </row>
    <row r="92" spans="1:14" ht="12.75" customHeight="1">
      <c r="A92" s="1028"/>
      <c r="B92" s="1028"/>
      <c r="C92" s="1028"/>
      <c r="D92" s="1028"/>
      <c r="E92" s="1028"/>
      <c r="F92" s="1028"/>
      <c r="G92" s="1028"/>
      <c r="H92" s="1028"/>
      <c r="I92" s="1028"/>
      <c r="K92" s="1077"/>
      <c r="L92" s="1077"/>
      <c r="M92" s="1077"/>
      <c r="N92" s="1077"/>
    </row>
    <row r="93" spans="1:14" ht="12.75" customHeight="1">
      <c r="A93" s="1024" t="s">
        <v>313</v>
      </c>
      <c r="E93" s="1024" t="s">
        <v>315</v>
      </c>
      <c r="G93" s="1024"/>
      <c r="I93" s="1078" t="s">
        <v>741</v>
      </c>
      <c r="K93" s="1077"/>
      <c r="L93" s="1077"/>
      <c r="M93" s="1077"/>
      <c r="N93" s="1077"/>
    </row>
    <row r="94" spans="1:14" ht="12.75" customHeight="1">
      <c r="A94" s="1079" t="s">
        <v>316</v>
      </c>
      <c r="C94" s="1079" t="s">
        <v>451</v>
      </c>
      <c r="E94" s="1079" t="s">
        <v>319</v>
      </c>
      <c r="F94" s="1028"/>
      <c r="G94" s="1079" t="s">
        <v>355</v>
      </c>
      <c r="H94" s="1028"/>
      <c r="I94" s="1079" t="s">
        <v>319</v>
      </c>
      <c r="K94" s="1077"/>
      <c r="L94" s="1077"/>
      <c r="M94" s="1077"/>
      <c r="N94" s="1077"/>
    </row>
    <row r="95" spans="1:14" ht="12.75" customHeight="1">
      <c r="A95" s="1080"/>
      <c r="B95" s="1080"/>
      <c r="C95" s="1080"/>
      <c r="D95" s="1080"/>
      <c r="E95" s="1080" t="s">
        <v>532</v>
      </c>
      <c r="F95" s="1080"/>
      <c r="G95" s="1080" t="s">
        <v>541</v>
      </c>
      <c r="I95" s="1080" t="s">
        <v>542</v>
      </c>
      <c r="K95" s="1077"/>
      <c r="L95" s="1077"/>
      <c r="M95" s="1077"/>
      <c r="N95" s="1077"/>
    </row>
    <row r="96" spans="1:14" ht="12.75" customHeight="1">
      <c r="A96" s="1024"/>
      <c r="E96" s="1091"/>
      <c r="G96" s="1091"/>
      <c r="I96" s="1091"/>
    </row>
    <row r="97" spans="1:14" ht="12.75" customHeight="1">
      <c r="A97" s="219">
        <f>IF(ISBLANK(C97),"",COUNTA($C$97:C97))</f>
        <v>1</v>
      </c>
      <c r="C97" s="1081" t="s">
        <v>3050</v>
      </c>
    </row>
    <row r="98" spans="1:14" ht="12.75" customHeight="1">
      <c r="A98" s="219">
        <f>IF(ISBLANK(C98),"",COUNTA($C$97:C98))</f>
        <v>2</v>
      </c>
      <c r="C98" s="1082" t="s">
        <v>84</v>
      </c>
      <c r="E98" s="1083"/>
      <c r="I98" s="1084"/>
      <c r="K98" s="1077"/>
      <c r="L98" s="1077"/>
      <c r="M98" s="1077"/>
      <c r="N98" s="1077"/>
    </row>
    <row r="99" spans="1:14" ht="12.75" customHeight="1">
      <c r="A99" s="219">
        <f>IF(ISBLANK(C99),"",COUNTA($C$97:C99))</f>
        <v>3</v>
      </c>
      <c r="C99" s="285" t="s">
        <v>3097</v>
      </c>
      <c r="E99" s="1271"/>
      <c r="F99" s="1273"/>
      <c r="G99" s="1270">
        <f>+I99-E99</f>
        <v>0</v>
      </c>
      <c r="H99" s="1273"/>
      <c r="I99" s="1271"/>
    </row>
    <row r="100" spans="1:14" ht="12.75" customHeight="1">
      <c r="A100" s="219">
        <f>IF(ISBLANK(C100),"",COUNTA($C$97:C100))</f>
        <v>4</v>
      </c>
      <c r="C100" s="285" t="s">
        <v>3098</v>
      </c>
      <c r="E100" s="1272"/>
      <c r="F100" s="1273"/>
      <c r="G100" s="1281">
        <f>+I100-E100</f>
        <v>0</v>
      </c>
      <c r="H100" s="1273"/>
      <c r="I100" s="1272"/>
      <c r="K100" s="1077"/>
      <c r="L100" s="1077"/>
      <c r="M100" s="1077"/>
      <c r="N100" s="1077"/>
    </row>
    <row r="101" spans="1:14" ht="12.75" customHeight="1">
      <c r="A101" s="219">
        <f>IF(ISBLANK(C101),"",COUNTA($C$97:C101))</f>
        <v>5</v>
      </c>
      <c r="C101" s="285" t="s">
        <v>85</v>
      </c>
      <c r="E101" s="1270">
        <f>SUM(E99:E100)</f>
        <v>0</v>
      </c>
      <c r="F101" s="1274"/>
      <c r="G101" s="1270">
        <f>SUM(G99:G100)</f>
        <v>0</v>
      </c>
      <c r="H101" s="1274"/>
      <c r="I101" s="1270">
        <f>SUM(I99:I100)</f>
        <v>0</v>
      </c>
      <c r="K101" s="1077"/>
      <c r="L101" s="1077"/>
      <c r="M101" s="1077"/>
      <c r="N101" s="1077"/>
    </row>
    <row r="102" spans="1:14" ht="12.75" customHeight="1">
      <c r="A102" s="219" t="str">
        <f>IF(ISBLANK(C102),"",COUNTA($C$97:C102))</f>
        <v/>
      </c>
      <c r="E102" s="1275"/>
      <c r="F102" s="1276"/>
      <c r="G102" s="1276"/>
      <c r="H102" s="1276"/>
      <c r="I102" s="1275"/>
      <c r="K102" s="1077"/>
      <c r="L102" s="1077"/>
      <c r="M102" s="1077"/>
      <c r="N102" s="1077"/>
    </row>
    <row r="103" spans="1:14" ht="12.75" customHeight="1">
      <c r="A103" s="219">
        <f>IF(ISBLANK(C103),"",COUNTA($C$97:C103))</f>
        <v>6</v>
      </c>
      <c r="C103" s="1082" t="s">
        <v>82</v>
      </c>
      <c r="E103" s="1271"/>
      <c r="F103" s="1276"/>
      <c r="G103" s="1276"/>
      <c r="H103" s="1276"/>
      <c r="I103" s="1271"/>
      <c r="K103" s="1077"/>
      <c r="L103" s="1077"/>
      <c r="M103" s="1077"/>
      <c r="N103" s="1077"/>
    </row>
    <row r="104" spans="1:14" ht="12.75" customHeight="1">
      <c r="A104" s="219">
        <f>IF(ISBLANK(C104),"",COUNTA($C$97:C104))</f>
        <v>7</v>
      </c>
      <c r="C104" s="285" t="s">
        <v>86</v>
      </c>
      <c r="E104" s="1271"/>
      <c r="F104" s="1273"/>
      <c r="G104" s="1270">
        <f>+I104-E104</f>
        <v>0</v>
      </c>
      <c r="H104" s="1273"/>
      <c r="I104" s="1271"/>
    </row>
    <row r="105" spans="1:14" ht="12.75" customHeight="1">
      <c r="A105" s="219">
        <f>IF(ISBLANK(C105),"",COUNTA($C$97:C105))</f>
        <v>8</v>
      </c>
      <c r="C105" s="285" t="s">
        <v>87</v>
      </c>
      <c r="E105" s="1272"/>
      <c r="F105" s="1273"/>
      <c r="G105" s="1281">
        <f>+I105-E105</f>
        <v>0</v>
      </c>
      <c r="H105" s="1273"/>
      <c r="I105" s="1272"/>
    </row>
    <row r="106" spans="1:14" ht="12.75" customHeight="1">
      <c r="A106" s="219">
        <f>IF(ISBLANK(C106),"",COUNTA($C$97:C106))</f>
        <v>9</v>
      </c>
      <c r="C106" s="285" t="s">
        <v>88</v>
      </c>
      <c r="E106" s="1270">
        <f>SUM(E104:E105)</f>
        <v>0</v>
      </c>
      <c r="F106" s="1274"/>
      <c r="G106" s="1270">
        <f>SUM(G104:G105)</f>
        <v>0</v>
      </c>
      <c r="H106" s="1274"/>
      <c r="I106" s="1270">
        <f>SUM(I104:I105)</f>
        <v>0</v>
      </c>
    </row>
    <row r="107" spans="1:14" ht="12.75" customHeight="1">
      <c r="A107" s="219" t="str">
        <f>IF(ISBLANK(C107),"",COUNTA($C$97:C107))</f>
        <v/>
      </c>
      <c r="E107" s="1277"/>
      <c r="F107" s="1273"/>
      <c r="G107" s="1273"/>
      <c r="H107" s="1273"/>
      <c r="I107" s="1277"/>
    </row>
    <row r="108" spans="1:14" ht="12.75" customHeight="1">
      <c r="A108" s="219">
        <f>IF(ISBLANK(C108),"",COUNTA($C$97:C108))</f>
        <v>10</v>
      </c>
      <c r="C108" s="1082" t="s">
        <v>83</v>
      </c>
      <c r="E108" s="1276"/>
      <c r="F108" s="1276"/>
      <c r="G108" s="1276"/>
      <c r="H108" s="1276"/>
      <c r="I108" s="1276"/>
    </row>
    <row r="109" spans="1:14" ht="12.75" customHeight="1">
      <c r="A109" s="219">
        <f>IF(ISBLANK(C109),"",COUNTA($C$97:C109))</f>
        <v>11</v>
      </c>
      <c r="C109" s="285" t="s">
        <v>89</v>
      </c>
      <c r="E109" s="1271"/>
      <c r="F109" s="1273"/>
      <c r="G109" s="1270">
        <f>+I109-E109</f>
        <v>0</v>
      </c>
      <c r="H109" s="1273"/>
      <c r="I109" s="1271"/>
      <c r="K109" s="1088"/>
    </row>
    <row r="110" spans="1:14" ht="12.75" customHeight="1">
      <c r="A110" s="219">
        <f>IF(ISBLANK(C110),"",COUNTA($C$97:C110))</f>
        <v>12</v>
      </c>
      <c r="C110" s="285" t="s">
        <v>90</v>
      </c>
      <c r="E110" s="1271"/>
      <c r="F110" s="1273"/>
      <c r="G110" s="1270">
        <f>+I110-E110</f>
        <v>0</v>
      </c>
      <c r="H110" s="1273"/>
      <c r="I110" s="1271"/>
      <c r="K110" s="1088"/>
    </row>
    <row r="111" spans="1:14" ht="12.75" customHeight="1">
      <c r="A111" s="219">
        <f>IF(ISBLANK(C111),"",COUNTA($C$97:C111))</f>
        <v>13</v>
      </c>
      <c r="C111" s="285" t="s">
        <v>91</v>
      </c>
      <c r="E111" s="1272"/>
      <c r="F111" s="1276"/>
      <c r="G111" s="1272">
        <f>+I111-E111</f>
        <v>0</v>
      </c>
      <c r="H111" s="1276"/>
      <c r="I111" s="1272"/>
      <c r="K111" s="1088"/>
    </row>
    <row r="112" spans="1:14" ht="12.75" customHeight="1">
      <c r="A112" s="219">
        <f>IF(ISBLANK(C112),"",COUNTA($C$97:C112))</f>
        <v>14</v>
      </c>
      <c r="C112" s="285" t="s">
        <v>92</v>
      </c>
      <c r="E112" s="1270">
        <f>SUM(E109:E111)</f>
        <v>0</v>
      </c>
      <c r="F112" s="1278"/>
      <c r="G112" s="1270">
        <f>SUM(G109:G111)</f>
        <v>0</v>
      </c>
      <c r="H112" s="1278"/>
      <c r="I112" s="1270">
        <f>SUM(I109:I111)</f>
        <v>0</v>
      </c>
      <c r="K112" s="1088"/>
    </row>
    <row r="113" spans="1:14" ht="12.75" customHeight="1">
      <c r="A113" s="219" t="str">
        <f>IF(ISBLANK(C113),"",COUNTA($C$97:C113))</f>
        <v/>
      </c>
      <c r="E113" s="1279"/>
      <c r="F113" s="1278"/>
      <c r="G113" s="1278"/>
      <c r="H113" s="1278"/>
      <c r="I113" s="1279"/>
    </row>
    <row r="114" spans="1:14" ht="12.75" customHeight="1">
      <c r="A114" s="219">
        <f>IF(ISBLANK(C114),"",COUNTA($C$97:C114))</f>
        <v>15</v>
      </c>
      <c r="C114" s="285" t="s">
        <v>93</v>
      </c>
      <c r="E114" s="1280">
        <f>+E101+E106+E112</f>
        <v>0</v>
      </c>
      <c r="F114" s="1278"/>
      <c r="G114" s="1280">
        <f>+G101+G106+G112</f>
        <v>0</v>
      </c>
      <c r="H114" s="1278"/>
      <c r="I114" s="1280">
        <f>+I101+I106+I112</f>
        <v>0</v>
      </c>
    </row>
    <row r="115" spans="1:14" ht="12.75" customHeight="1">
      <c r="A115" s="219" t="str">
        <f>IF(ISBLANK(C115),"",COUNTA($C$97:C115))</f>
        <v/>
      </c>
      <c r="E115" s="1091"/>
      <c r="G115" s="1091"/>
      <c r="I115" s="1091"/>
    </row>
    <row r="116" spans="1:14" ht="12.75" customHeight="1">
      <c r="A116" s="219">
        <f>IF(ISBLANK(C116),"",COUNTA($C$97:C116))</f>
        <v>16</v>
      </c>
      <c r="C116" s="1081" t="s">
        <v>3051</v>
      </c>
    </row>
    <row r="117" spans="1:14" ht="12.75" customHeight="1">
      <c r="A117" s="219">
        <f>IF(ISBLANK(C117),"",COUNTA($C$97:C117))</f>
        <v>17</v>
      </c>
      <c r="C117" s="1082" t="s">
        <v>84</v>
      </c>
      <c r="E117" s="1083"/>
      <c r="I117" s="1084"/>
      <c r="K117" s="1077"/>
      <c r="L117" s="1077"/>
      <c r="M117" s="1077"/>
      <c r="N117" s="1077"/>
    </row>
    <row r="118" spans="1:14" ht="12.75" customHeight="1">
      <c r="A118" s="219">
        <f>IF(ISBLANK(C118),"",COUNTA($C$97:C118))</f>
        <v>18</v>
      </c>
      <c r="C118" s="285" t="s">
        <v>3097</v>
      </c>
      <c r="E118" s="1271"/>
      <c r="F118" s="1273"/>
      <c r="G118" s="1270">
        <f>+I118-E118</f>
        <v>0</v>
      </c>
      <c r="H118" s="1273"/>
      <c r="I118" s="1271"/>
    </row>
    <row r="119" spans="1:14" ht="12.75" customHeight="1">
      <c r="A119" s="219">
        <f>IF(ISBLANK(C119),"",COUNTA($C$97:C119))</f>
        <v>19</v>
      </c>
      <c r="C119" s="285" t="s">
        <v>3098</v>
      </c>
      <c r="E119" s="1272"/>
      <c r="F119" s="1273"/>
      <c r="G119" s="1281">
        <f>+I119-E119</f>
        <v>0</v>
      </c>
      <c r="H119" s="1273"/>
      <c r="I119" s="1272"/>
      <c r="K119" s="1077"/>
      <c r="L119" s="1077"/>
      <c r="M119" s="1077"/>
      <c r="N119" s="1077"/>
    </row>
    <row r="120" spans="1:14" ht="12.75" customHeight="1">
      <c r="A120" s="219">
        <f>IF(ISBLANK(C120),"",COUNTA($C$97:C120))</f>
        <v>20</v>
      </c>
      <c r="C120" s="285" t="s">
        <v>85</v>
      </c>
      <c r="E120" s="1270">
        <f>SUM(E118:E119)</f>
        <v>0</v>
      </c>
      <c r="F120" s="1274"/>
      <c r="G120" s="1270">
        <f>SUM(G118:G119)</f>
        <v>0</v>
      </c>
      <c r="H120" s="1274"/>
      <c r="I120" s="1270">
        <f>SUM(I118:I119)</f>
        <v>0</v>
      </c>
      <c r="K120" s="1077"/>
      <c r="L120" s="1077"/>
      <c r="M120" s="1077"/>
      <c r="N120" s="1077"/>
    </row>
    <row r="121" spans="1:14" ht="12.75" customHeight="1">
      <c r="A121" s="219" t="str">
        <f>IF(ISBLANK(C121),"",COUNTA($C$97:C121))</f>
        <v/>
      </c>
      <c r="E121" s="1275"/>
      <c r="F121" s="1276"/>
      <c r="G121" s="1276"/>
      <c r="H121" s="1276"/>
      <c r="I121" s="1275"/>
      <c r="K121" s="1077"/>
      <c r="L121" s="1077"/>
      <c r="M121" s="1077"/>
      <c r="N121" s="1077"/>
    </row>
    <row r="122" spans="1:14" ht="12.75" customHeight="1">
      <c r="A122" s="219">
        <f>IF(ISBLANK(C122),"",COUNTA($C$97:C122))</f>
        <v>21</v>
      </c>
      <c r="C122" s="1082" t="s">
        <v>82</v>
      </c>
      <c r="E122" s="1271"/>
      <c r="F122" s="1276"/>
      <c r="G122" s="1276"/>
      <c r="H122" s="1276"/>
      <c r="I122" s="1271"/>
      <c r="K122" s="1077"/>
      <c r="L122" s="1077"/>
      <c r="M122" s="1077"/>
      <c r="N122" s="1077"/>
    </row>
    <row r="123" spans="1:14" ht="12.75" customHeight="1">
      <c r="A123" s="219">
        <f>IF(ISBLANK(C123),"",COUNTA($C$97:C123))</f>
        <v>22</v>
      </c>
      <c r="C123" s="285" t="s">
        <v>86</v>
      </c>
      <c r="E123" s="1271"/>
      <c r="F123" s="1273"/>
      <c r="G123" s="1270">
        <f>+I123-E123</f>
        <v>0</v>
      </c>
      <c r="H123" s="1273"/>
      <c r="I123" s="1271"/>
    </row>
    <row r="124" spans="1:14" ht="12.75" customHeight="1">
      <c r="A124" s="219">
        <f>IF(ISBLANK(C124),"",COUNTA($C$97:C124))</f>
        <v>23</v>
      </c>
      <c r="C124" s="285" t="s">
        <v>87</v>
      </c>
      <c r="E124" s="1272"/>
      <c r="F124" s="1273"/>
      <c r="G124" s="1281">
        <f>+I124-E124</f>
        <v>0</v>
      </c>
      <c r="H124" s="1273"/>
      <c r="I124" s="1272"/>
    </row>
    <row r="125" spans="1:14" ht="12.75" customHeight="1">
      <c r="A125" s="219">
        <f>IF(ISBLANK(C125),"",COUNTA($C$97:C125))</f>
        <v>24</v>
      </c>
      <c r="C125" s="285" t="s">
        <v>88</v>
      </c>
      <c r="E125" s="1270">
        <f>SUM(E123:E124)</f>
        <v>0</v>
      </c>
      <c r="F125" s="1274"/>
      <c r="G125" s="1270">
        <f>SUM(G123:G124)</f>
        <v>0</v>
      </c>
      <c r="H125" s="1274"/>
      <c r="I125" s="1270">
        <f>SUM(I123:I124)</f>
        <v>0</v>
      </c>
    </row>
    <row r="126" spans="1:14" ht="12.75" customHeight="1">
      <c r="A126" s="219" t="str">
        <f>IF(ISBLANK(C126),"",COUNTA($C$97:C126))</f>
        <v/>
      </c>
      <c r="E126" s="1277"/>
      <c r="F126" s="1273"/>
      <c r="G126" s="1273"/>
      <c r="H126" s="1273"/>
      <c r="I126" s="1277"/>
    </row>
    <row r="127" spans="1:14" ht="12.75" customHeight="1">
      <c r="A127" s="219">
        <f>IF(ISBLANK(C127),"",COUNTA($C$97:C127))</f>
        <v>25</v>
      </c>
      <c r="C127" s="1082" t="s">
        <v>83</v>
      </c>
      <c r="E127" s="1276"/>
      <c r="F127" s="1276"/>
      <c r="G127" s="1276"/>
      <c r="H127" s="1276"/>
      <c r="I127" s="1276"/>
    </row>
    <row r="128" spans="1:14" ht="12.75" customHeight="1">
      <c r="A128" s="219">
        <f>IF(ISBLANK(C128),"",COUNTA($C$97:C128))</f>
        <v>26</v>
      </c>
      <c r="C128" s="285" t="s">
        <v>89</v>
      </c>
      <c r="E128" s="1271"/>
      <c r="F128" s="1273"/>
      <c r="G128" s="1270">
        <f>+I128-E128</f>
        <v>0</v>
      </c>
      <c r="H128" s="1273"/>
      <c r="I128" s="1271"/>
      <c r="K128" s="1088"/>
    </row>
    <row r="129" spans="1:14" ht="12.75" customHeight="1">
      <c r="A129" s="219">
        <f>IF(ISBLANK(C129),"",COUNTA($C$97:C129))</f>
        <v>27</v>
      </c>
      <c r="C129" s="285" t="s">
        <v>90</v>
      </c>
      <c r="E129" s="1271"/>
      <c r="F129" s="1273"/>
      <c r="G129" s="1270">
        <f>+I129-E129</f>
        <v>0</v>
      </c>
      <c r="H129" s="1273"/>
      <c r="I129" s="1271"/>
      <c r="K129" s="1088"/>
    </row>
    <row r="130" spans="1:14" ht="12.75" customHeight="1">
      <c r="A130" s="219">
        <f>IF(ISBLANK(C130),"",COUNTA($C$97:C130))</f>
        <v>28</v>
      </c>
      <c r="C130" s="285" t="s">
        <v>91</v>
      </c>
      <c r="E130" s="1272"/>
      <c r="F130" s="1276"/>
      <c r="G130" s="1272">
        <f>+I130-E130</f>
        <v>0</v>
      </c>
      <c r="H130" s="1276"/>
      <c r="I130" s="1272"/>
      <c r="K130" s="1088"/>
    </row>
    <row r="131" spans="1:14" ht="12.75" customHeight="1">
      <c r="A131" s="219">
        <f>IF(ISBLANK(C131),"",COUNTA($C$97:C131))</f>
        <v>29</v>
      </c>
      <c r="C131" s="285" t="s">
        <v>92</v>
      </c>
      <c r="E131" s="1270">
        <f>SUM(E128:E130)</f>
        <v>0</v>
      </c>
      <c r="F131" s="1278"/>
      <c r="G131" s="1270">
        <f>SUM(G128:G130)</f>
        <v>0</v>
      </c>
      <c r="H131" s="1278"/>
      <c r="I131" s="1270">
        <f>SUM(I128:I130)</f>
        <v>0</v>
      </c>
      <c r="K131" s="1088"/>
    </row>
    <row r="132" spans="1:14" ht="12.75" customHeight="1">
      <c r="A132" s="219" t="str">
        <f>IF(ISBLANK(C132),"",COUNTA($C$97:C132))</f>
        <v/>
      </c>
      <c r="E132" s="1279"/>
      <c r="F132" s="1278"/>
      <c r="G132" s="1278"/>
      <c r="H132" s="1278"/>
      <c r="I132" s="1279"/>
    </row>
    <row r="133" spans="1:14" ht="12.75" customHeight="1">
      <c r="A133" s="219">
        <f>IF(ISBLANK(C133),"",COUNTA($C$97:C133))</f>
        <v>30</v>
      </c>
      <c r="C133" s="285" t="s">
        <v>93</v>
      </c>
      <c r="E133" s="1280">
        <f>+E120+E125+E131</f>
        <v>0</v>
      </c>
      <c r="F133" s="1278"/>
      <c r="G133" s="1280">
        <f>+G120+G125+G131</f>
        <v>0</v>
      </c>
      <c r="H133" s="1278"/>
      <c r="I133" s="1280">
        <f>+I120+I125+I131</f>
        <v>0</v>
      </c>
    </row>
    <row r="134" spans="1:14" ht="12.75" customHeight="1">
      <c r="A134" s="219" t="str">
        <f>IF(ISBLANK(C134),"",COUNTA($C$97:C134))</f>
        <v/>
      </c>
      <c r="E134" s="1091"/>
      <c r="G134" s="1091"/>
      <c r="I134" s="1091"/>
    </row>
    <row r="135" spans="1:14" ht="12.75" customHeight="1">
      <c r="A135" s="219">
        <f>IF(ISBLANK(C135),"",COUNTA($C$97:C135))</f>
        <v>31</v>
      </c>
      <c r="C135" s="1081" t="s">
        <v>3096</v>
      </c>
    </row>
    <row r="136" spans="1:14" ht="12.75" customHeight="1">
      <c r="A136" s="219">
        <f>IF(ISBLANK(C136),"",COUNTA($C$97:C136))</f>
        <v>32</v>
      </c>
      <c r="C136" s="1082" t="s">
        <v>84</v>
      </c>
      <c r="E136" s="1083"/>
      <c r="I136" s="1084"/>
      <c r="K136" s="1077"/>
      <c r="L136" s="1077"/>
      <c r="M136" s="1077"/>
      <c r="N136" s="1077"/>
    </row>
    <row r="137" spans="1:14" ht="12.75" customHeight="1">
      <c r="A137" s="219">
        <f>IF(ISBLANK(C137),"",COUNTA($C$97:C137))</f>
        <v>33</v>
      </c>
      <c r="C137" s="285" t="s">
        <v>3097</v>
      </c>
      <c r="E137" s="1271"/>
      <c r="F137" s="1273"/>
      <c r="G137" s="1270">
        <f>+I137-E137</f>
        <v>0</v>
      </c>
      <c r="H137" s="1273"/>
      <c r="I137" s="1271"/>
    </row>
    <row r="138" spans="1:14" ht="12.75" customHeight="1">
      <c r="A138" s="219">
        <f>IF(ISBLANK(C138),"",COUNTA($C$97:C138))</f>
        <v>34</v>
      </c>
      <c r="C138" s="285" t="s">
        <v>3098</v>
      </c>
      <c r="E138" s="1272"/>
      <c r="F138" s="1273"/>
      <c r="G138" s="1281">
        <f>+I138-E138</f>
        <v>0</v>
      </c>
      <c r="H138" s="1273"/>
      <c r="I138" s="1272"/>
      <c r="K138" s="1077"/>
      <c r="L138" s="1077"/>
      <c r="M138" s="1077"/>
      <c r="N138" s="1077"/>
    </row>
    <row r="139" spans="1:14" ht="12.75" customHeight="1">
      <c r="A139" s="219">
        <f>IF(ISBLANK(C139),"",COUNTA($C$97:C139))</f>
        <v>35</v>
      </c>
      <c r="C139" s="285" t="s">
        <v>85</v>
      </c>
      <c r="E139" s="1270">
        <f>SUM(E137:E138)</f>
        <v>0</v>
      </c>
      <c r="F139" s="1274"/>
      <c r="G139" s="1270">
        <f>SUM(G137:G138)</f>
        <v>0</v>
      </c>
      <c r="H139" s="1274"/>
      <c r="I139" s="1270">
        <f>SUM(I137:I138)</f>
        <v>0</v>
      </c>
      <c r="K139" s="1077"/>
      <c r="L139" s="1077"/>
      <c r="M139" s="1077"/>
      <c r="N139" s="1077"/>
    </row>
    <row r="140" spans="1:14" ht="12.75" customHeight="1">
      <c r="A140" s="219" t="str">
        <f>IF(ISBLANK(C140),"",COUNTA($C$97:C140))</f>
        <v/>
      </c>
      <c r="E140" s="1275"/>
      <c r="F140" s="1276"/>
      <c r="G140" s="1276"/>
      <c r="H140" s="1276"/>
      <c r="I140" s="1275"/>
      <c r="K140" s="1077"/>
      <c r="L140" s="1077"/>
      <c r="M140" s="1077"/>
      <c r="N140" s="1077"/>
    </row>
    <row r="141" spans="1:14" ht="12.75" customHeight="1">
      <c r="A141" s="219">
        <f>IF(ISBLANK(C141),"",COUNTA($C$97:C141))</f>
        <v>36</v>
      </c>
      <c r="C141" s="1082" t="s">
        <v>82</v>
      </c>
      <c r="E141" s="1271"/>
      <c r="F141" s="1276"/>
      <c r="G141" s="1276"/>
      <c r="H141" s="1276"/>
      <c r="I141" s="1271"/>
      <c r="K141" s="1077"/>
      <c r="L141" s="1077"/>
      <c r="M141" s="1077"/>
      <c r="N141" s="1077"/>
    </row>
    <row r="142" spans="1:14" ht="12.75" customHeight="1">
      <c r="A142" s="219">
        <f>IF(ISBLANK(C142),"",COUNTA($C$97:C142))</f>
        <v>37</v>
      </c>
      <c r="C142" s="285" t="s">
        <v>86</v>
      </c>
      <c r="E142" s="1271"/>
      <c r="F142" s="1273"/>
      <c r="G142" s="1270">
        <f>+I142-E142</f>
        <v>0</v>
      </c>
      <c r="H142" s="1273"/>
      <c r="I142" s="1271"/>
    </row>
    <row r="143" spans="1:14" ht="12.75" customHeight="1">
      <c r="A143" s="219">
        <f>IF(ISBLANK(C143),"",COUNTA($C$97:C143))</f>
        <v>38</v>
      </c>
      <c r="C143" s="285" t="s">
        <v>87</v>
      </c>
      <c r="E143" s="1272"/>
      <c r="F143" s="1273"/>
      <c r="G143" s="1281">
        <f>+I143-E143</f>
        <v>0</v>
      </c>
      <c r="H143" s="1273"/>
      <c r="I143" s="1272"/>
    </row>
    <row r="144" spans="1:14" ht="12.75" customHeight="1">
      <c r="A144" s="219">
        <f>IF(ISBLANK(C144),"",COUNTA($C$97:C144))</f>
        <v>39</v>
      </c>
      <c r="C144" s="285" t="s">
        <v>88</v>
      </c>
      <c r="E144" s="1270">
        <f>SUM(E142:E143)</f>
        <v>0</v>
      </c>
      <c r="F144" s="1270">
        <f>SUM(F142:F143)</f>
        <v>0</v>
      </c>
      <c r="G144" s="1270">
        <f>SUM(G142:G143)</f>
        <v>0</v>
      </c>
      <c r="H144" s="1274"/>
      <c r="I144" s="1270">
        <f>SUM(I142:I143)</f>
        <v>0</v>
      </c>
    </row>
    <row r="145" spans="1:14" ht="12.75" customHeight="1">
      <c r="A145" s="219" t="str">
        <f>IF(ISBLANK(C145),"",COUNTA($C$97:C145))</f>
        <v/>
      </c>
      <c r="E145" s="1277"/>
      <c r="F145" s="1273"/>
      <c r="G145" s="1273"/>
      <c r="H145" s="1273"/>
      <c r="I145" s="1277"/>
    </row>
    <row r="146" spans="1:14" ht="12.75" customHeight="1">
      <c r="A146" s="219">
        <f>IF(ISBLANK(C146),"",COUNTA($C$97:C146))</f>
        <v>40</v>
      </c>
      <c r="C146" s="1082" t="s">
        <v>83</v>
      </c>
      <c r="E146" s="1276"/>
      <c r="F146" s="1276"/>
      <c r="G146" s="1276"/>
      <c r="H146" s="1276"/>
      <c r="I146" s="1276"/>
    </row>
    <row r="147" spans="1:14" ht="12.75" customHeight="1">
      <c r="A147" s="219">
        <f>IF(ISBLANK(C147),"",COUNTA($C$97:C147))</f>
        <v>41</v>
      </c>
      <c r="C147" s="285" t="s">
        <v>89</v>
      </c>
      <c r="E147" s="1271"/>
      <c r="F147" s="1273"/>
      <c r="G147" s="1270">
        <f>+I147-E147</f>
        <v>0</v>
      </c>
      <c r="H147" s="1273"/>
      <c r="I147" s="1271"/>
      <c r="K147" s="1088"/>
    </row>
    <row r="148" spans="1:14" ht="12.75" customHeight="1">
      <c r="A148" s="219">
        <f>IF(ISBLANK(C148),"",COUNTA($C$97:C148))</f>
        <v>42</v>
      </c>
      <c r="C148" s="285" t="s">
        <v>90</v>
      </c>
      <c r="E148" s="1271"/>
      <c r="F148" s="1273"/>
      <c r="G148" s="1270">
        <f>+I148-E148</f>
        <v>0</v>
      </c>
      <c r="H148" s="1273"/>
      <c r="I148" s="1271"/>
      <c r="K148" s="1088"/>
    </row>
    <row r="149" spans="1:14" ht="12.75" customHeight="1">
      <c r="A149" s="219">
        <f>IF(ISBLANK(C149),"",COUNTA($C$97:C149))</f>
        <v>43</v>
      </c>
      <c r="C149" s="285" t="s">
        <v>91</v>
      </c>
      <c r="E149" s="1272"/>
      <c r="F149" s="1276"/>
      <c r="G149" s="1272">
        <f>+I149-E149</f>
        <v>0</v>
      </c>
      <c r="H149" s="1276"/>
      <c r="I149" s="1272"/>
      <c r="K149" s="1088"/>
    </row>
    <row r="150" spans="1:14" ht="12.75" customHeight="1">
      <c r="A150" s="219">
        <f>IF(ISBLANK(C150),"",COUNTA($C$97:C150))</f>
        <v>44</v>
      </c>
      <c r="C150" s="285" t="s">
        <v>92</v>
      </c>
      <c r="E150" s="1270">
        <f>SUM(E147:E149)</f>
        <v>0</v>
      </c>
      <c r="F150" s="1278"/>
      <c r="G150" s="1270">
        <f>SUM(G147:G149)</f>
        <v>0</v>
      </c>
      <c r="H150" s="1278"/>
      <c r="I150" s="1270">
        <f>SUM(I147:I149)</f>
        <v>0</v>
      </c>
      <c r="K150" s="1088"/>
    </row>
    <row r="151" spans="1:14" ht="12.75" customHeight="1">
      <c r="A151" s="219" t="str">
        <f>IF(ISBLANK(C151),"",COUNTA($C$97:C151))</f>
        <v/>
      </c>
      <c r="E151" s="1279"/>
      <c r="F151" s="1278"/>
      <c r="G151" s="1278"/>
      <c r="H151" s="1278"/>
      <c r="I151" s="1279"/>
    </row>
    <row r="152" spans="1:14" ht="12.75" customHeight="1">
      <c r="A152" s="219">
        <f>IF(ISBLANK(C152),"",COUNTA($C$97:C152))</f>
        <v>45</v>
      </c>
      <c r="C152" s="285" t="s">
        <v>93</v>
      </c>
      <c r="E152" s="1280">
        <f>+E139+E144+E150</f>
        <v>0</v>
      </c>
      <c r="F152" s="1278"/>
      <c r="G152" s="1280">
        <f>+G139+G144+G150</f>
        <v>0</v>
      </c>
      <c r="H152" s="1278"/>
      <c r="I152" s="1280">
        <f>+I139+I144+I150</f>
        <v>0</v>
      </c>
    </row>
    <row r="153" spans="1:14" ht="12.75" customHeight="1">
      <c r="A153" s="1024"/>
      <c r="E153" s="1091"/>
      <c r="G153" s="1091"/>
      <c r="I153" s="1091"/>
    </row>
    <row r="154" spans="1:14" ht="12.75" customHeight="1">
      <c r="C154" s="285" t="s">
        <v>3094</v>
      </c>
      <c r="K154" s="1077"/>
      <c r="L154" s="1077"/>
      <c r="M154" s="1077"/>
      <c r="N154" s="1077"/>
    </row>
    <row r="155" spans="1:14" ht="12.75" customHeight="1">
      <c r="C155" s="285" t="s">
        <v>3092</v>
      </c>
      <c r="E155" s="1091"/>
      <c r="G155" s="1091"/>
      <c r="I155" s="1091"/>
    </row>
    <row r="156" spans="1:14" ht="12.75" customHeight="1">
      <c r="C156" s="1344" t="s">
        <v>3093</v>
      </c>
      <c r="D156" s="1344"/>
      <c r="E156" s="1344"/>
      <c r="F156" s="1344"/>
      <c r="G156" s="1344"/>
      <c r="H156" s="1344"/>
      <c r="I156" s="1344"/>
    </row>
    <row r="157" spans="1:14" ht="12.75" customHeight="1">
      <c r="C157" s="1344"/>
      <c r="D157" s="1344"/>
      <c r="E157" s="1344"/>
      <c r="F157" s="1344"/>
      <c r="G157" s="1344"/>
      <c r="H157" s="1344"/>
      <c r="I157" s="1344"/>
    </row>
    <row r="158" spans="1:14" ht="12.75" customHeight="1">
      <c r="C158" s="1344"/>
      <c r="D158" s="1344"/>
      <c r="E158" s="1344"/>
      <c r="F158" s="1344"/>
      <c r="G158" s="1344"/>
      <c r="H158" s="1344"/>
      <c r="I158" s="1344"/>
    </row>
    <row r="159" spans="1:14" ht="12.75" customHeight="1">
      <c r="C159" s="1344"/>
      <c r="D159" s="1344"/>
      <c r="E159" s="1344"/>
      <c r="F159" s="1344"/>
      <c r="G159" s="1344"/>
      <c r="H159" s="1344"/>
      <c r="I159" s="1344"/>
    </row>
    <row r="160" spans="1:14" ht="6.95" customHeight="1">
      <c r="C160" s="1344"/>
      <c r="D160" s="1344"/>
      <c r="E160" s="1344"/>
      <c r="F160" s="1344"/>
      <c r="G160" s="1344"/>
      <c r="H160" s="1344"/>
      <c r="I160" s="1344"/>
    </row>
    <row r="161" spans="1:14" ht="12.75" customHeight="1">
      <c r="C161" s="285" t="s">
        <v>3095</v>
      </c>
      <c r="K161" s="1077"/>
      <c r="L161" s="1077"/>
      <c r="M161" s="1077"/>
      <c r="N161" s="1077"/>
    </row>
    <row r="162" spans="1:14" ht="12.75" customHeight="1">
      <c r="A162" s="1343" t="str">
        <f>A1</f>
        <v>COLUMBIA GAS OF KENTUCKY, INC.</v>
      </c>
      <c r="B162" s="1343"/>
      <c r="C162" s="1343"/>
      <c r="D162" s="1343"/>
      <c r="E162" s="1343"/>
      <c r="F162" s="1343"/>
      <c r="G162" s="1343"/>
      <c r="H162" s="1343"/>
      <c r="I162" s="1343"/>
    </row>
    <row r="163" spans="1:14" ht="12.75" customHeight="1">
      <c r="A163" s="1343" t="str">
        <f>A2</f>
        <v>CASE NO. 2024 - 00092</v>
      </c>
      <c r="B163" s="1343"/>
      <c r="C163" s="1343"/>
      <c r="D163" s="1343"/>
      <c r="E163" s="1343"/>
      <c r="F163" s="1343"/>
      <c r="G163" s="1343"/>
      <c r="H163" s="1343"/>
      <c r="I163" s="1343"/>
    </row>
    <row r="164" spans="1:14" ht="12.75" customHeight="1">
      <c r="A164" s="1343" t="str">
        <f>A3</f>
        <v>EXECUTIVE COMPENSATION</v>
      </c>
      <c r="B164" s="1343"/>
      <c r="C164" s="1343"/>
      <c r="D164" s="1343"/>
      <c r="E164" s="1343"/>
      <c r="F164" s="1343"/>
      <c r="G164" s="1343"/>
      <c r="H164" s="1343"/>
      <c r="I164" s="1343"/>
    </row>
    <row r="165" spans="1:14" ht="12.75" customHeight="1">
      <c r="A165" s="1343" t="str">
        <f>A4</f>
        <v>BASE PERIOD: TWELVE MONTHS ENDED AUGUST 31, 2024</v>
      </c>
      <c r="B165" s="1343"/>
      <c r="C165" s="1343"/>
      <c r="D165" s="1343"/>
      <c r="E165" s="1343"/>
      <c r="F165" s="1343"/>
      <c r="G165" s="1343"/>
      <c r="H165" s="1343"/>
      <c r="I165" s="1343"/>
    </row>
    <row r="166" spans="1:14" ht="12.75" customHeight="1">
      <c r="A166" s="1343" t="str">
        <f>A5</f>
        <v>FORECASTED TEST PERIOD: TWELVE MONTHS ENDED DECEMBER 31, 2025</v>
      </c>
      <c r="B166" s="1343"/>
      <c r="C166" s="1343"/>
      <c r="D166" s="1343"/>
      <c r="E166" s="1343"/>
      <c r="F166" s="1343"/>
      <c r="G166" s="1343"/>
      <c r="H166" s="1343"/>
      <c r="I166" s="1343"/>
    </row>
    <row r="167" spans="1:14" ht="12.75" customHeight="1">
      <c r="A167" s="1024"/>
      <c r="B167" s="1024"/>
      <c r="C167" s="1024"/>
      <c r="D167" s="1024"/>
      <c r="E167" s="1024"/>
      <c r="F167" s="1024"/>
      <c r="G167" s="1024"/>
      <c r="H167" s="1024"/>
      <c r="I167" s="1024"/>
    </row>
    <row r="168" spans="1:14" ht="12.75" customHeight="1">
      <c r="I168" s="1267" t="s">
        <v>3084</v>
      </c>
    </row>
    <row r="169" spans="1:14" ht="12.75" customHeight="1">
      <c r="A169" s="285" t="s">
        <v>2786</v>
      </c>
      <c r="I169" s="1076" t="str">
        <f>I8</f>
        <v>SCHEDULE G-2</v>
      </c>
    </row>
    <row r="170" spans="1:14" ht="12.75" customHeight="1">
      <c r="A170" s="285" t="str">
        <f>'General Headers Index'!B37</f>
        <v>TYPE OF FILING:___X___ORIGINAL______UPDATED</v>
      </c>
      <c r="I170" s="1076" t="s">
        <v>1070</v>
      </c>
    </row>
    <row r="171" spans="1:14" ht="12.75" customHeight="1">
      <c r="A171" s="285" t="s">
        <v>58</v>
      </c>
      <c r="I171" s="1076" t="str">
        <f>"WITNESS: "&amp;'General Headers Index'!B63</f>
        <v>WITNESS: SHAEFFER</v>
      </c>
    </row>
    <row r="172" spans="1:14" ht="12.75" customHeight="1">
      <c r="I172" s="1076" t="str">
        <f>'General Headers Index'!$B$67</f>
        <v>OWENS</v>
      </c>
    </row>
    <row r="173" spans="1:14" ht="12.75" customHeight="1">
      <c r="A173" s="1028"/>
      <c r="B173" s="1028"/>
      <c r="C173" s="1028"/>
      <c r="D173" s="1028"/>
      <c r="E173" s="1028"/>
      <c r="F173" s="1028"/>
      <c r="G173" s="1028"/>
      <c r="H173" s="1028"/>
      <c r="I173" s="1028"/>
      <c r="K173" s="1077"/>
      <c r="L173" s="1077"/>
      <c r="M173" s="1077"/>
      <c r="N173" s="1077"/>
    </row>
    <row r="174" spans="1:14" ht="12.75" customHeight="1">
      <c r="A174" s="1024" t="s">
        <v>313</v>
      </c>
      <c r="E174" s="1024" t="s">
        <v>315</v>
      </c>
      <c r="G174" s="1024"/>
      <c r="I174" s="1078" t="s">
        <v>741</v>
      </c>
      <c r="K174" s="1077"/>
      <c r="L174" s="1077"/>
      <c r="M174" s="1077"/>
      <c r="N174" s="1077"/>
    </row>
    <row r="175" spans="1:14" ht="12.75" customHeight="1">
      <c r="A175" s="1079" t="s">
        <v>316</v>
      </c>
      <c r="C175" s="1079" t="s">
        <v>451</v>
      </c>
      <c r="E175" s="1079" t="s">
        <v>319</v>
      </c>
      <c r="F175" s="1028"/>
      <c r="G175" s="1079" t="s">
        <v>355</v>
      </c>
      <c r="H175" s="1028"/>
      <c r="I175" s="1079" t="s">
        <v>319</v>
      </c>
      <c r="K175" s="1077"/>
      <c r="L175" s="1077"/>
      <c r="M175" s="1077"/>
      <c r="N175" s="1077"/>
    </row>
    <row r="176" spans="1:14" ht="12.75" customHeight="1">
      <c r="A176" s="1080"/>
      <c r="B176" s="1080"/>
      <c r="C176" s="1080"/>
      <c r="D176" s="1080"/>
      <c r="E176" s="1080" t="s">
        <v>532</v>
      </c>
      <c r="F176" s="1080"/>
      <c r="G176" s="1080" t="s">
        <v>541</v>
      </c>
      <c r="I176" s="1080" t="s">
        <v>542</v>
      </c>
      <c r="K176" s="1077"/>
      <c r="L176" s="1077"/>
      <c r="M176" s="1077"/>
      <c r="N176" s="1077"/>
    </row>
    <row r="177" spans="1:14" ht="12.75" customHeight="1">
      <c r="A177" s="1024"/>
      <c r="C177" s="1024"/>
      <c r="E177" s="1024"/>
      <c r="G177" s="1024"/>
      <c r="I177" s="1024"/>
      <c r="K177" s="1077"/>
      <c r="L177" s="1077"/>
      <c r="M177" s="1077"/>
      <c r="N177" s="1077"/>
    </row>
    <row r="178" spans="1:14" ht="12.75" customHeight="1">
      <c r="A178" s="219">
        <f>IF(ISBLANK(C178),"",COUNTA($C$178:C178))</f>
        <v>1</v>
      </c>
      <c r="C178" s="1081" t="s">
        <v>3044</v>
      </c>
      <c r="K178" s="1077"/>
      <c r="L178" s="1077"/>
      <c r="M178" s="1077"/>
      <c r="N178" s="1077"/>
    </row>
    <row r="179" spans="1:14" ht="12.75" customHeight="1">
      <c r="A179" s="219">
        <f>IF(ISBLANK(C179),"",COUNTA($C$178:C179))</f>
        <v>2</v>
      </c>
      <c r="C179" s="1082" t="s">
        <v>84</v>
      </c>
      <c r="E179" s="1083"/>
      <c r="I179" s="1084"/>
      <c r="K179" s="1077"/>
      <c r="L179" s="1077"/>
      <c r="M179" s="1077"/>
      <c r="N179" s="1077"/>
    </row>
    <row r="180" spans="1:14" ht="12.75" customHeight="1">
      <c r="A180" s="219">
        <f>IF(ISBLANK(C180),"",COUNTA($C$178:C180))</f>
        <v>3</v>
      </c>
      <c r="C180" s="285" t="s">
        <v>3097</v>
      </c>
      <c r="E180" s="1271"/>
      <c r="F180" s="1273"/>
      <c r="G180" s="1270">
        <f>+I180-E180</f>
        <v>0</v>
      </c>
      <c r="H180" s="1273"/>
      <c r="I180" s="1271"/>
    </row>
    <row r="181" spans="1:14" ht="12.75" customHeight="1">
      <c r="A181" s="219">
        <f>IF(ISBLANK(C181),"",COUNTA($C$178:C181))</f>
        <v>4</v>
      </c>
      <c r="C181" s="285" t="s">
        <v>3098</v>
      </c>
      <c r="E181" s="1272"/>
      <c r="F181" s="1273"/>
      <c r="G181" s="1281">
        <f>+I181-E181</f>
        <v>0</v>
      </c>
      <c r="H181" s="1273"/>
      <c r="I181" s="1272"/>
      <c r="K181" s="1077"/>
      <c r="L181" s="1077"/>
      <c r="M181" s="1077"/>
      <c r="N181" s="1077"/>
    </row>
    <row r="182" spans="1:14" ht="12.75" customHeight="1">
      <c r="A182" s="219">
        <f>IF(ISBLANK(C182),"",COUNTA($C$178:C182))</f>
        <v>5</v>
      </c>
      <c r="C182" s="285" t="s">
        <v>85</v>
      </c>
      <c r="E182" s="1270">
        <f>SUM(E180:E181)</f>
        <v>0</v>
      </c>
      <c r="F182" s="1274"/>
      <c r="G182" s="1270">
        <f>SUM(G180:G181)</f>
        <v>0</v>
      </c>
      <c r="H182" s="1274"/>
      <c r="I182" s="1270">
        <f>SUM(I180:I181)</f>
        <v>0</v>
      </c>
      <c r="K182" s="1077"/>
      <c r="L182" s="1077"/>
      <c r="M182" s="1077"/>
      <c r="N182" s="1077"/>
    </row>
    <row r="183" spans="1:14" ht="12.75" customHeight="1">
      <c r="A183" s="219" t="str">
        <f>IF(ISBLANK(C183),"",COUNTA($C$178:C183))</f>
        <v/>
      </c>
      <c r="E183" s="1275"/>
      <c r="F183" s="1276"/>
      <c r="G183" s="1276"/>
      <c r="H183" s="1276"/>
      <c r="I183" s="1275"/>
      <c r="K183" s="1077"/>
      <c r="L183" s="1077"/>
      <c r="M183" s="1077"/>
      <c r="N183" s="1077"/>
    </row>
    <row r="184" spans="1:14" ht="12.75" customHeight="1">
      <c r="A184" s="219">
        <f>IF(ISBLANK(C184),"",COUNTA($C$178:C184))</f>
        <v>6</v>
      </c>
      <c r="C184" s="1082" t="s">
        <v>82</v>
      </c>
      <c r="E184" s="1271"/>
      <c r="F184" s="1276"/>
      <c r="G184" s="1276"/>
      <c r="H184" s="1276"/>
      <c r="I184" s="1271"/>
      <c r="K184" s="1077"/>
      <c r="L184" s="1077"/>
      <c r="M184" s="1077"/>
      <c r="N184" s="1077"/>
    </row>
    <row r="185" spans="1:14" ht="12.75" customHeight="1">
      <c r="A185" s="219">
        <f>IF(ISBLANK(C185),"",COUNTA($C$178:C185))</f>
        <v>7</v>
      </c>
      <c r="C185" s="285" t="s">
        <v>86</v>
      </c>
      <c r="E185" s="1271"/>
      <c r="F185" s="1273"/>
      <c r="G185" s="1270">
        <f>+I185-E185</f>
        <v>0</v>
      </c>
      <c r="H185" s="1273"/>
      <c r="I185" s="1271"/>
    </row>
    <row r="186" spans="1:14" ht="12.75" customHeight="1">
      <c r="A186" s="219">
        <f>IF(ISBLANK(C186),"",COUNTA($C$178:C186))</f>
        <v>8</v>
      </c>
      <c r="C186" s="285" t="s">
        <v>87</v>
      </c>
      <c r="E186" s="1272"/>
      <c r="F186" s="1273"/>
      <c r="G186" s="1281">
        <f>+I186-E186</f>
        <v>0</v>
      </c>
      <c r="H186" s="1273"/>
      <c r="I186" s="1272"/>
    </row>
    <row r="187" spans="1:14" ht="12.75" customHeight="1">
      <c r="A187" s="219">
        <f>IF(ISBLANK(C187),"",COUNTA($C$178:C187))</f>
        <v>9</v>
      </c>
      <c r="C187" s="285" t="s">
        <v>88</v>
      </c>
      <c r="E187" s="1270">
        <f>SUM(E185:E186)</f>
        <v>0</v>
      </c>
      <c r="F187" s="1274"/>
      <c r="G187" s="1270">
        <f>SUM(G185:G186)</f>
        <v>0</v>
      </c>
      <c r="H187" s="1274"/>
      <c r="I187" s="1270">
        <f>SUM(I185:I186)</f>
        <v>0</v>
      </c>
    </row>
    <row r="188" spans="1:14" ht="12.75" customHeight="1">
      <c r="A188" s="219" t="str">
        <f>IF(ISBLANK(C188),"",COUNTA($C$178:C188))</f>
        <v/>
      </c>
      <c r="E188" s="1277"/>
      <c r="F188" s="1273"/>
      <c r="G188" s="1273"/>
      <c r="H188" s="1273"/>
      <c r="I188" s="1277"/>
    </row>
    <row r="189" spans="1:14" ht="12.75" customHeight="1">
      <c r="A189" s="219">
        <f>IF(ISBLANK(C189),"",COUNTA($C$178:C189))</f>
        <v>10</v>
      </c>
      <c r="C189" s="1082" t="s">
        <v>83</v>
      </c>
      <c r="E189" s="1276"/>
      <c r="F189" s="1276"/>
      <c r="G189" s="1276"/>
      <c r="H189" s="1276"/>
      <c r="I189" s="1276"/>
    </row>
    <row r="190" spans="1:14" ht="12.75" customHeight="1">
      <c r="A190" s="219">
        <f>IF(ISBLANK(C190),"",COUNTA($C$178:C190))</f>
        <v>11</v>
      </c>
      <c r="C190" s="285" t="s">
        <v>89</v>
      </c>
      <c r="E190" s="1271"/>
      <c r="F190" s="1273"/>
      <c r="G190" s="1270">
        <f>+I190-E190</f>
        <v>0</v>
      </c>
      <c r="H190" s="1273"/>
      <c r="I190" s="1271"/>
      <c r="K190" s="1088"/>
    </row>
    <row r="191" spans="1:14" ht="12.75" customHeight="1">
      <c r="A191" s="219">
        <f>IF(ISBLANK(C191),"",COUNTA($C$178:C191))</f>
        <v>12</v>
      </c>
      <c r="C191" s="285" t="s">
        <v>90</v>
      </c>
      <c r="E191" s="1271"/>
      <c r="F191" s="1273"/>
      <c r="G191" s="1270">
        <f>+I191-E191</f>
        <v>0</v>
      </c>
      <c r="H191" s="1273"/>
      <c r="I191" s="1271"/>
      <c r="K191" s="1088"/>
    </row>
    <row r="192" spans="1:14" ht="12.75" customHeight="1">
      <c r="A192" s="219">
        <f>IF(ISBLANK(C192),"",COUNTA($C$178:C192))</f>
        <v>13</v>
      </c>
      <c r="C192" s="285" t="s">
        <v>91</v>
      </c>
      <c r="E192" s="1272"/>
      <c r="F192" s="1276"/>
      <c r="G192" s="1272">
        <f>+I192-E192</f>
        <v>0</v>
      </c>
      <c r="H192" s="1276"/>
      <c r="I192" s="1272"/>
      <c r="K192" s="1088"/>
    </row>
    <row r="193" spans="1:14" ht="12.75" customHeight="1">
      <c r="A193" s="219">
        <f>IF(ISBLANK(C193),"",COUNTA($C$178:C193))</f>
        <v>14</v>
      </c>
      <c r="C193" s="285" t="s">
        <v>92</v>
      </c>
      <c r="E193" s="1270">
        <f>SUM(E190:E192)</f>
        <v>0</v>
      </c>
      <c r="F193" s="1278"/>
      <c r="G193" s="1270">
        <f>SUM(G190:G192)</f>
        <v>0</v>
      </c>
      <c r="H193" s="1278"/>
      <c r="I193" s="1270">
        <f>SUM(I190:I192)</f>
        <v>0</v>
      </c>
      <c r="K193" s="1088"/>
    </row>
    <row r="194" spans="1:14" ht="12.75" customHeight="1">
      <c r="A194" s="219" t="str">
        <f>IF(ISBLANK(C194),"",COUNTA($C$178:C194))</f>
        <v/>
      </c>
      <c r="E194" s="1279"/>
      <c r="F194" s="1278"/>
      <c r="G194" s="1278"/>
      <c r="H194" s="1278"/>
      <c r="I194" s="1279"/>
    </row>
    <row r="195" spans="1:14" ht="12.75" customHeight="1">
      <c r="A195" s="219">
        <f>IF(ISBLANK(C195),"",COUNTA($C$178:C195))</f>
        <v>15</v>
      </c>
      <c r="C195" s="285" t="s">
        <v>93</v>
      </c>
      <c r="E195" s="1280">
        <f>+E182+E187+E193</f>
        <v>0</v>
      </c>
      <c r="F195" s="1278"/>
      <c r="G195" s="1280">
        <f>+G182+G187+G193</f>
        <v>0</v>
      </c>
      <c r="H195" s="1278"/>
      <c r="I195" s="1280">
        <f>+I182+I187+I193</f>
        <v>0</v>
      </c>
    </row>
    <row r="196" spans="1:14" ht="12.75" customHeight="1">
      <c r="A196" s="219" t="str">
        <f>IF(ISBLANK(C196),"",COUNTA($C$178:C196))</f>
        <v/>
      </c>
      <c r="E196" s="1091"/>
      <c r="G196" s="1091"/>
      <c r="I196" s="1091"/>
    </row>
    <row r="197" spans="1:14" ht="12.75" customHeight="1">
      <c r="A197" s="219">
        <f>IF(ISBLANK(C197),"",COUNTA($C$178:C197))</f>
        <v>16</v>
      </c>
      <c r="C197" s="1081" t="s">
        <v>3052</v>
      </c>
      <c r="E197" s="1099"/>
      <c r="F197" s="1085"/>
      <c r="G197" s="1085"/>
      <c r="H197" s="1085"/>
      <c r="I197" s="1099"/>
    </row>
    <row r="198" spans="1:14" ht="12.75" customHeight="1">
      <c r="A198" s="219">
        <f>IF(ISBLANK(C198),"",COUNTA($C$178:C198))</f>
        <v>17</v>
      </c>
      <c r="C198" s="1082" t="s">
        <v>84</v>
      </c>
      <c r="E198" s="1083"/>
      <c r="I198" s="1084"/>
      <c r="K198" s="1077"/>
      <c r="L198" s="1077"/>
      <c r="M198" s="1077"/>
      <c r="N198" s="1077"/>
    </row>
    <row r="199" spans="1:14" ht="12.75" customHeight="1">
      <c r="A199" s="219">
        <f>IF(ISBLANK(C199),"",COUNTA($C$178:C199))</f>
        <v>18</v>
      </c>
      <c r="C199" s="285" t="s">
        <v>3097</v>
      </c>
      <c r="E199" s="1271"/>
      <c r="F199" s="1273"/>
      <c r="G199" s="1270">
        <f>+I199-E199</f>
        <v>0</v>
      </c>
      <c r="H199" s="1273"/>
      <c r="I199" s="1271"/>
    </row>
    <row r="200" spans="1:14" ht="12.75" customHeight="1">
      <c r="A200" s="219">
        <f>IF(ISBLANK(C200),"",COUNTA($C$178:C200))</f>
        <v>19</v>
      </c>
      <c r="C200" s="285" t="s">
        <v>3098</v>
      </c>
      <c r="E200" s="1272"/>
      <c r="F200" s="1273"/>
      <c r="G200" s="1281">
        <f>+I200-E200</f>
        <v>0</v>
      </c>
      <c r="H200" s="1273"/>
      <c r="I200" s="1272"/>
      <c r="K200" s="1077"/>
      <c r="L200" s="1077"/>
      <c r="M200" s="1077"/>
      <c r="N200" s="1077"/>
    </row>
    <row r="201" spans="1:14" ht="12.75" customHeight="1">
      <c r="A201" s="219">
        <f>IF(ISBLANK(C201),"",COUNTA($C$178:C201))</f>
        <v>20</v>
      </c>
      <c r="C201" s="285" t="s">
        <v>85</v>
      </c>
      <c r="E201" s="1270">
        <f>SUM(E199:E200)</f>
        <v>0</v>
      </c>
      <c r="F201" s="1274"/>
      <c r="G201" s="1270">
        <f>SUM(G199:G200)</f>
        <v>0</v>
      </c>
      <c r="H201" s="1274"/>
      <c r="I201" s="1270">
        <f>SUM(I199:I200)</f>
        <v>0</v>
      </c>
      <c r="K201" s="1077"/>
      <c r="L201" s="1077"/>
      <c r="M201" s="1077"/>
      <c r="N201" s="1077"/>
    </row>
    <row r="202" spans="1:14" ht="12.75" customHeight="1">
      <c r="A202" s="219" t="str">
        <f>IF(ISBLANK(C202),"",COUNTA($C$178:C202))</f>
        <v/>
      </c>
      <c r="E202" s="1275"/>
      <c r="F202" s="1276"/>
      <c r="G202" s="1276"/>
      <c r="H202" s="1276"/>
      <c r="I202" s="1275"/>
      <c r="K202" s="1077"/>
      <c r="L202" s="1077"/>
      <c r="M202" s="1077"/>
      <c r="N202" s="1077"/>
    </row>
    <row r="203" spans="1:14" ht="12.75" customHeight="1">
      <c r="A203" s="219">
        <f>IF(ISBLANK(C203),"",COUNTA($C$178:C203))</f>
        <v>21</v>
      </c>
      <c r="C203" s="1082" t="s">
        <v>82</v>
      </c>
      <c r="E203" s="1271"/>
      <c r="F203" s="1276"/>
      <c r="G203" s="1276"/>
      <c r="H203" s="1276"/>
      <c r="I203" s="1271"/>
      <c r="K203" s="1077"/>
      <c r="L203" s="1077"/>
      <c r="M203" s="1077"/>
      <c r="N203" s="1077"/>
    </row>
    <row r="204" spans="1:14" ht="12.75" customHeight="1">
      <c r="A204" s="219">
        <f>IF(ISBLANK(C204),"",COUNTA($C$178:C204))</f>
        <v>22</v>
      </c>
      <c r="C204" s="285" t="s">
        <v>86</v>
      </c>
      <c r="E204" s="1271"/>
      <c r="F204" s="1273"/>
      <c r="G204" s="1270">
        <f>+I204-E204</f>
        <v>0</v>
      </c>
      <c r="H204" s="1273"/>
      <c r="I204" s="1271"/>
    </row>
    <row r="205" spans="1:14" ht="12.75" customHeight="1">
      <c r="A205" s="219">
        <f>IF(ISBLANK(C205),"",COUNTA($C$178:C205))</f>
        <v>23</v>
      </c>
      <c r="C205" s="285" t="s">
        <v>87</v>
      </c>
      <c r="E205" s="1272"/>
      <c r="F205" s="1273"/>
      <c r="G205" s="1281">
        <f>+I205-E205</f>
        <v>0</v>
      </c>
      <c r="H205" s="1273"/>
      <c r="I205" s="1272"/>
    </row>
    <row r="206" spans="1:14" ht="12.75" customHeight="1">
      <c r="A206" s="219">
        <f>IF(ISBLANK(C206),"",COUNTA($C$178:C206))</f>
        <v>24</v>
      </c>
      <c r="C206" s="285" t="s">
        <v>88</v>
      </c>
      <c r="E206" s="1270">
        <f>SUM(E204:E205)</f>
        <v>0</v>
      </c>
      <c r="F206" s="1274"/>
      <c r="G206" s="1270">
        <f>SUM(G204:G205)</f>
        <v>0</v>
      </c>
      <c r="H206" s="1274"/>
      <c r="I206" s="1270">
        <f>SUM(I204:I205)</f>
        <v>0</v>
      </c>
    </row>
    <row r="207" spans="1:14" ht="12.75" customHeight="1">
      <c r="A207" s="219" t="str">
        <f>IF(ISBLANK(C207),"",COUNTA($C$178:C207))</f>
        <v/>
      </c>
      <c r="E207" s="1277"/>
      <c r="F207" s="1273"/>
      <c r="G207" s="1273"/>
      <c r="H207" s="1273"/>
      <c r="I207" s="1277"/>
    </row>
    <row r="208" spans="1:14" ht="12.75" customHeight="1">
      <c r="A208" s="219">
        <f>IF(ISBLANK(C208),"",COUNTA($C$178:C208))</f>
        <v>25</v>
      </c>
      <c r="C208" s="1082" t="s">
        <v>83</v>
      </c>
      <c r="E208" s="1276"/>
      <c r="F208" s="1276"/>
      <c r="G208" s="1276"/>
      <c r="H208" s="1276"/>
      <c r="I208" s="1276"/>
    </row>
    <row r="209" spans="1:29" ht="12.75" customHeight="1">
      <c r="A209" s="219">
        <f>IF(ISBLANK(C209),"",COUNTA($C$178:C209))</f>
        <v>26</v>
      </c>
      <c r="C209" s="285" t="s">
        <v>89</v>
      </c>
      <c r="E209" s="1271"/>
      <c r="F209" s="1273"/>
      <c r="G209" s="1270">
        <f>+I209-E209</f>
        <v>0</v>
      </c>
      <c r="H209" s="1273"/>
      <c r="I209" s="1271"/>
      <c r="K209" s="1088"/>
    </row>
    <row r="210" spans="1:29" ht="12.75" customHeight="1">
      <c r="A210" s="219">
        <f>IF(ISBLANK(C210),"",COUNTA($C$178:C210))</f>
        <v>27</v>
      </c>
      <c r="C210" s="285" t="s">
        <v>90</v>
      </c>
      <c r="E210" s="1271"/>
      <c r="F210" s="1273"/>
      <c r="G210" s="1270">
        <f>+I210-E210</f>
        <v>0</v>
      </c>
      <c r="H210" s="1273"/>
      <c r="I210" s="1271"/>
      <c r="K210" s="1088"/>
    </row>
    <row r="211" spans="1:29" ht="12.75" customHeight="1">
      <c r="A211" s="219">
        <f>IF(ISBLANK(C211),"",COUNTA($C$178:C211))</f>
        <v>28</v>
      </c>
      <c r="C211" s="285" t="s">
        <v>91</v>
      </c>
      <c r="E211" s="1272"/>
      <c r="F211" s="1276"/>
      <c r="G211" s="1272">
        <f>+I211-E211</f>
        <v>0</v>
      </c>
      <c r="H211" s="1276"/>
      <c r="I211" s="1272"/>
      <c r="K211" s="1088"/>
    </row>
    <row r="212" spans="1:29" ht="12.75" customHeight="1">
      <c r="A212" s="219">
        <f>IF(ISBLANK(C212),"",COUNTA($C$178:C212))</f>
        <v>29</v>
      </c>
      <c r="C212" s="285" t="s">
        <v>92</v>
      </c>
      <c r="E212" s="1270">
        <f>SUM(E209:E211)</f>
        <v>0</v>
      </c>
      <c r="F212" s="1278"/>
      <c r="G212" s="1270">
        <f>SUM(G209:G211)</f>
        <v>0</v>
      </c>
      <c r="H212" s="1278"/>
      <c r="I212" s="1270">
        <f>SUM(I209:I211)</f>
        <v>0</v>
      </c>
      <c r="K212" s="1088"/>
    </row>
    <row r="213" spans="1:29" ht="12.75" customHeight="1">
      <c r="A213" s="219" t="str">
        <f>IF(ISBLANK(C213),"",COUNTA($C$178:C213))</f>
        <v/>
      </c>
      <c r="E213" s="1279"/>
      <c r="F213" s="1278"/>
      <c r="G213" s="1278"/>
      <c r="H213" s="1278"/>
      <c r="I213" s="1279"/>
    </row>
    <row r="214" spans="1:29" ht="12.75" customHeight="1">
      <c r="A214" s="219">
        <f>IF(ISBLANK(C214),"",COUNTA($C$178:C214))</f>
        <v>30</v>
      </c>
      <c r="C214" s="285" t="s">
        <v>93</v>
      </c>
      <c r="E214" s="1280">
        <f>+E201+E206+E212</f>
        <v>0</v>
      </c>
      <c r="F214" s="1278"/>
      <c r="G214" s="1280">
        <f>+G201+G206+G212</f>
        <v>0</v>
      </c>
      <c r="H214" s="1278"/>
      <c r="I214" s="1280">
        <f>+I201+I206+I212</f>
        <v>0</v>
      </c>
    </row>
    <row r="215" spans="1:29" s="1089" customFormat="1" ht="12.75" customHeight="1">
      <c r="A215" s="219" t="str">
        <f>IF(ISBLANK(C215),"",COUNTA($C$178:C215))</f>
        <v/>
      </c>
      <c r="E215" s="1093"/>
      <c r="G215" s="1093"/>
      <c r="I215" s="1093"/>
      <c r="K215" s="1094"/>
      <c r="M215" s="1095"/>
      <c r="N215" s="1095"/>
      <c r="O215" s="1095"/>
      <c r="P215" s="1095"/>
      <c r="Q215" s="1095"/>
      <c r="R215" s="1095"/>
      <c r="S215" s="1095"/>
      <c r="T215" s="1095"/>
      <c r="U215" s="1095"/>
      <c r="V215" s="1095"/>
      <c r="W215" s="1095"/>
      <c r="X215" s="1095"/>
      <c r="Y215" s="1095"/>
      <c r="Z215" s="1095"/>
    </row>
    <row r="216" spans="1:29" s="1089" customFormat="1" ht="12.75" customHeight="1">
      <c r="A216" s="219">
        <f>IF(ISBLANK(C216),"",COUNTA($C$178:C216))</f>
        <v>31</v>
      </c>
      <c r="C216" s="1096" t="s">
        <v>3053</v>
      </c>
      <c r="E216" s="1100"/>
      <c r="F216" s="1087"/>
      <c r="G216" s="1087"/>
      <c r="H216" s="1087"/>
      <c r="I216" s="1100"/>
      <c r="N216" s="1095"/>
      <c r="O216" s="1095"/>
      <c r="P216" s="1095"/>
      <c r="Q216" s="1095"/>
    </row>
    <row r="217" spans="1:29" s="1089" customFormat="1" ht="12.75" customHeight="1">
      <c r="A217" s="219">
        <f>IF(ISBLANK(C217),"",COUNTA($C$178:C217))</f>
        <v>32</v>
      </c>
      <c r="C217" s="1090" t="s">
        <v>84</v>
      </c>
      <c r="E217" s="1086"/>
      <c r="I217" s="1097"/>
      <c r="K217" s="1095"/>
      <c r="L217" s="1095"/>
      <c r="M217" s="1095"/>
      <c r="N217" s="1095"/>
      <c r="O217" s="1095"/>
      <c r="P217" s="1095"/>
      <c r="Q217" s="1095"/>
      <c r="R217" s="1095"/>
      <c r="S217" s="1095"/>
      <c r="T217" s="1095"/>
      <c r="U217" s="1095"/>
      <c r="V217" s="1095"/>
      <c r="W217" s="1095"/>
      <c r="X217" s="1095"/>
      <c r="Y217" s="1095"/>
      <c r="Z217" s="1095"/>
      <c r="AA217" s="1095"/>
      <c r="AB217" s="1095"/>
      <c r="AC217" s="1095"/>
    </row>
    <row r="218" spans="1:29" s="1089" customFormat="1" ht="12.75" customHeight="1">
      <c r="A218" s="219">
        <f>IF(ISBLANK(C218),"",COUNTA($C$178:C218))</f>
        <v>33</v>
      </c>
      <c r="C218" s="285" t="s">
        <v>3097</v>
      </c>
      <c r="E218" s="1270"/>
      <c r="F218" s="1274"/>
      <c r="G218" s="1270">
        <f>+I218-E218</f>
        <v>0</v>
      </c>
      <c r="H218" s="1274"/>
      <c r="I218" s="1270"/>
    </row>
    <row r="219" spans="1:29" s="1089" customFormat="1" ht="12.75" customHeight="1">
      <c r="A219" s="219">
        <f>IF(ISBLANK(C219),"",COUNTA($C$178:C219))</f>
        <v>34</v>
      </c>
      <c r="C219" s="285" t="s">
        <v>3098</v>
      </c>
      <c r="E219" s="1281"/>
      <c r="F219" s="1274"/>
      <c r="G219" s="1281">
        <f>+I219-E219</f>
        <v>0</v>
      </c>
      <c r="H219" s="1274"/>
      <c r="I219" s="1281"/>
      <c r="K219" s="1095"/>
      <c r="L219" s="1095"/>
      <c r="M219" s="1095"/>
      <c r="N219" s="1095"/>
      <c r="O219" s="1095"/>
    </row>
    <row r="220" spans="1:29" s="1089" customFormat="1" ht="12.75" customHeight="1">
      <c r="A220" s="219">
        <f>IF(ISBLANK(C220),"",COUNTA($C$178:C220))</f>
        <v>35</v>
      </c>
      <c r="C220" s="1089" t="s">
        <v>85</v>
      </c>
      <c r="E220" s="1270">
        <f>SUM(E218:E219)</f>
        <v>0</v>
      </c>
      <c r="F220" s="1274"/>
      <c r="G220" s="1270">
        <f>SUM(G218:G219)</f>
        <v>0</v>
      </c>
      <c r="H220" s="1274"/>
      <c r="I220" s="1270">
        <f>SUM(I218:I219)</f>
        <v>0</v>
      </c>
      <c r="K220" s="1095"/>
      <c r="L220" s="1095"/>
      <c r="M220" s="1095"/>
      <c r="N220" s="1095"/>
      <c r="O220" s="1095"/>
    </row>
    <row r="221" spans="1:29" s="1089" customFormat="1" ht="12.75" customHeight="1">
      <c r="A221" s="219" t="str">
        <f>IF(ISBLANK(C221),"",COUNTA($C$178:C221))</f>
        <v/>
      </c>
      <c r="E221" s="1283"/>
      <c r="F221" s="1278"/>
      <c r="G221" s="1278"/>
      <c r="H221" s="1278"/>
      <c r="I221" s="1283"/>
      <c r="K221" s="1095"/>
      <c r="L221" s="1095"/>
      <c r="M221" s="1095"/>
      <c r="N221" s="1095"/>
      <c r="O221" s="1095"/>
    </row>
    <row r="222" spans="1:29" s="1089" customFormat="1" ht="12.75" customHeight="1">
      <c r="A222" s="219">
        <f>IF(ISBLANK(C222),"",COUNTA($C$178:C222))</f>
        <v>36</v>
      </c>
      <c r="C222" s="1090" t="s">
        <v>82</v>
      </c>
      <c r="E222" s="1270"/>
      <c r="F222" s="1278"/>
      <c r="G222" s="1278"/>
      <c r="H222" s="1278"/>
      <c r="I222" s="1270"/>
      <c r="K222" s="1095"/>
      <c r="L222" s="1095"/>
      <c r="M222" s="1095"/>
      <c r="N222" s="1095"/>
      <c r="O222" s="1095"/>
    </row>
    <row r="223" spans="1:29" s="1089" customFormat="1" ht="12.75" customHeight="1">
      <c r="A223" s="219">
        <f>IF(ISBLANK(C223),"",COUNTA($C$178:C223))</f>
        <v>37</v>
      </c>
      <c r="C223" s="1089" t="s">
        <v>86</v>
      </c>
      <c r="E223" s="1270"/>
      <c r="F223" s="1274"/>
      <c r="G223" s="1270">
        <f>+I223-E223</f>
        <v>0</v>
      </c>
      <c r="H223" s="1274"/>
      <c r="I223" s="1270"/>
    </row>
    <row r="224" spans="1:29" s="1089" customFormat="1" ht="12.75" customHeight="1">
      <c r="A224" s="219">
        <f>IF(ISBLANK(C224),"",COUNTA($C$178:C224))</f>
        <v>38</v>
      </c>
      <c r="C224" s="1089" t="s">
        <v>87</v>
      </c>
      <c r="E224" s="1281"/>
      <c r="F224" s="1274"/>
      <c r="G224" s="1285">
        <f>+I224-E224</f>
        <v>0</v>
      </c>
      <c r="H224" s="1274"/>
      <c r="I224" s="1281"/>
    </row>
    <row r="225" spans="1:12" s="1089" customFormat="1" ht="12.75" customHeight="1">
      <c r="A225" s="219">
        <f>IF(ISBLANK(C225),"",COUNTA($C$178:C225))</f>
        <v>39</v>
      </c>
      <c r="C225" s="1089" t="s">
        <v>88</v>
      </c>
      <c r="E225" s="1270">
        <f>SUM(E223:E224)</f>
        <v>0</v>
      </c>
      <c r="F225" s="1274"/>
      <c r="G225" s="1270">
        <f>SUM(G223:G224)</f>
        <v>0</v>
      </c>
      <c r="H225" s="1274"/>
      <c r="I225" s="1270">
        <f>SUM(I223:I224)</f>
        <v>0</v>
      </c>
    </row>
    <row r="226" spans="1:12" s="1089" customFormat="1" ht="12.75" customHeight="1">
      <c r="A226" s="219" t="str">
        <f>IF(ISBLANK(C226),"",COUNTA($C$178:C226))</f>
        <v/>
      </c>
      <c r="E226" s="1284"/>
      <c r="F226" s="1274"/>
      <c r="G226" s="1274"/>
      <c r="H226" s="1274"/>
      <c r="I226" s="1284"/>
    </row>
    <row r="227" spans="1:12" s="1089" customFormat="1" ht="12.75" customHeight="1">
      <c r="A227" s="219">
        <f>IF(ISBLANK(C227),"",COUNTA($C$178:C227))</f>
        <v>40</v>
      </c>
      <c r="C227" s="1090" t="s">
        <v>83</v>
      </c>
      <c r="E227" s="1278"/>
      <c r="F227" s="1278"/>
      <c r="G227" s="1278"/>
      <c r="H227" s="1278"/>
      <c r="I227" s="1278"/>
    </row>
    <row r="228" spans="1:12" s="1089" customFormat="1" ht="12.75" customHeight="1">
      <c r="A228" s="219">
        <f>IF(ISBLANK(C228),"",COUNTA($C$178:C228))</f>
        <v>41</v>
      </c>
      <c r="C228" s="1089" t="s">
        <v>89</v>
      </c>
      <c r="E228" s="1270"/>
      <c r="F228" s="1274"/>
      <c r="G228" s="1270">
        <f>+I228-E228</f>
        <v>0</v>
      </c>
      <c r="H228" s="1274"/>
      <c r="I228" s="1270"/>
      <c r="L228" s="1098"/>
    </row>
    <row r="229" spans="1:12" s="1089" customFormat="1" ht="12.75" customHeight="1">
      <c r="A229" s="219">
        <f>IF(ISBLANK(C229),"",COUNTA($C$178:C229))</f>
        <v>42</v>
      </c>
      <c r="C229" s="1089" t="s">
        <v>90</v>
      </c>
      <c r="E229" s="1270"/>
      <c r="F229" s="1274"/>
      <c r="G229" s="1270">
        <f>+I229-E229</f>
        <v>0</v>
      </c>
      <c r="H229" s="1274"/>
      <c r="I229" s="1270"/>
      <c r="L229" s="1098"/>
    </row>
    <row r="230" spans="1:12" s="1089" customFormat="1" ht="12.75" customHeight="1">
      <c r="A230" s="219">
        <f>IF(ISBLANK(C230),"",COUNTA($C$178:C230))</f>
        <v>43</v>
      </c>
      <c r="C230" s="1089" t="s">
        <v>91</v>
      </c>
      <c r="E230" s="1272"/>
      <c r="F230" s="1276"/>
      <c r="G230" s="1272">
        <f>+I230-E230</f>
        <v>0</v>
      </c>
      <c r="H230" s="1276"/>
      <c r="I230" s="1272"/>
      <c r="L230" s="1098"/>
    </row>
    <row r="231" spans="1:12" s="1089" customFormat="1" ht="12.75" customHeight="1">
      <c r="A231" s="219">
        <f>IF(ISBLANK(C231),"",COUNTA($C$178:C231))</f>
        <v>44</v>
      </c>
      <c r="C231" s="1089" t="s">
        <v>92</v>
      </c>
      <c r="E231" s="1270">
        <f>SUM(E228:E230)</f>
        <v>0</v>
      </c>
      <c r="F231" s="1278"/>
      <c r="G231" s="1270">
        <f>SUM(G228:G230)</f>
        <v>0</v>
      </c>
      <c r="H231" s="1278"/>
      <c r="I231" s="1270">
        <f>SUM(I228:I230)</f>
        <v>0</v>
      </c>
      <c r="K231" s="1094"/>
      <c r="L231" s="1098"/>
    </row>
    <row r="232" spans="1:12" s="1089" customFormat="1" ht="12.75" customHeight="1">
      <c r="A232" s="219" t="str">
        <f>IF(ISBLANK(C232),"",COUNTA($C$178:C232))</f>
        <v/>
      </c>
      <c r="E232" s="1279"/>
      <c r="F232" s="1278"/>
      <c r="G232" s="1278"/>
      <c r="H232" s="1278"/>
      <c r="I232" s="1279"/>
    </row>
    <row r="233" spans="1:12" s="1089" customFormat="1" ht="12.75" customHeight="1">
      <c r="A233" s="219">
        <f>IF(ISBLANK(C233),"",COUNTA($C$178:C233))</f>
        <v>45</v>
      </c>
      <c r="C233" s="1089" t="s">
        <v>93</v>
      </c>
      <c r="E233" s="1280">
        <f>+E220+E225+E231</f>
        <v>0</v>
      </c>
      <c r="F233" s="1278"/>
      <c r="G233" s="1280">
        <f>+G220+G225+G231</f>
        <v>0</v>
      </c>
      <c r="H233" s="1278"/>
      <c r="I233" s="1280">
        <f>+I220+I225+I231</f>
        <v>0</v>
      </c>
      <c r="K233" s="1094"/>
    </row>
    <row r="234" spans="1:12" s="1089" customFormat="1" ht="12.75" customHeight="1"/>
    <row r="235" spans="1:12" s="1089" customFormat="1" ht="12.75" customHeight="1">
      <c r="C235" s="1089" t="s">
        <v>3054</v>
      </c>
    </row>
    <row r="236" spans="1:12" s="1089" customFormat="1" ht="12.75" customHeight="1">
      <c r="C236" s="1089" t="s">
        <v>3045</v>
      </c>
    </row>
    <row r="237" spans="1:12" ht="12.75" customHeight="1">
      <c r="C237" s="285" t="s">
        <v>3092</v>
      </c>
      <c r="E237" s="1091"/>
      <c r="G237" s="1091"/>
      <c r="I237" s="1091"/>
    </row>
    <row r="238" spans="1:12" ht="12.75" customHeight="1">
      <c r="C238" s="1344" t="s">
        <v>3093</v>
      </c>
      <c r="D238" s="1344"/>
      <c r="E238" s="1344"/>
      <c r="F238" s="1344"/>
      <c r="G238" s="1344"/>
      <c r="H238" s="1344"/>
      <c r="I238" s="1344"/>
    </row>
    <row r="239" spans="1:12" ht="12.75" customHeight="1">
      <c r="C239" s="1344"/>
      <c r="D239" s="1344"/>
      <c r="E239" s="1344"/>
      <c r="F239" s="1344"/>
      <c r="G239" s="1344"/>
      <c r="H239" s="1344"/>
      <c r="I239" s="1344"/>
    </row>
    <row r="240" spans="1:12" ht="12.75" customHeight="1">
      <c r="C240" s="1344"/>
      <c r="D240" s="1344"/>
      <c r="E240" s="1344"/>
      <c r="F240" s="1344"/>
      <c r="G240" s="1344"/>
      <c r="H240" s="1344"/>
      <c r="I240" s="1344"/>
    </row>
    <row r="241" spans="3:9" ht="12.75" customHeight="1">
      <c r="C241" s="1344"/>
      <c r="D241" s="1344"/>
      <c r="E241" s="1344"/>
      <c r="F241" s="1344"/>
      <c r="G241" s="1344"/>
      <c r="H241" s="1344"/>
      <c r="I241" s="1344"/>
    </row>
    <row r="242" spans="3:9" ht="6.95" customHeight="1">
      <c r="C242" s="1344"/>
      <c r="D242" s="1344"/>
      <c r="E242" s="1344"/>
      <c r="F242" s="1344"/>
      <c r="G242" s="1344"/>
      <c r="H242" s="1344"/>
      <c r="I242" s="1344"/>
    </row>
  </sheetData>
  <mergeCells count="18">
    <mergeCell ref="A82:I82"/>
    <mergeCell ref="A83:I83"/>
    <mergeCell ref="A84:I84"/>
    <mergeCell ref="A81:I81"/>
    <mergeCell ref="A1:I1"/>
    <mergeCell ref="A2:I2"/>
    <mergeCell ref="A3:I3"/>
    <mergeCell ref="A4:I4"/>
    <mergeCell ref="A5:I5"/>
    <mergeCell ref="C76:I80"/>
    <mergeCell ref="A85:I85"/>
    <mergeCell ref="A162:I162"/>
    <mergeCell ref="A163:I163"/>
    <mergeCell ref="C156:I160"/>
    <mergeCell ref="C238:I242"/>
    <mergeCell ref="A164:I164"/>
    <mergeCell ref="A165:I165"/>
    <mergeCell ref="A166:I166"/>
  </mergeCells>
  <printOptions horizontalCentered="1"/>
  <pageMargins left="0.5" right="0.5" top="0.75" bottom="0.5" header="0.3" footer="0.3"/>
  <pageSetup scale="67" fitToHeight="3" orientation="portrait" r:id="rId1"/>
  <rowBreaks count="2" manualBreakCount="2">
    <brk id="80" max="8" man="1"/>
    <brk id="161"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128"/>
  <sheetViews>
    <sheetView zoomScaleNormal="100" zoomScaleSheetLayoutView="100" workbookViewId="0">
      <selection activeCell="F21" sqref="F21"/>
    </sheetView>
  </sheetViews>
  <sheetFormatPr defaultColWidth="9.6640625" defaultRowHeight="10.5"/>
  <cols>
    <col min="1" max="1" width="26.1640625" style="528" customWidth="1"/>
    <col min="2" max="2" width="1.6640625" style="528" customWidth="1"/>
    <col min="3" max="3" width="63.5" style="528" bestFit="1" customWidth="1"/>
    <col min="4" max="16384" width="9.6640625" style="528"/>
  </cols>
  <sheetData>
    <row r="1" spans="1:8" ht="12.75">
      <c r="A1" s="255"/>
      <c r="B1" s="255"/>
      <c r="C1" s="255"/>
      <c r="D1" s="255"/>
      <c r="E1" s="255"/>
      <c r="F1" s="546"/>
      <c r="G1" s="546"/>
      <c r="H1" s="546"/>
    </row>
    <row r="2" spans="1:8" ht="12.75">
      <c r="A2" s="255"/>
      <c r="B2" s="255"/>
      <c r="C2" s="255"/>
      <c r="D2" s="255"/>
      <c r="E2" s="255"/>
      <c r="F2" s="546"/>
      <c r="G2" s="546"/>
      <c r="H2" s="546"/>
    </row>
    <row r="3" spans="1:8" ht="12.75">
      <c r="A3" s="255"/>
      <c r="B3" s="255"/>
      <c r="C3" s="255"/>
      <c r="D3" s="255"/>
      <c r="E3" s="255"/>
      <c r="F3" s="546"/>
      <c r="G3" s="546"/>
      <c r="H3" s="546"/>
    </row>
    <row r="4" spans="1:8" ht="12.75">
      <c r="A4" s="255"/>
      <c r="B4" s="255"/>
      <c r="C4" s="255"/>
      <c r="D4" s="255"/>
      <c r="E4" s="255"/>
      <c r="F4" s="546"/>
      <c r="G4" s="546"/>
      <c r="H4" s="546"/>
    </row>
    <row r="5" spans="1:8" ht="12.75">
      <c r="A5" s="1323" t="s">
        <v>95</v>
      </c>
      <c r="B5" s="1323"/>
      <c r="C5" s="1323"/>
      <c r="D5" s="255"/>
      <c r="E5" s="255"/>
      <c r="F5" s="546"/>
      <c r="G5" s="546"/>
      <c r="H5" s="546"/>
    </row>
    <row r="6" spans="1:8" ht="12.75">
      <c r="A6" s="255"/>
      <c r="B6" s="255"/>
      <c r="C6" s="255"/>
      <c r="D6" s="255"/>
      <c r="E6" s="255"/>
      <c r="F6" s="546"/>
      <c r="G6" s="546"/>
      <c r="H6" s="546"/>
    </row>
    <row r="7" spans="1:8" ht="12.75">
      <c r="A7" s="1323" t="s">
        <v>96</v>
      </c>
      <c r="B7" s="1323"/>
      <c r="C7" s="1323"/>
      <c r="D7" s="255"/>
      <c r="E7" s="255"/>
      <c r="F7" s="546"/>
      <c r="G7" s="546"/>
      <c r="H7" s="546"/>
    </row>
    <row r="8" spans="1:8" ht="12.75">
      <c r="A8" s="255"/>
      <c r="B8" s="255"/>
      <c r="C8" s="255"/>
      <c r="D8" s="255"/>
      <c r="E8" s="255"/>
      <c r="F8" s="546"/>
      <c r="G8" s="546"/>
      <c r="H8" s="546"/>
    </row>
    <row r="9" spans="1:8" ht="12.75">
      <c r="A9" s="1323" t="str">
        <f>'General Headers Index'!B4</f>
        <v>COLUMBIA GAS OF KENTUCKY, INC.</v>
      </c>
      <c r="B9" s="1323"/>
      <c r="C9" s="1323"/>
      <c r="D9" s="255"/>
      <c r="E9" s="255"/>
      <c r="F9" s="546"/>
      <c r="G9" s="546"/>
      <c r="H9" s="546"/>
    </row>
    <row r="10" spans="1:8" ht="12.75">
      <c r="A10" s="255"/>
      <c r="B10" s="255"/>
      <c r="C10" s="255"/>
      <c r="D10" s="255"/>
      <c r="E10" s="255"/>
      <c r="F10" s="546"/>
      <c r="G10" s="546"/>
      <c r="H10" s="546"/>
    </row>
    <row r="11" spans="1:8" ht="12.75">
      <c r="A11" s="1323" t="str">
        <f>'General Headers Index'!B6</f>
        <v>CASE NO. 2024 - 00092</v>
      </c>
      <c r="B11" s="1323"/>
      <c r="C11" s="1323"/>
      <c r="D11" s="255"/>
      <c r="E11" s="255"/>
      <c r="F11" s="546"/>
      <c r="G11" s="546"/>
      <c r="H11" s="546"/>
    </row>
    <row r="12" spans="1:8" ht="12.75">
      <c r="A12" s="286"/>
      <c r="B12" s="255"/>
      <c r="C12" s="254"/>
      <c r="D12" s="255"/>
      <c r="E12" s="255"/>
      <c r="F12" s="546"/>
      <c r="G12" s="546"/>
      <c r="H12" s="546"/>
    </row>
    <row r="13" spans="1:8" ht="12.75">
      <c r="A13" s="286"/>
      <c r="B13" s="255"/>
      <c r="C13" s="254"/>
      <c r="D13" s="255"/>
      <c r="E13" s="255"/>
      <c r="F13" s="546"/>
      <c r="G13" s="546"/>
      <c r="H13" s="546"/>
    </row>
    <row r="14" spans="1:8" ht="12.75">
      <c r="A14" s="286"/>
      <c r="B14" s="255"/>
      <c r="C14" s="254"/>
      <c r="D14" s="255"/>
      <c r="E14" s="255"/>
      <c r="F14" s="546"/>
      <c r="G14" s="546"/>
      <c r="H14" s="546"/>
    </row>
    <row r="15" spans="1:8" ht="12.75">
      <c r="A15" s="286"/>
      <c r="B15" s="255"/>
      <c r="C15" s="254"/>
      <c r="D15" s="255"/>
      <c r="E15" s="255"/>
      <c r="F15" s="546"/>
      <c r="G15" s="546"/>
      <c r="H15" s="546"/>
    </row>
    <row r="16" spans="1:8" ht="12.75">
      <c r="A16" s="286" t="s">
        <v>97</v>
      </c>
      <c r="B16" s="255"/>
      <c r="C16" s="707" t="str">
        <f>'General Headers Index'!B8</f>
        <v>FOR THE TWELVE MONTHS ENDED AUGUST 31, 2024</v>
      </c>
      <c r="D16" s="255"/>
      <c r="E16" s="255"/>
      <c r="F16" s="546"/>
      <c r="G16" s="546"/>
      <c r="H16" s="546"/>
    </row>
    <row r="17" spans="1:8" ht="12.75">
      <c r="A17" s="286"/>
      <c r="B17" s="255"/>
      <c r="C17" s="254"/>
      <c r="D17" s="255"/>
      <c r="E17" s="255"/>
      <c r="F17" s="546"/>
      <c r="G17" s="546"/>
      <c r="H17" s="546"/>
    </row>
    <row r="18" spans="1:8" ht="12.75">
      <c r="A18" s="286" t="s">
        <v>684</v>
      </c>
      <c r="B18" s="255"/>
      <c r="C18" s="707" t="str">
        <f>'General Headers Index'!B15</f>
        <v>FOR THE TWELVE MONTHS ENDED DECEMBER 31, 2025</v>
      </c>
      <c r="D18" s="255"/>
      <c r="E18" s="255"/>
      <c r="F18" s="546"/>
      <c r="G18" s="546"/>
      <c r="H18" s="546"/>
    </row>
    <row r="19" spans="1:8" ht="12.75">
      <c r="A19" s="255"/>
      <c r="B19" s="255"/>
      <c r="C19" s="255"/>
      <c r="D19" s="255"/>
      <c r="E19" s="255"/>
      <c r="F19" s="546"/>
      <c r="G19" s="546"/>
      <c r="H19" s="546"/>
    </row>
    <row r="20" spans="1:8" ht="12.75">
      <c r="A20" s="255"/>
      <c r="B20" s="255"/>
      <c r="C20" s="255"/>
      <c r="D20" s="255"/>
      <c r="E20" s="255"/>
      <c r="F20" s="546"/>
      <c r="G20" s="546"/>
      <c r="H20" s="546"/>
    </row>
    <row r="21" spans="1:8" ht="12.75">
      <c r="A21" s="287" t="s">
        <v>314</v>
      </c>
      <c r="B21" s="288"/>
      <c r="C21" s="289" t="s">
        <v>451</v>
      </c>
      <c r="D21" s="288"/>
      <c r="E21" s="288"/>
      <c r="F21" s="704"/>
      <c r="G21" s="704"/>
      <c r="H21" s="704"/>
    </row>
    <row r="22" spans="1:8" ht="12.75">
      <c r="A22" s="286"/>
      <c r="B22" s="255"/>
      <c r="C22" s="255"/>
      <c r="D22" s="255"/>
      <c r="E22" s="255"/>
      <c r="F22" s="546"/>
      <c r="G22" s="546"/>
      <c r="H22" s="546"/>
    </row>
    <row r="23" spans="1:8" ht="12.75">
      <c r="A23" s="286" t="s">
        <v>98</v>
      </c>
      <c r="B23" s="255"/>
      <c r="C23" s="255" t="s">
        <v>703</v>
      </c>
      <c r="D23" s="255"/>
      <c r="E23" s="255"/>
      <c r="F23" s="546"/>
      <c r="G23" s="546"/>
      <c r="H23" s="546"/>
    </row>
    <row r="24" spans="1:8" ht="12.75">
      <c r="A24" s="255"/>
      <c r="B24" s="255"/>
      <c r="C24" s="255"/>
      <c r="D24" s="255"/>
      <c r="E24" s="255"/>
      <c r="F24" s="546"/>
      <c r="G24" s="546"/>
      <c r="H24" s="546"/>
    </row>
    <row r="25" spans="1:8" ht="11.25">
      <c r="A25" s="546"/>
      <c r="B25" s="546"/>
      <c r="C25" s="546"/>
      <c r="D25" s="546"/>
      <c r="E25" s="546"/>
      <c r="F25" s="546"/>
      <c r="G25" s="546"/>
      <c r="H25" s="546"/>
    </row>
    <row r="26" spans="1:8" ht="11.25">
      <c r="A26" s="546"/>
      <c r="B26" s="546"/>
      <c r="C26" s="546"/>
      <c r="D26" s="546"/>
      <c r="E26" s="546"/>
      <c r="F26" s="546"/>
      <c r="G26" s="546"/>
      <c r="H26" s="546"/>
    </row>
    <row r="27" spans="1:8" ht="11.25">
      <c r="A27" s="546"/>
      <c r="B27" s="546"/>
      <c r="C27" s="546"/>
      <c r="D27" s="546"/>
      <c r="E27" s="546"/>
      <c r="F27" s="546"/>
      <c r="G27" s="546"/>
      <c r="H27" s="546"/>
    </row>
    <row r="28" spans="1:8" ht="11.25">
      <c r="A28" s="546"/>
      <c r="B28" s="546"/>
      <c r="C28" s="546"/>
      <c r="D28" s="546"/>
      <c r="E28" s="546"/>
      <c r="F28" s="546"/>
      <c r="G28" s="546"/>
      <c r="H28" s="546"/>
    </row>
    <row r="29" spans="1:8" ht="11.25">
      <c r="A29" s="546"/>
      <c r="B29" s="546"/>
      <c r="C29" s="546"/>
      <c r="D29" s="546"/>
      <c r="E29" s="546"/>
      <c r="F29" s="546"/>
      <c r="G29" s="546"/>
      <c r="H29" s="546"/>
    </row>
    <row r="30" spans="1:8" ht="11.25">
      <c r="A30" s="546"/>
      <c r="B30" s="546"/>
      <c r="C30" s="546"/>
      <c r="D30" s="546"/>
      <c r="E30" s="546"/>
      <c r="F30" s="546"/>
      <c r="G30" s="546"/>
      <c r="H30" s="546"/>
    </row>
    <row r="31" spans="1:8" ht="11.25">
      <c r="A31" s="546"/>
      <c r="B31" s="546"/>
      <c r="C31" s="546"/>
      <c r="D31" s="546"/>
      <c r="E31" s="546"/>
      <c r="F31" s="546"/>
      <c r="G31" s="546"/>
      <c r="H31" s="546"/>
    </row>
    <row r="32" spans="1:8" ht="11.25">
      <c r="A32" s="546"/>
      <c r="B32" s="546"/>
      <c r="C32" s="546"/>
      <c r="D32" s="546"/>
      <c r="E32" s="546"/>
      <c r="F32" s="546"/>
      <c r="G32" s="546"/>
      <c r="H32" s="546"/>
    </row>
    <row r="33" spans="1:8" ht="11.25">
      <c r="A33" s="546"/>
      <c r="B33" s="546"/>
      <c r="C33" s="546"/>
      <c r="D33" s="546"/>
      <c r="E33" s="546"/>
      <c r="F33" s="546"/>
      <c r="G33" s="546"/>
      <c r="H33" s="546"/>
    </row>
    <row r="34" spans="1:8" ht="11.25">
      <c r="A34" s="546"/>
      <c r="B34" s="546"/>
      <c r="C34" s="546"/>
      <c r="D34" s="546"/>
      <c r="E34" s="546"/>
      <c r="F34" s="546"/>
      <c r="G34" s="546"/>
      <c r="H34" s="546"/>
    </row>
    <row r="35" spans="1:8" ht="11.25">
      <c r="A35" s="546"/>
      <c r="B35" s="546"/>
      <c r="C35" s="546"/>
      <c r="D35" s="546"/>
      <c r="E35" s="546"/>
      <c r="F35" s="546"/>
      <c r="G35" s="546"/>
      <c r="H35" s="546"/>
    </row>
    <row r="36" spans="1:8" ht="11.25">
      <c r="A36" s="546"/>
      <c r="B36" s="546"/>
      <c r="C36" s="546"/>
      <c r="D36" s="546"/>
      <c r="E36" s="546"/>
      <c r="F36" s="546"/>
      <c r="G36" s="546"/>
      <c r="H36" s="546"/>
    </row>
    <row r="37" spans="1:8" ht="11.25">
      <c r="A37" s="546"/>
      <c r="B37" s="546"/>
      <c r="C37" s="546"/>
      <c r="D37" s="546"/>
      <c r="E37" s="546"/>
      <c r="F37" s="546"/>
      <c r="G37" s="546"/>
      <c r="H37" s="546"/>
    </row>
    <row r="38" spans="1:8" ht="11.25">
      <c r="A38" s="546"/>
      <c r="B38" s="546"/>
      <c r="C38" s="546"/>
      <c r="D38" s="546"/>
      <c r="E38" s="546"/>
      <c r="F38" s="546"/>
      <c r="G38" s="546"/>
      <c r="H38" s="546"/>
    </row>
    <row r="39" spans="1:8" ht="11.25">
      <c r="A39" s="546"/>
      <c r="B39" s="546"/>
      <c r="C39" s="546"/>
      <c r="D39" s="546"/>
      <c r="E39" s="546"/>
      <c r="F39" s="546"/>
      <c r="G39" s="546"/>
      <c r="H39" s="546"/>
    </row>
    <row r="40" spans="1:8" ht="11.25">
      <c r="A40" s="546"/>
      <c r="B40" s="546"/>
      <c r="C40" s="546"/>
      <c r="D40" s="546"/>
      <c r="E40" s="546"/>
      <c r="F40" s="546"/>
      <c r="G40" s="546"/>
      <c r="H40" s="546"/>
    </row>
    <row r="41" spans="1:8" ht="11.25">
      <c r="A41" s="546"/>
      <c r="B41" s="546"/>
      <c r="C41" s="546"/>
      <c r="D41" s="546"/>
      <c r="E41" s="546"/>
      <c r="F41" s="546"/>
      <c r="G41" s="546"/>
      <c r="H41" s="546"/>
    </row>
    <row r="42" spans="1:8" ht="11.25">
      <c r="A42" s="546"/>
      <c r="B42" s="546"/>
      <c r="C42" s="546"/>
      <c r="D42" s="546"/>
      <c r="E42" s="546"/>
      <c r="F42" s="546"/>
      <c r="G42" s="546"/>
      <c r="H42" s="546"/>
    </row>
    <row r="43" spans="1:8" ht="11.25">
      <c r="A43" s="546"/>
      <c r="B43" s="546"/>
      <c r="C43" s="546"/>
      <c r="D43" s="546"/>
      <c r="E43" s="546"/>
      <c r="F43" s="546"/>
      <c r="G43" s="546"/>
      <c r="H43" s="546"/>
    </row>
    <row r="44" spans="1:8" ht="11.25">
      <c r="A44" s="546"/>
      <c r="B44" s="546"/>
      <c r="C44" s="546"/>
      <c r="D44" s="546"/>
      <c r="E44" s="546"/>
      <c r="F44" s="546"/>
      <c r="G44" s="546"/>
      <c r="H44" s="546"/>
    </row>
    <row r="45" spans="1:8" ht="11.25">
      <c r="A45" s="546"/>
      <c r="B45" s="546"/>
      <c r="C45" s="546"/>
      <c r="D45" s="546"/>
      <c r="E45" s="546"/>
      <c r="F45" s="546"/>
      <c r="G45" s="546"/>
      <c r="H45" s="546"/>
    </row>
    <row r="46" spans="1:8" ht="11.25">
      <c r="A46" s="546"/>
      <c r="B46" s="546"/>
      <c r="C46" s="546"/>
      <c r="D46" s="546"/>
      <c r="E46" s="546"/>
      <c r="F46" s="546"/>
      <c r="G46" s="546"/>
      <c r="H46" s="546"/>
    </row>
    <row r="47" spans="1:8" ht="11.25">
      <c r="A47" s="546"/>
      <c r="B47" s="546"/>
      <c r="C47" s="546"/>
      <c r="D47" s="546"/>
      <c r="E47" s="546"/>
      <c r="F47" s="546"/>
      <c r="G47" s="546"/>
      <c r="H47" s="546"/>
    </row>
    <row r="48" spans="1:8" ht="11.25">
      <c r="A48" s="546"/>
      <c r="B48" s="546"/>
      <c r="C48" s="546"/>
      <c r="D48" s="546"/>
      <c r="E48" s="546"/>
      <c r="F48" s="546"/>
      <c r="G48" s="546"/>
      <c r="H48" s="546"/>
    </row>
    <row r="49" spans="1:8" ht="11.25">
      <c r="A49" s="546"/>
      <c r="B49" s="546"/>
      <c r="C49" s="546"/>
      <c r="D49" s="546"/>
      <c r="E49" s="546"/>
      <c r="F49" s="546"/>
      <c r="G49" s="546"/>
      <c r="H49" s="546"/>
    </row>
    <row r="50" spans="1:8" ht="11.25">
      <c r="A50" s="546"/>
      <c r="B50" s="546"/>
      <c r="C50" s="546"/>
      <c r="D50" s="546"/>
      <c r="E50" s="546"/>
      <c r="F50" s="546"/>
      <c r="G50" s="546"/>
      <c r="H50" s="546"/>
    </row>
    <row r="51" spans="1:8" ht="11.25">
      <c r="A51" s="546"/>
      <c r="B51" s="546"/>
      <c r="C51" s="546"/>
      <c r="D51" s="546"/>
      <c r="E51" s="546"/>
      <c r="F51" s="546"/>
      <c r="G51" s="546"/>
      <c r="H51" s="546"/>
    </row>
    <row r="52" spans="1:8" ht="11.25">
      <c r="A52" s="546"/>
      <c r="B52" s="546"/>
      <c r="C52" s="546"/>
      <c r="D52" s="546"/>
      <c r="E52" s="546"/>
      <c r="F52" s="546"/>
      <c r="G52" s="546"/>
      <c r="H52" s="546"/>
    </row>
    <row r="53" spans="1:8" ht="11.25">
      <c r="A53" s="546"/>
      <c r="B53" s="546"/>
      <c r="C53" s="546"/>
      <c r="D53" s="546"/>
      <c r="E53" s="546"/>
      <c r="F53" s="546"/>
      <c r="G53" s="546"/>
      <c r="H53" s="546"/>
    </row>
    <row r="54" spans="1:8" ht="11.25">
      <c r="A54" s="546"/>
      <c r="B54" s="546"/>
      <c r="C54" s="546"/>
      <c r="D54" s="546"/>
      <c r="E54" s="546"/>
      <c r="F54" s="546"/>
      <c r="G54" s="546"/>
      <c r="H54" s="546"/>
    </row>
    <row r="55" spans="1:8" ht="11.25">
      <c r="A55" s="546"/>
      <c r="B55" s="546"/>
      <c r="C55" s="546"/>
      <c r="D55" s="546"/>
      <c r="E55" s="546"/>
      <c r="F55" s="546"/>
      <c r="G55" s="546"/>
      <c r="H55" s="546"/>
    </row>
    <row r="56" spans="1:8" ht="11.25">
      <c r="A56" s="546"/>
      <c r="B56" s="546"/>
      <c r="C56" s="546"/>
      <c r="D56" s="546"/>
      <c r="E56" s="546"/>
      <c r="F56" s="546"/>
      <c r="G56" s="546"/>
      <c r="H56" s="546"/>
    </row>
    <row r="57" spans="1:8" ht="11.25">
      <c r="A57" s="546"/>
      <c r="B57" s="546"/>
      <c r="C57" s="546"/>
      <c r="D57" s="546"/>
      <c r="E57" s="546"/>
      <c r="F57" s="546"/>
      <c r="G57" s="546"/>
      <c r="H57" s="546"/>
    </row>
    <row r="58" spans="1:8" ht="11.25">
      <c r="A58" s="546"/>
      <c r="B58" s="546"/>
      <c r="C58" s="546"/>
      <c r="D58" s="546"/>
      <c r="E58" s="546"/>
      <c r="F58" s="546"/>
      <c r="G58" s="546"/>
      <c r="H58" s="546"/>
    </row>
    <row r="59" spans="1:8" ht="11.25">
      <c r="A59" s="546"/>
      <c r="B59" s="546"/>
      <c r="C59" s="546"/>
      <c r="D59" s="546"/>
      <c r="E59" s="546"/>
      <c r="F59" s="546"/>
      <c r="G59" s="546"/>
      <c r="H59" s="546"/>
    </row>
    <row r="60" spans="1:8" ht="11.25">
      <c r="A60" s="546"/>
      <c r="B60" s="546"/>
      <c r="C60" s="546"/>
      <c r="D60" s="546"/>
      <c r="E60" s="546"/>
      <c r="F60" s="546"/>
      <c r="G60" s="546"/>
      <c r="H60" s="546"/>
    </row>
    <row r="61" spans="1:8" ht="11.25">
      <c r="A61" s="546"/>
      <c r="B61" s="546"/>
      <c r="C61" s="546"/>
      <c r="D61" s="546"/>
      <c r="E61" s="546"/>
      <c r="F61" s="546"/>
      <c r="G61" s="546"/>
      <c r="H61" s="546"/>
    </row>
    <row r="62" spans="1:8" ht="11.25">
      <c r="A62" s="546"/>
      <c r="B62" s="546"/>
      <c r="C62" s="546"/>
      <c r="D62" s="546"/>
      <c r="E62" s="546"/>
      <c r="F62" s="546"/>
      <c r="G62" s="546"/>
      <c r="H62" s="546"/>
    </row>
    <row r="63" spans="1:8" ht="11.25">
      <c r="A63" s="546"/>
      <c r="B63" s="546"/>
      <c r="C63" s="546"/>
      <c r="D63" s="546"/>
      <c r="E63" s="546"/>
      <c r="F63" s="546"/>
      <c r="G63" s="546"/>
      <c r="H63" s="546"/>
    </row>
    <row r="64" spans="1:8" ht="11.25">
      <c r="A64" s="546"/>
      <c r="B64" s="546"/>
      <c r="C64" s="546"/>
      <c r="D64" s="546"/>
      <c r="E64" s="546"/>
      <c r="F64" s="546"/>
      <c r="G64" s="546"/>
      <c r="H64" s="546"/>
    </row>
    <row r="65" spans="1:8" ht="11.25">
      <c r="A65" s="546"/>
      <c r="B65" s="546"/>
      <c r="C65" s="546"/>
      <c r="D65" s="546"/>
      <c r="E65" s="546"/>
      <c r="F65" s="546"/>
      <c r="G65" s="546"/>
      <c r="H65" s="546"/>
    </row>
    <row r="66" spans="1:8" ht="11.25">
      <c r="A66" s="546"/>
      <c r="B66" s="546"/>
      <c r="C66" s="546"/>
      <c r="D66" s="546"/>
      <c r="E66" s="546"/>
      <c r="F66" s="546"/>
      <c r="G66" s="546"/>
      <c r="H66" s="546"/>
    </row>
    <row r="67" spans="1:8" ht="11.25">
      <c r="A67" s="546"/>
      <c r="B67" s="546"/>
      <c r="C67" s="546"/>
      <c r="D67" s="546"/>
      <c r="E67" s="546"/>
      <c r="F67" s="546"/>
      <c r="G67" s="546"/>
      <c r="H67" s="546"/>
    </row>
    <row r="68" spans="1:8" ht="11.25">
      <c r="A68" s="546"/>
      <c r="B68" s="546"/>
      <c r="C68" s="546"/>
      <c r="D68" s="546"/>
      <c r="E68" s="546"/>
      <c r="F68" s="546"/>
      <c r="G68" s="546"/>
      <c r="H68" s="546"/>
    </row>
    <row r="69" spans="1:8" ht="11.25">
      <c r="A69" s="546"/>
      <c r="B69" s="546"/>
      <c r="C69" s="546"/>
      <c r="D69" s="546"/>
      <c r="E69" s="546"/>
      <c r="F69" s="546"/>
      <c r="G69" s="546"/>
      <c r="H69" s="546"/>
    </row>
    <row r="70" spans="1:8" ht="11.25">
      <c r="A70" s="546"/>
      <c r="B70" s="546"/>
      <c r="C70" s="546"/>
      <c r="D70" s="546"/>
      <c r="E70" s="546"/>
      <c r="F70" s="546"/>
      <c r="G70" s="546"/>
      <c r="H70" s="546"/>
    </row>
    <row r="71" spans="1:8" ht="11.25">
      <c r="A71" s="546"/>
      <c r="B71" s="546"/>
      <c r="C71" s="546"/>
      <c r="D71" s="546"/>
      <c r="E71" s="546"/>
      <c r="F71" s="546"/>
      <c r="G71" s="546"/>
      <c r="H71" s="546"/>
    </row>
    <row r="72" spans="1:8" ht="11.25">
      <c r="A72" s="546"/>
      <c r="B72" s="546"/>
      <c r="C72" s="546"/>
      <c r="D72" s="546"/>
      <c r="E72" s="546"/>
      <c r="F72" s="546"/>
      <c r="G72" s="546"/>
      <c r="H72" s="546"/>
    </row>
    <row r="73" spans="1:8" ht="11.25">
      <c r="A73" s="546"/>
      <c r="B73" s="546"/>
      <c r="C73" s="546"/>
      <c r="D73" s="546"/>
      <c r="E73" s="546"/>
      <c r="F73" s="546"/>
      <c r="G73" s="546"/>
      <c r="H73" s="546"/>
    </row>
    <row r="74" spans="1:8" ht="11.25">
      <c r="A74" s="546"/>
      <c r="B74" s="546"/>
      <c r="C74" s="546"/>
      <c r="D74" s="546"/>
      <c r="E74" s="546"/>
      <c r="F74" s="546"/>
      <c r="G74" s="546"/>
      <c r="H74" s="546"/>
    </row>
    <row r="75" spans="1:8" ht="11.25">
      <c r="A75" s="546"/>
      <c r="B75" s="546"/>
      <c r="C75" s="546"/>
      <c r="D75" s="546"/>
      <c r="E75" s="546"/>
      <c r="F75" s="546"/>
      <c r="G75" s="546"/>
      <c r="H75" s="546"/>
    </row>
    <row r="76" spans="1:8" ht="11.25">
      <c r="A76" s="546"/>
      <c r="B76" s="546"/>
      <c r="C76" s="546"/>
      <c r="D76" s="546"/>
      <c r="E76" s="546"/>
      <c r="F76" s="546"/>
      <c r="G76" s="546"/>
      <c r="H76" s="546"/>
    </row>
    <row r="77" spans="1:8" ht="11.25">
      <c r="A77" s="546"/>
      <c r="B77" s="546"/>
      <c r="C77" s="546"/>
      <c r="D77" s="546"/>
      <c r="E77" s="546"/>
      <c r="F77" s="546"/>
      <c r="G77" s="546"/>
      <c r="H77" s="546"/>
    </row>
    <row r="78" spans="1:8" ht="11.25">
      <c r="A78" s="546"/>
      <c r="B78" s="546"/>
      <c r="C78" s="546"/>
      <c r="D78" s="546"/>
      <c r="E78" s="546"/>
      <c r="F78" s="546"/>
      <c r="G78" s="546"/>
      <c r="H78" s="546"/>
    </row>
    <row r="79" spans="1:8" ht="11.25">
      <c r="A79" s="546"/>
      <c r="B79" s="546"/>
      <c r="C79" s="546"/>
      <c r="D79" s="546"/>
      <c r="E79" s="546"/>
      <c r="F79" s="546"/>
      <c r="G79" s="546"/>
      <c r="H79" s="546"/>
    </row>
    <row r="80" spans="1:8" ht="11.25">
      <c r="A80" s="546"/>
      <c r="B80" s="546"/>
      <c r="C80" s="546"/>
      <c r="D80" s="546"/>
      <c r="E80" s="546"/>
      <c r="F80" s="546"/>
      <c r="G80" s="546"/>
      <c r="H80" s="546"/>
    </row>
    <row r="81" spans="1:8" ht="11.25">
      <c r="A81" s="546"/>
      <c r="B81" s="546"/>
      <c r="C81" s="546"/>
      <c r="D81" s="546"/>
      <c r="E81" s="546"/>
      <c r="F81" s="546"/>
      <c r="G81" s="546"/>
      <c r="H81" s="546"/>
    </row>
    <row r="82" spans="1:8" ht="11.25">
      <c r="A82" s="546"/>
      <c r="B82" s="546"/>
      <c r="C82" s="546"/>
      <c r="D82" s="546"/>
      <c r="E82" s="546"/>
      <c r="F82" s="546"/>
      <c r="G82" s="546"/>
      <c r="H82" s="546"/>
    </row>
    <row r="83" spans="1:8" ht="11.25">
      <c r="A83" s="546"/>
      <c r="B83" s="546"/>
      <c r="C83" s="546"/>
      <c r="D83" s="546"/>
      <c r="E83" s="546"/>
      <c r="F83" s="546"/>
      <c r="G83" s="546"/>
      <c r="H83" s="546"/>
    </row>
    <row r="84" spans="1:8" ht="11.25">
      <c r="A84" s="546"/>
      <c r="B84" s="546"/>
      <c r="C84" s="546"/>
      <c r="D84" s="546"/>
      <c r="E84" s="546"/>
      <c r="F84" s="546"/>
      <c r="G84" s="546"/>
      <c r="H84" s="546"/>
    </row>
    <row r="85" spans="1:8" ht="11.25">
      <c r="A85" s="546"/>
      <c r="B85" s="546"/>
      <c r="C85" s="546"/>
      <c r="D85" s="546"/>
      <c r="E85" s="546"/>
      <c r="F85" s="546"/>
      <c r="G85" s="546"/>
      <c r="H85" s="546"/>
    </row>
    <row r="86" spans="1:8" ht="11.25">
      <c r="A86" s="546"/>
      <c r="B86" s="546"/>
      <c r="C86" s="546"/>
      <c r="D86" s="546"/>
      <c r="E86" s="546"/>
      <c r="F86" s="546"/>
      <c r="G86" s="546"/>
      <c r="H86" s="546"/>
    </row>
    <row r="87" spans="1:8" ht="11.25">
      <c r="A87" s="546"/>
      <c r="B87" s="546"/>
      <c r="C87" s="546"/>
      <c r="D87" s="546"/>
      <c r="E87" s="546"/>
      <c r="F87" s="546"/>
      <c r="G87" s="546"/>
      <c r="H87" s="546"/>
    </row>
    <row r="88" spans="1:8" ht="11.25">
      <c r="A88" s="546"/>
      <c r="B88" s="546"/>
      <c r="C88" s="546"/>
      <c r="D88" s="546"/>
      <c r="E88" s="546"/>
      <c r="F88" s="546"/>
      <c r="G88" s="546"/>
      <c r="H88" s="546"/>
    </row>
    <row r="89" spans="1:8" ht="11.25">
      <c r="A89" s="546"/>
      <c r="B89" s="546"/>
      <c r="C89" s="546"/>
      <c r="D89" s="546"/>
      <c r="E89" s="546"/>
      <c r="F89" s="546"/>
      <c r="G89" s="546"/>
      <c r="H89" s="546"/>
    </row>
    <row r="90" spans="1:8" ht="11.25">
      <c r="A90" s="546"/>
      <c r="B90" s="546"/>
      <c r="C90" s="546"/>
      <c r="D90" s="546"/>
      <c r="E90" s="546"/>
      <c r="F90" s="546"/>
      <c r="G90" s="546"/>
      <c r="H90" s="546"/>
    </row>
    <row r="91" spans="1:8" ht="11.25">
      <c r="A91" s="546"/>
      <c r="B91" s="546"/>
      <c r="C91" s="546"/>
      <c r="D91" s="546"/>
      <c r="E91" s="546"/>
      <c r="F91" s="546"/>
      <c r="G91" s="546"/>
      <c r="H91" s="546"/>
    </row>
    <row r="92" spans="1:8" ht="11.25">
      <c r="A92" s="546"/>
      <c r="B92" s="546"/>
      <c r="C92" s="546"/>
      <c r="D92" s="546"/>
      <c r="E92" s="546"/>
      <c r="F92" s="546"/>
      <c r="G92" s="546"/>
      <c r="H92" s="546"/>
    </row>
    <row r="93" spans="1:8" ht="11.25">
      <c r="A93" s="546"/>
      <c r="B93" s="546"/>
      <c r="C93" s="546"/>
      <c r="D93" s="546"/>
      <c r="E93" s="546"/>
      <c r="F93" s="546"/>
      <c r="G93" s="546"/>
      <c r="H93" s="546"/>
    </row>
    <row r="94" spans="1:8" ht="11.25">
      <c r="A94" s="546"/>
      <c r="B94" s="546"/>
      <c r="C94" s="546"/>
      <c r="D94" s="546"/>
      <c r="E94" s="546"/>
      <c r="F94" s="546"/>
      <c r="G94" s="546"/>
      <c r="H94" s="546"/>
    </row>
    <row r="95" spans="1:8" ht="11.25">
      <c r="A95" s="546"/>
      <c r="B95" s="546"/>
      <c r="C95" s="546"/>
      <c r="D95" s="546"/>
      <c r="E95" s="546"/>
      <c r="F95" s="546"/>
      <c r="G95" s="546"/>
      <c r="H95" s="546"/>
    </row>
    <row r="96" spans="1:8" ht="11.25">
      <c r="A96" s="546"/>
      <c r="B96" s="546"/>
      <c r="C96" s="546"/>
      <c r="D96" s="546"/>
      <c r="E96" s="546"/>
      <c r="F96" s="546"/>
      <c r="G96" s="546"/>
      <c r="H96" s="546"/>
    </row>
    <row r="97" spans="1:8" ht="11.25">
      <c r="A97" s="546"/>
      <c r="B97" s="546"/>
      <c r="C97" s="546"/>
      <c r="D97" s="546"/>
      <c r="E97" s="546"/>
      <c r="F97" s="546"/>
      <c r="G97" s="546"/>
      <c r="H97" s="546"/>
    </row>
    <row r="98" spans="1:8" ht="11.25">
      <c r="A98" s="546"/>
      <c r="B98" s="546"/>
      <c r="C98" s="546"/>
      <c r="D98" s="546"/>
      <c r="E98" s="546"/>
      <c r="F98" s="546"/>
      <c r="G98" s="546"/>
      <c r="H98" s="546"/>
    </row>
    <row r="99" spans="1:8" ht="11.25">
      <c r="A99" s="546"/>
      <c r="B99" s="546"/>
      <c r="C99" s="546"/>
      <c r="D99" s="546"/>
      <c r="E99" s="546"/>
      <c r="F99" s="546"/>
      <c r="G99" s="546"/>
      <c r="H99" s="546"/>
    </row>
    <row r="100" spans="1:8" ht="11.25">
      <c r="A100" s="546"/>
      <c r="B100" s="546"/>
      <c r="C100" s="546"/>
      <c r="D100" s="546"/>
      <c r="E100" s="546"/>
      <c r="F100" s="546"/>
      <c r="G100" s="546"/>
      <c r="H100" s="546"/>
    </row>
    <row r="101" spans="1:8" ht="11.25">
      <c r="A101" s="546"/>
      <c r="B101" s="546"/>
      <c r="C101" s="546"/>
      <c r="D101" s="546"/>
      <c r="E101" s="546"/>
      <c r="F101" s="546"/>
      <c r="G101" s="546"/>
      <c r="H101" s="546"/>
    </row>
    <row r="102" spans="1:8" ht="11.25">
      <c r="A102" s="546"/>
      <c r="B102" s="546"/>
      <c r="C102" s="546"/>
      <c r="D102" s="546"/>
      <c r="E102" s="546"/>
      <c r="F102" s="546"/>
      <c r="G102" s="546"/>
      <c r="H102" s="546"/>
    </row>
    <row r="103" spans="1:8" ht="11.25">
      <c r="A103" s="546"/>
      <c r="B103" s="546"/>
      <c r="C103" s="546"/>
      <c r="D103" s="546"/>
      <c r="E103" s="546"/>
      <c r="F103" s="546"/>
      <c r="G103" s="546"/>
      <c r="H103" s="546"/>
    </row>
    <row r="104" spans="1:8" ht="11.25">
      <c r="A104" s="546"/>
      <c r="B104" s="546"/>
      <c r="C104" s="546"/>
      <c r="D104" s="546"/>
      <c r="E104" s="546"/>
      <c r="F104" s="546"/>
      <c r="G104" s="546"/>
      <c r="H104" s="546"/>
    </row>
    <row r="105" spans="1:8" ht="11.25">
      <c r="A105" s="546"/>
      <c r="B105" s="546"/>
      <c r="C105" s="546"/>
      <c r="D105" s="546"/>
      <c r="E105" s="546"/>
      <c r="F105" s="546"/>
      <c r="G105" s="546"/>
      <c r="H105" s="546"/>
    </row>
    <row r="106" spans="1:8" ht="11.25">
      <c r="A106" s="546"/>
      <c r="B106" s="546"/>
      <c r="C106" s="546"/>
      <c r="D106" s="546"/>
      <c r="E106" s="546"/>
      <c r="F106" s="546"/>
      <c r="G106" s="546"/>
      <c r="H106" s="546"/>
    </row>
    <row r="107" spans="1:8" ht="11.25">
      <c r="A107" s="546"/>
      <c r="B107" s="546"/>
      <c r="C107" s="546"/>
      <c r="D107" s="546"/>
      <c r="E107" s="546"/>
      <c r="F107" s="546"/>
      <c r="G107" s="546"/>
      <c r="H107" s="546"/>
    </row>
    <row r="108" spans="1:8" ht="11.25">
      <c r="A108" s="546"/>
      <c r="B108" s="546"/>
      <c r="C108" s="546"/>
      <c r="D108" s="546"/>
      <c r="E108" s="546"/>
      <c r="F108" s="546"/>
      <c r="G108" s="546"/>
      <c r="H108" s="546"/>
    </row>
    <row r="109" spans="1:8" ht="11.25">
      <c r="A109" s="546"/>
      <c r="B109" s="546"/>
      <c r="C109" s="546"/>
      <c r="D109" s="546"/>
      <c r="E109" s="546"/>
      <c r="F109" s="546"/>
      <c r="G109" s="546"/>
      <c r="H109" s="546"/>
    </row>
    <row r="110" spans="1:8" ht="11.25">
      <c r="A110" s="546"/>
      <c r="B110" s="546"/>
      <c r="C110" s="546"/>
      <c r="D110" s="546"/>
      <c r="E110" s="546"/>
      <c r="F110" s="546"/>
      <c r="G110" s="546"/>
      <c r="H110" s="546"/>
    </row>
    <row r="111" spans="1:8" ht="11.25">
      <c r="A111" s="546"/>
      <c r="B111" s="546"/>
      <c r="C111" s="546"/>
      <c r="D111" s="546"/>
      <c r="E111" s="546"/>
      <c r="F111" s="546"/>
      <c r="G111" s="546"/>
      <c r="H111" s="546"/>
    </row>
    <row r="112" spans="1:8" ht="11.25">
      <c r="A112" s="546"/>
      <c r="B112" s="546"/>
      <c r="C112" s="546"/>
      <c r="D112" s="546"/>
      <c r="E112" s="546"/>
      <c r="F112" s="546"/>
      <c r="G112" s="546"/>
      <c r="H112" s="546"/>
    </row>
    <row r="113" spans="1:8" ht="11.25">
      <c r="A113" s="546"/>
      <c r="B113" s="546"/>
      <c r="C113" s="546"/>
      <c r="D113" s="546"/>
      <c r="E113" s="546"/>
      <c r="F113" s="546"/>
      <c r="G113" s="546"/>
      <c r="H113" s="546"/>
    </row>
    <row r="114" spans="1:8" ht="11.25">
      <c r="A114" s="546"/>
      <c r="B114" s="546"/>
      <c r="C114" s="546"/>
      <c r="D114" s="546"/>
      <c r="E114" s="546"/>
      <c r="F114" s="546"/>
      <c r="G114" s="546"/>
      <c r="H114" s="546"/>
    </row>
    <row r="115" spans="1:8" ht="11.25">
      <c r="A115" s="546"/>
      <c r="B115" s="546"/>
      <c r="C115" s="546"/>
      <c r="D115" s="546"/>
      <c r="E115" s="546"/>
      <c r="F115" s="546"/>
      <c r="G115" s="546"/>
      <c r="H115" s="546"/>
    </row>
    <row r="116" spans="1:8" ht="11.25">
      <c r="A116" s="546"/>
      <c r="B116" s="546"/>
      <c r="C116" s="546"/>
      <c r="D116" s="546"/>
      <c r="E116" s="546"/>
      <c r="F116" s="546"/>
      <c r="G116" s="546"/>
      <c r="H116" s="546"/>
    </row>
    <row r="117" spans="1:8" ht="11.25">
      <c r="A117" s="546"/>
      <c r="B117" s="546"/>
      <c r="C117" s="546"/>
      <c r="D117" s="546"/>
      <c r="E117" s="546"/>
      <c r="F117" s="546"/>
      <c r="G117" s="546"/>
      <c r="H117" s="546"/>
    </row>
    <row r="118" spans="1:8" ht="11.25">
      <c r="A118" s="546"/>
      <c r="B118" s="546"/>
      <c r="C118" s="546"/>
      <c r="D118" s="546"/>
      <c r="E118" s="546"/>
      <c r="F118" s="546"/>
      <c r="G118" s="546"/>
      <c r="H118" s="546"/>
    </row>
    <row r="119" spans="1:8" ht="11.25">
      <c r="A119" s="546"/>
      <c r="B119" s="546"/>
      <c r="C119" s="546"/>
      <c r="D119" s="546"/>
      <c r="E119" s="546"/>
      <c r="F119" s="546"/>
      <c r="G119" s="546"/>
      <c r="H119" s="546"/>
    </row>
    <row r="120" spans="1:8" ht="11.25">
      <c r="A120" s="546"/>
      <c r="B120" s="546"/>
      <c r="C120" s="546"/>
      <c r="D120" s="546"/>
      <c r="E120" s="546"/>
      <c r="F120" s="546"/>
      <c r="G120" s="546"/>
      <c r="H120" s="546"/>
    </row>
    <row r="121" spans="1:8" ht="11.25">
      <c r="A121" s="546"/>
      <c r="B121" s="546"/>
      <c r="C121" s="546"/>
      <c r="D121" s="546"/>
      <c r="E121" s="546"/>
      <c r="F121" s="546"/>
      <c r="G121" s="546"/>
      <c r="H121" s="546"/>
    </row>
    <row r="122" spans="1:8" ht="11.25">
      <c r="A122" s="546"/>
      <c r="B122" s="546"/>
      <c r="C122" s="546"/>
      <c r="D122" s="546"/>
      <c r="E122" s="546"/>
      <c r="F122" s="546"/>
      <c r="G122" s="546"/>
      <c r="H122" s="546"/>
    </row>
    <row r="123" spans="1:8" ht="11.25">
      <c r="A123" s="546"/>
      <c r="B123" s="546"/>
      <c r="C123" s="546"/>
      <c r="D123" s="546"/>
      <c r="E123" s="546"/>
      <c r="F123" s="546"/>
      <c r="G123" s="546"/>
      <c r="H123" s="546"/>
    </row>
    <row r="124" spans="1:8" ht="11.25">
      <c r="A124" s="546"/>
      <c r="B124" s="546"/>
      <c r="C124" s="546"/>
      <c r="D124" s="546"/>
      <c r="E124" s="546"/>
      <c r="F124" s="546"/>
      <c r="G124" s="546"/>
      <c r="H124" s="546"/>
    </row>
    <row r="125" spans="1:8" ht="11.25">
      <c r="A125" s="546"/>
      <c r="B125" s="546"/>
      <c r="C125" s="546"/>
      <c r="D125" s="546"/>
      <c r="E125" s="546"/>
      <c r="F125" s="546"/>
      <c r="G125" s="546"/>
      <c r="H125" s="546"/>
    </row>
    <row r="126" spans="1:8" ht="11.25">
      <c r="A126" s="546"/>
      <c r="B126" s="546"/>
      <c r="C126" s="546"/>
      <c r="D126" s="546"/>
      <c r="E126" s="546"/>
      <c r="F126" s="546"/>
      <c r="G126" s="546"/>
      <c r="H126" s="546"/>
    </row>
    <row r="127" spans="1:8" ht="11.25">
      <c r="A127" s="546"/>
      <c r="B127" s="546"/>
      <c r="C127" s="546"/>
      <c r="D127" s="546"/>
      <c r="E127" s="546"/>
      <c r="F127" s="546"/>
      <c r="G127" s="546"/>
      <c r="H127" s="546"/>
    </row>
    <row r="128" spans="1:8" ht="11.25">
      <c r="A128" s="546"/>
      <c r="B128" s="546"/>
      <c r="C128" s="546"/>
      <c r="D128" s="546"/>
      <c r="E128" s="546"/>
      <c r="F128" s="546"/>
      <c r="G128" s="546"/>
      <c r="H128" s="546"/>
    </row>
  </sheetData>
  <mergeCells count="4">
    <mergeCell ref="A5:C5"/>
    <mergeCell ref="A7:C7"/>
    <mergeCell ref="A9:C9"/>
    <mergeCell ref="A11:C11"/>
  </mergeCells>
  <printOptions horizontalCentered="1"/>
  <pageMargins left="0.5" right="0.5" top="0.75" bottom="0.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L84"/>
  <sheetViews>
    <sheetView zoomScaleNormal="100" zoomScaleSheetLayoutView="100" workbookViewId="0">
      <selection activeCell="A4" sqref="A4:I4"/>
    </sheetView>
  </sheetViews>
  <sheetFormatPr defaultColWidth="11.33203125" defaultRowHeight="10.5"/>
  <cols>
    <col min="1" max="1" width="6.6640625" style="1101" customWidth="1"/>
    <col min="2" max="2" width="1.83203125" style="1101" customWidth="1"/>
    <col min="3" max="3" width="53.33203125" style="1101" customWidth="1"/>
    <col min="4" max="4" width="1.83203125" style="1101" customWidth="1"/>
    <col min="5" max="5" width="25.5" style="1101" bestFit="1" customWidth="1"/>
    <col min="6" max="6" width="1.83203125" style="1101" customWidth="1"/>
    <col min="7" max="7" width="22.1640625" style="1101" customWidth="1"/>
    <col min="8" max="8" width="1.83203125" style="1101" customWidth="1"/>
    <col min="9" max="9" width="23.33203125" style="1101" customWidth="1"/>
    <col min="10" max="10" width="11.33203125" style="1101"/>
    <col min="11" max="11" width="13.6640625" style="1101" bestFit="1" customWidth="1"/>
    <col min="12" max="12" width="16" style="1101" customWidth="1"/>
    <col min="13" max="16384" width="11.33203125" style="1101"/>
  </cols>
  <sheetData>
    <row r="1" spans="1:11" ht="12.75">
      <c r="A1" s="1345" t="str">
        <f>'General Headers Index'!B4</f>
        <v>COLUMBIA GAS OF KENTUCKY, INC.</v>
      </c>
      <c r="B1" s="1345"/>
      <c r="C1" s="1345"/>
      <c r="D1" s="1345"/>
      <c r="E1" s="1345"/>
      <c r="F1" s="1345"/>
      <c r="G1" s="1345"/>
      <c r="H1" s="1345"/>
      <c r="I1" s="1345"/>
      <c r="J1" s="720"/>
    </row>
    <row r="2" spans="1:11" ht="12.75">
      <c r="A2" s="1345" t="str">
        <f>'General Headers Index'!B6</f>
        <v>CASE NO. 2024 - 00092</v>
      </c>
      <c r="B2" s="1345"/>
      <c r="C2" s="1345"/>
      <c r="D2" s="1345"/>
      <c r="E2" s="1345"/>
      <c r="F2" s="1345"/>
      <c r="G2" s="1345"/>
      <c r="H2" s="1345"/>
      <c r="I2" s="1345"/>
      <c r="J2" s="720"/>
    </row>
    <row r="3" spans="1:11" ht="12.75">
      <c r="A3" s="1345" t="str">
        <f>'Index H'!$C$23</f>
        <v>GROSS REVENUE CONVERSION FACTOR</v>
      </c>
      <c r="B3" s="1345"/>
      <c r="C3" s="1345"/>
      <c r="D3" s="1345"/>
      <c r="E3" s="1345"/>
      <c r="F3" s="1345"/>
      <c r="G3" s="1345"/>
      <c r="H3" s="1345"/>
      <c r="I3" s="1345"/>
      <c r="J3" s="720"/>
    </row>
    <row r="4" spans="1:11" ht="12.75">
      <c r="A4" s="1345" t="str">
        <f>'General Headers Index'!B15</f>
        <v>FOR THE TWELVE MONTHS ENDED DECEMBER 31, 2025</v>
      </c>
      <c r="B4" s="1345"/>
      <c r="C4" s="1345"/>
      <c r="D4" s="1345"/>
      <c r="E4" s="1345"/>
      <c r="F4" s="1345"/>
      <c r="G4" s="1345"/>
      <c r="H4" s="1345"/>
      <c r="I4" s="1345"/>
      <c r="J4" s="720"/>
    </row>
    <row r="5" spans="1:11" ht="12.75">
      <c r="A5" s="721"/>
      <c r="B5" s="721"/>
      <c r="C5" s="721"/>
      <c r="D5" s="721"/>
      <c r="E5" s="721"/>
      <c r="F5" s="721"/>
      <c r="G5" s="721"/>
      <c r="H5" s="721"/>
      <c r="I5" s="721"/>
      <c r="J5" s="720"/>
    </row>
    <row r="6" spans="1:11" ht="12.75">
      <c r="A6" s="721"/>
      <c r="B6" s="721"/>
      <c r="C6" s="721"/>
      <c r="D6" s="721"/>
      <c r="E6" s="721"/>
      <c r="F6" s="721"/>
      <c r="G6" s="721"/>
      <c r="H6" s="721"/>
      <c r="I6" s="721"/>
      <c r="J6" s="720"/>
    </row>
    <row r="7" spans="1:11" ht="12.75">
      <c r="A7" s="617" t="s">
        <v>2840</v>
      </c>
      <c r="B7" s="617"/>
      <c r="C7" s="721"/>
      <c r="D7" s="721"/>
      <c r="E7" s="721"/>
      <c r="F7" s="721"/>
      <c r="G7" s="720"/>
      <c r="H7" s="721"/>
      <c r="I7" s="722" t="s">
        <v>99</v>
      </c>
      <c r="J7" s="720"/>
    </row>
    <row r="8" spans="1:11" ht="12.75">
      <c r="A8" s="617" t="str">
        <f>'General Headers Index'!B37</f>
        <v>TYPE OF FILING:___X___ORIGINAL______UPDATED</v>
      </c>
      <c r="B8" s="617"/>
      <c r="C8" s="721"/>
      <c r="D8" s="721"/>
      <c r="E8" s="721"/>
      <c r="F8" s="721"/>
      <c r="G8" s="720"/>
      <c r="H8" s="721"/>
      <c r="I8" s="722" t="s">
        <v>722</v>
      </c>
      <c r="J8" s="720"/>
    </row>
    <row r="9" spans="1:11" ht="12.75">
      <c r="A9" s="617" t="s">
        <v>100</v>
      </c>
      <c r="B9" s="617"/>
      <c r="C9" s="721"/>
      <c r="D9" s="721"/>
      <c r="E9" s="721"/>
      <c r="F9" s="721"/>
      <c r="G9" s="720"/>
      <c r="H9" s="721"/>
      <c r="I9" s="722" t="str">
        <f>"WITNESS: "&amp;'General Headers Index'!$B$63</f>
        <v>WITNESS: SHAEFFER</v>
      </c>
      <c r="J9" s="720"/>
    </row>
    <row r="10" spans="1:11" ht="12.75">
      <c r="A10" s="617"/>
      <c r="B10" s="617"/>
      <c r="C10" s="721"/>
      <c r="D10" s="721"/>
      <c r="E10" s="721"/>
      <c r="F10" s="721"/>
      <c r="G10" s="720"/>
      <c r="H10" s="721"/>
      <c r="I10" s="722"/>
      <c r="J10" s="720"/>
    </row>
    <row r="11" spans="1:11" ht="12.75">
      <c r="A11" s="723"/>
      <c r="B11" s="723"/>
      <c r="C11" s="724"/>
      <c r="D11" s="724"/>
      <c r="E11" s="724"/>
      <c r="F11" s="724"/>
      <c r="G11" s="725" t="s">
        <v>502</v>
      </c>
      <c r="H11" s="724"/>
      <c r="I11" s="725" t="s">
        <v>688</v>
      </c>
      <c r="J11" s="720"/>
    </row>
    <row r="12" spans="1:11" s="1102" customFormat="1" ht="12.75">
      <c r="A12" s="616"/>
      <c r="B12" s="616"/>
      <c r="C12" s="616"/>
      <c r="D12" s="616"/>
      <c r="F12" s="616"/>
      <c r="G12" s="616" t="s">
        <v>101</v>
      </c>
      <c r="H12" s="616"/>
      <c r="I12" s="616" t="s">
        <v>101</v>
      </c>
      <c r="J12" s="726"/>
    </row>
    <row r="13" spans="1:11" s="1102" customFormat="1" ht="12.75">
      <c r="A13" s="616" t="s">
        <v>313</v>
      </c>
      <c r="B13" s="616"/>
      <c r="C13" s="616"/>
      <c r="D13" s="616"/>
      <c r="E13" s="616"/>
      <c r="F13" s="616"/>
      <c r="G13" s="616" t="s">
        <v>102</v>
      </c>
      <c r="H13" s="616"/>
      <c r="I13" s="616" t="s">
        <v>102</v>
      </c>
      <c r="J13" s="726"/>
      <c r="K13" s="727"/>
    </row>
    <row r="14" spans="1:11" s="1102" customFormat="1" ht="12.75">
      <c r="A14" s="1103" t="s">
        <v>316</v>
      </c>
      <c r="B14" s="1103"/>
      <c r="C14" s="1104" t="s">
        <v>451</v>
      </c>
      <c r="D14" s="1103"/>
      <c r="E14" s="1103" t="s">
        <v>318</v>
      </c>
      <c r="F14" s="1105"/>
      <c r="G14" s="1103" t="s">
        <v>103</v>
      </c>
      <c r="H14" s="1105"/>
      <c r="I14" s="1103" t="s">
        <v>103</v>
      </c>
      <c r="J14" s="726"/>
      <c r="K14" s="728"/>
    </row>
    <row r="15" spans="1:11" s="1102" customFormat="1" ht="12.75">
      <c r="A15" s="256"/>
      <c r="B15" s="256"/>
      <c r="C15" s="256"/>
      <c r="D15" s="256"/>
      <c r="E15" s="256"/>
      <c r="F15" s="256"/>
      <c r="G15" s="256" t="s">
        <v>532</v>
      </c>
      <c r="H15" s="256"/>
      <c r="I15" s="256" t="s">
        <v>541</v>
      </c>
      <c r="J15" s="726"/>
      <c r="K15" s="728"/>
    </row>
    <row r="16" spans="1:11" ht="12.75">
      <c r="A16" s="722"/>
      <c r="B16" s="721"/>
      <c r="C16" s="721"/>
      <c r="D16" s="721"/>
      <c r="E16" s="721"/>
      <c r="F16" s="721"/>
      <c r="G16" s="721"/>
      <c r="H16" s="721"/>
      <c r="I16" s="721"/>
      <c r="J16" s="720"/>
      <c r="K16" s="727"/>
    </row>
    <row r="17" spans="1:12" ht="12.75">
      <c r="A17" s="616" t="s">
        <v>321</v>
      </c>
      <c r="B17" s="616"/>
      <c r="C17" s="617" t="s">
        <v>746</v>
      </c>
      <c r="D17" s="721"/>
      <c r="E17" s="721"/>
      <c r="F17" s="721"/>
      <c r="G17" s="729">
        <v>1</v>
      </c>
      <c r="H17" s="721"/>
      <c r="I17" s="729">
        <v>1</v>
      </c>
      <c r="J17" s="720"/>
      <c r="K17" s="1012"/>
      <c r="L17" s="727"/>
    </row>
    <row r="18" spans="1:12" ht="12.75">
      <c r="A18" s="616"/>
      <c r="B18" s="721"/>
      <c r="C18" s="721"/>
      <c r="D18" s="721"/>
      <c r="E18" s="721"/>
      <c r="F18" s="721"/>
      <c r="G18" s="721"/>
      <c r="H18" s="721"/>
      <c r="I18" s="721"/>
      <c r="J18" s="720"/>
      <c r="K18" s="727"/>
      <c r="L18" s="727"/>
    </row>
    <row r="19" spans="1:12" ht="12.75">
      <c r="A19" s="616" t="s">
        <v>324</v>
      </c>
      <c r="B19" s="616"/>
      <c r="C19" s="617" t="s">
        <v>104</v>
      </c>
      <c r="D19" s="721"/>
      <c r="E19" s="721" t="str">
        <f>'WPD-2.6.D(2) Uncollectible Rate'!I7</f>
        <v>Workpaper WPD-2.6.D(2)</v>
      </c>
      <c r="F19" s="721"/>
      <c r="G19" s="729">
        <f>I19</f>
        <v>4.1700000000000001E-3</v>
      </c>
      <c r="H19" s="721"/>
      <c r="I19" s="729">
        <f>'WPD-2.6.D(2) Uncollectible Rate'!C27</f>
        <v>4.1700000000000001E-3</v>
      </c>
      <c r="J19" s="720"/>
      <c r="K19" s="1012"/>
      <c r="L19" s="727"/>
    </row>
    <row r="20" spans="1:12" ht="12.75">
      <c r="A20" s="616"/>
      <c r="B20" s="721"/>
      <c r="C20" s="721"/>
      <c r="D20" s="721"/>
      <c r="E20" s="721"/>
      <c r="F20" s="721"/>
      <c r="G20" s="721"/>
      <c r="H20" s="721"/>
      <c r="I20" s="721"/>
      <c r="J20" s="720"/>
      <c r="K20" s="1106"/>
      <c r="L20" s="727"/>
    </row>
    <row r="21" spans="1:12" ht="12.75">
      <c r="A21" s="616" t="s">
        <v>327</v>
      </c>
      <c r="B21" s="616"/>
      <c r="C21" s="617" t="s">
        <v>105</v>
      </c>
      <c r="D21" s="721"/>
      <c r="E21" s="721"/>
      <c r="F21" s="721"/>
      <c r="G21" s="1107">
        <f>I21</f>
        <v>1.302E-3</v>
      </c>
      <c r="H21" s="721"/>
      <c r="I21" s="1107">
        <v>1.302E-3</v>
      </c>
      <c r="J21" s="720"/>
      <c r="K21" s="1108"/>
      <c r="L21" s="417"/>
    </row>
    <row r="22" spans="1:12" ht="12.75">
      <c r="A22" s="616"/>
      <c r="B22" s="721"/>
      <c r="C22" s="721"/>
      <c r="D22" s="721"/>
      <c r="E22" s="721"/>
      <c r="F22" s="721"/>
      <c r="G22" s="721"/>
      <c r="H22" s="721"/>
      <c r="I22" s="721"/>
      <c r="J22" s="720"/>
      <c r="K22" s="1106"/>
    </row>
    <row r="23" spans="1:12" ht="12.75">
      <c r="A23" s="616" t="s">
        <v>330</v>
      </c>
      <c r="B23" s="616"/>
      <c r="C23" s="617" t="s">
        <v>106</v>
      </c>
      <c r="D23" s="721"/>
      <c r="E23" s="721"/>
      <c r="F23" s="721"/>
      <c r="G23" s="729">
        <f>G17-G19-G21</f>
        <v>0.99452799999999997</v>
      </c>
      <c r="H23" s="721"/>
      <c r="I23" s="729">
        <f>I17-I19-I21</f>
        <v>0.99452799999999997</v>
      </c>
      <c r="J23" s="720"/>
      <c r="K23" s="730"/>
    </row>
    <row r="24" spans="1:12" ht="12.75">
      <c r="A24" s="616"/>
      <c r="B24" s="721"/>
      <c r="C24" s="721"/>
      <c r="D24" s="721"/>
      <c r="E24" s="721"/>
      <c r="F24" s="721"/>
      <c r="G24" s="721"/>
      <c r="H24" s="721"/>
      <c r="I24" s="721"/>
      <c r="J24" s="720"/>
      <c r="K24" s="727"/>
    </row>
    <row r="25" spans="1:12" ht="12.75">
      <c r="A25" s="616" t="s">
        <v>333</v>
      </c>
      <c r="B25" s="616"/>
      <c r="C25" s="617" t="s">
        <v>107</v>
      </c>
      <c r="D25" s="721"/>
      <c r="E25" s="731">
        <v>0.05</v>
      </c>
      <c r="F25" s="721"/>
      <c r="G25" s="1107">
        <f>ROUND(G23*E25,8)</f>
        <v>4.9726399999999997E-2</v>
      </c>
      <c r="H25" s="721"/>
      <c r="I25" s="1107">
        <f>ROUND(I23*E25,8)</f>
        <v>4.9726399999999997E-2</v>
      </c>
      <c r="J25" s="720"/>
      <c r="K25" s="1106"/>
    </row>
    <row r="26" spans="1:12" ht="12.75">
      <c r="A26" s="616"/>
      <c r="B26" s="721"/>
      <c r="C26" s="721"/>
      <c r="D26" s="721"/>
      <c r="E26" s="721"/>
      <c r="F26" s="721"/>
      <c r="G26" s="721"/>
      <c r="H26" s="721"/>
      <c r="I26" s="721"/>
      <c r="J26" s="720"/>
      <c r="K26" s="727"/>
    </row>
    <row r="27" spans="1:12" ht="12.75">
      <c r="A27" s="616" t="s">
        <v>335</v>
      </c>
      <c r="B27" s="616"/>
      <c r="C27" s="617" t="s">
        <v>108</v>
      </c>
      <c r="D27" s="721"/>
      <c r="E27" s="721"/>
      <c r="F27" s="721"/>
      <c r="G27" s="729">
        <f>(G23-G25)</f>
        <v>0.94480160000000002</v>
      </c>
      <c r="H27" s="721"/>
      <c r="I27" s="729">
        <f>(I23-I25)</f>
        <v>0.94480160000000002</v>
      </c>
      <c r="J27" s="720"/>
      <c r="K27" s="730"/>
    </row>
    <row r="28" spans="1:12" ht="12.75">
      <c r="A28" s="616"/>
      <c r="B28" s="721"/>
      <c r="C28" s="721"/>
      <c r="D28" s="721"/>
      <c r="E28" s="721"/>
      <c r="F28" s="721"/>
      <c r="G28" s="721"/>
      <c r="H28" s="721"/>
      <c r="I28" s="721"/>
      <c r="J28" s="720"/>
      <c r="K28" s="727"/>
    </row>
    <row r="29" spans="1:12" ht="12.75">
      <c r="A29" s="616" t="s">
        <v>338</v>
      </c>
      <c r="B29" s="616"/>
      <c r="C29" s="617" t="s">
        <v>109</v>
      </c>
      <c r="D29" s="721"/>
      <c r="E29" s="697">
        <v>0.21</v>
      </c>
      <c r="F29" s="721"/>
      <c r="G29" s="1107">
        <f>ROUND(G27*E29,8)</f>
        <v>0.19840833999999999</v>
      </c>
      <c r="H29" s="721"/>
      <c r="I29" s="1107">
        <f>ROUND(I27*E29,8)</f>
        <v>0.19840833999999999</v>
      </c>
      <c r="J29" s="720"/>
      <c r="K29" s="1106"/>
    </row>
    <row r="30" spans="1:12" ht="12.75">
      <c r="A30" s="616"/>
      <c r="B30" s="721"/>
      <c r="C30" s="721"/>
      <c r="D30" s="721"/>
      <c r="E30" s="721"/>
      <c r="F30" s="721"/>
      <c r="G30" s="721"/>
      <c r="H30" s="721"/>
      <c r="I30" s="721"/>
      <c r="J30" s="720"/>
      <c r="K30" s="727"/>
    </row>
    <row r="31" spans="1:12" ht="12.75">
      <c r="A31" s="616" t="s">
        <v>341</v>
      </c>
      <c r="B31" s="616"/>
      <c r="C31" s="617" t="s">
        <v>110</v>
      </c>
      <c r="D31" s="721"/>
      <c r="E31" s="721"/>
      <c r="F31" s="721"/>
      <c r="G31" s="729">
        <f>G27-G29</f>
        <v>0.74639326000000006</v>
      </c>
      <c r="H31" s="721"/>
      <c r="I31" s="729">
        <f>I27-I29</f>
        <v>0.74639326000000006</v>
      </c>
      <c r="J31" s="720"/>
      <c r="K31" s="730"/>
    </row>
    <row r="32" spans="1:12" ht="12.75">
      <c r="A32" s="616"/>
      <c r="B32" s="721"/>
      <c r="C32" s="721"/>
      <c r="D32" s="721"/>
      <c r="E32" s="721"/>
      <c r="F32" s="721"/>
      <c r="G32" s="721"/>
      <c r="H32" s="721"/>
      <c r="I32" s="721"/>
      <c r="J32" s="720"/>
      <c r="K32" s="727"/>
    </row>
    <row r="33" spans="1:11" ht="12.75">
      <c r="A33" s="616" t="s">
        <v>344</v>
      </c>
      <c r="B33" s="616"/>
      <c r="C33" s="617" t="s">
        <v>703</v>
      </c>
      <c r="D33" s="721"/>
      <c r="E33" s="721"/>
      <c r="F33" s="721"/>
      <c r="G33" s="721"/>
      <c r="H33" s="721"/>
      <c r="I33" s="721"/>
      <c r="J33" s="720"/>
      <c r="K33" s="727"/>
    </row>
    <row r="34" spans="1:11" ht="12.75">
      <c r="A34" s="616" t="s">
        <v>345</v>
      </c>
      <c r="B34" s="616"/>
      <c r="C34" s="617" t="s">
        <v>111</v>
      </c>
      <c r="D34" s="721"/>
      <c r="E34" s="721"/>
      <c r="F34" s="721"/>
      <c r="G34" s="732">
        <f>ROUND(1/$G$31,6)</f>
        <v>1.3397760000000001</v>
      </c>
      <c r="H34" s="721"/>
      <c r="I34" s="732">
        <f>ROUND(1/$I$31,6)</f>
        <v>1.3397760000000001</v>
      </c>
      <c r="J34" s="720"/>
      <c r="K34" s="733"/>
    </row>
    <row r="35" spans="1:11" ht="12.75">
      <c r="A35" s="721"/>
      <c r="B35" s="721"/>
      <c r="C35" s="721"/>
      <c r="D35" s="721"/>
      <c r="E35" s="721"/>
      <c r="F35" s="721"/>
      <c r="G35" s="721"/>
      <c r="H35" s="721"/>
      <c r="I35" s="721"/>
      <c r="J35" s="720"/>
    </row>
    <row r="36" spans="1:11" ht="12">
      <c r="A36" s="720"/>
      <c r="B36" s="720"/>
      <c r="C36" s="720"/>
      <c r="D36" s="720"/>
      <c r="E36" s="720"/>
      <c r="F36" s="720"/>
      <c r="G36" s="720"/>
      <c r="H36" s="720"/>
      <c r="I36" s="720"/>
      <c r="J36" s="720"/>
    </row>
    <row r="37" spans="1:11" ht="12">
      <c r="A37" s="720"/>
      <c r="B37" s="720"/>
      <c r="C37" s="734"/>
      <c r="D37" s="734"/>
      <c r="E37" s="734"/>
      <c r="F37" s="720"/>
      <c r="G37" s="720"/>
      <c r="H37" s="720"/>
      <c r="I37" s="720"/>
      <c r="J37" s="720"/>
    </row>
    <row r="38" spans="1:11" ht="12">
      <c r="A38" s="720"/>
      <c r="B38" s="720"/>
      <c r="C38" s="720"/>
      <c r="D38" s="734"/>
      <c r="E38" s="734"/>
      <c r="F38" s="720"/>
      <c r="G38" s="720"/>
      <c r="H38" s="720"/>
      <c r="I38" s="720"/>
      <c r="J38" s="720"/>
    </row>
    <row r="39" spans="1:11" ht="12">
      <c r="A39" s="720"/>
      <c r="B39" s="720"/>
      <c r="C39" s="720"/>
      <c r="D39" s="734"/>
      <c r="E39" s="734"/>
      <c r="F39" s="720"/>
      <c r="G39" s="720"/>
      <c r="H39" s="720"/>
      <c r="I39" s="720"/>
      <c r="J39" s="720"/>
    </row>
    <row r="40" spans="1:11" ht="12">
      <c r="A40" s="720"/>
      <c r="B40" s="720"/>
      <c r="C40" s="720"/>
      <c r="D40" s="720"/>
      <c r="E40" s="720"/>
      <c r="F40" s="720"/>
      <c r="G40" s="720"/>
      <c r="H40" s="720"/>
      <c r="I40" s="720"/>
      <c r="J40" s="720"/>
    </row>
    <row r="41" spans="1:11" ht="12">
      <c r="A41" s="720"/>
      <c r="B41" s="720"/>
      <c r="C41" s="720"/>
      <c r="D41" s="720"/>
      <c r="E41" s="720"/>
      <c r="F41" s="720"/>
      <c r="G41" s="720"/>
      <c r="H41" s="720"/>
      <c r="I41" s="720"/>
      <c r="J41" s="720"/>
    </row>
    <row r="42" spans="1:11" ht="12">
      <c r="A42" s="720"/>
      <c r="B42" s="720"/>
      <c r="C42" s="720"/>
      <c r="D42" s="720"/>
      <c r="E42" s="720"/>
      <c r="F42" s="720"/>
      <c r="G42" s="720"/>
      <c r="H42" s="720"/>
      <c r="I42" s="720"/>
      <c r="J42" s="720"/>
    </row>
    <row r="43" spans="1:11" ht="12">
      <c r="A43" s="720"/>
      <c r="B43" s="720"/>
      <c r="C43" s="720"/>
      <c r="D43" s="720"/>
      <c r="E43" s="720"/>
      <c r="F43" s="720"/>
      <c r="G43" s="720"/>
      <c r="H43" s="720"/>
      <c r="I43" s="720"/>
      <c r="J43" s="720"/>
    </row>
    <row r="44" spans="1:11" ht="12">
      <c r="A44" s="734" t="s">
        <v>112</v>
      </c>
      <c r="B44" s="734"/>
      <c r="C44" s="720"/>
      <c r="D44" s="720"/>
      <c r="E44" s="720"/>
      <c r="F44" s="720"/>
      <c r="G44" s="720"/>
      <c r="H44" s="720"/>
      <c r="I44" s="720"/>
      <c r="J44" s="720"/>
    </row>
    <row r="45" spans="1:11" ht="12">
      <c r="A45" s="720"/>
      <c r="B45" s="720"/>
      <c r="C45" s="720"/>
      <c r="D45" s="720"/>
      <c r="E45" s="720"/>
      <c r="F45" s="720"/>
      <c r="G45" s="720"/>
      <c r="H45" s="720"/>
      <c r="I45" s="720"/>
      <c r="J45" s="720"/>
    </row>
    <row r="46" spans="1:11" ht="12">
      <c r="A46" s="720"/>
      <c r="B46" s="720"/>
      <c r="C46" s="720"/>
      <c r="D46" s="720"/>
      <c r="E46" s="720"/>
      <c r="F46" s="720"/>
      <c r="G46" s="720"/>
      <c r="H46" s="720"/>
      <c r="I46" s="720"/>
      <c r="J46" s="720"/>
    </row>
    <row r="47" spans="1:11" ht="12">
      <c r="A47" s="720"/>
      <c r="B47" s="720"/>
      <c r="C47" s="720"/>
      <c r="D47" s="720"/>
      <c r="E47" s="720"/>
      <c r="F47" s="720"/>
      <c r="G47" s="720"/>
      <c r="H47" s="720"/>
      <c r="I47" s="720"/>
      <c r="J47" s="720"/>
    </row>
    <row r="48" spans="1:11" ht="12">
      <c r="A48" s="720"/>
      <c r="B48" s="720"/>
      <c r="C48" s="720"/>
      <c r="D48" s="720"/>
      <c r="E48" s="720"/>
      <c r="F48" s="720"/>
      <c r="G48" s="720"/>
      <c r="H48" s="720"/>
      <c r="I48" s="720"/>
      <c r="J48" s="720"/>
    </row>
    <row r="49" spans="1:10" ht="12">
      <c r="A49" s="720"/>
      <c r="B49" s="720"/>
      <c r="C49" s="720"/>
      <c r="D49" s="720"/>
      <c r="E49" s="720"/>
      <c r="F49" s="720"/>
      <c r="G49" s="720"/>
      <c r="H49" s="720"/>
      <c r="I49" s="720"/>
      <c r="J49" s="720"/>
    </row>
    <row r="50" spans="1:10" ht="12">
      <c r="A50" s="720"/>
      <c r="B50" s="720"/>
      <c r="C50" s="720"/>
      <c r="D50" s="720"/>
      <c r="E50" s="720"/>
      <c r="F50" s="720"/>
      <c r="G50" s="720"/>
      <c r="H50" s="720"/>
      <c r="I50" s="720"/>
      <c r="J50" s="720"/>
    </row>
    <row r="51" spans="1:10" ht="12">
      <c r="A51" s="720"/>
      <c r="B51" s="720"/>
      <c r="C51" s="720"/>
      <c r="D51" s="720"/>
      <c r="E51" s="720"/>
      <c r="F51" s="720"/>
      <c r="G51" s="720"/>
      <c r="H51" s="720"/>
      <c r="I51" s="720"/>
      <c r="J51" s="720"/>
    </row>
    <row r="52" spans="1:10" ht="12">
      <c r="A52" s="720"/>
      <c r="B52" s="720"/>
      <c r="C52" s="720"/>
      <c r="D52" s="720"/>
      <c r="E52" s="720"/>
      <c r="F52" s="720"/>
      <c r="G52" s="720"/>
      <c r="H52" s="720"/>
      <c r="I52" s="720"/>
      <c r="J52" s="720"/>
    </row>
    <row r="53" spans="1:10" ht="12">
      <c r="A53" s="720"/>
      <c r="B53" s="720"/>
      <c r="C53" s="720"/>
      <c r="D53" s="720"/>
      <c r="E53" s="720"/>
      <c r="F53" s="720"/>
      <c r="G53" s="720"/>
      <c r="H53" s="720"/>
      <c r="I53" s="720"/>
      <c r="J53" s="720"/>
    </row>
    <row r="54" spans="1:10" ht="12">
      <c r="A54" s="720"/>
      <c r="B54" s="720"/>
      <c r="C54" s="720"/>
      <c r="D54" s="720"/>
      <c r="E54" s="720"/>
      <c r="F54" s="720"/>
      <c r="G54" s="720"/>
      <c r="H54" s="720"/>
      <c r="I54" s="720"/>
      <c r="J54" s="720"/>
    </row>
    <row r="55" spans="1:10" ht="12">
      <c r="A55" s="720"/>
      <c r="B55" s="720"/>
      <c r="C55" s="720"/>
      <c r="D55" s="720"/>
      <c r="E55" s="720"/>
      <c r="F55" s="720"/>
      <c r="G55" s="720"/>
      <c r="H55" s="720"/>
      <c r="I55" s="720"/>
      <c r="J55" s="720"/>
    </row>
    <row r="56" spans="1:10" ht="12">
      <c r="A56" s="720"/>
      <c r="B56" s="720"/>
      <c r="C56" s="720"/>
      <c r="D56" s="720"/>
      <c r="E56" s="720"/>
      <c r="F56" s="720"/>
      <c r="G56" s="720"/>
      <c r="H56" s="720"/>
      <c r="I56" s="720"/>
      <c r="J56" s="720"/>
    </row>
    <row r="57" spans="1:10" ht="12">
      <c r="A57" s="720"/>
      <c r="B57" s="720"/>
      <c r="C57" s="720"/>
      <c r="D57" s="720"/>
      <c r="E57" s="720"/>
      <c r="F57" s="720"/>
      <c r="G57" s="720"/>
      <c r="H57" s="720"/>
      <c r="I57" s="720"/>
      <c r="J57" s="720"/>
    </row>
    <row r="58" spans="1:10" ht="12">
      <c r="A58" s="720"/>
      <c r="B58" s="720"/>
      <c r="C58" s="720"/>
      <c r="D58" s="720"/>
      <c r="E58" s="720"/>
      <c r="F58" s="720"/>
      <c r="G58" s="720"/>
      <c r="H58" s="720"/>
      <c r="I58" s="720"/>
      <c r="J58" s="720"/>
    </row>
    <row r="59" spans="1:10" ht="12">
      <c r="A59" s="720"/>
      <c r="B59" s="720"/>
      <c r="C59" s="720"/>
      <c r="D59" s="720"/>
      <c r="E59" s="720"/>
      <c r="F59" s="720"/>
      <c r="G59" s="720"/>
      <c r="H59" s="720"/>
      <c r="I59" s="720"/>
      <c r="J59" s="720"/>
    </row>
    <row r="60" spans="1:10" ht="12">
      <c r="A60" s="720"/>
      <c r="B60" s="720"/>
      <c r="C60" s="720"/>
      <c r="D60" s="720"/>
      <c r="E60" s="720"/>
      <c r="F60" s="720"/>
      <c r="G60" s="720"/>
      <c r="H60" s="720"/>
      <c r="I60" s="720"/>
      <c r="J60" s="720"/>
    </row>
    <row r="61" spans="1:10" ht="12">
      <c r="A61" s="720"/>
      <c r="B61" s="720"/>
      <c r="C61" s="720"/>
      <c r="D61" s="720"/>
      <c r="E61" s="720"/>
      <c r="F61" s="720"/>
      <c r="G61" s="720"/>
      <c r="H61" s="720"/>
      <c r="I61" s="720"/>
      <c r="J61" s="720"/>
    </row>
    <row r="62" spans="1:10" ht="12">
      <c r="A62" s="720"/>
      <c r="B62" s="720"/>
      <c r="C62" s="720"/>
      <c r="D62" s="720"/>
      <c r="E62" s="720"/>
      <c r="F62" s="720"/>
      <c r="G62" s="720"/>
      <c r="H62" s="720"/>
      <c r="I62" s="720"/>
      <c r="J62" s="720"/>
    </row>
    <row r="63" spans="1:10" ht="12">
      <c r="A63" s="720"/>
      <c r="B63" s="720"/>
      <c r="C63" s="720"/>
      <c r="D63" s="720"/>
      <c r="E63" s="720"/>
      <c r="F63" s="720"/>
      <c r="G63" s="720"/>
      <c r="H63" s="720"/>
      <c r="I63" s="720"/>
      <c r="J63" s="720"/>
    </row>
    <row r="64" spans="1:10" ht="12">
      <c r="A64" s="720"/>
      <c r="B64" s="720"/>
      <c r="C64" s="720"/>
      <c r="D64" s="720"/>
      <c r="E64" s="720"/>
      <c r="F64" s="720"/>
      <c r="G64" s="720"/>
      <c r="H64" s="720"/>
      <c r="I64" s="720"/>
      <c r="J64" s="720"/>
    </row>
    <row r="65" spans="1:10" ht="12">
      <c r="A65" s="720"/>
      <c r="B65" s="720"/>
      <c r="C65" s="720"/>
      <c r="D65" s="720"/>
      <c r="E65" s="720"/>
      <c r="F65" s="720"/>
      <c r="G65" s="720"/>
      <c r="H65" s="720"/>
      <c r="I65" s="720"/>
      <c r="J65" s="720"/>
    </row>
    <row r="66" spans="1:10" ht="12">
      <c r="A66" s="720"/>
      <c r="B66" s="720"/>
      <c r="C66" s="720"/>
      <c r="D66" s="720"/>
      <c r="E66" s="720"/>
      <c r="F66" s="720"/>
      <c r="G66" s="720"/>
      <c r="H66" s="720"/>
      <c r="I66" s="720"/>
      <c r="J66" s="720"/>
    </row>
    <row r="67" spans="1:10" ht="12">
      <c r="A67" s="720"/>
      <c r="B67" s="720"/>
      <c r="C67" s="720"/>
      <c r="D67" s="720"/>
      <c r="E67" s="720"/>
      <c r="F67" s="720"/>
      <c r="G67" s="720"/>
      <c r="H67" s="720"/>
      <c r="I67" s="720"/>
      <c r="J67" s="720"/>
    </row>
    <row r="68" spans="1:10" ht="12">
      <c r="A68" s="720"/>
      <c r="B68" s="720"/>
      <c r="C68" s="720"/>
      <c r="D68" s="720"/>
      <c r="E68" s="720"/>
      <c r="F68" s="720"/>
      <c r="G68" s="720"/>
      <c r="H68" s="720"/>
      <c r="I68" s="720"/>
      <c r="J68" s="720"/>
    </row>
    <row r="69" spans="1:10" ht="12">
      <c r="A69" s="720"/>
      <c r="B69" s="720"/>
      <c r="C69" s="720"/>
      <c r="D69" s="720"/>
      <c r="E69" s="720"/>
      <c r="F69" s="720"/>
      <c r="G69" s="720"/>
      <c r="H69" s="720"/>
      <c r="I69" s="720"/>
      <c r="J69" s="720"/>
    </row>
    <row r="70" spans="1:10" ht="12">
      <c r="A70" s="720"/>
      <c r="B70" s="720"/>
      <c r="C70" s="720"/>
      <c r="D70" s="720"/>
      <c r="E70" s="720"/>
      <c r="F70" s="720"/>
      <c r="G70" s="720"/>
      <c r="H70" s="720"/>
      <c r="I70" s="720"/>
      <c r="J70" s="720"/>
    </row>
    <row r="71" spans="1:10" ht="12">
      <c r="A71" s="720"/>
      <c r="B71" s="720"/>
      <c r="C71" s="720"/>
      <c r="D71" s="720"/>
      <c r="E71" s="720"/>
      <c r="F71" s="720"/>
      <c r="G71" s="720"/>
      <c r="H71" s="720"/>
      <c r="I71" s="720"/>
      <c r="J71" s="720"/>
    </row>
    <row r="72" spans="1:10" ht="12">
      <c r="A72" s="720"/>
      <c r="B72" s="720"/>
      <c r="C72" s="720"/>
      <c r="D72" s="720"/>
      <c r="E72" s="720"/>
      <c r="F72" s="720"/>
      <c r="G72" s="720"/>
      <c r="H72" s="720"/>
      <c r="I72" s="720"/>
      <c r="J72" s="720"/>
    </row>
    <row r="73" spans="1:10" ht="12">
      <c r="A73" s="720"/>
      <c r="B73" s="720"/>
      <c r="C73" s="720"/>
      <c r="D73" s="720"/>
      <c r="E73" s="720"/>
      <c r="F73" s="720"/>
      <c r="G73" s="720"/>
      <c r="H73" s="720"/>
      <c r="I73" s="720"/>
      <c r="J73" s="720"/>
    </row>
    <row r="74" spans="1:10" ht="12">
      <c r="A74" s="720"/>
      <c r="B74" s="720"/>
      <c r="C74" s="720"/>
      <c r="D74" s="720"/>
      <c r="E74" s="720"/>
      <c r="F74" s="720"/>
      <c r="G74" s="720"/>
      <c r="H74" s="720"/>
      <c r="I74" s="720"/>
      <c r="J74" s="720"/>
    </row>
    <row r="75" spans="1:10" ht="12">
      <c r="A75" s="720"/>
      <c r="B75" s="720"/>
      <c r="C75" s="720"/>
      <c r="D75" s="720"/>
      <c r="E75" s="720"/>
      <c r="F75" s="720"/>
      <c r="G75" s="720"/>
      <c r="H75" s="720"/>
      <c r="I75" s="720"/>
      <c r="J75" s="720"/>
    </row>
    <row r="76" spans="1:10" ht="12">
      <c r="A76" s="720"/>
      <c r="B76" s="720"/>
      <c r="C76" s="720"/>
      <c r="D76" s="720"/>
      <c r="E76" s="720"/>
      <c r="F76" s="720"/>
      <c r="G76" s="720"/>
      <c r="H76" s="720"/>
      <c r="I76" s="720"/>
      <c r="J76" s="720"/>
    </row>
    <row r="77" spans="1:10" ht="12">
      <c r="A77" s="720"/>
      <c r="B77" s="720"/>
      <c r="C77" s="720"/>
      <c r="D77" s="720"/>
      <c r="E77" s="720"/>
      <c r="F77" s="720"/>
      <c r="G77" s="720"/>
      <c r="H77" s="720"/>
      <c r="I77" s="720"/>
      <c r="J77" s="720"/>
    </row>
    <row r="78" spans="1:10" ht="12">
      <c r="A78" s="720"/>
      <c r="B78" s="720"/>
      <c r="C78" s="720"/>
      <c r="D78" s="720"/>
      <c r="E78" s="720"/>
      <c r="F78" s="720"/>
      <c r="G78" s="720"/>
      <c r="H78" s="720"/>
      <c r="I78" s="720"/>
      <c r="J78" s="720"/>
    </row>
    <row r="79" spans="1:10" ht="12">
      <c r="A79" s="720"/>
      <c r="B79" s="720"/>
      <c r="C79" s="720"/>
      <c r="D79" s="720"/>
      <c r="E79" s="720"/>
      <c r="F79" s="720"/>
      <c r="G79" s="720"/>
      <c r="H79" s="720"/>
      <c r="I79" s="720"/>
      <c r="J79" s="720"/>
    </row>
    <row r="80" spans="1:10" ht="12">
      <c r="A80" s="720"/>
      <c r="B80" s="720"/>
      <c r="C80" s="720"/>
      <c r="D80" s="720"/>
      <c r="E80" s="720"/>
      <c r="F80" s="720"/>
      <c r="G80" s="720"/>
      <c r="H80" s="720"/>
      <c r="I80" s="720"/>
      <c r="J80" s="720"/>
    </row>
    <row r="81" spans="1:10" ht="12">
      <c r="A81" s="720"/>
      <c r="B81" s="720"/>
      <c r="C81" s="720"/>
      <c r="D81" s="720"/>
      <c r="E81" s="720"/>
      <c r="F81" s="720"/>
      <c r="G81" s="720"/>
      <c r="H81" s="720"/>
      <c r="I81" s="720"/>
      <c r="J81" s="720"/>
    </row>
    <row r="82" spans="1:10" ht="12">
      <c r="A82" s="720"/>
      <c r="B82" s="720"/>
      <c r="C82" s="720"/>
      <c r="D82" s="720"/>
      <c r="E82" s="720"/>
      <c r="F82" s="720"/>
      <c r="G82" s="720"/>
      <c r="H82" s="720"/>
      <c r="I82" s="720"/>
      <c r="J82" s="720"/>
    </row>
    <row r="83" spans="1:10" ht="12">
      <c r="A83" s="720"/>
      <c r="B83" s="720"/>
      <c r="C83" s="720"/>
      <c r="D83" s="720"/>
      <c r="E83" s="720"/>
      <c r="F83" s="720"/>
      <c r="G83" s="720"/>
      <c r="H83" s="720"/>
      <c r="I83" s="720"/>
      <c r="J83" s="720"/>
    </row>
    <row r="84" spans="1:10" ht="12">
      <c r="A84" s="720"/>
      <c r="B84" s="720"/>
      <c r="C84" s="720"/>
      <c r="D84" s="720"/>
      <c r="E84" s="720"/>
      <c r="F84" s="720"/>
      <c r="G84" s="720"/>
      <c r="H84" s="720"/>
      <c r="I84" s="720"/>
      <c r="J84" s="720"/>
    </row>
  </sheetData>
  <mergeCells count="4">
    <mergeCell ref="A1:I1"/>
    <mergeCell ref="A2:I2"/>
    <mergeCell ref="A3:I3"/>
    <mergeCell ref="A4:I4"/>
  </mergeCells>
  <printOptions horizontalCentered="1"/>
  <pageMargins left="0.5" right="0.5" top="0.75" bottom="0.5" header="0.3" footer="0.3"/>
  <pageSetup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22"/>
  <sheetViews>
    <sheetView zoomScaleNormal="100" zoomScaleSheetLayoutView="100" workbookViewId="0">
      <selection activeCell="C14" sqref="C14"/>
    </sheetView>
  </sheetViews>
  <sheetFormatPr defaultColWidth="9.6640625" defaultRowHeight="10.5"/>
  <cols>
    <col min="1" max="1" width="26.5" style="1109" bestFit="1" customWidth="1"/>
    <col min="2" max="2" width="2.6640625" style="1109" customWidth="1"/>
    <col min="3" max="3" width="62.1640625" style="1109" bestFit="1" customWidth="1"/>
    <col min="4" max="16384" width="9.6640625" style="1109"/>
  </cols>
  <sheetData>
    <row r="1" spans="1:9" ht="12.75">
      <c r="A1" s="716"/>
      <c r="B1" s="716"/>
      <c r="C1" s="716"/>
      <c r="D1" s="716"/>
      <c r="E1" s="716"/>
      <c r="F1" s="716"/>
      <c r="G1" s="716"/>
      <c r="H1" s="716"/>
      <c r="I1" s="716"/>
    </row>
    <row r="2" spans="1:9" ht="12.75">
      <c r="A2" s="716"/>
      <c r="B2" s="716"/>
      <c r="C2" s="716"/>
      <c r="D2" s="716"/>
      <c r="E2" s="716"/>
      <c r="F2" s="716"/>
      <c r="G2" s="716"/>
      <c r="H2" s="716"/>
      <c r="I2" s="716"/>
    </row>
    <row r="3" spans="1:9" ht="12.75">
      <c r="A3" s="716"/>
      <c r="B3" s="716"/>
      <c r="C3" s="716"/>
      <c r="D3" s="716"/>
      <c r="E3" s="716"/>
      <c r="F3" s="716"/>
      <c r="G3" s="716"/>
      <c r="H3" s="716"/>
      <c r="I3" s="716"/>
    </row>
    <row r="4" spans="1:9" ht="12.75">
      <c r="A4" s="1346" t="s">
        <v>113</v>
      </c>
      <c r="B4" s="1346"/>
      <c r="C4" s="1346"/>
      <c r="E4" s="716"/>
      <c r="F4" s="716"/>
      <c r="G4" s="716"/>
      <c r="H4" s="716"/>
      <c r="I4" s="716"/>
    </row>
    <row r="5" spans="1:9" ht="12.75">
      <c r="A5" s="716"/>
      <c r="B5" s="716"/>
      <c r="C5" s="716"/>
      <c r="E5" s="716"/>
      <c r="F5" s="716"/>
      <c r="G5" s="716"/>
      <c r="H5" s="716"/>
      <c r="I5" s="716"/>
    </row>
    <row r="6" spans="1:9" ht="12.75">
      <c r="A6" s="1346" t="s">
        <v>114</v>
      </c>
      <c r="B6" s="1346"/>
      <c r="C6" s="1346"/>
      <c r="E6" s="716"/>
      <c r="F6" s="716"/>
      <c r="G6" s="716"/>
      <c r="H6" s="716"/>
      <c r="I6" s="716"/>
    </row>
    <row r="7" spans="1:9" ht="12.75">
      <c r="A7" s="716"/>
      <c r="B7" s="716"/>
      <c r="C7" s="716"/>
      <c r="E7" s="716"/>
      <c r="F7" s="716"/>
      <c r="G7" s="716"/>
      <c r="H7" s="716"/>
      <c r="I7" s="716"/>
    </row>
    <row r="8" spans="1:9" ht="12.75">
      <c r="A8" s="1346" t="str">
        <f>'General Headers Index'!B4</f>
        <v>COLUMBIA GAS OF KENTUCKY, INC.</v>
      </c>
      <c r="B8" s="1346"/>
      <c r="C8" s="1346"/>
      <c r="E8" s="716"/>
      <c r="F8" s="716"/>
      <c r="G8" s="716"/>
      <c r="H8" s="716"/>
      <c r="I8" s="716"/>
    </row>
    <row r="9" spans="1:9" ht="12.75">
      <c r="A9" s="716"/>
      <c r="B9" s="716"/>
      <c r="C9" s="716"/>
      <c r="E9" s="716"/>
      <c r="F9" s="716"/>
      <c r="G9" s="716"/>
      <c r="H9" s="716"/>
      <c r="I9" s="716"/>
    </row>
    <row r="10" spans="1:9" ht="12.75">
      <c r="A10" s="1346" t="str">
        <f>'General Headers Index'!B6</f>
        <v>CASE NO. 2024 - 00092</v>
      </c>
      <c r="B10" s="1346"/>
      <c r="C10" s="1346"/>
      <c r="E10" s="716"/>
      <c r="F10" s="716"/>
      <c r="G10" s="716"/>
      <c r="H10" s="716"/>
      <c r="I10" s="716"/>
    </row>
    <row r="11" spans="1:9" ht="12.75">
      <c r="A11" s="716"/>
      <c r="B11" s="716"/>
      <c r="C11" s="716"/>
      <c r="E11" s="716"/>
      <c r="F11" s="716"/>
      <c r="G11" s="716"/>
      <c r="H11" s="716"/>
      <c r="I11" s="716"/>
    </row>
    <row r="12" spans="1:9" ht="12.75">
      <c r="A12" s="716"/>
      <c r="B12" s="716"/>
      <c r="C12" s="716"/>
      <c r="E12" s="716"/>
      <c r="F12" s="716"/>
      <c r="G12" s="716"/>
      <c r="H12" s="716"/>
      <c r="I12" s="716"/>
    </row>
    <row r="13" spans="1:9" ht="12.75">
      <c r="A13" s="707" t="s">
        <v>97</v>
      </c>
      <c r="B13" s="716"/>
      <c r="C13" s="707" t="str">
        <f>'General Headers Index'!B8</f>
        <v>FOR THE TWELVE MONTHS ENDED AUGUST 31, 2024</v>
      </c>
      <c r="E13" s="716"/>
      <c r="F13" s="716"/>
      <c r="G13" s="716"/>
      <c r="H13" s="716"/>
      <c r="I13" s="716"/>
    </row>
    <row r="14" spans="1:9" ht="12.75">
      <c r="A14" s="716"/>
      <c r="B14" s="716"/>
      <c r="C14" s="716"/>
      <c r="E14" s="716"/>
      <c r="F14" s="716"/>
      <c r="G14" s="716"/>
      <c r="H14" s="716"/>
      <c r="I14" s="716"/>
    </row>
    <row r="15" spans="1:9" ht="12.75">
      <c r="A15" s="707" t="s">
        <v>684</v>
      </c>
      <c r="B15" s="716"/>
      <c r="C15" s="707" t="str">
        <f>'General Headers Index'!B15</f>
        <v>FOR THE TWELVE MONTHS ENDED DECEMBER 31, 2025</v>
      </c>
      <c r="E15" s="716"/>
      <c r="F15" s="716"/>
      <c r="G15" s="716"/>
      <c r="H15" s="716"/>
      <c r="I15" s="716"/>
    </row>
    <row r="16" spans="1:9" ht="12.75">
      <c r="A16" s="716"/>
      <c r="B16" s="716"/>
      <c r="C16" s="716"/>
      <c r="E16" s="716"/>
      <c r="F16" s="716"/>
      <c r="G16" s="716"/>
      <c r="H16" s="716"/>
      <c r="I16" s="716"/>
    </row>
    <row r="17" spans="1:9" ht="12.75">
      <c r="A17" s="716"/>
      <c r="B17" s="716"/>
      <c r="C17" s="716"/>
      <c r="E17" s="716"/>
      <c r="F17" s="716"/>
      <c r="G17" s="716"/>
      <c r="H17" s="716"/>
      <c r="I17" s="716"/>
    </row>
    <row r="18" spans="1:9" ht="12.75">
      <c r="A18" s="718" t="s">
        <v>314</v>
      </c>
      <c r="B18" s="719"/>
      <c r="C18" s="718" t="s">
        <v>451</v>
      </c>
      <c r="E18" s="716"/>
      <c r="F18" s="716"/>
      <c r="G18" s="716"/>
      <c r="H18" s="716"/>
      <c r="I18" s="716"/>
    </row>
    <row r="19" spans="1:9" ht="12.75">
      <c r="A19" s="717"/>
      <c r="B19" s="716"/>
      <c r="C19" s="716"/>
      <c r="D19" s="717"/>
      <c r="E19" s="716"/>
      <c r="F19" s="716"/>
      <c r="G19" s="716"/>
      <c r="H19" s="716"/>
      <c r="I19" s="716"/>
    </row>
    <row r="20" spans="1:9" ht="12.75">
      <c r="A20" s="716" t="s">
        <v>115</v>
      </c>
      <c r="B20" s="716"/>
      <c r="C20" s="716" t="s">
        <v>2936</v>
      </c>
      <c r="D20" s="717"/>
      <c r="E20" s="716"/>
      <c r="F20" s="716"/>
      <c r="G20" s="716"/>
      <c r="H20" s="716"/>
      <c r="I20" s="716"/>
    </row>
    <row r="21" spans="1:9" ht="12.75">
      <c r="A21" s="716" t="s">
        <v>116</v>
      </c>
      <c r="B21" s="716"/>
      <c r="C21" s="716" t="s">
        <v>117</v>
      </c>
      <c r="D21" s="716"/>
      <c r="E21" s="716"/>
      <c r="F21" s="716"/>
      <c r="G21" s="716"/>
      <c r="H21" s="716"/>
      <c r="I21" s="716"/>
    </row>
    <row r="22" spans="1:9" ht="12.75">
      <c r="A22" s="716" t="s">
        <v>118</v>
      </c>
      <c r="B22" s="716"/>
      <c r="C22" s="716" t="s">
        <v>119</v>
      </c>
      <c r="D22" s="716"/>
      <c r="E22" s="716"/>
      <c r="F22" s="716"/>
      <c r="G22" s="716"/>
      <c r="H22" s="716"/>
      <c r="I22" s="716"/>
    </row>
  </sheetData>
  <mergeCells count="4">
    <mergeCell ref="A4:C4"/>
    <mergeCell ref="A6:C6"/>
    <mergeCell ref="A8:C8"/>
    <mergeCell ref="A10:C10"/>
  </mergeCells>
  <printOptions horizontalCentered="1"/>
  <pageMargins left="0.5" right="0.5" top="0.75" bottom="0.5" header="0.3" footer="0.3"/>
  <pageSetup orientation="landscape" r:id="rId1"/>
  <colBreaks count="1" manualBreakCount="1">
    <brk id="3"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Q49"/>
  <sheetViews>
    <sheetView zoomScaleNormal="100" zoomScaleSheetLayoutView="100" workbookViewId="0">
      <selection activeCell="J29" sqref="J29"/>
    </sheetView>
  </sheetViews>
  <sheetFormatPr defaultColWidth="9.33203125" defaultRowHeight="12.75"/>
  <cols>
    <col min="1" max="2" width="5.5" style="218" customWidth="1"/>
    <col min="3" max="3" width="50.83203125" style="218" customWidth="1"/>
    <col min="4" max="4" width="16.1640625" style="218" customWidth="1"/>
    <col min="5" max="5" width="15.6640625" style="218" bestFit="1" customWidth="1"/>
    <col min="6" max="6" width="15.5" style="218" bestFit="1" customWidth="1"/>
    <col min="7" max="7" width="15.1640625" style="218" bestFit="1" customWidth="1"/>
    <col min="8" max="8" width="15.5" style="218" customWidth="1"/>
    <col min="9" max="9" width="16.1640625" style="218" customWidth="1"/>
    <col min="10" max="10" width="17.5" style="218" customWidth="1"/>
    <col min="11" max="11" width="16.6640625" style="218" customWidth="1"/>
    <col min="12" max="12" width="18.1640625" style="218" customWidth="1"/>
    <col min="13" max="13" width="9.33203125" style="218"/>
    <col min="14" max="14" width="10.6640625" style="218" bestFit="1" customWidth="1"/>
    <col min="15" max="16384" width="9.33203125" style="218"/>
  </cols>
  <sheetData>
    <row r="1" spans="1:17">
      <c r="A1" s="1348" t="str">
        <f>'General Headers Index'!B4</f>
        <v>COLUMBIA GAS OF KENTUCKY, INC.</v>
      </c>
      <c r="B1" s="1348"/>
      <c r="C1" s="1348"/>
      <c r="D1" s="1348"/>
      <c r="E1" s="1348"/>
      <c r="F1" s="1348"/>
      <c r="G1" s="1348"/>
      <c r="H1" s="1348"/>
      <c r="I1" s="1348"/>
      <c r="J1" s="1348"/>
      <c r="K1" s="1348"/>
      <c r="L1" s="1348"/>
      <c r="M1" s="708"/>
      <c r="N1" s="708"/>
      <c r="O1" s="708"/>
      <c r="P1" s="708"/>
      <c r="Q1" s="708"/>
    </row>
    <row r="2" spans="1:17">
      <c r="A2" s="1348" t="str">
        <f>'General Headers Index'!B6</f>
        <v>CASE NO. 2024 - 00092</v>
      </c>
      <c r="B2" s="1348"/>
      <c r="C2" s="1348"/>
      <c r="D2" s="1348"/>
      <c r="E2" s="1348"/>
      <c r="F2" s="1348"/>
      <c r="G2" s="1348"/>
      <c r="H2" s="1348"/>
      <c r="I2" s="1348"/>
      <c r="J2" s="1348"/>
      <c r="K2" s="1348"/>
      <c r="L2" s="1348"/>
      <c r="M2" s="708"/>
      <c r="N2" s="708"/>
      <c r="O2" s="708"/>
      <c r="P2" s="708"/>
      <c r="Q2" s="708"/>
    </row>
    <row r="3" spans="1:17">
      <c r="A3" s="1348" t="str">
        <f>'Index I'!$C$20</f>
        <v>COMPARATIVE INCOME STATEMENT - TOTAL COMPANY</v>
      </c>
      <c r="B3" s="1348"/>
      <c r="C3" s="1348"/>
      <c r="D3" s="1348"/>
      <c r="E3" s="1348"/>
      <c r="F3" s="1348"/>
      <c r="G3" s="1348"/>
      <c r="H3" s="1348"/>
      <c r="I3" s="1348"/>
      <c r="J3" s="1348"/>
      <c r="K3" s="1348"/>
      <c r="L3" s="1348"/>
      <c r="M3" s="708"/>
      <c r="N3" s="708"/>
      <c r="O3" s="708"/>
      <c r="P3" s="708"/>
      <c r="Q3" s="708"/>
    </row>
    <row r="4" spans="1:17">
      <c r="A4" s="1348" t="str">
        <f>'General Headers Index'!B9</f>
        <v>BASE PERIOD: TWELVE MONTHS ENDED AUGUST 31, 2024</v>
      </c>
      <c r="B4" s="1348"/>
      <c r="C4" s="1348"/>
      <c r="D4" s="1348"/>
      <c r="E4" s="1348"/>
      <c r="F4" s="1348"/>
      <c r="G4" s="1348"/>
      <c r="H4" s="1348"/>
      <c r="I4" s="1348"/>
      <c r="J4" s="1348"/>
      <c r="K4" s="1348"/>
      <c r="L4" s="1348"/>
      <c r="M4" s="708"/>
      <c r="N4" s="708"/>
      <c r="O4" s="708"/>
      <c r="P4" s="708"/>
      <c r="Q4" s="708"/>
    </row>
    <row r="5" spans="1:17">
      <c r="A5" s="1348" t="str">
        <f>'General Headers Index'!B16</f>
        <v>FORECASTED TEST PERIOD: TWELVE MONTHS ENDED DECEMBER 31, 2025</v>
      </c>
      <c r="B5" s="1348"/>
      <c r="C5" s="1348"/>
      <c r="D5" s="1348"/>
      <c r="E5" s="1348"/>
      <c r="F5" s="1348"/>
      <c r="G5" s="1348"/>
      <c r="H5" s="1348"/>
      <c r="I5" s="1348"/>
      <c r="J5" s="1348"/>
      <c r="K5" s="1348"/>
      <c r="L5" s="1348"/>
      <c r="M5" s="708"/>
      <c r="N5" s="708"/>
      <c r="O5" s="708"/>
      <c r="P5" s="708"/>
      <c r="Q5" s="708"/>
    </row>
    <row r="6" spans="1:17">
      <c r="A6" s="708"/>
      <c r="B6" s="708"/>
      <c r="C6" s="708"/>
      <c r="D6" s="708"/>
      <c r="E6" s="708"/>
      <c r="F6" s="708"/>
      <c r="G6" s="708"/>
      <c r="H6" s="708"/>
      <c r="I6" s="708"/>
      <c r="J6" s="708"/>
      <c r="K6" s="708"/>
      <c r="L6" s="708"/>
      <c r="M6" s="708"/>
      <c r="N6" s="708"/>
      <c r="O6" s="708"/>
      <c r="P6" s="708"/>
      <c r="Q6" s="708"/>
    </row>
    <row r="7" spans="1:17">
      <c r="A7" s="709" t="s">
        <v>739</v>
      </c>
      <c r="B7" s="710"/>
      <c r="C7" s="710"/>
      <c r="D7" s="710"/>
      <c r="E7" s="710"/>
      <c r="F7" s="710"/>
      <c r="G7" s="710"/>
      <c r="H7" s="710"/>
      <c r="I7" s="710"/>
      <c r="J7" s="710"/>
      <c r="K7" s="710"/>
      <c r="L7" s="711" t="s">
        <v>120</v>
      </c>
      <c r="M7" s="710"/>
      <c r="N7" s="710"/>
      <c r="O7" s="710"/>
      <c r="P7" s="710"/>
    </row>
    <row r="8" spans="1:17">
      <c r="A8" s="709" t="str">
        <f>'General Headers Index'!B37</f>
        <v>TYPE OF FILING:___X___ORIGINAL______UPDATED</v>
      </c>
      <c r="B8" s="710"/>
      <c r="C8" s="710"/>
      <c r="D8" s="710"/>
      <c r="E8" s="710"/>
      <c r="F8" s="710"/>
      <c r="G8" s="710"/>
      <c r="H8" s="710"/>
      <c r="I8" s="710"/>
      <c r="J8" s="710"/>
      <c r="K8" s="710"/>
      <c r="L8" s="711" t="s">
        <v>722</v>
      </c>
      <c r="M8" s="710"/>
      <c r="N8" s="710"/>
      <c r="O8" s="710"/>
      <c r="P8" s="710"/>
    </row>
    <row r="9" spans="1:17">
      <c r="A9" s="709" t="s">
        <v>575</v>
      </c>
      <c r="B9" s="710"/>
      <c r="C9" s="710"/>
      <c r="D9" s="710"/>
      <c r="E9" s="710"/>
      <c r="F9" s="710"/>
      <c r="G9" s="710"/>
      <c r="H9" s="710"/>
      <c r="I9" s="710"/>
      <c r="J9" s="710"/>
      <c r="K9" s="710"/>
      <c r="L9" s="714" t="str">
        <f>"WITNESSES: "&amp;'General Headers Index'!B69</f>
        <v>WITNESSES: SHAEFFER</v>
      </c>
      <c r="M9" s="710"/>
      <c r="N9" s="710"/>
      <c r="O9" s="710"/>
      <c r="P9" s="710"/>
    </row>
    <row r="10" spans="1:17">
      <c r="A10" s="709"/>
      <c r="B10" s="710"/>
      <c r="C10" s="710"/>
      <c r="D10" s="710"/>
      <c r="E10" s="710"/>
      <c r="F10" s="710"/>
      <c r="G10" s="710"/>
      <c r="H10" s="710"/>
      <c r="I10" s="710"/>
      <c r="J10" s="710"/>
      <c r="K10" s="710"/>
      <c r="L10" s="714" t="str">
        <f>+'General Headers Index'!B70</f>
        <v>INSCHO</v>
      </c>
      <c r="M10" s="710"/>
      <c r="N10" s="710"/>
      <c r="O10" s="710"/>
      <c r="P10" s="710"/>
    </row>
    <row r="11" spans="1:17">
      <c r="A11" s="873"/>
      <c r="B11" s="871"/>
      <c r="C11" s="871"/>
      <c r="D11" s="871"/>
      <c r="E11" s="871"/>
      <c r="F11" s="871"/>
      <c r="G11" s="871"/>
      <c r="H11" s="871"/>
      <c r="I11" s="871"/>
      <c r="J11" s="871"/>
      <c r="K11" s="871"/>
      <c r="L11" s="872"/>
      <c r="M11" s="710"/>
      <c r="N11" s="710"/>
      <c r="O11" s="710"/>
      <c r="P11" s="710"/>
    </row>
    <row r="12" spans="1:17">
      <c r="A12" s="709"/>
      <c r="B12" s="710"/>
      <c r="C12" s="710"/>
      <c r="D12" s="1342" t="s">
        <v>121</v>
      </c>
      <c r="E12" s="1342"/>
      <c r="F12" s="1342"/>
      <c r="G12" s="1342"/>
      <c r="H12" s="1342"/>
      <c r="I12" s="710"/>
      <c r="J12" s="710"/>
      <c r="K12" s="1347" t="s">
        <v>122</v>
      </c>
      <c r="L12" s="1347"/>
      <c r="M12" s="710"/>
      <c r="N12" s="710"/>
      <c r="O12" s="710"/>
      <c r="P12" s="710"/>
      <c r="Q12" s="714"/>
    </row>
    <row r="13" spans="1:17">
      <c r="A13" s="709"/>
      <c r="B13" s="710"/>
      <c r="C13" s="710"/>
      <c r="D13" s="710"/>
      <c r="E13" s="710"/>
      <c r="F13" s="715"/>
      <c r="G13" s="715"/>
      <c r="H13" s="715"/>
      <c r="I13" s="712" t="s">
        <v>755</v>
      </c>
      <c r="J13" s="712" t="s">
        <v>755</v>
      </c>
      <c r="K13" s="715"/>
      <c r="L13" s="715"/>
      <c r="M13" s="710"/>
      <c r="N13" s="710"/>
      <c r="O13" s="710"/>
      <c r="P13" s="710"/>
      <c r="Q13" s="714"/>
    </row>
    <row r="14" spans="1:17">
      <c r="A14" s="712" t="s">
        <v>313</v>
      </c>
      <c r="B14" s="710"/>
      <c r="C14" s="710"/>
      <c r="D14" s="712"/>
      <c r="E14" s="712"/>
      <c r="F14" s="712"/>
      <c r="G14" s="712"/>
      <c r="H14" s="712"/>
      <c r="I14" s="712" t="s">
        <v>502</v>
      </c>
      <c r="J14" s="712" t="s">
        <v>123</v>
      </c>
      <c r="K14" s="712"/>
      <c r="L14" s="712"/>
      <c r="M14" s="710"/>
      <c r="N14" s="710"/>
      <c r="O14" s="710"/>
      <c r="P14" s="710"/>
      <c r="Q14" s="714"/>
    </row>
    <row r="15" spans="1:17">
      <c r="A15" s="882" t="s">
        <v>316</v>
      </c>
      <c r="B15" s="1110" t="s">
        <v>451</v>
      </c>
      <c r="C15" s="1110"/>
      <c r="D15" s="882">
        <v>2019</v>
      </c>
      <c r="E15" s="882">
        <v>2020</v>
      </c>
      <c r="F15" s="882">
        <v>2021</v>
      </c>
      <c r="G15" s="882">
        <v>2022</v>
      </c>
      <c r="H15" s="882">
        <v>2023</v>
      </c>
      <c r="I15" s="1111">
        <v>45535</v>
      </c>
      <c r="J15" s="1111">
        <v>46022</v>
      </c>
      <c r="K15" s="882">
        <v>2026</v>
      </c>
      <c r="L15" s="882">
        <v>2027</v>
      </c>
      <c r="M15" s="710"/>
      <c r="N15" s="710"/>
      <c r="O15" s="714"/>
    </row>
    <row r="16" spans="1:17">
      <c r="A16" s="712"/>
      <c r="B16" s="710"/>
      <c r="C16" s="710"/>
      <c r="D16" s="712" t="s">
        <v>320</v>
      </c>
      <c r="E16" s="712" t="s">
        <v>320</v>
      </c>
      <c r="F16" s="712" t="s">
        <v>320</v>
      </c>
      <c r="G16" s="712" t="s">
        <v>320</v>
      </c>
      <c r="H16" s="712" t="s">
        <v>320</v>
      </c>
      <c r="I16" s="712" t="s">
        <v>320</v>
      </c>
      <c r="J16" s="712" t="s">
        <v>320</v>
      </c>
      <c r="K16" s="712" t="s">
        <v>320</v>
      </c>
      <c r="L16" s="712" t="s">
        <v>320</v>
      </c>
      <c r="M16" s="710"/>
      <c r="N16" s="710"/>
      <c r="O16" s="714"/>
    </row>
    <row r="17" spans="1:14">
      <c r="A17" s="219"/>
      <c r="I17" s="219" t="s">
        <v>979</v>
      </c>
      <c r="J17" s="219" t="s">
        <v>979</v>
      </c>
      <c r="K17" s="219" t="s">
        <v>1064</v>
      </c>
      <c r="L17" s="219" t="s">
        <v>1064</v>
      </c>
    </row>
    <row r="18" spans="1:14">
      <c r="A18" s="219">
        <v>1</v>
      </c>
      <c r="B18" s="218" t="s">
        <v>728</v>
      </c>
      <c r="D18" s="282"/>
      <c r="E18" s="282"/>
      <c r="F18" s="282"/>
      <c r="G18" s="282"/>
      <c r="H18" s="282"/>
      <c r="I18" s="282"/>
      <c r="J18" s="282"/>
      <c r="K18" s="282"/>
      <c r="L18" s="282"/>
    </row>
    <row r="19" spans="1:14">
      <c r="A19" s="219">
        <f>A18+1</f>
        <v>2</v>
      </c>
      <c r="C19" s="218" t="s">
        <v>124</v>
      </c>
      <c r="D19" s="275">
        <v>111945596.89</v>
      </c>
      <c r="E19" s="275">
        <v>105688317.78</v>
      </c>
      <c r="F19" s="275">
        <v>126089587.48999999</v>
      </c>
      <c r="G19" s="275">
        <v>173247012.69</v>
      </c>
      <c r="H19" s="275">
        <v>169191355.83000001</v>
      </c>
      <c r="I19" s="275">
        <f>'C-2.1.A Oper Rev&amp;Exp by Accts'!F22</f>
        <v>139269717.48000002</v>
      </c>
      <c r="J19" s="275">
        <f>'C-2.1.B Oper Rev&amp;Exp by Accts'!F27</f>
        <v>127270020.84000003</v>
      </c>
      <c r="K19" s="275">
        <v>126385411.60724561</v>
      </c>
      <c r="L19" s="275">
        <v>126445052.82887717</v>
      </c>
    </row>
    <row r="20" spans="1:14">
      <c r="A20" s="219">
        <f>A19+1</f>
        <v>3</v>
      </c>
      <c r="C20" s="218" t="s">
        <v>125</v>
      </c>
      <c r="D20" s="275">
        <v>23035616.050000001</v>
      </c>
      <c r="E20" s="275">
        <v>21881512.060000002</v>
      </c>
      <c r="F20" s="275">
        <v>22119489.049999997</v>
      </c>
      <c r="G20" s="275">
        <v>23662618.149999999</v>
      </c>
      <c r="H20" s="275">
        <v>23321254.149999999</v>
      </c>
      <c r="I20" s="275">
        <f>'C-2.1.A Oper Rev&amp;Exp by Accts'!F27+'C-2.1.A Oper Rev&amp;Exp by Accts'!F28+'C-2.1.A Oper Rev&amp;Exp by Accts'!F29</f>
        <v>23486495.409999996</v>
      </c>
      <c r="J20" s="275">
        <f>'C-2.1.B Oper Rev&amp;Exp by Accts'!F32+'C-2.1.B Oper Rev&amp;Exp by Accts'!F33+'C-2.1.B Oper Rev&amp;Exp by Accts'!F34</f>
        <v>22584729.709999997</v>
      </c>
      <c r="K20" s="275">
        <v>22427751.182858512</v>
      </c>
      <c r="L20" s="275">
        <v>22438334.82904033</v>
      </c>
      <c r="N20" s="688"/>
    </row>
    <row r="21" spans="1:14">
      <c r="A21" s="219">
        <f>A20+1</f>
        <v>4</v>
      </c>
      <c r="C21" s="218" t="s">
        <v>126</v>
      </c>
      <c r="D21" s="1236">
        <v>2946774.3300000094</v>
      </c>
      <c r="E21" s="1236">
        <v>3436006.0199999958</v>
      </c>
      <c r="F21" s="1236">
        <v>9176879.9500000179</v>
      </c>
      <c r="G21" s="1236">
        <v>16510658.04999999</v>
      </c>
      <c r="H21" s="1236">
        <v>-3176694.7100000009</v>
      </c>
      <c r="I21" s="1236">
        <f>'C-2.1.A Oper Rev&amp;Exp by Accts'!F25+'C-2.1.A Oper Rev&amp;Exp by Accts'!F26+'C-2.1.A Oper Rev&amp;Exp by Accts'!F30++'C-2.1.A Oper Rev&amp;Exp by Accts'!F31</f>
        <v>7462298.8625977067</v>
      </c>
      <c r="J21" s="1236">
        <f>'C-2.1.B Oper Rev&amp;Exp by Accts'!F30+'C-2.1.B Oper Rev&amp;Exp by Accts'!F31+'C-2.1.B Oper Rev&amp;Exp by Accts'!F35+'C-2.1.B Oper Rev&amp;Exp by Accts'!F36</f>
        <v>965935.07666666678</v>
      </c>
      <c r="K21" s="1236">
        <v>959221.20107034524</v>
      </c>
      <c r="L21" s="1236">
        <v>959673.85714448546</v>
      </c>
      <c r="N21" s="675"/>
    </row>
    <row r="22" spans="1:14">
      <c r="A22" s="219">
        <f>A21+1</f>
        <v>5</v>
      </c>
      <c r="B22" s="218" t="s">
        <v>127</v>
      </c>
      <c r="D22" s="275">
        <f t="shared" ref="D22:L22" si="0">SUM(D19:D21)</f>
        <v>137927987.27000001</v>
      </c>
      <c r="E22" s="275">
        <f t="shared" si="0"/>
        <v>131005835.86</v>
      </c>
      <c r="F22" s="275">
        <f t="shared" si="0"/>
        <v>157385956.49000001</v>
      </c>
      <c r="G22" s="275">
        <f t="shared" si="0"/>
        <v>213420288.88999999</v>
      </c>
      <c r="H22" s="275">
        <f t="shared" si="0"/>
        <v>189335915.27000001</v>
      </c>
      <c r="I22" s="275">
        <f t="shared" si="0"/>
        <v>170218511.75259772</v>
      </c>
      <c r="J22" s="275">
        <f t="shared" si="0"/>
        <v>150820685.62666669</v>
      </c>
      <c r="K22" s="275">
        <f t="shared" si="0"/>
        <v>149772383.99117446</v>
      </c>
      <c r="L22" s="275">
        <f t="shared" si="0"/>
        <v>149843061.51506197</v>
      </c>
    </row>
    <row r="23" spans="1:14">
      <c r="A23" s="219"/>
      <c r="D23" s="275"/>
      <c r="E23" s="275"/>
      <c r="F23" s="275"/>
      <c r="G23" s="275"/>
      <c r="H23" s="275"/>
      <c r="I23" s="275"/>
      <c r="J23" s="275"/>
      <c r="K23" s="275"/>
      <c r="L23" s="275"/>
    </row>
    <row r="24" spans="1:14">
      <c r="A24" s="219">
        <f>A22+1</f>
        <v>6</v>
      </c>
      <c r="B24" s="218" t="s">
        <v>729</v>
      </c>
      <c r="D24" s="275"/>
      <c r="E24" s="275"/>
      <c r="F24" s="275"/>
      <c r="G24" s="275"/>
      <c r="H24" s="275"/>
      <c r="I24" s="275"/>
      <c r="J24" s="275"/>
      <c r="K24" s="275"/>
      <c r="L24" s="275"/>
    </row>
    <row r="25" spans="1:14">
      <c r="A25" s="219">
        <f t="shared" ref="A25:A30" si="1">A24+1</f>
        <v>7</v>
      </c>
      <c r="C25" s="218" t="s">
        <v>128</v>
      </c>
      <c r="D25" s="275">
        <v>46275989.719999999</v>
      </c>
      <c r="E25" s="275">
        <v>36908991.519999988</v>
      </c>
      <c r="F25" s="275">
        <v>59413646.990000002</v>
      </c>
      <c r="G25" s="275">
        <v>100523526.42000005</v>
      </c>
      <c r="H25" s="275">
        <v>72059955.549999997</v>
      </c>
      <c r="I25" s="275">
        <f>+'C-2.1.A Oper Rev&amp;Exp by Accts'!F68-'C-2.1.A Oper Rev&amp;Exp by Accts'!F64</f>
        <v>46329989.590000004</v>
      </c>
      <c r="J25" s="275">
        <f>'C-2.1.B Oper Rev&amp;Exp by Accts'!F69-'C-2.1.B Oper Rev&amp;Exp by Accts'!F65</f>
        <v>35413021.660000004</v>
      </c>
      <c r="K25" s="275">
        <v>35413021.660000004</v>
      </c>
      <c r="L25" s="275">
        <v>35413021.660000004</v>
      </c>
    </row>
    <row r="26" spans="1:14">
      <c r="A26" s="219">
        <f t="shared" si="1"/>
        <v>8</v>
      </c>
      <c r="C26" s="218" t="s">
        <v>129</v>
      </c>
      <c r="D26" s="275">
        <v>43795574.76000002</v>
      </c>
      <c r="E26" s="275">
        <v>44540892.18</v>
      </c>
      <c r="F26" s="275">
        <v>44023717.750000007</v>
      </c>
      <c r="G26" s="275">
        <v>45616786.389999986</v>
      </c>
      <c r="H26" s="275">
        <v>46717325.670000002</v>
      </c>
      <c r="I26" s="275">
        <f>+'C-2.1.A Oper Rev&amp;Exp by Accts'!F39+'C-2.1.A Oper Rev&amp;Exp by Accts'!F44+'C-2.1.A Oper Rev&amp;Exp by Accts'!F48+'C-2.1.A Oper Rev&amp;Exp by Accts'!F64+'C-2.1.A Oper Rev&amp;Exp by Accts'!F80+'C-2.1.A Oper Rev&amp;Exp by Accts'!F112+'C-2.1.A Oper Rev&amp;Exp by Accts'!F119+'C-2.1.A Oper Rev&amp;Exp by Accts'!F126+'C-2.1.A Oper Rev&amp;Exp by Accts'!F139</f>
        <v>48138503.539999992</v>
      </c>
      <c r="J26" s="275">
        <f>'C-2.1.B Oper Rev&amp;Exp by Accts'!F45+'C-2.1.B Oper Rev&amp;Exp by Accts'!F57+'C-2.1.B Oper Rev&amp;Exp by Accts'!F65+'C-2.1.B Oper Rev&amp;Exp by Accts'!F81+'C-2.1.B Oper Rev&amp;Exp by Accts'!F115+'C-2.1.B Oper Rev&amp;Exp by Accts'!F122+'C-2.1.B Oper Rev&amp;Exp by Accts'!F129+'C-2.1.B Oper Rev&amp;Exp by Accts'!F142</f>
        <v>45752741.49000001</v>
      </c>
      <c r="K26" s="275">
        <v>45695852.316807799</v>
      </c>
      <c r="L26" s="275">
        <v>46201509.880826034</v>
      </c>
    </row>
    <row r="27" spans="1:14">
      <c r="A27" s="219">
        <f t="shared" si="1"/>
        <v>9</v>
      </c>
      <c r="C27" s="218" t="s">
        <v>130</v>
      </c>
      <c r="D27" s="275">
        <v>5768693.6000000015</v>
      </c>
      <c r="E27" s="275">
        <v>5753655.5900000008</v>
      </c>
      <c r="F27" s="275">
        <v>7458936.5300000003</v>
      </c>
      <c r="G27" s="275">
        <v>7650829.3999999985</v>
      </c>
      <c r="H27" s="275">
        <v>7491097.46</v>
      </c>
      <c r="I27" s="275">
        <f>+'C-2.1.A Oper Rev&amp;Exp by Accts'!F104+'C-2.1.A Oper Rev&amp;Exp by Accts'!F144</f>
        <v>7159540.2400000002</v>
      </c>
      <c r="J27" s="275">
        <f>'C-2.1.B Oper Rev&amp;Exp by Accts'!F49+'C-2.1.B Oper Rev&amp;Exp by Accts'!F107+'C-2.1.B Oper Rev&amp;Exp by Accts'!F147</f>
        <v>7338119.5500000007</v>
      </c>
      <c r="K27" s="275">
        <v>7328995.297760901</v>
      </c>
      <c r="L27" s="275">
        <v>7410095.9167683674</v>
      </c>
    </row>
    <row r="28" spans="1:14">
      <c r="A28" s="219">
        <f t="shared" si="1"/>
        <v>10</v>
      </c>
      <c r="C28" s="218" t="s">
        <v>131</v>
      </c>
      <c r="D28" s="275">
        <v>13883938.780000001</v>
      </c>
      <c r="E28" s="275">
        <v>15169708.440000001</v>
      </c>
      <c r="F28" s="275">
        <v>16811220.170000002</v>
      </c>
      <c r="G28" s="275">
        <v>19639526.330000002</v>
      </c>
      <c r="H28" s="275">
        <v>21399767.710000001</v>
      </c>
      <c r="I28" s="275">
        <f>+'C-2.1.A Oper Rev&amp;Exp by Accts'!F148</f>
        <v>22462921.900000002</v>
      </c>
      <c r="J28" s="275">
        <f>'C-2.1.B Oper Rev&amp;Exp by Accts'!F151</f>
        <v>24472166.030000001</v>
      </c>
      <c r="K28" s="275">
        <v>26191396.719999999</v>
      </c>
      <c r="L28" s="275">
        <v>29087021.93</v>
      </c>
    </row>
    <row r="29" spans="1:14">
      <c r="A29" s="219">
        <f t="shared" si="1"/>
        <v>11</v>
      </c>
      <c r="C29" s="218" t="s">
        <v>132</v>
      </c>
      <c r="D29" s="1236">
        <v>5747586.4699999988</v>
      </c>
      <c r="E29" s="1236">
        <v>6749593.2999999998</v>
      </c>
      <c r="F29" s="1236">
        <v>7228771.4300000006</v>
      </c>
      <c r="G29" s="1236">
        <v>6505456.5999999996</v>
      </c>
      <c r="H29" s="1236">
        <v>4043831.6600000006</v>
      </c>
      <c r="I29" s="1236">
        <f>+'C-2.1.A Oper Rev&amp;Exp by Accts'!F149+'C-2.1.A Oper Rev&amp;Exp by Accts'!F150+'C-2.1.A Oper Rev&amp;Exp by Accts'!F151</f>
        <v>6685048.6541831288</v>
      </c>
      <c r="J29" s="1236">
        <f>'C-2.1.B Oper Rev&amp;Exp by Accts'!F152+'C-2.1.B Oper Rev&amp;Exp by Accts'!F153+'C-2.1.B Oper Rev&amp;Exp by Accts'!F154</f>
        <v>10498032.442864595</v>
      </c>
      <c r="K29" s="1236">
        <v>11244996.291350536</v>
      </c>
      <c r="L29" s="1236">
        <v>12324900.710050009</v>
      </c>
    </row>
    <row r="30" spans="1:14">
      <c r="A30" s="219">
        <f t="shared" si="1"/>
        <v>12</v>
      </c>
      <c r="B30" s="218" t="s">
        <v>752</v>
      </c>
      <c r="D30" s="275">
        <f t="shared" ref="D30:L30" si="2">SUM(D25:D29)</f>
        <v>115471783.33000001</v>
      </c>
      <c r="E30" s="275">
        <f t="shared" si="2"/>
        <v>109122841.02999999</v>
      </c>
      <c r="F30" s="275">
        <f t="shared" si="2"/>
        <v>134936292.87</v>
      </c>
      <c r="G30" s="275">
        <f t="shared" si="2"/>
        <v>179936125.14000005</v>
      </c>
      <c r="H30" s="275">
        <f t="shared" si="2"/>
        <v>151711978.04999998</v>
      </c>
      <c r="I30" s="275">
        <f t="shared" si="2"/>
        <v>130776003.92418313</v>
      </c>
      <c r="J30" s="275">
        <f t="shared" si="2"/>
        <v>123474081.1728646</v>
      </c>
      <c r="K30" s="275">
        <f t="shared" si="2"/>
        <v>125874262.28591925</v>
      </c>
      <c r="L30" s="275">
        <f t="shared" si="2"/>
        <v>130436550.09764442</v>
      </c>
    </row>
    <row r="31" spans="1:14">
      <c r="A31" s="219"/>
      <c r="D31" s="275"/>
      <c r="E31" s="275"/>
      <c r="F31" s="275"/>
      <c r="G31" s="275"/>
      <c r="H31" s="275"/>
      <c r="I31" s="275"/>
      <c r="J31" s="275"/>
      <c r="K31" s="275"/>
      <c r="L31" s="275"/>
    </row>
    <row r="32" spans="1:14">
      <c r="A32" s="219">
        <f>A30+1</f>
        <v>13</v>
      </c>
      <c r="B32" s="218" t="s">
        <v>133</v>
      </c>
      <c r="D32" s="275">
        <f t="shared" ref="D32:L32" si="3">D22-D30</f>
        <v>22456203.939999998</v>
      </c>
      <c r="E32" s="275">
        <f t="shared" si="3"/>
        <v>21882994.830000013</v>
      </c>
      <c r="F32" s="275">
        <f t="shared" si="3"/>
        <v>22449663.620000005</v>
      </c>
      <c r="G32" s="275">
        <f t="shared" si="3"/>
        <v>33484163.74999994</v>
      </c>
      <c r="H32" s="275">
        <f t="shared" si="3"/>
        <v>37623937.220000029</v>
      </c>
      <c r="I32" s="275">
        <f t="shared" si="3"/>
        <v>39442507.828414589</v>
      </c>
      <c r="J32" s="275">
        <f t="shared" si="3"/>
        <v>27346604.453802094</v>
      </c>
      <c r="K32" s="275">
        <f t="shared" si="3"/>
        <v>23898121.70525521</v>
      </c>
      <c r="L32" s="275">
        <f t="shared" si="3"/>
        <v>19406511.417417556</v>
      </c>
    </row>
    <row r="33" spans="1:12">
      <c r="A33" s="219"/>
      <c r="D33" s="275"/>
      <c r="E33" s="275"/>
      <c r="F33" s="275"/>
      <c r="G33" s="275"/>
      <c r="H33" s="275"/>
      <c r="I33" s="275"/>
      <c r="J33" s="275"/>
      <c r="K33" s="275"/>
      <c r="L33" s="275"/>
    </row>
    <row r="34" spans="1:12">
      <c r="A34" s="219">
        <f>A32+1</f>
        <v>14</v>
      </c>
      <c r="B34" s="218" t="s">
        <v>134</v>
      </c>
      <c r="D34" s="275"/>
      <c r="E34" s="275"/>
      <c r="F34" s="275"/>
      <c r="G34" s="275"/>
      <c r="H34" s="275"/>
      <c r="I34" s="275"/>
      <c r="J34" s="275"/>
      <c r="K34" s="275"/>
      <c r="L34" s="275"/>
    </row>
    <row r="35" spans="1:12">
      <c r="A35" s="219">
        <f>A34+1</f>
        <v>15</v>
      </c>
      <c r="C35" s="218" t="s">
        <v>135</v>
      </c>
      <c r="D35" s="275">
        <v>54096.32</v>
      </c>
      <c r="E35" s="275">
        <v>42232.07</v>
      </c>
      <c r="F35" s="275">
        <v>437.22</v>
      </c>
      <c r="G35" s="275">
        <v>-268.77</v>
      </c>
      <c r="H35" s="275">
        <v>0</v>
      </c>
      <c r="I35" s="275">
        <v>-295</v>
      </c>
      <c r="J35" s="275">
        <v>0</v>
      </c>
      <c r="K35" s="275">
        <v>0</v>
      </c>
      <c r="L35" s="275">
        <v>0</v>
      </c>
    </row>
    <row r="36" spans="1:12">
      <c r="A36" s="219">
        <f>A35+1</f>
        <v>16</v>
      </c>
      <c r="C36" s="218" t="s">
        <v>136</v>
      </c>
      <c r="D36" s="275">
        <v>3789865.1999999997</v>
      </c>
      <c r="E36" s="275">
        <v>1376994.58</v>
      </c>
      <c r="F36" s="275">
        <v>1236554.9800000002</v>
      </c>
      <c r="G36" s="275">
        <v>7675938.6699999999</v>
      </c>
      <c r="H36" s="275">
        <v>5762488.0699999994</v>
      </c>
      <c r="I36" s="275">
        <f>-'C-2.2.A Total Co Accts Activ '!P128-I35</f>
        <v>3619322.407390669</v>
      </c>
      <c r="J36" s="275">
        <f>-'C-2.2.B Total Co Accts Activ '!P132-J35</f>
        <v>923041.19178248371</v>
      </c>
      <c r="K36" s="275">
        <v>806399.63317658589</v>
      </c>
      <c r="L36" s="275">
        <v>1114270.0982484815</v>
      </c>
    </row>
    <row r="37" spans="1:12">
      <c r="A37" s="219">
        <f>A36+1</f>
        <v>17</v>
      </c>
      <c r="C37" s="218" t="s">
        <v>137</v>
      </c>
      <c r="D37" s="1236">
        <v>-6783497.3799999999</v>
      </c>
      <c r="E37" s="1236">
        <v>-7457330.5300000003</v>
      </c>
      <c r="F37" s="1236">
        <v>-7923077.3399999999</v>
      </c>
      <c r="G37" s="1236">
        <v>-9645351.9100000001</v>
      </c>
      <c r="H37" s="1236">
        <v>-10869820.300000001</v>
      </c>
      <c r="I37" s="1236">
        <f>-'C-2.2.A Total Co Accts Activ '!P122</f>
        <v>-11900718.317104371</v>
      </c>
      <c r="J37" s="1236">
        <f>-'C-2.2.B Total Co Accts Activ '!P126</f>
        <v>-13730195.849709943</v>
      </c>
      <c r="K37" s="1236">
        <v>-15346100.075436901</v>
      </c>
      <c r="L37" s="1236">
        <v>-17828541.983465403</v>
      </c>
    </row>
    <row r="38" spans="1:12">
      <c r="A38" s="219">
        <f>A37+1</f>
        <v>18</v>
      </c>
      <c r="B38" s="218" t="s">
        <v>138</v>
      </c>
      <c r="D38" s="275">
        <f t="shared" ref="D38:L38" si="4">SUM(D35:D37)</f>
        <v>-2939535.8600000003</v>
      </c>
      <c r="E38" s="275">
        <f t="shared" si="4"/>
        <v>-6038103.8799999999</v>
      </c>
      <c r="F38" s="275">
        <f t="shared" si="4"/>
        <v>-6686085.1399999997</v>
      </c>
      <c r="G38" s="275">
        <f t="shared" si="4"/>
        <v>-1969682.0099999998</v>
      </c>
      <c r="H38" s="275">
        <f t="shared" si="4"/>
        <v>-5107332.2300000014</v>
      </c>
      <c r="I38" s="275">
        <f t="shared" si="4"/>
        <v>-8281690.9097137023</v>
      </c>
      <c r="J38" s="275">
        <f t="shared" si="4"/>
        <v>-12807154.657927459</v>
      </c>
      <c r="K38" s="275">
        <f t="shared" si="4"/>
        <v>-14539700.442260316</v>
      </c>
      <c r="L38" s="275">
        <f t="shared" si="4"/>
        <v>-16714271.885216922</v>
      </c>
    </row>
    <row r="39" spans="1:12">
      <c r="A39" s="219"/>
      <c r="D39" s="275"/>
      <c r="E39" s="275"/>
      <c r="F39" s="275"/>
      <c r="G39" s="275"/>
      <c r="H39" s="275"/>
      <c r="I39" s="275"/>
      <c r="J39" s="275"/>
      <c r="K39" s="275"/>
      <c r="L39" s="275"/>
    </row>
    <row r="40" spans="1:12">
      <c r="A40" s="219">
        <f>A38+1</f>
        <v>19</v>
      </c>
      <c r="B40" s="218" t="s">
        <v>139</v>
      </c>
      <c r="D40" s="275">
        <f t="shared" ref="D40:L40" si="5">D32+D38</f>
        <v>19516668.079999998</v>
      </c>
      <c r="E40" s="275">
        <f t="shared" si="5"/>
        <v>15844890.950000014</v>
      </c>
      <c r="F40" s="275">
        <f t="shared" si="5"/>
        <v>15763578.480000004</v>
      </c>
      <c r="G40" s="275">
        <f t="shared" si="5"/>
        <v>31514481.739999942</v>
      </c>
      <c r="H40" s="275">
        <f t="shared" si="5"/>
        <v>32516604.990000028</v>
      </c>
      <c r="I40" s="275">
        <f t="shared" si="5"/>
        <v>31160816.918700889</v>
      </c>
      <c r="J40" s="275">
        <f t="shared" si="5"/>
        <v>14539449.795874635</v>
      </c>
      <c r="K40" s="275">
        <f t="shared" si="5"/>
        <v>9358421.2629948948</v>
      </c>
      <c r="L40" s="275">
        <f t="shared" si="5"/>
        <v>2692239.5322006345</v>
      </c>
    </row>
    <row r="41" spans="1:12">
      <c r="A41" s="219">
        <f>A40+1</f>
        <v>20</v>
      </c>
      <c r="B41" s="218" t="s">
        <v>140</v>
      </c>
      <c r="D41" s="1236">
        <v>4164668</v>
      </c>
      <c r="E41" s="1236">
        <v>4266868</v>
      </c>
      <c r="F41" s="1236">
        <v>3359116</v>
      </c>
      <c r="G41" s="1236">
        <v>7198360</v>
      </c>
      <c r="H41" s="1236">
        <v>7471632</v>
      </c>
      <c r="I41" s="1236">
        <f>'C-2.2.A Total Co Accts Activ '!P115</f>
        <v>6812286.4153734026</v>
      </c>
      <c r="J41" s="1236">
        <f>'C-2.2.B Total Co Accts Activ '!P119</f>
        <v>2715706.6352010109</v>
      </c>
      <c r="K41" s="1236">
        <v>5578032.4837537352</v>
      </c>
      <c r="L41" s="1236">
        <v>4430118.2288803831</v>
      </c>
    </row>
    <row r="42" spans="1:12">
      <c r="A42" s="219"/>
      <c r="D42" s="275"/>
      <c r="E42" s="275"/>
      <c r="F42" s="275"/>
      <c r="G42" s="275"/>
      <c r="H42" s="275"/>
      <c r="I42" s="275"/>
      <c r="J42" s="275"/>
      <c r="K42" s="284"/>
      <c r="L42" s="284"/>
    </row>
    <row r="43" spans="1:12">
      <c r="A43" s="219">
        <f>A41+1</f>
        <v>21</v>
      </c>
      <c r="B43" s="218" t="s">
        <v>3058</v>
      </c>
      <c r="D43" s="1237">
        <f>D40-D41</f>
        <v>15352000.079999998</v>
      </c>
      <c r="E43" s="1237">
        <f t="shared" ref="E43:L43" si="6">E40-E41</f>
        <v>11578022.950000014</v>
      </c>
      <c r="F43" s="1237">
        <f t="shared" si="6"/>
        <v>12404462.480000004</v>
      </c>
      <c r="G43" s="1237">
        <f t="shared" si="6"/>
        <v>24316121.739999942</v>
      </c>
      <c r="H43" s="1237">
        <f t="shared" si="6"/>
        <v>25044972.990000028</v>
      </c>
      <c r="I43" s="1237">
        <f t="shared" si="6"/>
        <v>24348530.503327485</v>
      </c>
      <c r="J43" s="1237">
        <f t="shared" si="6"/>
        <v>11823743.160673624</v>
      </c>
      <c r="K43" s="1237">
        <f t="shared" si="6"/>
        <v>3780388.7792411596</v>
      </c>
      <c r="L43" s="1237">
        <f t="shared" si="6"/>
        <v>-1737878.6966797486</v>
      </c>
    </row>
    <row r="46" spans="1:12">
      <c r="A46" s="708" t="s">
        <v>1065</v>
      </c>
    </row>
    <row r="47" spans="1:12">
      <c r="A47" s="218" t="s">
        <v>2935</v>
      </c>
    </row>
    <row r="49" spans="9:9">
      <c r="I49" s="282"/>
    </row>
  </sheetData>
  <mergeCells count="7">
    <mergeCell ref="D12:H12"/>
    <mergeCell ref="K12:L12"/>
    <mergeCell ref="A1:L1"/>
    <mergeCell ref="A2:L2"/>
    <mergeCell ref="A3:L3"/>
    <mergeCell ref="A4:L4"/>
    <mergeCell ref="A5:L5"/>
  </mergeCells>
  <printOptions horizontalCentered="1"/>
  <pageMargins left="0.5" right="0.5" top="0.75" bottom="0.5" header="0.3" footer="0.3"/>
  <pageSetup scale="77"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V92"/>
  <sheetViews>
    <sheetView zoomScaleNormal="100" zoomScaleSheetLayoutView="100" workbookViewId="0">
      <selection activeCell="I21" sqref="I21"/>
    </sheetView>
  </sheetViews>
  <sheetFormatPr defaultColWidth="9.33203125" defaultRowHeight="12.75"/>
  <cols>
    <col min="1" max="2" width="5.5" style="218" customWidth="1"/>
    <col min="3" max="3" width="23.5" style="218" customWidth="1"/>
    <col min="4" max="4" width="17.1640625" style="218" customWidth="1"/>
    <col min="5" max="5" width="17.33203125" style="218" customWidth="1"/>
    <col min="6" max="6" width="17.6640625" style="218" customWidth="1"/>
    <col min="7" max="8" width="16.6640625" style="218" customWidth="1"/>
    <col min="9" max="10" width="17.33203125" style="218" customWidth="1"/>
    <col min="11" max="11" width="16.6640625" style="218" customWidth="1"/>
    <col min="12" max="12" width="18.6640625" style="218" customWidth="1"/>
    <col min="13" max="13" width="9.33203125" style="218"/>
    <col min="14" max="14" width="15.6640625" style="218" customWidth="1"/>
    <col min="15" max="15" width="15.33203125" style="218" customWidth="1"/>
    <col min="16" max="16" width="14.6640625" style="218" bestFit="1" customWidth="1"/>
    <col min="17" max="17" width="16" style="218" bestFit="1" customWidth="1"/>
    <col min="18" max="18" width="46.33203125" style="218" customWidth="1"/>
    <col min="19" max="20" width="14.6640625" style="218" bestFit="1" customWidth="1"/>
    <col min="21" max="16384" width="9.33203125" style="218"/>
  </cols>
  <sheetData>
    <row r="1" spans="1:13">
      <c r="A1" s="1348" t="str">
        <f>'General Headers Index'!B4</f>
        <v>COLUMBIA GAS OF KENTUCKY, INC.</v>
      </c>
      <c r="B1" s="1348"/>
      <c r="C1" s="1348"/>
      <c r="D1" s="1348"/>
      <c r="E1" s="1348"/>
      <c r="F1" s="1348"/>
      <c r="G1" s="1348"/>
      <c r="H1" s="1348"/>
      <c r="I1" s="1348"/>
      <c r="J1" s="1348"/>
      <c r="K1" s="1348"/>
      <c r="L1" s="1348"/>
      <c r="M1" s="708"/>
    </row>
    <row r="2" spans="1:13">
      <c r="A2" s="1348" t="str">
        <f>'General Headers Index'!B6</f>
        <v>CASE NO. 2024 - 00092</v>
      </c>
      <c r="B2" s="1348"/>
      <c r="C2" s="1348"/>
      <c r="D2" s="1348"/>
      <c r="E2" s="1348"/>
      <c r="F2" s="1348"/>
      <c r="G2" s="1348"/>
      <c r="H2" s="1348"/>
      <c r="I2" s="1348"/>
      <c r="J2" s="1348"/>
      <c r="K2" s="1348"/>
      <c r="L2" s="1348"/>
      <c r="M2" s="708"/>
    </row>
    <row r="3" spans="1:13">
      <c r="A3" s="1348" t="str">
        <f>'Index I'!$C$21</f>
        <v>REVENUE STATISTICS - TOTAL COMPANY</v>
      </c>
      <c r="B3" s="1348"/>
      <c r="C3" s="1348"/>
      <c r="D3" s="1348"/>
      <c r="E3" s="1348"/>
      <c r="F3" s="1348"/>
      <c r="G3" s="1348"/>
      <c r="H3" s="1348"/>
      <c r="I3" s="1348"/>
      <c r="J3" s="1348"/>
      <c r="K3" s="1348"/>
      <c r="L3" s="1348"/>
      <c r="M3" s="708"/>
    </row>
    <row r="4" spans="1:13">
      <c r="A4" s="1348" t="str">
        <f>'General Headers Index'!B9</f>
        <v>BASE PERIOD: TWELVE MONTHS ENDED AUGUST 31, 2024</v>
      </c>
      <c r="B4" s="1348"/>
      <c r="C4" s="1348"/>
      <c r="D4" s="1348"/>
      <c r="E4" s="1348"/>
      <c r="F4" s="1348"/>
      <c r="G4" s="1348"/>
      <c r="H4" s="1348"/>
      <c r="I4" s="1348"/>
      <c r="J4" s="1348"/>
      <c r="K4" s="1348"/>
      <c r="L4" s="1348"/>
      <c r="M4" s="708"/>
    </row>
    <row r="5" spans="1:13">
      <c r="A5" s="1348" t="str">
        <f>'General Headers Index'!B16</f>
        <v>FORECASTED TEST PERIOD: TWELVE MONTHS ENDED DECEMBER 31, 2025</v>
      </c>
      <c r="B5" s="1348"/>
      <c r="C5" s="1348"/>
      <c r="D5" s="1348"/>
      <c r="E5" s="1348"/>
      <c r="F5" s="1348"/>
      <c r="G5" s="1348"/>
      <c r="H5" s="1348"/>
      <c r="I5" s="1348"/>
      <c r="J5" s="1348"/>
      <c r="K5" s="1348"/>
      <c r="L5" s="1348"/>
      <c r="M5" s="708"/>
    </row>
    <row r="6" spans="1:13">
      <c r="A6" s="708"/>
      <c r="B6" s="708"/>
      <c r="C6" s="708"/>
      <c r="D6" s="708"/>
      <c r="E6" s="708"/>
      <c r="F6" s="708"/>
      <c r="G6" s="708"/>
      <c r="H6" s="708"/>
      <c r="I6" s="708"/>
      <c r="J6" s="708"/>
      <c r="K6" s="708"/>
      <c r="L6" s="708"/>
      <c r="M6" s="708"/>
    </row>
    <row r="7" spans="1:13">
      <c r="A7" s="709" t="s">
        <v>739</v>
      </c>
      <c r="B7" s="710"/>
      <c r="C7" s="710"/>
      <c r="D7" s="710"/>
      <c r="E7" s="710"/>
      <c r="F7" s="710"/>
      <c r="G7" s="710"/>
      <c r="H7" s="710"/>
      <c r="I7" s="710"/>
      <c r="J7" s="710"/>
      <c r="K7" s="710"/>
      <c r="L7" s="711" t="s">
        <v>141</v>
      </c>
    </row>
    <row r="8" spans="1:13">
      <c r="A8" s="709" t="str">
        <f>'General Headers Index'!B37</f>
        <v>TYPE OF FILING:___X___ORIGINAL______UPDATED</v>
      </c>
      <c r="B8" s="710"/>
      <c r="C8" s="710"/>
      <c r="D8" s="710"/>
      <c r="E8" s="710"/>
      <c r="F8" s="710"/>
      <c r="G8" s="710"/>
      <c r="H8" s="710"/>
      <c r="I8" s="710"/>
      <c r="J8" s="710"/>
      <c r="K8" s="710"/>
      <c r="L8" s="711" t="s">
        <v>722</v>
      </c>
    </row>
    <row r="9" spans="1:13">
      <c r="A9" s="709" t="s">
        <v>575</v>
      </c>
      <c r="B9" s="710"/>
      <c r="C9" s="710"/>
      <c r="D9" s="710"/>
      <c r="E9" s="710"/>
      <c r="F9" s="710"/>
      <c r="G9" s="710"/>
      <c r="H9" s="710"/>
      <c r="I9" s="710"/>
      <c r="J9" s="710"/>
      <c r="K9" s="710"/>
      <c r="L9" s="714" t="str">
        <f>"WITNESS: "&amp;'General Headers Index'!B71</f>
        <v>WITNESS: WOZNIAK</v>
      </c>
    </row>
    <row r="10" spans="1:13">
      <c r="A10" s="874"/>
      <c r="B10" s="875"/>
      <c r="C10" s="875"/>
      <c r="D10" s="875"/>
      <c r="E10" s="875"/>
      <c r="F10" s="875"/>
      <c r="G10" s="875"/>
      <c r="H10" s="875"/>
      <c r="I10" s="875"/>
      <c r="J10" s="875"/>
      <c r="K10" s="875"/>
      <c r="L10" s="876"/>
    </row>
    <row r="11" spans="1:13">
      <c r="A11" s="709"/>
      <c r="B11" s="710"/>
      <c r="C11" s="710"/>
      <c r="D11" s="1342" t="s">
        <v>121</v>
      </c>
      <c r="E11" s="1342"/>
      <c r="F11" s="1342"/>
      <c r="G11" s="1342"/>
      <c r="H11" s="1342"/>
      <c r="I11" s="710"/>
      <c r="J11" s="710"/>
      <c r="K11" s="1347" t="s">
        <v>122</v>
      </c>
      <c r="L11" s="1347"/>
      <c r="M11" s="710"/>
    </row>
    <row r="12" spans="1:13">
      <c r="A12" s="709"/>
      <c r="B12" s="710"/>
      <c r="C12" s="710"/>
      <c r="D12" s="710"/>
      <c r="E12" s="710"/>
      <c r="F12" s="710"/>
      <c r="G12" s="710"/>
      <c r="H12" s="710"/>
      <c r="I12" s="712" t="s">
        <v>755</v>
      </c>
      <c r="J12" s="712" t="s">
        <v>755</v>
      </c>
      <c r="K12" s="710"/>
      <c r="L12" s="710"/>
      <c r="M12" s="710"/>
    </row>
    <row r="13" spans="1:13">
      <c r="A13" s="712" t="s">
        <v>313</v>
      </c>
      <c r="B13" s="710"/>
      <c r="C13" s="710"/>
      <c r="D13" s="712"/>
      <c r="E13" s="712"/>
      <c r="F13" s="712"/>
      <c r="G13" s="712"/>
      <c r="H13" s="712"/>
      <c r="I13" s="712" t="s">
        <v>315</v>
      </c>
      <c r="J13" s="712" t="s">
        <v>123</v>
      </c>
      <c r="K13" s="710"/>
      <c r="L13" s="710"/>
      <c r="M13" s="710"/>
    </row>
    <row r="14" spans="1:13">
      <c r="A14" s="882" t="s">
        <v>316</v>
      </c>
      <c r="B14" s="871" t="s">
        <v>451</v>
      </c>
      <c r="C14" s="871"/>
      <c r="D14" s="882">
        <f>'I-1 Comp Income Statement'!D15</f>
        <v>2019</v>
      </c>
      <c r="E14" s="882">
        <f>'I-1 Comp Income Statement'!E15</f>
        <v>2020</v>
      </c>
      <c r="F14" s="882">
        <f>'I-1 Comp Income Statement'!F15</f>
        <v>2021</v>
      </c>
      <c r="G14" s="882">
        <f>'I-1 Comp Income Statement'!G15</f>
        <v>2022</v>
      </c>
      <c r="H14" s="882">
        <f>'I-1 Comp Income Statement'!H15</f>
        <v>2023</v>
      </c>
      <c r="I14" s="1111">
        <f>'I-1 Comp Income Statement'!I15</f>
        <v>45535</v>
      </c>
      <c r="J14" s="1111">
        <f>'I-1 Comp Income Statement'!J15</f>
        <v>46022</v>
      </c>
      <c r="K14" s="882">
        <f>'I-1 Comp Income Statement'!K15</f>
        <v>2026</v>
      </c>
      <c r="L14" s="882">
        <f>'I-1 Comp Income Statement'!L15</f>
        <v>2027</v>
      </c>
      <c r="M14" s="712"/>
    </row>
    <row r="15" spans="1:13">
      <c r="A15" s="219"/>
      <c r="C15" s="282"/>
      <c r="D15" s="1113"/>
      <c r="E15" s="1113"/>
      <c r="F15" s="1113"/>
      <c r="G15" s="1113"/>
      <c r="H15" s="1113"/>
      <c r="I15" s="1113" t="s">
        <v>979</v>
      </c>
      <c r="J15" s="1113" t="s">
        <v>979</v>
      </c>
      <c r="K15" s="1113" t="s">
        <v>1064</v>
      </c>
      <c r="L15" s="1113" t="s">
        <v>1064</v>
      </c>
      <c r="M15" s="282"/>
    </row>
    <row r="16" spans="1:13">
      <c r="A16" s="219">
        <v>1</v>
      </c>
      <c r="B16" s="218" t="s">
        <v>972</v>
      </c>
      <c r="C16" s="282"/>
      <c r="D16" s="282"/>
      <c r="E16" s="282"/>
      <c r="F16" s="282"/>
      <c r="G16" s="282"/>
      <c r="H16" s="282"/>
      <c r="I16" s="282"/>
      <c r="J16" s="282"/>
      <c r="K16" s="282"/>
      <c r="L16" s="282"/>
      <c r="M16" s="282"/>
    </row>
    <row r="17" spans="1:22">
      <c r="A17" s="219">
        <f t="shared" ref="A17:A22" si="0">A16+1</f>
        <v>2</v>
      </c>
      <c r="C17" s="282" t="s">
        <v>142</v>
      </c>
      <c r="D17" s="1114">
        <v>77458144.890000001</v>
      </c>
      <c r="E17" s="1114">
        <v>74563840.370000005</v>
      </c>
      <c r="F17" s="1114">
        <v>87122168.709999993</v>
      </c>
      <c r="G17" s="1114">
        <v>115734768.94</v>
      </c>
      <c r="H17" s="1114">
        <v>113923249.86</v>
      </c>
      <c r="I17" s="1114">
        <f>'C-2.1.A Oper Rev&amp;Exp by Accts'!F17</f>
        <v>95651080.959999993</v>
      </c>
      <c r="J17" s="1114">
        <f>'C-2.1.B Oper Rev&amp;Exp by Accts'!F17+'C-2.1.B Oper Rev&amp;Exp by Accts'!F18</f>
        <v>88658517.700000018</v>
      </c>
      <c r="K17" s="1114">
        <v>87602544.673113495</v>
      </c>
      <c r="L17" s="1114">
        <v>87657037.573337048</v>
      </c>
      <c r="M17" s="282"/>
      <c r="N17" s="1114"/>
      <c r="O17" s="1114"/>
      <c r="P17" s="1114"/>
      <c r="Q17" s="1114"/>
      <c r="R17" s="1114"/>
      <c r="S17" s="1114"/>
      <c r="T17" s="1114"/>
      <c r="U17" s="1114"/>
      <c r="V17" s="1114"/>
    </row>
    <row r="18" spans="1:22">
      <c r="A18" s="219">
        <f t="shared" si="0"/>
        <v>3</v>
      </c>
      <c r="C18" s="282" t="s">
        <v>143</v>
      </c>
      <c r="D18" s="282">
        <v>32337336.039999999</v>
      </c>
      <c r="E18" s="282">
        <v>29565414.870000001</v>
      </c>
      <c r="F18" s="282">
        <v>36980257.420000002</v>
      </c>
      <c r="G18" s="282">
        <v>54637928.009999998</v>
      </c>
      <c r="H18" s="282">
        <v>52841131.670000002</v>
      </c>
      <c r="I18" s="282">
        <f>'C-2.1.A Oper Rev&amp;Exp by Accts'!F18</f>
        <v>42081251.470000006</v>
      </c>
      <c r="J18" s="282">
        <f>'C-2.1.B Oper Rev&amp;Exp by Accts'!F19+'C-2.1.B Oper Rev&amp;Exp by Accts'!F20</f>
        <v>37370258.980000004</v>
      </c>
      <c r="K18" s="282">
        <v>36925158.085981295</v>
      </c>
      <c r="L18" s="282">
        <v>36948127.269842632</v>
      </c>
      <c r="M18" s="282"/>
      <c r="N18" s="1114"/>
      <c r="O18" s="1114"/>
      <c r="P18" s="1114"/>
      <c r="Q18" s="1114"/>
      <c r="R18" s="1114"/>
      <c r="S18" s="1114"/>
      <c r="T18" s="1114"/>
      <c r="U18" s="1114"/>
      <c r="V18" s="1114"/>
    </row>
    <row r="19" spans="1:22">
      <c r="A19" s="219">
        <f t="shared" si="0"/>
        <v>4</v>
      </c>
      <c r="C19" s="282" t="s">
        <v>144</v>
      </c>
      <c r="D19" s="282">
        <v>2074552.14</v>
      </c>
      <c r="E19" s="282">
        <v>1491491.4</v>
      </c>
      <c r="F19" s="282">
        <v>1889068.99</v>
      </c>
      <c r="G19" s="282">
        <v>2760294.43</v>
      </c>
      <c r="H19" s="282">
        <v>2342927.56</v>
      </c>
      <c r="I19" s="282">
        <f>'C-2.1.A Oper Rev&amp;Exp by Accts'!F19</f>
        <v>1461528.22</v>
      </c>
      <c r="J19" s="282">
        <f>'C-2.1.B Oper Rev&amp;Exp by Accts'!F21+'C-2.1.B Oper Rev&amp;Exp by Accts'!F22</f>
        <v>1175359.8599999999</v>
      </c>
      <c r="K19" s="282">
        <v>1161360.6601346822</v>
      </c>
      <c r="L19" s="282">
        <v>1162083.0810507915</v>
      </c>
      <c r="M19" s="282"/>
    </row>
    <row r="20" spans="1:22">
      <c r="A20" s="219">
        <f t="shared" si="0"/>
        <v>5</v>
      </c>
      <c r="C20" s="282" t="s">
        <v>904</v>
      </c>
      <c r="D20" s="282">
        <v>74222.34</v>
      </c>
      <c r="E20" s="282">
        <v>67435.899999999994</v>
      </c>
      <c r="F20" s="282">
        <v>81230.41</v>
      </c>
      <c r="G20" s="282">
        <v>112418.69</v>
      </c>
      <c r="H20" s="282">
        <v>93096.97</v>
      </c>
      <c r="I20" s="282">
        <f>'C-2.1.A Oper Rev&amp;Exp by Accts'!F21</f>
        <v>67702.240000000005</v>
      </c>
      <c r="J20" s="282">
        <f>'C-2.1.B Oper Rev&amp;Exp by Accts'!F25+'C-2.1.B Oper Rev&amp;Exp by Accts'!F26</f>
        <v>65884.3</v>
      </c>
      <c r="K20" s="282">
        <v>65099.580770532237</v>
      </c>
      <c r="L20" s="282">
        <v>65140.075769538947</v>
      </c>
      <c r="M20" s="282"/>
      <c r="N20" s="1115"/>
      <c r="O20" s="1115"/>
      <c r="P20" s="1115"/>
      <c r="Q20" s="1115"/>
      <c r="R20" s="1115"/>
    </row>
    <row r="21" spans="1:22">
      <c r="A21" s="219">
        <f>A20+1</f>
        <v>6</v>
      </c>
      <c r="C21" s="282" t="s">
        <v>364</v>
      </c>
      <c r="D21" s="282">
        <v>0</v>
      </c>
      <c r="E21" s="282">
        <v>0</v>
      </c>
      <c r="F21" s="282">
        <v>16861.96</v>
      </c>
      <c r="G21" s="282">
        <v>1602.62</v>
      </c>
      <c r="H21" s="282">
        <v>-9050.23</v>
      </c>
      <c r="I21" s="282">
        <f>'C-2.1.A Oper Rev&amp;Exp by Accts'!F20</f>
        <v>8154.5900000000011</v>
      </c>
      <c r="J21" s="282">
        <v>0</v>
      </c>
      <c r="K21" s="282">
        <v>0</v>
      </c>
      <c r="L21" s="282">
        <v>0</v>
      </c>
      <c r="M21" s="282"/>
      <c r="N21" s="1334"/>
      <c r="O21" s="1334"/>
      <c r="P21" s="1334"/>
      <c r="Q21" s="1334"/>
      <c r="R21" s="1334"/>
    </row>
    <row r="22" spans="1:22">
      <c r="A22" s="219">
        <f t="shared" si="0"/>
        <v>7</v>
      </c>
      <c r="C22" s="282" t="s">
        <v>145</v>
      </c>
      <c r="D22" s="1112">
        <v>-549971</v>
      </c>
      <c r="E22" s="1112">
        <v>2298871.87</v>
      </c>
      <c r="F22" s="1112">
        <v>1971232.9000000001</v>
      </c>
      <c r="G22" s="1112">
        <v>8538881.3299999982</v>
      </c>
      <c r="H22" s="1112">
        <v>-7704017.2800000003</v>
      </c>
      <c r="I22" s="1112">
        <v>5856958.0099999988</v>
      </c>
      <c r="J22" s="1112">
        <v>0</v>
      </c>
      <c r="K22" s="1112">
        <v>0</v>
      </c>
      <c r="L22" s="1112">
        <v>0</v>
      </c>
      <c r="M22" s="282"/>
      <c r="N22" s="1334"/>
      <c r="O22" s="1334"/>
      <c r="P22" s="1334"/>
      <c r="Q22" s="1334"/>
      <c r="R22" s="1334"/>
    </row>
    <row r="23" spans="1:22">
      <c r="A23" s="219">
        <f>A22+1</f>
        <v>8</v>
      </c>
      <c r="C23" s="282"/>
      <c r="D23" s="1114">
        <f>SUM(D17:D22)</f>
        <v>111394284.41000001</v>
      </c>
      <c r="E23" s="1114">
        <f t="shared" ref="E23:L23" si="1">SUM(E17:E22)</f>
        <v>107987054.41000003</v>
      </c>
      <c r="F23" s="1114">
        <f t="shared" si="1"/>
        <v>128060820.38999999</v>
      </c>
      <c r="G23" s="1114">
        <f t="shared" si="1"/>
        <v>181785894.01999998</v>
      </c>
      <c r="H23" s="1114">
        <f t="shared" si="1"/>
        <v>161487338.55000001</v>
      </c>
      <c r="I23" s="1114">
        <f t="shared" si="1"/>
        <v>145126675.49000001</v>
      </c>
      <c r="J23" s="1114">
        <f t="shared" si="1"/>
        <v>127270020.84000002</v>
      </c>
      <c r="K23" s="1114">
        <f t="shared" si="1"/>
        <v>125754163.00000001</v>
      </c>
      <c r="L23" s="1114">
        <f t="shared" si="1"/>
        <v>125832388.00000001</v>
      </c>
      <c r="M23" s="282"/>
    </row>
    <row r="24" spans="1:22">
      <c r="A24" s="219"/>
      <c r="C24" s="282"/>
      <c r="D24" s="282"/>
      <c r="E24" s="282"/>
      <c r="F24" s="282"/>
      <c r="G24" s="282"/>
      <c r="H24" s="282"/>
      <c r="I24" s="282"/>
      <c r="J24" s="282"/>
      <c r="K24" s="282"/>
      <c r="L24" s="282"/>
      <c r="M24" s="282"/>
    </row>
    <row r="25" spans="1:22">
      <c r="A25" s="219">
        <f>A23+1</f>
        <v>9</v>
      </c>
      <c r="B25" s="218" t="s">
        <v>975</v>
      </c>
      <c r="C25" s="282"/>
      <c r="D25" s="282"/>
      <c r="E25" s="282"/>
      <c r="F25" s="282"/>
      <c r="G25" s="282"/>
      <c r="H25" s="282"/>
      <c r="I25" s="282"/>
      <c r="J25" s="282"/>
      <c r="K25" s="282"/>
      <c r="L25" s="282"/>
      <c r="M25" s="282"/>
    </row>
    <row r="26" spans="1:22">
      <c r="A26" s="219">
        <f>A25+1</f>
        <v>10</v>
      </c>
      <c r="C26" s="282" t="s">
        <v>142</v>
      </c>
      <c r="D26" s="1114">
        <v>8386117.2000000002</v>
      </c>
      <c r="E26" s="1114">
        <v>8337303.9100000001</v>
      </c>
      <c r="F26" s="1114">
        <v>7665201.5800000001</v>
      </c>
      <c r="G26" s="1114">
        <v>7901726.8899999997</v>
      </c>
      <c r="H26" s="1114">
        <v>7623160.8899999997</v>
      </c>
      <c r="I26" s="1114">
        <v>7369034.79</v>
      </c>
      <c r="J26" s="1114">
        <f>'C-2.1.B Oper Rev&amp;Exp by Accts'!F32</f>
        <v>7174290.5699999984</v>
      </c>
      <c r="K26" s="1114">
        <v>7776000</v>
      </c>
      <c r="L26" s="1114">
        <v>7764000</v>
      </c>
      <c r="M26" s="282"/>
    </row>
    <row r="27" spans="1:22">
      <c r="A27" s="219">
        <f>A26+1</f>
        <v>11</v>
      </c>
      <c r="C27" s="282" t="s">
        <v>143</v>
      </c>
      <c r="D27" s="282">
        <v>9096985.4900000002</v>
      </c>
      <c r="E27" s="282">
        <v>8766483.9800000004</v>
      </c>
      <c r="F27" s="282">
        <v>8626104.6699999999</v>
      </c>
      <c r="G27" s="282">
        <v>9247352.1600000001</v>
      </c>
      <c r="H27" s="282">
        <v>8946186.6099999994</v>
      </c>
      <c r="I27" s="275">
        <v>8997476.6100000013</v>
      </c>
      <c r="J27" s="275">
        <f>'C-2.1.B Oper Rev&amp;Exp by Accts'!F33</f>
        <v>8854862.3900000006</v>
      </c>
      <c r="K27" s="282">
        <v>8749000</v>
      </c>
      <c r="L27" s="282">
        <v>8749000</v>
      </c>
      <c r="M27" s="282"/>
    </row>
    <row r="28" spans="1:22" ht="12.75" customHeight="1">
      <c r="A28" s="219">
        <f>A27+1</f>
        <v>12</v>
      </c>
      <c r="C28" s="282" t="s">
        <v>144</v>
      </c>
      <c r="D28" s="282">
        <v>5459093.8899999997</v>
      </c>
      <c r="E28" s="282">
        <v>5040265.59</v>
      </c>
      <c r="F28" s="282">
        <v>5430819.5099999998</v>
      </c>
      <c r="G28" s="282">
        <v>6731252.2000000002</v>
      </c>
      <c r="H28" s="282">
        <v>6922143.6500000004</v>
      </c>
      <c r="I28" s="275">
        <v>6679001.2999999998</v>
      </c>
      <c r="J28" s="275">
        <f>'C-2.1.B Oper Rev&amp;Exp by Accts'!F34</f>
        <v>6555576.7499999991</v>
      </c>
      <c r="K28" s="282">
        <v>6534000</v>
      </c>
      <c r="L28" s="282">
        <v>6538000</v>
      </c>
      <c r="M28" s="282"/>
      <c r="N28" s="1334"/>
      <c r="O28" s="1334"/>
      <c r="P28" s="1334"/>
      <c r="Q28" s="1334"/>
      <c r="R28" s="1334"/>
    </row>
    <row r="29" spans="1:22">
      <c r="A29" s="219">
        <f>A28+1</f>
        <v>13</v>
      </c>
      <c r="C29" s="282" t="s">
        <v>145</v>
      </c>
      <c r="D29" s="1112">
        <v>93419.47</v>
      </c>
      <c r="E29" s="1112">
        <v>-262541.42</v>
      </c>
      <c r="F29" s="1112">
        <v>397363.29000000004</v>
      </c>
      <c r="G29" s="1112">
        <v>-217713.1</v>
      </c>
      <c r="H29" s="1112">
        <v>-170237</v>
      </c>
      <c r="I29" s="1112">
        <v>440982.70999999996</v>
      </c>
      <c r="J29" s="1112">
        <v>0</v>
      </c>
      <c r="K29" s="1112">
        <v>0</v>
      </c>
      <c r="L29" s="1112">
        <v>0</v>
      </c>
      <c r="M29" s="282"/>
      <c r="N29" s="1334"/>
      <c r="O29" s="1334"/>
      <c r="P29" s="1334"/>
      <c r="Q29" s="1334"/>
      <c r="R29" s="1334"/>
    </row>
    <row r="30" spans="1:22">
      <c r="A30" s="219">
        <f>A29+1</f>
        <v>14</v>
      </c>
      <c r="C30" s="282"/>
      <c r="D30" s="1114">
        <f>SUM(D26:D29)</f>
        <v>23035616.050000001</v>
      </c>
      <c r="E30" s="1114">
        <f t="shared" ref="E30:L30" si="2">SUM(E26:E29)</f>
        <v>21881512.059999999</v>
      </c>
      <c r="F30" s="1114">
        <f t="shared" si="2"/>
        <v>22119489.049999997</v>
      </c>
      <c r="G30" s="1114">
        <f t="shared" si="2"/>
        <v>23662618.149999999</v>
      </c>
      <c r="H30" s="1114">
        <f t="shared" si="2"/>
        <v>23321254.149999999</v>
      </c>
      <c r="I30" s="1114">
        <f t="shared" si="2"/>
        <v>23486495.410000004</v>
      </c>
      <c r="J30" s="1114">
        <f t="shared" si="2"/>
        <v>22584729.709999997</v>
      </c>
      <c r="K30" s="1114">
        <f t="shared" si="2"/>
        <v>23059000</v>
      </c>
      <c r="L30" s="1114">
        <f t="shared" si="2"/>
        <v>23051000</v>
      </c>
      <c r="M30" s="282"/>
    </row>
    <row r="31" spans="1:22">
      <c r="A31" s="219"/>
      <c r="C31" s="282"/>
      <c r="D31" s="282"/>
      <c r="E31" s="282"/>
      <c r="F31" s="282"/>
      <c r="G31" s="282"/>
      <c r="H31" s="282"/>
      <c r="I31" s="282"/>
      <c r="J31" s="282"/>
      <c r="K31" s="282"/>
      <c r="L31" s="282"/>
      <c r="M31" s="282"/>
    </row>
    <row r="32" spans="1:22">
      <c r="A32" s="219">
        <f>A30+1</f>
        <v>15</v>
      </c>
      <c r="C32" s="1116" t="s">
        <v>976</v>
      </c>
      <c r="D32" s="1114">
        <f>D23+D30</f>
        <v>134429900.46000001</v>
      </c>
      <c r="E32" s="1114">
        <f t="shared" ref="E32:L32" si="3">E23+E30</f>
        <v>129868566.47000003</v>
      </c>
      <c r="F32" s="1114">
        <f t="shared" si="3"/>
        <v>150180309.44</v>
      </c>
      <c r="G32" s="1114">
        <f t="shared" si="3"/>
        <v>205448512.16999999</v>
      </c>
      <c r="H32" s="1114">
        <f t="shared" si="3"/>
        <v>184808592.70000002</v>
      </c>
      <c r="I32" s="1114">
        <f t="shared" si="3"/>
        <v>168613170.90000001</v>
      </c>
      <c r="J32" s="1114">
        <f t="shared" si="3"/>
        <v>149854750.55000001</v>
      </c>
      <c r="K32" s="1114">
        <f t="shared" si="3"/>
        <v>148813163</v>
      </c>
      <c r="L32" s="1114">
        <f t="shared" si="3"/>
        <v>148883388</v>
      </c>
      <c r="M32" s="282"/>
    </row>
    <row r="33" spans="1:18">
      <c r="A33" s="219"/>
      <c r="C33" s="282"/>
      <c r="D33" s="282"/>
      <c r="E33" s="282"/>
      <c r="F33" s="282"/>
      <c r="G33" s="282"/>
      <c r="H33" s="282"/>
      <c r="I33" s="282"/>
      <c r="J33" s="282"/>
      <c r="K33" s="282"/>
      <c r="L33" s="282"/>
      <c r="M33" s="282"/>
    </row>
    <row r="34" spans="1:18">
      <c r="A34" s="219">
        <f>A32+1</f>
        <v>16</v>
      </c>
      <c r="B34" s="218" t="s">
        <v>973</v>
      </c>
      <c r="D34" s="282"/>
      <c r="E34" s="282"/>
      <c r="F34" s="282"/>
      <c r="G34" s="282"/>
      <c r="H34" s="282"/>
      <c r="I34" s="282"/>
      <c r="J34" s="282"/>
      <c r="K34" s="282"/>
      <c r="L34" s="282"/>
    </row>
    <row r="35" spans="1:18">
      <c r="A35" s="219">
        <f t="shared" ref="A35:A40" si="4">A34+1</f>
        <v>17</v>
      </c>
      <c r="C35" s="282" t="s">
        <v>142</v>
      </c>
      <c r="D35" s="282">
        <v>105929</v>
      </c>
      <c r="E35" s="282">
        <v>108375</v>
      </c>
      <c r="F35" s="282">
        <v>109391</v>
      </c>
      <c r="G35" s="282">
        <v>111513</v>
      </c>
      <c r="H35" s="282">
        <v>112698</v>
      </c>
      <c r="I35" s="282">
        <v>110695</v>
      </c>
      <c r="J35" s="282">
        <v>113374</v>
      </c>
      <c r="K35" s="282">
        <v>112933</v>
      </c>
      <c r="L35" s="282">
        <v>113210</v>
      </c>
      <c r="N35" s="1350"/>
      <c r="O35" s="1350"/>
      <c r="P35" s="1350"/>
      <c r="Q35" s="1350"/>
      <c r="R35" s="1350"/>
    </row>
    <row r="36" spans="1:18">
      <c r="A36" s="219">
        <f t="shared" si="4"/>
        <v>18</v>
      </c>
      <c r="C36" s="282" t="s">
        <v>143</v>
      </c>
      <c r="D36" s="282">
        <v>11052</v>
      </c>
      <c r="E36" s="282">
        <v>11200</v>
      </c>
      <c r="F36" s="282">
        <v>11338</v>
      </c>
      <c r="G36" s="282">
        <v>11907</v>
      </c>
      <c r="H36" s="282">
        <v>12033</v>
      </c>
      <c r="I36" s="282">
        <v>11781</v>
      </c>
      <c r="J36" s="282">
        <v>12098</v>
      </c>
      <c r="K36" s="282">
        <v>11997</v>
      </c>
      <c r="L36" s="282">
        <v>11997</v>
      </c>
      <c r="N36" s="1337"/>
      <c r="O36" s="1337"/>
      <c r="P36" s="1337"/>
      <c r="Q36" s="1337"/>
      <c r="R36" s="1337"/>
    </row>
    <row r="37" spans="1:18">
      <c r="A37" s="219">
        <f t="shared" si="4"/>
        <v>19</v>
      </c>
      <c r="C37" s="282" t="s">
        <v>144</v>
      </c>
      <c r="D37" s="282">
        <v>54</v>
      </c>
      <c r="E37" s="282">
        <v>48</v>
      </c>
      <c r="F37" s="282">
        <v>45</v>
      </c>
      <c r="G37" s="282">
        <v>56</v>
      </c>
      <c r="H37" s="282">
        <v>52</v>
      </c>
      <c r="I37" s="282">
        <v>52</v>
      </c>
      <c r="J37" s="282">
        <v>52</v>
      </c>
      <c r="K37" s="282">
        <v>54</v>
      </c>
      <c r="L37" s="282">
        <v>54</v>
      </c>
      <c r="N37" s="1337"/>
      <c r="O37" s="1337"/>
      <c r="P37" s="1337"/>
      <c r="Q37" s="1337"/>
      <c r="R37" s="1337"/>
    </row>
    <row r="38" spans="1:18">
      <c r="A38" s="219">
        <f t="shared" si="4"/>
        <v>20</v>
      </c>
      <c r="C38" s="282" t="s">
        <v>904</v>
      </c>
      <c r="D38" s="282">
        <v>2</v>
      </c>
      <c r="E38" s="282">
        <v>2</v>
      </c>
      <c r="F38" s="282">
        <v>2</v>
      </c>
      <c r="G38" s="282">
        <v>2</v>
      </c>
      <c r="H38" s="282">
        <v>2</v>
      </c>
      <c r="I38" s="282">
        <v>2</v>
      </c>
      <c r="J38" s="282">
        <v>2</v>
      </c>
      <c r="K38" s="282">
        <v>2</v>
      </c>
      <c r="L38" s="282">
        <v>2</v>
      </c>
    </row>
    <row r="39" spans="1:18">
      <c r="A39" s="219">
        <f t="shared" si="4"/>
        <v>21</v>
      </c>
      <c r="C39" s="282" t="s">
        <v>364</v>
      </c>
      <c r="D39" s="1112">
        <v>0</v>
      </c>
      <c r="E39" s="1112">
        <v>0</v>
      </c>
      <c r="F39" s="1112">
        <v>0</v>
      </c>
      <c r="G39" s="1112">
        <v>0</v>
      </c>
      <c r="H39" s="1112">
        <v>0</v>
      </c>
      <c r="I39" s="1112">
        <v>0</v>
      </c>
      <c r="J39" s="1112">
        <v>0</v>
      </c>
      <c r="K39" s="1112">
        <v>0</v>
      </c>
      <c r="L39" s="1112">
        <v>0</v>
      </c>
    </row>
    <row r="40" spans="1:18">
      <c r="A40" s="219">
        <f t="shared" si="4"/>
        <v>22</v>
      </c>
      <c r="C40" s="282"/>
      <c r="D40" s="282">
        <f>SUM(D35:D39)</f>
        <v>117037</v>
      </c>
      <c r="E40" s="282">
        <f t="shared" ref="E40:L40" si="5">SUM(E35:E39)</f>
        <v>119625</v>
      </c>
      <c r="F40" s="282">
        <f t="shared" si="5"/>
        <v>120776</v>
      </c>
      <c r="G40" s="282">
        <f t="shared" si="5"/>
        <v>123478</v>
      </c>
      <c r="H40" s="282">
        <f t="shared" si="5"/>
        <v>124785</v>
      </c>
      <c r="I40" s="282">
        <f t="shared" si="5"/>
        <v>122530</v>
      </c>
      <c r="J40" s="282">
        <f t="shared" si="5"/>
        <v>125526</v>
      </c>
      <c r="K40" s="282">
        <f t="shared" si="5"/>
        <v>124986</v>
      </c>
      <c r="L40" s="282">
        <f t="shared" si="5"/>
        <v>125263</v>
      </c>
    </row>
    <row r="41" spans="1:18">
      <c r="A41" s="219"/>
      <c r="C41" s="282"/>
      <c r="D41" s="282"/>
      <c r="E41" s="282"/>
      <c r="F41" s="282"/>
      <c r="G41" s="282"/>
      <c r="H41" s="282"/>
      <c r="I41" s="282"/>
      <c r="J41" s="282"/>
      <c r="K41" s="282"/>
      <c r="L41" s="282"/>
    </row>
    <row r="42" spans="1:18">
      <c r="A42" s="219">
        <f>A40+1</f>
        <v>23</v>
      </c>
      <c r="B42" s="218" t="s">
        <v>2938</v>
      </c>
      <c r="C42" s="282"/>
      <c r="D42" s="282"/>
      <c r="E42" s="282"/>
      <c r="F42" s="282"/>
      <c r="G42" s="282"/>
      <c r="H42" s="282"/>
      <c r="I42" s="282"/>
      <c r="J42" s="282"/>
      <c r="K42" s="282"/>
      <c r="L42" s="282"/>
    </row>
    <row r="43" spans="1:18">
      <c r="A43" s="219">
        <f>A42+1</f>
        <v>24</v>
      </c>
      <c r="C43" s="282" t="s">
        <v>142</v>
      </c>
      <c r="D43" s="282">
        <v>16719</v>
      </c>
      <c r="E43" s="282">
        <v>15552</v>
      </c>
      <c r="F43" s="282">
        <v>14267</v>
      </c>
      <c r="G43" s="282">
        <v>12466</v>
      </c>
      <c r="H43" s="282">
        <v>11447</v>
      </c>
      <c r="I43" s="282">
        <v>11447</v>
      </c>
      <c r="J43" s="282">
        <v>11447</v>
      </c>
      <c r="K43" s="282">
        <v>12181</v>
      </c>
      <c r="L43" s="282">
        <v>12181</v>
      </c>
    </row>
    <row r="44" spans="1:18">
      <c r="A44" s="219">
        <f>A43+1</f>
        <v>25</v>
      </c>
      <c r="C44" s="282" t="s">
        <v>143</v>
      </c>
      <c r="D44" s="282">
        <v>2978</v>
      </c>
      <c r="E44" s="282">
        <v>2818</v>
      </c>
      <c r="F44" s="282">
        <v>2643</v>
      </c>
      <c r="G44" s="282">
        <v>2025</v>
      </c>
      <c r="H44" s="282">
        <v>1892</v>
      </c>
      <c r="I44" s="282">
        <v>1896</v>
      </c>
      <c r="J44" s="282">
        <v>1893</v>
      </c>
      <c r="K44" s="282">
        <v>2001</v>
      </c>
      <c r="L44" s="282">
        <v>2001</v>
      </c>
    </row>
    <row r="45" spans="1:18">
      <c r="A45" s="219">
        <f>A44+1</f>
        <v>26</v>
      </c>
      <c r="C45" s="282" t="s">
        <v>144</v>
      </c>
      <c r="D45" s="1112">
        <v>64</v>
      </c>
      <c r="E45" s="1112">
        <v>65</v>
      </c>
      <c r="F45" s="1112">
        <v>66</v>
      </c>
      <c r="G45" s="1112">
        <v>62</v>
      </c>
      <c r="H45" s="1112">
        <v>61</v>
      </c>
      <c r="I45" s="1112">
        <v>61</v>
      </c>
      <c r="J45" s="1112">
        <v>61</v>
      </c>
      <c r="K45" s="1112">
        <v>61</v>
      </c>
      <c r="L45" s="1112">
        <v>61</v>
      </c>
    </row>
    <row r="46" spans="1:18">
      <c r="A46" s="219">
        <f>A45+1</f>
        <v>27</v>
      </c>
      <c r="C46" s="282"/>
      <c r="D46" s="282">
        <f>SUM(D43:D45)</f>
        <v>19761</v>
      </c>
      <c r="E46" s="282">
        <f t="shared" ref="E46:L46" si="6">SUM(E43:E45)</f>
        <v>18435</v>
      </c>
      <c r="F46" s="282">
        <f t="shared" si="6"/>
        <v>16976</v>
      </c>
      <c r="G46" s="282">
        <f t="shared" si="6"/>
        <v>14553</v>
      </c>
      <c r="H46" s="282">
        <f t="shared" si="6"/>
        <v>13400</v>
      </c>
      <c r="I46" s="282">
        <f t="shared" si="6"/>
        <v>13404</v>
      </c>
      <c r="J46" s="282">
        <f t="shared" si="6"/>
        <v>13401</v>
      </c>
      <c r="K46" s="282">
        <f t="shared" si="6"/>
        <v>14243</v>
      </c>
      <c r="L46" s="282">
        <f t="shared" si="6"/>
        <v>14243</v>
      </c>
    </row>
    <row r="47" spans="1:18">
      <c r="A47" s="219"/>
      <c r="C47" s="282"/>
      <c r="D47" s="282"/>
      <c r="E47" s="282"/>
      <c r="F47" s="282"/>
      <c r="G47" s="282"/>
      <c r="H47" s="282"/>
      <c r="I47" s="282"/>
      <c r="J47" s="282"/>
      <c r="K47" s="282"/>
      <c r="L47" s="282"/>
    </row>
    <row r="48" spans="1:18">
      <c r="A48" s="219">
        <f>A46+1</f>
        <v>28</v>
      </c>
      <c r="C48" s="1116" t="s">
        <v>977</v>
      </c>
      <c r="D48" s="282">
        <f>D40+D46</f>
        <v>136798</v>
      </c>
      <c r="E48" s="282">
        <f t="shared" ref="E48:L48" si="7">E40+E46</f>
        <v>138060</v>
      </c>
      <c r="F48" s="282">
        <f t="shared" si="7"/>
        <v>137752</v>
      </c>
      <c r="G48" s="282">
        <f t="shared" si="7"/>
        <v>138031</v>
      </c>
      <c r="H48" s="282">
        <f t="shared" si="7"/>
        <v>138185</v>
      </c>
      <c r="I48" s="282">
        <f t="shared" si="7"/>
        <v>135934</v>
      </c>
      <c r="J48" s="282">
        <f t="shared" si="7"/>
        <v>138927</v>
      </c>
      <c r="K48" s="282">
        <f t="shared" si="7"/>
        <v>139229</v>
      </c>
      <c r="L48" s="282">
        <f t="shared" si="7"/>
        <v>139506</v>
      </c>
    </row>
    <row r="49" spans="1:13">
      <c r="A49" s="219"/>
      <c r="D49" s="282"/>
      <c r="E49" s="282"/>
      <c r="F49" s="282"/>
      <c r="G49" s="282"/>
      <c r="H49" s="282"/>
      <c r="I49" s="282"/>
      <c r="J49" s="282"/>
      <c r="K49" s="282"/>
      <c r="L49" s="282"/>
    </row>
    <row r="50" spans="1:13">
      <c r="A50" s="219">
        <f>A48+1</f>
        <v>29</v>
      </c>
      <c r="B50" s="218" t="s">
        <v>974</v>
      </c>
      <c r="D50" s="282"/>
      <c r="E50" s="282"/>
      <c r="F50" s="282"/>
      <c r="G50" s="282"/>
      <c r="H50" s="282"/>
      <c r="I50" s="282"/>
      <c r="J50" s="282"/>
      <c r="K50" s="282"/>
      <c r="L50" s="282"/>
    </row>
    <row r="51" spans="1:13">
      <c r="A51" s="219">
        <f>A50+1</f>
        <v>30</v>
      </c>
      <c r="C51" s="282" t="s">
        <v>142</v>
      </c>
      <c r="D51" s="282">
        <f>ROUND(D17/D35,0)</f>
        <v>731</v>
      </c>
      <c r="E51" s="282">
        <f t="shared" ref="E51:J51" si="8">ROUND(E17/E35,0)</f>
        <v>688</v>
      </c>
      <c r="F51" s="282">
        <f t="shared" si="8"/>
        <v>796</v>
      </c>
      <c r="G51" s="282">
        <f t="shared" si="8"/>
        <v>1038</v>
      </c>
      <c r="H51" s="282">
        <f t="shared" si="8"/>
        <v>1011</v>
      </c>
      <c r="I51" s="282">
        <f t="shared" si="8"/>
        <v>864</v>
      </c>
      <c r="J51" s="282">
        <f t="shared" si="8"/>
        <v>782</v>
      </c>
      <c r="K51" s="282">
        <f t="shared" ref="K51:L54" si="9">K17/K35</f>
        <v>775.70368867482046</v>
      </c>
      <c r="L51" s="282">
        <f t="shared" si="9"/>
        <v>774.28705567827092</v>
      </c>
    </row>
    <row r="52" spans="1:13">
      <c r="A52" s="219">
        <f>A51+1</f>
        <v>31</v>
      </c>
      <c r="C52" s="282" t="s">
        <v>143</v>
      </c>
      <c r="D52" s="282">
        <f t="shared" ref="D52:J54" si="10">ROUND(D18/D36,0)</f>
        <v>2926</v>
      </c>
      <c r="E52" s="282">
        <f t="shared" si="10"/>
        <v>2640</v>
      </c>
      <c r="F52" s="282">
        <f t="shared" si="10"/>
        <v>3262</v>
      </c>
      <c r="G52" s="282">
        <f t="shared" si="10"/>
        <v>4589</v>
      </c>
      <c r="H52" s="282">
        <f t="shared" si="10"/>
        <v>4391</v>
      </c>
      <c r="I52" s="282">
        <f t="shared" si="10"/>
        <v>3572</v>
      </c>
      <c r="J52" s="282">
        <f t="shared" si="10"/>
        <v>3089</v>
      </c>
      <c r="K52" s="282">
        <f t="shared" si="9"/>
        <v>3077.8659736585223</v>
      </c>
      <c r="L52" s="282">
        <f t="shared" si="9"/>
        <v>3079.7805509579589</v>
      </c>
    </row>
    <row r="53" spans="1:13">
      <c r="A53" s="219">
        <f>A52+1</f>
        <v>32</v>
      </c>
      <c r="C53" s="282" t="s">
        <v>144</v>
      </c>
      <c r="D53" s="282">
        <f t="shared" si="10"/>
        <v>38418</v>
      </c>
      <c r="E53" s="282">
        <f t="shared" si="10"/>
        <v>31073</v>
      </c>
      <c r="F53" s="282">
        <f t="shared" si="10"/>
        <v>41979</v>
      </c>
      <c r="G53" s="282">
        <f t="shared" si="10"/>
        <v>49291</v>
      </c>
      <c r="H53" s="282">
        <f t="shared" si="10"/>
        <v>45056</v>
      </c>
      <c r="I53" s="282">
        <f t="shared" si="10"/>
        <v>28106</v>
      </c>
      <c r="J53" s="282">
        <f t="shared" si="10"/>
        <v>22603</v>
      </c>
      <c r="K53" s="282">
        <f t="shared" si="9"/>
        <v>21506.678891383002</v>
      </c>
      <c r="L53" s="282">
        <f t="shared" si="9"/>
        <v>21520.057056496138</v>
      </c>
    </row>
    <row r="54" spans="1:13">
      <c r="A54" s="219">
        <f>A53+1</f>
        <v>33</v>
      </c>
      <c r="C54" s="282" t="s">
        <v>904</v>
      </c>
      <c r="D54" s="282">
        <f t="shared" si="10"/>
        <v>37111</v>
      </c>
      <c r="E54" s="282">
        <f t="shared" si="10"/>
        <v>33718</v>
      </c>
      <c r="F54" s="282">
        <f t="shared" si="10"/>
        <v>40615</v>
      </c>
      <c r="G54" s="282">
        <f t="shared" si="10"/>
        <v>56209</v>
      </c>
      <c r="H54" s="282">
        <f t="shared" si="10"/>
        <v>46548</v>
      </c>
      <c r="I54" s="282">
        <f t="shared" si="10"/>
        <v>33851</v>
      </c>
      <c r="J54" s="282">
        <f t="shared" si="10"/>
        <v>32942</v>
      </c>
      <c r="K54" s="282">
        <f t="shared" si="9"/>
        <v>32549.790385266118</v>
      </c>
      <c r="L54" s="282">
        <f t="shared" si="9"/>
        <v>32570.037884769474</v>
      </c>
    </row>
    <row r="55" spans="1:13">
      <c r="A55" s="219">
        <f>A54+1</f>
        <v>34</v>
      </c>
      <c r="C55" s="282" t="s">
        <v>364</v>
      </c>
      <c r="D55" s="282">
        <f>IF(D39=0,0,ROUND(D21/D39,0))</f>
        <v>0</v>
      </c>
      <c r="E55" s="282">
        <f t="shared" ref="E55:L55" si="11">IF(E39=0,0,ROUND(E21/E39,0))</f>
        <v>0</v>
      </c>
      <c r="F55" s="282">
        <f t="shared" si="11"/>
        <v>0</v>
      </c>
      <c r="G55" s="282">
        <f t="shared" si="11"/>
        <v>0</v>
      </c>
      <c r="H55" s="282">
        <f t="shared" si="11"/>
        <v>0</v>
      </c>
      <c r="I55" s="282">
        <f t="shared" si="11"/>
        <v>0</v>
      </c>
      <c r="J55" s="282">
        <f t="shared" si="11"/>
        <v>0</v>
      </c>
      <c r="K55" s="282">
        <f t="shared" si="11"/>
        <v>0</v>
      </c>
      <c r="L55" s="282">
        <f t="shared" si="11"/>
        <v>0</v>
      </c>
    </row>
    <row r="56" spans="1:13">
      <c r="A56" s="219"/>
      <c r="D56" s="282"/>
      <c r="E56" s="282"/>
      <c r="F56" s="282"/>
      <c r="G56" s="282"/>
      <c r="H56" s="282"/>
      <c r="I56" s="282"/>
      <c r="J56" s="282"/>
      <c r="K56" s="282"/>
      <c r="L56" s="282"/>
    </row>
    <row r="57" spans="1:13">
      <c r="A57" s="219">
        <f>A55+1</f>
        <v>35</v>
      </c>
      <c r="B57" s="218" t="s">
        <v>978</v>
      </c>
      <c r="D57" s="282"/>
      <c r="E57" s="282"/>
      <c r="F57" s="282"/>
      <c r="G57" s="282"/>
      <c r="H57" s="282"/>
      <c r="I57" s="282"/>
      <c r="J57" s="282"/>
      <c r="K57" s="282"/>
      <c r="L57" s="282"/>
    </row>
    <row r="58" spans="1:13">
      <c r="A58" s="219">
        <f>A57+1</f>
        <v>36</v>
      </c>
      <c r="C58" s="282" t="s">
        <v>142</v>
      </c>
      <c r="D58" s="282">
        <f>ROUND(D26/D43,0)</f>
        <v>502</v>
      </c>
      <c r="E58" s="282">
        <f t="shared" ref="E58:L58" si="12">ROUND(E26/E43,0)</f>
        <v>536</v>
      </c>
      <c r="F58" s="282">
        <f t="shared" si="12"/>
        <v>537</v>
      </c>
      <c r="G58" s="282">
        <f t="shared" si="12"/>
        <v>634</v>
      </c>
      <c r="H58" s="282">
        <f t="shared" si="12"/>
        <v>666</v>
      </c>
      <c r="I58" s="282">
        <f t="shared" si="12"/>
        <v>644</v>
      </c>
      <c r="J58" s="282">
        <f t="shared" si="12"/>
        <v>627</v>
      </c>
      <c r="K58" s="282">
        <f t="shared" si="12"/>
        <v>638</v>
      </c>
      <c r="L58" s="282">
        <f t="shared" si="12"/>
        <v>637</v>
      </c>
    </row>
    <row r="59" spans="1:13">
      <c r="A59" s="219">
        <f>A58+1</f>
        <v>37</v>
      </c>
      <c r="C59" s="282" t="s">
        <v>143</v>
      </c>
      <c r="D59" s="282">
        <f t="shared" ref="D59:L60" si="13">ROUND(D27/D44,0)</f>
        <v>3055</v>
      </c>
      <c r="E59" s="282">
        <f t="shared" si="13"/>
        <v>3111</v>
      </c>
      <c r="F59" s="282">
        <f t="shared" si="13"/>
        <v>3264</v>
      </c>
      <c r="G59" s="282">
        <f t="shared" si="13"/>
        <v>4567</v>
      </c>
      <c r="H59" s="282">
        <f t="shared" si="13"/>
        <v>4728</v>
      </c>
      <c r="I59" s="282">
        <f t="shared" si="13"/>
        <v>4746</v>
      </c>
      <c r="J59" s="282">
        <f t="shared" si="13"/>
        <v>4678</v>
      </c>
      <c r="K59" s="282">
        <f t="shared" si="13"/>
        <v>4372</v>
      </c>
      <c r="L59" s="282">
        <f t="shared" si="13"/>
        <v>4372</v>
      </c>
    </row>
    <row r="60" spans="1:13">
      <c r="A60" s="219">
        <f>A59+1</f>
        <v>38</v>
      </c>
      <c r="C60" s="282" t="s">
        <v>144</v>
      </c>
      <c r="D60" s="282">
        <f t="shared" si="13"/>
        <v>85298</v>
      </c>
      <c r="E60" s="282">
        <f t="shared" si="13"/>
        <v>77543</v>
      </c>
      <c r="F60" s="282">
        <f t="shared" si="13"/>
        <v>82285</v>
      </c>
      <c r="G60" s="282">
        <f t="shared" si="13"/>
        <v>108569</v>
      </c>
      <c r="H60" s="282">
        <f t="shared" si="13"/>
        <v>113478</v>
      </c>
      <c r="I60" s="282">
        <f t="shared" si="13"/>
        <v>109492</v>
      </c>
      <c r="J60" s="282">
        <f t="shared" si="13"/>
        <v>107468</v>
      </c>
      <c r="K60" s="282">
        <f t="shared" si="13"/>
        <v>107115</v>
      </c>
      <c r="L60" s="282">
        <f t="shared" si="13"/>
        <v>107180</v>
      </c>
      <c r="M60" s="708"/>
    </row>
    <row r="61" spans="1:13">
      <c r="A61" s="708"/>
      <c r="B61" s="708"/>
      <c r="C61" s="708"/>
      <c r="D61" s="708"/>
      <c r="E61" s="708"/>
      <c r="F61" s="708"/>
      <c r="G61" s="708"/>
      <c r="H61" s="708"/>
      <c r="I61" s="708"/>
      <c r="J61" s="708"/>
      <c r="K61" s="708"/>
      <c r="L61" s="708"/>
      <c r="M61" s="708"/>
    </row>
    <row r="62" spans="1:13">
      <c r="B62" s="708" t="str">
        <f>'I-1 Comp Income Statement'!A46</f>
        <v>[1]  Unbilled Revenue is not included in the forecasted months of the Base and Forecast Period.  Additionally, the Forecast period does not include the revenue from this case.</v>
      </c>
      <c r="C62" s="708"/>
      <c r="D62" s="708"/>
      <c r="E62" s="708"/>
      <c r="F62" s="708"/>
      <c r="G62" s="708"/>
      <c r="H62" s="708"/>
      <c r="I62" s="708"/>
      <c r="J62" s="708"/>
      <c r="K62" s="708"/>
      <c r="L62" s="708"/>
      <c r="M62" s="708"/>
    </row>
    <row r="63" spans="1:13">
      <c r="B63" s="708" t="str">
        <f>'I-1 Comp Income Statement'!A47</f>
        <v>[2]  Projected calender years 2026 and 2027 do not reflect what is presented in the current case or potential subsequent cases, if any.</v>
      </c>
      <c r="C63" s="708"/>
      <c r="D63" s="708"/>
      <c r="E63" s="708"/>
      <c r="F63" s="708"/>
      <c r="G63" s="708"/>
      <c r="H63" s="708"/>
      <c r="I63" s="708"/>
      <c r="J63" s="708"/>
      <c r="K63" s="708"/>
      <c r="L63" s="708"/>
      <c r="M63" s="708"/>
    </row>
    <row r="64" spans="1:13">
      <c r="A64" s="709"/>
      <c r="B64" s="710"/>
      <c r="C64" s="710"/>
      <c r="D64" s="710"/>
      <c r="E64" s="710"/>
      <c r="F64" s="710"/>
      <c r="G64" s="710"/>
      <c r="H64" s="710"/>
      <c r="I64" s="710"/>
      <c r="J64" s="710"/>
      <c r="K64" s="710"/>
      <c r="L64" s="710"/>
    </row>
    <row r="65" spans="1:13">
      <c r="A65" s="709"/>
      <c r="B65" s="710"/>
      <c r="C65" s="710"/>
      <c r="D65" s="710"/>
      <c r="E65" s="710"/>
      <c r="F65" s="710"/>
      <c r="G65" s="710"/>
      <c r="H65" s="710"/>
      <c r="I65" s="710"/>
      <c r="J65" s="710"/>
      <c r="K65" s="710"/>
      <c r="L65" s="710"/>
    </row>
    <row r="66" spans="1:13">
      <c r="A66" s="709"/>
      <c r="B66" s="710"/>
      <c r="C66" s="710"/>
      <c r="D66" s="710"/>
      <c r="E66" s="710"/>
      <c r="F66" s="710"/>
      <c r="G66" s="710"/>
      <c r="H66" s="710"/>
      <c r="I66" s="710"/>
      <c r="J66" s="710"/>
      <c r="K66" s="710"/>
      <c r="L66" s="710"/>
    </row>
    <row r="67" spans="1:13">
      <c r="A67" s="709"/>
      <c r="B67" s="710"/>
      <c r="C67" s="710"/>
      <c r="D67" s="1320"/>
      <c r="E67" s="1320"/>
      <c r="F67" s="1320"/>
      <c r="G67" s="1320"/>
      <c r="H67" s="1320"/>
      <c r="I67" s="710"/>
      <c r="J67" s="710"/>
      <c r="K67" s="1349"/>
      <c r="L67" s="1349"/>
      <c r="M67" s="710"/>
    </row>
    <row r="68" spans="1:13">
      <c r="A68" s="709"/>
      <c r="B68" s="710"/>
      <c r="C68" s="710"/>
      <c r="D68" s="710"/>
      <c r="E68" s="710"/>
      <c r="F68" s="710"/>
      <c r="G68" s="710"/>
      <c r="H68" s="710"/>
      <c r="I68" s="710"/>
      <c r="J68" s="710"/>
      <c r="K68" s="710"/>
      <c r="L68" s="710"/>
      <c r="M68" s="710"/>
    </row>
    <row r="69" spans="1:13">
      <c r="A69" s="712"/>
      <c r="B69" s="710"/>
      <c r="C69" s="710"/>
      <c r="D69" s="712"/>
      <c r="E69" s="712"/>
      <c r="F69" s="712"/>
      <c r="G69" s="712"/>
      <c r="H69" s="712"/>
      <c r="I69" s="712"/>
      <c r="J69" s="712"/>
      <c r="K69" s="710"/>
      <c r="L69" s="710"/>
      <c r="M69" s="710"/>
    </row>
    <row r="70" spans="1:13">
      <c r="A70" s="712"/>
      <c r="B70" s="710"/>
      <c r="C70" s="710"/>
      <c r="D70" s="712"/>
      <c r="E70" s="712"/>
      <c r="F70" s="712"/>
      <c r="G70" s="712"/>
      <c r="H70" s="712"/>
      <c r="I70" s="713"/>
      <c r="J70" s="713"/>
      <c r="K70" s="712"/>
      <c r="L70" s="712"/>
      <c r="M70" s="712"/>
    </row>
    <row r="71" spans="1:13">
      <c r="A71" s="219"/>
      <c r="C71" s="282"/>
      <c r="D71" s="282"/>
      <c r="E71" s="282"/>
      <c r="F71" s="282"/>
      <c r="G71" s="282"/>
      <c r="H71" s="282"/>
      <c r="I71" s="282"/>
      <c r="J71" s="282"/>
      <c r="K71" s="282"/>
      <c r="L71" s="282"/>
      <c r="M71" s="282"/>
    </row>
    <row r="72" spans="1:13">
      <c r="A72" s="219"/>
      <c r="C72" s="282"/>
      <c r="D72" s="282"/>
      <c r="E72" s="282"/>
      <c r="F72" s="282"/>
      <c r="G72" s="282"/>
      <c r="H72" s="282"/>
      <c r="I72" s="282"/>
      <c r="J72" s="282"/>
      <c r="K72" s="282"/>
      <c r="L72" s="282"/>
      <c r="M72" s="282"/>
    </row>
    <row r="73" spans="1:13">
      <c r="A73" s="219"/>
      <c r="C73" s="282"/>
      <c r="D73" s="282"/>
      <c r="E73" s="282"/>
      <c r="F73" s="282"/>
      <c r="G73" s="282"/>
      <c r="H73" s="282"/>
      <c r="I73" s="282"/>
      <c r="J73" s="282"/>
      <c r="K73" s="282"/>
      <c r="L73" s="282"/>
      <c r="M73" s="282"/>
    </row>
    <row r="74" spans="1:13">
      <c r="A74" s="219"/>
      <c r="C74" s="282"/>
      <c r="D74" s="282"/>
      <c r="E74" s="282"/>
      <c r="F74" s="282"/>
      <c r="G74" s="282"/>
      <c r="H74" s="282"/>
      <c r="I74" s="282"/>
      <c r="J74" s="282"/>
      <c r="K74" s="282"/>
      <c r="L74" s="282"/>
      <c r="M74" s="282"/>
    </row>
    <row r="75" spans="1:13">
      <c r="A75" s="219"/>
      <c r="C75" s="282"/>
      <c r="D75" s="282"/>
      <c r="E75" s="282"/>
      <c r="F75" s="282"/>
      <c r="G75" s="282"/>
      <c r="H75" s="282"/>
      <c r="I75" s="282"/>
      <c r="J75" s="282"/>
      <c r="K75" s="282"/>
      <c r="L75" s="282"/>
      <c r="M75" s="282"/>
    </row>
    <row r="76" spans="1:13">
      <c r="A76" s="219"/>
      <c r="C76" s="282"/>
      <c r="D76" s="282"/>
      <c r="E76" s="282"/>
      <c r="F76" s="282"/>
      <c r="G76" s="282"/>
      <c r="H76" s="282"/>
      <c r="I76" s="282"/>
      <c r="J76" s="282"/>
      <c r="K76" s="282"/>
      <c r="L76" s="282"/>
      <c r="M76" s="282"/>
    </row>
    <row r="77" spans="1:13">
      <c r="A77" s="219"/>
      <c r="C77" s="282"/>
      <c r="D77" s="282"/>
      <c r="E77" s="282"/>
      <c r="F77" s="282"/>
      <c r="G77" s="282"/>
      <c r="H77" s="282"/>
      <c r="I77" s="282"/>
      <c r="J77" s="282"/>
      <c r="K77" s="282"/>
      <c r="L77" s="282"/>
      <c r="M77" s="282"/>
    </row>
    <row r="78" spans="1:13">
      <c r="A78" s="219"/>
      <c r="C78" s="282"/>
      <c r="D78" s="282"/>
      <c r="E78" s="282"/>
      <c r="F78" s="282"/>
      <c r="G78" s="282"/>
      <c r="H78" s="282"/>
      <c r="I78" s="282"/>
      <c r="J78" s="282"/>
      <c r="K78" s="282"/>
      <c r="L78" s="282"/>
      <c r="M78" s="282"/>
    </row>
    <row r="79" spans="1:13">
      <c r="A79" s="219"/>
      <c r="C79" s="282"/>
      <c r="D79" s="282"/>
      <c r="E79" s="282"/>
      <c r="F79" s="282"/>
      <c r="G79" s="282"/>
      <c r="H79" s="282"/>
      <c r="I79" s="282"/>
      <c r="J79" s="282"/>
      <c r="K79" s="282"/>
      <c r="L79" s="282"/>
      <c r="M79" s="282"/>
    </row>
    <row r="80" spans="1:13">
      <c r="A80" s="219"/>
      <c r="D80" s="282"/>
      <c r="E80" s="282"/>
      <c r="F80" s="282"/>
      <c r="G80" s="282"/>
      <c r="H80" s="282"/>
      <c r="I80" s="282"/>
      <c r="J80" s="282"/>
      <c r="K80" s="282"/>
      <c r="L80" s="282"/>
    </row>
    <row r="81" spans="1:12">
      <c r="A81" s="219"/>
      <c r="C81" s="282"/>
      <c r="D81" s="282"/>
      <c r="E81" s="282"/>
      <c r="F81" s="282"/>
      <c r="G81" s="282"/>
      <c r="H81" s="282"/>
      <c r="I81" s="282"/>
      <c r="J81" s="282"/>
      <c r="K81" s="282"/>
      <c r="L81" s="282"/>
    </row>
    <row r="82" spans="1:12">
      <c r="A82" s="219"/>
      <c r="C82" s="282"/>
      <c r="D82" s="282"/>
      <c r="E82" s="282"/>
      <c r="F82" s="282"/>
      <c r="G82" s="282"/>
      <c r="H82" s="282"/>
      <c r="I82" s="282"/>
      <c r="J82" s="282"/>
      <c r="K82" s="282"/>
      <c r="L82" s="282"/>
    </row>
    <row r="83" spans="1:12">
      <c r="A83" s="219"/>
      <c r="C83" s="282"/>
      <c r="D83" s="282"/>
      <c r="E83" s="282"/>
      <c r="F83" s="282"/>
      <c r="G83" s="282"/>
      <c r="H83" s="282"/>
      <c r="I83" s="282"/>
      <c r="J83" s="282"/>
      <c r="K83" s="282"/>
      <c r="L83" s="282"/>
    </row>
    <row r="84" spans="1:12">
      <c r="A84" s="219"/>
      <c r="C84" s="282"/>
      <c r="D84" s="282"/>
      <c r="E84" s="282"/>
      <c r="F84" s="282"/>
      <c r="G84" s="282"/>
      <c r="H84" s="282"/>
      <c r="I84" s="282"/>
      <c r="J84" s="282"/>
      <c r="K84" s="282"/>
      <c r="L84" s="282"/>
    </row>
    <row r="85" spans="1:12">
      <c r="A85" s="219"/>
      <c r="C85" s="282"/>
      <c r="D85" s="282"/>
      <c r="E85" s="282"/>
      <c r="F85" s="282"/>
      <c r="G85" s="282"/>
      <c r="H85" s="282"/>
      <c r="I85" s="282"/>
      <c r="J85" s="282"/>
      <c r="K85" s="282"/>
      <c r="L85" s="282"/>
    </row>
    <row r="86" spans="1:12">
      <c r="A86" s="219"/>
      <c r="C86" s="282"/>
      <c r="D86" s="282"/>
      <c r="E86" s="282"/>
      <c r="F86" s="282"/>
      <c r="G86" s="282"/>
      <c r="H86" s="282"/>
      <c r="I86" s="282"/>
      <c r="J86" s="282"/>
      <c r="K86" s="282"/>
      <c r="L86" s="282"/>
    </row>
    <row r="87" spans="1:12">
      <c r="A87" s="219"/>
      <c r="D87" s="282"/>
      <c r="E87" s="282"/>
      <c r="F87" s="282"/>
      <c r="G87" s="282"/>
      <c r="H87" s="282"/>
      <c r="I87" s="282"/>
      <c r="J87" s="282"/>
      <c r="K87" s="282"/>
      <c r="L87" s="282"/>
    </row>
    <row r="88" spans="1:12">
      <c r="A88" s="219"/>
      <c r="D88" s="282"/>
      <c r="E88" s="282"/>
      <c r="F88" s="282"/>
      <c r="G88" s="282"/>
      <c r="H88" s="282"/>
      <c r="I88" s="282"/>
      <c r="J88" s="282"/>
      <c r="K88" s="282"/>
      <c r="L88" s="282"/>
    </row>
    <row r="89" spans="1:12">
      <c r="A89" s="219"/>
      <c r="C89" s="282"/>
      <c r="D89" s="282"/>
      <c r="E89" s="282"/>
      <c r="F89" s="282"/>
      <c r="G89" s="282"/>
      <c r="H89" s="282"/>
      <c r="I89" s="282"/>
      <c r="J89" s="282"/>
      <c r="K89" s="282"/>
      <c r="L89" s="282"/>
    </row>
    <row r="90" spans="1:12">
      <c r="A90" s="219"/>
      <c r="C90" s="282"/>
      <c r="D90" s="282"/>
      <c r="E90" s="282"/>
      <c r="F90" s="282"/>
      <c r="G90" s="282"/>
      <c r="H90" s="282"/>
      <c r="I90" s="282"/>
      <c r="J90" s="282"/>
      <c r="K90" s="282"/>
      <c r="L90" s="282"/>
    </row>
    <row r="91" spans="1:12">
      <c r="A91" s="219"/>
      <c r="C91" s="282"/>
      <c r="D91" s="282"/>
      <c r="E91" s="282"/>
      <c r="F91" s="282"/>
      <c r="G91" s="282"/>
      <c r="H91" s="282"/>
      <c r="I91" s="282"/>
      <c r="J91" s="282"/>
      <c r="K91" s="282"/>
      <c r="L91" s="282"/>
    </row>
    <row r="92" spans="1:12">
      <c r="A92" s="219"/>
      <c r="C92" s="282"/>
      <c r="D92" s="282"/>
      <c r="E92" s="282"/>
      <c r="F92" s="282"/>
      <c r="G92" s="282"/>
      <c r="H92" s="282"/>
      <c r="I92" s="282"/>
      <c r="J92" s="282"/>
      <c r="K92" s="282"/>
      <c r="L92" s="282"/>
    </row>
  </sheetData>
  <mergeCells count="14">
    <mergeCell ref="N21:R22"/>
    <mergeCell ref="N28:R29"/>
    <mergeCell ref="N35:R35"/>
    <mergeCell ref="N36:R36"/>
    <mergeCell ref="N37:R37"/>
    <mergeCell ref="D67:H67"/>
    <mergeCell ref="K67:L67"/>
    <mergeCell ref="A1:L1"/>
    <mergeCell ref="A2:L2"/>
    <mergeCell ref="A3:L3"/>
    <mergeCell ref="A4:L4"/>
    <mergeCell ref="A5:L5"/>
    <mergeCell ref="D11:H11"/>
    <mergeCell ref="K11:L11"/>
  </mergeCells>
  <printOptions horizontalCentered="1"/>
  <pageMargins left="0.5" right="0.5" top="0.75" bottom="0.5" header="0.3" footer="0.3"/>
  <pageSetup scale="1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M43"/>
  <sheetViews>
    <sheetView zoomScaleNormal="100" zoomScaleSheetLayoutView="100" workbookViewId="0">
      <selection activeCell="J34" sqref="J34"/>
    </sheetView>
  </sheetViews>
  <sheetFormatPr defaultColWidth="9.33203125" defaultRowHeight="12.75"/>
  <cols>
    <col min="1" max="2" width="5.5" style="218" customWidth="1"/>
    <col min="3" max="3" width="34.33203125" style="218" customWidth="1"/>
    <col min="4" max="8" width="14.6640625" style="218" customWidth="1"/>
    <col min="9" max="10" width="16.33203125" style="218" customWidth="1"/>
    <col min="11" max="11" width="18.6640625" style="218" customWidth="1"/>
    <col min="12" max="12" width="16.6640625" style="218" customWidth="1"/>
    <col min="13" max="16384" width="9.33203125" style="218"/>
  </cols>
  <sheetData>
    <row r="1" spans="1:13">
      <c r="A1" s="1348" t="str">
        <f>'General Headers Index'!B4</f>
        <v>COLUMBIA GAS OF KENTUCKY, INC.</v>
      </c>
      <c r="B1" s="1348"/>
      <c r="C1" s="1348"/>
      <c r="D1" s="1348"/>
      <c r="E1" s="1348"/>
      <c r="F1" s="1348"/>
      <c r="G1" s="1348"/>
      <c r="H1" s="1348"/>
      <c r="I1" s="1348"/>
      <c r="J1" s="1348"/>
      <c r="K1" s="1348"/>
      <c r="L1" s="1348"/>
      <c r="M1" s="708"/>
    </row>
    <row r="2" spans="1:13">
      <c r="A2" s="1348" t="str">
        <f>'General Headers Index'!B6</f>
        <v>CASE NO. 2024 - 00092</v>
      </c>
      <c r="B2" s="1348"/>
      <c r="C2" s="1348"/>
      <c r="D2" s="1348"/>
      <c r="E2" s="1348"/>
      <c r="F2" s="1348"/>
      <c r="G2" s="1348"/>
      <c r="H2" s="1348"/>
      <c r="I2" s="1348"/>
      <c r="J2" s="1348"/>
      <c r="K2" s="1348"/>
      <c r="L2" s="1348"/>
      <c r="M2" s="708"/>
    </row>
    <row r="3" spans="1:13">
      <c r="A3" s="1348" t="str">
        <f>'Index I'!$C$22</f>
        <v>SALES STATISTICS - TOTAL COMPANY</v>
      </c>
      <c r="B3" s="1348"/>
      <c r="C3" s="1348"/>
      <c r="D3" s="1348"/>
      <c r="E3" s="1348"/>
      <c r="F3" s="1348"/>
      <c r="G3" s="1348"/>
      <c r="H3" s="1348"/>
      <c r="I3" s="1348"/>
      <c r="J3" s="1348"/>
      <c r="K3" s="1348"/>
      <c r="L3" s="1348"/>
      <c r="M3" s="708"/>
    </row>
    <row r="4" spans="1:13">
      <c r="A4" s="1348" t="str">
        <f>'General Headers Index'!B9</f>
        <v>BASE PERIOD: TWELVE MONTHS ENDED AUGUST 31, 2024</v>
      </c>
      <c r="B4" s="1348"/>
      <c r="C4" s="1348"/>
      <c r="D4" s="1348"/>
      <c r="E4" s="1348"/>
      <c r="F4" s="1348"/>
      <c r="G4" s="1348"/>
      <c r="H4" s="1348"/>
      <c r="I4" s="1348"/>
      <c r="J4" s="1348"/>
      <c r="K4" s="1348"/>
      <c r="L4" s="1348"/>
      <c r="M4" s="708"/>
    </row>
    <row r="5" spans="1:13">
      <c r="A5" s="1348" t="str">
        <f>'General Headers Index'!B16</f>
        <v>FORECASTED TEST PERIOD: TWELVE MONTHS ENDED DECEMBER 31, 2025</v>
      </c>
      <c r="B5" s="1348"/>
      <c r="C5" s="1348"/>
      <c r="D5" s="1348"/>
      <c r="E5" s="1348"/>
      <c r="F5" s="1348"/>
      <c r="G5" s="1348"/>
      <c r="H5" s="1348"/>
      <c r="I5" s="1348"/>
      <c r="J5" s="1348"/>
      <c r="K5" s="1348"/>
      <c r="L5" s="1348"/>
      <c r="M5" s="708"/>
    </row>
    <row r="6" spans="1:13">
      <c r="A6" s="708"/>
      <c r="B6" s="708"/>
      <c r="C6" s="708"/>
      <c r="D6" s="708"/>
      <c r="E6" s="708"/>
      <c r="F6" s="708"/>
      <c r="G6" s="708"/>
      <c r="H6" s="708"/>
      <c r="I6" s="708"/>
      <c r="J6" s="708"/>
      <c r="K6" s="708"/>
      <c r="L6" s="708"/>
      <c r="M6" s="708"/>
    </row>
    <row r="7" spans="1:13">
      <c r="A7" s="709" t="s">
        <v>739</v>
      </c>
      <c r="B7" s="710"/>
      <c r="C7" s="710"/>
      <c r="D7" s="710"/>
      <c r="E7" s="710"/>
      <c r="F7" s="710"/>
      <c r="G7" s="710"/>
      <c r="H7" s="710"/>
      <c r="I7" s="710"/>
      <c r="J7" s="710"/>
      <c r="K7" s="710"/>
      <c r="L7" s="711" t="s">
        <v>146</v>
      </c>
    </row>
    <row r="8" spans="1:13">
      <c r="A8" s="709" t="str">
        <f>'General Headers Index'!B37</f>
        <v>TYPE OF FILING:___X___ORIGINAL______UPDATED</v>
      </c>
      <c r="B8" s="710"/>
      <c r="C8" s="710"/>
      <c r="D8" s="710"/>
      <c r="E8" s="710"/>
      <c r="F8" s="710"/>
      <c r="G8" s="710"/>
      <c r="H8" s="710"/>
      <c r="I8" s="710"/>
      <c r="J8" s="710"/>
      <c r="K8" s="710"/>
      <c r="L8" s="711" t="s">
        <v>722</v>
      </c>
    </row>
    <row r="9" spans="1:13">
      <c r="A9" s="709" t="s">
        <v>575</v>
      </c>
      <c r="B9" s="710"/>
      <c r="C9" s="710"/>
      <c r="D9" s="710"/>
      <c r="E9" s="710"/>
      <c r="F9" s="710"/>
      <c r="G9" s="710"/>
      <c r="H9" s="710"/>
      <c r="I9" s="710"/>
      <c r="J9" s="710"/>
      <c r="K9" s="710"/>
      <c r="L9" s="714" t="str">
        <f>"WITNESS: "&amp;'General Headers Index'!B71</f>
        <v>WITNESS: WOZNIAK</v>
      </c>
    </row>
    <row r="10" spans="1:13">
      <c r="A10" s="874"/>
      <c r="B10" s="875"/>
      <c r="C10" s="875"/>
      <c r="D10" s="875"/>
      <c r="E10" s="875"/>
      <c r="F10" s="875"/>
      <c r="G10" s="875"/>
      <c r="H10" s="875"/>
      <c r="I10" s="875"/>
      <c r="J10" s="875"/>
      <c r="K10" s="875"/>
      <c r="L10" s="876"/>
    </row>
    <row r="11" spans="1:13">
      <c r="A11" s="709"/>
      <c r="B11" s="710"/>
      <c r="C11" s="710"/>
      <c r="D11" s="1342" t="s">
        <v>1007</v>
      </c>
      <c r="E11" s="1342"/>
      <c r="F11" s="1342"/>
      <c r="G11" s="1342"/>
      <c r="H11" s="1342"/>
      <c r="I11" s="710"/>
      <c r="J11" s="710"/>
      <c r="K11" s="1347" t="s">
        <v>122</v>
      </c>
      <c r="L11" s="1347"/>
      <c r="M11" s="710"/>
    </row>
    <row r="12" spans="1:13">
      <c r="A12" s="709"/>
      <c r="B12" s="710"/>
      <c r="C12" s="710"/>
      <c r="D12" s="710"/>
      <c r="E12" s="710"/>
      <c r="F12" s="710"/>
      <c r="G12" s="710"/>
      <c r="H12" s="710"/>
      <c r="I12" s="712" t="s">
        <v>755</v>
      </c>
      <c r="J12" s="712" t="s">
        <v>755</v>
      </c>
      <c r="K12" s="710"/>
      <c r="L12" s="710"/>
      <c r="M12" s="710"/>
    </row>
    <row r="13" spans="1:13">
      <c r="A13" s="712" t="s">
        <v>313</v>
      </c>
      <c r="B13" s="710"/>
      <c r="C13" s="710"/>
      <c r="D13" s="712"/>
      <c r="E13" s="712"/>
      <c r="F13" s="712"/>
      <c r="G13" s="712"/>
      <c r="H13" s="712"/>
      <c r="I13" s="712" t="s">
        <v>315</v>
      </c>
      <c r="J13" s="712" t="s">
        <v>123</v>
      </c>
      <c r="K13" s="710"/>
      <c r="L13" s="710"/>
      <c r="M13" s="710"/>
    </row>
    <row r="14" spans="1:13">
      <c r="A14" s="882" t="s">
        <v>316</v>
      </c>
      <c r="B14" s="871" t="s">
        <v>451</v>
      </c>
      <c r="C14" s="871"/>
      <c r="D14" s="882">
        <f>'I-1 Comp Income Statement'!D15</f>
        <v>2019</v>
      </c>
      <c r="E14" s="882">
        <f>'I-1 Comp Income Statement'!E15</f>
        <v>2020</v>
      </c>
      <c r="F14" s="882">
        <f>'I-1 Comp Income Statement'!F15</f>
        <v>2021</v>
      </c>
      <c r="G14" s="882">
        <f>'I-1 Comp Income Statement'!G15</f>
        <v>2022</v>
      </c>
      <c r="H14" s="882">
        <f>'I-1 Comp Income Statement'!H15</f>
        <v>2023</v>
      </c>
      <c r="I14" s="1111">
        <f>'I-1 Comp Income Statement'!I15</f>
        <v>45535</v>
      </c>
      <c r="J14" s="1111">
        <f>'I-1 Comp Income Statement'!J15</f>
        <v>46022</v>
      </c>
      <c r="K14" s="882">
        <f>'I-1 Comp Income Statement'!K15</f>
        <v>2026</v>
      </c>
      <c r="L14" s="882">
        <f>'I-1 Comp Income Statement'!L15</f>
        <v>2027</v>
      </c>
      <c r="M14" s="712"/>
    </row>
    <row r="15" spans="1:13">
      <c r="A15" s="219"/>
      <c r="C15" s="282"/>
      <c r="D15" s="882" t="s">
        <v>675</v>
      </c>
      <c r="E15" s="882" t="s">
        <v>675</v>
      </c>
      <c r="F15" s="882" t="s">
        <v>675</v>
      </c>
      <c r="G15" s="882" t="s">
        <v>675</v>
      </c>
      <c r="H15" s="882" t="s">
        <v>675</v>
      </c>
      <c r="I15" s="882" t="s">
        <v>675</v>
      </c>
      <c r="J15" s="882" t="s">
        <v>675</v>
      </c>
      <c r="K15" s="882" t="s">
        <v>675</v>
      </c>
      <c r="L15" s="882" t="s">
        <v>675</v>
      </c>
      <c r="M15" s="282"/>
    </row>
    <row r="16" spans="1:13">
      <c r="A16" s="219"/>
      <c r="C16" s="282"/>
      <c r="D16" s="712"/>
      <c r="E16" s="712"/>
      <c r="F16" s="712"/>
      <c r="G16" s="712"/>
      <c r="H16" s="712"/>
      <c r="I16" s="712"/>
      <c r="J16" s="712"/>
      <c r="K16" s="712" t="s">
        <v>1064</v>
      </c>
      <c r="L16" s="712" t="s">
        <v>1064</v>
      </c>
      <c r="M16" s="282"/>
    </row>
    <row r="17" spans="1:13">
      <c r="A17" s="219">
        <v>1</v>
      </c>
      <c r="B17" s="218" t="s">
        <v>147</v>
      </c>
      <c r="C17" s="282"/>
      <c r="D17" s="282"/>
      <c r="E17" s="282"/>
      <c r="F17" s="282"/>
      <c r="G17" s="282"/>
      <c r="H17" s="282"/>
      <c r="I17" s="282"/>
      <c r="J17" s="282"/>
      <c r="K17" s="282"/>
      <c r="L17" s="282"/>
      <c r="M17" s="282"/>
    </row>
    <row r="18" spans="1:13" ht="12.75" customHeight="1">
      <c r="A18" s="219">
        <f>A17+1</f>
        <v>2</v>
      </c>
      <c r="C18" s="282" t="s">
        <v>142</v>
      </c>
      <c r="D18" s="282">
        <v>6789708.2999999998</v>
      </c>
      <c r="E18" s="282">
        <v>6636466.7000000002</v>
      </c>
      <c r="F18" s="282">
        <v>6868696.5</v>
      </c>
      <c r="G18" s="282">
        <v>7258083.7999999998</v>
      </c>
      <c r="H18" s="282">
        <v>6127492</v>
      </c>
      <c r="I18" s="282">
        <v>6954374.2000000011</v>
      </c>
      <c r="J18" s="282">
        <v>7448777.0999999996</v>
      </c>
      <c r="K18" s="282">
        <v>7318000</v>
      </c>
      <c r="L18" s="282">
        <v>7318000</v>
      </c>
      <c r="M18" s="282"/>
    </row>
    <row r="19" spans="1:13">
      <c r="A19" s="219">
        <f>A18+1</f>
        <v>3</v>
      </c>
      <c r="C19" s="282" t="s">
        <v>143</v>
      </c>
      <c r="D19" s="282">
        <v>3688561.4</v>
      </c>
      <c r="E19" s="282">
        <v>3428897.3</v>
      </c>
      <c r="F19" s="282">
        <v>3742024.2</v>
      </c>
      <c r="G19" s="282">
        <v>4223109</v>
      </c>
      <c r="H19" s="282">
        <v>3828324.8</v>
      </c>
      <c r="I19" s="282">
        <v>4289872.6000000006</v>
      </c>
      <c r="J19" s="282">
        <v>4366195.7</v>
      </c>
      <c r="K19" s="282">
        <v>4106000</v>
      </c>
      <c r="L19" s="282">
        <v>4106000</v>
      </c>
      <c r="M19" s="282"/>
    </row>
    <row r="20" spans="1:13">
      <c r="A20" s="219">
        <f>A19+1</f>
        <v>4</v>
      </c>
      <c r="C20" s="282" t="s">
        <v>144</v>
      </c>
      <c r="D20" s="282">
        <v>352868.1</v>
      </c>
      <c r="E20" s="282">
        <v>261356.79999999999</v>
      </c>
      <c r="F20" s="282">
        <v>274966.3</v>
      </c>
      <c r="G20" s="282">
        <v>242125.7</v>
      </c>
      <c r="H20" s="282">
        <v>236425.8</v>
      </c>
      <c r="I20" s="282">
        <v>221232.79999999996</v>
      </c>
      <c r="J20" s="282">
        <v>208373.6</v>
      </c>
      <c r="K20" s="282">
        <v>236000</v>
      </c>
      <c r="L20" s="282">
        <v>236000</v>
      </c>
      <c r="M20" s="282"/>
    </row>
    <row r="21" spans="1:13">
      <c r="A21" s="219">
        <f>A20+1</f>
        <v>5</v>
      </c>
      <c r="C21" s="282" t="s">
        <v>904</v>
      </c>
      <c r="D21" s="282">
        <v>10617</v>
      </c>
      <c r="E21" s="282">
        <v>9874</v>
      </c>
      <c r="F21" s="282">
        <v>11197</v>
      </c>
      <c r="G21" s="282">
        <v>10270</v>
      </c>
      <c r="H21" s="282">
        <v>7797</v>
      </c>
      <c r="I21" s="282">
        <v>8829.5</v>
      </c>
      <c r="J21" s="282">
        <v>10410.5</v>
      </c>
      <c r="K21" s="282">
        <v>9000</v>
      </c>
      <c r="L21" s="282">
        <v>9000</v>
      </c>
      <c r="M21" s="282"/>
    </row>
    <row r="22" spans="1:13">
      <c r="A22" s="219">
        <f>A21+1</f>
        <v>6</v>
      </c>
      <c r="C22" s="282" t="s">
        <v>364</v>
      </c>
      <c r="D22" s="1112">
        <v>0</v>
      </c>
      <c r="E22" s="1112">
        <v>0</v>
      </c>
      <c r="F22" s="1112">
        <v>2019.4</v>
      </c>
      <c r="G22" s="1112">
        <v>-373.9</v>
      </c>
      <c r="H22" s="1112">
        <v>-226.4</v>
      </c>
      <c r="I22" s="1112">
        <v>1371.1</v>
      </c>
      <c r="J22" s="1112">
        <v>0</v>
      </c>
      <c r="K22" s="1112">
        <v>0</v>
      </c>
      <c r="L22" s="1112">
        <v>0</v>
      </c>
      <c r="M22" s="282"/>
    </row>
    <row r="23" spans="1:13">
      <c r="A23" s="219"/>
      <c r="C23" s="282"/>
      <c r="D23" s="282"/>
      <c r="E23" s="282"/>
      <c r="F23" s="282"/>
      <c r="G23" s="282"/>
      <c r="H23" s="282"/>
      <c r="I23" s="282"/>
      <c r="J23" s="282"/>
      <c r="K23" s="282"/>
      <c r="L23" s="282"/>
      <c r="M23" s="282"/>
    </row>
    <row r="24" spans="1:13">
      <c r="A24" s="219">
        <f>A22+1</f>
        <v>7</v>
      </c>
      <c r="C24" s="282" t="s">
        <v>349</v>
      </c>
      <c r="D24" s="282">
        <f t="shared" ref="D24:L24" si="0">SUM(D18:D22)</f>
        <v>10841754.799999999</v>
      </c>
      <c r="E24" s="282">
        <f t="shared" si="0"/>
        <v>10336594.800000001</v>
      </c>
      <c r="F24" s="282">
        <f t="shared" si="0"/>
        <v>10898903.4</v>
      </c>
      <c r="G24" s="282">
        <f>SUM(G18:G22)</f>
        <v>11733214.6</v>
      </c>
      <c r="H24" s="282">
        <f t="shared" si="0"/>
        <v>10199813.200000001</v>
      </c>
      <c r="I24" s="282">
        <f t="shared" si="0"/>
        <v>11475680.200000001</v>
      </c>
      <c r="J24" s="282">
        <f t="shared" si="0"/>
        <v>12033756.9</v>
      </c>
      <c r="K24" s="282">
        <f t="shared" si="0"/>
        <v>11669000</v>
      </c>
      <c r="L24" s="282">
        <f t="shared" si="0"/>
        <v>11669000</v>
      </c>
      <c r="M24" s="282"/>
    </row>
    <row r="25" spans="1:13">
      <c r="A25" s="219"/>
      <c r="C25" s="282"/>
      <c r="D25" s="282"/>
      <c r="E25" s="282"/>
      <c r="F25" s="282"/>
      <c r="G25" s="282"/>
      <c r="H25" s="282"/>
      <c r="I25" s="282"/>
      <c r="J25" s="282"/>
      <c r="K25" s="282"/>
      <c r="L25" s="282"/>
      <c r="M25" s="282"/>
    </row>
    <row r="26" spans="1:13">
      <c r="A26" s="219">
        <f>A24+1</f>
        <v>8</v>
      </c>
      <c r="B26" s="218" t="s">
        <v>973</v>
      </c>
      <c r="D26" s="282"/>
      <c r="E26" s="282"/>
      <c r="F26" s="282"/>
      <c r="G26" s="282"/>
      <c r="H26" s="282"/>
      <c r="I26" s="282"/>
      <c r="J26" s="282"/>
      <c r="K26" s="282"/>
      <c r="L26" s="282"/>
    </row>
    <row r="27" spans="1:13">
      <c r="A27" s="219">
        <f>A26+1</f>
        <v>9</v>
      </c>
      <c r="C27" s="282" t="s">
        <v>142</v>
      </c>
      <c r="D27" s="282">
        <f>'I-2 Revenue Stats'!D35</f>
        <v>105929</v>
      </c>
      <c r="E27" s="282">
        <f>'I-2 Revenue Stats'!E35</f>
        <v>108375</v>
      </c>
      <c r="F27" s="282">
        <f>'I-2 Revenue Stats'!F35</f>
        <v>109391</v>
      </c>
      <c r="G27" s="282">
        <f>'I-2 Revenue Stats'!G35</f>
        <v>111513</v>
      </c>
      <c r="H27" s="282">
        <f>'I-2 Revenue Stats'!H35</f>
        <v>112698</v>
      </c>
      <c r="I27" s="282">
        <f>'I-2 Revenue Stats'!I35</f>
        <v>110695</v>
      </c>
      <c r="J27" s="282">
        <f>'I-2 Revenue Stats'!J35</f>
        <v>113374</v>
      </c>
      <c r="K27" s="282">
        <f>'I-2 Revenue Stats'!K35</f>
        <v>112933</v>
      </c>
      <c r="L27" s="282">
        <f>'I-2 Revenue Stats'!L35</f>
        <v>113210</v>
      </c>
    </row>
    <row r="28" spans="1:13">
      <c r="A28" s="219">
        <f>A27+1</f>
        <v>10</v>
      </c>
      <c r="C28" s="282" t="s">
        <v>143</v>
      </c>
      <c r="D28" s="282">
        <f>'I-2 Revenue Stats'!D36</f>
        <v>11052</v>
      </c>
      <c r="E28" s="282">
        <f>'I-2 Revenue Stats'!E36</f>
        <v>11200</v>
      </c>
      <c r="F28" s="282">
        <f>'I-2 Revenue Stats'!F36</f>
        <v>11338</v>
      </c>
      <c r="G28" s="282">
        <f>'I-2 Revenue Stats'!G36</f>
        <v>11907</v>
      </c>
      <c r="H28" s="282">
        <f>'I-2 Revenue Stats'!H36</f>
        <v>12033</v>
      </c>
      <c r="I28" s="282">
        <f>'I-2 Revenue Stats'!I36</f>
        <v>11781</v>
      </c>
      <c r="J28" s="282">
        <f>'I-2 Revenue Stats'!J36</f>
        <v>12098</v>
      </c>
      <c r="K28" s="282">
        <f>'I-2 Revenue Stats'!K36</f>
        <v>11997</v>
      </c>
      <c r="L28" s="282">
        <f>'I-2 Revenue Stats'!L36</f>
        <v>11997</v>
      </c>
    </row>
    <row r="29" spans="1:13">
      <c r="A29" s="219">
        <f>A28+1</f>
        <v>11</v>
      </c>
      <c r="C29" s="282" t="s">
        <v>144</v>
      </c>
      <c r="D29" s="282">
        <f>'I-2 Revenue Stats'!D37</f>
        <v>54</v>
      </c>
      <c r="E29" s="282">
        <f>'I-2 Revenue Stats'!E37</f>
        <v>48</v>
      </c>
      <c r="F29" s="282">
        <f>'I-2 Revenue Stats'!F37</f>
        <v>45</v>
      </c>
      <c r="G29" s="282">
        <f>'I-2 Revenue Stats'!G37</f>
        <v>56</v>
      </c>
      <c r="H29" s="282">
        <f>'I-2 Revenue Stats'!H37</f>
        <v>52</v>
      </c>
      <c r="I29" s="282">
        <f>'I-2 Revenue Stats'!I37</f>
        <v>52</v>
      </c>
      <c r="J29" s="282">
        <f>'I-2 Revenue Stats'!J37</f>
        <v>52</v>
      </c>
      <c r="K29" s="282">
        <f>'I-2 Revenue Stats'!K37</f>
        <v>54</v>
      </c>
      <c r="L29" s="282">
        <f>'I-2 Revenue Stats'!L37</f>
        <v>54</v>
      </c>
    </row>
    <row r="30" spans="1:13">
      <c r="A30" s="219">
        <f>A29+1</f>
        <v>12</v>
      </c>
      <c r="C30" s="282" t="s">
        <v>904</v>
      </c>
      <c r="D30" s="282">
        <f>'I-2 Revenue Stats'!D38</f>
        <v>2</v>
      </c>
      <c r="E30" s="282">
        <f>'I-2 Revenue Stats'!E38</f>
        <v>2</v>
      </c>
      <c r="F30" s="282">
        <f>'I-2 Revenue Stats'!F38</f>
        <v>2</v>
      </c>
      <c r="G30" s="282">
        <f>'I-2 Revenue Stats'!G38</f>
        <v>2</v>
      </c>
      <c r="H30" s="282">
        <f>'I-2 Revenue Stats'!H38</f>
        <v>2</v>
      </c>
      <c r="I30" s="282">
        <f>'I-2 Revenue Stats'!I38</f>
        <v>2</v>
      </c>
      <c r="J30" s="282">
        <f>'I-2 Revenue Stats'!J38</f>
        <v>2</v>
      </c>
      <c r="K30" s="282">
        <f>'I-2 Revenue Stats'!K38</f>
        <v>2</v>
      </c>
      <c r="L30" s="282">
        <f>'I-2 Revenue Stats'!L38</f>
        <v>2</v>
      </c>
    </row>
    <row r="31" spans="1:13">
      <c r="A31" s="219">
        <f>A30+1</f>
        <v>13</v>
      </c>
      <c r="C31" s="282" t="s">
        <v>364</v>
      </c>
      <c r="D31" s="1112">
        <f>'I-2 Revenue Stats'!D39</f>
        <v>0</v>
      </c>
      <c r="E31" s="1112">
        <f>'I-2 Revenue Stats'!E39</f>
        <v>0</v>
      </c>
      <c r="F31" s="1112">
        <f>'I-2 Revenue Stats'!F39</f>
        <v>0</v>
      </c>
      <c r="G31" s="1112">
        <f>'I-2 Revenue Stats'!G39</f>
        <v>0</v>
      </c>
      <c r="H31" s="1112">
        <f>'I-2 Revenue Stats'!H39</f>
        <v>0</v>
      </c>
      <c r="I31" s="1112">
        <f>'I-2 Revenue Stats'!I39</f>
        <v>0</v>
      </c>
      <c r="J31" s="1112">
        <f>'I-2 Revenue Stats'!J39</f>
        <v>0</v>
      </c>
      <c r="K31" s="1112">
        <f>'I-2 Revenue Stats'!K39</f>
        <v>0</v>
      </c>
      <c r="L31" s="1112">
        <f>'I-2 Revenue Stats'!L39</f>
        <v>0</v>
      </c>
    </row>
    <row r="32" spans="1:13">
      <c r="A32" s="219"/>
      <c r="D32" s="282"/>
      <c r="E32" s="282"/>
      <c r="F32" s="282"/>
      <c r="G32" s="282"/>
      <c r="H32" s="282"/>
      <c r="I32" s="282"/>
      <c r="J32" s="282"/>
      <c r="K32" s="282"/>
      <c r="L32" s="282"/>
    </row>
    <row r="33" spans="1:12">
      <c r="A33" s="219">
        <f>A31+1</f>
        <v>14</v>
      </c>
      <c r="C33" s="282" t="s">
        <v>349</v>
      </c>
      <c r="D33" s="282">
        <f t="shared" ref="D33:L33" si="1">SUM(D27:D31)</f>
        <v>117037</v>
      </c>
      <c r="E33" s="282">
        <f t="shared" si="1"/>
        <v>119625</v>
      </c>
      <c r="F33" s="282">
        <f t="shared" si="1"/>
        <v>120776</v>
      </c>
      <c r="G33" s="282">
        <f t="shared" si="1"/>
        <v>123478</v>
      </c>
      <c r="H33" s="282">
        <f t="shared" si="1"/>
        <v>124785</v>
      </c>
      <c r="I33" s="282">
        <f t="shared" si="1"/>
        <v>122530</v>
      </c>
      <c r="J33" s="282">
        <f t="shared" si="1"/>
        <v>125526</v>
      </c>
      <c r="K33" s="282">
        <f t="shared" si="1"/>
        <v>124986</v>
      </c>
      <c r="L33" s="282">
        <f t="shared" si="1"/>
        <v>125263</v>
      </c>
    </row>
    <row r="34" spans="1:12">
      <c r="A34" s="219"/>
      <c r="D34" s="282"/>
      <c r="E34" s="282"/>
      <c r="F34" s="282"/>
      <c r="G34" s="282"/>
      <c r="H34" s="282"/>
      <c r="I34" s="282"/>
      <c r="J34" s="282"/>
      <c r="K34" s="282"/>
      <c r="L34" s="282"/>
    </row>
    <row r="35" spans="1:12">
      <c r="A35" s="219">
        <f>A33+1</f>
        <v>15</v>
      </c>
      <c r="B35" s="218" t="s">
        <v>148</v>
      </c>
      <c r="D35" s="282"/>
      <c r="E35" s="282"/>
      <c r="F35" s="282"/>
      <c r="G35" s="282"/>
      <c r="H35" s="282"/>
      <c r="I35" s="282"/>
      <c r="J35" s="282"/>
      <c r="K35" s="282"/>
      <c r="L35" s="282"/>
    </row>
    <row r="36" spans="1:12">
      <c r="A36" s="219">
        <f>A35+1</f>
        <v>16</v>
      </c>
      <c r="C36" s="282" t="s">
        <v>142</v>
      </c>
      <c r="D36" s="282">
        <f t="shared" ref="D36:E39" si="2">+D18/D27</f>
        <v>64.096784638767474</v>
      </c>
      <c r="E36" s="282">
        <f t="shared" si="2"/>
        <v>61.236140253748559</v>
      </c>
      <c r="F36" s="282">
        <f t="shared" ref="F36:G39" si="3">+F18/F27</f>
        <v>62.790325529522541</v>
      </c>
      <c r="G36" s="282">
        <f t="shared" si="3"/>
        <v>65.087333315398197</v>
      </c>
      <c r="H36" s="282">
        <f t="shared" ref="H36:L39" si="4">+H18/H27</f>
        <v>54.370902766686186</v>
      </c>
      <c r="I36" s="282">
        <f t="shared" si="4"/>
        <v>62.824646099643175</v>
      </c>
      <c r="J36" s="282">
        <f t="shared" si="4"/>
        <v>65.700928784377368</v>
      </c>
      <c r="K36" s="282">
        <f t="shared" si="4"/>
        <v>64.799482879229274</v>
      </c>
      <c r="L36" s="282">
        <f t="shared" si="4"/>
        <v>64.640932779789765</v>
      </c>
    </row>
    <row r="37" spans="1:12">
      <c r="A37" s="219">
        <f>A36+1</f>
        <v>17</v>
      </c>
      <c r="C37" s="282" t="s">
        <v>143</v>
      </c>
      <c r="D37" s="282">
        <f t="shared" si="2"/>
        <v>333.7460550126674</v>
      </c>
      <c r="E37" s="282">
        <f t="shared" si="2"/>
        <v>306.15154464285712</v>
      </c>
      <c r="F37" s="282">
        <f t="shared" si="3"/>
        <v>330.04270594461104</v>
      </c>
      <c r="G37" s="282">
        <f t="shared" si="3"/>
        <v>354.6744771982867</v>
      </c>
      <c r="H37" s="282">
        <f t="shared" si="4"/>
        <v>318.15214825895453</v>
      </c>
      <c r="I37" s="282">
        <f t="shared" si="4"/>
        <v>364.13484424072664</v>
      </c>
      <c r="J37" s="282">
        <f t="shared" si="4"/>
        <v>360.90227310299224</v>
      </c>
      <c r="K37" s="282">
        <f t="shared" si="4"/>
        <v>342.25222972409767</v>
      </c>
      <c r="L37" s="282">
        <f t="shared" si="4"/>
        <v>342.25222972409767</v>
      </c>
    </row>
    <row r="38" spans="1:12">
      <c r="A38" s="219">
        <f>A37+1</f>
        <v>18</v>
      </c>
      <c r="C38" s="282" t="s">
        <v>144</v>
      </c>
      <c r="D38" s="282">
        <f t="shared" si="2"/>
        <v>6534.594444444444</v>
      </c>
      <c r="E38" s="282">
        <f t="shared" si="2"/>
        <v>5444.9333333333334</v>
      </c>
      <c r="F38" s="282">
        <f t="shared" si="3"/>
        <v>6110.362222222222</v>
      </c>
      <c r="G38" s="282">
        <f t="shared" si="3"/>
        <v>4323.6732142857145</v>
      </c>
      <c r="H38" s="282">
        <f t="shared" si="4"/>
        <v>4546.6499999999996</v>
      </c>
      <c r="I38" s="282">
        <f t="shared" si="4"/>
        <v>4254.4769230769225</v>
      </c>
      <c r="J38" s="282">
        <f t="shared" si="4"/>
        <v>4007.1846153846154</v>
      </c>
      <c r="K38" s="282">
        <f t="shared" si="4"/>
        <v>4370.3703703703704</v>
      </c>
      <c r="L38" s="282">
        <f t="shared" si="4"/>
        <v>4370.3703703703704</v>
      </c>
    </row>
    <row r="39" spans="1:12">
      <c r="A39" s="219">
        <f>A38+1</f>
        <v>19</v>
      </c>
      <c r="C39" s="282" t="s">
        <v>364</v>
      </c>
      <c r="D39" s="282">
        <f t="shared" si="2"/>
        <v>5308.5</v>
      </c>
      <c r="E39" s="282">
        <f t="shared" si="2"/>
        <v>4937</v>
      </c>
      <c r="F39" s="282">
        <f t="shared" si="3"/>
        <v>5598.5</v>
      </c>
      <c r="G39" s="282">
        <f t="shared" si="3"/>
        <v>5135</v>
      </c>
      <c r="H39" s="282">
        <f t="shared" si="4"/>
        <v>3898.5</v>
      </c>
      <c r="I39" s="282">
        <f t="shared" si="4"/>
        <v>4414.75</v>
      </c>
      <c r="J39" s="282">
        <f t="shared" si="4"/>
        <v>5205.25</v>
      </c>
      <c r="K39" s="282">
        <f t="shared" si="4"/>
        <v>4500</v>
      </c>
      <c r="L39" s="282">
        <f t="shared" si="4"/>
        <v>4500</v>
      </c>
    </row>
    <row r="40" spans="1:12">
      <c r="A40" s="219"/>
      <c r="D40" s="282"/>
      <c r="E40" s="282"/>
      <c r="F40" s="282"/>
      <c r="G40" s="282"/>
      <c r="H40" s="282"/>
      <c r="I40" s="282"/>
      <c r="J40" s="282"/>
      <c r="K40" s="282"/>
      <c r="L40" s="282"/>
    </row>
    <row r="42" spans="1:12">
      <c r="A42" s="218" t="s">
        <v>1066</v>
      </c>
    </row>
    <row r="43" spans="1:12">
      <c r="A43" s="218" t="str">
        <f>'I-1 Comp Income Statement'!A47</f>
        <v>[2]  Projected calender years 2026 and 2027 do not reflect what is presented in the current case or potential subsequent cases, if any.</v>
      </c>
    </row>
  </sheetData>
  <mergeCells count="7">
    <mergeCell ref="D11:H11"/>
    <mergeCell ref="K11:L11"/>
    <mergeCell ref="A1:L1"/>
    <mergeCell ref="A2:L2"/>
    <mergeCell ref="A3:L3"/>
    <mergeCell ref="A4:L4"/>
    <mergeCell ref="A5:L5"/>
  </mergeCells>
  <printOptions horizontalCentered="1"/>
  <pageMargins left="0.5" right="0.5" top="0.75" bottom="0.5" header="0.3" footer="0.3"/>
  <pageSetup scale="86"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H123"/>
  <sheetViews>
    <sheetView zoomScaleNormal="100" zoomScaleSheetLayoutView="100" workbookViewId="0">
      <selection activeCell="I6" sqref="I6"/>
    </sheetView>
  </sheetViews>
  <sheetFormatPr defaultColWidth="8.5" defaultRowHeight="10.5"/>
  <cols>
    <col min="1" max="1" width="26.6640625" style="737" bestFit="1" customWidth="1"/>
    <col min="2" max="2" width="2.83203125" style="737" customWidth="1"/>
    <col min="3" max="3" width="63.5" style="737" bestFit="1" customWidth="1"/>
    <col min="4" max="6" width="8.5" style="737"/>
    <col min="7" max="7" width="12.6640625" style="737" customWidth="1"/>
    <col min="8" max="16384" width="8.5" style="737"/>
  </cols>
  <sheetData>
    <row r="1" spans="1:5" ht="12.75">
      <c r="A1" s="735"/>
      <c r="B1" s="735"/>
      <c r="C1" s="735"/>
      <c r="D1" s="735"/>
      <c r="E1" s="736"/>
    </row>
    <row r="2" spans="1:5" ht="12.75">
      <c r="A2" s="735"/>
      <c r="B2" s="735"/>
      <c r="C2" s="735"/>
      <c r="D2" s="735"/>
      <c r="E2" s="736"/>
    </row>
    <row r="3" spans="1:5" ht="12.75">
      <c r="A3" s="735"/>
      <c r="B3" s="735"/>
      <c r="C3" s="735"/>
      <c r="D3" s="735"/>
      <c r="E3" s="736"/>
    </row>
    <row r="4" spans="1:5" ht="12.75">
      <c r="A4" s="735"/>
      <c r="B4" s="735"/>
      <c r="C4" s="735"/>
      <c r="D4" s="735"/>
      <c r="E4" s="736"/>
    </row>
    <row r="5" spans="1:5" ht="12.75">
      <c r="A5" s="1351" t="s">
        <v>149</v>
      </c>
      <c r="B5" s="1351"/>
      <c r="C5" s="1351"/>
      <c r="D5" s="735"/>
      <c r="E5" s="736"/>
    </row>
    <row r="6" spans="1:5" ht="12.75">
      <c r="A6" s="735"/>
      <c r="B6" s="735"/>
      <c r="C6" s="738"/>
      <c r="D6" s="735"/>
      <c r="E6" s="736"/>
    </row>
    <row r="7" spans="1:5" ht="12.75">
      <c r="A7" s="1351" t="s">
        <v>1014</v>
      </c>
      <c r="B7" s="1351"/>
      <c r="C7" s="1351"/>
      <c r="D7" s="735"/>
      <c r="E7" s="736"/>
    </row>
    <row r="8" spans="1:5" ht="12.75">
      <c r="A8" s="735"/>
      <c r="B8" s="735"/>
      <c r="C8" s="738"/>
      <c r="D8" s="735"/>
      <c r="E8" s="736"/>
    </row>
    <row r="9" spans="1:5" ht="12.75">
      <c r="A9" s="1306" t="str">
        <f>'General Headers Index'!B4</f>
        <v>COLUMBIA GAS OF KENTUCKY, INC.</v>
      </c>
      <c r="B9" s="1306"/>
      <c r="C9" s="1306"/>
      <c r="D9" s="735"/>
      <c r="E9" s="736"/>
    </row>
    <row r="10" spans="1:5" ht="12.75">
      <c r="A10" s="735"/>
      <c r="B10" s="735"/>
      <c r="C10" s="220"/>
      <c r="D10" s="735"/>
      <c r="E10" s="736"/>
    </row>
    <row r="11" spans="1:5" ht="12.75">
      <c r="A11" s="1306" t="str">
        <f>'General Headers Index'!B6</f>
        <v>CASE NO. 2024 - 00092</v>
      </c>
      <c r="B11" s="1306"/>
      <c r="C11" s="1306"/>
      <c r="D11" s="735"/>
      <c r="E11" s="736"/>
    </row>
    <row r="12" spans="1:5" ht="12.75">
      <c r="A12" s="735"/>
      <c r="B12" s="735"/>
      <c r="C12" s="220"/>
      <c r="D12" s="735"/>
      <c r="E12" s="736"/>
    </row>
    <row r="13" spans="1:5" ht="12.75">
      <c r="A13" s="735"/>
      <c r="B13" s="735"/>
      <c r="C13" s="220"/>
      <c r="D13" s="735"/>
      <c r="E13" s="736"/>
    </row>
    <row r="14" spans="1:5" ht="12.75">
      <c r="A14" s="229" t="s">
        <v>97</v>
      </c>
      <c r="B14" s="735"/>
      <c r="C14" s="707" t="str">
        <f>'General Headers Index'!B8</f>
        <v>FOR THE TWELVE MONTHS ENDED AUGUST 31, 2024</v>
      </c>
      <c r="D14" s="735"/>
      <c r="E14" s="736"/>
    </row>
    <row r="15" spans="1:5" ht="12.75">
      <c r="A15" s="220"/>
      <c r="B15" s="735"/>
      <c r="C15" s="716"/>
      <c r="D15" s="735"/>
      <c r="E15" s="736"/>
    </row>
    <row r="16" spans="1:5" ht="12.75">
      <c r="A16" s="229" t="s">
        <v>684</v>
      </c>
      <c r="B16" s="735"/>
      <c r="C16" s="707" t="str">
        <f>'General Headers Index'!B15</f>
        <v>FOR THE TWELVE MONTHS ENDED DECEMBER 31, 2025</v>
      </c>
      <c r="D16" s="735"/>
      <c r="E16" s="736"/>
    </row>
    <row r="17" spans="1:8" ht="12.75">
      <c r="A17" s="735"/>
      <c r="B17" s="735"/>
      <c r="C17" s="735"/>
      <c r="D17" s="735"/>
      <c r="E17" s="736"/>
    </row>
    <row r="18" spans="1:8" ht="12.75">
      <c r="A18" s="735"/>
      <c r="B18" s="735"/>
      <c r="C18" s="735"/>
      <c r="D18" s="735"/>
      <c r="E18" s="736"/>
    </row>
    <row r="19" spans="1:8" ht="12.75">
      <c r="A19" s="739" t="s">
        <v>314</v>
      </c>
      <c r="B19" s="739"/>
      <c r="C19" s="739" t="s">
        <v>451</v>
      </c>
      <c r="D19" s="739"/>
      <c r="E19" s="740"/>
      <c r="F19" s="741"/>
      <c r="G19" s="741"/>
      <c r="H19" s="741"/>
    </row>
    <row r="20" spans="1:8" ht="12.75">
      <c r="A20" s="735"/>
      <c r="B20" s="735"/>
      <c r="C20" s="735"/>
      <c r="D20" s="735"/>
      <c r="E20" s="736"/>
    </row>
    <row r="21" spans="1:8" ht="12.75">
      <c r="A21" s="742" t="s">
        <v>150</v>
      </c>
      <c r="B21" s="742"/>
      <c r="C21" s="735" t="s">
        <v>151</v>
      </c>
      <c r="D21" s="735"/>
      <c r="E21" s="736"/>
    </row>
    <row r="22" spans="1:8" ht="12.75">
      <c r="A22" s="742" t="s">
        <v>1471</v>
      </c>
      <c r="B22" s="742"/>
      <c r="C22" s="735" t="s">
        <v>1472</v>
      </c>
      <c r="D22" s="735"/>
      <c r="E22" s="736"/>
    </row>
    <row r="23" spans="1:8" ht="12.75">
      <c r="A23" s="742" t="s">
        <v>152</v>
      </c>
      <c r="B23" s="742"/>
      <c r="C23" s="735" t="s">
        <v>153</v>
      </c>
      <c r="D23" s="735"/>
      <c r="E23" s="736"/>
    </row>
    <row r="24" spans="1:8" ht="12.75">
      <c r="A24" s="742" t="s">
        <v>154</v>
      </c>
      <c r="B24" s="742"/>
      <c r="C24" s="735" t="s">
        <v>155</v>
      </c>
      <c r="D24" s="735"/>
      <c r="E24" s="736"/>
    </row>
    <row r="25" spans="1:8" ht="12.75">
      <c r="A25" s="742" t="s">
        <v>156</v>
      </c>
      <c r="B25" s="742"/>
      <c r="C25" s="735" t="s">
        <v>157</v>
      </c>
      <c r="D25" s="736"/>
      <c r="E25" s="736"/>
    </row>
    <row r="26" spans="1:8" ht="11.25">
      <c r="A26" s="736"/>
      <c r="B26" s="736"/>
      <c r="C26" s="736"/>
      <c r="D26" s="736"/>
      <c r="E26" s="736"/>
    </row>
    <row r="27" spans="1:8" ht="11.25">
      <c r="A27" s="736"/>
      <c r="B27" s="736"/>
      <c r="C27" s="736"/>
      <c r="D27" s="736"/>
      <c r="E27" s="736"/>
    </row>
    <row r="28" spans="1:8" ht="11.25">
      <c r="A28" s="736"/>
      <c r="B28" s="736"/>
      <c r="C28" s="736"/>
      <c r="D28" s="736"/>
      <c r="E28" s="736"/>
    </row>
    <row r="29" spans="1:8" ht="11.25">
      <c r="A29" s="736"/>
      <c r="B29" s="736"/>
      <c r="C29" s="736"/>
      <c r="D29" s="736"/>
      <c r="E29" s="736"/>
    </row>
    <row r="30" spans="1:8" ht="11.25">
      <c r="A30" s="736"/>
      <c r="B30" s="736"/>
      <c r="C30" s="736"/>
      <c r="D30" s="736"/>
      <c r="E30" s="736"/>
    </row>
    <row r="31" spans="1:8" ht="11.25">
      <c r="A31" s="736"/>
      <c r="B31" s="736"/>
      <c r="C31" s="736"/>
      <c r="D31" s="736"/>
      <c r="E31" s="736"/>
    </row>
    <row r="32" spans="1:8" ht="11.25">
      <c r="A32" s="736"/>
      <c r="B32" s="736"/>
      <c r="C32" s="736"/>
      <c r="D32" s="736"/>
      <c r="E32" s="736"/>
    </row>
    <row r="33" spans="1:5" ht="11.25">
      <c r="A33" s="736"/>
      <c r="B33" s="736"/>
      <c r="C33" s="736"/>
      <c r="D33" s="736"/>
      <c r="E33" s="736"/>
    </row>
    <row r="34" spans="1:5" ht="11.25">
      <c r="A34" s="736"/>
      <c r="B34" s="736"/>
      <c r="C34" s="736"/>
      <c r="D34" s="736"/>
      <c r="E34" s="736"/>
    </row>
    <row r="35" spans="1:5" ht="11.25">
      <c r="A35" s="736"/>
      <c r="B35" s="736"/>
      <c r="C35" s="736"/>
      <c r="D35" s="736"/>
      <c r="E35" s="736"/>
    </row>
    <row r="36" spans="1:5" ht="11.25">
      <c r="A36" s="736"/>
      <c r="B36" s="736"/>
      <c r="C36" s="736"/>
      <c r="D36" s="736"/>
      <c r="E36" s="736"/>
    </row>
    <row r="37" spans="1:5" ht="11.25">
      <c r="A37" s="736"/>
      <c r="B37" s="736"/>
      <c r="C37" s="736"/>
      <c r="D37" s="736"/>
      <c r="E37" s="736"/>
    </row>
    <row r="38" spans="1:5" ht="11.25">
      <c r="A38" s="736"/>
      <c r="B38" s="736"/>
      <c r="C38" s="736"/>
      <c r="D38" s="736"/>
      <c r="E38" s="736"/>
    </row>
    <row r="39" spans="1:5" ht="11.25">
      <c r="A39" s="736"/>
      <c r="B39" s="736"/>
      <c r="C39" s="736"/>
      <c r="D39" s="736"/>
      <c r="E39" s="736"/>
    </row>
    <row r="40" spans="1:5" ht="11.25">
      <c r="A40" s="736"/>
      <c r="B40" s="736"/>
      <c r="C40" s="736"/>
      <c r="D40" s="736"/>
      <c r="E40" s="736"/>
    </row>
    <row r="41" spans="1:5" ht="11.25">
      <c r="A41" s="736"/>
      <c r="B41" s="736"/>
      <c r="C41" s="736"/>
      <c r="D41" s="736"/>
      <c r="E41" s="736"/>
    </row>
    <row r="42" spans="1:5" ht="11.25">
      <c r="A42" s="736"/>
      <c r="B42" s="736"/>
      <c r="C42" s="736"/>
      <c r="D42" s="736"/>
      <c r="E42" s="736"/>
    </row>
    <row r="43" spans="1:5" ht="11.25">
      <c r="A43" s="736"/>
      <c r="B43" s="736"/>
      <c r="C43" s="736"/>
      <c r="D43" s="736"/>
      <c r="E43" s="736"/>
    </row>
    <row r="44" spans="1:5" ht="11.25">
      <c r="A44" s="736"/>
      <c r="B44" s="736"/>
      <c r="C44" s="736"/>
      <c r="D44" s="736"/>
      <c r="E44" s="736"/>
    </row>
    <row r="45" spans="1:5" ht="11.25">
      <c r="A45" s="736"/>
      <c r="B45" s="736"/>
      <c r="C45" s="736"/>
      <c r="D45" s="736"/>
      <c r="E45" s="736"/>
    </row>
    <row r="46" spans="1:5" ht="11.25">
      <c r="A46" s="736"/>
      <c r="B46" s="736"/>
      <c r="C46" s="736"/>
      <c r="D46" s="736"/>
      <c r="E46" s="736"/>
    </row>
    <row r="47" spans="1:5" ht="11.25">
      <c r="A47" s="736"/>
      <c r="B47" s="736"/>
      <c r="C47" s="736"/>
      <c r="D47" s="736"/>
      <c r="E47" s="736"/>
    </row>
    <row r="48" spans="1:5" ht="11.25">
      <c r="A48" s="736"/>
      <c r="B48" s="736"/>
      <c r="C48" s="736"/>
      <c r="D48" s="736"/>
      <c r="E48" s="736"/>
    </row>
    <row r="49" spans="1:5" ht="11.25">
      <c r="A49" s="736"/>
      <c r="B49" s="736"/>
      <c r="C49" s="736"/>
      <c r="D49" s="736"/>
      <c r="E49" s="736"/>
    </row>
    <row r="50" spans="1:5" ht="11.25">
      <c r="A50" s="736"/>
      <c r="B50" s="736"/>
      <c r="C50" s="736"/>
      <c r="D50" s="736"/>
      <c r="E50" s="736"/>
    </row>
    <row r="51" spans="1:5" ht="11.25">
      <c r="A51" s="736"/>
      <c r="B51" s="736"/>
      <c r="C51" s="736"/>
      <c r="D51" s="736"/>
      <c r="E51" s="736"/>
    </row>
    <row r="52" spans="1:5" ht="11.25">
      <c r="A52" s="736"/>
      <c r="B52" s="736"/>
      <c r="C52" s="736"/>
      <c r="D52" s="736"/>
      <c r="E52" s="736"/>
    </row>
    <row r="53" spans="1:5" ht="11.25">
      <c r="A53" s="736"/>
      <c r="B53" s="736"/>
      <c r="C53" s="736"/>
      <c r="D53" s="736"/>
      <c r="E53" s="736"/>
    </row>
    <row r="54" spans="1:5" ht="11.25">
      <c r="A54" s="736"/>
      <c r="B54" s="736"/>
      <c r="C54" s="736"/>
      <c r="D54" s="736"/>
      <c r="E54" s="736"/>
    </row>
    <row r="55" spans="1:5" ht="11.25">
      <c r="A55" s="736"/>
      <c r="B55" s="736"/>
      <c r="C55" s="736"/>
      <c r="D55" s="736"/>
      <c r="E55" s="736"/>
    </row>
    <row r="56" spans="1:5" ht="11.25">
      <c r="A56" s="736"/>
      <c r="B56" s="736"/>
      <c r="C56" s="736"/>
      <c r="D56" s="736"/>
      <c r="E56" s="736"/>
    </row>
    <row r="57" spans="1:5" ht="11.25">
      <c r="A57" s="736"/>
      <c r="B57" s="736"/>
      <c r="C57" s="736"/>
      <c r="D57" s="736"/>
      <c r="E57" s="736"/>
    </row>
    <row r="58" spans="1:5" ht="11.25">
      <c r="A58" s="736"/>
      <c r="B58" s="736"/>
      <c r="C58" s="736"/>
      <c r="D58" s="736"/>
      <c r="E58" s="736"/>
    </row>
    <row r="59" spans="1:5" ht="11.25">
      <c r="A59" s="736"/>
      <c r="B59" s="736"/>
      <c r="C59" s="736"/>
      <c r="D59" s="736"/>
      <c r="E59" s="736"/>
    </row>
    <row r="60" spans="1:5" ht="11.25">
      <c r="A60" s="736"/>
      <c r="B60" s="736"/>
      <c r="C60" s="736"/>
      <c r="D60" s="736"/>
      <c r="E60" s="736"/>
    </row>
    <row r="61" spans="1:5" ht="11.25">
      <c r="A61" s="736"/>
      <c r="B61" s="736"/>
      <c r="C61" s="736"/>
      <c r="D61" s="736"/>
      <c r="E61" s="736"/>
    </row>
    <row r="62" spans="1:5" ht="11.25">
      <c r="A62" s="736"/>
      <c r="B62" s="736"/>
      <c r="C62" s="736"/>
      <c r="D62" s="736"/>
      <c r="E62" s="736"/>
    </row>
    <row r="63" spans="1:5" ht="11.25">
      <c r="A63" s="736"/>
      <c r="B63" s="736"/>
      <c r="C63" s="736"/>
      <c r="D63" s="736"/>
      <c r="E63" s="736"/>
    </row>
    <row r="64" spans="1:5" ht="11.25">
      <c r="A64" s="736"/>
      <c r="B64" s="736"/>
      <c r="C64" s="736"/>
      <c r="D64" s="736"/>
      <c r="E64" s="736"/>
    </row>
    <row r="65" spans="1:5" ht="11.25">
      <c r="A65" s="736"/>
      <c r="B65" s="736"/>
      <c r="C65" s="736"/>
      <c r="D65" s="736"/>
      <c r="E65" s="736"/>
    </row>
    <row r="66" spans="1:5" ht="11.25">
      <c r="A66" s="736"/>
      <c r="B66" s="736"/>
      <c r="C66" s="736"/>
      <c r="D66" s="736"/>
      <c r="E66" s="736"/>
    </row>
    <row r="67" spans="1:5" ht="11.25">
      <c r="A67" s="736"/>
      <c r="B67" s="736"/>
      <c r="C67" s="736"/>
      <c r="D67" s="736"/>
      <c r="E67" s="736"/>
    </row>
    <row r="68" spans="1:5" ht="11.25">
      <c r="A68" s="736"/>
      <c r="B68" s="736"/>
      <c r="C68" s="736"/>
      <c r="D68" s="736"/>
      <c r="E68" s="736"/>
    </row>
    <row r="69" spans="1:5" ht="11.25">
      <c r="A69" s="736"/>
      <c r="B69" s="736"/>
      <c r="C69" s="736"/>
      <c r="D69" s="736"/>
      <c r="E69" s="736"/>
    </row>
    <row r="70" spans="1:5" ht="11.25">
      <c r="A70" s="736"/>
      <c r="B70" s="736"/>
      <c r="C70" s="736"/>
      <c r="D70" s="736"/>
      <c r="E70" s="736"/>
    </row>
    <row r="71" spans="1:5" ht="11.25">
      <c r="A71" s="736"/>
      <c r="B71" s="736"/>
      <c r="C71" s="736"/>
      <c r="D71" s="736"/>
      <c r="E71" s="736"/>
    </row>
    <row r="72" spans="1:5" ht="11.25">
      <c r="A72" s="736"/>
      <c r="B72" s="736"/>
      <c r="C72" s="736"/>
      <c r="D72" s="736"/>
      <c r="E72" s="736"/>
    </row>
    <row r="73" spans="1:5" ht="11.25">
      <c r="A73" s="736"/>
      <c r="B73" s="736"/>
      <c r="C73" s="736"/>
      <c r="D73" s="736"/>
      <c r="E73" s="736"/>
    </row>
    <row r="74" spans="1:5" ht="11.25">
      <c r="A74" s="736"/>
      <c r="B74" s="736"/>
      <c r="C74" s="736"/>
      <c r="D74" s="736"/>
      <c r="E74" s="736"/>
    </row>
    <row r="75" spans="1:5" ht="11.25">
      <c r="A75" s="736"/>
      <c r="B75" s="736"/>
      <c r="C75" s="736"/>
      <c r="D75" s="736"/>
      <c r="E75" s="736"/>
    </row>
    <row r="76" spans="1:5" ht="11.25">
      <c r="A76" s="736"/>
      <c r="B76" s="736"/>
      <c r="C76" s="736"/>
      <c r="D76" s="736"/>
      <c r="E76" s="736"/>
    </row>
    <row r="77" spans="1:5" ht="11.25">
      <c r="A77" s="736"/>
      <c r="B77" s="736"/>
      <c r="C77" s="736"/>
      <c r="D77" s="736"/>
      <c r="E77" s="736"/>
    </row>
    <row r="78" spans="1:5" ht="11.25">
      <c r="A78" s="736"/>
      <c r="B78" s="736"/>
      <c r="C78" s="736"/>
      <c r="D78" s="736"/>
      <c r="E78" s="736"/>
    </row>
    <row r="79" spans="1:5" ht="11.25">
      <c r="A79" s="736"/>
      <c r="B79" s="736"/>
      <c r="C79" s="736"/>
      <c r="D79" s="736"/>
      <c r="E79" s="736"/>
    </row>
    <row r="80" spans="1:5" ht="11.25">
      <c r="A80" s="736"/>
      <c r="B80" s="736"/>
      <c r="C80" s="736"/>
      <c r="D80" s="736"/>
      <c r="E80" s="736"/>
    </row>
    <row r="81" spans="1:5" ht="11.25">
      <c r="A81" s="736"/>
      <c r="B81" s="736"/>
      <c r="C81" s="736"/>
      <c r="D81" s="736"/>
      <c r="E81" s="736"/>
    </row>
    <row r="82" spans="1:5" ht="11.25">
      <c r="A82" s="736"/>
      <c r="B82" s="736"/>
      <c r="C82" s="736"/>
      <c r="D82" s="736"/>
      <c r="E82" s="736"/>
    </row>
    <row r="83" spans="1:5" ht="11.25">
      <c r="A83" s="736"/>
      <c r="B83" s="736"/>
      <c r="C83" s="736"/>
      <c r="D83" s="736"/>
      <c r="E83" s="736"/>
    </row>
    <row r="84" spans="1:5" ht="11.25">
      <c r="A84" s="736"/>
      <c r="B84" s="736"/>
      <c r="C84" s="736"/>
      <c r="D84" s="736"/>
      <c r="E84" s="736"/>
    </row>
    <row r="85" spans="1:5" ht="11.25">
      <c r="A85" s="736"/>
      <c r="B85" s="736"/>
      <c r="C85" s="736"/>
      <c r="D85" s="736"/>
      <c r="E85" s="736"/>
    </row>
    <row r="86" spans="1:5" ht="11.25">
      <c r="A86" s="736"/>
      <c r="B86" s="736"/>
      <c r="C86" s="736"/>
      <c r="D86" s="736"/>
      <c r="E86" s="736"/>
    </row>
    <row r="87" spans="1:5" ht="11.25">
      <c r="A87" s="736"/>
      <c r="B87" s="736"/>
      <c r="C87" s="736"/>
      <c r="D87" s="736"/>
      <c r="E87" s="736"/>
    </row>
    <row r="88" spans="1:5" ht="11.25">
      <c r="A88" s="736"/>
      <c r="B88" s="736"/>
      <c r="C88" s="736"/>
      <c r="D88" s="736"/>
      <c r="E88" s="736"/>
    </row>
    <row r="89" spans="1:5" ht="11.25">
      <c r="A89" s="736"/>
      <c r="B89" s="736"/>
      <c r="C89" s="736"/>
      <c r="D89" s="736"/>
      <c r="E89" s="736"/>
    </row>
    <row r="90" spans="1:5" ht="11.25">
      <c r="A90" s="736"/>
      <c r="B90" s="736"/>
      <c r="C90" s="736"/>
      <c r="D90" s="736"/>
      <c r="E90" s="736"/>
    </row>
    <row r="91" spans="1:5" ht="11.25">
      <c r="A91" s="736"/>
      <c r="B91" s="736"/>
      <c r="C91" s="736"/>
      <c r="D91" s="736"/>
      <c r="E91" s="736"/>
    </row>
    <row r="92" spans="1:5" ht="11.25">
      <c r="A92" s="736"/>
      <c r="B92" s="736"/>
      <c r="C92" s="736"/>
      <c r="D92" s="736"/>
      <c r="E92" s="736"/>
    </row>
    <row r="93" spans="1:5" ht="11.25">
      <c r="A93" s="736"/>
      <c r="B93" s="736"/>
      <c r="C93" s="736"/>
      <c r="D93" s="736"/>
      <c r="E93" s="736"/>
    </row>
    <row r="94" spans="1:5" ht="11.25">
      <c r="A94" s="736"/>
      <c r="B94" s="736"/>
      <c r="C94" s="736"/>
      <c r="D94" s="736"/>
      <c r="E94" s="736"/>
    </row>
    <row r="95" spans="1:5" ht="11.25">
      <c r="A95" s="736"/>
      <c r="B95" s="736"/>
      <c r="C95" s="736"/>
      <c r="D95" s="736"/>
      <c r="E95" s="736"/>
    </row>
    <row r="96" spans="1:5" ht="11.25">
      <c r="A96" s="736"/>
      <c r="B96" s="736"/>
      <c r="C96" s="736"/>
      <c r="D96" s="736"/>
      <c r="E96" s="736"/>
    </row>
    <row r="97" spans="1:5" ht="11.25">
      <c r="A97" s="736"/>
      <c r="B97" s="736"/>
      <c r="C97" s="736"/>
      <c r="D97" s="736"/>
      <c r="E97" s="736"/>
    </row>
    <row r="98" spans="1:5" ht="11.25">
      <c r="A98" s="736"/>
      <c r="B98" s="736"/>
      <c r="C98" s="736"/>
      <c r="D98" s="736"/>
      <c r="E98" s="736"/>
    </row>
    <row r="99" spans="1:5" ht="11.25">
      <c r="A99" s="736"/>
      <c r="B99" s="736"/>
      <c r="C99" s="736"/>
      <c r="D99" s="736"/>
      <c r="E99" s="736"/>
    </row>
    <row r="100" spans="1:5" ht="11.25">
      <c r="A100" s="736"/>
      <c r="B100" s="736"/>
      <c r="C100" s="736"/>
      <c r="D100" s="736"/>
      <c r="E100" s="736"/>
    </row>
    <row r="101" spans="1:5" ht="11.25">
      <c r="A101" s="736"/>
      <c r="B101" s="736"/>
      <c r="C101" s="736"/>
      <c r="D101" s="736"/>
      <c r="E101" s="736"/>
    </row>
    <row r="102" spans="1:5" ht="11.25">
      <c r="A102" s="736"/>
      <c r="B102" s="736"/>
      <c r="C102" s="736"/>
      <c r="D102" s="736"/>
      <c r="E102" s="736"/>
    </row>
    <row r="103" spans="1:5" ht="11.25">
      <c r="A103" s="736"/>
      <c r="B103" s="736"/>
      <c r="C103" s="736"/>
      <c r="D103" s="736"/>
      <c r="E103" s="736"/>
    </row>
    <row r="104" spans="1:5" ht="11.25">
      <c r="A104" s="736"/>
      <c r="B104" s="736"/>
      <c r="C104" s="736"/>
      <c r="D104" s="736"/>
      <c r="E104" s="736"/>
    </row>
    <row r="105" spans="1:5" ht="11.25">
      <c r="A105" s="736"/>
      <c r="B105" s="736"/>
      <c r="C105" s="736"/>
      <c r="D105" s="736"/>
      <c r="E105" s="736"/>
    </row>
    <row r="106" spans="1:5" ht="11.25">
      <c r="A106" s="736"/>
      <c r="B106" s="736"/>
      <c r="C106" s="736"/>
      <c r="D106" s="736"/>
      <c r="E106" s="736"/>
    </row>
    <row r="107" spans="1:5" ht="11.25">
      <c r="A107" s="736"/>
      <c r="B107" s="736"/>
      <c r="C107" s="736"/>
      <c r="D107" s="736"/>
      <c r="E107" s="736"/>
    </row>
    <row r="108" spans="1:5" ht="11.25">
      <c r="A108" s="736"/>
      <c r="B108" s="736"/>
      <c r="C108" s="736"/>
      <c r="D108" s="736"/>
      <c r="E108" s="736"/>
    </row>
    <row r="109" spans="1:5" ht="11.25">
      <c r="A109" s="736"/>
      <c r="B109" s="736"/>
      <c r="C109" s="736"/>
      <c r="D109" s="736"/>
      <c r="E109" s="736"/>
    </row>
    <row r="110" spans="1:5" ht="11.25">
      <c r="A110" s="736"/>
      <c r="B110" s="736"/>
      <c r="C110" s="736"/>
      <c r="D110" s="736"/>
      <c r="E110" s="736"/>
    </row>
    <row r="111" spans="1:5" ht="11.25">
      <c r="A111" s="736"/>
      <c r="B111" s="736"/>
      <c r="C111" s="736"/>
      <c r="D111" s="736"/>
      <c r="E111" s="736"/>
    </row>
    <row r="112" spans="1:5" ht="11.25">
      <c r="A112" s="736"/>
      <c r="B112" s="736"/>
      <c r="C112" s="736"/>
      <c r="D112" s="736"/>
      <c r="E112" s="736"/>
    </row>
    <row r="113" spans="1:5" ht="11.25">
      <c r="A113" s="736"/>
      <c r="B113" s="736"/>
      <c r="C113" s="736"/>
      <c r="D113" s="736"/>
      <c r="E113" s="736"/>
    </row>
    <row r="114" spans="1:5" ht="11.25">
      <c r="A114" s="736"/>
      <c r="B114" s="736"/>
      <c r="C114" s="736"/>
      <c r="D114" s="736"/>
      <c r="E114" s="736"/>
    </row>
    <row r="115" spans="1:5" ht="11.25">
      <c r="A115" s="736"/>
      <c r="B115" s="736"/>
      <c r="C115" s="736"/>
      <c r="D115" s="736"/>
      <c r="E115" s="736"/>
    </row>
    <row r="116" spans="1:5" ht="11.25">
      <c r="A116" s="736"/>
      <c r="B116" s="736"/>
      <c r="C116" s="736"/>
      <c r="D116" s="736"/>
      <c r="E116" s="736"/>
    </row>
    <row r="117" spans="1:5" ht="11.25">
      <c r="A117" s="736"/>
      <c r="B117" s="736"/>
      <c r="C117" s="736"/>
      <c r="D117" s="736"/>
      <c r="E117" s="736"/>
    </row>
    <row r="118" spans="1:5" ht="11.25">
      <c r="A118" s="736"/>
      <c r="B118" s="736"/>
      <c r="C118" s="736"/>
      <c r="D118" s="736"/>
      <c r="E118" s="736"/>
    </row>
    <row r="119" spans="1:5" ht="11.25">
      <c r="A119" s="736"/>
      <c r="B119" s="736"/>
      <c r="C119" s="736"/>
      <c r="D119" s="736"/>
      <c r="E119" s="736"/>
    </row>
    <row r="120" spans="1:5" ht="11.25">
      <c r="A120" s="736"/>
      <c r="B120" s="736"/>
      <c r="C120" s="736"/>
      <c r="D120" s="736"/>
      <c r="E120" s="736"/>
    </row>
    <row r="121" spans="1:5" ht="11.25">
      <c r="A121" s="736"/>
      <c r="B121" s="736"/>
      <c r="C121" s="736"/>
      <c r="D121" s="736"/>
      <c r="E121" s="736"/>
    </row>
    <row r="122" spans="1:5" ht="11.25">
      <c r="A122" s="736"/>
      <c r="B122" s="736"/>
      <c r="C122" s="736"/>
      <c r="D122" s="736"/>
      <c r="E122" s="736"/>
    </row>
    <row r="123" spans="1:5" ht="11.25">
      <c r="A123" s="736"/>
      <c r="B123" s="736"/>
      <c r="C123" s="736"/>
      <c r="D123" s="736"/>
      <c r="E123" s="736"/>
    </row>
  </sheetData>
  <mergeCells count="4">
    <mergeCell ref="A5:C5"/>
    <mergeCell ref="A7:C7"/>
    <mergeCell ref="A9:C9"/>
    <mergeCell ref="A11:C11"/>
  </mergeCells>
  <printOptions horizontalCentered="1"/>
  <pageMargins left="0.5" right="0.5" top="0.75" bottom="0.5" header="0.3" footer="0.3"/>
  <pageSetup orientation="landscape" r:id="rId1"/>
  <colBreaks count="1" manualBreakCount="1">
    <brk id="3"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O169"/>
  <sheetViews>
    <sheetView zoomScaleNormal="100" zoomScaleSheetLayoutView="100" workbookViewId="0">
      <selection activeCell="A4" sqref="A4:M4"/>
    </sheetView>
  </sheetViews>
  <sheetFormatPr defaultColWidth="9.33203125" defaultRowHeight="10.5"/>
  <cols>
    <col min="1" max="1" width="6.6640625" style="737" customWidth="1"/>
    <col min="2" max="2" width="4" style="737" customWidth="1"/>
    <col min="3" max="3" width="23.6640625" style="737" bestFit="1" customWidth="1"/>
    <col min="4" max="4" width="3.6640625" style="737" customWidth="1"/>
    <col min="5" max="5" width="13.6640625" style="737" customWidth="1"/>
    <col min="6" max="6" width="3.6640625" style="737" customWidth="1"/>
    <col min="7" max="7" width="15.6640625" style="737" customWidth="1"/>
    <col min="8" max="8" width="3.6640625" style="737" customWidth="1"/>
    <col min="9" max="9" width="12" style="737" bestFit="1" customWidth="1"/>
    <col min="10" max="10" width="3.6640625" style="737" customWidth="1"/>
    <col min="11" max="11" width="14.1640625" style="737" bestFit="1" customWidth="1"/>
    <col min="12" max="12" width="3.6640625" style="737" customWidth="1"/>
    <col min="13" max="13" width="13.6640625" style="737" customWidth="1"/>
    <col min="14" max="14" width="2.6640625" style="737" customWidth="1"/>
    <col min="15" max="16384" width="9.33203125" style="737"/>
  </cols>
  <sheetData>
    <row r="1" spans="1:13" ht="12.75">
      <c r="A1" s="1351" t="str">
        <f>'General Headers Index'!B4</f>
        <v>COLUMBIA GAS OF KENTUCKY, INC.</v>
      </c>
      <c r="B1" s="1351"/>
      <c r="C1" s="1351"/>
      <c r="D1" s="1351"/>
      <c r="E1" s="1351"/>
      <c r="F1" s="1351"/>
      <c r="G1" s="1351"/>
      <c r="H1" s="1351"/>
      <c r="I1" s="1351"/>
      <c r="J1" s="1351"/>
      <c r="K1" s="1351"/>
      <c r="L1" s="1351"/>
      <c r="M1" s="1351"/>
    </row>
    <row r="2" spans="1:13" ht="12.75">
      <c r="A2" s="1351" t="str">
        <f>'General Headers Index'!B6</f>
        <v>CASE NO. 2024 - 00092</v>
      </c>
      <c r="B2" s="1351"/>
      <c r="C2" s="1351"/>
      <c r="D2" s="1351"/>
      <c r="E2" s="1351"/>
      <c r="F2" s="1351"/>
      <c r="G2" s="1351"/>
      <c r="H2" s="1351"/>
      <c r="I2" s="1351"/>
      <c r="J2" s="1351"/>
      <c r="K2" s="1351"/>
      <c r="L2" s="1351"/>
      <c r="M2" s="1351"/>
    </row>
    <row r="3" spans="1:13" ht="12.75">
      <c r="A3" s="1351" t="str">
        <f>'Index J'!$C$21</f>
        <v>COST OF CAPITAL SUMMARY</v>
      </c>
      <c r="B3" s="1351"/>
      <c r="C3" s="1351"/>
      <c r="D3" s="1351"/>
      <c r="E3" s="1351"/>
      <c r="F3" s="1351"/>
      <c r="G3" s="1351"/>
      <c r="H3" s="1351"/>
      <c r="I3" s="1351"/>
      <c r="J3" s="1351"/>
      <c r="K3" s="1351"/>
      <c r="L3" s="1351"/>
      <c r="M3" s="1351"/>
    </row>
    <row r="4" spans="1:13" ht="12.75">
      <c r="A4" s="1351" t="str">
        <f>'General Headers Index'!B10</f>
        <v>AS OF AUGUST 31, 2024</v>
      </c>
      <c r="B4" s="1351"/>
      <c r="C4" s="1351"/>
      <c r="D4" s="1351"/>
      <c r="E4" s="1351"/>
      <c r="F4" s="1351"/>
      <c r="G4" s="1351"/>
      <c r="H4" s="1351"/>
      <c r="I4" s="1351"/>
      <c r="J4" s="1351"/>
      <c r="K4" s="1351"/>
      <c r="L4" s="1351"/>
      <c r="M4" s="1351"/>
    </row>
    <row r="5" spans="1:13" ht="12.75">
      <c r="A5" s="738"/>
      <c r="B5" s="738"/>
      <c r="C5" s="738"/>
      <c r="D5" s="738"/>
      <c r="E5" s="738"/>
      <c r="F5" s="738"/>
      <c r="G5" s="738"/>
      <c r="H5" s="738"/>
      <c r="I5" s="738"/>
      <c r="J5" s="738"/>
      <c r="K5" s="738"/>
      <c r="L5" s="738"/>
      <c r="M5" s="738"/>
    </row>
    <row r="6" spans="1:13" ht="12.75">
      <c r="A6" s="738"/>
      <c r="B6" s="738"/>
      <c r="C6" s="738"/>
      <c r="D6" s="738"/>
      <c r="E6" s="738"/>
      <c r="F6" s="738"/>
      <c r="G6" s="738"/>
      <c r="H6" s="738"/>
      <c r="I6" s="738"/>
      <c r="J6" s="738"/>
      <c r="K6" s="738"/>
      <c r="L6" s="738"/>
      <c r="M6" s="738"/>
    </row>
    <row r="7" spans="1:13" ht="12.75">
      <c r="A7" s="735"/>
      <c r="B7" s="735"/>
      <c r="C7" s="735"/>
      <c r="D7" s="735"/>
      <c r="E7" s="735"/>
      <c r="F7" s="735"/>
      <c r="G7" s="735"/>
      <c r="H7" s="735"/>
      <c r="I7" s="735"/>
      <c r="J7" s="735"/>
      <c r="K7" s="735"/>
      <c r="L7" s="735"/>
      <c r="M7" s="735"/>
    </row>
    <row r="8" spans="1:13" ht="12.75">
      <c r="A8" s="744" t="s">
        <v>2831</v>
      </c>
      <c r="B8" s="735"/>
      <c r="C8" s="735"/>
      <c r="D8" s="735"/>
      <c r="E8" s="735"/>
      <c r="F8" s="735"/>
      <c r="G8" s="735"/>
      <c r="H8" s="735"/>
      <c r="I8" s="735"/>
      <c r="J8" s="735"/>
      <c r="K8" s="736"/>
      <c r="L8" s="735"/>
      <c r="M8" s="783" t="s">
        <v>158</v>
      </c>
    </row>
    <row r="9" spans="1:13" ht="12.75">
      <c r="A9" s="744" t="str">
        <f>'General Headers Index'!B37</f>
        <v>TYPE OF FILING:___X___ORIGINAL______UPDATED</v>
      </c>
      <c r="B9" s="735"/>
      <c r="C9" s="735"/>
      <c r="D9" s="735"/>
      <c r="E9" s="735"/>
      <c r="F9" s="735"/>
      <c r="G9" s="735"/>
      <c r="H9" s="735"/>
      <c r="I9" s="735"/>
      <c r="J9" s="735"/>
      <c r="K9" s="736"/>
      <c r="L9" s="735"/>
      <c r="M9" s="783" t="s">
        <v>309</v>
      </c>
    </row>
    <row r="10" spans="1:13" ht="12.75">
      <c r="A10" s="791" t="s">
        <v>575</v>
      </c>
      <c r="B10" s="792"/>
      <c r="C10" s="792"/>
      <c r="D10" s="792"/>
      <c r="E10" s="792"/>
      <c r="F10" s="792"/>
      <c r="G10" s="792"/>
      <c r="H10" s="792"/>
      <c r="I10" s="792"/>
      <c r="J10" s="792"/>
      <c r="K10" s="793"/>
      <c r="L10" s="792"/>
      <c r="M10" s="1123" t="str">
        <f>"WITNESS: "&amp;'General Headers Index'!B72</f>
        <v>WITNESS: REA</v>
      </c>
    </row>
    <row r="11" spans="1:13" ht="12.75">
      <c r="A11" s="1124"/>
      <c r="B11" s="1125"/>
      <c r="C11" s="1125"/>
      <c r="D11" s="1125"/>
      <c r="E11" s="1125"/>
      <c r="F11" s="1125"/>
      <c r="G11" s="1125"/>
      <c r="H11" s="1125"/>
      <c r="I11" s="1125"/>
      <c r="J11" s="1125"/>
      <c r="K11" s="1118"/>
      <c r="L11" s="1125"/>
      <c r="M11" s="1126"/>
    </row>
    <row r="12" spans="1:13" s="1119" customFormat="1" ht="12.75">
      <c r="A12" s="738" t="s">
        <v>313</v>
      </c>
      <c r="B12" s="738"/>
      <c r="C12" s="738"/>
      <c r="D12" s="738"/>
      <c r="E12" s="738" t="s">
        <v>430</v>
      </c>
      <c r="F12" s="738"/>
      <c r="G12" s="738"/>
      <c r="H12" s="738"/>
      <c r="I12" s="738" t="s">
        <v>354</v>
      </c>
      <c r="J12" s="738"/>
      <c r="K12" s="738"/>
      <c r="L12" s="738"/>
      <c r="M12" s="738" t="s">
        <v>159</v>
      </c>
    </row>
    <row r="13" spans="1:13" s="1119" customFormat="1" ht="12.75">
      <c r="A13" s="1120" t="s">
        <v>316</v>
      </c>
      <c r="B13" s="1120"/>
      <c r="C13" s="1120" t="s">
        <v>160</v>
      </c>
      <c r="D13" s="1120"/>
      <c r="E13" s="1120" t="s">
        <v>318</v>
      </c>
      <c r="F13" s="1120"/>
      <c r="G13" s="1120" t="s">
        <v>444</v>
      </c>
      <c r="H13" s="1120"/>
      <c r="I13" s="1120" t="s">
        <v>161</v>
      </c>
      <c r="J13" s="1120"/>
      <c r="K13" s="1120" t="s">
        <v>162</v>
      </c>
      <c r="L13" s="1120"/>
      <c r="M13" s="1120" t="s">
        <v>453</v>
      </c>
    </row>
    <row r="14" spans="1:13" s="1119" customFormat="1" ht="12.75">
      <c r="A14" s="784"/>
      <c r="B14" s="784"/>
      <c r="C14" s="785" t="s">
        <v>532</v>
      </c>
      <c r="D14" s="738"/>
      <c r="E14" s="785" t="s">
        <v>541</v>
      </c>
      <c r="F14" s="738"/>
      <c r="G14" s="785" t="s">
        <v>542</v>
      </c>
      <c r="H14" s="738"/>
      <c r="I14" s="785" t="s">
        <v>668</v>
      </c>
      <c r="J14" s="738"/>
      <c r="K14" s="785" t="s">
        <v>669</v>
      </c>
      <c r="L14" s="738"/>
      <c r="M14" s="786" t="s">
        <v>2837</v>
      </c>
    </row>
    <row r="15" spans="1:13" s="1119" customFormat="1" ht="12.75">
      <c r="A15" s="738"/>
      <c r="B15" s="738"/>
      <c r="C15" s="738"/>
      <c r="D15" s="738"/>
      <c r="E15" s="738"/>
      <c r="F15" s="738"/>
      <c r="G15" s="787" t="s">
        <v>320</v>
      </c>
      <c r="H15" s="738"/>
      <c r="I15" s="785" t="s">
        <v>358</v>
      </c>
      <c r="J15" s="738"/>
      <c r="K15" s="785" t="s">
        <v>358</v>
      </c>
      <c r="L15" s="738"/>
      <c r="M15" s="785" t="s">
        <v>358</v>
      </c>
    </row>
    <row r="16" spans="1:13" ht="12.75">
      <c r="A16" s="783"/>
      <c r="B16" s="735"/>
      <c r="C16" s="735"/>
      <c r="D16" s="735"/>
      <c r="E16" s="735"/>
      <c r="F16" s="735"/>
      <c r="G16" s="788"/>
      <c r="H16" s="735"/>
      <c r="I16" s="735"/>
      <c r="J16" s="735"/>
      <c r="K16" s="735"/>
      <c r="L16" s="735"/>
      <c r="M16" s="735"/>
    </row>
    <row r="17" spans="1:15" ht="12.75">
      <c r="A17" s="738" t="s">
        <v>321</v>
      </c>
      <c r="B17" s="735"/>
      <c r="C17" s="735" t="s">
        <v>163</v>
      </c>
      <c r="D17" s="735"/>
      <c r="E17" s="785" t="s">
        <v>532</v>
      </c>
      <c r="F17" s="735"/>
      <c r="G17" s="788">
        <v>17596785.344574645</v>
      </c>
      <c r="H17" s="735"/>
      <c r="I17" s="789">
        <v>3.0429999999999999E-2</v>
      </c>
      <c r="J17" s="735"/>
      <c r="K17" s="789">
        <v>5.8630769230769229E-2</v>
      </c>
      <c r="L17" s="735"/>
      <c r="M17" s="789">
        <f>ROUND(K17*I17,4)</f>
        <v>1.8E-3</v>
      </c>
    </row>
    <row r="18" spans="1:15" ht="12.75">
      <c r="A18" s="738"/>
      <c r="B18" s="735"/>
      <c r="C18" s="735"/>
      <c r="D18" s="735"/>
      <c r="E18" s="738"/>
      <c r="F18" s="735"/>
      <c r="G18" s="788"/>
      <c r="H18" s="735"/>
      <c r="I18" s="789"/>
      <c r="J18" s="735"/>
      <c r="K18" s="735"/>
      <c r="L18" s="735"/>
      <c r="M18" s="735"/>
    </row>
    <row r="19" spans="1:15" ht="12.75">
      <c r="A19" s="738" t="s">
        <v>324</v>
      </c>
      <c r="B19" s="735"/>
      <c r="C19" s="735" t="s">
        <v>164</v>
      </c>
      <c r="D19" s="735"/>
      <c r="E19" s="785" t="s">
        <v>532</v>
      </c>
      <c r="F19" s="735"/>
      <c r="G19" s="788">
        <v>256375000</v>
      </c>
      <c r="H19" s="735"/>
      <c r="I19" s="789">
        <v>0.44339000000000001</v>
      </c>
      <c r="J19" s="735"/>
      <c r="K19" s="789">
        <v>4.7109999999999999E-2</v>
      </c>
      <c r="L19" s="735"/>
      <c r="M19" s="789">
        <f>ROUND(K19*I19,4)</f>
        <v>2.0899999999999998E-2</v>
      </c>
      <c r="O19" s="789"/>
    </row>
    <row r="20" spans="1:15" ht="12.75">
      <c r="A20" s="738"/>
      <c r="B20" s="735"/>
      <c r="C20" s="735"/>
      <c r="D20" s="735"/>
      <c r="E20" s="738"/>
      <c r="F20" s="735"/>
      <c r="G20" s="788"/>
      <c r="H20" s="735"/>
      <c r="I20" s="789"/>
      <c r="J20" s="735"/>
      <c r="K20" s="735"/>
      <c r="L20" s="735"/>
      <c r="M20" s="735"/>
    </row>
    <row r="21" spans="1:15" ht="12.75">
      <c r="A21" s="738" t="s">
        <v>327</v>
      </c>
      <c r="B21" s="735"/>
      <c r="C21" s="735" t="s">
        <v>165</v>
      </c>
      <c r="D21" s="735"/>
      <c r="E21" s="785" t="s">
        <v>532</v>
      </c>
      <c r="F21" s="735"/>
      <c r="G21" s="788">
        <v>0</v>
      </c>
      <c r="H21" s="735"/>
      <c r="I21" s="789">
        <v>0</v>
      </c>
      <c r="J21" s="735"/>
      <c r="K21" s="789">
        <v>0</v>
      </c>
      <c r="L21" s="735"/>
      <c r="M21" s="789">
        <f>ROUND(K21*I21,4)</f>
        <v>0</v>
      </c>
    </row>
    <row r="22" spans="1:15" ht="12.75">
      <c r="A22" s="738"/>
      <c r="B22" s="735"/>
      <c r="C22" s="735"/>
      <c r="D22" s="735"/>
      <c r="E22" s="735"/>
      <c r="F22" s="735"/>
      <c r="G22" s="788"/>
      <c r="H22" s="735"/>
      <c r="I22" s="789"/>
      <c r="J22" s="735"/>
      <c r="K22" s="735"/>
      <c r="L22" s="735"/>
      <c r="M22" s="735"/>
    </row>
    <row r="23" spans="1:15" ht="12.75">
      <c r="A23" s="738" t="s">
        <v>330</v>
      </c>
      <c r="B23" s="735"/>
      <c r="C23" s="735" t="s">
        <v>166</v>
      </c>
      <c r="D23" s="735"/>
      <c r="E23" s="785" t="s">
        <v>532</v>
      </c>
      <c r="F23" s="735"/>
      <c r="G23" s="1121">
        <v>304249432.31615919</v>
      </c>
      <c r="H23" s="735"/>
      <c r="I23" s="1122">
        <v>0.52617999999999998</v>
      </c>
      <c r="J23" s="735"/>
      <c r="K23" s="789">
        <v>0.108</v>
      </c>
      <c r="L23" s="735"/>
      <c r="M23" s="1122">
        <f>ROUND(K23*I23,4)</f>
        <v>5.6800000000000003E-2</v>
      </c>
    </row>
    <row r="24" spans="1:15" ht="12.75">
      <c r="A24" s="738"/>
      <c r="B24" s="735"/>
      <c r="C24" s="735"/>
      <c r="D24" s="735"/>
      <c r="E24" s="735"/>
      <c r="F24" s="735"/>
      <c r="G24" s="788"/>
      <c r="H24" s="735"/>
      <c r="I24" s="789"/>
      <c r="J24" s="735"/>
      <c r="L24" s="735"/>
      <c r="M24" s="735"/>
    </row>
    <row r="25" spans="1:15" ht="12.75">
      <c r="A25" s="738" t="s">
        <v>333</v>
      </c>
      <c r="B25" s="735"/>
      <c r="C25" s="735" t="s">
        <v>167</v>
      </c>
      <c r="D25" s="735"/>
      <c r="E25" s="735"/>
      <c r="F25" s="735"/>
      <c r="G25" s="788">
        <f>SUM(G17:G23)</f>
        <v>578221217.66073382</v>
      </c>
      <c r="H25" s="735"/>
      <c r="I25" s="789">
        <f>SUM(I17:I23)</f>
        <v>1</v>
      </c>
      <c r="J25" s="735"/>
      <c r="K25" s="735"/>
      <c r="L25" s="735"/>
      <c r="M25" s="789">
        <f>SUM(M17:M23)</f>
        <v>7.9500000000000001E-2</v>
      </c>
    </row>
    <row r="26" spans="1:15" ht="12.75">
      <c r="A26" s="783"/>
      <c r="B26" s="735"/>
      <c r="C26" s="735"/>
      <c r="D26" s="735"/>
      <c r="E26" s="735"/>
      <c r="F26" s="735"/>
      <c r="G26" s="788"/>
      <c r="H26" s="735"/>
      <c r="I26" s="735"/>
      <c r="J26" s="735"/>
      <c r="K26" s="735"/>
      <c r="L26" s="735"/>
      <c r="M26" s="735"/>
    </row>
    <row r="27" spans="1:15" ht="12.75">
      <c r="A27" s="783"/>
      <c r="B27" s="735"/>
      <c r="C27" s="735" t="s">
        <v>1473</v>
      </c>
      <c r="D27" s="735"/>
      <c r="E27" s="735"/>
      <c r="F27" s="735"/>
      <c r="G27" s="735"/>
      <c r="H27" s="735"/>
      <c r="I27" s="735"/>
      <c r="J27" s="735"/>
      <c r="K27" s="735"/>
      <c r="L27" s="735"/>
      <c r="M27" s="735"/>
    </row>
    <row r="28" spans="1:15" ht="11.25">
      <c r="A28" s="790"/>
      <c r="B28" s="736"/>
      <c r="C28" s="736"/>
      <c r="D28" s="736"/>
      <c r="E28" s="736"/>
      <c r="F28" s="736"/>
      <c r="G28" s="736"/>
      <c r="H28" s="736"/>
      <c r="I28" s="736"/>
      <c r="J28" s="736"/>
      <c r="K28" s="736"/>
      <c r="L28" s="736"/>
      <c r="M28" s="736"/>
    </row>
    <row r="29" spans="1:15" ht="12.75">
      <c r="A29" s="736"/>
      <c r="B29" s="736"/>
      <c r="C29" s="735"/>
      <c r="D29" s="736"/>
      <c r="E29" s="736"/>
      <c r="F29" s="736"/>
      <c r="G29" s="736"/>
      <c r="H29" s="736"/>
      <c r="I29" s="736"/>
      <c r="J29" s="736"/>
      <c r="K29" s="736"/>
      <c r="L29" s="736"/>
      <c r="M29" s="736"/>
    </row>
    <row r="30" spans="1:15" ht="11.25">
      <c r="A30" s="736"/>
      <c r="B30" s="736"/>
      <c r="C30" s="736"/>
      <c r="D30" s="736"/>
      <c r="E30" s="736"/>
      <c r="F30" s="736"/>
      <c r="G30" s="736"/>
      <c r="H30" s="736"/>
      <c r="I30" s="736"/>
      <c r="J30" s="736"/>
      <c r="K30" s="736"/>
      <c r="L30" s="736"/>
      <c r="M30" s="736"/>
    </row>
    <row r="31" spans="1:15" ht="11.25">
      <c r="A31" s="736"/>
      <c r="B31" s="736"/>
      <c r="C31" s="736"/>
      <c r="D31" s="736"/>
      <c r="E31" s="736"/>
      <c r="F31" s="736"/>
      <c r="G31" s="736"/>
      <c r="H31" s="736"/>
      <c r="I31" s="736"/>
      <c r="J31" s="736"/>
      <c r="K31" s="736"/>
      <c r="L31" s="736"/>
      <c r="M31" s="736"/>
    </row>
    <row r="32" spans="1:15" ht="11.25">
      <c r="A32" s="736"/>
      <c r="B32" s="736"/>
      <c r="C32" s="736"/>
      <c r="D32" s="736"/>
      <c r="E32" s="736"/>
      <c r="F32" s="736"/>
      <c r="G32" s="736"/>
      <c r="H32" s="736"/>
      <c r="I32" s="736"/>
      <c r="J32" s="736"/>
      <c r="K32" s="736"/>
      <c r="L32" s="736"/>
      <c r="M32" s="736"/>
    </row>
    <row r="33" spans="1:13" ht="11.25">
      <c r="A33" s="736"/>
      <c r="B33" s="736"/>
      <c r="C33" s="736"/>
      <c r="D33" s="736"/>
      <c r="E33" s="736"/>
      <c r="F33" s="736"/>
      <c r="G33" s="736"/>
      <c r="H33" s="736"/>
      <c r="I33" s="736"/>
      <c r="J33" s="736"/>
      <c r="K33" s="736"/>
      <c r="L33" s="736"/>
      <c r="M33" s="736"/>
    </row>
    <row r="34" spans="1:13" ht="11.25">
      <c r="A34" s="736"/>
      <c r="B34" s="736"/>
      <c r="C34" s="736"/>
      <c r="D34" s="736"/>
      <c r="E34" s="736"/>
      <c r="F34" s="736"/>
      <c r="G34" s="736"/>
      <c r="H34" s="736"/>
      <c r="I34" s="736"/>
      <c r="J34" s="736"/>
      <c r="K34" s="736"/>
      <c r="L34" s="736"/>
      <c r="M34" s="736"/>
    </row>
    <row r="35" spans="1:13" ht="11.25">
      <c r="A35" s="736"/>
      <c r="B35" s="736"/>
      <c r="C35" s="736"/>
      <c r="D35" s="736"/>
      <c r="E35" s="736"/>
      <c r="F35" s="736"/>
      <c r="G35" s="736"/>
      <c r="H35" s="736"/>
      <c r="I35" s="736"/>
      <c r="J35" s="736"/>
      <c r="K35" s="736"/>
      <c r="L35" s="736"/>
      <c r="M35" s="736"/>
    </row>
    <row r="36" spans="1:13" ht="11.25">
      <c r="A36" s="736"/>
      <c r="B36" s="736"/>
      <c r="C36" s="736"/>
      <c r="D36" s="736"/>
      <c r="E36" s="736"/>
      <c r="F36" s="736"/>
      <c r="G36" s="736"/>
      <c r="H36" s="736"/>
      <c r="I36" s="736"/>
      <c r="J36" s="736"/>
      <c r="K36" s="736"/>
      <c r="L36" s="736"/>
      <c r="M36" s="736"/>
    </row>
    <row r="37" spans="1:13" ht="11.25">
      <c r="A37" s="736"/>
      <c r="B37" s="736"/>
      <c r="C37" s="736"/>
      <c r="D37" s="736"/>
      <c r="E37" s="736"/>
      <c r="F37" s="736"/>
      <c r="G37" s="736"/>
      <c r="H37" s="736"/>
      <c r="I37" s="736"/>
      <c r="J37" s="736"/>
      <c r="K37" s="736"/>
      <c r="L37" s="736"/>
      <c r="M37" s="736"/>
    </row>
    <row r="38" spans="1:13" ht="11.25">
      <c r="A38" s="736"/>
      <c r="B38" s="736"/>
      <c r="C38" s="736"/>
      <c r="D38" s="736"/>
      <c r="E38" s="736"/>
      <c r="F38" s="736"/>
      <c r="G38" s="736"/>
      <c r="H38" s="736"/>
      <c r="I38" s="736"/>
      <c r="J38" s="736"/>
      <c r="K38" s="736"/>
      <c r="L38" s="736"/>
      <c r="M38" s="736"/>
    </row>
    <row r="39" spans="1:13" ht="11.25">
      <c r="A39" s="736"/>
      <c r="B39" s="736"/>
      <c r="C39" s="736"/>
      <c r="D39" s="736"/>
      <c r="E39" s="736"/>
      <c r="F39" s="736"/>
      <c r="G39" s="736"/>
      <c r="H39" s="736"/>
      <c r="I39" s="736"/>
      <c r="J39" s="736"/>
      <c r="K39" s="736"/>
      <c r="L39" s="736"/>
      <c r="M39" s="736"/>
    </row>
    <row r="40" spans="1:13" ht="11.25">
      <c r="A40" s="736"/>
      <c r="B40" s="736"/>
      <c r="C40" s="736"/>
      <c r="D40" s="736"/>
      <c r="E40" s="736"/>
      <c r="F40" s="736"/>
      <c r="G40" s="736"/>
      <c r="H40" s="736"/>
      <c r="I40" s="736"/>
      <c r="J40" s="736"/>
      <c r="K40" s="736"/>
      <c r="L40" s="736"/>
      <c r="M40" s="736"/>
    </row>
    <row r="41" spans="1:13" ht="11.25">
      <c r="A41" s="736"/>
      <c r="B41" s="736"/>
      <c r="C41" s="736"/>
      <c r="D41" s="736"/>
      <c r="E41" s="736"/>
      <c r="F41" s="736"/>
      <c r="G41" s="736"/>
      <c r="H41" s="736"/>
      <c r="I41" s="736"/>
      <c r="J41" s="736"/>
      <c r="K41" s="736"/>
      <c r="L41" s="736"/>
      <c r="M41" s="736"/>
    </row>
    <row r="42" spans="1:13" ht="11.25">
      <c r="A42" s="736"/>
      <c r="B42" s="736"/>
      <c r="C42" s="736"/>
      <c r="D42" s="736"/>
      <c r="E42" s="736"/>
      <c r="F42" s="736"/>
      <c r="G42" s="736"/>
      <c r="H42" s="736"/>
      <c r="I42" s="736"/>
      <c r="J42" s="736"/>
      <c r="K42" s="736"/>
      <c r="L42" s="736"/>
      <c r="M42" s="736"/>
    </row>
    <row r="43" spans="1:13" ht="11.25">
      <c r="A43" s="736"/>
      <c r="B43" s="736"/>
      <c r="C43" s="736"/>
      <c r="D43" s="736"/>
      <c r="E43" s="736"/>
      <c r="F43" s="736"/>
      <c r="G43" s="736"/>
      <c r="H43" s="736"/>
      <c r="I43" s="736"/>
      <c r="J43" s="736"/>
      <c r="K43" s="736"/>
      <c r="L43" s="736"/>
      <c r="M43" s="736"/>
    </row>
    <row r="44" spans="1:13" ht="11.25">
      <c r="A44" s="736"/>
      <c r="B44" s="736"/>
      <c r="C44" s="736"/>
      <c r="D44" s="736"/>
      <c r="E44" s="736"/>
      <c r="F44" s="736"/>
      <c r="G44" s="736"/>
      <c r="H44" s="736"/>
      <c r="I44" s="736"/>
      <c r="J44" s="736"/>
      <c r="K44" s="736"/>
      <c r="L44" s="736"/>
      <c r="M44" s="736"/>
    </row>
    <row r="45" spans="1:13" ht="11.25">
      <c r="A45" s="736"/>
      <c r="B45" s="736"/>
      <c r="C45" s="736"/>
      <c r="D45" s="736"/>
      <c r="E45" s="736"/>
      <c r="F45" s="736"/>
      <c r="G45" s="736"/>
      <c r="H45" s="736"/>
      <c r="I45" s="736"/>
      <c r="J45" s="736"/>
      <c r="K45" s="736"/>
      <c r="L45" s="736"/>
      <c r="M45" s="736"/>
    </row>
    <row r="46" spans="1:13" ht="11.25">
      <c r="A46" s="736"/>
      <c r="B46" s="736"/>
      <c r="C46" s="736"/>
      <c r="D46" s="736"/>
      <c r="E46" s="736"/>
      <c r="F46" s="736"/>
      <c r="G46" s="736"/>
      <c r="H46" s="736"/>
      <c r="I46" s="736"/>
      <c r="J46" s="736"/>
      <c r="K46" s="736"/>
      <c r="L46" s="736"/>
      <c r="M46" s="736"/>
    </row>
    <row r="47" spans="1:13" ht="11.25">
      <c r="A47" s="736"/>
      <c r="B47" s="736"/>
      <c r="C47" s="736"/>
      <c r="D47" s="736"/>
      <c r="E47" s="736"/>
      <c r="F47" s="736"/>
      <c r="G47" s="736"/>
      <c r="H47" s="736"/>
      <c r="I47" s="736"/>
      <c r="J47" s="736"/>
      <c r="K47" s="736"/>
      <c r="L47" s="736"/>
      <c r="M47" s="736"/>
    </row>
    <row r="48" spans="1:13" ht="11.25">
      <c r="A48" s="736"/>
      <c r="B48" s="736"/>
      <c r="C48" s="736"/>
      <c r="D48" s="736"/>
      <c r="E48" s="736"/>
      <c r="F48" s="736"/>
      <c r="G48" s="736"/>
      <c r="H48" s="736"/>
      <c r="I48" s="736"/>
      <c r="J48" s="736"/>
      <c r="K48" s="736"/>
      <c r="L48" s="736"/>
      <c r="M48" s="736"/>
    </row>
    <row r="49" spans="1:13" ht="11.25">
      <c r="A49" s="736"/>
      <c r="B49" s="736"/>
      <c r="C49" s="736"/>
      <c r="D49" s="736"/>
      <c r="E49" s="736"/>
      <c r="F49" s="736"/>
      <c r="G49" s="736"/>
      <c r="H49" s="736"/>
      <c r="I49" s="736"/>
      <c r="J49" s="736"/>
      <c r="K49" s="736"/>
      <c r="L49" s="736"/>
      <c r="M49" s="736"/>
    </row>
    <row r="50" spans="1:13" ht="11.25">
      <c r="A50" s="736"/>
      <c r="B50" s="736"/>
      <c r="C50" s="736"/>
      <c r="D50" s="736"/>
      <c r="E50" s="736"/>
      <c r="F50" s="736"/>
      <c r="G50" s="736"/>
      <c r="H50" s="736"/>
      <c r="I50" s="736"/>
      <c r="J50" s="736"/>
      <c r="K50" s="736"/>
      <c r="L50" s="736"/>
      <c r="M50" s="736"/>
    </row>
    <row r="51" spans="1:13" ht="11.25">
      <c r="A51" s="736"/>
      <c r="B51" s="736"/>
      <c r="C51" s="736"/>
      <c r="D51" s="736"/>
      <c r="E51" s="736"/>
      <c r="F51" s="736"/>
      <c r="G51" s="736"/>
      <c r="H51" s="736"/>
      <c r="I51" s="736"/>
      <c r="J51" s="736"/>
      <c r="K51" s="736"/>
      <c r="L51" s="736"/>
      <c r="M51" s="736"/>
    </row>
    <row r="52" spans="1:13" ht="11.25">
      <c r="A52" s="736"/>
      <c r="B52" s="736"/>
      <c r="C52" s="736"/>
      <c r="D52" s="736"/>
      <c r="E52" s="736"/>
      <c r="F52" s="736"/>
      <c r="G52" s="736"/>
      <c r="H52" s="736"/>
      <c r="I52" s="736"/>
      <c r="J52" s="736"/>
      <c r="K52" s="736"/>
      <c r="L52" s="736"/>
      <c r="M52" s="736"/>
    </row>
    <row r="53" spans="1:13" ht="11.25">
      <c r="A53" s="736"/>
      <c r="B53" s="736"/>
      <c r="C53" s="736"/>
      <c r="D53" s="736"/>
      <c r="E53" s="736"/>
      <c r="F53" s="736"/>
      <c r="G53" s="736"/>
      <c r="H53" s="736"/>
      <c r="I53" s="736"/>
      <c r="J53" s="736"/>
      <c r="K53" s="736"/>
      <c r="L53" s="736"/>
      <c r="M53" s="736"/>
    </row>
    <row r="54" spans="1:13" ht="11.25">
      <c r="A54" s="736"/>
      <c r="B54" s="736"/>
      <c r="C54" s="736"/>
      <c r="D54" s="736"/>
      <c r="E54" s="736"/>
      <c r="F54" s="736"/>
      <c r="G54" s="736"/>
      <c r="H54" s="736"/>
      <c r="I54" s="736"/>
      <c r="J54" s="736"/>
      <c r="K54" s="736"/>
      <c r="L54" s="736"/>
      <c r="M54" s="736"/>
    </row>
    <row r="55" spans="1:13" ht="11.25">
      <c r="A55" s="736"/>
      <c r="B55" s="736"/>
      <c r="C55" s="736"/>
      <c r="D55" s="736"/>
      <c r="E55" s="736"/>
      <c r="F55" s="736"/>
      <c r="G55" s="736"/>
      <c r="H55" s="736"/>
      <c r="I55" s="736"/>
      <c r="J55" s="736"/>
      <c r="K55" s="736"/>
      <c r="L55" s="736"/>
      <c r="M55" s="736"/>
    </row>
    <row r="56" spans="1:13" ht="11.25">
      <c r="A56" s="736"/>
      <c r="B56" s="736"/>
      <c r="C56" s="736"/>
      <c r="D56" s="736"/>
      <c r="E56" s="736"/>
      <c r="F56" s="736"/>
      <c r="G56" s="736"/>
      <c r="H56" s="736"/>
      <c r="I56" s="736"/>
      <c r="J56" s="736"/>
      <c r="K56" s="736"/>
      <c r="L56" s="736"/>
      <c r="M56" s="736"/>
    </row>
    <row r="57" spans="1:13" ht="11.25">
      <c r="A57" s="736"/>
      <c r="B57" s="736"/>
      <c r="C57" s="736"/>
      <c r="D57" s="736"/>
      <c r="E57" s="736"/>
      <c r="F57" s="736"/>
      <c r="G57" s="736"/>
      <c r="H57" s="736"/>
      <c r="I57" s="736"/>
      <c r="J57" s="736"/>
      <c r="K57" s="736"/>
      <c r="L57" s="736"/>
      <c r="M57" s="736"/>
    </row>
    <row r="58" spans="1:13" ht="11.25">
      <c r="A58" s="736"/>
      <c r="B58" s="736"/>
      <c r="C58" s="736"/>
      <c r="D58" s="736"/>
      <c r="E58" s="736"/>
      <c r="F58" s="736"/>
      <c r="G58" s="736"/>
      <c r="H58" s="736"/>
      <c r="I58" s="736"/>
      <c r="J58" s="736"/>
      <c r="K58" s="736"/>
      <c r="L58" s="736"/>
      <c r="M58" s="736"/>
    </row>
    <row r="59" spans="1:13" ht="11.25">
      <c r="A59" s="736"/>
      <c r="B59" s="736"/>
      <c r="C59" s="736"/>
      <c r="D59" s="736"/>
      <c r="E59" s="736"/>
      <c r="F59" s="736"/>
      <c r="G59" s="736"/>
      <c r="H59" s="736"/>
      <c r="I59" s="736"/>
      <c r="J59" s="736"/>
      <c r="K59" s="736"/>
      <c r="L59" s="736"/>
      <c r="M59" s="736"/>
    </row>
    <row r="60" spans="1:13" ht="11.25">
      <c r="A60" s="736"/>
      <c r="B60" s="736"/>
      <c r="C60" s="736"/>
      <c r="D60" s="736"/>
      <c r="E60" s="736"/>
      <c r="F60" s="736"/>
      <c r="G60" s="736"/>
      <c r="H60" s="736"/>
      <c r="I60" s="736"/>
      <c r="J60" s="736"/>
      <c r="K60" s="736"/>
      <c r="L60" s="736"/>
      <c r="M60" s="736"/>
    </row>
    <row r="61" spans="1:13" ht="11.25">
      <c r="A61" s="736"/>
      <c r="B61" s="736"/>
      <c r="C61" s="736"/>
      <c r="D61" s="736"/>
      <c r="E61" s="736"/>
      <c r="F61" s="736"/>
      <c r="G61" s="736"/>
      <c r="H61" s="736"/>
      <c r="I61" s="736"/>
      <c r="J61" s="736"/>
      <c r="K61" s="736"/>
      <c r="L61" s="736"/>
      <c r="M61" s="736"/>
    </row>
    <row r="62" spans="1:13" ht="11.25">
      <c r="A62" s="736"/>
      <c r="B62" s="736"/>
      <c r="C62" s="736"/>
      <c r="D62" s="736"/>
      <c r="E62" s="736"/>
      <c r="F62" s="736"/>
      <c r="G62" s="736"/>
      <c r="H62" s="736"/>
      <c r="I62" s="736"/>
      <c r="J62" s="736"/>
      <c r="K62" s="736"/>
      <c r="L62" s="736"/>
      <c r="M62" s="736"/>
    </row>
    <row r="63" spans="1:13" ht="11.25">
      <c r="A63" s="736"/>
      <c r="B63" s="736"/>
      <c r="C63" s="736"/>
      <c r="D63" s="736"/>
      <c r="E63" s="736"/>
      <c r="F63" s="736"/>
      <c r="G63" s="736"/>
      <c r="H63" s="736"/>
      <c r="I63" s="736"/>
      <c r="J63" s="736"/>
      <c r="K63" s="736"/>
      <c r="L63" s="736"/>
      <c r="M63" s="736"/>
    </row>
    <row r="64" spans="1:13" ht="11.25">
      <c r="A64" s="736"/>
      <c r="B64" s="736"/>
      <c r="C64" s="736"/>
      <c r="D64" s="736"/>
      <c r="E64" s="736"/>
      <c r="F64" s="736"/>
      <c r="G64" s="736"/>
      <c r="H64" s="736"/>
      <c r="I64" s="736"/>
      <c r="J64" s="736"/>
      <c r="K64" s="736"/>
      <c r="L64" s="736"/>
      <c r="M64" s="736"/>
    </row>
    <row r="65" spans="1:13" ht="11.25">
      <c r="A65" s="736"/>
      <c r="B65" s="736"/>
      <c r="C65" s="736"/>
      <c r="D65" s="736"/>
      <c r="E65" s="736"/>
      <c r="F65" s="736"/>
      <c r="G65" s="736"/>
      <c r="H65" s="736"/>
      <c r="I65" s="736"/>
      <c r="J65" s="736"/>
      <c r="K65" s="736"/>
      <c r="L65" s="736"/>
      <c r="M65" s="736"/>
    </row>
    <row r="66" spans="1:13" ht="11.25">
      <c r="A66" s="736"/>
      <c r="B66" s="736"/>
      <c r="C66" s="736"/>
      <c r="D66" s="736"/>
      <c r="E66" s="736"/>
      <c r="F66" s="736"/>
      <c r="G66" s="736"/>
      <c r="H66" s="736"/>
      <c r="I66" s="736"/>
      <c r="J66" s="736"/>
      <c r="K66" s="736"/>
      <c r="L66" s="736"/>
      <c r="M66" s="736"/>
    </row>
    <row r="67" spans="1:13" ht="11.25">
      <c r="A67" s="736"/>
      <c r="B67" s="736"/>
      <c r="C67" s="736"/>
      <c r="D67" s="736"/>
      <c r="E67" s="736"/>
      <c r="F67" s="736"/>
      <c r="G67" s="736"/>
      <c r="H67" s="736"/>
      <c r="I67" s="736"/>
      <c r="J67" s="736"/>
      <c r="K67" s="736"/>
      <c r="L67" s="736"/>
      <c r="M67" s="736"/>
    </row>
    <row r="68" spans="1:13" ht="11.25">
      <c r="A68" s="736"/>
      <c r="B68" s="736"/>
      <c r="C68" s="736"/>
      <c r="D68" s="736"/>
      <c r="E68" s="736"/>
      <c r="F68" s="736"/>
      <c r="G68" s="736"/>
      <c r="H68" s="736"/>
      <c r="I68" s="736"/>
      <c r="J68" s="736"/>
      <c r="K68" s="736"/>
      <c r="L68" s="736"/>
      <c r="M68" s="736"/>
    </row>
    <row r="69" spans="1:13" ht="11.25">
      <c r="A69" s="736"/>
      <c r="B69" s="736"/>
      <c r="C69" s="736"/>
      <c r="D69" s="736"/>
      <c r="E69" s="736"/>
      <c r="F69" s="736"/>
      <c r="G69" s="736"/>
      <c r="H69" s="736"/>
      <c r="I69" s="736"/>
      <c r="J69" s="736"/>
      <c r="K69" s="736"/>
      <c r="L69" s="736"/>
      <c r="M69" s="736"/>
    </row>
    <row r="70" spans="1:13" ht="11.25">
      <c r="A70" s="736"/>
      <c r="B70" s="736"/>
      <c r="C70" s="736"/>
      <c r="D70" s="736"/>
      <c r="E70" s="736"/>
      <c r="F70" s="736"/>
      <c r="G70" s="736"/>
      <c r="H70" s="736"/>
      <c r="I70" s="736"/>
      <c r="J70" s="736"/>
      <c r="K70" s="736"/>
      <c r="L70" s="736"/>
      <c r="M70" s="736"/>
    </row>
    <row r="71" spans="1:13" ht="11.25">
      <c r="A71" s="736"/>
      <c r="B71" s="736"/>
      <c r="C71" s="736"/>
      <c r="D71" s="736"/>
      <c r="E71" s="736"/>
      <c r="F71" s="736"/>
      <c r="G71" s="736"/>
      <c r="H71" s="736"/>
      <c r="I71" s="736"/>
      <c r="J71" s="736"/>
      <c r="K71" s="736"/>
      <c r="L71" s="736"/>
      <c r="M71" s="736"/>
    </row>
    <row r="72" spans="1:13" ht="11.25">
      <c r="A72" s="736"/>
      <c r="B72" s="736"/>
      <c r="C72" s="736"/>
      <c r="D72" s="736"/>
      <c r="E72" s="736"/>
      <c r="F72" s="736"/>
      <c r="G72" s="736"/>
      <c r="H72" s="736"/>
      <c r="I72" s="736"/>
      <c r="J72" s="736"/>
      <c r="K72" s="736"/>
      <c r="L72" s="736"/>
      <c r="M72" s="736"/>
    </row>
    <row r="73" spans="1:13" ht="11.25">
      <c r="A73" s="736"/>
      <c r="B73" s="736"/>
      <c r="C73" s="736"/>
      <c r="D73" s="736"/>
      <c r="E73" s="736"/>
      <c r="F73" s="736"/>
      <c r="G73" s="736"/>
      <c r="H73" s="736"/>
      <c r="I73" s="736"/>
      <c r="J73" s="736"/>
      <c r="K73" s="736"/>
      <c r="L73" s="736"/>
      <c r="M73" s="736"/>
    </row>
    <row r="74" spans="1:13" ht="11.25">
      <c r="A74" s="736"/>
      <c r="B74" s="736"/>
      <c r="C74" s="736"/>
      <c r="D74" s="736"/>
      <c r="E74" s="736"/>
      <c r="F74" s="736"/>
      <c r="G74" s="736"/>
      <c r="H74" s="736"/>
      <c r="I74" s="736"/>
      <c r="J74" s="736"/>
      <c r="K74" s="736"/>
      <c r="L74" s="736"/>
      <c r="M74" s="736"/>
    </row>
    <row r="75" spans="1:13" ht="11.25">
      <c r="A75" s="736"/>
      <c r="B75" s="736"/>
      <c r="C75" s="736"/>
      <c r="D75" s="736"/>
      <c r="E75" s="736"/>
      <c r="F75" s="736"/>
      <c r="G75" s="736"/>
      <c r="H75" s="736"/>
      <c r="I75" s="736"/>
      <c r="J75" s="736"/>
      <c r="K75" s="736"/>
      <c r="L75" s="736"/>
      <c r="M75" s="736"/>
    </row>
    <row r="76" spans="1:13" ht="11.25">
      <c r="A76" s="736"/>
      <c r="B76" s="736"/>
      <c r="C76" s="736"/>
      <c r="D76" s="736"/>
      <c r="E76" s="736"/>
      <c r="F76" s="736"/>
      <c r="G76" s="736"/>
      <c r="H76" s="736"/>
      <c r="I76" s="736"/>
      <c r="J76" s="736"/>
      <c r="K76" s="736"/>
      <c r="L76" s="736"/>
      <c r="M76" s="736"/>
    </row>
    <row r="77" spans="1:13" ht="11.25">
      <c r="A77" s="736"/>
      <c r="B77" s="736"/>
      <c r="C77" s="736"/>
      <c r="D77" s="736"/>
      <c r="E77" s="736"/>
      <c r="F77" s="736"/>
      <c r="G77" s="736"/>
      <c r="H77" s="736"/>
      <c r="I77" s="736"/>
      <c r="J77" s="736"/>
      <c r="K77" s="736"/>
      <c r="L77" s="736"/>
      <c r="M77" s="736"/>
    </row>
    <row r="78" spans="1:13" ht="11.25">
      <c r="A78" s="736"/>
      <c r="B78" s="736"/>
      <c r="C78" s="736"/>
      <c r="D78" s="736"/>
      <c r="E78" s="736"/>
      <c r="F78" s="736"/>
      <c r="G78" s="736"/>
      <c r="H78" s="736"/>
      <c r="I78" s="736"/>
      <c r="J78" s="736"/>
      <c r="K78" s="736"/>
      <c r="L78" s="736"/>
      <c r="M78" s="736"/>
    </row>
    <row r="79" spans="1:13" ht="11.25">
      <c r="A79" s="736"/>
      <c r="B79" s="736"/>
      <c r="C79" s="736"/>
      <c r="D79" s="736"/>
      <c r="E79" s="736"/>
      <c r="F79" s="736"/>
      <c r="G79" s="736"/>
      <c r="H79" s="736"/>
      <c r="I79" s="736"/>
      <c r="J79" s="736"/>
      <c r="K79" s="736"/>
      <c r="L79" s="736"/>
      <c r="M79" s="736"/>
    </row>
    <row r="80" spans="1:13" ht="11.25">
      <c r="A80" s="736"/>
      <c r="B80" s="736"/>
      <c r="C80" s="736"/>
      <c r="D80" s="736"/>
      <c r="E80" s="736"/>
      <c r="F80" s="736"/>
      <c r="G80" s="736"/>
      <c r="H80" s="736"/>
      <c r="I80" s="736"/>
      <c r="J80" s="736"/>
      <c r="K80" s="736"/>
      <c r="L80" s="736"/>
      <c r="M80" s="736"/>
    </row>
    <row r="81" spans="1:13" ht="11.25">
      <c r="A81" s="736"/>
      <c r="B81" s="736"/>
      <c r="C81" s="736"/>
      <c r="D81" s="736"/>
      <c r="E81" s="736"/>
      <c r="F81" s="736"/>
      <c r="G81" s="736"/>
      <c r="H81" s="736"/>
      <c r="I81" s="736"/>
      <c r="J81" s="736"/>
      <c r="K81" s="736"/>
      <c r="L81" s="736"/>
      <c r="M81" s="736"/>
    </row>
    <row r="82" spans="1:13" ht="11.25">
      <c r="A82" s="736"/>
      <c r="B82" s="736"/>
      <c r="C82" s="736"/>
      <c r="D82" s="736"/>
      <c r="E82" s="736"/>
      <c r="F82" s="736"/>
      <c r="G82" s="736"/>
      <c r="H82" s="736"/>
      <c r="I82" s="736"/>
      <c r="J82" s="736"/>
      <c r="K82" s="736"/>
      <c r="L82" s="736"/>
      <c r="M82" s="736"/>
    </row>
    <row r="83" spans="1:13" ht="11.25">
      <c r="A83" s="736"/>
      <c r="B83" s="736"/>
      <c r="C83" s="736"/>
      <c r="D83" s="736"/>
      <c r="E83" s="736"/>
      <c r="F83" s="736"/>
      <c r="G83" s="736"/>
      <c r="H83" s="736"/>
      <c r="I83" s="736"/>
      <c r="J83" s="736"/>
      <c r="K83" s="736"/>
      <c r="L83" s="736"/>
      <c r="M83" s="736"/>
    </row>
    <row r="84" spans="1:13" ht="11.25">
      <c r="A84" s="736"/>
      <c r="B84" s="736"/>
      <c r="C84" s="736"/>
      <c r="D84" s="736"/>
      <c r="E84" s="736"/>
      <c r="F84" s="736"/>
      <c r="G84" s="736"/>
      <c r="H84" s="736"/>
      <c r="I84" s="736"/>
      <c r="J84" s="736"/>
      <c r="K84" s="736"/>
      <c r="L84" s="736"/>
      <c r="M84" s="736"/>
    </row>
    <row r="85" spans="1:13" ht="11.25">
      <c r="A85" s="736"/>
      <c r="B85" s="736"/>
      <c r="C85" s="736"/>
      <c r="D85" s="736"/>
      <c r="E85" s="736"/>
      <c r="F85" s="736"/>
      <c r="G85" s="736"/>
      <c r="H85" s="736"/>
      <c r="I85" s="736"/>
      <c r="J85" s="736"/>
      <c r="K85" s="736"/>
      <c r="L85" s="736"/>
      <c r="M85" s="736"/>
    </row>
    <row r="86" spans="1:13" ht="11.25">
      <c r="A86" s="736"/>
      <c r="B86" s="736"/>
      <c r="C86" s="736"/>
      <c r="D86" s="736"/>
      <c r="E86" s="736"/>
      <c r="F86" s="736"/>
      <c r="G86" s="736"/>
      <c r="H86" s="736"/>
      <c r="I86" s="736"/>
      <c r="J86" s="736"/>
      <c r="K86" s="736"/>
      <c r="L86" s="736"/>
      <c r="M86" s="736"/>
    </row>
    <row r="87" spans="1:13" ht="11.25">
      <c r="A87" s="736"/>
      <c r="B87" s="736"/>
      <c r="C87" s="736"/>
      <c r="D87" s="736"/>
      <c r="E87" s="736"/>
      <c r="F87" s="736"/>
      <c r="G87" s="736"/>
      <c r="H87" s="736"/>
      <c r="I87" s="736"/>
      <c r="J87" s="736"/>
      <c r="K87" s="736"/>
      <c r="L87" s="736"/>
      <c r="M87" s="736"/>
    </row>
    <row r="88" spans="1:13" ht="11.25">
      <c r="A88" s="736"/>
      <c r="B88" s="736"/>
      <c r="C88" s="736"/>
      <c r="D88" s="736"/>
      <c r="E88" s="736"/>
      <c r="F88" s="736"/>
      <c r="G88" s="736"/>
      <c r="H88" s="736"/>
      <c r="I88" s="736"/>
      <c r="J88" s="736"/>
      <c r="K88" s="736"/>
      <c r="L88" s="736"/>
      <c r="M88" s="736"/>
    </row>
    <row r="89" spans="1:13" ht="11.25">
      <c r="A89" s="736"/>
      <c r="B89" s="736"/>
      <c r="C89" s="736"/>
      <c r="D89" s="736"/>
      <c r="E89" s="736"/>
      <c r="F89" s="736"/>
      <c r="G89" s="736"/>
      <c r="H89" s="736"/>
      <c r="I89" s="736"/>
      <c r="J89" s="736"/>
      <c r="K89" s="736"/>
      <c r="L89" s="736"/>
      <c r="M89" s="736"/>
    </row>
    <row r="90" spans="1:13" ht="11.25">
      <c r="A90" s="736"/>
      <c r="B90" s="736"/>
      <c r="C90" s="736"/>
      <c r="D90" s="736"/>
      <c r="E90" s="736"/>
      <c r="F90" s="736"/>
      <c r="G90" s="736"/>
      <c r="H90" s="736"/>
      <c r="I90" s="736"/>
      <c r="J90" s="736"/>
      <c r="K90" s="736"/>
      <c r="L90" s="736"/>
      <c r="M90" s="736"/>
    </row>
    <row r="91" spans="1:13" ht="11.25">
      <c r="A91" s="736"/>
      <c r="B91" s="736"/>
      <c r="C91" s="736"/>
      <c r="D91" s="736"/>
      <c r="E91" s="736"/>
      <c r="F91" s="736"/>
      <c r="G91" s="736"/>
      <c r="H91" s="736"/>
      <c r="I91" s="736"/>
      <c r="J91" s="736"/>
      <c r="K91" s="736"/>
      <c r="L91" s="736"/>
      <c r="M91" s="736"/>
    </row>
    <row r="92" spans="1:13" ht="11.25">
      <c r="A92" s="736"/>
      <c r="B92" s="736"/>
      <c r="C92" s="736"/>
      <c r="D92" s="736"/>
      <c r="E92" s="736"/>
      <c r="F92" s="736"/>
      <c r="G92" s="736"/>
      <c r="H92" s="736"/>
      <c r="I92" s="736"/>
      <c r="J92" s="736"/>
      <c r="K92" s="736"/>
      <c r="L92" s="736"/>
      <c r="M92" s="736"/>
    </row>
    <row r="93" spans="1:13" ht="11.25">
      <c r="A93" s="736"/>
      <c r="B93" s="736"/>
      <c r="C93" s="736"/>
      <c r="D93" s="736"/>
      <c r="E93" s="736"/>
      <c r="F93" s="736"/>
      <c r="G93" s="736"/>
      <c r="H93" s="736"/>
      <c r="I93" s="736"/>
      <c r="J93" s="736"/>
      <c r="K93" s="736"/>
      <c r="L93" s="736"/>
      <c r="M93" s="736"/>
    </row>
    <row r="94" spans="1:13" ht="11.25">
      <c r="A94" s="736"/>
      <c r="B94" s="736"/>
      <c r="C94" s="736"/>
      <c r="D94" s="736"/>
      <c r="E94" s="736"/>
      <c r="F94" s="736"/>
      <c r="G94" s="736"/>
      <c r="H94" s="736"/>
      <c r="I94" s="736"/>
      <c r="J94" s="736"/>
      <c r="K94" s="736"/>
      <c r="L94" s="736"/>
      <c r="M94" s="736"/>
    </row>
    <row r="95" spans="1:13" ht="11.25">
      <c r="A95" s="736"/>
      <c r="B95" s="736"/>
      <c r="C95" s="736"/>
      <c r="D95" s="736"/>
      <c r="E95" s="736"/>
      <c r="F95" s="736"/>
      <c r="G95" s="736"/>
      <c r="H95" s="736"/>
      <c r="I95" s="736"/>
      <c r="J95" s="736"/>
      <c r="K95" s="736"/>
      <c r="L95" s="736"/>
      <c r="M95" s="736"/>
    </row>
    <row r="96" spans="1:13" ht="11.25">
      <c r="A96" s="736"/>
      <c r="B96" s="736"/>
      <c r="C96" s="736"/>
      <c r="D96" s="736"/>
      <c r="E96" s="736"/>
      <c r="F96" s="736"/>
      <c r="G96" s="736"/>
      <c r="H96" s="736"/>
      <c r="I96" s="736"/>
      <c r="J96" s="736"/>
      <c r="K96" s="736"/>
      <c r="L96" s="736"/>
      <c r="M96" s="736"/>
    </row>
    <row r="97" spans="1:13" ht="11.25">
      <c r="A97" s="736"/>
      <c r="B97" s="736"/>
      <c r="C97" s="736"/>
      <c r="D97" s="736"/>
      <c r="E97" s="736"/>
      <c r="F97" s="736"/>
      <c r="G97" s="736"/>
      <c r="H97" s="736"/>
      <c r="I97" s="736"/>
      <c r="J97" s="736"/>
      <c r="K97" s="736"/>
      <c r="L97" s="736"/>
      <c r="M97" s="736"/>
    </row>
    <row r="98" spans="1:13" ht="11.25">
      <c r="A98" s="736"/>
      <c r="B98" s="736"/>
      <c r="C98" s="736"/>
      <c r="D98" s="736"/>
      <c r="E98" s="736"/>
      <c r="F98" s="736"/>
      <c r="G98" s="736"/>
      <c r="H98" s="736"/>
      <c r="I98" s="736"/>
      <c r="J98" s="736"/>
      <c r="K98" s="736"/>
      <c r="L98" s="736"/>
      <c r="M98" s="736"/>
    </row>
    <row r="99" spans="1:13" ht="11.25">
      <c r="A99" s="736"/>
      <c r="B99" s="736"/>
      <c r="C99" s="736"/>
      <c r="D99" s="736"/>
      <c r="E99" s="736"/>
      <c r="F99" s="736"/>
      <c r="G99" s="736"/>
      <c r="H99" s="736"/>
      <c r="I99" s="736"/>
      <c r="J99" s="736"/>
      <c r="K99" s="736"/>
      <c r="L99" s="736"/>
      <c r="M99" s="736"/>
    </row>
    <row r="100" spans="1:13" ht="11.25">
      <c r="A100" s="736"/>
      <c r="B100" s="736"/>
      <c r="C100" s="736"/>
      <c r="D100" s="736"/>
      <c r="E100" s="736"/>
      <c r="F100" s="736"/>
      <c r="G100" s="736"/>
      <c r="H100" s="736"/>
      <c r="I100" s="736"/>
      <c r="J100" s="736"/>
      <c r="K100" s="736"/>
      <c r="L100" s="736"/>
      <c r="M100" s="736"/>
    </row>
    <row r="101" spans="1:13" ht="11.25">
      <c r="A101" s="736"/>
      <c r="B101" s="736"/>
      <c r="C101" s="736"/>
      <c r="D101" s="736"/>
      <c r="E101" s="736"/>
      <c r="F101" s="736"/>
      <c r="G101" s="736"/>
      <c r="H101" s="736"/>
      <c r="I101" s="736"/>
      <c r="J101" s="736"/>
      <c r="K101" s="736"/>
      <c r="L101" s="736"/>
      <c r="M101" s="736"/>
    </row>
    <row r="102" spans="1:13" ht="11.25">
      <c r="A102" s="736"/>
      <c r="B102" s="736"/>
      <c r="C102" s="736"/>
      <c r="D102" s="736"/>
      <c r="E102" s="736"/>
      <c r="F102" s="736"/>
      <c r="G102" s="736"/>
      <c r="H102" s="736"/>
      <c r="I102" s="736"/>
      <c r="J102" s="736"/>
      <c r="K102" s="736"/>
      <c r="L102" s="736"/>
      <c r="M102" s="736"/>
    </row>
    <row r="103" spans="1:13" ht="11.25">
      <c r="A103" s="736"/>
      <c r="B103" s="736"/>
      <c r="C103" s="736"/>
      <c r="D103" s="736"/>
      <c r="E103" s="736"/>
      <c r="F103" s="736"/>
      <c r="G103" s="736"/>
      <c r="H103" s="736"/>
      <c r="I103" s="736"/>
      <c r="J103" s="736"/>
      <c r="K103" s="736"/>
      <c r="L103" s="736"/>
      <c r="M103" s="736"/>
    </row>
    <row r="104" spans="1:13" ht="11.25">
      <c r="A104" s="736"/>
      <c r="B104" s="736"/>
      <c r="C104" s="736"/>
      <c r="D104" s="736"/>
      <c r="E104" s="736"/>
      <c r="F104" s="736"/>
      <c r="G104" s="736"/>
      <c r="H104" s="736"/>
      <c r="I104" s="736"/>
      <c r="J104" s="736"/>
      <c r="K104" s="736"/>
      <c r="L104" s="736"/>
      <c r="M104" s="736"/>
    </row>
    <row r="105" spans="1:13" ht="11.25">
      <c r="A105" s="736"/>
      <c r="B105" s="736"/>
      <c r="C105" s="736"/>
      <c r="D105" s="736"/>
      <c r="E105" s="736"/>
      <c r="F105" s="736"/>
      <c r="G105" s="736"/>
      <c r="H105" s="736"/>
      <c r="I105" s="736"/>
      <c r="J105" s="736"/>
      <c r="K105" s="736"/>
      <c r="L105" s="736"/>
      <c r="M105" s="736"/>
    </row>
    <row r="106" spans="1:13" ht="11.25">
      <c r="A106" s="736"/>
      <c r="B106" s="736"/>
      <c r="C106" s="736"/>
      <c r="D106" s="736"/>
      <c r="E106" s="736"/>
      <c r="F106" s="736"/>
      <c r="G106" s="736"/>
      <c r="H106" s="736"/>
      <c r="I106" s="736"/>
      <c r="J106" s="736"/>
      <c r="K106" s="736"/>
      <c r="L106" s="736"/>
      <c r="M106" s="736"/>
    </row>
    <row r="107" spans="1:13" ht="11.25">
      <c r="A107" s="736"/>
      <c r="B107" s="736"/>
      <c r="C107" s="736"/>
      <c r="D107" s="736"/>
      <c r="E107" s="736"/>
      <c r="F107" s="736"/>
      <c r="G107" s="736"/>
      <c r="H107" s="736"/>
      <c r="I107" s="736"/>
      <c r="J107" s="736"/>
      <c r="K107" s="736"/>
      <c r="L107" s="736"/>
      <c r="M107" s="736"/>
    </row>
    <row r="108" spans="1:13" ht="11.25">
      <c r="A108" s="736"/>
      <c r="B108" s="736"/>
      <c r="C108" s="736"/>
      <c r="D108" s="736"/>
      <c r="E108" s="736"/>
      <c r="F108" s="736"/>
      <c r="G108" s="736"/>
      <c r="H108" s="736"/>
      <c r="I108" s="736"/>
      <c r="J108" s="736"/>
      <c r="K108" s="736"/>
      <c r="L108" s="736"/>
      <c r="M108" s="736"/>
    </row>
    <row r="109" spans="1:13" ht="11.25">
      <c r="A109" s="736"/>
      <c r="B109" s="736"/>
      <c r="C109" s="736"/>
      <c r="D109" s="736"/>
      <c r="E109" s="736"/>
      <c r="F109" s="736"/>
      <c r="G109" s="736"/>
      <c r="H109" s="736"/>
      <c r="I109" s="736"/>
      <c r="J109" s="736"/>
      <c r="K109" s="736"/>
      <c r="L109" s="736"/>
      <c r="M109" s="736"/>
    </row>
    <row r="110" spans="1:13" ht="11.25">
      <c r="A110" s="736"/>
      <c r="B110" s="736"/>
      <c r="C110" s="736"/>
      <c r="D110" s="736"/>
      <c r="E110" s="736"/>
      <c r="F110" s="736"/>
      <c r="G110" s="736"/>
      <c r="H110" s="736"/>
      <c r="I110" s="736"/>
      <c r="J110" s="736"/>
      <c r="K110" s="736"/>
      <c r="L110" s="736"/>
      <c r="M110" s="736"/>
    </row>
    <row r="111" spans="1:13" ht="11.25">
      <c r="A111" s="736"/>
      <c r="B111" s="736"/>
      <c r="C111" s="736"/>
      <c r="D111" s="736"/>
      <c r="E111" s="736"/>
      <c r="F111" s="736"/>
      <c r="G111" s="736"/>
      <c r="H111" s="736"/>
      <c r="I111" s="736"/>
      <c r="J111" s="736"/>
      <c r="K111" s="736"/>
      <c r="L111" s="736"/>
      <c r="M111" s="736"/>
    </row>
    <row r="112" spans="1:13" ht="11.25">
      <c r="A112" s="736"/>
      <c r="B112" s="736"/>
      <c r="C112" s="736"/>
      <c r="D112" s="736"/>
      <c r="E112" s="736"/>
      <c r="F112" s="736"/>
      <c r="G112" s="736"/>
      <c r="H112" s="736"/>
      <c r="I112" s="736"/>
      <c r="J112" s="736"/>
      <c r="K112" s="736"/>
      <c r="L112" s="736"/>
      <c r="M112" s="736"/>
    </row>
    <row r="113" spans="1:13" ht="11.25">
      <c r="A113" s="736"/>
      <c r="B113" s="736"/>
      <c r="C113" s="736"/>
      <c r="D113" s="736"/>
      <c r="E113" s="736"/>
      <c r="F113" s="736"/>
      <c r="G113" s="736"/>
      <c r="H113" s="736"/>
      <c r="I113" s="736"/>
      <c r="J113" s="736"/>
      <c r="K113" s="736"/>
      <c r="L113" s="736"/>
      <c r="M113" s="736"/>
    </row>
    <row r="114" spans="1:13" ht="11.25">
      <c r="A114" s="736"/>
      <c r="B114" s="736"/>
      <c r="C114" s="736"/>
      <c r="D114" s="736"/>
      <c r="E114" s="736"/>
      <c r="F114" s="736"/>
      <c r="G114" s="736"/>
      <c r="H114" s="736"/>
      <c r="I114" s="736"/>
      <c r="J114" s="736"/>
      <c r="K114" s="736"/>
      <c r="L114" s="736"/>
      <c r="M114" s="736"/>
    </row>
    <row r="115" spans="1:13" ht="11.25">
      <c r="A115" s="736"/>
      <c r="B115" s="736"/>
      <c r="C115" s="736"/>
      <c r="D115" s="736"/>
      <c r="E115" s="736"/>
      <c r="F115" s="736"/>
      <c r="G115" s="736"/>
      <c r="H115" s="736"/>
      <c r="I115" s="736"/>
      <c r="J115" s="736"/>
      <c r="K115" s="736"/>
      <c r="L115" s="736"/>
      <c r="M115" s="736"/>
    </row>
    <row r="116" spans="1:13" ht="11.25">
      <c r="A116" s="736"/>
      <c r="B116" s="736"/>
      <c r="C116" s="736"/>
      <c r="D116" s="736"/>
      <c r="E116" s="736"/>
      <c r="F116" s="736"/>
      <c r="G116" s="736"/>
      <c r="H116" s="736"/>
      <c r="I116" s="736"/>
      <c r="J116" s="736"/>
      <c r="K116" s="736"/>
      <c r="L116" s="736"/>
      <c r="M116" s="736"/>
    </row>
    <row r="117" spans="1:13" ht="11.25">
      <c r="A117" s="736"/>
      <c r="B117" s="736"/>
      <c r="C117" s="736"/>
      <c r="D117" s="736"/>
      <c r="E117" s="736"/>
      <c r="F117" s="736"/>
      <c r="G117" s="736"/>
      <c r="H117" s="736"/>
      <c r="I117" s="736"/>
      <c r="J117" s="736"/>
      <c r="K117" s="736"/>
      <c r="L117" s="736"/>
      <c r="M117" s="736"/>
    </row>
    <row r="118" spans="1:13" ht="11.25">
      <c r="A118" s="736"/>
      <c r="B118" s="736"/>
      <c r="C118" s="736"/>
      <c r="D118" s="736"/>
      <c r="E118" s="736"/>
      <c r="F118" s="736"/>
      <c r="G118" s="736"/>
      <c r="H118" s="736"/>
      <c r="I118" s="736"/>
      <c r="J118" s="736"/>
      <c r="K118" s="736"/>
      <c r="L118" s="736"/>
      <c r="M118" s="736"/>
    </row>
    <row r="119" spans="1:13" ht="11.25">
      <c r="A119" s="736"/>
      <c r="B119" s="736"/>
      <c r="C119" s="736"/>
      <c r="D119" s="736"/>
      <c r="E119" s="736"/>
      <c r="F119" s="736"/>
      <c r="G119" s="736"/>
      <c r="H119" s="736"/>
      <c r="I119" s="736"/>
      <c r="J119" s="736"/>
      <c r="K119" s="736"/>
      <c r="L119" s="736"/>
      <c r="M119" s="736"/>
    </row>
    <row r="120" spans="1:13" ht="11.25">
      <c r="A120" s="736"/>
      <c r="B120" s="736"/>
      <c r="C120" s="736"/>
      <c r="D120" s="736"/>
      <c r="E120" s="736"/>
      <c r="F120" s="736"/>
      <c r="G120" s="736"/>
      <c r="H120" s="736"/>
      <c r="I120" s="736"/>
      <c r="J120" s="736"/>
      <c r="K120" s="736"/>
      <c r="L120" s="736"/>
      <c r="M120" s="736"/>
    </row>
    <row r="121" spans="1:13" ht="11.25">
      <c r="A121" s="736"/>
      <c r="B121" s="736"/>
      <c r="C121" s="736"/>
      <c r="D121" s="736"/>
      <c r="E121" s="736"/>
      <c r="F121" s="736"/>
      <c r="G121" s="736"/>
      <c r="H121" s="736"/>
      <c r="I121" s="736"/>
      <c r="J121" s="736"/>
      <c r="K121" s="736"/>
      <c r="L121" s="736"/>
      <c r="M121" s="736"/>
    </row>
    <row r="122" spans="1:13" ht="11.25">
      <c r="A122" s="736"/>
      <c r="B122" s="736"/>
      <c r="C122" s="736"/>
      <c r="D122" s="736"/>
      <c r="E122" s="736"/>
      <c r="F122" s="736"/>
      <c r="G122" s="736"/>
      <c r="H122" s="736"/>
      <c r="I122" s="736"/>
      <c r="J122" s="736"/>
      <c r="K122" s="736"/>
      <c r="L122" s="736"/>
      <c r="M122" s="736"/>
    </row>
    <row r="123" spans="1:13" ht="11.25">
      <c r="A123" s="736"/>
      <c r="B123" s="736"/>
      <c r="C123" s="736"/>
      <c r="D123" s="736"/>
      <c r="E123" s="736"/>
      <c r="F123" s="736"/>
      <c r="G123" s="736"/>
      <c r="H123" s="736"/>
      <c r="I123" s="736"/>
      <c r="J123" s="736"/>
      <c r="K123" s="736"/>
      <c r="L123" s="736"/>
      <c r="M123" s="736"/>
    </row>
    <row r="124" spans="1:13" ht="11.25">
      <c r="A124" s="736"/>
      <c r="B124" s="736"/>
      <c r="C124" s="736"/>
      <c r="D124" s="736"/>
      <c r="E124" s="736"/>
      <c r="F124" s="736"/>
      <c r="G124" s="736"/>
      <c r="H124" s="736"/>
      <c r="I124" s="736"/>
      <c r="J124" s="736"/>
      <c r="K124" s="736"/>
      <c r="L124" s="736"/>
      <c r="M124" s="736"/>
    </row>
    <row r="125" spans="1:13" ht="11.25">
      <c r="A125" s="736"/>
      <c r="B125" s="736"/>
      <c r="C125" s="736"/>
      <c r="D125" s="736"/>
      <c r="E125" s="736"/>
      <c r="F125" s="736"/>
      <c r="G125" s="736"/>
      <c r="H125" s="736"/>
      <c r="I125" s="736"/>
      <c r="J125" s="736"/>
      <c r="K125" s="736"/>
      <c r="L125" s="736"/>
      <c r="M125" s="736"/>
    </row>
    <row r="126" spans="1:13" ht="11.25">
      <c r="A126" s="736"/>
      <c r="B126" s="736"/>
      <c r="C126" s="736"/>
      <c r="D126" s="736"/>
      <c r="E126" s="736"/>
      <c r="F126" s="736"/>
      <c r="G126" s="736"/>
      <c r="H126" s="736"/>
      <c r="I126" s="736"/>
      <c r="J126" s="736"/>
      <c r="K126" s="736"/>
      <c r="L126" s="736"/>
      <c r="M126" s="736"/>
    </row>
    <row r="127" spans="1:13" ht="11.25">
      <c r="A127" s="736"/>
      <c r="B127" s="736"/>
      <c r="C127" s="736"/>
      <c r="D127" s="736"/>
      <c r="E127" s="736"/>
      <c r="F127" s="736"/>
      <c r="G127" s="736"/>
      <c r="H127" s="736"/>
      <c r="I127" s="736"/>
      <c r="J127" s="736"/>
      <c r="K127" s="736"/>
      <c r="L127" s="736"/>
      <c r="M127" s="736"/>
    </row>
    <row r="128" spans="1:13" ht="11.25">
      <c r="A128" s="736"/>
      <c r="B128" s="736"/>
      <c r="C128" s="736"/>
      <c r="D128" s="736"/>
      <c r="E128" s="736"/>
      <c r="F128" s="736"/>
      <c r="G128" s="736"/>
      <c r="H128" s="736"/>
      <c r="I128" s="736"/>
      <c r="J128" s="736"/>
      <c r="K128" s="736"/>
      <c r="L128" s="736"/>
      <c r="M128" s="736"/>
    </row>
    <row r="129" spans="1:13" ht="11.25">
      <c r="A129" s="736"/>
      <c r="B129" s="736"/>
      <c r="C129" s="736"/>
      <c r="D129" s="736"/>
      <c r="E129" s="736"/>
      <c r="F129" s="736"/>
      <c r="G129" s="736"/>
      <c r="H129" s="736"/>
      <c r="I129" s="736"/>
      <c r="J129" s="736"/>
      <c r="K129" s="736"/>
      <c r="L129" s="736"/>
      <c r="M129" s="736"/>
    </row>
    <row r="130" spans="1:13" ht="11.25">
      <c r="A130" s="736"/>
      <c r="B130" s="736"/>
      <c r="C130" s="736"/>
      <c r="D130" s="736"/>
      <c r="E130" s="736"/>
      <c r="F130" s="736"/>
      <c r="G130" s="736"/>
      <c r="H130" s="736"/>
      <c r="I130" s="736"/>
      <c r="J130" s="736"/>
      <c r="K130" s="736"/>
      <c r="L130" s="736"/>
      <c r="M130" s="736"/>
    </row>
    <row r="131" spans="1:13" ht="11.25">
      <c r="A131" s="736"/>
      <c r="B131" s="736"/>
      <c r="C131" s="736"/>
      <c r="D131" s="736"/>
      <c r="E131" s="736"/>
      <c r="F131" s="736"/>
      <c r="G131" s="736"/>
      <c r="H131" s="736"/>
      <c r="I131" s="736"/>
      <c r="J131" s="736"/>
      <c r="K131" s="736"/>
      <c r="L131" s="736"/>
      <c r="M131" s="736"/>
    </row>
    <row r="132" spans="1:13" ht="11.25">
      <c r="A132" s="736"/>
      <c r="B132" s="736"/>
      <c r="C132" s="736"/>
      <c r="D132" s="736"/>
      <c r="E132" s="736"/>
      <c r="F132" s="736"/>
      <c r="G132" s="736"/>
      <c r="H132" s="736"/>
      <c r="I132" s="736"/>
      <c r="J132" s="736"/>
      <c r="K132" s="736"/>
      <c r="L132" s="736"/>
      <c r="M132" s="736"/>
    </row>
    <row r="133" spans="1:13" ht="11.25">
      <c r="A133" s="736"/>
      <c r="B133" s="736"/>
      <c r="C133" s="736"/>
      <c r="D133" s="736"/>
      <c r="E133" s="736"/>
      <c r="F133" s="736"/>
      <c r="G133" s="736"/>
      <c r="H133" s="736"/>
      <c r="I133" s="736"/>
      <c r="J133" s="736"/>
      <c r="K133" s="736"/>
      <c r="L133" s="736"/>
      <c r="M133" s="736"/>
    </row>
    <row r="134" spans="1:13" ht="11.25">
      <c r="A134" s="736"/>
      <c r="B134" s="736"/>
      <c r="C134" s="736"/>
      <c r="D134" s="736"/>
      <c r="E134" s="736"/>
      <c r="F134" s="736"/>
      <c r="G134" s="736"/>
      <c r="H134" s="736"/>
      <c r="I134" s="736"/>
      <c r="J134" s="736"/>
      <c r="K134" s="736"/>
      <c r="L134" s="736"/>
      <c r="M134" s="736"/>
    </row>
    <row r="135" spans="1:13" ht="11.25">
      <c r="A135" s="736"/>
      <c r="B135" s="736"/>
      <c r="C135" s="736"/>
      <c r="D135" s="736"/>
      <c r="E135" s="736"/>
      <c r="F135" s="736"/>
      <c r="G135" s="736"/>
      <c r="H135" s="736"/>
      <c r="I135" s="736"/>
      <c r="J135" s="736"/>
      <c r="K135" s="736"/>
      <c r="L135" s="736"/>
      <c r="M135" s="736"/>
    </row>
    <row r="136" spans="1:13" ht="11.25">
      <c r="A136" s="736"/>
      <c r="B136" s="736"/>
      <c r="C136" s="736"/>
      <c r="D136" s="736"/>
      <c r="E136" s="736"/>
      <c r="F136" s="736"/>
      <c r="G136" s="736"/>
      <c r="H136" s="736"/>
      <c r="I136" s="736"/>
      <c r="J136" s="736"/>
      <c r="K136" s="736"/>
      <c r="L136" s="736"/>
      <c r="M136" s="736"/>
    </row>
    <row r="137" spans="1:13" ht="11.25">
      <c r="A137" s="736"/>
      <c r="B137" s="736"/>
      <c r="C137" s="736"/>
      <c r="D137" s="736"/>
      <c r="E137" s="736"/>
      <c r="F137" s="736"/>
      <c r="G137" s="736"/>
      <c r="H137" s="736"/>
      <c r="I137" s="736"/>
      <c r="J137" s="736"/>
      <c r="K137" s="736"/>
      <c r="L137" s="736"/>
      <c r="M137" s="736"/>
    </row>
    <row r="138" spans="1:13" ht="11.25">
      <c r="A138" s="736"/>
      <c r="B138" s="736"/>
      <c r="C138" s="736"/>
      <c r="D138" s="736"/>
      <c r="E138" s="736"/>
      <c r="F138" s="736"/>
      <c r="G138" s="736"/>
      <c r="H138" s="736"/>
      <c r="I138" s="736"/>
      <c r="J138" s="736"/>
      <c r="K138" s="736"/>
      <c r="L138" s="736"/>
      <c r="M138" s="736"/>
    </row>
    <row r="139" spans="1:13" ht="11.25">
      <c r="A139" s="736"/>
      <c r="B139" s="736"/>
      <c r="C139" s="736"/>
      <c r="D139" s="736"/>
      <c r="E139" s="736"/>
      <c r="F139" s="736"/>
      <c r="G139" s="736"/>
      <c r="H139" s="736"/>
      <c r="I139" s="736"/>
      <c r="J139" s="736"/>
      <c r="K139" s="736"/>
      <c r="L139" s="736"/>
      <c r="M139" s="736"/>
    </row>
    <row r="140" spans="1:13" ht="11.25">
      <c r="A140" s="736"/>
      <c r="B140" s="736"/>
      <c r="C140" s="736"/>
      <c r="D140" s="736"/>
      <c r="E140" s="736"/>
      <c r="F140" s="736"/>
      <c r="G140" s="736"/>
      <c r="H140" s="736"/>
      <c r="I140" s="736"/>
      <c r="J140" s="736"/>
      <c r="K140" s="736"/>
      <c r="L140" s="736"/>
      <c r="M140" s="736"/>
    </row>
    <row r="141" spans="1:13" ht="11.25">
      <c r="A141" s="736"/>
      <c r="B141" s="736"/>
      <c r="C141" s="736"/>
      <c r="D141" s="736"/>
      <c r="E141" s="736"/>
      <c r="F141" s="736"/>
      <c r="G141" s="736"/>
      <c r="H141" s="736"/>
      <c r="I141" s="736"/>
      <c r="J141" s="736"/>
      <c r="K141" s="736"/>
      <c r="L141" s="736"/>
      <c r="M141" s="736"/>
    </row>
    <row r="142" spans="1:13" ht="11.25">
      <c r="A142" s="736"/>
      <c r="B142" s="736"/>
      <c r="C142" s="736"/>
      <c r="D142" s="736"/>
      <c r="E142" s="736"/>
      <c r="F142" s="736"/>
      <c r="G142" s="736"/>
      <c r="H142" s="736"/>
      <c r="I142" s="736"/>
      <c r="J142" s="736"/>
      <c r="K142" s="736"/>
      <c r="L142" s="736"/>
      <c r="M142" s="736"/>
    </row>
    <row r="143" spans="1:13" ht="11.25">
      <c r="A143" s="736"/>
      <c r="B143" s="736"/>
      <c r="C143" s="736"/>
      <c r="D143" s="736"/>
      <c r="E143" s="736"/>
      <c r="F143" s="736"/>
      <c r="G143" s="736"/>
      <c r="H143" s="736"/>
      <c r="I143" s="736"/>
      <c r="J143" s="736"/>
      <c r="K143" s="736"/>
      <c r="L143" s="736"/>
      <c r="M143" s="736"/>
    </row>
    <row r="144" spans="1:13" ht="11.25">
      <c r="A144" s="736"/>
      <c r="B144" s="736"/>
      <c r="C144" s="736"/>
      <c r="D144" s="736"/>
      <c r="E144" s="736"/>
      <c r="F144" s="736"/>
      <c r="G144" s="736"/>
      <c r="H144" s="736"/>
      <c r="I144" s="736"/>
      <c r="J144" s="736"/>
      <c r="K144" s="736"/>
      <c r="L144" s="736"/>
      <c r="M144" s="736"/>
    </row>
    <row r="145" spans="1:13" ht="11.25">
      <c r="A145" s="736"/>
      <c r="B145" s="736"/>
      <c r="C145" s="736"/>
      <c r="D145" s="736"/>
      <c r="E145" s="736"/>
      <c r="F145" s="736"/>
      <c r="G145" s="736"/>
      <c r="H145" s="736"/>
      <c r="I145" s="736"/>
      <c r="J145" s="736"/>
      <c r="K145" s="736"/>
      <c r="L145" s="736"/>
      <c r="M145" s="736"/>
    </row>
    <row r="146" spans="1:13" ht="11.25">
      <c r="A146" s="736"/>
      <c r="B146" s="736"/>
      <c r="C146" s="736"/>
      <c r="D146" s="736"/>
      <c r="E146" s="736"/>
      <c r="F146" s="736"/>
      <c r="G146" s="736"/>
      <c r="H146" s="736"/>
      <c r="I146" s="736"/>
      <c r="J146" s="736"/>
      <c r="K146" s="736"/>
      <c r="L146" s="736"/>
      <c r="M146" s="736"/>
    </row>
    <row r="147" spans="1:13" ht="11.25">
      <c r="A147" s="736"/>
      <c r="B147" s="736"/>
      <c r="C147" s="736"/>
      <c r="D147" s="736"/>
      <c r="E147" s="736"/>
      <c r="F147" s="736"/>
      <c r="G147" s="736"/>
      <c r="H147" s="736"/>
      <c r="I147" s="736"/>
      <c r="J147" s="736"/>
      <c r="K147" s="736"/>
      <c r="L147" s="736"/>
      <c r="M147" s="736"/>
    </row>
    <row r="148" spans="1:13" ht="11.25">
      <c r="A148" s="736"/>
      <c r="B148" s="736"/>
      <c r="C148" s="736"/>
      <c r="D148" s="736"/>
      <c r="E148" s="736"/>
      <c r="F148" s="736"/>
      <c r="G148" s="736"/>
      <c r="H148" s="736"/>
      <c r="I148" s="736"/>
      <c r="J148" s="736"/>
      <c r="K148" s="736"/>
      <c r="L148" s="736"/>
      <c r="M148" s="736"/>
    </row>
    <row r="149" spans="1:13" ht="11.25">
      <c r="A149" s="736"/>
      <c r="B149" s="736"/>
      <c r="C149" s="736"/>
      <c r="D149" s="736"/>
      <c r="E149" s="736"/>
      <c r="F149" s="736"/>
      <c r="G149" s="736"/>
      <c r="H149" s="736"/>
      <c r="I149" s="736"/>
      <c r="J149" s="736"/>
      <c r="K149" s="736"/>
      <c r="L149" s="736"/>
      <c r="M149" s="736"/>
    </row>
    <row r="150" spans="1:13" ht="11.25">
      <c r="A150" s="736"/>
      <c r="B150" s="736"/>
      <c r="C150" s="736"/>
      <c r="D150" s="736"/>
      <c r="E150" s="736"/>
      <c r="F150" s="736"/>
      <c r="G150" s="736"/>
      <c r="H150" s="736"/>
      <c r="I150" s="736"/>
      <c r="J150" s="736"/>
      <c r="K150" s="736"/>
      <c r="L150" s="736"/>
      <c r="M150" s="736"/>
    </row>
    <row r="151" spans="1:13" ht="11.25">
      <c r="A151" s="736"/>
      <c r="B151" s="736"/>
      <c r="C151" s="736"/>
      <c r="D151" s="736"/>
      <c r="E151" s="736"/>
      <c r="F151" s="736"/>
      <c r="G151" s="736"/>
      <c r="H151" s="736"/>
      <c r="I151" s="736"/>
      <c r="J151" s="736"/>
      <c r="K151" s="736"/>
      <c r="L151" s="736"/>
      <c r="M151" s="736"/>
    </row>
    <row r="152" spans="1:13" ht="11.25">
      <c r="A152" s="736"/>
      <c r="B152" s="736"/>
      <c r="C152" s="736"/>
      <c r="D152" s="736"/>
      <c r="E152" s="736"/>
      <c r="F152" s="736"/>
      <c r="G152" s="736"/>
      <c r="H152" s="736"/>
      <c r="I152" s="736"/>
      <c r="J152" s="736"/>
      <c r="K152" s="736"/>
      <c r="L152" s="736"/>
      <c r="M152" s="736"/>
    </row>
    <row r="153" spans="1:13" ht="11.25">
      <c r="A153" s="736"/>
      <c r="B153" s="736"/>
      <c r="C153" s="736"/>
      <c r="D153" s="736"/>
      <c r="E153" s="736"/>
      <c r="F153" s="736"/>
      <c r="G153" s="736"/>
      <c r="H153" s="736"/>
      <c r="I153" s="736"/>
      <c r="J153" s="736"/>
      <c r="K153" s="736"/>
      <c r="L153" s="736"/>
      <c r="M153" s="736"/>
    </row>
    <row r="154" spans="1:13" ht="11.25">
      <c r="A154" s="736"/>
      <c r="B154" s="736"/>
      <c r="C154" s="736"/>
      <c r="D154" s="736"/>
      <c r="E154" s="736"/>
      <c r="F154" s="736"/>
      <c r="G154" s="736"/>
      <c r="H154" s="736"/>
      <c r="I154" s="736"/>
      <c r="J154" s="736"/>
      <c r="K154" s="736"/>
      <c r="L154" s="736"/>
      <c r="M154" s="736"/>
    </row>
    <row r="155" spans="1:13" ht="11.25">
      <c r="A155" s="736"/>
      <c r="B155" s="736"/>
      <c r="C155" s="736"/>
      <c r="D155" s="736"/>
      <c r="E155" s="736"/>
      <c r="F155" s="736"/>
      <c r="G155" s="736"/>
      <c r="H155" s="736"/>
      <c r="I155" s="736"/>
      <c r="J155" s="736"/>
      <c r="K155" s="736"/>
      <c r="L155" s="736"/>
      <c r="M155" s="736"/>
    </row>
    <row r="156" spans="1:13" ht="11.25">
      <c r="A156" s="736"/>
      <c r="B156" s="736"/>
      <c r="C156" s="736"/>
      <c r="D156" s="736"/>
      <c r="E156" s="736"/>
      <c r="F156" s="736"/>
      <c r="G156" s="736"/>
      <c r="H156" s="736"/>
      <c r="I156" s="736"/>
      <c r="J156" s="736"/>
      <c r="K156" s="736"/>
      <c r="L156" s="736"/>
      <c r="M156" s="736"/>
    </row>
    <row r="157" spans="1:13" ht="11.25">
      <c r="A157" s="736"/>
      <c r="B157" s="736"/>
      <c r="C157" s="736"/>
      <c r="D157" s="736"/>
      <c r="E157" s="736"/>
      <c r="F157" s="736"/>
      <c r="G157" s="736"/>
      <c r="H157" s="736"/>
      <c r="I157" s="736"/>
      <c r="J157" s="736"/>
      <c r="K157" s="736"/>
      <c r="L157" s="736"/>
      <c r="M157" s="736"/>
    </row>
    <row r="158" spans="1:13" ht="11.25">
      <c r="A158" s="736"/>
      <c r="B158" s="736"/>
      <c r="C158" s="736"/>
      <c r="D158" s="736"/>
      <c r="E158" s="736"/>
      <c r="F158" s="736"/>
      <c r="G158" s="736"/>
      <c r="H158" s="736"/>
      <c r="I158" s="736"/>
      <c r="J158" s="736"/>
      <c r="K158" s="736"/>
      <c r="L158" s="736"/>
      <c r="M158" s="736"/>
    </row>
    <row r="159" spans="1:13" ht="11.25">
      <c r="A159" s="736"/>
      <c r="B159" s="736"/>
      <c r="C159" s="736"/>
      <c r="D159" s="736"/>
      <c r="E159" s="736"/>
      <c r="F159" s="736"/>
      <c r="G159" s="736"/>
      <c r="H159" s="736"/>
      <c r="I159" s="736"/>
      <c r="J159" s="736"/>
      <c r="K159" s="736"/>
      <c r="L159" s="736"/>
      <c r="M159" s="736"/>
    </row>
    <row r="160" spans="1:13" ht="11.25">
      <c r="A160" s="736"/>
      <c r="B160" s="736"/>
      <c r="C160" s="736"/>
      <c r="D160" s="736"/>
      <c r="E160" s="736"/>
      <c r="F160" s="736"/>
      <c r="G160" s="736"/>
      <c r="H160" s="736"/>
      <c r="I160" s="736"/>
      <c r="J160" s="736"/>
      <c r="K160" s="736"/>
      <c r="L160" s="736"/>
      <c r="M160" s="736"/>
    </row>
    <row r="161" spans="1:13" ht="11.25">
      <c r="A161" s="736"/>
      <c r="B161" s="736"/>
      <c r="C161" s="736"/>
      <c r="D161" s="736"/>
      <c r="E161" s="736"/>
      <c r="F161" s="736"/>
      <c r="G161" s="736"/>
      <c r="H161" s="736"/>
      <c r="I161" s="736"/>
      <c r="J161" s="736"/>
      <c r="K161" s="736"/>
      <c r="L161" s="736"/>
      <c r="M161" s="736"/>
    </row>
    <row r="162" spans="1:13" ht="11.25">
      <c r="A162" s="736"/>
      <c r="B162" s="736"/>
      <c r="C162" s="736"/>
      <c r="D162" s="736"/>
      <c r="E162" s="736"/>
      <c r="F162" s="736"/>
      <c r="G162" s="736"/>
      <c r="H162" s="736"/>
      <c r="I162" s="736"/>
      <c r="J162" s="736"/>
      <c r="K162" s="736"/>
      <c r="L162" s="736"/>
      <c r="M162" s="736"/>
    </row>
    <row r="163" spans="1:13" ht="11.25">
      <c r="A163" s="736"/>
      <c r="B163" s="736"/>
      <c r="C163" s="736"/>
      <c r="D163" s="736"/>
      <c r="E163" s="736"/>
      <c r="F163" s="736"/>
      <c r="G163" s="736"/>
      <c r="H163" s="736"/>
      <c r="I163" s="736"/>
      <c r="J163" s="736"/>
      <c r="K163" s="736"/>
      <c r="L163" s="736"/>
      <c r="M163" s="736"/>
    </row>
    <row r="164" spans="1:13" ht="11.25">
      <c r="A164" s="736"/>
      <c r="B164" s="736"/>
      <c r="C164" s="736"/>
      <c r="D164" s="736"/>
      <c r="E164" s="736"/>
      <c r="F164" s="736"/>
      <c r="G164" s="736"/>
      <c r="H164" s="736"/>
      <c r="I164" s="736"/>
      <c r="J164" s="736"/>
      <c r="K164" s="736"/>
      <c r="L164" s="736"/>
      <c r="M164" s="736"/>
    </row>
    <row r="165" spans="1:13" ht="11.25">
      <c r="A165" s="736"/>
      <c r="B165" s="736"/>
      <c r="C165" s="736"/>
      <c r="D165" s="736"/>
      <c r="E165" s="736"/>
      <c r="F165" s="736"/>
      <c r="G165" s="736"/>
      <c r="H165" s="736"/>
      <c r="I165" s="736"/>
      <c r="J165" s="736"/>
      <c r="K165" s="736"/>
      <c r="L165" s="736"/>
      <c r="M165" s="736"/>
    </row>
    <row r="166" spans="1:13" ht="11.25">
      <c r="A166" s="736"/>
      <c r="B166" s="736"/>
      <c r="C166" s="736"/>
      <c r="D166" s="736"/>
      <c r="E166" s="736"/>
      <c r="F166" s="736"/>
      <c r="G166" s="736"/>
      <c r="H166" s="736"/>
      <c r="I166" s="736"/>
      <c r="J166" s="736"/>
      <c r="K166" s="736"/>
      <c r="L166" s="736"/>
      <c r="M166" s="736"/>
    </row>
    <row r="167" spans="1:13" ht="11.25">
      <c r="A167" s="736"/>
      <c r="B167" s="736"/>
      <c r="C167" s="736"/>
      <c r="D167" s="736"/>
      <c r="E167" s="736"/>
      <c r="F167" s="736"/>
      <c r="G167" s="736"/>
      <c r="H167" s="736"/>
      <c r="I167" s="736"/>
      <c r="J167" s="736"/>
      <c r="K167" s="736"/>
      <c r="L167" s="736"/>
      <c r="M167" s="736"/>
    </row>
    <row r="168" spans="1:13" ht="11.25">
      <c r="A168" s="736"/>
      <c r="B168" s="736"/>
      <c r="C168" s="736"/>
      <c r="D168" s="736"/>
      <c r="E168" s="736"/>
      <c r="F168" s="736"/>
      <c r="G168" s="736"/>
      <c r="H168" s="736"/>
      <c r="I168" s="736"/>
      <c r="J168" s="736"/>
      <c r="K168" s="736"/>
      <c r="L168" s="736"/>
      <c r="M168" s="736"/>
    </row>
    <row r="169" spans="1:13" ht="11.25">
      <c r="A169" s="736"/>
      <c r="B169" s="736"/>
      <c r="C169" s="736"/>
      <c r="D169" s="736"/>
      <c r="E169" s="736"/>
      <c r="F169" s="736"/>
      <c r="G169" s="736"/>
      <c r="H169" s="736"/>
      <c r="I169" s="736"/>
      <c r="J169" s="736"/>
      <c r="K169" s="736"/>
      <c r="L169" s="736"/>
      <c r="M169" s="736"/>
    </row>
  </sheetData>
  <mergeCells count="4">
    <mergeCell ref="A1:M1"/>
    <mergeCell ref="A2:M2"/>
    <mergeCell ref="A3:M3"/>
    <mergeCell ref="A4:M4"/>
  </mergeCells>
  <printOptions horizontalCentered="1"/>
  <pageMargins left="0.5" right="0.5" top="0.75" bottom="0.5" header="0.3" footer="0.3"/>
  <pageSetup orientation="landscape" r:id="rId1"/>
  <colBreaks count="1" manualBreakCount="1">
    <brk id="13"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N65"/>
  <sheetViews>
    <sheetView zoomScaleNormal="100" zoomScaleSheetLayoutView="100" workbookViewId="0">
      <selection activeCell="A4" sqref="A4:M4"/>
    </sheetView>
  </sheetViews>
  <sheetFormatPr defaultColWidth="9.33203125" defaultRowHeight="10.5"/>
  <cols>
    <col min="1" max="1" width="6.6640625" style="737" customWidth="1"/>
    <col min="2" max="2" width="4" style="737" customWidth="1"/>
    <col min="3" max="3" width="23.6640625" style="737" bestFit="1" customWidth="1"/>
    <col min="4" max="4" width="3.6640625" style="737" customWidth="1"/>
    <col min="5" max="5" width="15.6640625" style="737" bestFit="1" customWidth="1"/>
    <col min="6" max="6" width="3.6640625" style="737" customWidth="1"/>
    <col min="7" max="7" width="15.6640625" style="737" customWidth="1"/>
    <col min="8" max="8" width="3.6640625" style="737" customWidth="1"/>
    <col min="9" max="9" width="12" style="737" bestFit="1" customWidth="1"/>
    <col min="10" max="10" width="3.6640625" style="737" customWidth="1"/>
    <col min="11" max="11" width="14.1640625" style="737" bestFit="1" customWidth="1"/>
    <col min="12" max="12" width="12.6640625" style="737" bestFit="1" customWidth="1"/>
    <col min="13" max="13" width="17.1640625" style="737" customWidth="1"/>
    <col min="14" max="16384" width="9.33203125" style="737"/>
  </cols>
  <sheetData>
    <row r="1" spans="1:13" ht="12.75">
      <c r="A1" s="1351" t="str">
        <f>'General Headers Index'!B4</f>
        <v>COLUMBIA GAS OF KENTUCKY, INC.</v>
      </c>
      <c r="B1" s="1351"/>
      <c r="C1" s="1351"/>
      <c r="D1" s="1351"/>
      <c r="E1" s="1351"/>
      <c r="F1" s="1351"/>
      <c r="G1" s="1351"/>
      <c r="H1" s="1351"/>
      <c r="I1" s="1351"/>
      <c r="J1" s="1351"/>
      <c r="K1" s="1351"/>
      <c r="L1" s="1351"/>
      <c r="M1" s="1351"/>
    </row>
    <row r="2" spans="1:13" ht="12.75">
      <c r="A2" s="1351" t="str">
        <f>'General Headers Index'!B6</f>
        <v>CASE NO. 2024 - 00092</v>
      </c>
      <c r="B2" s="1351"/>
      <c r="C2" s="1351"/>
      <c r="D2" s="1351"/>
      <c r="E2" s="1351"/>
      <c r="F2" s="1351"/>
      <c r="G2" s="1351"/>
      <c r="H2" s="1351"/>
      <c r="I2" s="1351"/>
      <c r="J2" s="1351"/>
      <c r="K2" s="1351"/>
      <c r="L2" s="1351"/>
      <c r="M2" s="1351"/>
    </row>
    <row r="3" spans="1:13" ht="12.75">
      <c r="A3" s="1351" t="str">
        <f>'Index J'!$C$21</f>
        <v>COST OF CAPITAL SUMMARY</v>
      </c>
      <c r="B3" s="1351"/>
      <c r="C3" s="1351"/>
      <c r="D3" s="1351"/>
      <c r="E3" s="1351"/>
      <c r="F3" s="1351"/>
      <c r="G3" s="1351"/>
      <c r="H3" s="1351"/>
      <c r="I3" s="1351"/>
      <c r="J3" s="1351"/>
      <c r="K3" s="1351"/>
      <c r="L3" s="1351"/>
      <c r="M3" s="1351"/>
    </row>
    <row r="4" spans="1:13" ht="12.75">
      <c r="A4" s="1351" t="str">
        <f>_xlfn.CONCAT("FORECASTED PERIOD ",'General Headers Index'!B17)</f>
        <v>FORECASTED PERIOD AS OF DECEMBER 31, 2025</v>
      </c>
      <c r="B4" s="1351"/>
      <c r="C4" s="1351"/>
      <c r="D4" s="1351"/>
      <c r="E4" s="1351"/>
      <c r="F4" s="1351"/>
      <c r="G4" s="1351"/>
      <c r="H4" s="1351"/>
      <c r="I4" s="1351"/>
      <c r="J4" s="1351"/>
      <c r="K4" s="1351"/>
      <c r="L4" s="1351"/>
      <c r="M4" s="1351"/>
    </row>
    <row r="5" spans="1:13" ht="12.75">
      <c r="A5" s="738"/>
      <c r="B5" s="738"/>
      <c r="C5" s="738"/>
      <c r="D5" s="738"/>
      <c r="E5" s="738"/>
      <c r="F5" s="738"/>
      <c r="G5" s="738"/>
      <c r="H5" s="738"/>
      <c r="I5" s="738"/>
      <c r="J5" s="738"/>
      <c r="K5" s="738"/>
      <c r="L5" s="738"/>
    </row>
    <row r="6" spans="1:13" ht="12.75">
      <c r="A6" s="738"/>
      <c r="B6" s="738"/>
      <c r="C6" s="738"/>
      <c r="D6" s="738"/>
      <c r="E6" s="738"/>
      <c r="F6" s="738"/>
      <c r="G6" s="738"/>
      <c r="H6" s="738"/>
      <c r="I6" s="738"/>
      <c r="J6" s="738"/>
      <c r="K6" s="738"/>
      <c r="L6" s="738"/>
    </row>
    <row r="7" spans="1:13" ht="12.75">
      <c r="A7" s="735"/>
      <c r="B7" s="735"/>
      <c r="C7" s="735"/>
      <c r="D7" s="735"/>
      <c r="E7" s="735"/>
      <c r="F7" s="735"/>
      <c r="G7" s="735"/>
      <c r="H7" s="735"/>
      <c r="I7" s="735"/>
      <c r="J7" s="735"/>
      <c r="K7" s="735"/>
      <c r="L7" s="735"/>
    </row>
    <row r="8" spans="1:13" ht="12.75">
      <c r="A8" s="744" t="s">
        <v>2788</v>
      </c>
      <c r="B8" s="735"/>
      <c r="C8" s="735"/>
      <c r="D8" s="735"/>
      <c r="E8" s="735"/>
      <c r="F8" s="735"/>
      <c r="G8" s="735"/>
      <c r="H8" s="735"/>
      <c r="I8" s="735"/>
      <c r="J8" s="735"/>
      <c r="K8" s="736"/>
      <c r="M8" s="783" t="s">
        <v>158</v>
      </c>
    </row>
    <row r="9" spans="1:13" ht="12.75">
      <c r="A9" s="744" t="str">
        <f>'General Headers Index'!B37</f>
        <v>TYPE OF FILING:___X___ORIGINAL______UPDATED</v>
      </c>
      <c r="B9" s="735"/>
      <c r="C9" s="735"/>
      <c r="D9" s="735"/>
      <c r="E9" s="735"/>
      <c r="F9" s="735"/>
      <c r="G9" s="735"/>
      <c r="H9" s="735"/>
      <c r="I9" s="735"/>
      <c r="J9" s="735"/>
      <c r="K9" s="736"/>
      <c r="M9" s="783" t="s">
        <v>650</v>
      </c>
    </row>
    <row r="10" spans="1:13" ht="12.75">
      <c r="A10" s="791" t="s">
        <v>575</v>
      </c>
      <c r="B10" s="792"/>
      <c r="C10" s="792"/>
      <c r="D10" s="792"/>
      <c r="E10" s="792"/>
      <c r="F10" s="792"/>
      <c r="G10" s="792"/>
      <c r="H10" s="792"/>
      <c r="I10" s="792"/>
      <c r="J10" s="792"/>
      <c r="K10" s="793"/>
      <c r="L10" s="1133"/>
      <c r="M10" s="1123" t="str">
        <f>"WITNESS: "&amp;'General Headers Index'!B72</f>
        <v>WITNESS: REA</v>
      </c>
    </row>
    <row r="11" spans="1:13" ht="12.75">
      <c r="A11" s="1124"/>
      <c r="B11" s="1125"/>
      <c r="C11" s="1125"/>
      <c r="D11" s="1125"/>
      <c r="E11" s="1125"/>
      <c r="F11" s="1125"/>
      <c r="G11" s="1125"/>
      <c r="H11" s="1125"/>
      <c r="I11" s="1125"/>
      <c r="J11" s="1125"/>
      <c r="K11" s="1118"/>
      <c r="L11" s="1127"/>
      <c r="M11" s="1126"/>
    </row>
    <row r="12" spans="1:13" ht="12.75">
      <c r="A12" s="791"/>
      <c r="B12" s="792"/>
      <c r="C12" s="792"/>
      <c r="D12" s="792"/>
      <c r="E12" s="792"/>
      <c r="F12" s="792"/>
      <c r="G12" s="792"/>
      <c r="H12" s="792"/>
      <c r="I12" s="792"/>
      <c r="J12" s="792"/>
      <c r="K12" s="793"/>
      <c r="M12" s="784" t="s">
        <v>352</v>
      </c>
    </row>
    <row r="13" spans="1:13" s="1119" customFormat="1" ht="12.75">
      <c r="A13" s="738" t="s">
        <v>313</v>
      </c>
      <c r="B13" s="738"/>
      <c r="C13" s="738"/>
      <c r="D13" s="738"/>
      <c r="E13" s="738" t="s">
        <v>430</v>
      </c>
      <c r="F13" s="738"/>
      <c r="G13" s="738"/>
      <c r="H13" s="738"/>
      <c r="I13" s="738" t="s">
        <v>354</v>
      </c>
      <c r="J13" s="738"/>
      <c r="K13" s="738"/>
      <c r="L13" s="738" t="s">
        <v>159</v>
      </c>
      <c r="M13" s="738" t="s">
        <v>312</v>
      </c>
    </row>
    <row r="14" spans="1:13" s="1119" customFormat="1" ht="12.75">
      <c r="A14" s="1120" t="s">
        <v>316</v>
      </c>
      <c r="B14" s="1120"/>
      <c r="C14" s="1120" t="s">
        <v>160</v>
      </c>
      <c r="D14" s="1120"/>
      <c r="E14" s="1120" t="s">
        <v>318</v>
      </c>
      <c r="F14" s="1120"/>
      <c r="G14" s="1120" t="s">
        <v>444</v>
      </c>
      <c r="H14" s="1120"/>
      <c r="I14" s="1120" t="s">
        <v>161</v>
      </c>
      <c r="J14" s="1120"/>
      <c r="K14" s="1120" t="s">
        <v>162</v>
      </c>
      <c r="L14" s="1120" t="s">
        <v>453</v>
      </c>
      <c r="M14" s="1120" t="s">
        <v>453</v>
      </c>
    </row>
    <row r="15" spans="1:13" s="1119" customFormat="1" ht="12.75">
      <c r="A15" s="784"/>
      <c r="B15" s="784"/>
      <c r="C15" s="785" t="s">
        <v>532</v>
      </c>
      <c r="D15" s="738"/>
      <c r="E15" s="785" t="s">
        <v>541</v>
      </c>
      <c r="F15" s="738"/>
      <c r="G15" s="785" t="s">
        <v>542</v>
      </c>
      <c r="H15" s="738"/>
      <c r="I15" s="785" t="s">
        <v>668</v>
      </c>
      <c r="J15" s="738"/>
      <c r="K15" s="785" t="s">
        <v>669</v>
      </c>
      <c r="L15" s="786" t="s">
        <v>2837</v>
      </c>
      <c r="M15" s="786" t="s">
        <v>2837</v>
      </c>
    </row>
    <row r="16" spans="1:13" s="1119" customFormat="1" ht="12.75">
      <c r="A16" s="738"/>
      <c r="B16" s="738"/>
      <c r="C16" s="738"/>
      <c r="D16" s="738"/>
      <c r="E16" s="738"/>
      <c r="F16" s="738"/>
      <c r="G16" s="787" t="s">
        <v>320</v>
      </c>
      <c r="H16" s="738"/>
      <c r="I16" s="785" t="s">
        <v>358</v>
      </c>
      <c r="J16" s="738"/>
      <c r="K16" s="785" t="s">
        <v>358</v>
      </c>
      <c r="M16" s="785" t="s">
        <v>358</v>
      </c>
    </row>
    <row r="17" spans="1:14" s="1119" customFormat="1" ht="12.75">
      <c r="A17" s="738"/>
      <c r="B17" s="738"/>
      <c r="C17" s="738"/>
      <c r="D17" s="738"/>
      <c r="E17" s="738"/>
      <c r="F17" s="738"/>
      <c r="G17" s="787"/>
      <c r="H17" s="738"/>
      <c r="I17" s="785"/>
      <c r="J17" s="738"/>
      <c r="K17" s="785"/>
      <c r="M17" s="785"/>
    </row>
    <row r="18" spans="1:14" s="1119" customFormat="1" ht="12.75">
      <c r="A18" s="738" t="s">
        <v>321</v>
      </c>
      <c r="B18" s="735"/>
      <c r="C18" s="735" t="s">
        <v>163</v>
      </c>
      <c r="D18" s="735"/>
      <c r="E18" s="785" t="s">
        <v>532</v>
      </c>
      <c r="F18" s="735"/>
      <c r="G18" s="788">
        <f>+'J-1.1, J-1.2 13 MO AVG WACC'!G17</f>
        <v>11600500</v>
      </c>
      <c r="H18" s="735"/>
      <c r="I18" s="789">
        <f>+ROUND(G18/$G$26,4)</f>
        <v>1.78E-2</v>
      </c>
      <c r="J18" s="735"/>
      <c r="K18" s="789">
        <v>5.2499999999999998E-2</v>
      </c>
      <c r="L18" s="789">
        <f>+I18*K18</f>
        <v>9.345E-4</v>
      </c>
      <c r="M18" s="789">
        <f>+I18*K18</f>
        <v>9.345E-4</v>
      </c>
      <c r="N18" s="737"/>
    </row>
    <row r="19" spans="1:14" s="1119" customFormat="1" ht="12.75">
      <c r="A19" s="738"/>
      <c r="B19" s="735"/>
      <c r="C19" s="735"/>
      <c r="D19" s="735"/>
      <c r="E19" s="738"/>
      <c r="F19" s="735"/>
      <c r="G19" s="788"/>
      <c r="H19" s="735"/>
      <c r="I19" s="789"/>
      <c r="J19" s="735"/>
      <c r="K19" s="735"/>
      <c r="L19" s="735"/>
      <c r="M19" s="735"/>
      <c r="N19" s="737"/>
    </row>
    <row r="20" spans="1:14" s="1119" customFormat="1" ht="12.75">
      <c r="A20" s="738" t="s">
        <v>324</v>
      </c>
      <c r="B20" s="735"/>
      <c r="C20" s="735" t="s">
        <v>164</v>
      </c>
      <c r="D20" s="735"/>
      <c r="E20" s="785" t="s">
        <v>532</v>
      </c>
      <c r="F20" s="735"/>
      <c r="G20" s="788">
        <v>297375000</v>
      </c>
      <c r="H20" s="735"/>
      <c r="I20" s="789">
        <f>+ROUND(G20/$G$26,4)</f>
        <v>0.45569999999999999</v>
      </c>
      <c r="J20" s="735"/>
      <c r="K20" s="789">
        <v>4.9090000000000002E-2</v>
      </c>
      <c r="L20" s="789">
        <f>+I20*K20</f>
        <v>2.2370312999999999E-2</v>
      </c>
      <c r="M20" s="789">
        <f>+I20*K20</f>
        <v>2.2370312999999999E-2</v>
      </c>
      <c r="N20" s="737"/>
    </row>
    <row r="21" spans="1:14" s="1119" customFormat="1" ht="12.75">
      <c r="A21" s="738"/>
      <c r="B21" s="735"/>
      <c r="C21" s="735"/>
      <c r="D21" s="735"/>
      <c r="E21" s="738"/>
      <c r="F21" s="735"/>
      <c r="G21" s="788"/>
      <c r="H21" s="735"/>
      <c r="I21" s="789"/>
      <c r="J21" s="735"/>
      <c r="K21" s="735"/>
      <c r="L21" s="735"/>
      <c r="M21" s="735"/>
      <c r="N21" s="737"/>
    </row>
    <row r="22" spans="1:14" s="1119" customFormat="1" ht="12.75">
      <c r="A22" s="738" t="s">
        <v>327</v>
      </c>
      <c r="B22" s="735"/>
      <c r="C22" s="735" t="s">
        <v>165</v>
      </c>
      <c r="D22" s="735"/>
      <c r="E22" s="785" t="s">
        <v>532</v>
      </c>
      <c r="F22" s="735"/>
      <c r="G22" s="412">
        <v>0</v>
      </c>
      <c r="H22" s="735"/>
      <c r="I22" s="789">
        <f>+ROUND(G22/$G$26,4)</f>
        <v>0</v>
      </c>
      <c r="J22" s="735"/>
      <c r="K22" s="789">
        <v>0</v>
      </c>
      <c r="L22" s="789">
        <f>+I22*K22</f>
        <v>0</v>
      </c>
      <c r="M22" s="789">
        <f>+I22*K22</f>
        <v>0</v>
      </c>
      <c r="N22" s="737"/>
    </row>
    <row r="23" spans="1:14" s="1119" customFormat="1" ht="12.75">
      <c r="A23" s="738"/>
      <c r="B23" s="735"/>
      <c r="C23" s="735"/>
      <c r="D23" s="735"/>
      <c r="E23" s="735"/>
      <c r="F23" s="735"/>
      <c r="G23" s="788"/>
      <c r="H23" s="735"/>
      <c r="I23" s="789"/>
      <c r="J23" s="735"/>
      <c r="K23" s="735"/>
      <c r="L23" s="735"/>
      <c r="M23" s="735"/>
      <c r="N23" s="737"/>
    </row>
    <row r="24" spans="1:14" s="1119" customFormat="1" ht="12.75">
      <c r="A24" s="738" t="s">
        <v>330</v>
      </c>
      <c r="B24" s="735"/>
      <c r="C24" s="735" t="s">
        <v>166</v>
      </c>
      <c r="D24" s="735"/>
      <c r="E24" s="785" t="s">
        <v>532</v>
      </c>
      <c r="F24" s="735"/>
      <c r="G24" s="1121">
        <v>343580877.8867721</v>
      </c>
      <c r="H24" s="735"/>
      <c r="I24" s="1122">
        <f>+ROUND(G24/$G$26,4)</f>
        <v>0.52649999999999997</v>
      </c>
      <c r="J24" s="735"/>
      <c r="K24" s="789">
        <v>0.108</v>
      </c>
      <c r="L24" s="1122">
        <f>+I24*K24</f>
        <v>5.6861999999999996E-2</v>
      </c>
      <c r="M24" s="1122">
        <f>+I24*K24</f>
        <v>5.6861999999999996E-2</v>
      </c>
      <c r="N24" s="737"/>
    </row>
    <row r="25" spans="1:14" s="1119" customFormat="1" ht="12.75">
      <c r="A25" s="738"/>
      <c r="B25" s="735"/>
      <c r="C25" s="735"/>
      <c r="D25" s="735"/>
      <c r="E25" s="735"/>
      <c r="F25" s="735"/>
      <c r="G25" s="788"/>
      <c r="H25" s="735"/>
      <c r="I25" s="789"/>
      <c r="J25" s="735"/>
      <c r="K25" s="735"/>
      <c r="L25" s="735"/>
      <c r="M25" s="735"/>
      <c r="N25" s="737"/>
    </row>
    <row r="26" spans="1:14" s="1119" customFormat="1" ht="12.75">
      <c r="A26" s="738" t="s">
        <v>333</v>
      </c>
      <c r="B26" s="735"/>
      <c r="C26" s="735" t="s">
        <v>167</v>
      </c>
      <c r="D26" s="735"/>
      <c r="E26" s="735"/>
      <c r="F26" s="735"/>
      <c r="G26" s="788">
        <f>SUM(G18:G24)</f>
        <v>652556377.88677216</v>
      </c>
      <c r="H26" s="735"/>
      <c r="I26" s="1005">
        <f>SUM(I18:I24)</f>
        <v>1</v>
      </c>
      <c r="J26" s="735"/>
      <c r="K26" s="735"/>
      <c r="L26" s="697">
        <f>SUM(L18:L24)</f>
        <v>8.0166813000000003E-2</v>
      </c>
      <c r="M26" s="697">
        <f>SUM(M18:M24)</f>
        <v>8.0166813000000003E-2</v>
      </c>
      <c r="N26" s="737"/>
    </row>
    <row r="27" spans="1:14" s="1119" customFormat="1" ht="12.75">
      <c r="A27" s="783"/>
      <c r="B27" s="735"/>
      <c r="C27" s="735"/>
      <c r="D27" s="735"/>
      <c r="E27" s="735"/>
      <c r="F27" s="735"/>
      <c r="G27" s="788"/>
      <c r="H27" s="735"/>
      <c r="I27" s="735"/>
      <c r="J27" s="735"/>
      <c r="K27" s="735"/>
      <c r="L27" s="735"/>
      <c r="M27" s="737"/>
      <c r="N27" s="737"/>
    </row>
    <row r="28" spans="1:14" s="1119" customFormat="1" ht="12.75">
      <c r="A28" s="783"/>
      <c r="B28" s="735"/>
      <c r="C28" s="735"/>
      <c r="D28" s="735"/>
      <c r="E28" s="735"/>
      <c r="F28" s="735"/>
      <c r="G28" s="735"/>
      <c r="H28" s="735"/>
      <c r="I28" s="735"/>
      <c r="J28" s="735"/>
      <c r="K28" s="735"/>
      <c r="L28" s="735"/>
      <c r="M28" s="737"/>
      <c r="N28" s="737"/>
    </row>
    <row r="29" spans="1:14" s="1119" customFormat="1" ht="11.25">
      <c r="A29" s="790"/>
      <c r="B29" s="736"/>
      <c r="C29" s="736"/>
      <c r="D29" s="736"/>
      <c r="E29" s="736"/>
      <c r="F29" s="736"/>
      <c r="G29" s="736"/>
      <c r="H29" s="736"/>
      <c r="I29" s="736"/>
      <c r="J29" s="736"/>
      <c r="K29" s="736"/>
      <c r="L29" s="736"/>
      <c r="M29" s="737"/>
      <c r="N29" s="737"/>
    </row>
    <row r="30" spans="1:14" s="1119" customFormat="1" ht="12.75">
      <c r="A30" s="736"/>
      <c r="B30" s="736"/>
      <c r="C30" s="735" t="s">
        <v>1474</v>
      </c>
      <c r="D30" s="736"/>
      <c r="E30" s="736"/>
      <c r="F30" s="736"/>
      <c r="G30" s="736"/>
      <c r="H30" s="736"/>
      <c r="I30" s="736"/>
      <c r="J30" s="736"/>
      <c r="K30" s="736"/>
      <c r="L30" s="736"/>
      <c r="M30" s="737"/>
      <c r="N30" s="737"/>
    </row>
    <row r="31" spans="1:14" s="1119" customFormat="1" ht="12.75">
      <c r="A31" s="738"/>
      <c r="B31" s="738"/>
      <c r="C31" s="738"/>
      <c r="D31" s="738"/>
      <c r="E31" s="738"/>
      <c r="F31" s="738"/>
      <c r="G31" s="787"/>
      <c r="H31" s="738"/>
      <c r="I31" s="785"/>
      <c r="J31" s="738"/>
      <c r="K31" s="785"/>
      <c r="M31" s="785"/>
    </row>
    <row r="32" spans="1:14" s="1119" customFormat="1" ht="12.75">
      <c r="A32" s="738"/>
      <c r="B32" s="738"/>
      <c r="C32" s="738"/>
      <c r="D32" s="738"/>
      <c r="E32" s="738"/>
      <c r="F32" s="738"/>
      <c r="G32" s="787"/>
      <c r="H32" s="738"/>
      <c r="I32" s="785"/>
      <c r="J32" s="738"/>
      <c r="K32" s="785"/>
      <c r="M32" s="785"/>
    </row>
    <row r="33" spans="1:13" s="1119" customFormat="1" ht="12.75">
      <c r="A33" s="738"/>
      <c r="B33" s="738"/>
      <c r="C33" s="738"/>
      <c r="D33" s="738"/>
      <c r="E33" s="738"/>
      <c r="F33" s="738"/>
      <c r="G33" s="787"/>
      <c r="H33" s="738"/>
      <c r="I33" s="785"/>
      <c r="J33" s="738"/>
      <c r="K33" s="785"/>
      <c r="M33" s="785"/>
    </row>
    <row r="34" spans="1:13" s="1119" customFormat="1" ht="12.75">
      <c r="A34" s="738"/>
      <c r="B34" s="738"/>
      <c r="C34" s="738"/>
      <c r="D34" s="738"/>
      <c r="E34" s="738"/>
      <c r="F34" s="738"/>
      <c r="G34" s="787"/>
      <c r="H34" s="738"/>
      <c r="I34" s="785"/>
      <c r="J34" s="738"/>
      <c r="K34" s="785"/>
      <c r="M34" s="785"/>
    </row>
    <row r="35" spans="1:13" s="1119" customFormat="1" ht="12.75">
      <c r="A35" s="738"/>
      <c r="B35" s="738"/>
      <c r="C35" s="738"/>
      <c r="D35" s="738"/>
      <c r="E35" s="738"/>
      <c r="F35" s="738"/>
      <c r="G35" s="787"/>
      <c r="H35" s="738"/>
      <c r="I35" s="785"/>
      <c r="J35" s="738"/>
      <c r="K35" s="785"/>
      <c r="M35" s="785"/>
    </row>
    <row r="36" spans="1:13" s="1119" customFormat="1" ht="12.75">
      <c r="A36" s="738"/>
      <c r="B36" s="738"/>
      <c r="C36" s="738"/>
      <c r="D36" s="738"/>
      <c r="E36" s="738"/>
      <c r="F36" s="738"/>
      <c r="G36" s="787"/>
      <c r="H36" s="738"/>
      <c r="I36" s="785"/>
      <c r="J36" s="738"/>
      <c r="K36" s="785"/>
      <c r="M36" s="785"/>
    </row>
    <row r="37" spans="1:13" ht="11.25">
      <c r="A37" s="736"/>
      <c r="B37" s="736"/>
      <c r="C37" s="736"/>
      <c r="D37" s="736"/>
      <c r="E37" s="736"/>
      <c r="F37" s="736"/>
      <c r="G37" s="736"/>
      <c r="H37" s="736"/>
      <c r="I37" s="736"/>
      <c r="J37" s="736"/>
      <c r="K37" s="736"/>
      <c r="L37" s="736"/>
    </row>
    <row r="38" spans="1:13" ht="11.25">
      <c r="A38" s="736"/>
      <c r="B38" s="736"/>
      <c r="C38" s="736"/>
      <c r="D38" s="736"/>
      <c r="E38" s="736"/>
      <c r="F38" s="736"/>
      <c r="G38" s="736"/>
      <c r="H38" s="736"/>
      <c r="I38" s="736"/>
      <c r="J38" s="736"/>
      <c r="K38" s="736"/>
      <c r="L38" s="736"/>
    </row>
    <row r="39" spans="1:13" ht="11.25">
      <c r="A39" s="736"/>
      <c r="B39" s="736"/>
      <c r="C39" s="736"/>
      <c r="D39" s="736"/>
      <c r="E39" s="736"/>
      <c r="F39" s="736"/>
      <c r="G39" s="736"/>
      <c r="H39" s="736"/>
      <c r="I39" s="736"/>
      <c r="J39" s="736"/>
      <c r="K39" s="736"/>
      <c r="L39" s="736"/>
    </row>
    <row r="40" spans="1:13" ht="11.25">
      <c r="A40" s="736"/>
      <c r="B40" s="736"/>
      <c r="C40" s="736"/>
      <c r="D40" s="736"/>
      <c r="E40" s="736"/>
      <c r="F40" s="736"/>
      <c r="G40" s="736"/>
      <c r="H40" s="736"/>
      <c r="I40" s="736"/>
      <c r="J40" s="736"/>
      <c r="K40" s="736"/>
      <c r="L40" s="736"/>
    </row>
    <row r="41" spans="1:13" ht="11.25">
      <c r="A41" s="736"/>
      <c r="B41" s="736"/>
      <c r="C41" s="736"/>
      <c r="D41" s="736"/>
      <c r="E41" s="736"/>
      <c r="F41" s="736"/>
      <c r="G41" s="736"/>
      <c r="H41" s="736"/>
      <c r="I41" s="736"/>
      <c r="J41" s="736"/>
      <c r="K41" s="736"/>
      <c r="L41" s="736"/>
    </row>
    <row r="42" spans="1:13" ht="11.25">
      <c r="A42" s="736"/>
      <c r="B42" s="736"/>
      <c r="C42" s="736"/>
      <c r="D42" s="736"/>
      <c r="E42" s="736"/>
      <c r="F42" s="736"/>
      <c r="G42" s="736"/>
      <c r="H42" s="736"/>
      <c r="I42" s="736"/>
      <c r="J42" s="736"/>
      <c r="K42" s="736"/>
      <c r="L42" s="736"/>
    </row>
    <row r="43" spans="1:13" ht="11.25">
      <c r="A43" s="736"/>
      <c r="B43" s="736"/>
      <c r="C43" s="736"/>
      <c r="D43" s="736"/>
      <c r="E43" s="736"/>
      <c r="F43" s="736"/>
      <c r="G43" s="736"/>
      <c r="H43" s="736"/>
      <c r="I43" s="736"/>
      <c r="J43" s="736"/>
      <c r="K43" s="736"/>
      <c r="L43" s="736"/>
    </row>
    <row r="44" spans="1:13" ht="11.25">
      <c r="A44" s="736"/>
      <c r="B44" s="736"/>
      <c r="C44" s="736"/>
      <c r="D44" s="736"/>
      <c r="E44" s="736"/>
      <c r="F44" s="736"/>
      <c r="G44" s="736"/>
      <c r="H44" s="736"/>
      <c r="I44" s="736"/>
      <c r="J44" s="736"/>
      <c r="K44" s="736"/>
      <c r="L44" s="736"/>
    </row>
    <row r="45" spans="1:13" ht="11.25">
      <c r="A45" s="736"/>
      <c r="B45" s="736"/>
      <c r="C45" s="736"/>
      <c r="D45" s="736"/>
      <c r="E45" s="736"/>
      <c r="F45" s="736"/>
      <c r="G45" s="736"/>
      <c r="H45" s="736"/>
      <c r="I45" s="736"/>
      <c r="J45" s="736"/>
      <c r="K45" s="736"/>
      <c r="L45" s="736"/>
    </row>
    <row r="46" spans="1:13" ht="11.25">
      <c r="A46" s="736"/>
      <c r="B46" s="736"/>
      <c r="C46" s="736"/>
      <c r="D46" s="736"/>
      <c r="E46" s="736"/>
      <c r="F46" s="736"/>
      <c r="G46" s="736"/>
      <c r="H46" s="736"/>
      <c r="I46" s="736"/>
      <c r="J46" s="736"/>
      <c r="K46" s="736"/>
      <c r="L46" s="736"/>
    </row>
    <row r="47" spans="1:13" ht="11.25">
      <c r="A47" s="736"/>
      <c r="B47" s="736"/>
      <c r="C47" s="736"/>
      <c r="D47" s="736"/>
      <c r="E47" s="736"/>
      <c r="F47" s="736"/>
      <c r="G47" s="736"/>
      <c r="H47" s="736"/>
      <c r="I47" s="736"/>
      <c r="J47" s="736"/>
      <c r="K47" s="736"/>
      <c r="L47" s="736"/>
    </row>
    <row r="48" spans="1:13" ht="11.25">
      <c r="A48" s="736"/>
      <c r="B48" s="736"/>
      <c r="C48" s="736"/>
      <c r="D48" s="736"/>
      <c r="E48" s="736"/>
      <c r="F48" s="736"/>
      <c r="G48" s="736"/>
      <c r="H48" s="736"/>
      <c r="I48" s="736"/>
      <c r="J48" s="736"/>
      <c r="K48" s="736"/>
      <c r="L48" s="736"/>
    </row>
    <row r="49" spans="1:12" ht="11.25">
      <c r="A49" s="736"/>
      <c r="B49" s="736"/>
      <c r="C49" s="736"/>
      <c r="D49" s="736"/>
      <c r="E49" s="736"/>
      <c r="F49" s="736"/>
      <c r="G49" s="736"/>
      <c r="H49" s="736"/>
      <c r="I49" s="736"/>
      <c r="J49" s="736"/>
      <c r="K49" s="736"/>
      <c r="L49" s="736"/>
    </row>
    <row r="50" spans="1:12" ht="11.25">
      <c r="A50" s="736"/>
      <c r="B50" s="736"/>
      <c r="C50" s="736"/>
      <c r="D50" s="736"/>
      <c r="E50" s="736"/>
      <c r="F50" s="736"/>
      <c r="G50" s="736"/>
      <c r="H50" s="736"/>
      <c r="I50" s="736"/>
      <c r="J50" s="736"/>
      <c r="K50" s="736"/>
      <c r="L50" s="736"/>
    </row>
    <row r="51" spans="1:12" ht="11.25">
      <c r="A51" s="736"/>
      <c r="B51" s="736"/>
      <c r="C51" s="736"/>
      <c r="D51" s="736"/>
      <c r="E51" s="736"/>
      <c r="F51" s="736"/>
      <c r="G51" s="736"/>
      <c r="H51" s="736"/>
      <c r="I51" s="736"/>
      <c r="J51" s="736"/>
      <c r="K51" s="736"/>
      <c r="L51" s="736"/>
    </row>
    <row r="52" spans="1:12" ht="11.25">
      <c r="A52" s="736"/>
      <c r="B52" s="736"/>
      <c r="C52" s="736"/>
      <c r="D52" s="736"/>
      <c r="E52" s="736"/>
      <c r="F52" s="736"/>
      <c r="G52" s="736"/>
      <c r="H52" s="736"/>
      <c r="I52" s="736"/>
      <c r="J52" s="736"/>
      <c r="K52" s="736"/>
      <c r="L52" s="736"/>
    </row>
    <row r="53" spans="1:12" ht="11.25">
      <c r="A53" s="736"/>
      <c r="B53" s="736"/>
      <c r="C53" s="736"/>
      <c r="D53" s="736"/>
      <c r="E53" s="736"/>
      <c r="F53" s="736"/>
      <c r="G53" s="736"/>
      <c r="H53" s="736"/>
      <c r="I53" s="736"/>
      <c r="J53" s="736"/>
      <c r="K53" s="736"/>
      <c r="L53" s="736"/>
    </row>
    <row r="54" spans="1:12" ht="11.25">
      <c r="A54" s="736"/>
      <c r="B54" s="736"/>
      <c r="C54" s="736"/>
      <c r="D54" s="736"/>
      <c r="E54" s="736"/>
      <c r="F54" s="736"/>
      <c r="G54" s="736"/>
      <c r="H54" s="736"/>
      <c r="I54" s="736"/>
      <c r="J54" s="736"/>
      <c r="K54" s="736"/>
      <c r="L54" s="736"/>
    </row>
    <row r="55" spans="1:12" ht="11.25">
      <c r="A55" s="736"/>
      <c r="B55" s="736"/>
      <c r="C55" s="736"/>
      <c r="D55" s="736"/>
      <c r="E55" s="736"/>
      <c r="F55" s="736"/>
      <c r="G55" s="736"/>
      <c r="H55" s="736"/>
      <c r="I55" s="736"/>
      <c r="J55" s="736"/>
      <c r="K55" s="736"/>
      <c r="L55" s="736"/>
    </row>
    <row r="56" spans="1:12" ht="11.25">
      <c r="A56" s="736"/>
      <c r="B56" s="736"/>
      <c r="C56" s="736"/>
      <c r="D56" s="736"/>
      <c r="E56" s="736"/>
      <c r="F56" s="736"/>
      <c r="G56" s="736"/>
      <c r="H56" s="736"/>
      <c r="I56" s="736"/>
      <c r="J56" s="736"/>
      <c r="K56" s="736"/>
      <c r="L56" s="736"/>
    </row>
    <row r="57" spans="1:12" ht="11.25">
      <c r="A57" s="736"/>
      <c r="B57" s="736"/>
      <c r="C57" s="736"/>
      <c r="D57" s="736"/>
      <c r="E57" s="736"/>
      <c r="F57" s="736"/>
      <c r="G57" s="736"/>
      <c r="H57" s="736"/>
      <c r="I57" s="736"/>
      <c r="J57" s="736"/>
      <c r="K57" s="736"/>
      <c r="L57" s="736"/>
    </row>
    <row r="58" spans="1:12" ht="11.25">
      <c r="A58" s="736"/>
      <c r="B58" s="736"/>
      <c r="C58" s="736"/>
      <c r="D58" s="736"/>
      <c r="E58" s="736"/>
      <c r="F58" s="736"/>
      <c r="G58" s="736"/>
      <c r="H58" s="736"/>
      <c r="I58" s="736"/>
      <c r="J58" s="736"/>
      <c r="K58" s="736"/>
      <c r="L58" s="736"/>
    </row>
    <row r="59" spans="1:12" ht="11.25">
      <c r="A59" s="736"/>
      <c r="B59" s="736"/>
      <c r="C59" s="736"/>
      <c r="D59" s="736"/>
      <c r="E59" s="736"/>
      <c r="F59" s="736"/>
      <c r="G59" s="736"/>
      <c r="H59" s="736"/>
      <c r="I59" s="736"/>
      <c r="J59" s="736"/>
      <c r="K59" s="736"/>
      <c r="L59" s="736"/>
    </row>
    <row r="60" spans="1:12" ht="11.25">
      <c r="A60" s="736"/>
      <c r="B60" s="736"/>
      <c r="C60" s="736"/>
      <c r="D60" s="736"/>
      <c r="E60" s="736"/>
      <c r="F60" s="736"/>
      <c r="G60" s="736"/>
      <c r="H60" s="736"/>
      <c r="I60" s="736"/>
      <c r="J60" s="736"/>
      <c r="K60" s="736"/>
      <c r="L60" s="736"/>
    </row>
    <row r="61" spans="1:12" ht="11.25">
      <c r="A61" s="736"/>
      <c r="B61" s="736"/>
      <c r="C61" s="736"/>
      <c r="D61" s="736"/>
      <c r="E61" s="736"/>
      <c r="F61" s="736"/>
      <c r="G61" s="736"/>
      <c r="H61" s="736"/>
      <c r="I61" s="736"/>
      <c r="J61" s="736"/>
      <c r="K61" s="736"/>
      <c r="L61" s="736"/>
    </row>
    <row r="62" spans="1:12" ht="11.25">
      <c r="A62" s="736"/>
      <c r="B62" s="736"/>
      <c r="C62" s="736"/>
      <c r="D62" s="736"/>
      <c r="E62" s="736"/>
      <c r="F62" s="736"/>
      <c r="G62" s="736"/>
      <c r="H62" s="736"/>
      <c r="I62" s="736"/>
      <c r="J62" s="736"/>
      <c r="K62" s="736"/>
      <c r="L62" s="736"/>
    </row>
    <row r="63" spans="1:12" ht="11.25">
      <c r="A63" s="736"/>
      <c r="B63" s="736"/>
      <c r="C63" s="736"/>
      <c r="D63" s="736"/>
      <c r="E63" s="736"/>
      <c r="F63" s="736"/>
      <c r="G63" s="736"/>
      <c r="H63" s="736"/>
      <c r="I63" s="736"/>
      <c r="J63" s="736"/>
      <c r="K63" s="736"/>
      <c r="L63" s="736"/>
    </row>
    <row r="64" spans="1:12" ht="11.25">
      <c r="A64" s="736"/>
      <c r="B64" s="736"/>
      <c r="C64" s="736"/>
      <c r="D64" s="736"/>
      <c r="E64" s="736"/>
      <c r="F64" s="736"/>
      <c r="G64" s="736"/>
      <c r="H64" s="736"/>
      <c r="I64" s="736"/>
      <c r="J64" s="736"/>
      <c r="K64" s="736"/>
      <c r="L64" s="736"/>
    </row>
    <row r="65" spans="1:12" ht="11.25">
      <c r="A65" s="736"/>
      <c r="B65" s="736"/>
      <c r="C65" s="736"/>
      <c r="D65" s="736"/>
      <c r="E65" s="736"/>
      <c r="F65" s="736"/>
      <c r="G65" s="736"/>
      <c r="H65" s="736"/>
      <c r="I65" s="736"/>
      <c r="J65" s="736"/>
      <c r="K65" s="736"/>
      <c r="L65" s="736"/>
    </row>
  </sheetData>
  <mergeCells count="4">
    <mergeCell ref="A1:M1"/>
    <mergeCell ref="A2:M2"/>
    <mergeCell ref="A3:M3"/>
    <mergeCell ref="A4:M4"/>
  </mergeCells>
  <printOptions horizontalCentered="1"/>
  <pageMargins left="0.5" right="0.5" top="0.75" bottom="0.5" header="0.3" footer="0.3"/>
  <pageSetup orientation="landscape" r:id="rId1"/>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46"/>
  <sheetViews>
    <sheetView zoomScaleNormal="100" zoomScaleSheetLayoutView="100" workbookViewId="0">
      <selection activeCell="C19" sqref="C19"/>
    </sheetView>
  </sheetViews>
  <sheetFormatPr defaultRowHeight="10.5"/>
  <cols>
    <col min="1" max="1" width="31.5" customWidth="1"/>
    <col min="2" max="2" width="2.1640625" customWidth="1"/>
    <col min="3" max="3" width="116.83203125" bestFit="1" customWidth="1"/>
  </cols>
  <sheetData>
    <row r="1" spans="1:3" ht="12.75" customHeight="1">
      <c r="A1" s="337" t="s">
        <v>579</v>
      </c>
      <c r="B1" s="337"/>
    </row>
    <row r="2" spans="1:3" ht="12.75" customHeight="1"/>
    <row r="3" spans="1:3" ht="12.75" customHeight="1">
      <c r="A3" s="883" t="s">
        <v>580</v>
      </c>
      <c r="B3" s="883"/>
      <c r="C3" s="883"/>
    </row>
    <row r="4" spans="1:3" ht="12.75" customHeight="1"/>
    <row r="5" spans="1:3" ht="12.75" customHeight="1">
      <c r="A5" s="883" t="s">
        <v>581</v>
      </c>
      <c r="B5" s="883"/>
      <c r="C5" s="883"/>
    </row>
    <row r="6" spans="1:3" ht="12.75" customHeight="1"/>
    <row r="7" spans="1:3" ht="12.75" customHeight="1">
      <c r="A7" s="883" t="str">
        <f>'General Headers Index'!B4</f>
        <v>COLUMBIA GAS OF KENTUCKY, INC.</v>
      </c>
      <c r="B7" s="883"/>
      <c r="C7" s="883"/>
    </row>
    <row r="8" spans="1:3" ht="12.75" customHeight="1"/>
    <row r="9" spans="1:3" ht="12.75" customHeight="1">
      <c r="A9" s="883" t="str">
        <f>'General Headers Index'!B6</f>
        <v>CASE NO. 2024 - 00092</v>
      </c>
      <c r="B9" s="883"/>
      <c r="C9" s="883"/>
    </row>
    <row r="10" spans="1:3" ht="12.75" customHeight="1"/>
    <row r="11" spans="1:3" ht="12.75" customHeight="1">
      <c r="A11" s="286" t="s">
        <v>97</v>
      </c>
      <c r="B11" s="286"/>
      <c r="C11" s="286" t="str">
        <f>'General Headers Index'!B8</f>
        <v>FOR THE TWELVE MONTHS ENDED AUGUST 31, 2024</v>
      </c>
    </row>
    <row r="12" spans="1:3" ht="12.75" customHeight="1"/>
    <row r="13" spans="1:3" ht="12.75" customHeight="1">
      <c r="A13" s="286" t="s">
        <v>999</v>
      </c>
      <c r="B13" s="286"/>
      <c r="C13" s="286" t="str">
        <f>'General Headers Index'!B15</f>
        <v>FOR THE TWELVE MONTHS ENDED DECEMBER 31, 2025</v>
      </c>
    </row>
    <row r="14" spans="1:3" ht="12.75" customHeight="1"/>
    <row r="15" spans="1:3" ht="12.75" customHeight="1"/>
    <row r="16" spans="1:3" ht="12.75" customHeight="1"/>
    <row r="17" spans="1:3" ht="12.75" customHeight="1">
      <c r="A17" s="287" t="s">
        <v>314</v>
      </c>
      <c r="B17" s="287"/>
      <c r="C17" s="287" t="s">
        <v>451</v>
      </c>
    </row>
    <row r="18" spans="1:3" ht="12.75" customHeight="1"/>
    <row r="19" spans="1:3" ht="12.75" customHeight="1"/>
    <row r="20" spans="1:3" ht="12.75" customHeight="1">
      <c r="A20" s="286" t="s">
        <v>582</v>
      </c>
      <c r="B20" s="286"/>
      <c r="C20" s="286" t="s">
        <v>3070</v>
      </c>
    </row>
    <row r="21" spans="1:3" ht="12.75" customHeight="1">
      <c r="A21" s="286" t="s">
        <v>323</v>
      </c>
      <c r="B21" s="286"/>
      <c r="C21" s="286" t="s">
        <v>585</v>
      </c>
    </row>
    <row r="22" spans="1:3" ht="12.75" customHeight="1">
      <c r="A22" s="286" t="s">
        <v>583</v>
      </c>
      <c r="B22" s="286"/>
      <c r="C22" s="286" t="s">
        <v>586</v>
      </c>
    </row>
    <row r="23" spans="1:3" ht="12.75" customHeight="1">
      <c r="A23" s="286" t="s">
        <v>2464</v>
      </c>
      <c r="B23" s="286"/>
      <c r="C23" s="286" t="s">
        <v>1035</v>
      </c>
    </row>
    <row r="24" spans="1:3" ht="12.75" customHeight="1">
      <c r="A24" s="286" t="s">
        <v>2463</v>
      </c>
      <c r="B24" s="286"/>
      <c r="C24" s="286" t="s">
        <v>1832</v>
      </c>
    </row>
    <row r="25" spans="1:3" ht="12.75" customHeight="1">
      <c r="A25" s="286" t="s">
        <v>2462</v>
      </c>
      <c r="B25" s="286"/>
      <c r="C25" s="286" t="s">
        <v>1767</v>
      </c>
    </row>
    <row r="26" spans="1:3" ht="12.75" customHeight="1">
      <c r="A26" s="286" t="s">
        <v>2461</v>
      </c>
      <c r="B26" s="286"/>
      <c r="C26" s="286" t="s">
        <v>2468</v>
      </c>
    </row>
    <row r="27" spans="1:3" ht="12.75" customHeight="1">
      <c r="A27" s="286" t="s">
        <v>2465</v>
      </c>
      <c r="B27" s="286"/>
      <c r="C27" s="286" t="s">
        <v>2259</v>
      </c>
    </row>
    <row r="28" spans="1:3" ht="12.75" customHeight="1">
      <c r="A28" s="286" t="s">
        <v>2466</v>
      </c>
      <c r="B28" s="286"/>
      <c r="C28" s="286" t="s">
        <v>2467</v>
      </c>
    </row>
    <row r="29" spans="1:3" ht="12.75" customHeight="1">
      <c r="A29" s="286" t="s">
        <v>584</v>
      </c>
      <c r="B29" s="286"/>
      <c r="C29" s="286" t="s">
        <v>587</v>
      </c>
    </row>
    <row r="30" spans="1:3" ht="12.75" customHeight="1">
      <c r="A30" s="255" t="s">
        <v>588</v>
      </c>
      <c r="B30" s="255"/>
      <c r="C30" s="255" t="s">
        <v>590</v>
      </c>
    </row>
    <row r="31" spans="1:3" ht="12.75" customHeight="1">
      <c r="A31" s="255" t="s">
        <v>329</v>
      </c>
      <c r="B31" s="255"/>
      <c r="C31" s="255" t="s">
        <v>448</v>
      </c>
    </row>
    <row r="32" spans="1:3" ht="12.75" customHeight="1">
      <c r="A32" s="255" t="s">
        <v>589</v>
      </c>
      <c r="B32" s="255"/>
      <c r="C32" s="255" t="s">
        <v>462</v>
      </c>
    </row>
    <row r="33" spans="1:3" ht="12.75" customHeight="1">
      <c r="A33" s="255" t="s">
        <v>326</v>
      </c>
      <c r="B33" s="255"/>
      <c r="C33" s="255" t="s">
        <v>480</v>
      </c>
    </row>
    <row r="34" spans="1:3" ht="12.75" customHeight="1">
      <c r="A34" s="255" t="s">
        <v>591</v>
      </c>
      <c r="B34" s="255"/>
      <c r="C34" s="255" t="s">
        <v>490</v>
      </c>
    </row>
    <row r="35" spans="1:3" ht="12.75" customHeight="1">
      <c r="A35" s="255" t="s">
        <v>332</v>
      </c>
      <c r="B35" s="255"/>
      <c r="C35" s="255" t="s">
        <v>331</v>
      </c>
    </row>
    <row r="36" spans="1:3" ht="12.75" customHeight="1">
      <c r="A36" s="255" t="s">
        <v>996</v>
      </c>
      <c r="B36" s="255"/>
      <c r="C36" s="255" t="s">
        <v>331</v>
      </c>
    </row>
    <row r="37" spans="1:3" ht="12.75" customHeight="1">
      <c r="A37" s="255" t="s">
        <v>592</v>
      </c>
      <c r="B37" s="255"/>
      <c r="C37" s="255" t="s">
        <v>593</v>
      </c>
    </row>
    <row r="38" spans="1:3" ht="12.75" customHeight="1">
      <c r="A38" s="255" t="s">
        <v>337</v>
      </c>
      <c r="B38" s="255"/>
      <c r="C38" s="255" t="s">
        <v>336</v>
      </c>
    </row>
    <row r="39" spans="1:3" ht="12.75" customHeight="1">
      <c r="A39" s="255" t="s">
        <v>594</v>
      </c>
      <c r="B39" s="255"/>
      <c r="C39" s="255" t="s">
        <v>546</v>
      </c>
    </row>
    <row r="40" spans="1:3" ht="12.75" customHeight="1">
      <c r="A40" s="255" t="s">
        <v>343</v>
      </c>
      <c r="B40" s="255"/>
      <c r="C40" s="255" t="s">
        <v>535</v>
      </c>
    </row>
    <row r="41" spans="1:3" ht="12.75" customHeight="1">
      <c r="A41" s="255" t="s">
        <v>534</v>
      </c>
      <c r="B41" s="255"/>
      <c r="C41" s="255" t="s">
        <v>2474</v>
      </c>
    </row>
    <row r="42" spans="1:3" ht="12.75" customHeight="1">
      <c r="A42" s="255" t="s">
        <v>2943</v>
      </c>
      <c r="B42" s="255"/>
      <c r="C42" s="255" t="s">
        <v>543</v>
      </c>
    </row>
    <row r="43" spans="1:3" ht="12.75" customHeight="1">
      <c r="A43" s="255" t="s">
        <v>998</v>
      </c>
      <c r="B43" s="255"/>
      <c r="C43" s="255" t="s">
        <v>1482</v>
      </c>
    </row>
    <row r="44" spans="1:3" ht="12.75" customHeight="1">
      <c r="A44" s="255" t="s">
        <v>2951</v>
      </c>
      <c r="B44" s="255"/>
      <c r="C44" s="255" t="s">
        <v>556</v>
      </c>
    </row>
    <row r="45" spans="1:3" ht="12.75" customHeight="1">
      <c r="A45" s="255" t="s">
        <v>2476</v>
      </c>
      <c r="B45" s="255"/>
      <c r="C45" s="255" t="s">
        <v>2477</v>
      </c>
    </row>
    <row r="46" spans="1:3" ht="12.75" customHeight="1">
      <c r="A46" s="255" t="s">
        <v>1016</v>
      </c>
      <c r="B46" s="255"/>
      <c r="C46" s="255" t="s">
        <v>1022</v>
      </c>
    </row>
  </sheetData>
  <printOptions horizontalCentered="1"/>
  <pageMargins left="0.5" right="0.5" top="0.75" bottom="0.5" header="0.3" footer="0.3"/>
  <pageSetup scale="91"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N169"/>
  <sheetViews>
    <sheetView zoomScaleNormal="100" zoomScaleSheetLayoutView="100" workbookViewId="0">
      <selection activeCell="A4" sqref="A4:M4"/>
    </sheetView>
  </sheetViews>
  <sheetFormatPr defaultColWidth="9.33203125" defaultRowHeight="10.5"/>
  <cols>
    <col min="1" max="1" width="6.6640625" style="737" customWidth="1"/>
    <col min="2" max="2" width="4" style="737" customWidth="1"/>
    <col min="3" max="3" width="23.6640625" style="737" bestFit="1" customWidth="1"/>
    <col min="4" max="4" width="3.6640625" style="737" customWidth="1"/>
    <col min="5" max="5" width="13.6640625" style="737" customWidth="1"/>
    <col min="6" max="6" width="3.6640625" style="737" customWidth="1"/>
    <col min="7" max="7" width="15.6640625" style="737" customWidth="1"/>
    <col min="8" max="8" width="3.6640625" style="737" customWidth="1"/>
    <col min="9" max="9" width="12" style="737" bestFit="1" customWidth="1"/>
    <col min="10" max="10" width="3.6640625" style="737" customWidth="1"/>
    <col min="11" max="11" width="14.1640625" style="737" bestFit="1" customWidth="1"/>
    <col min="12" max="12" width="3.6640625" style="737" customWidth="1"/>
    <col min="13" max="13" width="13.6640625" style="737" customWidth="1"/>
    <col min="14" max="16384" width="9.33203125" style="737"/>
  </cols>
  <sheetData>
    <row r="1" spans="1:13" ht="12.75">
      <c r="A1" s="1351" t="str">
        <f>'General Headers Index'!B4</f>
        <v>COLUMBIA GAS OF KENTUCKY, INC.</v>
      </c>
      <c r="B1" s="1351"/>
      <c r="C1" s="1351"/>
      <c r="D1" s="1351"/>
      <c r="E1" s="1351"/>
      <c r="F1" s="1351"/>
      <c r="G1" s="1351"/>
      <c r="H1" s="1351"/>
      <c r="I1" s="1351"/>
      <c r="J1" s="1351"/>
      <c r="K1" s="1351"/>
      <c r="L1" s="1351"/>
      <c r="M1" s="1351"/>
    </row>
    <row r="2" spans="1:13" ht="12.75">
      <c r="A2" s="1351" t="str">
        <f>'General Headers Index'!B6</f>
        <v>CASE NO. 2024 - 00092</v>
      </c>
      <c r="B2" s="1351"/>
      <c r="C2" s="1351"/>
      <c r="D2" s="1351"/>
      <c r="E2" s="1351"/>
      <c r="F2" s="1351"/>
      <c r="G2" s="1351"/>
      <c r="H2" s="1351"/>
      <c r="I2" s="1351"/>
      <c r="J2" s="1351"/>
      <c r="K2" s="1351"/>
      <c r="L2" s="1351"/>
      <c r="M2" s="1351"/>
    </row>
    <row r="3" spans="1:13" ht="12.75">
      <c r="A3" s="1351" t="str">
        <f>'Index J'!$C$22</f>
        <v>AVG. FORECASTED PERIOD CAPITAL STRUCTURE</v>
      </c>
      <c r="B3" s="1351"/>
      <c r="C3" s="1351"/>
      <c r="D3" s="1351"/>
      <c r="E3" s="1351"/>
      <c r="F3" s="1351"/>
      <c r="G3" s="1351"/>
      <c r="H3" s="1351"/>
      <c r="I3" s="1351"/>
      <c r="J3" s="1351"/>
      <c r="K3" s="1351"/>
      <c r="L3" s="1351"/>
      <c r="M3" s="1351"/>
    </row>
    <row r="4" spans="1:13" ht="12.75">
      <c r="A4" s="1351" t="str">
        <f>_xlfn.CONCAT("FORECASTED PERIOD ",'General Headers Index'!B17)</f>
        <v>FORECASTED PERIOD AS OF DECEMBER 31, 2025</v>
      </c>
      <c r="B4" s="1351"/>
      <c r="C4" s="1351"/>
      <c r="D4" s="1351"/>
      <c r="E4" s="1351"/>
      <c r="F4" s="1351"/>
      <c r="G4" s="1351"/>
      <c r="H4" s="1351"/>
      <c r="I4" s="1351"/>
      <c r="J4" s="1351"/>
      <c r="K4" s="1351"/>
      <c r="L4" s="1351"/>
      <c r="M4" s="1351"/>
    </row>
    <row r="5" spans="1:13" ht="12.75">
      <c r="A5" s="738"/>
      <c r="B5" s="738"/>
      <c r="C5" s="738"/>
      <c r="D5" s="738"/>
      <c r="E5" s="738"/>
      <c r="F5" s="738"/>
      <c r="G5" s="738"/>
      <c r="H5" s="738"/>
      <c r="I5" s="738"/>
      <c r="J5" s="738"/>
      <c r="K5" s="738"/>
      <c r="L5" s="738"/>
      <c r="M5" s="738"/>
    </row>
    <row r="6" spans="1:13" ht="12.75">
      <c r="A6" s="738"/>
      <c r="B6" s="738"/>
      <c r="C6" s="738"/>
      <c r="D6" s="738"/>
      <c r="E6" s="738"/>
      <c r="F6" s="738"/>
      <c r="G6" s="738"/>
      <c r="H6" s="738"/>
      <c r="I6" s="738"/>
      <c r="J6" s="738"/>
      <c r="K6" s="738"/>
      <c r="L6" s="738"/>
      <c r="M6" s="738"/>
    </row>
    <row r="7" spans="1:13" ht="12.75">
      <c r="A7" s="735"/>
      <c r="B7" s="735"/>
      <c r="C7" s="735"/>
      <c r="D7" s="735"/>
      <c r="E7" s="735"/>
      <c r="F7" s="735"/>
      <c r="G7" s="735"/>
      <c r="H7" s="735"/>
      <c r="I7" s="735"/>
      <c r="J7" s="735"/>
      <c r="K7" s="735"/>
      <c r="L7" s="735"/>
      <c r="M7" s="735"/>
    </row>
    <row r="8" spans="1:13" ht="12.75">
      <c r="A8" s="744" t="s">
        <v>2788</v>
      </c>
      <c r="B8" s="735"/>
      <c r="C8" s="735"/>
      <c r="D8" s="735"/>
      <c r="E8" s="735"/>
      <c r="F8" s="735"/>
      <c r="G8" s="735"/>
      <c r="H8" s="735"/>
      <c r="I8" s="735"/>
      <c r="J8" s="735"/>
      <c r="K8" s="736"/>
      <c r="L8" s="735"/>
      <c r="M8" s="783" t="s">
        <v>1480</v>
      </c>
    </row>
    <row r="9" spans="1:13" ht="12.75">
      <c r="A9" s="744" t="s">
        <v>572</v>
      </c>
      <c r="B9" s="735"/>
      <c r="C9" s="735"/>
      <c r="D9" s="735"/>
      <c r="E9" s="735"/>
      <c r="F9" s="735"/>
      <c r="G9" s="735"/>
      <c r="H9" s="735"/>
      <c r="I9" s="735"/>
      <c r="J9" s="735"/>
      <c r="K9" s="736"/>
      <c r="L9" s="735"/>
      <c r="M9" s="783" t="s">
        <v>722</v>
      </c>
    </row>
    <row r="10" spans="1:13" ht="12.75">
      <c r="A10" s="791" t="s">
        <v>575</v>
      </c>
      <c r="B10" s="792"/>
      <c r="C10" s="792"/>
      <c r="D10" s="792"/>
      <c r="E10" s="792"/>
      <c r="F10" s="792"/>
      <c r="G10" s="792"/>
      <c r="H10" s="792"/>
      <c r="I10" s="792"/>
      <c r="J10" s="792"/>
      <c r="K10" s="793"/>
      <c r="L10" s="792"/>
      <c r="M10" s="1123" t="s">
        <v>1481</v>
      </c>
    </row>
    <row r="11" spans="1:13" ht="12.75">
      <c r="A11" s="1124"/>
      <c r="B11" s="1125"/>
      <c r="C11" s="1125"/>
      <c r="D11" s="1125"/>
      <c r="E11" s="1125"/>
      <c r="F11" s="1125"/>
      <c r="G11" s="1125"/>
      <c r="H11" s="1125"/>
      <c r="I11" s="1125"/>
      <c r="J11" s="1125"/>
      <c r="K11" s="1118"/>
      <c r="L11" s="1125"/>
      <c r="M11" s="1126"/>
    </row>
    <row r="12" spans="1:13" s="1119" customFormat="1" ht="12.75">
      <c r="A12" s="738" t="s">
        <v>313</v>
      </c>
      <c r="B12" s="738"/>
      <c r="C12" s="738"/>
      <c r="D12" s="738"/>
      <c r="E12" s="738" t="s">
        <v>430</v>
      </c>
      <c r="F12" s="738"/>
      <c r="G12" s="738"/>
      <c r="H12" s="738"/>
      <c r="I12" s="738" t="s">
        <v>354</v>
      </c>
      <c r="J12" s="738"/>
      <c r="K12" s="738"/>
      <c r="L12" s="738"/>
      <c r="M12" s="738" t="s">
        <v>159</v>
      </c>
    </row>
    <row r="13" spans="1:13" s="1119" customFormat="1" ht="12.75">
      <c r="A13" s="1120" t="s">
        <v>316</v>
      </c>
      <c r="B13" s="1120"/>
      <c r="C13" s="1120" t="s">
        <v>160</v>
      </c>
      <c r="D13" s="1120"/>
      <c r="E13" s="1120" t="s">
        <v>318</v>
      </c>
      <c r="F13" s="1120"/>
      <c r="G13" s="1120" t="s">
        <v>444</v>
      </c>
      <c r="H13" s="1120"/>
      <c r="I13" s="1120" t="s">
        <v>161</v>
      </c>
      <c r="J13" s="1120"/>
      <c r="K13" s="1120" t="s">
        <v>162</v>
      </c>
      <c r="L13" s="1120"/>
      <c r="M13" s="1120" t="s">
        <v>453</v>
      </c>
    </row>
    <row r="14" spans="1:13" s="1119" customFormat="1" ht="12.75">
      <c r="A14" s="784"/>
      <c r="B14" s="784"/>
      <c r="C14" s="785" t="s">
        <v>532</v>
      </c>
      <c r="D14" s="738"/>
      <c r="E14" s="785" t="s">
        <v>541</v>
      </c>
      <c r="F14" s="738"/>
      <c r="G14" s="785" t="s">
        <v>542</v>
      </c>
      <c r="H14" s="738"/>
      <c r="I14" s="785" t="s">
        <v>668</v>
      </c>
      <c r="J14" s="738"/>
      <c r="K14" s="785" t="s">
        <v>669</v>
      </c>
      <c r="L14" s="738"/>
      <c r="M14" s="786" t="s">
        <v>2837</v>
      </c>
    </row>
    <row r="15" spans="1:13" s="1119" customFormat="1" ht="12.75">
      <c r="A15" s="738"/>
      <c r="B15" s="738"/>
      <c r="C15" s="738"/>
      <c r="D15" s="738"/>
      <c r="E15" s="738"/>
      <c r="F15" s="738"/>
      <c r="G15" s="787" t="s">
        <v>320</v>
      </c>
      <c r="H15" s="738"/>
      <c r="I15" s="785" t="s">
        <v>358</v>
      </c>
      <c r="J15" s="738"/>
      <c r="K15" s="785" t="s">
        <v>358</v>
      </c>
      <c r="L15" s="738"/>
      <c r="M15" s="785" t="s">
        <v>358</v>
      </c>
    </row>
    <row r="16" spans="1:13" ht="12.75">
      <c r="A16" s="783"/>
      <c r="B16" s="735"/>
      <c r="C16" s="735"/>
      <c r="D16" s="735"/>
      <c r="E16" s="735"/>
      <c r="F16" s="735"/>
      <c r="G16" s="788"/>
      <c r="H16" s="735"/>
      <c r="I16" s="735"/>
      <c r="J16" s="735"/>
      <c r="K16" s="735"/>
      <c r="L16" s="735"/>
      <c r="M16" s="735"/>
    </row>
    <row r="17" spans="1:14" ht="12.75">
      <c r="A17" s="738" t="s">
        <v>321</v>
      </c>
      <c r="B17" s="735"/>
      <c r="C17" s="735" t="s">
        <v>163</v>
      </c>
      <c r="D17" s="735"/>
      <c r="E17" s="738" t="s">
        <v>152</v>
      </c>
      <c r="F17" s="735"/>
      <c r="G17" s="788">
        <f>+'J-2'!F33</f>
        <v>11600500</v>
      </c>
      <c r="H17" s="735"/>
      <c r="I17" s="789">
        <f>+ROUND(G17/$G$25,4)</f>
        <v>1.83E-2</v>
      </c>
      <c r="J17" s="735"/>
      <c r="K17" s="789">
        <v>5.2499999999999998E-2</v>
      </c>
      <c r="L17" s="735"/>
      <c r="M17" s="789">
        <f>ROUND(K17*I17,4)</f>
        <v>1E-3</v>
      </c>
    </row>
    <row r="18" spans="1:14" ht="12.75">
      <c r="A18" s="738"/>
      <c r="B18" s="735"/>
      <c r="C18" s="735"/>
      <c r="D18" s="735"/>
      <c r="E18" s="738"/>
      <c r="F18" s="735"/>
      <c r="G18" s="788"/>
      <c r="H18" s="735"/>
      <c r="I18" s="789"/>
      <c r="J18" s="735"/>
      <c r="K18" s="735"/>
      <c r="L18" s="735"/>
      <c r="M18" s="735"/>
    </row>
    <row r="19" spans="1:14" ht="12.75">
      <c r="A19" s="738" t="s">
        <v>324</v>
      </c>
      <c r="B19" s="735"/>
      <c r="C19" s="735" t="s">
        <v>164</v>
      </c>
      <c r="D19" s="735"/>
      <c r="E19" s="738" t="s">
        <v>154</v>
      </c>
      <c r="F19" s="735"/>
      <c r="G19" s="788">
        <f>+'J-3'!F37</f>
        <v>288682692.30769229</v>
      </c>
      <c r="H19" s="735"/>
      <c r="I19" s="789">
        <f>+ROUND(G19/$G$25,4)</f>
        <v>0.45529999999999998</v>
      </c>
      <c r="J19" s="735"/>
      <c r="K19" s="789">
        <f>+ROUND('J-3'!L37,4)</f>
        <v>4.8800000000000003E-2</v>
      </c>
      <c r="L19" s="735"/>
      <c r="M19" s="789">
        <f>ROUND(K19*I19,4)</f>
        <v>2.2200000000000001E-2</v>
      </c>
      <c r="N19" s="789"/>
    </row>
    <row r="20" spans="1:14" ht="12.75">
      <c r="A20" s="738"/>
      <c r="B20" s="735"/>
      <c r="C20" s="735"/>
      <c r="D20" s="735"/>
      <c r="E20" s="738"/>
      <c r="F20" s="735"/>
      <c r="G20" s="788"/>
      <c r="H20" s="735"/>
      <c r="I20" s="789"/>
      <c r="J20" s="735"/>
      <c r="K20" s="735"/>
      <c r="L20" s="735"/>
      <c r="M20" s="735"/>
    </row>
    <row r="21" spans="1:14" ht="12.75">
      <c r="A21" s="738" t="s">
        <v>327</v>
      </c>
      <c r="B21" s="735"/>
      <c r="C21" s="735" t="s">
        <v>165</v>
      </c>
      <c r="D21" s="735"/>
      <c r="E21" s="738" t="s">
        <v>156</v>
      </c>
      <c r="F21" s="735"/>
      <c r="G21" s="788">
        <v>0</v>
      </c>
      <c r="H21" s="735"/>
      <c r="I21" s="789">
        <f>+ROUND(G21/$G$25,4)</f>
        <v>0</v>
      </c>
      <c r="J21" s="735"/>
      <c r="K21" s="789">
        <v>0</v>
      </c>
      <c r="L21" s="735"/>
      <c r="M21" s="789">
        <f>ROUND(K21*I21,4)</f>
        <v>0</v>
      </c>
    </row>
    <row r="22" spans="1:14" ht="12.75">
      <c r="A22" s="738"/>
      <c r="B22" s="735"/>
      <c r="C22" s="735"/>
      <c r="D22" s="735"/>
      <c r="E22" s="735"/>
      <c r="F22" s="735"/>
      <c r="G22" s="788"/>
      <c r="H22" s="735"/>
      <c r="I22" s="789"/>
      <c r="J22" s="735"/>
      <c r="K22" s="735"/>
      <c r="L22" s="735"/>
      <c r="M22" s="735"/>
    </row>
    <row r="23" spans="1:14" ht="12.75">
      <c r="A23" s="738" t="s">
        <v>330</v>
      </c>
      <c r="B23" s="735"/>
      <c r="C23" s="735" t="s">
        <v>166</v>
      </c>
      <c r="D23" s="735"/>
      <c r="E23" s="735"/>
      <c r="F23" s="735"/>
      <c r="G23" s="1121">
        <v>333782250.40350533</v>
      </c>
      <c r="H23" s="735"/>
      <c r="I23" s="1122">
        <f>+ROUND(G23/$G$25,4)</f>
        <v>0.52639999999999998</v>
      </c>
      <c r="J23" s="735"/>
      <c r="K23" s="789">
        <v>0.108</v>
      </c>
      <c r="L23" s="735"/>
      <c r="M23" s="1122">
        <f>ROUND(K23*I23,4)</f>
        <v>5.6899999999999999E-2</v>
      </c>
    </row>
    <row r="24" spans="1:14" ht="12.75">
      <c r="A24" s="738"/>
      <c r="B24" s="735"/>
      <c r="C24" s="735"/>
      <c r="D24" s="735"/>
      <c r="E24" s="735"/>
      <c r="F24" s="735"/>
      <c r="G24" s="788"/>
      <c r="H24" s="735"/>
      <c r="I24" s="789"/>
      <c r="J24" s="735"/>
      <c r="K24" s="735"/>
      <c r="L24" s="735"/>
      <c r="M24" s="735"/>
    </row>
    <row r="25" spans="1:14" ht="12.75">
      <c r="A25" s="738" t="s">
        <v>333</v>
      </c>
      <c r="B25" s="735"/>
      <c r="C25" s="735" t="s">
        <v>167</v>
      </c>
      <c r="D25" s="735"/>
      <c r="E25" s="735"/>
      <c r="F25" s="735"/>
      <c r="G25" s="788">
        <f>SUM(G17:G23)</f>
        <v>634065442.71119761</v>
      </c>
      <c r="H25" s="735"/>
      <c r="I25" s="789">
        <f>SUM(I17:I23)</f>
        <v>1</v>
      </c>
      <c r="J25" s="735"/>
      <c r="K25" s="735"/>
      <c r="L25" s="735"/>
      <c r="M25" s="789">
        <f>SUM(M17:M23)</f>
        <v>8.0100000000000005E-2</v>
      </c>
    </row>
    <row r="26" spans="1:14" ht="12.75">
      <c r="A26" s="783"/>
      <c r="B26" s="735"/>
      <c r="C26" s="735"/>
      <c r="D26" s="735"/>
      <c r="E26" s="735"/>
      <c r="F26" s="735"/>
      <c r="G26" s="788"/>
      <c r="H26" s="735"/>
      <c r="I26" s="735"/>
      <c r="J26" s="735"/>
      <c r="K26" s="735"/>
      <c r="L26" s="735"/>
      <c r="M26" s="735"/>
    </row>
    <row r="27" spans="1:14" ht="12.75">
      <c r="A27" s="783"/>
      <c r="B27" s="735"/>
      <c r="C27" s="735"/>
      <c r="D27" s="735"/>
      <c r="E27" s="735"/>
      <c r="F27" s="735"/>
      <c r="G27" s="735"/>
      <c r="H27" s="735"/>
      <c r="I27" s="735"/>
      <c r="J27" s="735"/>
      <c r="K27" s="735"/>
      <c r="L27" s="735"/>
      <c r="M27" s="735"/>
    </row>
    <row r="28" spans="1:14" ht="11.25">
      <c r="A28" s="790"/>
      <c r="B28" s="736"/>
      <c r="C28" s="736"/>
      <c r="D28" s="736"/>
      <c r="E28" s="736"/>
      <c r="F28" s="736"/>
      <c r="G28" s="736"/>
      <c r="H28" s="736"/>
      <c r="I28" s="736"/>
      <c r="J28" s="736"/>
      <c r="K28" s="736"/>
      <c r="L28" s="736"/>
      <c r="M28" s="736"/>
    </row>
    <row r="29" spans="1:14" ht="12.75">
      <c r="A29" s="736"/>
      <c r="B29" s="736"/>
      <c r="C29" s="735"/>
      <c r="D29" s="736"/>
      <c r="E29" s="736"/>
      <c r="F29" s="736"/>
      <c r="G29" s="736"/>
      <c r="H29" s="736"/>
      <c r="I29" s="736"/>
      <c r="J29" s="736"/>
      <c r="K29" s="736"/>
      <c r="L29" s="736"/>
      <c r="M29" s="736"/>
    </row>
    <row r="30" spans="1:14" ht="11.25">
      <c r="A30" s="736"/>
      <c r="B30" s="736"/>
      <c r="C30" s="736"/>
      <c r="D30" s="736"/>
      <c r="E30" s="736"/>
      <c r="F30" s="736"/>
      <c r="G30" s="736"/>
      <c r="H30" s="736"/>
      <c r="I30" s="736"/>
      <c r="J30" s="736"/>
      <c r="K30" s="736"/>
      <c r="L30" s="736"/>
      <c r="M30" s="736"/>
    </row>
    <row r="31" spans="1:14" ht="11.25">
      <c r="A31" s="736"/>
      <c r="B31" s="736"/>
      <c r="C31" s="736"/>
      <c r="D31" s="736"/>
      <c r="E31" s="736"/>
      <c r="F31" s="736"/>
      <c r="G31" s="736"/>
      <c r="H31" s="736"/>
      <c r="I31" s="736"/>
      <c r="J31" s="736"/>
      <c r="K31" s="736"/>
      <c r="L31" s="736"/>
      <c r="M31" s="736"/>
    </row>
    <row r="32" spans="1:14" ht="11.25">
      <c r="A32" s="736"/>
      <c r="B32" s="736"/>
      <c r="C32" s="736"/>
      <c r="D32" s="736"/>
      <c r="E32" s="736"/>
      <c r="F32" s="736"/>
      <c r="G32" s="736"/>
      <c r="H32" s="736"/>
      <c r="I32" s="736"/>
      <c r="J32" s="736"/>
      <c r="K32" s="736"/>
      <c r="L32" s="736"/>
      <c r="M32" s="736"/>
    </row>
    <row r="33" spans="1:13" ht="11.25">
      <c r="A33" s="736"/>
      <c r="B33" s="736"/>
      <c r="C33" s="736"/>
      <c r="D33" s="736"/>
      <c r="E33" s="736"/>
      <c r="F33" s="736"/>
      <c r="G33" s="736"/>
      <c r="H33" s="736"/>
      <c r="I33" s="736"/>
      <c r="J33" s="736"/>
      <c r="K33" s="736"/>
      <c r="L33" s="736"/>
      <c r="M33" s="736"/>
    </row>
    <row r="34" spans="1:13" ht="11.25">
      <c r="A34" s="736"/>
      <c r="B34" s="736"/>
      <c r="C34" s="736"/>
      <c r="D34" s="736"/>
      <c r="E34" s="736"/>
      <c r="F34" s="736"/>
      <c r="G34" s="736"/>
      <c r="H34" s="736"/>
      <c r="I34" s="736"/>
      <c r="J34" s="736"/>
      <c r="K34" s="736"/>
      <c r="L34" s="736"/>
      <c r="M34" s="736"/>
    </row>
    <row r="35" spans="1:13" ht="11.25">
      <c r="A35" s="736"/>
      <c r="B35" s="736"/>
      <c r="C35" s="736"/>
      <c r="D35" s="736"/>
      <c r="E35" s="736"/>
      <c r="F35" s="736"/>
      <c r="G35" s="736"/>
      <c r="H35" s="736"/>
      <c r="I35" s="736"/>
      <c r="J35" s="736"/>
      <c r="K35" s="736"/>
      <c r="L35" s="736"/>
      <c r="M35" s="736"/>
    </row>
    <row r="36" spans="1:13" ht="11.25">
      <c r="A36" s="736"/>
      <c r="B36" s="736"/>
      <c r="C36" s="736"/>
      <c r="D36" s="736"/>
      <c r="E36" s="736"/>
      <c r="F36" s="736"/>
      <c r="G36" s="736"/>
      <c r="H36" s="736"/>
      <c r="I36" s="736"/>
      <c r="J36" s="736"/>
      <c r="K36" s="736"/>
      <c r="L36" s="736"/>
      <c r="M36" s="736"/>
    </row>
    <row r="37" spans="1:13" ht="11.25">
      <c r="A37" s="736"/>
      <c r="B37" s="736"/>
      <c r="C37" s="736"/>
      <c r="D37" s="736"/>
      <c r="E37" s="736"/>
      <c r="F37" s="736"/>
      <c r="G37" s="736"/>
      <c r="H37" s="736"/>
      <c r="I37" s="736"/>
      <c r="J37" s="736"/>
      <c r="K37" s="736"/>
      <c r="L37" s="736"/>
      <c r="M37" s="736"/>
    </row>
    <row r="38" spans="1:13" ht="11.25">
      <c r="A38" s="736"/>
      <c r="B38" s="736"/>
      <c r="C38" s="736"/>
      <c r="D38" s="736"/>
      <c r="E38" s="736"/>
      <c r="F38" s="736"/>
      <c r="G38" s="736"/>
      <c r="H38" s="736"/>
      <c r="I38" s="736"/>
      <c r="J38" s="736"/>
      <c r="K38" s="736"/>
      <c r="L38" s="736"/>
      <c r="M38" s="736"/>
    </row>
    <row r="39" spans="1:13" ht="11.25">
      <c r="A39" s="736"/>
      <c r="B39" s="736"/>
      <c r="C39" s="736"/>
      <c r="D39" s="736"/>
      <c r="E39" s="736"/>
      <c r="F39" s="736"/>
      <c r="G39" s="736"/>
      <c r="H39" s="736"/>
      <c r="I39" s="736"/>
      <c r="J39" s="736"/>
      <c r="K39" s="736"/>
      <c r="L39" s="736"/>
      <c r="M39" s="736"/>
    </row>
    <row r="40" spans="1:13" ht="11.25">
      <c r="A40" s="736"/>
      <c r="B40" s="736"/>
      <c r="C40" s="736"/>
      <c r="D40" s="736"/>
      <c r="E40" s="736"/>
      <c r="F40" s="736"/>
      <c r="G40" s="736"/>
      <c r="H40" s="736"/>
      <c r="I40" s="736"/>
      <c r="J40" s="736"/>
      <c r="K40" s="736"/>
      <c r="L40" s="736"/>
      <c r="M40" s="736"/>
    </row>
    <row r="41" spans="1:13" ht="11.25">
      <c r="A41" s="736"/>
      <c r="B41" s="736"/>
      <c r="C41" s="736"/>
      <c r="D41" s="736"/>
      <c r="E41" s="736"/>
      <c r="F41" s="736"/>
      <c r="G41" s="736"/>
      <c r="H41" s="736"/>
      <c r="I41" s="736"/>
      <c r="J41" s="736"/>
      <c r="K41" s="736"/>
      <c r="L41" s="736"/>
      <c r="M41" s="736"/>
    </row>
    <row r="42" spans="1:13" ht="11.25">
      <c r="A42" s="736"/>
      <c r="B42" s="736"/>
      <c r="C42" s="736"/>
      <c r="D42" s="736"/>
      <c r="E42" s="736"/>
      <c r="F42" s="736"/>
      <c r="G42" s="736"/>
      <c r="H42" s="736"/>
      <c r="I42" s="736"/>
      <c r="J42" s="736"/>
      <c r="K42" s="736"/>
      <c r="L42" s="736"/>
      <c r="M42" s="736"/>
    </row>
    <row r="43" spans="1:13" ht="11.25">
      <c r="A43" s="736"/>
      <c r="B43" s="736"/>
      <c r="C43" s="736"/>
      <c r="D43" s="736"/>
      <c r="E43" s="736"/>
      <c r="F43" s="736"/>
      <c r="G43" s="736"/>
      <c r="H43" s="736"/>
      <c r="I43" s="736"/>
      <c r="J43" s="736"/>
      <c r="K43" s="736"/>
      <c r="L43" s="736"/>
      <c r="M43" s="736"/>
    </row>
    <row r="44" spans="1:13" ht="11.25">
      <c r="A44" s="736"/>
      <c r="B44" s="736"/>
      <c r="C44" s="736"/>
      <c r="D44" s="736"/>
      <c r="E44" s="736"/>
      <c r="F44" s="736"/>
      <c r="G44" s="736"/>
      <c r="H44" s="736"/>
      <c r="I44" s="736"/>
      <c r="J44" s="736"/>
      <c r="K44" s="736"/>
      <c r="L44" s="736"/>
      <c r="M44" s="736"/>
    </row>
    <row r="45" spans="1:13" ht="11.25">
      <c r="A45" s="736"/>
      <c r="B45" s="736"/>
      <c r="C45" s="736"/>
      <c r="D45" s="736"/>
      <c r="E45" s="736"/>
      <c r="F45" s="736"/>
      <c r="G45" s="736"/>
      <c r="H45" s="736"/>
      <c r="I45" s="736"/>
      <c r="J45" s="736"/>
      <c r="K45" s="736"/>
      <c r="L45" s="736"/>
      <c r="M45" s="736"/>
    </row>
    <row r="46" spans="1:13" ht="11.25">
      <c r="A46" s="736"/>
      <c r="B46" s="736"/>
      <c r="C46" s="736"/>
      <c r="D46" s="736"/>
      <c r="E46" s="736"/>
      <c r="F46" s="736"/>
      <c r="G46" s="736"/>
      <c r="H46" s="736"/>
      <c r="I46" s="736"/>
      <c r="J46" s="736"/>
      <c r="K46" s="736"/>
      <c r="L46" s="736"/>
      <c r="M46" s="736"/>
    </row>
    <row r="47" spans="1:13" ht="11.25">
      <c r="A47" s="736"/>
      <c r="B47" s="736"/>
      <c r="C47" s="736"/>
      <c r="D47" s="736"/>
      <c r="E47" s="736"/>
      <c r="F47" s="736"/>
      <c r="G47" s="736"/>
      <c r="H47" s="736"/>
      <c r="I47" s="736"/>
      <c r="J47" s="736"/>
      <c r="K47" s="736"/>
      <c r="L47" s="736"/>
      <c r="M47" s="736"/>
    </row>
    <row r="48" spans="1:13" ht="11.25">
      <c r="A48" s="736"/>
      <c r="B48" s="736"/>
      <c r="C48" s="736"/>
      <c r="D48" s="736"/>
      <c r="E48" s="736"/>
      <c r="F48" s="736"/>
      <c r="G48" s="736"/>
      <c r="H48" s="736"/>
      <c r="I48" s="736"/>
      <c r="J48" s="736"/>
      <c r="K48" s="736"/>
      <c r="L48" s="736"/>
      <c r="M48" s="736"/>
    </row>
    <row r="49" spans="1:13" ht="11.25">
      <c r="A49" s="736"/>
      <c r="B49" s="736"/>
      <c r="C49" s="736"/>
      <c r="D49" s="736"/>
      <c r="E49" s="736"/>
      <c r="F49" s="736"/>
      <c r="G49" s="736"/>
      <c r="H49" s="736"/>
      <c r="I49" s="736"/>
      <c r="J49" s="736"/>
      <c r="K49" s="736"/>
      <c r="L49" s="736"/>
      <c r="M49" s="736"/>
    </row>
    <row r="50" spans="1:13" ht="11.25">
      <c r="A50" s="736"/>
      <c r="B50" s="736"/>
      <c r="C50" s="736"/>
      <c r="D50" s="736"/>
      <c r="E50" s="736"/>
      <c r="F50" s="736"/>
      <c r="G50" s="736"/>
      <c r="H50" s="736"/>
      <c r="I50" s="736"/>
      <c r="J50" s="736"/>
      <c r="K50" s="736"/>
      <c r="L50" s="736"/>
      <c r="M50" s="736"/>
    </row>
    <row r="51" spans="1:13" ht="11.25">
      <c r="A51" s="736"/>
      <c r="B51" s="736"/>
      <c r="C51" s="736"/>
      <c r="D51" s="736"/>
      <c r="E51" s="736"/>
      <c r="F51" s="736"/>
      <c r="G51" s="736"/>
      <c r="H51" s="736"/>
      <c r="I51" s="736"/>
      <c r="J51" s="736"/>
      <c r="K51" s="736"/>
      <c r="L51" s="736"/>
      <c r="M51" s="736"/>
    </row>
    <row r="52" spans="1:13" ht="11.25">
      <c r="A52" s="736"/>
      <c r="B52" s="736"/>
      <c r="C52" s="736"/>
      <c r="D52" s="736"/>
      <c r="E52" s="736"/>
      <c r="F52" s="736"/>
      <c r="G52" s="736"/>
      <c r="H52" s="736"/>
      <c r="I52" s="736"/>
      <c r="J52" s="736"/>
      <c r="K52" s="736"/>
      <c r="L52" s="736"/>
      <c r="M52" s="736"/>
    </row>
    <row r="53" spans="1:13" ht="11.25">
      <c r="A53" s="736"/>
      <c r="B53" s="736"/>
      <c r="C53" s="736"/>
      <c r="D53" s="736"/>
      <c r="E53" s="736"/>
      <c r="F53" s="736"/>
      <c r="G53" s="736"/>
      <c r="H53" s="736"/>
      <c r="I53" s="736"/>
      <c r="J53" s="736"/>
      <c r="K53" s="736"/>
      <c r="L53" s="736"/>
      <c r="M53" s="736"/>
    </row>
    <row r="54" spans="1:13" ht="11.25">
      <c r="A54" s="736"/>
      <c r="B54" s="736"/>
      <c r="C54" s="736"/>
      <c r="D54" s="736"/>
      <c r="E54" s="736"/>
      <c r="F54" s="736"/>
      <c r="G54" s="736"/>
      <c r="H54" s="736"/>
      <c r="I54" s="736"/>
      <c r="J54" s="736"/>
      <c r="K54" s="736"/>
      <c r="L54" s="736"/>
      <c r="M54" s="736"/>
    </row>
    <row r="55" spans="1:13" ht="11.25">
      <c r="A55" s="736"/>
      <c r="B55" s="736"/>
      <c r="C55" s="736"/>
      <c r="D55" s="736"/>
      <c r="E55" s="736"/>
      <c r="F55" s="736"/>
      <c r="G55" s="736"/>
      <c r="H55" s="736"/>
      <c r="I55" s="736"/>
      <c r="J55" s="736"/>
      <c r="K55" s="736"/>
      <c r="L55" s="736"/>
      <c r="M55" s="736"/>
    </row>
    <row r="56" spans="1:13" ht="11.25">
      <c r="A56" s="736"/>
      <c r="B56" s="736"/>
      <c r="C56" s="736"/>
      <c r="D56" s="736"/>
      <c r="E56" s="736"/>
      <c r="F56" s="736"/>
      <c r="G56" s="736"/>
      <c r="H56" s="736"/>
      <c r="I56" s="736"/>
      <c r="J56" s="736"/>
      <c r="K56" s="736"/>
      <c r="L56" s="736"/>
      <c r="M56" s="736"/>
    </row>
    <row r="57" spans="1:13" ht="11.25">
      <c r="A57" s="736"/>
      <c r="B57" s="736"/>
      <c r="C57" s="736"/>
      <c r="D57" s="736"/>
      <c r="E57" s="736"/>
      <c r="F57" s="736"/>
      <c r="G57" s="736"/>
      <c r="H57" s="736"/>
      <c r="I57" s="736"/>
      <c r="J57" s="736"/>
      <c r="K57" s="736"/>
      <c r="L57" s="736"/>
      <c r="M57" s="736"/>
    </row>
    <row r="58" spans="1:13" ht="11.25">
      <c r="A58" s="736"/>
      <c r="B58" s="736"/>
      <c r="C58" s="736"/>
      <c r="D58" s="736"/>
      <c r="E58" s="736"/>
      <c r="F58" s="736"/>
      <c r="G58" s="736"/>
      <c r="H58" s="736"/>
      <c r="I58" s="736"/>
      <c r="J58" s="736"/>
      <c r="K58" s="736"/>
      <c r="L58" s="736"/>
      <c r="M58" s="736"/>
    </row>
    <row r="59" spans="1:13" ht="11.25">
      <c r="A59" s="736"/>
      <c r="B59" s="736"/>
      <c r="C59" s="736"/>
      <c r="D59" s="736"/>
      <c r="E59" s="736"/>
      <c r="F59" s="736"/>
      <c r="G59" s="736"/>
      <c r="H59" s="736"/>
      <c r="I59" s="736"/>
      <c r="J59" s="736"/>
      <c r="K59" s="736"/>
      <c r="L59" s="736"/>
      <c r="M59" s="736"/>
    </row>
    <row r="60" spans="1:13" ht="11.25">
      <c r="A60" s="736"/>
      <c r="B60" s="736"/>
      <c r="C60" s="736"/>
      <c r="D60" s="736"/>
      <c r="E60" s="736"/>
      <c r="F60" s="736"/>
      <c r="G60" s="736"/>
      <c r="H60" s="736"/>
      <c r="I60" s="736"/>
      <c r="J60" s="736"/>
      <c r="K60" s="736"/>
      <c r="L60" s="736"/>
      <c r="M60" s="736"/>
    </row>
    <row r="61" spans="1:13" ht="11.25">
      <c r="A61" s="736"/>
      <c r="B61" s="736"/>
      <c r="C61" s="736"/>
      <c r="D61" s="736"/>
      <c r="E61" s="736"/>
      <c r="F61" s="736"/>
      <c r="G61" s="736"/>
      <c r="H61" s="736"/>
      <c r="I61" s="736"/>
      <c r="J61" s="736"/>
      <c r="K61" s="736"/>
      <c r="L61" s="736"/>
      <c r="M61" s="736"/>
    </row>
    <row r="62" spans="1:13" ht="11.25">
      <c r="A62" s="736"/>
      <c r="B62" s="736"/>
      <c r="C62" s="736"/>
      <c r="D62" s="736"/>
      <c r="E62" s="736"/>
      <c r="F62" s="736"/>
      <c r="G62" s="736"/>
      <c r="H62" s="736"/>
      <c r="I62" s="736"/>
      <c r="J62" s="736"/>
      <c r="K62" s="736"/>
      <c r="L62" s="736"/>
      <c r="M62" s="736"/>
    </row>
    <row r="63" spans="1:13" ht="11.25">
      <c r="A63" s="736"/>
      <c r="B63" s="736"/>
      <c r="C63" s="736"/>
      <c r="D63" s="736"/>
      <c r="E63" s="736"/>
      <c r="F63" s="736"/>
      <c r="G63" s="736"/>
      <c r="H63" s="736"/>
      <c r="I63" s="736"/>
      <c r="J63" s="736"/>
      <c r="K63" s="736"/>
      <c r="L63" s="736"/>
      <c r="M63" s="736"/>
    </row>
    <row r="64" spans="1:13" ht="11.25">
      <c r="A64" s="736"/>
      <c r="B64" s="736"/>
      <c r="C64" s="736"/>
      <c r="D64" s="736"/>
      <c r="E64" s="736"/>
      <c r="F64" s="736"/>
      <c r="G64" s="736"/>
      <c r="H64" s="736"/>
      <c r="I64" s="736"/>
      <c r="J64" s="736"/>
      <c r="K64" s="736"/>
      <c r="L64" s="736"/>
      <c r="M64" s="736"/>
    </row>
    <row r="65" spans="1:13" ht="11.25">
      <c r="A65" s="736"/>
      <c r="B65" s="736"/>
      <c r="C65" s="736"/>
      <c r="D65" s="736"/>
      <c r="E65" s="736"/>
      <c r="F65" s="736"/>
      <c r="G65" s="736"/>
      <c r="H65" s="736"/>
      <c r="I65" s="736"/>
      <c r="J65" s="736"/>
      <c r="K65" s="736"/>
      <c r="L65" s="736"/>
      <c r="M65" s="736"/>
    </row>
    <row r="66" spans="1:13" ht="11.25">
      <c r="A66" s="736"/>
      <c r="B66" s="736"/>
      <c r="C66" s="736"/>
      <c r="D66" s="736"/>
      <c r="E66" s="736"/>
      <c r="F66" s="736"/>
      <c r="G66" s="736"/>
      <c r="H66" s="736"/>
      <c r="I66" s="736"/>
      <c r="J66" s="736"/>
      <c r="K66" s="736"/>
      <c r="L66" s="736"/>
      <c r="M66" s="736"/>
    </row>
    <row r="67" spans="1:13" ht="11.25">
      <c r="A67" s="736"/>
      <c r="B67" s="736"/>
      <c r="C67" s="736"/>
      <c r="D67" s="736"/>
      <c r="E67" s="736"/>
      <c r="F67" s="736"/>
      <c r="G67" s="736"/>
      <c r="H67" s="736"/>
      <c r="I67" s="736"/>
      <c r="J67" s="736"/>
      <c r="K67" s="736"/>
      <c r="L67" s="736"/>
      <c r="M67" s="736"/>
    </row>
    <row r="68" spans="1:13" ht="11.25">
      <c r="A68" s="736"/>
      <c r="B68" s="736"/>
      <c r="C68" s="736"/>
      <c r="D68" s="736"/>
      <c r="E68" s="736"/>
      <c r="F68" s="736"/>
      <c r="G68" s="736"/>
      <c r="H68" s="736"/>
      <c r="I68" s="736"/>
      <c r="J68" s="736"/>
      <c r="K68" s="736"/>
      <c r="L68" s="736"/>
      <c r="M68" s="736"/>
    </row>
    <row r="69" spans="1:13" ht="11.25">
      <c r="A69" s="736"/>
      <c r="B69" s="736"/>
      <c r="C69" s="736"/>
      <c r="D69" s="736"/>
      <c r="E69" s="736"/>
      <c r="F69" s="736"/>
      <c r="G69" s="736"/>
      <c r="H69" s="736"/>
      <c r="I69" s="736"/>
      <c r="J69" s="736"/>
      <c r="K69" s="736"/>
      <c r="L69" s="736"/>
      <c r="M69" s="736"/>
    </row>
    <row r="70" spans="1:13" ht="11.25">
      <c r="A70" s="736"/>
      <c r="B70" s="736"/>
      <c r="C70" s="736"/>
      <c r="D70" s="736"/>
      <c r="E70" s="736"/>
      <c r="F70" s="736"/>
      <c r="G70" s="736"/>
      <c r="H70" s="736"/>
      <c r="I70" s="736"/>
      <c r="J70" s="736"/>
      <c r="K70" s="736"/>
      <c r="L70" s="736"/>
      <c r="M70" s="736"/>
    </row>
    <row r="71" spans="1:13" ht="11.25">
      <c r="A71" s="736"/>
      <c r="B71" s="736"/>
      <c r="C71" s="736"/>
      <c r="D71" s="736"/>
      <c r="E71" s="736"/>
      <c r="F71" s="736"/>
      <c r="G71" s="736"/>
      <c r="H71" s="736"/>
      <c r="I71" s="736"/>
      <c r="J71" s="736"/>
      <c r="K71" s="736"/>
      <c r="L71" s="736"/>
      <c r="M71" s="736"/>
    </row>
    <row r="72" spans="1:13" ht="11.25">
      <c r="A72" s="736"/>
      <c r="B72" s="736"/>
      <c r="C72" s="736"/>
      <c r="D72" s="736"/>
      <c r="E72" s="736"/>
      <c r="F72" s="736"/>
      <c r="G72" s="736"/>
      <c r="H72" s="736"/>
      <c r="I72" s="736"/>
      <c r="J72" s="736"/>
      <c r="K72" s="736"/>
      <c r="L72" s="736"/>
      <c r="M72" s="736"/>
    </row>
    <row r="73" spans="1:13" ht="11.25">
      <c r="A73" s="736"/>
      <c r="B73" s="736"/>
      <c r="C73" s="736"/>
      <c r="D73" s="736"/>
      <c r="E73" s="736"/>
      <c r="F73" s="736"/>
      <c r="G73" s="736"/>
      <c r="H73" s="736"/>
      <c r="I73" s="736"/>
      <c r="J73" s="736"/>
      <c r="K73" s="736"/>
      <c r="L73" s="736"/>
      <c r="M73" s="736"/>
    </row>
    <row r="74" spans="1:13" ht="11.25">
      <c r="A74" s="736"/>
      <c r="B74" s="736"/>
      <c r="C74" s="736"/>
      <c r="D74" s="736"/>
      <c r="E74" s="736"/>
      <c r="F74" s="736"/>
      <c r="G74" s="736"/>
      <c r="H74" s="736"/>
      <c r="I74" s="736"/>
      <c r="J74" s="736"/>
      <c r="K74" s="736"/>
      <c r="L74" s="736"/>
      <c r="M74" s="736"/>
    </row>
    <row r="75" spans="1:13" ht="11.25">
      <c r="A75" s="736"/>
      <c r="B75" s="736"/>
      <c r="C75" s="736"/>
      <c r="D75" s="736"/>
      <c r="E75" s="736"/>
      <c r="F75" s="736"/>
      <c r="G75" s="736"/>
      <c r="H75" s="736"/>
      <c r="I75" s="736"/>
      <c r="J75" s="736"/>
      <c r="K75" s="736"/>
      <c r="L75" s="736"/>
      <c r="M75" s="736"/>
    </row>
    <row r="76" spans="1:13" ht="11.25">
      <c r="A76" s="736"/>
      <c r="B76" s="736"/>
      <c r="C76" s="736"/>
      <c r="D76" s="736"/>
      <c r="E76" s="736"/>
      <c r="F76" s="736"/>
      <c r="G76" s="736"/>
      <c r="H76" s="736"/>
      <c r="I76" s="736"/>
      <c r="J76" s="736"/>
      <c r="K76" s="736"/>
      <c r="L76" s="736"/>
      <c r="M76" s="736"/>
    </row>
    <row r="77" spans="1:13" ht="11.25">
      <c r="A77" s="736"/>
      <c r="B77" s="736"/>
      <c r="C77" s="736"/>
      <c r="D77" s="736"/>
      <c r="E77" s="736"/>
      <c r="F77" s="736"/>
      <c r="G77" s="736"/>
      <c r="H77" s="736"/>
      <c r="I77" s="736"/>
      <c r="J77" s="736"/>
      <c r="K77" s="736"/>
      <c r="L77" s="736"/>
      <c r="M77" s="736"/>
    </row>
    <row r="78" spans="1:13" ht="11.25">
      <c r="A78" s="736"/>
      <c r="B78" s="736"/>
      <c r="C78" s="736"/>
      <c r="D78" s="736"/>
      <c r="E78" s="736"/>
      <c r="F78" s="736"/>
      <c r="G78" s="736"/>
      <c r="H78" s="736"/>
      <c r="I78" s="736"/>
      <c r="J78" s="736"/>
      <c r="K78" s="736"/>
      <c r="L78" s="736"/>
      <c r="M78" s="736"/>
    </row>
    <row r="79" spans="1:13" ht="11.25">
      <c r="A79" s="736"/>
      <c r="B79" s="736"/>
      <c r="C79" s="736"/>
      <c r="D79" s="736"/>
      <c r="E79" s="736"/>
      <c r="F79" s="736"/>
      <c r="G79" s="736"/>
      <c r="H79" s="736"/>
      <c r="I79" s="736"/>
      <c r="J79" s="736"/>
      <c r="K79" s="736"/>
      <c r="L79" s="736"/>
      <c r="M79" s="736"/>
    </row>
    <row r="80" spans="1:13" ht="11.25">
      <c r="A80" s="736"/>
      <c r="B80" s="736"/>
      <c r="C80" s="736"/>
      <c r="D80" s="736"/>
      <c r="E80" s="736"/>
      <c r="F80" s="736"/>
      <c r="G80" s="736"/>
      <c r="H80" s="736"/>
      <c r="I80" s="736"/>
      <c r="J80" s="736"/>
      <c r="K80" s="736"/>
      <c r="L80" s="736"/>
      <c r="M80" s="736"/>
    </row>
    <row r="81" spans="1:13" ht="11.25">
      <c r="A81" s="736"/>
      <c r="B81" s="736"/>
      <c r="C81" s="736"/>
      <c r="D81" s="736"/>
      <c r="E81" s="736"/>
      <c r="F81" s="736"/>
      <c r="G81" s="736"/>
      <c r="H81" s="736"/>
      <c r="I81" s="736"/>
      <c r="J81" s="736"/>
      <c r="K81" s="736"/>
      <c r="L81" s="736"/>
      <c r="M81" s="736"/>
    </row>
    <row r="82" spans="1:13" ht="11.25">
      <c r="A82" s="736"/>
      <c r="B82" s="736"/>
      <c r="C82" s="736"/>
      <c r="D82" s="736"/>
      <c r="E82" s="736"/>
      <c r="F82" s="736"/>
      <c r="G82" s="736"/>
      <c r="H82" s="736"/>
      <c r="I82" s="736"/>
      <c r="J82" s="736"/>
      <c r="K82" s="736"/>
      <c r="L82" s="736"/>
      <c r="M82" s="736"/>
    </row>
    <row r="83" spans="1:13" ht="11.25">
      <c r="A83" s="736"/>
      <c r="B83" s="736"/>
      <c r="C83" s="736"/>
      <c r="D83" s="736"/>
      <c r="E83" s="736"/>
      <c r="F83" s="736"/>
      <c r="G83" s="736"/>
      <c r="H83" s="736"/>
      <c r="I83" s="736"/>
      <c r="J83" s="736"/>
      <c r="K83" s="736"/>
      <c r="L83" s="736"/>
      <c r="M83" s="736"/>
    </row>
    <row r="84" spans="1:13" ht="11.25">
      <c r="A84" s="736"/>
      <c r="B84" s="736"/>
      <c r="C84" s="736"/>
      <c r="D84" s="736"/>
      <c r="E84" s="736"/>
      <c r="F84" s="736"/>
      <c r="G84" s="736"/>
      <c r="H84" s="736"/>
      <c r="I84" s="736"/>
      <c r="J84" s="736"/>
      <c r="K84" s="736"/>
      <c r="L84" s="736"/>
      <c r="M84" s="736"/>
    </row>
    <row r="85" spans="1:13" ht="11.25">
      <c r="A85" s="736"/>
      <c r="B85" s="736"/>
      <c r="C85" s="736"/>
      <c r="D85" s="736"/>
      <c r="E85" s="736"/>
      <c r="F85" s="736"/>
      <c r="G85" s="736"/>
      <c r="H85" s="736"/>
      <c r="I85" s="736"/>
      <c r="J85" s="736"/>
      <c r="K85" s="736"/>
      <c r="L85" s="736"/>
      <c r="M85" s="736"/>
    </row>
    <row r="86" spans="1:13" ht="11.25">
      <c r="A86" s="736"/>
      <c r="B86" s="736"/>
      <c r="C86" s="736"/>
      <c r="D86" s="736"/>
      <c r="E86" s="736"/>
      <c r="F86" s="736"/>
      <c r="G86" s="736"/>
      <c r="H86" s="736"/>
      <c r="I86" s="736"/>
      <c r="J86" s="736"/>
      <c r="K86" s="736"/>
      <c r="L86" s="736"/>
      <c r="M86" s="736"/>
    </row>
    <row r="87" spans="1:13" ht="11.25">
      <c r="A87" s="736"/>
      <c r="B87" s="736"/>
      <c r="C87" s="736"/>
      <c r="D87" s="736"/>
      <c r="E87" s="736"/>
      <c r="F87" s="736"/>
      <c r="G87" s="736"/>
      <c r="H87" s="736"/>
      <c r="I87" s="736"/>
      <c r="J87" s="736"/>
      <c r="K87" s="736"/>
      <c r="L87" s="736"/>
      <c r="M87" s="736"/>
    </row>
    <row r="88" spans="1:13" ht="11.25">
      <c r="A88" s="736"/>
      <c r="B88" s="736"/>
      <c r="C88" s="736"/>
      <c r="D88" s="736"/>
      <c r="E88" s="736"/>
      <c r="F88" s="736"/>
      <c r="G88" s="736"/>
      <c r="H88" s="736"/>
      <c r="I88" s="736"/>
      <c r="J88" s="736"/>
      <c r="K88" s="736"/>
      <c r="L88" s="736"/>
      <c r="M88" s="736"/>
    </row>
    <row r="89" spans="1:13" ht="11.25">
      <c r="A89" s="736"/>
      <c r="B89" s="736"/>
      <c r="C89" s="736"/>
      <c r="D89" s="736"/>
      <c r="E89" s="736"/>
      <c r="F89" s="736"/>
      <c r="G89" s="736"/>
      <c r="H89" s="736"/>
      <c r="I89" s="736"/>
      <c r="J89" s="736"/>
      <c r="K89" s="736"/>
      <c r="L89" s="736"/>
      <c r="M89" s="736"/>
    </row>
    <row r="90" spans="1:13" ht="11.25">
      <c r="A90" s="736"/>
      <c r="B90" s="736"/>
      <c r="C90" s="736"/>
      <c r="D90" s="736"/>
      <c r="E90" s="736"/>
      <c r="F90" s="736"/>
      <c r="G90" s="736"/>
      <c r="H90" s="736"/>
      <c r="I90" s="736"/>
      <c r="J90" s="736"/>
      <c r="K90" s="736"/>
      <c r="L90" s="736"/>
      <c r="M90" s="736"/>
    </row>
    <row r="91" spans="1:13" ht="11.25">
      <c r="A91" s="736"/>
      <c r="B91" s="736"/>
      <c r="C91" s="736"/>
      <c r="D91" s="736"/>
      <c r="E91" s="736"/>
      <c r="F91" s="736"/>
      <c r="G91" s="736"/>
      <c r="H91" s="736"/>
      <c r="I91" s="736"/>
      <c r="J91" s="736"/>
      <c r="K91" s="736"/>
      <c r="L91" s="736"/>
      <c r="M91" s="736"/>
    </row>
    <row r="92" spans="1:13" ht="11.25">
      <c r="A92" s="736"/>
      <c r="B92" s="736"/>
      <c r="C92" s="736"/>
      <c r="D92" s="736"/>
      <c r="E92" s="736"/>
      <c r="F92" s="736"/>
      <c r="G92" s="736"/>
      <c r="H92" s="736"/>
      <c r="I92" s="736"/>
      <c r="J92" s="736"/>
      <c r="K92" s="736"/>
      <c r="L92" s="736"/>
      <c r="M92" s="736"/>
    </row>
    <row r="93" spans="1:13" ht="11.25">
      <c r="A93" s="736"/>
      <c r="B93" s="736"/>
      <c r="C93" s="736"/>
      <c r="D93" s="736"/>
      <c r="E93" s="736"/>
      <c r="F93" s="736"/>
      <c r="G93" s="736"/>
      <c r="H93" s="736"/>
      <c r="I93" s="736"/>
      <c r="J93" s="736"/>
      <c r="K93" s="736"/>
      <c r="L93" s="736"/>
      <c r="M93" s="736"/>
    </row>
    <row r="94" spans="1:13" ht="11.25">
      <c r="A94" s="736"/>
      <c r="B94" s="736"/>
      <c r="C94" s="736"/>
      <c r="D94" s="736"/>
      <c r="E94" s="736"/>
      <c r="F94" s="736"/>
      <c r="G94" s="736"/>
      <c r="H94" s="736"/>
      <c r="I94" s="736"/>
      <c r="J94" s="736"/>
      <c r="K94" s="736"/>
      <c r="L94" s="736"/>
      <c r="M94" s="736"/>
    </row>
    <row r="95" spans="1:13" ht="11.25">
      <c r="A95" s="736"/>
      <c r="B95" s="736"/>
      <c r="C95" s="736"/>
      <c r="D95" s="736"/>
      <c r="E95" s="736"/>
      <c r="F95" s="736"/>
      <c r="G95" s="736"/>
      <c r="H95" s="736"/>
      <c r="I95" s="736"/>
      <c r="J95" s="736"/>
      <c r="K95" s="736"/>
      <c r="L95" s="736"/>
      <c r="M95" s="736"/>
    </row>
    <row r="96" spans="1:13" ht="11.25">
      <c r="A96" s="736"/>
      <c r="B96" s="736"/>
      <c r="C96" s="736"/>
      <c r="D96" s="736"/>
      <c r="E96" s="736"/>
      <c r="F96" s="736"/>
      <c r="G96" s="736"/>
      <c r="H96" s="736"/>
      <c r="I96" s="736"/>
      <c r="J96" s="736"/>
      <c r="K96" s="736"/>
      <c r="L96" s="736"/>
      <c r="M96" s="736"/>
    </row>
    <row r="97" spans="1:13" ht="11.25">
      <c r="A97" s="736"/>
      <c r="B97" s="736"/>
      <c r="C97" s="736"/>
      <c r="D97" s="736"/>
      <c r="E97" s="736"/>
      <c r="F97" s="736"/>
      <c r="G97" s="736"/>
      <c r="H97" s="736"/>
      <c r="I97" s="736"/>
      <c r="J97" s="736"/>
      <c r="K97" s="736"/>
      <c r="L97" s="736"/>
      <c r="M97" s="736"/>
    </row>
    <row r="98" spans="1:13" ht="11.25">
      <c r="A98" s="736"/>
      <c r="B98" s="736"/>
      <c r="C98" s="736"/>
      <c r="D98" s="736"/>
      <c r="E98" s="736"/>
      <c r="F98" s="736"/>
      <c r="G98" s="736"/>
      <c r="H98" s="736"/>
      <c r="I98" s="736"/>
      <c r="J98" s="736"/>
      <c r="K98" s="736"/>
      <c r="L98" s="736"/>
      <c r="M98" s="736"/>
    </row>
    <row r="99" spans="1:13" ht="11.25">
      <c r="A99" s="736"/>
      <c r="B99" s="736"/>
      <c r="C99" s="736"/>
      <c r="D99" s="736"/>
      <c r="E99" s="736"/>
      <c r="F99" s="736"/>
      <c r="G99" s="736"/>
      <c r="H99" s="736"/>
      <c r="I99" s="736"/>
      <c r="J99" s="736"/>
      <c r="K99" s="736"/>
      <c r="L99" s="736"/>
      <c r="M99" s="736"/>
    </row>
    <row r="100" spans="1:13" ht="11.25">
      <c r="A100" s="736"/>
      <c r="B100" s="736"/>
      <c r="C100" s="736"/>
      <c r="D100" s="736"/>
      <c r="E100" s="736"/>
      <c r="F100" s="736"/>
      <c r="G100" s="736"/>
      <c r="H100" s="736"/>
      <c r="I100" s="736"/>
      <c r="J100" s="736"/>
      <c r="K100" s="736"/>
      <c r="L100" s="736"/>
      <c r="M100" s="736"/>
    </row>
    <row r="101" spans="1:13" ht="11.25">
      <c r="A101" s="736"/>
      <c r="B101" s="736"/>
      <c r="C101" s="736"/>
      <c r="D101" s="736"/>
      <c r="E101" s="736"/>
      <c r="F101" s="736"/>
      <c r="G101" s="736"/>
      <c r="H101" s="736"/>
      <c r="I101" s="736"/>
      <c r="J101" s="736"/>
      <c r="K101" s="736"/>
      <c r="L101" s="736"/>
      <c r="M101" s="736"/>
    </row>
    <row r="102" spans="1:13" ht="11.25">
      <c r="A102" s="736"/>
      <c r="B102" s="736"/>
      <c r="C102" s="736"/>
      <c r="D102" s="736"/>
      <c r="E102" s="736"/>
      <c r="F102" s="736"/>
      <c r="G102" s="736"/>
      <c r="H102" s="736"/>
      <c r="I102" s="736"/>
      <c r="J102" s="736"/>
      <c r="K102" s="736"/>
      <c r="L102" s="736"/>
      <c r="M102" s="736"/>
    </row>
    <row r="103" spans="1:13" ht="11.25">
      <c r="A103" s="736"/>
      <c r="B103" s="736"/>
      <c r="C103" s="736"/>
      <c r="D103" s="736"/>
      <c r="E103" s="736"/>
      <c r="F103" s="736"/>
      <c r="G103" s="736"/>
      <c r="H103" s="736"/>
      <c r="I103" s="736"/>
      <c r="J103" s="736"/>
      <c r="K103" s="736"/>
      <c r="L103" s="736"/>
      <c r="M103" s="736"/>
    </row>
    <row r="104" spans="1:13" ht="11.25">
      <c r="A104" s="736"/>
      <c r="B104" s="736"/>
      <c r="C104" s="736"/>
      <c r="D104" s="736"/>
      <c r="E104" s="736"/>
      <c r="F104" s="736"/>
      <c r="G104" s="736"/>
      <c r="H104" s="736"/>
      <c r="I104" s="736"/>
      <c r="J104" s="736"/>
      <c r="K104" s="736"/>
      <c r="L104" s="736"/>
      <c r="M104" s="736"/>
    </row>
    <row r="105" spans="1:13" ht="11.25">
      <c r="A105" s="736"/>
      <c r="B105" s="736"/>
      <c r="C105" s="736"/>
      <c r="D105" s="736"/>
      <c r="E105" s="736"/>
      <c r="F105" s="736"/>
      <c r="G105" s="736"/>
      <c r="H105" s="736"/>
      <c r="I105" s="736"/>
      <c r="J105" s="736"/>
      <c r="K105" s="736"/>
      <c r="L105" s="736"/>
      <c r="M105" s="736"/>
    </row>
    <row r="106" spans="1:13" ht="11.25">
      <c r="A106" s="736"/>
      <c r="B106" s="736"/>
      <c r="C106" s="736"/>
      <c r="D106" s="736"/>
      <c r="E106" s="736"/>
      <c r="F106" s="736"/>
      <c r="G106" s="736"/>
      <c r="H106" s="736"/>
      <c r="I106" s="736"/>
      <c r="J106" s="736"/>
      <c r="K106" s="736"/>
      <c r="L106" s="736"/>
      <c r="M106" s="736"/>
    </row>
    <row r="107" spans="1:13" ht="11.25">
      <c r="A107" s="736"/>
      <c r="B107" s="736"/>
      <c r="C107" s="736"/>
      <c r="D107" s="736"/>
      <c r="E107" s="736"/>
      <c r="F107" s="736"/>
      <c r="G107" s="736"/>
      <c r="H107" s="736"/>
      <c r="I107" s="736"/>
      <c r="J107" s="736"/>
      <c r="K107" s="736"/>
      <c r="L107" s="736"/>
      <c r="M107" s="736"/>
    </row>
    <row r="108" spans="1:13" ht="11.25">
      <c r="A108" s="736"/>
      <c r="B108" s="736"/>
      <c r="C108" s="736"/>
      <c r="D108" s="736"/>
      <c r="E108" s="736"/>
      <c r="F108" s="736"/>
      <c r="G108" s="736"/>
      <c r="H108" s="736"/>
      <c r="I108" s="736"/>
      <c r="J108" s="736"/>
      <c r="K108" s="736"/>
      <c r="L108" s="736"/>
      <c r="M108" s="736"/>
    </row>
    <row r="109" spans="1:13" ht="11.25">
      <c r="A109" s="736"/>
      <c r="B109" s="736"/>
      <c r="C109" s="736"/>
      <c r="D109" s="736"/>
      <c r="E109" s="736"/>
      <c r="F109" s="736"/>
      <c r="G109" s="736"/>
      <c r="H109" s="736"/>
      <c r="I109" s="736"/>
      <c r="J109" s="736"/>
      <c r="K109" s="736"/>
      <c r="L109" s="736"/>
      <c r="M109" s="736"/>
    </row>
    <row r="110" spans="1:13" ht="11.25">
      <c r="A110" s="736"/>
      <c r="B110" s="736"/>
      <c r="C110" s="736"/>
      <c r="D110" s="736"/>
      <c r="E110" s="736"/>
      <c r="F110" s="736"/>
      <c r="G110" s="736"/>
      <c r="H110" s="736"/>
      <c r="I110" s="736"/>
      <c r="J110" s="736"/>
      <c r="K110" s="736"/>
      <c r="L110" s="736"/>
      <c r="M110" s="736"/>
    </row>
    <row r="111" spans="1:13" ht="11.25">
      <c r="A111" s="736"/>
      <c r="B111" s="736"/>
      <c r="C111" s="736"/>
      <c r="D111" s="736"/>
      <c r="E111" s="736"/>
      <c r="F111" s="736"/>
      <c r="G111" s="736"/>
      <c r="H111" s="736"/>
      <c r="I111" s="736"/>
      <c r="J111" s="736"/>
      <c r="K111" s="736"/>
      <c r="L111" s="736"/>
      <c r="M111" s="736"/>
    </row>
    <row r="112" spans="1:13" ht="11.25">
      <c r="A112" s="736"/>
      <c r="B112" s="736"/>
      <c r="C112" s="736"/>
      <c r="D112" s="736"/>
      <c r="E112" s="736"/>
      <c r="F112" s="736"/>
      <c r="G112" s="736"/>
      <c r="H112" s="736"/>
      <c r="I112" s="736"/>
      <c r="J112" s="736"/>
      <c r="K112" s="736"/>
      <c r="L112" s="736"/>
      <c r="M112" s="736"/>
    </row>
    <row r="113" spans="1:13" ht="11.25">
      <c r="A113" s="736"/>
      <c r="B113" s="736"/>
      <c r="C113" s="736"/>
      <c r="D113" s="736"/>
      <c r="E113" s="736"/>
      <c r="F113" s="736"/>
      <c r="G113" s="736"/>
      <c r="H113" s="736"/>
      <c r="I113" s="736"/>
      <c r="J113" s="736"/>
      <c r="K113" s="736"/>
      <c r="L113" s="736"/>
      <c r="M113" s="736"/>
    </row>
    <row r="114" spans="1:13" ht="11.25">
      <c r="A114" s="736"/>
      <c r="B114" s="736"/>
      <c r="C114" s="736"/>
      <c r="D114" s="736"/>
      <c r="E114" s="736"/>
      <c r="F114" s="736"/>
      <c r="G114" s="736"/>
      <c r="H114" s="736"/>
      <c r="I114" s="736"/>
      <c r="J114" s="736"/>
      <c r="K114" s="736"/>
      <c r="L114" s="736"/>
      <c r="M114" s="736"/>
    </row>
    <row r="115" spans="1:13" ht="11.25">
      <c r="A115" s="736"/>
      <c r="B115" s="736"/>
      <c r="C115" s="736"/>
      <c r="D115" s="736"/>
      <c r="E115" s="736"/>
      <c r="F115" s="736"/>
      <c r="G115" s="736"/>
      <c r="H115" s="736"/>
      <c r="I115" s="736"/>
      <c r="J115" s="736"/>
      <c r="K115" s="736"/>
      <c r="L115" s="736"/>
      <c r="M115" s="736"/>
    </row>
    <row r="116" spans="1:13" ht="11.25">
      <c r="A116" s="736"/>
      <c r="B116" s="736"/>
      <c r="C116" s="736"/>
      <c r="D116" s="736"/>
      <c r="E116" s="736"/>
      <c r="F116" s="736"/>
      <c r="G116" s="736"/>
      <c r="H116" s="736"/>
      <c r="I116" s="736"/>
      <c r="J116" s="736"/>
      <c r="K116" s="736"/>
      <c r="L116" s="736"/>
      <c r="M116" s="736"/>
    </row>
    <row r="117" spans="1:13" ht="11.25">
      <c r="A117" s="736"/>
      <c r="B117" s="736"/>
      <c r="C117" s="736"/>
      <c r="D117" s="736"/>
      <c r="E117" s="736"/>
      <c r="F117" s="736"/>
      <c r="G117" s="736"/>
      <c r="H117" s="736"/>
      <c r="I117" s="736"/>
      <c r="J117" s="736"/>
      <c r="K117" s="736"/>
      <c r="L117" s="736"/>
      <c r="M117" s="736"/>
    </row>
    <row r="118" spans="1:13" ht="11.25">
      <c r="A118" s="736"/>
      <c r="B118" s="736"/>
      <c r="C118" s="736"/>
      <c r="D118" s="736"/>
      <c r="E118" s="736"/>
      <c r="F118" s="736"/>
      <c r="G118" s="736"/>
      <c r="H118" s="736"/>
      <c r="I118" s="736"/>
      <c r="J118" s="736"/>
      <c r="K118" s="736"/>
      <c r="L118" s="736"/>
      <c r="M118" s="736"/>
    </row>
    <row r="119" spans="1:13" ht="11.25">
      <c r="A119" s="736"/>
      <c r="B119" s="736"/>
      <c r="C119" s="736"/>
      <c r="D119" s="736"/>
      <c r="E119" s="736"/>
      <c r="F119" s="736"/>
      <c r="G119" s="736"/>
      <c r="H119" s="736"/>
      <c r="I119" s="736"/>
      <c r="J119" s="736"/>
      <c r="K119" s="736"/>
      <c r="L119" s="736"/>
      <c r="M119" s="736"/>
    </row>
    <row r="120" spans="1:13" ht="11.25">
      <c r="A120" s="736"/>
      <c r="B120" s="736"/>
      <c r="C120" s="736"/>
      <c r="D120" s="736"/>
      <c r="E120" s="736"/>
      <c r="F120" s="736"/>
      <c r="G120" s="736"/>
      <c r="H120" s="736"/>
      <c r="I120" s="736"/>
      <c r="J120" s="736"/>
      <c r="K120" s="736"/>
      <c r="L120" s="736"/>
      <c r="M120" s="736"/>
    </row>
    <row r="121" spans="1:13" ht="11.25">
      <c r="A121" s="736"/>
      <c r="B121" s="736"/>
      <c r="C121" s="736"/>
      <c r="D121" s="736"/>
      <c r="E121" s="736"/>
      <c r="F121" s="736"/>
      <c r="G121" s="736"/>
      <c r="H121" s="736"/>
      <c r="I121" s="736"/>
      <c r="J121" s="736"/>
      <c r="K121" s="736"/>
      <c r="L121" s="736"/>
      <c r="M121" s="736"/>
    </row>
    <row r="122" spans="1:13" ht="11.25">
      <c r="A122" s="736"/>
      <c r="B122" s="736"/>
      <c r="C122" s="736"/>
      <c r="D122" s="736"/>
      <c r="E122" s="736"/>
      <c r="F122" s="736"/>
      <c r="G122" s="736"/>
      <c r="H122" s="736"/>
      <c r="I122" s="736"/>
      <c r="J122" s="736"/>
      <c r="K122" s="736"/>
      <c r="L122" s="736"/>
      <c r="M122" s="736"/>
    </row>
    <row r="123" spans="1:13" ht="11.25">
      <c r="A123" s="736"/>
      <c r="B123" s="736"/>
      <c r="C123" s="736"/>
      <c r="D123" s="736"/>
      <c r="E123" s="736"/>
      <c r="F123" s="736"/>
      <c r="G123" s="736"/>
      <c r="H123" s="736"/>
      <c r="I123" s="736"/>
      <c r="J123" s="736"/>
      <c r="K123" s="736"/>
      <c r="L123" s="736"/>
      <c r="M123" s="736"/>
    </row>
    <row r="124" spans="1:13" ht="11.25">
      <c r="A124" s="736"/>
      <c r="B124" s="736"/>
      <c r="C124" s="736"/>
      <c r="D124" s="736"/>
      <c r="E124" s="736"/>
      <c r="F124" s="736"/>
      <c r="G124" s="736"/>
      <c r="H124" s="736"/>
      <c r="I124" s="736"/>
      <c r="J124" s="736"/>
      <c r="K124" s="736"/>
      <c r="L124" s="736"/>
      <c r="M124" s="736"/>
    </row>
    <row r="125" spans="1:13" ht="11.25">
      <c r="A125" s="736"/>
      <c r="B125" s="736"/>
      <c r="C125" s="736"/>
      <c r="D125" s="736"/>
      <c r="E125" s="736"/>
      <c r="F125" s="736"/>
      <c r="G125" s="736"/>
      <c r="H125" s="736"/>
      <c r="I125" s="736"/>
      <c r="J125" s="736"/>
      <c r="K125" s="736"/>
      <c r="L125" s="736"/>
      <c r="M125" s="736"/>
    </row>
    <row r="126" spans="1:13" ht="11.25">
      <c r="A126" s="736"/>
      <c r="B126" s="736"/>
      <c r="C126" s="736"/>
      <c r="D126" s="736"/>
      <c r="E126" s="736"/>
      <c r="F126" s="736"/>
      <c r="G126" s="736"/>
      <c r="H126" s="736"/>
      <c r="I126" s="736"/>
      <c r="J126" s="736"/>
      <c r="K126" s="736"/>
      <c r="L126" s="736"/>
      <c r="M126" s="736"/>
    </row>
    <row r="127" spans="1:13" ht="11.25">
      <c r="A127" s="736"/>
      <c r="B127" s="736"/>
      <c r="C127" s="736"/>
      <c r="D127" s="736"/>
      <c r="E127" s="736"/>
      <c r="F127" s="736"/>
      <c r="G127" s="736"/>
      <c r="H127" s="736"/>
      <c r="I127" s="736"/>
      <c r="J127" s="736"/>
      <c r="K127" s="736"/>
      <c r="L127" s="736"/>
      <c r="M127" s="736"/>
    </row>
    <row r="128" spans="1:13" ht="11.25">
      <c r="A128" s="736"/>
      <c r="B128" s="736"/>
      <c r="C128" s="736"/>
      <c r="D128" s="736"/>
      <c r="E128" s="736"/>
      <c r="F128" s="736"/>
      <c r="G128" s="736"/>
      <c r="H128" s="736"/>
      <c r="I128" s="736"/>
      <c r="J128" s="736"/>
      <c r="K128" s="736"/>
      <c r="L128" s="736"/>
      <c r="M128" s="736"/>
    </row>
    <row r="129" spans="1:13" ht="11.25">
      <c r="A129" s="736"/>
      <c r="B129" s="736"/>
      <c r="C129" s="736"/>
      <c r="D129" s="736"/>
      <c r="E129" s="736"/>
      <c r="F129" s="736"/>
      <c r="G129" s="736"/>
      <c r="H129" s="736"/>
      <c r="I129" s="736"/>
      <c r="J129" s="736"/>
      <c r="K129" s="736"/>
      <c r="L129" s="736"/>
      <c r="M129" s="736"/>
    </row>
    <row r="130" spans="1:13" ht="11.25">
      <c r="A130" s="736"/>
      <c r="B130" s="736"/>
      <c r="C130" s="736"/>
      <c r="D130" s="736"/>
      <c r="E130" s="736"/>
      <c r="F130" s="736"/>
      <c r="G130" s="736"/>
      <c r="H130" s="736"/>
      <c r="I130" s="736"/>
      <c r="J130" s="736"/>
      <c r="K130" s="736"/>
      <c r="L130" s="736"/>
      <c r="M130" s="736"/>
    </row>
    <row r="131" spans="1:13" ht="11.25">
      <c r="A131" s="736"/>
      <c r="B131" s="736"/>
      <c r="C131" s="736"/>
      <c r="D131" s="736"/>
      <c r="E131" s="736"/>
      <c r="F131" s="736"/>
      <c r="G131" s="736"/>
      <c r="H131" s="736"/>
      <c r="I131" s="736"/>
      <c r="J131" s="736"/>
      <c r="K131" s="736"/>
      <c r="L131" s="736"/>
      <c r="M131" s="736"/>
    </row>
    <row r="132" spans="1:13" ht="11.25">
      <c r="A132" s="736"/>
      <c r="B132" s="736"/>
      <c r="C132" s="736"/>
      <c r="D132" s="736"/>
      <c r="E132" s="736"/>
      <c r="F132" s="736"/>
      <c r="G132" s="736"/>
      <c r="H132" s="736"/>
      <c r="I132" s="736"/>
      <c r="J132" s="736"/>
      <c r="K132" s="736"/>
      <c r="L132" s="736"/>
      <c r="M132" s="736"/>
    </row>
    <row r="133" spans="1:13" ht="11.25">
      <c r="A133" s="736"/>
      <c r="B133" s="736"/>
      <c r="C133" s="736"/>
      <c r="D133" s="736"/>
      <c r="E133" s="736"/>
      <c r="F133" s="736"/>
      <c r="G133" s="736"/>
      <c r="H133" s="736"/>
      <c r="I133" s="736"/>
      <c r="J133" s="736"/>
      <c r="K133" s="736"/>
      <c r="L133" s="736"/>
      <c r="M133" s="736"/>
    </row>
    <row r="134" spans="1:13" ht="11.25">
      <c r="A134" s="736"/>
      <c r="B134" s="736"/>
      <c r="C134" s="736"/>
      <c r="D134" s="736"/>
      <c r="E134" s="736"/>
      <c r="F134" s="736"/>
      <c r="G134" s="736"/>
      <c r="H134" s="736"/>
      <c r="I134" s="736"/>
      <c r="J134" s="736"/>
      <c r="K134" s="736"/>
      <c r="L134" s="736"/>
      <c r="M134" s="736"/>
    </row>
    <row r="135" spans="1:13" ht="11.25">
      <c r="A135" s="736"/>
      <c r="B135" s="736"/>
      <c r="C135" s="736"/>
      <c r="D135" s="736"/>
      <c r="E135" s="736"/>
      <c r="F135" s="736"/>
      <c r="G135" s="736"/>
      <c r="H135" s="736"/>
      <c r="I135" s="736"/>
      <c r="J135" s="736"/>
      <c r="K135" s="736"/>
      <c r="L135" s="736"/>
      <c r="M135" s="736"/>
    </row>
    <row r="136" spans="1:13" ht="11.25">
      <c r="A136" s="736"/>
      <c r="B136" s="736"/>
      <c r="C136" s="736"/>
      <c r="D136" s="736"/>
      <c r="E136" s="736"/>
      <c r="F136" s="736"/>
      <c r="G136" s="736"/>
      <c r="H136" s="736"/>
      <c r="I136" s="736"/>
      <c r="J136" s="736"/>
      <c r="K136" s="736"/>
      <c r="L136" s="736"/>
      <c r="M136" s="736"/>
    </row>
    <row r="137" spans="1:13" ht="11.25">
      <c r="A137" s="736"/>
      <c r="B137" s="736"/>
      <c r="C137" s="736"/>
      <c r="D137" s="736"/>
      <c r="E137" s="736"/>
      <c r="F137" s="736"/>
      <c r="G137" s="736"/>
      <c r="H137" s="736"/>
      <c r="I137" s="736"/>
      <c r="J137" s="736"/>
      <c r="K137" s="736"/>
      <c r="L137" s="736"/>
      <c r="M137" s="736"/>
    </row>
    <row r="138" spans="1:13" ht="11.25">
      <c r="A138" s="736"/>
      <c r="B138" s="736"/>
      <c r="C138" s="736"/>
      <c r="D138" s="736"/>
      <c r="E138" s="736"/>
      <c r="F138" s="736"/>
      <c r="G138" s="736"/>
      <c r="H138" s="736"/>
      <c r="I138" s="736"/>
      <c r="J138" s="736"/>
      <c r="K138" s="736"/>
      <c r="L138" s="736"/>
      <c r="M138" s="736"/>
    </row>
    <row r="139" spans="1:13" ht="11.25">
      <c r="A139" s="736"/>
      <c r="B139" s="736"/>
      <c r="C139" s="736"/>
      <c r="D139" s="736"/>
      <c r="E139" s="736"/>
      <c r="F139" s="736"/>
      <c r="G139" s="736"/>
      <c r="H139" s="736"/>
      <c r="I139" s="736"/>
      <c r="J139" s="736"/>
      <c r="K139" s="736"/>
      <c r="L139" s="736"/>
      <c r="M139" s="736"/>
    </row>
    <row r="140" spans="1:13" ht="11.25">
      <c r="A140" s="736"/>
      <c r="B140" s="736"/>
      <c r="C140" s="736"/>
      <c r="D140" s="736"/>
      <c r="E140" s="736"/>
      <c r="F140" s="736"/>
      <c r="G140" s="736"/>
      <c r="H140" s="736"/>
      <c r="I140" s="736"/>
      <c r="J140" s="736"/>
      <c r="K140" s="736"/>
      <c r="L140" s="736"/>
      <c r="M140" s="736"/>
    </row>
    <row r="141" spans="1:13" ht="11.25">
      <c r="A141" s="736"/>
      <c r="B141" s="736"/>
      <c r="C141" s="736"/>
      <c r="D141" s="736"/>
      <c r="E141" s="736"/>
      <c r="F141" s="736"/>
      <c r="G141" s="736"/>
      <c r="H141" s="736"/>
      <c r="I141" s="736"/>
      <c r="J141" s="736"/>
      <c r="K141" s="736"/>
      <c r="L141" s="736"/>
      <c r="M141" s="736"/>
    </row>
    <row r="142" spans="1:13" ht="11.25">
      <c r="A142" s="736"/>
      <c r="B142" s="736"/>
      <c r="C142" s="736"/>
      <c r="D142" s="736"/>
      <c r="E142" s="736"/>
      <c r="F142" s="736"/>
      <c r="G142" s="736"/>
      <c r="H142" s="736"/>
      <c r="I142" s="736"/>
      <c r="J142" s="736"/>
      <c r="K142" s="736"/>
      <c r="L142" s="736"/>
      <c r="M142" s="736"/>
    </row>
    <row r="143" spans="1:13" ht="11.25">
      <c r="A143" s="736"/>
      <c r="B143" s="736"/>
      <c r="C143" s="736"/>
      <c r="D143" s="736"/>
      <c r="E143" s="736"/>
      <c r="F143" s="736"/>
      <c r="G143" s="736"/>
      <c r="H143" s="736"/>
      <c r="I143" s="736"/>
      <c r="J143" s="736"/>
      <c r="K143" s="736"/>
      <c r="L143" s="736"/>
      <c r="M143" s="736"/>
    </row>
    <row r="144" spans="1:13" ht="11.25">
      <c r="A144" s="736"/>
      <c r="B144" s="736"/>
      <c r="C144" s="736"/>
      <c r="D144" s="736"/>
      <c r="E144" s="736"/>
      <c r="F144" s="736"/>
      <c r="G144" s="736"/>
      <c r="H144" s="736"/>
      <c r="I144" s="736"/>
      <c r="J144" s="736"/>
      <c r="K144" s="736"/>
      <c r="L144" s="736"/>
      <c r="M144" s="736"/>
    </row>
    <row r="145" spans="1:13" ht="11.25">
      <c r="A145" s="736"/>
      <c r="B145" s="736"/>
      <c r="C145" s="736"/>
      <c r="D145" s="736"/>
      <c r="E145" s="736"/>
      <c r="F145" s="736"/>
      <c r="G145" s="736"/>
      <c r="H145" s="736"/>
      <c r="I145" s="736"/>
      <c r="J145" s="736"/>
      <c r="K145" s="736"/>
      <c r="L145" s="736"/>
      <c r="M145" s="736"/>
    </row>
    <row r="146" spans="1:13" ht="11.25">
      <c r="A146" s="736"/>
      <c r="B146" s="736"/>
      <c r="C146" s="736"/>
      <c r="D146" s="736"/>
      <c r="E146" s="736"/>
      <c r="F146" s="736"/>
      <c r="G146" s="736"/>
      <c r="H146" s="736"/>
      <c r="I146" s="736"/>
      <c r="J146" s="736"/>
      <c r="K146" s="736"/>
      <c r="L146" s="736"/>
      <c r="M146" s="736"/>
    </row>
    <row r="147" spans="1:13" ht="11.25">
      <c r="A147" s="736"/>
      <c r="B147" s="736"/>
      <c r="C147" s="736"/>
      <c r="D147" s="736"/>
      <c r="E147" s="736"/>
      <c r="F147" s="736"/>
      <c r="G147" s="736"/>
      <c r="H147" s="736"/>
      <c r="I147" s="736"/>
      <c r="J147" s="736"/>
      <c r="K147" s="736"/>
      <c r="L147" s="736"/>
      <c r="M147" s="736"/>
    </row>
    <row r="148" spans="1:13" ht="11.25">
      <c r="A148" s="736"/>
      <c r="B148" s="736"/>
      <c r="C148" s="736"/>
      <c r="D148" s="736"/>
      <c r="E148" s="736"/>
      <c r="F148" s="736"/>
      <c r="G148" s="736"/>
      <c r="H148" s="736"/>
      <c r="I148" s="736"/>
      <c r="J148" s="736"/>
      <c r="K148" s="736"/>
      <c r="L148" s="736"/>
      <c r="M148" s="736"/>
    </row>
    <row r="149" spans="1:13" ht="11.25">
      <c r="A149" s="736"/>
      <c r="B149" s="736"/>
      <c r="C149" s="736"/>
      <c r="D149" s="736"/>
      <c r="E149" s="736"/>
      <c r="F149" s="736"/>
      <c r="G149" s="736"/>
      <c r="H149" s="736"/>
      <c r="I149" s="736"/>
      <c r="J149" s="736"/>
      <c r="K149" s="736"/>
      <c r="L149" s="736"/>
      <c r="M149" s="736"/>
    </row>
    <row r="150" spans="1:13" ht="11.25">
      <c r="A150" s="736"/>
      <c r="B150" s="736"/>
      <c r="C150" s="736"/>
      <c r="D150" s="736"/>
      <c r="E150" s="736"/>
      <c r="F150" s="736"/>
      <c r="G150" s="736"/>
      <c r="H150" s="736"/>
      <c r="I150" s="736"/>
      <c r="J150" s="736"/>
      <c r="K150" s="736"/>
      <c r="L150" s="736"/>
      <c r="M150" s="736"/>
    </row>
    <row r="151" spans="1:13" ht="11.25">
      <c r="A151" s="736"/>
      <c r="B151" s="736"/>
      <c r="C151" s="736"/>
      <c r="D151" s="736"/>
      <c r="E151" s="736"/>
      <c r="F151" s="736"/>
      <c r="G151" s="736"/>
      <c r="H151" s="736"/>
      <c r="I151" s="736"/>
      <c r="J151" s="736"/>
      <c r="K151" s="736"/>
      <c r="L151" s="736"/>
      <c r="M151" s="736"/>
    </row>
    <row r="152" spans="1:13" ht="11.25">
      <c r="A152" s="736"/>
      <c r="B152" s="736"/>
      <c r="C152" s="736"/>
      <c r="D152" s="736"/>
      <c r="E152" s="736"/>
      <c r="F152" s="736"/>
      <c r="G152" s="736"/>
      <c r="H152" s="736"/>
      <c r="I152" s="736"/>
      <c r="J152" s="736"/>
      <c r="K152" s="736"/>
      <c r="L152" s="736"/>
      <c r="M152" s="736"/>
    </row>
    <row r="153" spans="1:13" ht="11.25">
      <c r="A153" s="736"/>
      <c r="B153" s="736"/>
      <c r="C153" s="736"/>
      <c r="D153" s="736"/>
      <c r="E153" s="736"/>
      <c r="F153" s="736"/>
      <c r="G153" s="736"/>
      <c r="H153" s="736"/>
      <c r="I153" s="736"/>
      <c r="J153" s="736"/>
      <c r="K153" s="736"/>
      <c r="L153" s="736"/>
      <c r="M153" s="736"/>
    </row>
    <row r="154" spans="1:13" ht="11.25">
      <c r="A154" s="736"/>
      <c r="B154" s="736"/>
      <c r="C154" s="736"/>
      <c r="D154" s="736"/>
      <c r="E154" s="736"/>
      <c r="F154" s="736"/>
      <c r="G154" s="736"/>
      <c r="H154" s="736"/>
      <c r="I154" s="736"/>
      <c r="J154" s="736"/>
      <c r="K154" s="736"/>
      <c r="L154" s="736"/>
      <c r="M154" s="736"/>
    </row>
    <row r="155" spans="1:13" ht="11.25">
      <c r="A155" s="736"/>
      <c r="B155" s="736"/>
      <c r="C155" s="736"/>
      <c r="D155" s="736"/>
      <c r="E155" s="736"/>
      <c r="F155" s="736"/>
      <c r="G155" s="736"/>
      <c r="H155" s="736"/>
      <c r="I155" s="736"/>
      <c r="J155" s="736"/>
      <c r="K155" s="736"/>
      <c r="L155" s="736"/>
      <c r="M155" s="736"/>
    </row>
    <row r="156" spans="1:13" ht="11.25">
      <c r="A156" s="736"/>
      <c r="B156" s="736"/>
      <c r="C156" s="736"/>
      <c r="D156" s="736"/>
      <c r="E156" s="736"/>
      <c r="F156" s="736"/>
      <c r="G156" s="736"/>
      <c r="H156" s="736"/>
      <c r="I156" s="736"/>
      <c r="J156" s="736"/>
      <c r="K156" s="736"/>
      <c r="L156" s="736"/>
      <c r="M156" s="736"/>
    </row>
    <row r="157" spans="1:13" ht="11.25">
      <c r="A157" s="736"/>
      <c r="B157" s="736"/>
      <c r="C157" s="736"/>
      <c r="D157" s="736"/>
      <c r="E157" s="736"/>
      <c r="F157" s="736"/>
      <c r="G157" s="736"/>
      <c r="H157" s="736"/>
      <c r="I157" s="736"/>
      <c r="J157" s="736"/>
      <c r="K157" s="736"/>
      <c r="L157" s="736"/>
      <c r="M157" s="736"/>
    </row>
    <row r="158" spans="1:13" ht="11.25">
      <c r="A158" s="736"/>
      <c r="B158" s="736"/>
      <c r="C158" s="736"/>
      <c r="D158" s="736"/>
      <c r="E158" s="736"/>
      <c r="F158" s="736"/>
      <c r="G158" s="736"/>
      <c r="H158" s="736"/>
      <c r="I158" s="736"/>
      <c r="J158" s="736"/>
      <c r="K158" s="736"/>
      <c r="L158" s="736"/>
      <c r="M158" s="736"/>
    </row>
    <row r="159" spans="1:13" ht="11.25">
      <c r="A159" s="736"/>
      <c r="B159" s="736"/>
      <c r="C159" s="736"/>
      <c r="D159" s="736"/>
      <c r="E159" s="736"/>
      <c r="F159" s="736"/>
      <c r="G159" s="736"/>
      <c r="H159" s="736"/>
      <c r="I159" s="736"/>
      <c r="J159" s="736"/>
      <c r="K159" s="736"/>
      <c r="L159" s="736"/>
      <c r="M159" s="736"/>
    </row>
    <row r="160" spans="1:13" ht="11.25">
      <c r="A160" s="736"/>
      <c r="B160" s="736"/>
      <c r="C160" s="736"/>
      <c r="D160" s="736"/>
      <c r="E160" s="736"/>
      <c r="F160" s="736"/>
      <c r="G160" s="736"/>
      <c r="H160" s="736"/>
      <c r="I160" s="736"/>
      <c r="J160" s="736"/>
      <c r="K160" s="736"/>
      <c r="L160" s="736"/>
      <c r="M160" s="736"/>
    </row>
    <row r="161" spans="1:13" ht="11.25">
      <c r="A161" s="736"/>
      <c r="B161" s="736"/>
      <c r="C161" s="736"/>
      <c r="D161" s="736"/>
      <c r="E161" s="736"/>
      <c r="F161" s="736"/>
      <c r="G161" s="736"/>
      <c r="H161" s="736"/>
      <c r="I161" s="736"/>
      <c r="J161" s="736"/>
      <c r="K161" s="736"/>
      <c r="L161" s="736"/>
      <c r="M161" s="736"/>
    </row>
    <row r="162" spans="1:13" ht="11.25">
      <c r="A162" s="736"/>
      <c r="B162" s="736"/>
      <c r="C162" s="736"/>
      <c r="D162" s="736"/>
      <c r="E162" s="736"/>
      <c r="F162" s="736"/>
      <c r="G162" s="736"/>
      <c r="H162" s="736"/>
      <c r="I162" s="736"/>
      <c r="J162" s="736"/>
      <c r="K162" s="736"/>
      <c r="L162" s="736"/>
      <c r="M162" s="736"/>
    </row>
    <row r="163" spans="1:13" ht="11.25">
      <c r="A163" s="736"/>
      <c r="B163" s="736"/>
      <c r="C163" s="736"/>
      <c r="D163" s="736"/>
      <c r="E163" s="736"/>
      <c r="F163" s="736"/>
      <c r="G163" s="736"/>
      <c r="H163" s="736"/>
      <c r="I163" s="736"/>
      <c r="J163" s="736"/>
      <c r="K163" s="736"/>
      <c r="L163" s="736"/>
      <c r="M163" s="736"/>
    </row>
    <row r="164" spans="1:13" ht="11.25">
      <c r="A164" s="736"/>
      <c r="B164" s="736"/>
      <c r="C164" s="736"/>
      <c r="D164" s="736"/>
      <c r="E164" s="736"/>
      <c r="F164" s="736"/>
      <c r="G164" s="736"/>
      <c r="H164" s="736"/>
      <c r="I164" s="736"/>
      <c r="J164" s="736"/>
      <c r="K164" s="736"/>
      <c r="L164" s="736"/>
      <c r="M164" s="736"/>
    </row>
    <row r="165" spans="1:13" ht="11.25">
      <c r="A165" s="736"/>
      <c r="B165" s="736"/>
      <c r="C165" s="736"/>
      <c r="D165" s="736"/>
      <c r="E165" s="736"/>
      <c r="F165" s="736"/>
      <c r="G165" s="736"/>
      <c r="H165" s="736"/>
      <c r="I165" s="736"/>
      <c r="J165" s="736"/>
      <c r="K165" s="736"/>
      <c r="L165" s="736"/>
      <c r="M165" s="736"/>
    </row>
    <row r="166" spans="1:13" ht="11.25">
      <c r="A166" s="736"/>
      <c r="B166" s="736"/>
      <c r="C166" s="736"/>
      <c r="D166" s="736"/>
      <c r="E166" s="736"/>
      <c r="F166" s="736"/>
      <c r="G166" s="736"/>
      <c r="H166" s="736"/>
      <c r="I166" s="736"/>
      <c r="J166" s="736"/>
      <c r="K166" s="736"/>
      <c r="L166" s="736"/>
      <c r="M166" s="736"/>
    </row>
    <row r="167" spans="1:13" ht="11.25">
      <c r="A167" s="736"/>
      <c r="B167" s="736"/>
      <c r="C167" s="736"/>
      <c r="D167" s="736"/>
      <c r="E167" s="736"/>
      <c r="F167" s="736"/>
      <c r="G167" s="736"/>
      <c r="H167" s="736"/>
      <c r="I167" s="736"/>
      <c r="J167" s="736"/>
      <c r="K167" s="736"/>
      <c r="L167" s="736"/>
      <c r="M167" s="736"/>
    </row>
    <row r="168" spans="1:13" ht="11.25">
      <c r="A168" s="736"/>
      <c r="B168" s="736"/>
      <c r="C168" s="736"/>
      <c r="D168" s="736"/>
      <c r="E168" s="736"/>
      <c r="F168" s="736"/>
      <c r="G168" s="736"/>
      <c r="H168" s="736"/>
      <c r="I168" s="736"/>
      <c r="J168" s="736"/>
      <c r="K168" s="736"/>
      <c r="L168" s="736"/>
      <c r="M168" s="736"/>
    </row>
    <row r="169" spans="1:13" ht="11.25">
      <c r="A169" s="736"/>
      <c r="B169" s="736"/>
      <c r="C169" s="736"/>
      <c r="D169" s="736"/>
      <c r="E169" s="736"/>
      <c r="F169" s="736"/>
      <c r="G169" s="736"/>
      <c r="H169" s="736"/>
      <c r="I169" s="736"/>
      <c r="J169" s="736"/>
      <c r="K169" s="736"/>
      <c r="L169" s="736"/>
      <c r="M169" s="736"/>
    </row>
  </sheetData>
  <mergeCells count="4">
    <mergeCell ref="A1:M1"/>
    <mergeCell ref="A2:M2"/>
    <mergeCell ref="A3:M3"/>
    <mergeCell ref="A4:M4"/>
  </mergeCells>
  <printOptions horizontalCentered="1"/>
  <pageMargins left="0.5" right="0.5" top="0.75" bottom="0.5" header="0.3" footer="0.3"/>
  <pageSetup scale="9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P97"/>
  <sheetViews>
    <sheetView zoomScaleNormal="100" zoomScaleSheetLayoutView="100" workbookViewId="0">
      <selection activeCell="A4" sqref="A4:J4"/>
    </sheetView>
  </sheetViews>
  <sheetFormatPr defaultColWidth="11.6640625" defaultRowHeight="12.75"/>
  <cols>
    <col min="1" max="1" width="8.6640625" style="766" customWidth="1"/>
    <col min="2" max="2" width="7.5" style="766" customWidth="1"/>
    <col min="3" max="3" width="18.6640625" style="766" customWidth="1"/>
    <col min="4" max="4" width="12.6640625" style="766" customWidth="1"/>
    <col min="5" max="5" width="6.6640625" style="766" customWidth="1"/>
    <col min="6" max="6" width="16.5" style="766" bestFit="1" customWidth="1"/>
    <col min="7" max="7" width="5.5" style="766" customWidth="1"/>
    <col min="8" max="8" width="13.33203125" style="766" customWidth="1"/>
    <col min="9" max="9" width="5.6640625" style="766" customWidth="1"/>
    <col min="10" max="10" width="18.33203125" style="766" customWidth="1"/>
    <col min="11" max="11" width="14.6640625" style="766" customWidth="1"/>
    <col min="12" max="16384" width="11.6640625" style="766"/>
  </cols>
  <sheetData>
    <row r="1" spans="1:13" ht="12.75" customHeight="1">
      <c r="A1" s="1351" t="str">
        <f>'General Headers Index'!B4</f>
        <v>COLUMBIA GAS OF KENTUCKY, INC.</v>
      </c>
      <c r="B1" s="1351"/>
      <c r="C1" s="1351"/>
      <c r="D1" s="1351"/>
      <c r="E1" s="1351"/>
      <c r="F1" s="1351"/>
      <c r="G1" s="1351"/>
      <c r="H1" s="1351"/>
      <c r="I1" s="1351"/>
      <c r="J1" s="1351"/>
      <c r="K1" s="735"/>
      <c r="L1" s="735"/>
      <c r="M1" s="735"/>
    </row>
    <row r="2" spans="1:13" ht="12.75" customHeight="1">
      <c r="A2" s="1351" t="str">
        <f>'General Headers Index'!B6</f>
        <v>CASE NO. 2024 - 00092</v>
      </c>
      <c r="B2" s="1351"/>
      <c r="C2" s="1351"/>
      <c r="D2" s="1351"/>
      <c r="E2" s="1351"/>
      <c r="F2" s="1351"/>
      <c r="G2" s="1351"/>
      <c r="H2" s="1351"/>
      <c r="I2" s="1351"/>
      <c r="J2" s="1351"/>
      <c r="K2" s="735"/>
      <c r="L2" s="735"/>
      <c r="M2" s="735"/>
    </row>
    <row r="3" spans="1:13" ht="12.75" customHeight="1">
      <c r="A3" s="1352" t="str">
        <f>'Index J'!$C$23</f>
        <v>EMBEDDED COST OF SHORT-TERM DEBT</v>
      </c>
      <c r="B3" s="1352"/>
      <c r="C3" s="1352"/>
      <c r="D3" s="1352"/>
      <c r="E3" s="1352"/>
      <c r="F3" s="1352"/>
      <c r="G3" s="1352"/>
      <c r="H3" s="1352"/>
      <c r="I3" s="1352"/>
      <c r="J3" s="1352"/>
    </row>
    <row r="4" spans="1:13" ht="12.75" customHeight="1">
      <c r="A4" s="1353" t="str">
        <f>_xlfn.CONCAT("FORECASTED PERIOD THIRTEEN MONTH AVERAGE ",'General Headers Index'!B17)</f>
        <v>FORECASTED PERIOD THIRTEEN MONTH AVERAGE AS OF DECEMBER 31, 2025</v>
      </c>
      <c r="B4" s="1353"/>
      <c r="C4" s="1353"/>
      <c r="D4" s="1353"/>
      <c r="E4" s="1353"/>
      <c r="F4" s="1353"/>
      <c r="G4" s="1353"/>
      <c r="H4" s="1353"/>
      <c r="I4" s="1353"/>
      <c r="J4" s="1353"/>
      <c r="K4" s="768"/>
    </row>
    <row r="5" spans="1:13" ht="12.75" customHeight="1">
      <c r="A5" s="750"/>
      <c r="B5" s="750"/>
      <c r="C5" s="750"/>
      <c r="D5" s="750"/>
      <c r="E5" s="750"/>
      <c r="F5" s="750"/>
      <c r="G5" s="750"/>
      <c r="H5" s="750"/>
      <c r="I5" s="750"/>
      <c r="J5" s="750"/>
      <c r="K5" s="768"/>
    </row>
    <row r="6" spans="1:13" ht="12.75" customHeight="1">
      <c r="A6" s="750"/>
      <c r="B6" s="750"/>
      <c r="C6" s="750"/>
      <c r="D6" s="750"/>
      <c r="E6" s="750"/>
      <c r="F6" s="750"/>
      <c r="G6" s="750"/>
      <c r="H6" s="750"/>
      <c r="I6" s="750"/>
      <c r="J6" s="750"/>
      <c r="K6" s="768"/>
    </row>
    <row r="7" spans="1:13" ht="12.75" customHeight="1"/>
    <row r="8" spans="1:13" ht="12.75" customHeight="1">
      <c r="A8" s="744" t="s">
        <v>2788</v>
      </c>
      <c r="J8" s="769" t="s">
        <v>168</v>
      </c>
    </row>
    <row r="9" spans="1:13" ht="12.75" customHeight="1">
      <c r="A9" s="744" t="s">
        <v>572</v>
      </c>
      <c r="J9" s="769" t="s">
        <v>722</v>
      </c>
    </row>
    <row r="10" spans="1:13" ht="12.75" customHeight="1">
      <c r="A10" s="791" t="s">
        <v>575</v>
      </c>
      <c r="J10" s="769" t="s">
        <v>1481</v>
      </c>
    </row>
    <row r="11" spans="1:13" ht="12.75" customHeight="1">
      <c r="A11" s="1117"/>
      <c r="B11" s="1128"/>
      <c r="C11" s="1128"/>
      <c r="D11" s="1128"/>
      <c r="E11" s="1128"/>
      <c r="F11" s="1128"/>
      <c r="G11" s="1128"/>
      <c r="H11" s="1128"/>
      <c r="I11" s="1128"/>
      <c r="J11" s="1129"/>
    </row>
    <row r="12" spans="1:13" ht="12.75" customHeight="1">
      <c r="J12" s="767" t="s">
        <v>169</v>
      </c>
      <c r="K12" s="767"/>
    </row>
    <row r="13" spans="1:13" ht="12.75" customHeight="1">
      <c r="A13" s="767" t="s">
        <v>313</v>
      </c>
      <c r="F13" s="767" t="s">
        <v>444</v>
      </c>
      <c r="H13" s="767" t="s">
        <v>171</v>
      </c>
      <c r="J13" s="767" t="s">
        <v>72</v>
      </c>
      <c r="K13" s="767"/>
    </row>
    <row r="14" spans="1:13" ht="12.75" customHeight="1">
      <c r="A14" s="1130" t="s">
        <v>316</v>
      </c>
      <c r="B14" s="1128"/>
      <c r="C14" s="1130" t="s">
        <v>172</v>
      </c>
      <c r="D14" s="1128"/>
      <c r="E14" s="1128"/>
      <c r="F14" s="1130" t="s">
        <v>173</v>
      </c>
      <c r="G14" s="1128"/>
      <c r="H14" s="1130" t="s">
        <v>71</v>
      </c>
      <c r="I14" s="1128"/>
      <c r="J14" s="1130" t="s">
        <v>453</v>
      </c>
      <c r="K14" s="767"/>
    </row>
    <row r="15" spans="1:13" ht="12.75" customHeight="1">
      <c r="C15" s="770" t="s">
        <v>532</v>
      </c>
      <c r="F15" s="770" t="s">
        <v>541</v>
      </c>
      <c r="H15" s="770" t="s">
        <v>542</v>
      </c>
      <c r="J15" s="770" t="s">
        <v>2836</v>
      </c>
      <c r="K15" s="767"/>
    </row>
    <row r="16" spans="1:13" ht="12.75" customHeight="1"/>
    <row r="17" spans="1:6" ht="12.75" customHeight="1">
      <c r="A17" s="767">
        <v>1</v>
      </c>
      <c r="C17" s="766" t="s">
        <v>1560</v>
      </c>
      <c r="D17" s="771"/>
      <c r="F17" s="772">
        <v>28614593.082642</v>
      </c>
    </row>
    <row r="18" spans="1:6" ht="12.75" customHeight="1">
      <c r="A18" s="767">
        <f>A17+1</f>
        <v>2</v>
      </c>
      <c r="C18" s="766" t="s">
        <v>1561</v>
      </c>
      <c r="F18" s="772">
        <v>20436440.160628799</v>
      </c>
    </row>
    <row r="19" spans="1:6" ht="12.75" customHeight="1">
      <c r="A19" s="767">
        <f t="shared" ref="A19:A29" si="0">A18+1</f>
        <v>3</v>
      </c>
      <c r="C19" s="771" t="s">
        <v>1562</v>
      </c>
      <c r="D19" s="771"/>
      <c r="F19" s="772">
        <v>9654449.0962472204</v>
      </c>
    </row>
    <row r="20" spans="1:6" ht="12.75" customHeight="1">
      <c r="A20" s="767">
        <f t="shared" si="0"/>
        <v>4</v>
      </c>
      <c r="C20" s="771" t="s">
        <v>1563</v>
      </c>
      <c r="F20" s="772">
        <v>0</v>
      </c>
    </row>
    <row r="21" spans="1:6" ht="12.75" customHeight="1">
      <c r="A21" s="767">
        <f t="shared" si="0"/>
        <v>5</v>
      </c>
      <c r="C21" s="771" t="s">
        <v>1564</v>
      </c>
      <c r="D21" s="771"/>
      <c r="F21" s="772">
        <v>0</v>
      </c>
    </row>
    <row r="22" spans="1:6" ht="12.75" customHeight="1">
      <c r="A22" s="767">
        <f t="shared" si="0"/>
        <v>6</v>
      </c>
      <c r="C22" s="766" t="s">
        <v>1565</v>
      </c>
      <c r="F22" s="772">
        <v>0</v>
      </c>
    </row>
    <row r="23" spans="1:6" ht="12.75" customHeight="1">
      <c r="A23" s="767">
        <f t="shared" si="0"/>
        <v>7</v>
      </c>
      <c r="C23" s="771" t="s">
        <v>1566</v>
      </c>
      <c r="F23" s="772">
        <v>0</v>
      </c>
    </row>
    <row r="24" spans="1:6" ht="12.75" customHeight="1">
      <c r="A24" s="767">
        <f t="shared" si="0"/>
        <v>8</v>
      </c>
      <c r="C24" s="771" t="s">
        <v>1567</v>
      </c>
      <c r="D24" s="771"/>
      <c r="F24" s="772">
        <v>2045307.4213773001</v>
      </c>
    </row>
    <row r="25" spans="1:6" ht="12.75" customHeight="1">
      <c r="A25" s="767">
        <f t="shared" si="0"/>
        <v>9</v>
      </c>
      <c r="C25" s="771" t="s">
        <v>1568</v>
      </c>
      <c r="D25" s="771"/>
      <c r="F25" s="772">
        <v>7843329.8707647398</v>
      </c>
    </row>
    <row r="26" spans="1:6" ht="12.75" customHeight="1">
      <c r="A26" s="767">
        <f t="shared" si="0"/>
        <v>10</v>
      </c>
      <c r="C26" s="766" t="s">
        <v>1569</v>
      </c>
      <c r="D26" s="771"/>
      <c r="F26" s="772">
        <v>16084649.077005999</v>
      </c>
    </row>
    <row r="27" spans="1:6" ht="12.75" customHeight="1">
      <c r="A27" s="767">
        <f t="shared" si="0"/>
        <v>11</v>
      </c>
      <c r="C27" s="771" t="s">
        <v>1570</v>
      </c>
      <c r="F27" s="772">
        <v>18751758.738106102</v>
      </c>
    </row>
    <row r="28" spans="1:6" ht="12.75" customHeight="1">
      <c r="A28" s="767">
        <f t="shared" si="0"/>
        <v>12</v>
      </c>
      <c r="C28" s="771" t="s">
        <v>1571</v>
      </c>
      <c r="D28" s="771"/>
      <c r="F28" s="772">
        <v>23253305.689628299</v>
      </c>
    </row>
    <row r="29" spans="1:6" ht="12.75" customHeight="1">
      <c r="A29" s="767">
        <f t="shared" si="0"/>
        <v>13</v>
      </c>
      <c r="C29" s="766" t="s">
        <v>1572</v>
      </c>
      <c r="D29" s="771"/>
      <c r="F29" s="1131">
        <v>24122663.449546602</v>
      </c>
    </row>
    <row r="30" spans="1:6" ht="12.75" customHeight="1">
      <c r="A30" s="767" t="s">
        <v>358</v>
      </c>
      <c r="D30" s="771"/>
    </row>
    <row r="31" spans="1:6" ht="12.75" customHeight="1">
      <c r="A31" s="767">
        <f>A29+1</f>
        <v>14</v>
      </c>
      <c r="C31" s="766" t="s">
        <v>677</v>
      </c>
      <c r="F31" s="1132">
        <f>SUM(F17:F29)</f>
        <v>150806496.58594707</v>
      </c>
    </row>
    <row r="32" spans="1:6" ht="12.75" customHeight="1">
      <c r="A32" s="767" t="s">
        <v>358</v>
      </c>
      <c r="F32" s="772"/>
    </row>
    <row r="33" spans="1:10" ht="12.75" customHeight="1">
      <c r="A33" s="767">
        <f>A31+1</f>
        <v>15</v>
      </c>
      <c r="C33" s="773" t="s">
        <v>671</v>
      </c>
      <c r="D33" s="771"/>
      <c r="F33" s="774">
        <f>ROUND(F31/13,0)</f>
        <v>11600500</v>
      </c>
      <c r="H33" s="775">
        <v>5.2499999999999998E-2</v>
      </c>
      <c r="J33" s="774">
        <f>F33*H33</f>
        <v>609026.25</v>
      </c>
    </row>
    <row r="34" spans="1:10" ht="12.75" customHeight="1">
      <c r="A34" s="767" t="s">
        <v>358</v>
      </c>
    </row>
    <row r="35" spans="1:10" hidden="1">
      <c r="A35" s="767">
        <f>A33+1</f>
        <v>16</v>
      </c>
      <c r="C35" s="766" t="s">
        <v>1475</v>
      </c>
      <c r="F35" s="776">
        <f>J33/F33</f>
        <v>5.2499999999999998E-2</v>
      </c>
    </row>
    <row r="36" spans="1:10" hidden="1">
      <c r="A36" s="767"/>
      <c r="F36" s="706"/>
    </row>
    <row r="37" spans="1:10" hidden="1">
      <c r="A37" s="767"/>
      <c r="F37" s="706"/>
    </row>
    <row r="38" spans="1:10" hidden="1">
      <c r="A38" s="767"/>
      <c r="F38" s="706"/>
    </row>
    <row r="39" spans="1:10" hidden="1"/>
    <row r="40" spans="1:10" hidden="1">
      <c r="A40" s="766" t="s">
        <v>358</v>
      </c>
      <c r="G40" s="772"/>
      <c r="I40" s="777"/>
    </row>
    <row r="41" spans="1:10" hidden="1">
      <c r="C41" s="771"/>
      <c r="G41" s="772"/>
      <c r="H41" s="778"/>
      <c r="I41" s="777"/>
      <c r="J41" s="777"/>
    </row>
    <row r="42" spans="1:10" hidden="1">
      <c r="C42" s="771"/>
    </row>
    <row r="43" spans="1:10" hidden="1">
      <c r="C43" s="771"/>
    </row>
    <row r="44" spans="1:10" hidden="1"/>
    <row r="45" spans="1:10">
      <c r="C45" s="771"/>
      <c r="G45" s="772"/>
      <c r="I45" s="777"/>
    </row>
    <row r="46" spans="1:10">
      <c r="C46" s="771"/>
      <c r="G46" s="772"/>
      <c r="H46" s="778"/>
      <c r="I46" s="777"/>
      <c r="J46" s="777"/>
    </row>
    <row r="47" spans="1:10">
      <c r="C47" s="771"/>
      <c r="G47" s="772"/>
      <c r="I47" s="777"/>
    </row>
    <row r="48" spans="1:10">
      <c r="G48" s="772"/>
      <c r="H48" s="772"/>
      <c r="I48" s="777"/>
      <c r="J48" s="777"/>
    </row>
    <row r="49" spans="1:16">
      <c r="C49" s="771"/>
      <c r="G49" s="772"/>
    </row>
    <row r="50" spans="1:16">
      <c r="C50" s="771"/>
    </row>
    <row r="57" spans="1:16">
      <c r="G57" s="767"/>
    </row>
    <row r="58" spans="1:16">
      <c r="G58" s="767"/>
    </row>
    <row r="59" spans="1:16">
      <c r="A59" s="779"/>
      <c r="G59" s="767"/>
    </row>
    <row r="60" spans="1:16">
      <c r="G60" s="767"/>
      <c r="M60" s="772"/>
      <c r="N60" s="772"/>
      <c r="O60" s="772"/>
      <c r="P60" s="772"/>
    </row>
    <row r="61" spans="1:16">
      <c r="M61" s="772"/>
      <c r="N61" s="772"/>
      <c r="O61" s="772"/>
      <c r="P61" s="772"/>
    </row>
    <row r="62" spans="1:16">
      <c r="A62" s="771"/>
      <c r="M62" s="772"/>
      <c r="N62" s="772"/>
      <c r="O62" s="772"/>
      <c r="P62" s="772"/>
    </row>
    <row r="63" spans="1:16">
      <c r="A63" s="771"/>
      <c r="M63" s="772"/>
      <c r="N63" s="772"/>
      <c r="O63" s="772"/>
      <c r="P63" s="772"/>
    </row>
    <row r="64" spans="1:16">
      <c r="A64" s="771"/>
      <c r="M64" s="772"/>
      <c r="N64" s="772"/>
      <c r="O64" s="772"/>
      <c r="P64" s="772"/>
    </row>
    <row r="65" spans="1:12">
      <c r="J65" s="767"/>
      <c r="K65" s="767"/>
    </row>
    <row r="66" spans="1:12">
      <c r="A66" s="767"/>
      <c r="F66" s="767"/>
      <c r="H66" s="767"/>
      <c r="J66" s="767"/>
      <c r="K66" s="767"/>
    </row>
    <row r="67" spans="1:12">
      <c r="A67" s="767"/>
      <c r="C67" s="767"/>
      <c r="F67" s="767"/>
      <c r="H67" s="767"/>
      <c r="J67" s="767"/>
      <c r="K67" s="767"/>
    </row>
    <row r="68" spans="1:12">
      <c r="C68" s="767"/>
      <c r="F68" s="767"/>
      <c r="H68" s="767"/>
      <c r="J68" s="767"/>
      <c r="K68" s="767"/>
    </row>
    <row r="69" spans="1:12">
      <c r="F69" s="767"/>
      <c r="J69" s="767"/>
    </row>
    <row r="71" spans="1:12">
      <c r="A71" s="767"/>
      <c r="C71" s="771"/>
      <c r="F71" s="772"/>
      <c r="G71" s="772"/>
      <c r="H71" s="780"/>
      <c r="I71" s="777"/>
      <c r="J71" s="772"/>
      <c r="K71" s="772"/>
      <c r="L71" s="772"/>
    </row>
    <row r="73" spans="1:12">
      <c r="A73" s="767"/>
      <c r="C73" s="771"/>
      <c r="F73" s="772"/>
      <c r="G73" s="772"/>
      <c r="H73" s="772"/>
      <c r="I73" s="777"/>
      <c r="J73" s="772"/>
      <c r="K73" s="772"/>
      <c r="L73" s="772"/>
    </row>
    <row r="74" spans="1:12">
      <c r="F74" s="772"/>
      <c r="G74" s="772"/>
      <c r="H74" s="778"/>
      <c r="I74" s="777"/>
      <c r="K74" s="772"/>
      <c r="L74" s="772"/>
    </row>
    <row r="75" spans="1:12">
      <c r="A75" s="767"/>
      <c r="C75" s="771"/>
      <c r="F75" s="772"/>
      <c r="G75" s="772"/>
      <c r="H75" s="772"/>
      <c r="I75" s="777"/>
      <c r="J75" s="772"/>
      <c r="K75" s="772"/>
      <c r="L75" s="772"/>
    </row>
    <row r="76" spans="1:12">
      <c r="F76" s="772"/>
      <c r="G76" s="772"/>
      <c r="H76" s="778"/>
      <c r="I76" s="772"/>
      <c r="J76" s="772"/>
      <c r="K76" s="772"/>
      <c r="L76" s="772"/>
    </row>
    <row r="77" spans="1:12">
      <c r="A77" s="767"/>
      <c r="C77" s="771"/>
      <c r="F77" s="781"/>
      <c r="G77" s="772"/>
      <c r="H77" s="772"/>
      <c r="I77" s="777"/>
      <c r="J77" s="781"/>
      <c r="K77" s="782"/>
      <c r="L77" s="772"/>
    </row>
    <row r="78" spans="1:12">
      <c r="F78" s="772"/>
      <c r="G78" s="772"/>
      <c r="H78" s="778"/>
      <c r="I78" s="777"/>
      <c r="J78" s="777"/>
      <c r="K78" s="772"/>
      <c r="L78" s="772"/>
    </row>
    <row r="79" spans="1:12">
      <c r="G79" s="772"/>
      <c r="I79" s="777"/>
    </row>
    <row r="80" spans="1:12">
      <c r="C80" s="771"/>
      <c r="G80" s="772"/>
      <c r="H80" s="778"/>
      <c r="I80" s="777"/>
      <c r="J80" s="777"/>
    </row>
    <row r="81" spans="1:10">
      <c r="C81" s="771"/>
    </row>
    <row r="82" spans="1:10">
      <c r="C82" s="771"/>
    </row>
    <row r="84" spans="1:10">
      <c r="C84" s="771"/>
      <c r="G84" s="772"/>
      <c r="I84" s="777"/>
    </row>
    <row r="85" spans="1:10">
      <c r="C85" s="771"/>
      <c r="G85" s="772"/>
      <c r="H85" s="778"/>
      <c r="I85" s="777"/>
      <c r="J85" s="777"/>
    </row>
    <row r="86" spans="1:10">
      <c r="C86" s="771"/>
      <c r="G86" s="772"/>
      <c r="I86" s="777"/>
    </row>
    <row r="87" spans="1:10">
      <c r="G87" s="772"/>
      <c r="H87" s="772"/>
      <c r="I87" s="777"/>
      <c r="J87" s="777"/>
    </row>
    <row r="88" spans="1:10">
      <c r="C88" s="771"/>
      <c r="G88" s="772"/>
    </row>
    <row r="89" spans="1:10">
      <c r="C89" s="771"/>
    </row>
    <row r="94" spans="1:10">
      <c r="A94" s="771"/>
      <c r="C94" s="771"/>
    </row>
    <row r="95" spans="1:10">
      <c r="C95" s="771"/>
    </row>
    <row r="96" spans="1:10">
      <c r="C96" s="771"/>
    </row>
    <row r="97" spans="3:3">
      <c r="C97" s="771"/>
    </row>
  </sheetData>
  <mergeCells count="4">
    <mergeCell ref="A1:J1"/>
    <mergeCell ref="A2:J2"/>
    <mergeCell ref="A3:J3"/>
    <mergeCell ref="A4:J4"/>
  </mergeCells>
  <printOptions horizontalCentered="1"/>
  <pageMargins left="0.5" right="0.5" top="0.75" bottom="0.5" header="0.3" footer="0.3"/>
  <pageSetup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O102"/>
  <sheetViews>
    <sheetView zoomScaleNormal="100" zoomScaleSheetLayoutView="100" workbookViewId="0">
      <selection activeCell="A4" sqref="A4:L4"/>
    </sheetView>
  </sheetViews>
  <sheetFormatPr defaultColWidth="10" defaultRowHeight="12.75"/>
  <cols>
    <col min="1" max="1" width="7.5" style="749" customWidth="1"/>
    <col min="2" max="2" width="3.33203125" style="749" customWidth="1"/>
    <col min="3" max="3" width="52.1640625" style="749" customWidth="1"/>
    <col min="4" max="4" width="20.83203125" style="749" customWidth="1"/>
    <col min="5" max="5" width="21.6640625" style="749" customWidth="1"/>
    <col min="6" max="6" width="16.5" style="749" bestFit="1" customWidth="1"/>
    <col min="7" max="7" width="1.83203125" style="749" customWidth="1"/>
    <col min="8" max="8" width="11.5" style="749" bestFit="1" customWidth="1"/>
    <col min="9" max="9" width="1.83203125" style="749" customWidth="1"/>
    <col min="10" max="10" width="13.6640625" style="749" bestFit="1" customWidth="1"/>
    <col min="11" max="11" width="1.83203125" style="749" customWidth="1"/>
    <col min="12" max="12" width="23.1640625" style="749" bestFit="1" customWidth="1"/>
    <col min="13" max="16384" width="10" style="749"/>
  </cols>
  <sheetData>
    <row r="1" spans="1:12" ht="12.75" customHeight="1">
      <c r="A1" s="1354" t="str">
        <f>'General Headers Index'!B4</f>
        <v>COLUMBIA GAS OF KENTUCKY, INC.</v>
      </c>
      <c r="B1" s="1354"/>
      <c r="C1" s="1354"/>
      <c r="D1" s="1354"/>
      <c r="E1" s="1354"/>
      <c r="F1" s="1354"/>
      <c r="G1" s="1354"/>
      <c r="H1" s="1354"/>
      <c r="I1" s="1354"/>
      <c r="J1" s="1354"/>
      <c r="K1" s="1354"/>
      <c r="L1" s="1354"/>
    </row>
    <row r="2" spans="1:12" ht="12.75" customHeight="1">
      <c r="A2" s="1354" t="str">
        <f>'J-2'!A2:K2</f>
        <v>CASE NO. 2024 - 00092</v>
      </c>
      <c r="B2" s="1354"/>
      <c r="C2" s="1354"/>
      <c r="D2" s="1354"/>
      <c r="E2" s="1354"/>
      <c r="F2" s="1354"/>
      <c r="G2" s="1354"/>
      <c r="H2" s="1354"/>
      <c r="I2" s="1354"/>
      <c r="J2" s="1354"/>
      <c r="K2" s="1354"/>
      <c r="L2" s="1354"/>
    </row>
    <row r="3" spans="1:12" ht="12.75" customHeight="1">
      <c r="A3" s="1354" t="str">
        <f>'Index J'!$C$24</f>
        <v>EMBEDDED COST OF LONG-TERM DEBT</v>
      </c>
      <c r="B3" s="1354"/>
      <c r="C3" s="1354"/>
      <c r="D3" s="1354"/>
      <c r="E3" s="1354"/>
      <c r="F3" s="1354"/>
      <c r="G3" s="1354"/>
      <c r="H3" s="1354"/>
      <c r="I3" s="1354"/>
      <c r="J3" s="1354"/>
      <c r="K3" s="1354"/>
      <c r="L3" s="1354"/>
    </row>
    <row r="4" spans="1:12" ht="12.75" customHeight="1">
      <c r="A4" s="1353" t="str">
        <f>_xlfn.CONCAT("FORECASTED PERIOD THIRTEEN MONTH AVERAGE ",'General Headers Index'!B17)</f>
        <v>FORECASTED PERIOD THIRTEEN MONTH AVERAGE AS OF DECEMBER 31, 2025</v>
      </c>
      <c r="B4" s="1353"/>
      <c r="C4" s="1353"/>
      <c r="D4" s="1353"/>
      <c r="E4" s="1353"/>
      <c r="F4" s="1353"/>
      <c r="G4" s="1353"/>
      <c r="H4" s="1353"/>
      <c r="I4" s="1353"/>
      <c r="J4" s="1353"/>
      <c r="K4" s="1353"/>
      <c r="L4" s="1353"/>
    </row>
    <row r="5" spans="1:12" ht="12.75" customHeight="1">
      <c r="A5" s="750"/>
      <c r="B5" s="750"/>
      <c r="C5" s="750"/>
      <c r="D5" s="750"/>
      <c r="E5" s="750"/>
      <c r="F5" s="750"/>
      <c r="G5" s="750"/>
      <c r="H5" s="750"/>
      <c r="I5" s="750"/>
      <c r="J5" s="750"/>
      <c r="K5" s="750"/>
      <c r="L5" s="750"/>
    </row>
    <row r="6" spans="1:12" ht="12.75" customHeight="1">
      <c r="A6" s="750"/>
      <c r="B6" s="750"/>
      <c r="C6" s="750"/>
      <c r="D6" s="750"/>
      <c r="E6" s="750"/>
      <c r="F6" s="750"/>
      <c r="G6" s="750"/>
      <c r="H6" s="750"/>
      <c r="I6" s="750"/>
      <c r="J6" s="750"/>
      <c r="K6" s="750"/>
      <c r="L6" s="750"/>
    </row>
    <row r="7" spans="1:12" ht="12.75" customHeight="1"/>
    <row r="8" spans="1:12" ht="12.75" customHeight="1">
      <c r="A8" s="744" t="s">
        <v>2788</v>
      </c>
      <c r="K8" s="751"/>
      <c r="L8" s="751" t="s">
        <v>174</v>
      </c>
    </row>
    <row r="9" spans="1:12" ht="12.75" customHeight="1">
      <c r="A9" s="744" t="s">
        <v>572</v>
      </c>
      <c r="K9" s="751"/>
      <c r="L9" s="751" t="s">
        <v>722</v>
      </c>
    </row>
    <row r="10" spans="1:12" ht="12.75" customHeight="1">
      <c r="A10" s="791" t="s">
        <v>575</v>
      </c>
      <c r="K10" s="751"/>
      <c r="L10" s="751" t="s">
        <v>1481</v>
      </c>
    </row>
    <row r="11" spans="1:12" ht="12.75" customHeight="1">
      <c r="A11" s="1117"/>
      <c r="B11" s="1134"/>
      <c r="C11" s="1134"/>
      <c r="D11" s="1134"/>
      <c r="E11" s="1134"/>
      <c r="F11" s="1134"/>
      <c r="G11" s="1134"/>
      <c r="H11" s="1134"/>
      <c r="I11" s="1134"/>
      <c r="J11" s="1134"/>
      <c r="K11" s="1135"/>
      <c r="L11" s="1135"/>
    </row>
    <row r="12" spans="1:12" ht="12.75" customHeight="1">
      <c r="J12" s="748" t="s">
        <v>169</v>
      </c>
      <c r="L12" s="748" t="s">
        <v>170</v>
      </c>
    </row>
    <row r="13" spans="1:12" ht="12.75" customHeight="1">
      <c r="A13" s="748" t="s">
        <v>313</v>
      </c>
      <c r="D13" s="748"/>
      <c r="E13" s="748"/>
      <c r="F13" s="748" t="s">
        <v>444</v>
      </c>
      <c r="H13" s="748" t="s">
        <v>171</v>
      </c>
      <c r="J13" s="748" t="s">
        <v>72</v>
      </c>
      <c r="L13" s="748" t="s">
        <v>171</v>
      </c>
    </row>
    <row r="14" spans="1:12" ht="12.75" customHeight="1">
      <c r="A14" s="1136" t="s">
        <v>316</v>
      </c>
      <c r="B14" s="1134"/>
      <c r="C14" s="1136" t="s">
        <v>172</v>
      </c>
      <c r="D14" s="1136" t="s">
        <v>2795</v>
      </c>
      <c r="E14" s="1136" t="s">
        <v>2796</v>
      </c>
      <c r="F14" s="1136" t="s">
        <v>173</v>
      </c>
      <c r="G14" s="1134"/>
      <c r="H14" s="1136" t="s">
        <v>71</v>
      </c>
      <c r="I14" s="1134"/>
      <c r="J14" s="1136" t="s">
        <v>453</v>
      </c>
      <c r="K14" s="1134"/>
      <c r="L14" s="1136" t="s">
        <v>71</v>
      </c>
    </row>
    <row r="15" spans="1:12" ht="12.75" customHeight="1">
      <c r="C15" s="752" t="s">
        <v>532</v>
      </c>
      <c r="D15" s="752" t="s">
        <v>541</v>
      </c>
      <c r="E15" s="752" t="s">
        <v>542</v>
      </c>
      <c r="F15" s="752" t="s">
        <v>668</v>
      </c>
      <c r="H15" s="752" t="s">
        <v>669</v>
      </c>
      <c r="J15" s="752" t="s">
        <v>670</v>
      </c>
      <c r="L15" s="752" t="s">
        <v>2797</v>
      </c>
    </row>
    <row r="16" spans="1:12" ht="12.75" customHeight="1">
      <c r="F16" s="748" t="s">
        <v>320</v>
      </c>
      <c r="J16" s="748" t="s">
        <v>320</v>
      </c>
    </row>
    <row r="17" spans="1:15" ht="12.75" customHeight="1">
      <c r="A17" s="754">
        <v>1</v>
      </c>
      <c r="C17" s="755" t="s">
        <v>1476</v>
      </c>
      <c r="D17" s="756" t="s">
        <v>2794</v>
      </c>
      <c r="E17" s="756" t="s">
        <v>2814</v>
      </c>
      <c r="F17" s="757">
        <v>12375000</v>
      </c>
      <c r="H17" s="758">
        <v>5.9200000000000003E-2</v>
      </c>
      <c r="J17" s="757">
        <v>732600</v>
      </c>
      <c r="M17" s="757"/>
      <c r="N17" s="757"/>
      <c r="O17" s="757"/>
    </row>
    <row r="18" spans="1:15" ht="12.75" customHeight="1">
      <c r="A18" s="754">
        <f>A17+1</f>
        <v>2</v>
      </c>
      <c r="C18" s="755" t="s">
        <v>1476</v>
      </c>
      <c r="D18" s="753" t="s">
        <v>2798</v>
      </c>
      <c r="E18" s="753" t="s">
        <v>2815</v>
      </c>
      <c r="F18" s="757">
        <v>10000000</v>
      </c>
      <c r="G18" s="757"/>
      <c r="H18" s="758">
        <v>6.0199999999999997E-2</v>
      </c>
      <c r="I18" s="759"/>
      <c r="J18" s="757">
        <v>602000</v>
      </c>
      <c r="K18" s="757"/>
      <c r="L18" s="757"/>
    </row>
    <row r="19" spans="1:15" ht="12.75" customHeight="1">
      <c r="A19" s="754">
        <f t="shared" ref="A19:A35" si="0">A18+1</f>
        <v>3</v>
      </c>
      <c r="C19" s="755" t="s">
        <v>1476</v>
      </c>
      <c r="D19" s="753" t="s">
        <v>2799</v>
      </c>
      <c r="E19" s="753" t="s">
        <v>2816</v>
      </c>
      <c r="F19" s="757">
        <v>20000000</v>
      </c>
      <c r="G19" s="757"/>
      <c r="H19" s="758">
        <v>5.7700000000000001E-2</v>
      </c>
      <c r="I19" s="759"/>
      <c r="J19" s="757">
        <v>1154000</v>
      </c>
      <c r="K19" s="757"/>
      <c r="L19" s="757"/>
      <c r="M19" s="757"/>
      <c r="N19" s="757"/>
      <c r="O19" s="757"/>
    </row>
    <row r="20" spans="1:15" ht="12.75" customHeight="1">
      <c r="A20" s="754">
        <f t="shared" si="0"/>
        <v>4</v>
      </c>
      <c r="C20" s="755" t="s">
        <v>1476</v>
      </c>
      <c r="D20" s="753" t="s">
        <v>2800</v>
      </c>
      <c r="E20" s="753" t="s">
        <v>2817</v>
      </c>
      <c r="F20" s="757">
        <v>20000000</v>
      </c>
      <c r="G20" s="757"/>
      <c r="H20" s="758">
        <v>6.2E-2</v>
      </c>
      <c r="I20" s="757"/>
      <c r="J20" s="757">
        <v>1240000</v>
      </c>
      <c r="K20" s="757"/>
      <c r="L20" s="757"/>
      <c r="M20" s="757"/>
      <c r="N20" s="757"/>
      <c r="O20" s="757"/>
    </row>
    <row r="21" spans="1:15" ht="12.75" customHeight="1">
      <c r="A21" s="754">
        <f t="shared" si="0"/>
        <v>5</v>
      </c>
      <c r="C21" s="755" t="s">
        <v>1476</v>
      </c>
      <c r="D21" s="753" t="s">
        <v>2801</v>
      </c>
      <c r="E21" s="753" t="s">
        <v>2818</v>
      </c>
      <c r="F21" s="757">
        <v>5000000</v>
      </c>
      <c r="G21" s="757"/>
      <c r="H21" s="758">
        <v>4.4299999999999999E-2</v>
      </c>
      <c r="I21" s="757"/>
      <c r="J21" s="757">
        <v>221500</v>
      </c>
      <c r="K21" s="757"/>
      <c r="L21" s="757"/>
      <c r="M21" s="757"/>
      <c r="N21" s="757"/>
      <c r="O21" s="757"/>
    </row>
    <row r="22" spans="1:15" ht="12.75" customHeight="1">
      <c r="A22" s="754">
        <v>6</v>
      </c>
      <c r="C22" s="755" t="s">
        <v>1476</v>
      </c>
      <c r="D22" s="753" t="s">
        <v>2802</v>
      </c>
      <c r="E22" s="753" t="s">
        <v>2819</v>
      </c>
      <c r="F22" s="757">
        <v>31000000</v>
      </c>
      <c r="G22" s="757"/>
      <c r="H22" s="758">
        <v>3.8425000000000001E-2</v>
      </c>
      <c r="I22" s="757"/>
      <c r="J22" s="757">
        <v>1191175</v>
      </c>
      <c r="K22" s="757"/>
      <c r="L22" s="757"/>
      <c r="M22" s="757"/>
      <c r="N22" s="757"/>
      <c r="O22" s="757"/>
    </row>
    <row r="23" spans="1:15" ht="12.75" customHeight="1">
      <c r="A23" s="754">
        <v>7</v>
      </c>
      <c r="C23" s="755" t="s">
        <v>1476</v>
      </c>
      <c r="D23" s="753" t="s">
        <v>2804</v>
      </c>
      <c r="E23" s="753" t="s">
        <v>2820</v>
      </c>
      <c r="F23" s="757">
        <v>13000000</v>
      </c>
      <c r="G23" s="757"/>
      <c r="H23" s="758">
        <v>4.6435999999999998E-2</v>
      </c>
      <c r="I23" s="757"/>
      <c r="J23" s="757">
        <v>603668</v>
      </c>
      <c r="K23" s="757"/>
      <c r="L23" s="757"/>
      <c r="M23" s="757"/>
      <c r="N23" s="757"/>
      <c r="O23" s="757"/>
    </row>
    <row r="24" spans="1:15" ht="12.75" customHeight="1">
      <c r="A24" s="754">
        <f t="shared" si="0"/>
        <v>8</v>
      </c>
      <c r="C24" s="755" t="s">
        <v>1476</v>
      </c>
      <c r="D24" s="753" t="s">
        <v>2803</v>
      </c>
      <c r="E24" s="753" t="s">
        <v>2821</v>
      </c>
      <c r="F24" s="757">
        <v>15000000</v>
      </c>
      <c r="G24" s="757"/>
      <c r="H24" s="758">
        <v>3.7484999999999997E-2</v>
      </c>
      <c r="I24" s="757"/>
      <c r="J24" s="757">
        <v>562275</v>
      </c>
      <c r="K24" s="757"/>
      <c r="L24" s="757"/>
      <c r="M24" s="757"/>
      <c r="N24" s="757"/>
      <c r="O24" s="757"/>
    </row>
    <row r="25" spans="1:15" ht="12.75" customHeight="1">
      <c r="A25" s="754">
        <f t="shared" si="0"/>
        <v>9</v>
      </c>
      <c r="C25" s="755" t="s">
        <v>1476</v>
      </c>
      <c r="D25" s="753" t="s">
        <v>2805</v>
      </c>
      <c r="E25" s="753" t="s">
        <v>2822</v>
      </c>
      <c r="F25" s="757">
        <v>12000000</v>
      </c>
      <c r="G25" s="757"/>
      <c r="H25" s="758">
        <v>3.1741999999999999E-2</v>
      </c>
      <c r="I25" s="759"/>
      <c r="J25" s="757">
        <v>380904</v>
      </c>
      <c r="K25" s="757"/>
      <c r="L25" s="760"/>
      <c r="M25" s="757"/>
      <c r="N25" s="757"/>
      <c r="O25" s="757"/>
    </row>
    <row r="26" spans="1:15" ht="12.75" customHeight="1">
      <c r="A26" s="754">
        <f t="shared" si="0"/>
        <v>10</v>
      </c>
      <c r="C26" s="755" t="s">
        <v>1476</v>
      </c>
      <c r="D26" s="753" t="s">
        <v>2806</v>
      </c>
      <c r="E26" s="753" t="s">
        <v>2823</v>
      </c>
      <c r="F26" s="757">
        <v>22000000</v>
      </c>
      <c r="G26" s="757"/>
      <c r="H26" s="758">
        <v>3.2719999999999999E-2</v>
      </c>
      <c r="I26" s="759"/>
      <c r="J26" s="757">
        <v>719840</v>
      </c>
      <c r="K26" s="757"/>
      <c r="L26" s="757"/>
    </row>
    <row r="27" spans="1:15" ht="12.75" customHeight="1">
      <c r="A27" s="754">
        <v>11</v>
      </c>
      <c r="C27" s="755" t="s">
        <v>1476</v>
      </c>
      <c r="D27" s="753" t="s">
        <v>2807</v>
      </c>
      <c r="E27" s="753" t="s">
        <v>2824</v>
      </c>
      <c r="F27" s="757">
        <v>22000000</v>
      </c>
      <c r="G27" s="757"/>
      <c r="H27" s="758">
        <v>3.2770000000000001E-2</v>
      </c>
      <c r="I27" s="759"/>
      <c r="J27" s="757">
        <v>720940</v>
      </c>
      <c r="K27" s="757"/>
      <c r="L27" s="757"/>
    </row>
    <row r="28" spans="1:15" ht="12.75" customHeight="1">
      <c r="A28" s="754">
        <f>A27+1</f>
        <v>12</v>
      </c>
      <c r="C28" s="755" t="s">
        <v>1476</v>
      </c>
      <c r="D28" s="753" t="s">
        <v>2808</v>
      </c>
      <c r="E28" s="753" t="s">
        <v>2825</v>
      </c>
      <c r="F28" s="757">
        <v>10000000</v>
      </c>
      <c r="G28" s="757"/>
      <c r="H28" s="758">
        <v>3.2670999999999999E-2</v>
      </c>
      <c r="I28" s="759"/>
      <c r="J28" s="757">
        <v>326710</v>
      </c>
      <c r="K28" s="757"/>
      <c r="L28" s="757"/>
    </row>
    <row r="29" spans="1:15" ht="12.75" customHeight="1">
      <c r="A29" s="754">
        <f t="shared" si="0"/>
        <v>13</v>
      </c>
      <c r="C29" s="755" t="s">
        <v>1476</v>
      </c>
      <c r="D29" s="753" t="s">
        <v>2809</v>
      </c>
      <c r="E29" s="753" t="s">
        <v>2826</v>
      </c>
      <c r="F29" s="757">
        <v>8000000</v>
      </c>
      <c r="G29" s="757"/>
      <c r="H29" s="758">
        <v>4.1243000000000002E-2</v>
      </c>
      <c r="I29" s="759"/>
      <c r="J29" s="757">
        <v>329944</v>
      </c>
      <c r="K29" s="757"/>
      <c r="L29" s="757"/>
    </row>
    <row r="30" spans="1:15" ht="12.75" customHeight="1">
      <c r="A30" s="754">
        <f t="shared" si="0"/>
        <v>14</v>
      </c>
      <c r="C30" s="755" t="s">
        <v>1476</v>
      </c>
      <c r="D30" s="753" t="s">
        <v>2810</v>
      </c>
      <c r="E30" s="753" t="s">
        <v>2827</v>
      </c>
      <c r="F30" s="757">
        <v>18000000</v>
      </c>
      <c r="G30" s="757"/>
      <c r="H30" s="758">
        <v>5.0807999999999999E-2</v>
      </c>
      <c r="I30" s="759"/>
      <c r="J30" s="757">
        <v>914544</v>
      </c>
      <c r="K30" s="757"/>
      <c r="L30" s="757"/>
    </row>
    <row r="31" spans="1:15" ht="12.75" customHeight="1">
      <c r="A31" s="754">
        <f t="shared" si="0"/>
        <v>15</v>
      </c>
      <c r="C31" s="755" t="s">
        <v>1476</v>
      </c>
      <c r="D31" s="753" t="s">
        <v>2811</v>
      </c>
      <c r="E31" s="753" t="s">
        <v>2828</v>
      </c>
      <c r="F31" s="757">
        <v>33000000</v>
      </c>
      <c r="G31" s="757"/>
      <c r="H31" s="758">
        <v>6.2617999999999993E-2</v>
      </c>
      <c r="I31" s="759"/>
      <c r="J31" s="757">
        <v>2066394</v>
      </c>
      <c r="K31" s="757"/>
      <c r="L31" s="757"/>
    </row>
    <row r="32" spans="1:15" ht="12.75" customHeight="1">
      <c r="A32" s="754">
        <f t="shared" si="0"/>
        <v>16</v>
      </c>
      <c r="C32" s="755" t="s">
        <v>1477</v>
      </c>
      <c r="D32" s="753" t="s">
        <v>2812</v>
      </c>
      <c r="E32" s="753" t="s">
        <v>2829</v>
      </c>
      <c r="F32" s="757">
        <v>5000000</v>
      </c>
      <c r="G32" s="757"/>
      <c r="H32" s="758">
        <v>6.25E-2</v>
      </c>
      <c r="I32" s="759"/>
      <c r="J32" s="757">
        <v>312500</v>
      </c>
      <c r="K32" s="757"/>
      <c r="L32" s="757"/>
    </row>
    <row r="33" spans="1:12" ht="12.75" customHeight="1">
      <c r="A33" s="754">
        <f t="shared" si="0"/>
        <v>17</v>
      </c>
      <c r="C33" s="755" t="s">
        <v>1477</v>
      </c>
      <c r="D33" s="753" t="s">
        <v>2812</v>
      </c>
      <c r="E33" s="753" t="s">
        <v>2829</v>
      </c>
      <c r="F33" s="757">
        <v>24000000</v>
      </c>
      <c r="G33" s="757"/>
      <c r="H33" s="758">
        <v>6.25E-2</v>
      </c>
      <c r="I33" s="759"/>
      <c r="J33" s="757">
        <v>1500000</v>
      </c>
      <c r="K33" s="757"/>
      <c r="L33" s="757"/>
    </row>
    <row r="34" spans="1:12" ht="12.75" customHeight="1">
      <c r="A34" s="754">
        <f t="shared" si="0"/>
        <v>18</v>
      </c>
      <c r="C34" s="755" t="s">
        <v>1477</v>
      </c>
      <c r="D34" s="753" t="s">
        <v>2813</v>
      </c>
      <c r="E34" s="753" t="s">
        <v>2830</v>
      </c>
      <c r="F34" s="757">
        <v>1384615.3846153845</v>
      </c>
      <c r="G34" s="757"/>
      <c r="H34" s="758">
        <v>6.25E-2</v>
      </c>
      <c r="I34" s="759"/>
      <c r="J34" s="757">
        <v>83076.923079999993</v>
      </c>
      <c r="K34" s="757"/>
      <c r="L34" s="757"/>
    </row>
    <row r="35" spans="1:12" ht="12.75" customHeight="1">
      <c r="A35" s="754">
        <f t="shared" si="0"/>
        <v>19</v>
      </c>
      <c r="C35" s="755" t="s">
        <v>1477</v>
      </c>
      <c r="D35" s="753" t="s">
        <v>2813</v>
      </c>
      <c r="E35" s="753" t="s">
        <v>2830</v>
      </c>
      <c r="F35" s="757">
        <v>6923076.923076923</v>
      </c>
      <c r="G35" s="757"/>
      <c r="H35" s="758">
        <v>6.25E-2</v>
      </c>
      <c r="I35" s="759"/>
      <c r="J35" s="757">
        <v>415384.61537999997</v>
      </c>
      <c r="K35" s="757"/>
      <c r="L35" s="757"/>
    </row>
    <row r="36" spans="1:12" ht="12.75" customHeight="1">
      <c r="F36" s="757"/>
    </row>
    <row r="37" spans="1:12" ht="12.75" customHeight="1">
      <c r="A37" s="754">
        <f>A35+1</f>
        <v>20</v>
      </c>
      <c r="C37" s="755" t="s">
        <v>1942</v>
      </c>
      <c r="F37" s="761">
        <f>SUM(F17:F35)</f>
        <v>288682692.30769229</v>
      </c>
      <c r="J37" s="761">
        <f>SUM(J17:J35)</f>
        <v>14077455.538459999</v>
      </c>
      <c r="L37" s="762">
        <f>ROUND(J37/F37,5)</f>
        <v>4.8759999999999998E-2</v>
      </c>
    </row>
    <row r="38" spans="1:12" ht="12.75" customHeight="1">
      <c r="F38" s="757"/>
    </row>
    <row r="39" spans="1:12" ht="12.75" customHeight="1">
      <c r="F39" s="757"/>
    </row>
    <row r="40" spans="1:12" ht="12.75" customHeight="1">
      <c r="F40" s="757"/>
    </row>
    <row r="41" spans="1:12" ht="12.75" customHeight="1">
      <c r="C41" s="755" t="s">
        <v>358</v>
      </c>
      <c r="F41" s="757"/>
    </row>
    <row r="42" spans="1:12" ht="12.75" customHeight="1">
      <c r="C42" s="749" t="s">
        <v>1478</v>
      </c>
      <c r="G42" s="748"/>
    </row>
    <row r="43" spans="1:12" ht="12.75" customHeight="1">
      <c r="F43" s="757"/>
    </row>
    <row r="44" spans="1:12" ht="12.75" customHeight="1">
      <c r="F44" s="757"/>
      <c r="G44" s="757"/>
      <c r="H44" s="763"/>
      <c r="I44" s="759"/>
      <c r="J44" s="757"/>
      <c r="K44" s="757"/>
      <c r="L44" s="757"/>
    </row>
    <row r="45" spans="1:12" ht="12.75" customHeight="1">
      <c r="F45" s="757"/>
    </row>
    <row r="46" spans="1:12" ht="12.75" customHeight="1">
      <c r="F46" s="757"/>
      <c r="G46" s="757"/>
      <c r="H46" s="757"/>
      <c r="I46" s="759"/>
      <c r="J46" s="757"/>
      <c r="K46" s="757"/>
      <c r="L46" s="757"/>
    </row>
    <row r="47" spans="1:12" ht="12.75" customHeight="1">
      <c r="G47" s="748"/>
    </row>
    <row r="48" spans="1:12" ht="12.75" customHeight="1">
      <c r="G48" s="748"/>
    </row>
    <row r="49" spans="1:12" ht="12.75" customHeight="1">
      <c r="A49" s="764"/>
      <c r="G49" s="748"/>
    </row>
    <row r="50" spans="1:12" ht="12.75" customHeight="1">
      <c r="G50" s="748"/>
    </row>
    <row r="51" spans="1:12" ht="12.75" customHeight="1"/>
    <row r="52" spans="1:12" ht="12.75" customHeight="1">
      <c r="A52" s="755"/>
      <c r="K52" s="755"/>
    </row>
    <row r="53" spans="1:12" ht="12.75" customHeight="1">
      <c r="A53" s="755"/>
      <c r="K53" s="755"/>
    </row>
    <row r="54" spans="1:12" ht="12.75" customHeight="1">
      <c r="A54" s="755"/>
      <c r="K54" s="755"/>
    </row>
    <row r="55" spans="1:12" ht="12.75" customHeight="1">
      <c r="J55" s="748"/>
      <c r="L55" s="748"/>
    </row>
    <row r="56" spans="1:12" ht="12.75" customHeight="1">
      <c r="A56" s="748"/>
      <c r="F56" s="748"/>
      <c r="H56" s="748"/>
      <c r="J56" s="748"/>
      <c r="L56" s="748"/>
    </row>
    <row r="57" spans="1:12" ht="12.75" customHeight="1">
      <c r="A57" s="748"/>
      <c r="C57" s="748"/>
      <c r="F57" s="748"/>
      <c r="H57" s="748"/>
      <c r="J57" s="748"/>
      <c r="L57" s="748"/>
    </row>
    <row r="58" spans="1:12" ht="12.75" customHeight="1">
      <c r="C58" s="748"/>
      <c r="F58" s="748"/>
      <c r="H58" s="748"/>
      <c r="J58" s="748"/>
      <c r="L58" s="748"/>
    </row>
    <row r="59" spans="1:12" ht="12.75" customHeight="1">
      <c r="F59" s="748"/>
      <c r="J59" s="748"/>
    </row>
    <row r="60" spans="1:12" ht="12.75" customHeight="1"/>
    <row r="61" spans="1:12" ht="12.75" customHeight="1">
      <c r="A61" s="748"/>
      <c r="C61" s="755"/>
      <c r="F61" s="757"/>
      <c r="G61" s="757"/>
      <c r="H61" s="763"/>
      <c r="I61" s="759"/>
      <c r="J61" s="757"/>
      <c r="K61" s="757"/>
      <c r="L61" s="757"/>
    </row>
    <row r="62" spans="1:12" ht="12.75" customHeight="1">
      <c r="A62" s="748"/>
      <c r="C62" s="755"/>
      <c r="F62" s="757"/>
      <c r="H62" s="763"/>
      <c r="J62" s="757"/>
    </row>
    <row r="63" spans="1:12" ht="12.75" customHeight="1">
      <c r="A63" s="748"/>
      <c r="C63" s="755"/>
      <c r="F63" s="757"/>
      <c r="G63" s="757"/>
      <c r="H63" s="763"/>
      <c r="I63" s="759"/>
      <c r="J63" s="757"/>
      <c r="K63" s="757"/>
      <c r="L63" s="757"/>
    </row>
    <row r="64" spans="1:12" ht="12.75" customHeight="1">
      <c r="A64" s="748"/>
      <c r="C64" s="755"/>
      <c r="F64" s="757"/>
      <c r="G64" s="757"/>
      <c r="H64" s="763"/>
      <c r="I64" s="759"/>
      <c r="J64" s="757"/>
      <c r="K64" s="757"/>
      <c r="L64" s="757"/>
    </row>
    <row r="65" spans="1:12" ht="12.75" customHeight="1">
      <c r="A65" s="748"/>
      <c r="C65" s="755"/>
      <c r="F65" s="757"/>
      <c r="G65" s="757"/>
      <c r="H65" s="763"/>
      <c r="I65" s="759"/>
      <c r="J65" s="757"/>
      <c r="K65" s="757"/>
      <c r="L65" s="757"/>
    </row>
    <row r="66" spans="1:12" ht="12.75" customHeight="1">
      <c r="A66" s="748"/>
      <c r="C66" s="755"/>
      <c r="F66" s="757"/>
      <c r="G66" s="757"/>
      <c r="H66" s="763"/>
      <c r="I66" s="757"/>
      <c r="J66" s="757"/>
      <c r="K66" s="757"/>
      <c r="L66" s="757"/>
    </row>
    <row r="67" spans="1:12" ht="12.75" customHeight="1">
      <c r="A67" s="748"/>
      <c r="C67" s="755"/>
      <c r="F67" s="757"/>
      <c r="G67" s="757"/>
      <c r="H67" s="763"/>
      <c r="I67" s="759"/>
      <c r="J67" s="757"/>
      <c r="K67" s="757"/>
      <c r="L67" s="760"/>
    </row>
    <row r="68" spans="1:12" ht="12.75" customHeight="1">
      <c r="A68" s="748"/>
      <c r="C68" s="755"/>
      <c r="F68" s="757"/>
      <c r="G68" s="757"/>
      <c r="H68" s="763"/>
      <c r="I68" s="759"/>
      <c r="J68" s="757"/>
      <c r="K68" s="757"/>
      <c r="L68" s="757"/>
    </row>
    <row r="69" spans="1:12" ht="12.75" customHeight="1">
      <c r="A69" s="748"/>
      <c r="C69" s="755"/>
      <c r="F69" s="757"/>
      <c r="G69" s="757"/>
      <c r="H69" s="763"/>
      <c r="I69" s="759"/>
      <c r="J69" s="757"/>
    </row>
    <row r="70" spans="1:12" ht="12.75" customHeight="1">
      <c r="A70" s="748"/>
      <c r="C70" s="755"/>
      <c r="F70" s="757"/>
      <c r="G70" s="757"/>
      <c r="H70" s="763"/>
      <c r="I70" s="759"/>
      <c r="J70" s="757"/>
    </row>
    <row r="71" spans="1:12" ht="12.75" customHeight="1">
      <c r="A71" s="748"/>
      <c r="C71" s="755"/>
      <c r="F71" s="757"/>
      <c r="G71" s="757"/>
      <c r="H71" s="763"/>
      <c r="I71" s="759"/>
      <c r="J71" s="757"/>
    </row>
    <row r="72" spans="1:12" ht="12.75" customHeight="1">
      <c r="A72" s="748"/>
      <c r="C72" s="755"/>
      <c r="F72" s="757"/>
      <c r="G72" s="757"/>
      <c r="H72" s="763"/>
      <c r="I72" s="759"/>
      <c r="J72" s="757"/>
    </row>
    <row r="73" spans="1:12" ht="12.75" customHeight="1">
      <c r="A73" s="748"/>
      <c r="C73" s="755"/>
      <c r="F73" s="757"/>
      <c r="G73" s="757"/>
      <c r="H73" s="763"/>
      <c r="I73" s="759"/>
      <c r="J73" s="757"/>
    </row>
    <row r="74" spans="1:12" ht="12.75" customHeight="1">
      <c r="A74" s="748"/>
      <c r="C74" s="755"/>
      <c r="F74" s="757"/>
      <c r="G74" s="757"/>
      <c r="H74" s="763"/>
      <c r="I74" s="759"/>
      <c r="J74" s="757"/>
    </row>
    <row r="75" spans="1:12" ht="12.75" customHeight="1">
      <c r="A75" s="748"/>
      <c r="C75" s="755"/>
      <c r="F75" s="757"/>
      <c r="G75" s="757"/>
      <c r="H75" s="763"/>
      <c r="J75" s="757"/>
    </row>
    <row r="76" spans="1:12" ht="12.75" customHeight="1">
      <c r="A76" s="748"/>
      <c r="C76" s="755"/>
      <c r="F76" s="757"/>
      <c r="H76" s="763"/>
      <c r="J76" s="757"/>
    </row>
    <row r="77" spans="1:12" ht="12.75" customHeight="1">
      <c r="A77" s="748"/>
      <c r="C77" s="755"/>
      <c r="F77" s="757"/>
      <c r="H77" s="763"/>
      <c r="J77" s="757"/>
    </row>
    <row r="78" spans="1:12" ht="12.75" customHeight="1">
      <c r="A78" s="748"/>
      <c r="C78" s="755"/>
      <c r="F78" s="757"/>
      <c r="H78" s="763"/>
      <c r="J78" s="757"/>
    </row>
    <row r="79" spans="1:12" ht="12.75" customHeight="1">
      <c r="A79" s="748"/>
      <c r="C79" s="755"/>
      <c r="F79" s="757"/>
      <c r="H79" s="763"/>
      <c r="J79" s="757"/>
    </row>
    <row r="80" spans="1:12" ht="12.75" customHeight="1">
      <c r="A80" s="748"/>
      <c r="C80" s="755"/>
      <c r="F80" s="757"/>
      <c r="H80" s="763"/>
      <c r="J80" s="757"/>
    </row>
    <row r="81" spans="1:12" ht="12.75" customHeight="1">
      <c r="A81" s="748"/>
      <c r="C81" s="755"/>
      <c r="F81" s="757"/>
      <c r="H81" s="763"/>
      <c r="J81" s="757"/>
    </row>
    <row r="82" spans="1:12" ht="12.75" customHeight="1">
      <c r="A82" s="748"/>
      <c r="C82" s="755"/>
      <c r="F82" s="757"/>
      <c r="H82" s="763"/>
      <c r="J82" s="757"/>
    </row>
    <row r="83" spans="1:12" ht="12.75" customHeight="1">
      <c r="A83" s="748"/>
      <c r="C83" s="755"/>
      <c r="F83" s="757"/>
      <c r="H83" s="763"/>
      <c r="J83" s="757"/>
    </row>
    <row r="84" spans="1:12" ht="12.75" customHeight="1">
      <c r="A84" s="765"/>
      <c r="C84" s="755"/>
      <c r="F84" s="757"/>
      <c r="H84" s="763"/>
      <c r="J84" s="757"/>
    </row>
    <row r="85" spans="1:12" ht="12.75" customHeight="1">
      <c r="A85" s="748"/>
      <c r="C85" s="755"/>
      <c r="F85" s="757"/>
      <c r="H85" s="763"/>
      <c r="J85" s="757"/>
    </row>
    <row r="86" spans="1:12" ht="12.75" customHeight="1">
      <c r="A86" s="748"/>
      <c r="C86" s="755"/>
      <c r="F86" s="757"/>
      <c r="H86" s="763"/>
      <c r="J86" s="757"/>
    </row>
    <row r="87" spans="1:12" ht="12.75" customHeight="1">
      <c r="A87" s="748"/>
      <c r="C87" s="755"/>
      <c r="F87" s="757"/>
      <c r="H87" s="763"/>
      <c r="J87" s="757"/>
    </row>
    <row r="88" spans="1:12">
      <c r="A88" s="748"/>
      <c r="C88" s="755"/>
      <c r="F88" s="757"/>
      <c r="H88" s="763"/>
      <c r="J88" s="757"/>
    </row>
    <row r="89" spans="1:12">
      <c r="F89" s="757"/>
    </row>
    <row r="90" spans="1:12">
      <c r="A90" s="748"/>
      <c r="C90" s="755"/>
      <c r="F90" s="761"/>
      <c r="J90" s="761"/>
      <c r="L90" s="762"/>
    </row>
    <row r="91" spans="1:12">
      <c r="F91" s="757"/>
    </row>
    <row r="92" spans="1:12">
      <c r="F92" s="757"/>
    </row>
    <row r="93" spans="1:12">
      <c r="C93" s="755"/>
      <c r="F93" s="757"/>
    </row>
    <row r="94" spans="1:12">
      <c r="C94" s="755"/>
      <c r="F94" s="757"/>
    </row>
    <row r="95" spans="1:12">
      <c r="C95" s="755"/>
    </row>
    <row r="99" spans="1:3">
      <c r="A99" s="755"/>
      <c r="C99" s="755"/>
    </row>
    <row r="100" spans="1:3">
      <c r="C100" s="755"/>
    </row>
    <row r="101" spans="1:3">
      <c r="C101" s="755"/>
    </row>
    <row r="102" spans="1:3">
      <c r="C102" s="755"/>
    </row>
  </sheetData>
  <mergeCells count="4">
    <mergeCell ref="A1:L1"/>
    <mergeCell ref="A2:L2"/>
    <mergeCell ref="A3:L3"/>
    <mergeCell ref="A4:L4"/>
  </mergeCells>
  <printOptions horizontalCentered="1"/>
  <pageMargins left="0.5" right="0.5" top="0.75" bottom="0.5" header="0.3" footer="0.3"/>
  <pageSetup scale="91"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Q47"/>
  <sheetViews>
    <sheetView zoomScaleNormal="100" zoomScaleSheetLayoutView="100" workbookViewId="0">
      <selection activeCell="A4" sqref="A4"/>
    </sheetView>
  </sheetViews>
  <sheetFormatPr defaultColWidth="11.6640625" defaultRowHeight="12.75"/>
  <cols>
    <col min="1" max="1" width="8.6640625" style="1137" customWidth="1"/>
    <col min="2" max="2" width="22" style="1137" customWidth="1"/>
    <col min="3" max="3" width="10.6640625" style="1137" customWidth="1"/>
    <col min="4" max="4" width="17" style="1137" customWidth="1"/>
    <col min="5" max="5" width="15.6640625" style="1137" customWidth="1"/>
    <col min="6" max="6" width="10.6640625" style="1137" customWidth="1"/>
    <col min="7" max="7" width="20.6640625" style="1137" customWidth="1"/>
    <col min="8" max="8" width="15.1640625" style="1137" customWidth="1"/>
    <col min="9" max="9" width="14.6640625" style="1137" customWidth="1"/>
    <col min="10" max="10" width="15.33203125" style="1137" bestFit="1" customWidth="1"/>
    <col min="11" max="17" width="11.6640625" style="1137"/>
    <col min="18" max="18" width="14.6640625" style="1137" customWidth="1"/>
    <col min="19" max="16384" width="11.6640625" style="1137"/>
  </cols>
  <sheetData>
    <row r="1" spans="1:10">
      <c r="A1" s="1355" t="s">
        <v>307</v>
      </c>
      <c r="B1" s="1355"/>
      <c r="C1" s="1355"/>
      <c r="D1" s="1355"/>
      <c r="E1" s="1355"/>
      <c r="F1" s="1355"/>
      <c r="G1" s="1355"/>
      <c r="H1" s="1355"/>
      <c r="I1" s="1355"/>
      <c r="J1" s="1355"/>
    </row>
    <row r="2" spans="1:10">
      <c r="A2" s="1355" t="str">
        <f>'J-3'!A2:L2</f>
        <v>CASE NO. 2024 - 00092</v>
      </c>
      <c r="B2" s="1355"/>
      <c r="C2" s="1355"/>
      <c r="D2" s="1355"/>
      <c r="E2" s="1355"/>
      <c r="F2" s="1355"/>
      <c r="G2" s="1355"/>
      <c r="H2" s="1355"/>
      <c r="I2" s="1355"/>
      <c r="J2" s="1355"/>
    </row>
    <row r="3" spans="1:10">
      <c r="A3" s="1355" t="str">
        <f>'Index J'!$C$25</f>
        <v>EMBEDDED COST OF PREFERRED STOCK</v>
      </c>
      <c r="B3" s="1355"/>
      <c r="C3" s="1355"/>
      <c r="D3" s="1355"/>
      <c r="E3" s="1355"/>
      <c r="F3" s="1355"/>
      <c r="G3" s="1355"/>
      <c r="H3" s="1355"/>
      <c r="I3" s="1355"/>
      <c r="J3" s="1355"/>
    </row>
    <row r="4" spans="1:10">
      <c r="A4" s="743"/>
      <c r="B4" s="743"/>
      <c r="C4" s="743"/>
      <c r="D4" s="743"/>
      <c r="E4" s="743"/>
      <c r="F4" s="743"/>
      <c r="G4" s="743"/>
      <c r="H4" s="743"/>
      <c r="I4" s="743"/>
      <c r="J4" s="743"/>
    </row>
    <row r="5" spans="1:10">
      <c r="A5" s="743"/>
      <c r="B5" s="743"/>
      <c r="C5" s="743"/>
      <c r="D5" s="743"/>
      <c r="E5" s="743"/>
      <c r="F5" s="743"/>
      <c r="G5" s="743"/>
      <c r="H5" s="743"/>
      <c r="I5" s="743"/>
      <c r="J5" s="743"/>
    </row>
    <row r="7" spans="1:10">
      <c r="A7" s="744" t="s">
        <v>2788</v>
      </c>
      <c r="I7" s="745"/>
      <c r="J7" s="745" t="s">
        <v>175</v>
      </c>
    </row>
    <row r="8" spans="1:10">
      <c r="A8" s="744" t="s">
        <v>572</v>
      </c>
      <c r="I8" s="745"/>
      <c r="J8" s="745" t="s">
        <v>722</v>
      </c>
    </row>
    <row r="9" spans="1:10">
      <c r="A9" s="1117" t="s">
        <v>575</v>
      </c>
      <c r="B9" s="1138"/>
      <c r="C9" s="1138"/>
      <c r="D9" s="1138"/>
      <c r="E9" s="1138"/>
      <c r="F9" s="1138"/>
      <c r="G9" s="1138"/>
      <c r="H9" s="1138"/>
      <c r="I9" s="1139"/>
      <c r="J9" s="1139" t="s">
        <v>1479</v>
      </c>
    </row>
    <row r="10" spans="1:10" ht="15.75" customHeight="1"/>
    <row r="11" spans="1:10">
      <c r="E11" s="743" t="s">
        <v>176</v>
      </c>
      <c r="G11" s="743" t="s">
        <v>177</v>
      </c>
    </row>
    <row r="12" spans="1:10">
      <c r="A12" s="743" t="s">
        <v>313</v>
      </c>
      <c r="B12" s="743" t="s">
        <v>178</v>
      </c>
      <c r="C12" s="743" t="s">
        <v>487</v>
      </c>
      <c r="D12" s="743" t="s">
        <v>444</v>
      </c>
      <c r="E12" s="743" t="s">
        <v>179</v>
      </c>
      <c r="F12" s="743" t="s">
        <v>172</v>
      </c>
      <c r="G12" s="743" t="s">
        <v>180</v>
      </c>
      <c r="H12" s="743" t="s">
        <v>482</v>
      </c>
      <c r="I12" s="743" t="s">
        <v>162</v>
      </c>
      <c r="J12" s="743" t="s">
        <v>181</v>
      </c>
    </row>
    <row r="13" spans="1:10">
      <c r="A13" s="743" t="s">
        <v>316</v>
      </c>
      <c r="B13" s="743" t="s">
        <v>182</v>
      </c>
      <c r="C13" s="743" t="s">
        <v>183</v>
      </c>
      <c r="D13" s="743" t="s">
        <v>173</v>
      </c>
      <c r="E13" s="743" t="s">
        <v>184</v>
      </c>
      <c r="F13" s="743" t="s">
        <v>520</v>
      </c>
      <c r="G13" s="743" t="s">
        <v>185</v>
      </c>
      <c r="H13" s="743" t="s">
        <v>186</v>
      </c>
      <c r="I13" s="743" t="s">
        <v>187</v>
      </c>
      <c r="J13" s="743" t="s">
        <v>188</v>
      </c>
    </row>
    <row r="14" spans="1:10">
      <c r="A14" s="1138"/>
      <c r="B14" s="1138"/>
      <c r="C14" s="1140" t="s">
        <v>532</v>
      </c>
      <c r="D14" s="1140" t="s">
        <v>541</v>
      </c>
      <c r="E14" s="1140" t="s">
        <v>542</v>
      </c>
      <c r="F14" s="1140" t="s">
        <v>668</v>
      </c>
      <c r="G14" s="1140" t="s">
        <v>669</v>
      </c>
      <c r="H14" s="1141" t="s">
        <v>2838</v>
      </c>
      <c r="I14" s="1140" t="s">
        <v>984</v>
      </c>
      <c r="J14" s="1141" t="s">
        <v>2839</v>
      </c>
    </row>
    <row r="17" spans="1:10">
      <c r="A17" s="827" t="s">
        <v>1027</v>
      </c>
      <c r="B17" s="828"/>
      <c r="C17" s="828"/>
      <c r="D17" s="827"/>
      <c r="E17" s="829"/>
      <c r="F17" s="827"/>
      <c r="G17" s="827"/>
      <c r="H17" s="827"/>
      <c r="I17" s="827"/>
      <c r="J17" s="828"/>
    </row>
    <row r="18" spans="1:10">
      <c r="D18" s="746"/>
      <c r="E18" s="747"/>
      <c r="F18" s="746"/>
      <c r="G18" s="746"/>
      <c r="H18" s="746"/>
      <c r="I18" s="746"/>
    </row>
    <row r="19" spans="1:10">
      <c r="D19" s="746"/>
      <c r="E19" s="747"/>
      <c r="F19" s="746"/>
      <c r="G19" s="746"/>
      <c r="H19" s="746"/>
      <c r="I19" s="746"/>
    </row>
    <row r="20" spans="1:10">
      <c r="D20" s="746"/>
      <c r="E20" s="747"/>
      <c r="F20" s="746"/>
      <c r="G20" s="746"/>
      <c r="H20" s="746"/>
      <c r="I20" s="746"/>
    </row>
    <row r="21" spans="1:10">
      <c r="D21" s="746"/>
      <c r="E21" s="746"/>
      <c r="F21" s="746"/>
      <c r="G21" s="746"/>
      <c r="H21" s="746"/>
      <c r="I21" s="746"/>
    </row>
    <row r="22" spans="1:10">
      <c r="D22" s="746"/>
      <c r="E22" s="747"/>
      <c r="F22" s="746"/>
      <c r="G22" s="746"/>
      <c r="H22" s="746"/>
      <c r="I22" s="746"/>
    </row>
    <row r="23" spans="1:10">
      <c r="D23" s="746"/>
      <c r="E23" s="747"/>
      <c r="F23" s="746"/>
      <c r="G23" s="746"/>
      <c r="H23" s="746"/>
      <c r="I23" s="746"/>
    </row>
    <row r="24" spans="1:10">
      <c r="D24" s="746"/>
      <c r="E24" s="747"/>
    </row>
    <row r="25" spans="1:10">
      <c r="D25" s="746"/>
      <c r="E25" s="747"/>
    </row>
    <row r="26" spans="1:10">
      <c r="D26" s="746"/>
      <c r="E26" s="747"/>
    </row>
    <row r="27" spans="1:10">
      <c r="D27" s="746"/>
      <c r="E27" s="747"/>
    </row>
    <row r="28" spans="1:10">
      <c r="D28" s="746"/>
      <c r="E28" s="747"/>
    </row>
    <row r="29" spans="1:10">
      <c r="D29" s="746"/>
      <c r="E29" s="747"/>
    </row>
    <row r="30" spans="1:10">
      <c r="D30" s="746"/>
    </row>
    <row r="40" spans="4:17">
      <c r="O40" s="746"/>
      <c r="P40" s="747"/>
      <c r="Q40" s="746"/>
    </row>
    <row r="41" spans="4:17">
      <c r="O41" s="746"/>
      <c r="P41" s="746"/>
      <c r="Q41" s="746"/>
    </row>
    <row r="42" spans="4:17">
      <c r="O42" s="746"/>
      <c r="P42" s="747"/>
      <c r="Q42" s="746"/>
    </row>
    <row r="43" spans="4:17">
      <c r="O43" s="746"/>
      <c r="P43" s="747"/>
      <c r="Q43" s="746"/>
    </row>
    <row r="44" spans="4:17">
      <c r="D44" s="746"/>
      <c r="E44" s="747"/>
      <c r="F44" s="746"/>
    </row>
    <row r="45" spans="4:17">
      <c r="D45" s="746"/>
      <c r="E45" s="747"/>
      <c r="F45" s="746"/>
    </row>
    <row r="46" spans="4:17">
      <c r="D46" s="746"/>
      <c r="E46" s="747"/>
      <c r="F46" s="746"/>
    </row>
    <row r="47" spans="4:17">
      <c r="D47" s="746"/>
      <c r="E47" s="746"/>
      <c r="F47" s="746"/>
    </row>
  </sheetData>
  <mergeCells count="3">
    <mergeCell ref="A1:J1"/>
    <mergeCell ref="A2:J2"/>
    <mergeCell ref="A3:J3"/>
  </mergeCells>
  <printOptions horizontalCentered="1"/>
  <pageMargins left="0.5" right="0.5" top="0.75" bottom="0.5" header="0.3" footer="0.3"/>
  <pageSetup scale="8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3:I27"/>
  <sheetViews>
    <sheetView zoomScaleNormal="100" zoomScaleSheetLayoutView="100" workbookViewId="0">
      <selection activeCell="C17" sqref="C17"/>
    </sheetView>
  </sheetViews>
  <sheetFormatPr defaultColWidth="9.6640625" defaultRowHeight="12.75"/>
  <cols>
    <col min="1" max="1" width="25.33203125" style="795" customWidth="1"/>
    <col min="2" max="2" width="1.33203125" style="795" customWidth="1"/>
    <col min="3" max="3" width="62.1640625" style="795" bestFit="1" customWidth="1"/>
    <col min="4" max="7" width="9.6640625" style="795"/>
    <col min="8" max="8" width="6" style="795" customWidth="1"/>
    <col min="9" max="9" width="11.6640625" style="795" customWidth="1"/>
    <col min="10" max="16384" width="9.6640625" style="795"/>
  </cols>
  <sheetData>
    <row r="3" spans="1:9">
      <c r="A3" s="794"/>
    </row>
    <row r="4" spans="1:9">
      <c r="A4" s="794"/>
    </row>
    <row r="5" spans="1:9">
      <c r="A5" s="1142" t="s">
        <v>189</v>
      </c>
      <c r="B5" s="1142"/>
      <c r="C5" s="1142"/>
    </row>
    <row r="6" spans="1:9">
      <c r="A6" s="794"/>
    </row>
    <row r="7" spans="1:9">
      <c r="A7" s="1142" t="s">
        <v>190</v>
      </c>
      <c r="B7" s="1142"/>
      <c r="C7" s="1142"/>
    </row>
    <row r="8" spans="1:9">
      <c r="A8" s="1142" t="s">
        <v>191</v>
      </c>
      <c r="B8" s="1142"/>
      <c r="C8" s="1142"/>
    </row>
    <row r="9" spans="1:9">
      <c r="A9" s="794"/>
    </row>
    <row r="10" spans="1:9">
      <c r="A10" s="794"/>
    </row>
    <row r="11" spans="1:9">
      <c r="A11" s="1142" t="str">
        <f>'General Headers Index'!B4</f>
        <v>COLUMBIA GAS OF KENTUCKY, INC.</v>
      </c>
      <c r="B11" s="1142"/>
      <c r="C11" s="1142"/>
    </row>
    <row r="12" spans="1:9">
      <c r="A12" s="794"/>
    </row>
    <row r="13" spans="1:9">
      <c r="A13" s="1142" t="str">
        <f>'General Headers Index'!B6</f>
        <v>CASE NO. 2024 - 00092</v>
      </c>
      <c r="B13" s="1142"/>
      <c r="C13" s="1142"/>
    </row>
    <row r="14" spans="1:9">
      <c r="A14" s="796"/>
      <c r="B14" s="796"/>
      <c r="C14" s="796"/>
      <c r="D14" s="796"/>
      <c r="E14" s="796"/>
      <c r="F14" s="796"/>
      <c r="G14" s="796"/>
      <c r="H14" s="796"/>
      <c r="I14" s="796"/>
    </row>
    <row r="15" spans="1:9">
      <c r="A15" s="794"/>
    </row>
    <row r="16" spans="1:9">
      <c r="A16" s="794" t="s">
        <v>97</v>
      </c>
      <c r="C16" s="795" t="str">
        <f>'General Headers Index'!B8</f>
        <v>FOR THE TWELVE MONTHS ENDED AUGUST 31, 2024</v>
      </c>
      <c r="E16" s="796"/>
    </row>
    <row r="17" spans="1:6">
      <c r="A17" s="794"/>
    </row>
    <row r="18" spans="1:6">
      <c r="A18" s="794" t="s">
        <v>684</v>
      </c>
      <c r="C18" s="795" t="str">
        <f>'General Headers Index'!B15</f>
        <v>FOR THE TWELVE MONTHS ENDED DECEMBER 31, 2025</v>
      </c>
      <c r="E18" s="796"/>
    </row>
    <row r="19" spans="1:6">
      <c r="A19" s="794"/>
    </row>
    <row r="20" spans="1:6">
      <c r="A20" s="797"/>
      <c r="B20" s="798"/>
      <c r="C20" s="798"/>
      <c r="D20" s="798"/>
      <c r="E20" s="798"/>
      <c r="F20" s="798"/>
    </row>
    <row r="21" spans="1:6">
      <c r="A21" s="797" t="s">
        <v>314</v>
      </c>
      <c r="B21" s="798"/>
      <c r="C21" s="797" t="s">
        <v>451</v>
      </c>
      <c r="D21" s="798"/>
      <c r="F21" s="798"/>
    </row>
    <row r="22" spans="1:6">
      <c r="A22" s="794"/>
    </row>
    <row r="23" spans="1:6">
      <c r="A23" s="794" t="s">
        <v>192</v>
      </c>
      <c r="C23" s="794" t="s">
        <v>193</v>
      </c>
    </row>
    <row r="24" spans="1:6">
      <c r="A24" s="794"/>
    </row>
    <row r="25" spans="1:6">
      <c r="A25" s="794"/>
    </row>
    <row r="26" spans="1:6">
      <c r="A26" s="794"/>
    </row>
    <row r="27" spans="1:6">
      <c r="A27" s="794"/>
    </row>
  </sheetData>
  <printOptions horizontalCentered="1"/>
  <pageMargins left="0.5" right="0.5" top="0.75" bottom="0.5" header="0.3" footer="0.3"/>
  <pageSetup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AI202"/>
  <sheetViews>
    <sheetView zoomScaleNormal="100" zoomScaleSheetLayoutView="98" workbookViewId="0">
      <selection activeCell="A4" sqref="A4:S4"/>
    </sheetView>
  </sheetViews>
  <sheetFormatPr defaultColWidth="7.5" defaultRowHeight="12"/>
  <cols>
    <col min="1" max="1" width="5" style="800" customWidth="1"/>
    <col min="2" max="2" width="17" style="800" customWidth="1"/>
    <col min="3" max="4" width="7.5" style="800"/>
    <col min="5" max="5" width="8.33203125" style="800" customWidth="1"/>
    <col min="6" max="6" width="14.6640625" style="800" customWidth="1"/>
    <col min="7" max="7" width="15.5" style="800" customWidth="1"/>
    <col min="8" max="13" width="11.33203125" style="800" customWidth="1"/>
    <col min="14" max="14" width="10.5" style="800" customWidth="1"/>
    <col min="15" max="15" width="9.5" style="800" bestFit="1" customWidth="1"/>
    <col min="16" max="16" width="10" style="800" customWidth="1"/>
    <col min="17" max="17" width="9.6640625" style="800" customWidth="1"/>
    <col min="18" max="19" width="9.1640625" style="800" customWidth="1"/>
    <col min="20" max="20" width="9.33203125" style="800" bestFit="1" customWidth="1"/>
    <col min="21" max="21" width="7.5" style="800"/>
    <col min="22" max="22" width="12.5" style="800" customWidth="1"/>
    <col min="23" max="23" width="7.5" style="800"/>
    <col min="24" max="24" width="12.5" style="800" customWidth="1"/>
    <col min="25" max="25" width="7.5" style="800"/>
    <col min="26" max="26" width="8" style="800" bestFit="1" customWidth="1"/>
    <col min="27" max="16384" width="7.5" style="800"/>
  </cols>
  <sheetData>
    <row r="1" spans="1:19" ht="11.45" customHeight="1">
      <c r="A1" s="1356" t="str">
        <f>'General Headers Index'!B4</f>
        <v>COLUMBIA GAS OF KENTUCKY, INC.</v>
      </c>
      <c r="B1" s="1356"/>
      <c r="C1" s="1356"/>
      <c r="D1" s="1356"/>
      <c r="E1" s="1356"/>
      <c r="F1" s="1356"/>
      <c r="G1" s="1356"/>
      <c r="H1" s="1356"/>
      <c r="I1" s="1356"/>
      <c r="J1" s="1356"/>
      <c r="K1" s="1356"/>
      <c r="L1" s="1356"/>
      <c r="M1" s="1356"/>
      <c r="N1" s="1356"/>
      <c r="O1" s="1356"/>
      <c r="P1" s="1356"/>
      <c r="Q1" s="1356"/>
      <c r="R1" s="1356"/>
      <c r="S1" s="1356"/>
    </row>
    <row r="2" spans="1:19">
      <c r="A2" s="1356" t="str">
        <f>'General Headers Index'!B6</f>
        <v>CASE NO. 2024 - 00092</v>
      </c>
      <c r="B2" s="1356"/>
      <c r="C2" s="1356"/>
      <c r="D2" s="1356"/>
      <c r="E2" s="1356"/>
      <c r="F2" s="1356"/>
      <c r="G2" s="1356"/>
      <c r="H2" s="1356"/>
      <c r="I2" s="1356"/>
      <c r="J2" s="1356"/>
      <c r="K2" s="1356"/>
      <c r="L2" s="1356"/>
      <c r="M2" s="1356"/>
      <c r="N2" s="1356"/>
      <c r="O2" s="1356"/>
      <c r="P2" s="1356"/>
      <c r="Q2" s="1356"/>
      <c r="R2" s="1356"/>
      <c r="S2" s="1356"/>
    </row>
    <row r="3" spans="1:19">
      <c r="A3" s="1356" t="str">
        <f>'Index K'!$C$23</f>
        <v>COMPARATIVE FINANCIAL DATA</v>
      </c>
      <c r="B3" s="1356"/>
      <c r="C3" s="1356"/>
      <c r="D3" s="1356"/>
      <c r="E3" s="1356"/>
      <c r="F3" s="1356"/>
      <c r="G3" s="1356"/>
      <c r="H3" s="1356"/>
      <c r="I3" s="1356"/>
      <c r="J3" s="1356"/>
      <c r="K3" s="1356"/>
      <c r="L3" s="1356"/>
      <c r="M3" s="1356"/>
      <c r="N3" s="1356"/>
      <c r="O3" s="1356"/>
      <c r="P3" s="1356"/>
      <c r="Q3" s="1356"/>
      <c r="R3" s="1356"/>
      <c r="S3" s="1356"/>
    </row>
    <row r="4" spans="1:19">
      <c r="A4" s="1357" t="str">
        <f>'General Headers Index'!B9</f>
        <v>BASE PERIOD: TWELVE MONTHS ENDED AUGUST 31, 2024</v>
      </c>
      <c r="B4" s="1357"/>
      <c r="C4" s="1357"/>
      <c r="D4" s="1357"/>
      <c r="E4" s="1357"/>
      <c r="F4" s="1357"/>
      <c r="G4" s="1357"/>
      <c r="H4" s="1357"/>
      <c r="I4" s="1357"/>
      <c r="J4" s="1357"/>
      <c r="K4" s="1357"/>
      <c r="L4" s="1357"/>
      <c r="M4" s="1357"/>
      <c r="N4" s="1357"/>
      <c r="O4" s="1357"/>
      <c r="P4" s="1357"/>
      <c r="Q4" s="1357"/>
      <c r="R4" s="1357"/>
      <c r="S4" s="1357"/>
    </row>
    <row r="5" spans="1:19">
      <c r="A5" s="1357" t="str">
        <f>'General Headers Index'!B16</f>
        <v>FORECASTED TEST PERIOD: TWELVE MONTHS ENDED DECEMBER 31, 2025</v>
      </c>
      <c r="B5" s="1357"/>
      <c r="C5" s="1357"/>
      <c r="D5" s="1357"/>
      <c r="E5" s="1357"/>
      <c r="F5" s="1357"/>
      <c r="G5" s="1357"/>
      <c r="H5" s="1357"/>
      <c r="I5" s="1357"/>
      <c r="J5" s="1357"/>
      <c r="K5" s="1357"/>
      <c r="L5" s="1357"/>
      <c r="M5" s="1357"/>
      <c r="N5" s="1357"/>
      <c r="O5" s="1357"/>
      <c r="P5" s="1357"/>
      <c r="Q5" s="1357"/>
      <c r="R5" s="1357"/>
      <c r="S5" s="1357"/>
    </row>
    <row r="7" spans="1:19">
      <c r="A7" s="801" t="s">
        <v>739</v>
      </c>
      <c r="S7" s="802" t="s">
        <v>189</v>
      </c>
    </row>
    <row r="8" spans="1:19">
      <c r="A8" s="801" t="str">
        <f>'General Headers Index'!B37</f>
        <v>TYPE OF FILING:___X___ORIGINAL______UPDATED</v>
      </c>
      <c r="S8" s="802" t="s">
        <v>536</v>
      </c>
    </row>
    <row r="9" spans="1:19">
      <c r="A9" s="801" t="s">
        <v>575</v>
      </c>
      <c r="S9" s="802" t="str">
        <f>"WITNESSES: "&amp;'General Headers Index'!$B$73</f>
        <v>WITNESSES: SHAEFFER</v>
      </c>
    </row>
    <row r="10" spans="1:19">
      <c r="A10" s="801"/>
      <c r="S10" s="802" t="str">
        <f>'General Headers Index'!B75</f>
        <v>INSCHO</v>
      </c>
    </row>
    <row r="11" spans="1:19">
      <c r="A11" s="801"/>
      <c r="S11" s="802" t="str">
        <f>'General Headers Index'!$B$74</f>
        <v>GORE</v>
      </c>
    </row>
    <row r="12" spans="1:19">
      <c r="A12" s="801"/>
      <c r="S12" s="802" t="str">
        <f>'General Headers Index'!$B$76</f>
        <v>REA</v>
      </c>
    </row>
    <row r="13" spans="1:19">
      <c r="A13" s="801"/>
      <c r="S13" s="802"/>
    </row>
    <row r="14" spans="1:19">
      <c r="A14" s="877"/>
      <c r="B14" s="877"/>
      <c r="C14" s="877"/>
      <c r="D14" s="877"/>
      <c r="E14" s="877"/>
      <c r="F14" s="877"/>
      <c r="G14" s="878" t="s">
        <v>653</v>
      </c>
      <c r="H14" s="878" t="s">
        <v>653</v>
      </c>
      <c r="I14" s="877"/>
      <c r="J14" s="877"/>
      <c r="K14" s="877"/>
      <c r="L14" s="877"/>
      <c r="M14" s="877"/>
      <c r="N14" s="877"/>
      <c r="O14" s="877"/>
      <c r="P14" s="877"/>
      <c r="Q14" s="877"/>
      <c r="R14" s="877"/>
      <c r="S14" s="877"/>
    </row>
    <row r="15" spans="1:19">
      <c r="A15" s="801" t="s">
        <v>313</v>
      </c>
      <c r="G15" s="799" t="s">
        <v>651</v>
      </c>
      <c r="H15" s="799" t="s">
        <v>315</v>
      </c>
      <c r="I15" s="1143"/>
      <c r="J15" s="1143"/>
      <c r="K15" s="1143"/>
      <c r="L15" s="1143"/>
      <c r="M15" s="1143"/>
      <c r="N15" s="1144" t="s">
        <v>194</v>
      </c>
      <c r="O15" s="1143"/>
      <c r="P15" s="1143"/>
      <c r="Q15" s="1143"/>
      <c r="R15" s="1143"/>
      <c r="S15" s="1143"/>
    </row>
    <row r="16" spans="1:19">
      <c r="A16" s="1145" t="s">
        <v>316</v>
      </c>
      <c r="B16" s="1143"/>
      <c r="C16" s="1144" t="s">
        <v>451</v>
      </c>
      <c r="D16" s="1143"/>
      <c r="E16" s="1143"/>
      <c r="F16" s="1143"/>
      <c r="G16" s="1144" t="s">
        <v>319</v>
      </c>
      <c r="H16" s="1144" t="s">
        <v>319</v>
      </c>
      <c r="I16" s="1144">
        <v>2023</v>
      </c>
      <c r="J16" s="1144">
        <v>2022</v>
      </c>
      <c r="K16" s="1144">
        <v>2021</v>
      </c>
      <c r="L16" s="1144">
        <v>2020</v>
      </c>
      <c r="M16" s="1144">
        <v>2019</v>
      </c>
      <c r="N16" s="1144">
        <v>2018</v>
      </c>
      <c r="O16" s="1144">
        <v>2017</v>
      </c>
      <c r="P16" s="1144">
        <v>2016</v>
      </c>
      <c r="Q16" s="1144">
        <v>2015</v>
      </c>
      <c r="R16" s="1144">
        <v>2014</v>
      </c>
      <c r="S16" s="1144">
        <v>2013</v>
      </c>
    </row>
    <row r="17" spans="1:35">
      <c r="R17" s="799"/>
      <c r="S17" s="799"/>
    </row>
    <row r="18" spans="1:35">
      <c r="A18" s="801" t="s">
        <v>745</v>
      </c>
      <c r="B18" s="803" t="s">
        <v>195</v>
      </c>
      <c r="C18" s="804"/>
      <c r="W18" s="805"/>
      <c r="X18" s="805"/>
      <c r="Y18" s="805"/>
      <c r="Z18" s="805"/>
      <c r="AA18" s="805"/>
      <c r="AB18" s="805"/>
      <c r="AC18" s="805"/>
      <c r="AD18" s="805"/>
      <c r="AE18" s="805"/>
      <c r="AF18" s="805"/>
      <c r="AG18" s="805"/>
      <c r="AH18" s="805"/>
      <c r="AI18" s="805"/>
    </row>
    <row r="19" spans="1:35">
      <c r="A19" s="801" t="s">
        <v>196</v>
      </c>
      <c r="B19" s="801" t="s">
        <v>197</v>
      </c>
      <c r="W19" s="805"/>
      <c r="X19" s="805"/>
      <c r="Y19" s="805"/>
      <c r="Z19" s="805"/>
      <c r="AA19" s="805"/>
      <c r="AB19" s="805"/>
      <c r="AC19" s="805"/>
      <c r="AD19" s="805"/>
      <c r="AE19" s="805"/>
      <c r="AF19" s="805"/>
      <c r="AG19" s="805"/>
      <c r="AH19" s="805"/>
      <c r="AI19" s="805"/>
    </row>
    <row r="20" spans="1:35" ht="12" customHeight="1">
      <c r="A20" s="801" t="s">
        <v>198</v>
      </c>
      <c r="B20" s="801" t="s">
        <v>199</v>
      </c>
      <c r="G20" s="805">
        <f>'WPB-2.1.C Plant Detail'!G4014/1000</f>
        <v>22717.854334126965</v>
      </c>
      <c r="H20" s="805">
        <f>'WPB-2.1.C Plant Detail'!G2190/1000</f>
        <v>14758.139016810375</v>
      </c>
      <c r="I20" s="805">
        <v>15260</v>
      </c>
      <c r="J20" s="805">
        <v>12501</v>
      </c>
      <c r="K20" s="805">
        <v>10587</v>
      </c>
      <c r="L20" s="805">
        <v>7395</v>
      </c>
      <c r="M20" s="805">
        <v>6882</v>
      </c>
      <c r="N20" s="805">
        <v>5807</v>
      </c>
      <c r="O20" s="806">
        <v>5455</v>
      </c>
      <c r="P20" s="806">
        <v>5489</v>
      </c>
      <c r="Q20" s="806">
        <v>5341</v>
      </c>
      <c r="R20" s="806">
        <v>4672</v>
      </c>
      <c r="S20" s="806">
        <v>2935</v>
      </c>
      <c r="W20" s="805"/>
      <c r="X20" s="805"/>
      <c r="Y20" s="805"/>
      <c r="Z20" s="805"/>
      <c r="AA20" s="805"/>
      <c r="AB20" s="805"/>
      <c r="AC20" s="805"/>
      <c r="AD20" s="805"/>
      <c r="AE20" s="805"/>
      <c r="AF20" s="805"/>
      <c r="AG20" s="805"/>
      <c r="AH20" s="805"/>
      <c r="AI20" s="805"/>
    </row>
    <row r="21" spans="1:35">
      <c r="A21" s="801" t="s">
        <v>200</v>
      </c>
      <c r="B21" s="801" t="s">
        <v>201</v>
      </c>
      <c r="G21" s="805">
        <f>('WPB-2.1.C Plant Detail'!G4047+'WPB-2.1.C Plant Detail'!G4100)/1000</f>
        <v>866759.51897462155</v>
      </c>
      <c r="H21" s="805">
        <f>('WPB-2.1.C Plant Detail'!G2223+'WPB-2.1.C Plant Detail'!G2276)/1000</f>
        <v>792762.02500999998</v>
      </c>
      <c r="I21" s="805">
        <v>763937</v>
      </c>
      <c r="J21" s="805">
        <v>700565</v>
      </c>
      <c r="K21" s="805">
        <v>638502</v>
      </c>
      <c r="L21" s="805">
        <v>579684</v>
      </c>
      <c r="M21" s="805">
        <v>526973</v>
      </c>
      <c r="N21" s="805">
        <v>478407</v>
      </c>
      <c r="O21" s="806">
        <v>445905</v>
      </c>
      <c r="P21" s="806">
        <v>415187</v>
      </c>
      <c r="Q21" s="806">
        <v>384450</v>
      </c>
      <c r="R21" s="806">
        <v>354921</v>
      </c>
      <c r="S21" s="806">
        <v>327919</v>
      </c>
      <c r="W21" s="805"/>
      <c r="X21" s="805"/>
      <c r="Y21" s="805"/>
      <c r="Z21" s="805"/>
      <c r="AA21" s="805"/>
      <c r="AB21" s="805"/>
      <c r="AC21" s="805"/>
      <c r="AD21" s="805"/>
      <c r="AE21" s="805"/>
      <c r="AF21" s="805"/>
      <c r="AG21" s="805"/>
      <c r="AH21" s="805"/>
      <c r="AI21" s="805"/>
    </row>
    <row r="22" spans="1:35">
      <c r="A22" s="801" t="s">
        <v>202</v>
      </c>
      <c r="B22" s="801" t="s">
        <v>203</v>
      </c>
      <c r="G22" s="805">
        <f>('WPB-2.1.C Plant Detail'!G4081)/1000</f>
        <v>8438.6761999999999</v>
      </c>
      <c r="H22" s="805">
        <f>('WPB-2.1.C Plant Detail'!G2257)/1000</f>
        <v>6620.2453699999987</v>
      </c>
      <c r="I22" s="805">
        <v>6532</v>
      </c>
      <c r="J22" s="805">
        <v>5956</v>
      </c>
      <c r="K22" s="805">
        <v>6233</v>
      </c>
      <c r="L22" s="805">
        <v>6247.0820000000003</v>
      </c>
      <c r="M22" s="805">
        <v>6140</v>
      </c>
      <c r="N22" s="805">
        <v>5975</v>
      </c>
      <c r="O22" s="806">
        <v>5750</v>
      </c>
      <c r="P22" s="806">
        <v>4938</v>
      </c>
      <c r="Q22" s="806">
        <v>4832</v>
      </c>
      <c r="R22" s="806">
        <v>4429</v>
      </c>
      <c r="S22" s="806">
        <v>5201</v>
      </c>
      <c r="W22" s="805"/>
      <c r="X22" s="805"/>
      <c r="Y22" s="805"/>
      <c r="Z22" s="805"/>
      <c r="AA22" s="805"/>
      <c r="AB22" s="805"/>
      <c r="AC22" s="805"/>
      <c r="AD22" s="805"/>
      <c r="AE22" s="805"/>
      <c r="AF22" s="805"/>
      <c r="AG22" s="805"/>
      <c r="AH22" s="805"/>
      <c r="AI22" s="805"/>
    </row>
    <row r="23" spans="1:35" ht="11.45" customHeight="1">
      <c r="A23" s="801" t="s">
        <v>204</v>
      </c>
      <c r="B23" s="801" t="s">
        <v>205</v>
      </c>
      <c r="G23" s="805">
        <f>'B-2 p.2 Grouping (Forecast)'!G20/1000</f>
        <v>0</v>
      </c>
      <c r="H23" s="805">
        <f>'B-2 p.1 Grouping (Base)'!I19/1000</f>
        <v>0</v>
      </c>
      <c r="I23" s="805">
        <v>0</v>
      </c>
      <c r="J23" s="805">
        <v>0</v>
      </c>
      <c r="K23" s="805">
        <v>0</v>
      </c>
      <c r="L23" s="805">
        <v>0</v>
      </c>
      <c r="M23" s="805">
        <v>0</v>
      </c>
      <c r="N23" s="805">
        <v>0</v>
      </c>
      <c r="O23" s="806">
        <v>0</v>
      </c>
      <c r="P23" s="806">
        <v>0</v>
      </c>
      <c r="Q23" s="806">
        <v>0</v>
      </c>
      <c r="R23" s="806">
        <v>0</v>
      </c>
      <c r="S23" s="806">
        <v>0</v>
      </c>
      <c r="W23" s="805"/>
      <c r="X23" s="805"/>
      <c r="Y23" s="805"/>
      <c r="Z23" s="805"/>
      <c r="AA23" s="805"/>
      <c r="AB23" s="805"/>
      <c r="AC23" s="805"/>
      <c r="AD23" s="805"/>
      <c r="AE23" s="805"/>
      <c r="AF23" s="805"/>
      <c r="AG23" s="805"/>
      <c r="AH23" s="805"/>
      <c r="AI23" s="805"/>
    </row>
    <row r="24" spans="1:35">
      <c r="A24" s="801" t="s">
        <v>206</v>
      </c>
      <c r="B24" s="801" t="s">
        <v>2926</v>
      </c>
      <c r="G24" s="805">
        <v>0</v>
      </c>
      <c r="H24" s="805">
        <v>0</v>
      </c>
      <c r="I24" s="805">
        <v>400</v>
      </c>
      <c r="J24" s="805">
        <v>400</v>
      </c>
      <c r="K24" s="805">
        <v>400</v>
      </c>
      <c r="L24" s="805">
        <v>400</v>
      </c>
      <c r="M24" s="805">
        <v>400</v>
      </c>
      <c r="N24" s="805">
        <v>400</v>
      </c>
      <c r="O24" s="805">
        <v>400</v>
      </c>
      <c r="P24" s="805">
        <v>0</v>
      </c>
      <c r="Q24" s="805">
        <v>0</v>
      </c>
      <c r="R24" s="805">
        <v>0</v>
      </c>
      <c r="S24" s="805">
        <v>0</v>
      </c>
      <c r="W24" s="805"/>
      <c r="X24" s="805"/>
      <c r="Y24" s="805"/>
      <c r="Z24" s="805"/>
      <c r="AA24" s="805"/>
      <c r="AB24" s="805"/>
      <c r="AC24" s="805"/>
      <c r="AD24" s="805"/>
      <c r="AE24" s="805"/>
      <c r="AF24" s="805"/>
      <c r="AG24" s="805"/>
      <c r="AH24" s="805"/>
      <c r="AI24" s="805"/>
    </row>
    <row r="25" spans="1:35">
      <c r="A25" s="801" t="s">
        <v>207</v>
      </c>
      <c r="B25" s="801" t="s">
        <v>2927</v>
      </c>
      <c r="G25" s="805">
        <v>0</v>
      </c>
      <c r="H25" s="805">
        <v>0</v>
      </c>
      <c r="I25" s="805">
        <v>234.75036000000011</v>
      </c>
      <c r="J25" s="805">
        <v>141.33626000000001</v>
      </c>
      <c r="K25" s="805">
        <v>316.99980000000005</v>
      </c>
      <c r="L25" s="805">
        <v>531</v>
      </c>
      <c r="M25" s="805">
        <v>654</v>
      </c>
      <c r="N25" s="805">
        <v>0</v>
      </c>
      <c r="O25" s="806">
        <v>0</v>
      </c>
      <c r="P25" s="806">
        <v>0</v>
      </c>
      <c r="Q25" s="806">
        <v>0</v>
      </c>
      <c r="R25" s="806">
        <v>0</v>
      </c>
      <c r="S25" s="806">
        <v>0</v>
      </c>
      <c r="W25" s="805"/>
      <c r="X25" s="805"/>
      <c r="Y25" s="805"/>
      <c r="Z25" s="805"/>
      <c r="AA25" s="805"/>
      <c r="AB25" s="805"/>
      <c r="AC25" s="805"/>
      <c r="AD25" s="805"/>
      <c r="AE25" s="805"/>
      <c r="AF25" s="805"/>
      <c r="AG25" s="805"/>
      <c r="AH25" s="805"/>
      <c r="AI25" s="805"/>
    </row>
    <row r="26" spans="1:35">
      <c r="A26" s="801" t="s">
        <v>208</v>
      </c>
      <c r="B26" s="801" t="s">
        <v>209</v>
      </c>
      <c r="G26" s="805">
        <v>0</v>
      </c>
      <c r="H26" s="805">
        <v>0</v>
      </c>
      <c r="I26" s="805">
        <v>0</v>
      </c>
      <c r="J26" s="805">
        <v>0</v>
      </c>
      <c r="K26" s="805">
        <v>0</v>
      </c>
      <c r="L26" s="805">
        <v>0</v>
      </c>
      <c r="M26" s="805">
        <v>0</v>
      </c>
      <c r="N26" s="805">
        <v>0</v>
      </c>
      <c r="O26" s="806">
        <v>0</v>
      </c>
      <c r="P26" s="806">
        <v>0</v>
      </c>
      <c r="Q26" s="806">
        <v>0</v>
      </c>
      <c r="R26" s="806">
        <v>0</v>
      </c>
      <c r="S26" s="806">
        <v>0</v>
      </c>
      <c r="W26" s="805"/>
      <c r="X26" s="805"/>
      <c r="Y26" s="805"/>
      <c r="Z26" s="805"/>
      <c r="AA26" s="805"/>
      <c r="AB26" s="805"/>
      <c r="AC26" s="805"/>
      <c r="AD26" s="805"/>
      <c r="AE26" s="805"/>
      <c r="AF26" s="805"/>
      <c r="AG26" s="805"/>
      <c r="AH26" s="805"/>
      <c r="AI26" s="805"/>
    </row>
    <row r="27" spans="1:35">
      <c r="A27" s="801" t="s">
        <v>210</v>
      </c>
      <c r="B27" s="801" t="s">
        <v>211</v>
      </c>
      <c r="G27" s="1146">
        <f>'B-2 p.2 Grouping (Forecast)'!G32/1000</f>
        <v>-777.09199999999998</v>
      </c>
      <c r="H27" s="1146">
        <f>'B-2 p.1 Grouping (Base)'!I31/1000</f>
        <v>-777.09199999999998</v>
      </c>
      <c r="I27" s="1146">
        <v>-777.09199999999998</v>
      </c>
      <c r="J27" s="1146">
        <v>-777.09199999999998</v>
      </c>
      <c r="K27" s="1146">
        <v>-777.09199999999998</v>
      </c>
      <c r="L27" s="1146">
        <v>-777</v>
      </c>
      <c r="M27" s="1146">
        <v>-777</v>
      </c>
      <c r="N27" s="1146">
        <v>-777</v>
      </c>
      <c r="O27" s="1147">
        <v>-777</v>
      </c>
      <c r="P27" s="1147">
        <v>-777</v>
      </c>
      <c r="Q27" s="1147">
        <v>-777</v>
      </c>
      <c r="R27" s="1147">
        <v>0</v>
      </c>
      <c r="S27" s="1147">
        <v>0</v>
      </c>
      <c r="X27" s="805"/>
      <c r="Y27" s="805"/>
      <c r="Z27" s="805"/>
      <c r="AA27" s="805"/>
      <c r="AB27" s="805"/>
      <c r="AC27" s="805"/>
      <c r="AD27" s="805"/>
      <c r="AE27" s="805"/>
      <c r="AF27" s="805"/>
      <c r="AG27" s="805"/>
      <c r="AH27" s="805"/>
      <c r="AI27" s="805"/>
    </row>
    <row r="28" spans="1:35">
      <c r="A28" s="801" t="s">
        <v>212</v>
      </c>
      <c r="B28" s="801" t="s">
        <v>2929</v>
      </c>
      <c r="G28" s="805">
        <f>SUM(G20:G27)</f>
        <v>897138.95750874851</v>
      </c>
      <c r="H28" s="805">
        <f t="shared" ref="H28:S28" si="0">SUM(H20:H27)</f>
        <v>813363.31739681039</v>
      </c>
      <c r="I28" s="805">
        <f t="shared" si="0"/>
        <v>785586.65836</v>
      </c>
      <c r="J28" s="805">
        <f t="shared" si="0"/>
        <v>718786.24426000006</v>
      </c>
      <c r="K28" s="805">
        <f t="shared" si="0"/>
        <v>655261.90780000004</v>
      </c>
      <c r="L28" s="805">
        <f t="shared" si="0"/>
        <v>593480.08200000005</v>
      </c>
      <c r="M28" s="805">
        <f t="shared" si="0"/>
        <v>540272</v>
      </c>
      <c r="N28" s="805">
        <f t="shared" si="0"/>
        <v>489812</v>
      </c>
      <c r="O28" s="805">
        <f t="shared" si="0"/>
        <v>456733</v>
      </c>
      <c r="P28" s="805">
        <f t="shared" si="0"/>
        <v>424837</v>
      </c>
      <c r="Q28" s="805">
        <f t="shared" si="0"/>
        <v>393846</v>
      </c>
      <c r="R28" s="805">
        <f t="shared" si="0"/>
        <v>364022</v>
      </c>
      <c r="S28" s="805">
        <f t="shared" si="0"/>
        <v>336055</v>
      </c>
      <c r="X28" s="805"/>
      <c r="Y28" s="805"/>
      <c r="Z28" s="805"/>
      <c r="AA28" s="805"/>
      <c r="AB28" s="805"/>
      <c r="AC28" s="805"/>
      <c r="AD28" s="805"/>
      <c r="AE28" s="805"/>
      <c r="AF28" s="805"/>
      <c r="AG28" s="805"/>
      <c r="AH28" s="805"/>
      <c r="AI28" s="805"/>
    </row>
    <row r="29" spans="1:35">
      <c r="A29" s="801" t="s">
        <v>213</v>
      </c>
      <c r="B29" s="801" t="s">
        <v>214</v>
      </c>
      <c r="G29" s="1146">
        <f>'WPB-2.1.C Plant Detail'!O4102/1000</f>
        <v>190037.02264543157</v>
      </c>
      <c r="H29" s="1146">
        <f>'WPB-2.1.C Plant Detail'!O2278/1000</f>
        <v>171266.49959761143</v>
      </c>
      <c r="I29" s="1146">
        <v>167429.52533</v>
      </c>
      <c r="J29" s="1146">
        <v>160445.03920999996</v>
      </c>
      <c r="K29" s="1146">
        <v>173209.99283999999</v>
      </c>
      <c r="L29" s="1146">
        <v>168016</v>
      </c>
      <c r="M29" s="1146">
        <v>163614</v>
      </c>
      <c r="N29" s="1146">
        <v>157738</v>
      </c>
      <c r="O29" s="1147">
        <v>151437</v>
      </c>
      <c r="P29" s="1147">
        <v>145101</v>
      </c>
      <c r="Q29" s="1147">
        <v>141164</v>
      </c>
      <c r="R29" s="1147">
        <v>135601</v>
      </c>
      <c r="S29" s="1147">
        <v>133426</v>
      </c>
      <c r="X29" s="805"/>
      <c r="Y29" s="805"/>
      <c r="Z29" s="805"/>
      <c r="AA29" s="805"/>
      <c r="AB29" s="805"/>
      <c r="AC29" s="805"/>
      <c r="AD29" s="805"/>
      <c r="AE29" s="805"/>
      <c r="AF29" s="805"/>
      <c r="AG29" s="805"/>
      <c r="AH29" s="805"/>
      <c r="AI29" s="805"/>
    </row>
    <row r="30" spans="1:35">
      <c r="A30" s="801" t="s">
        <v>215</v>
      </c>
      <c r="B30" s="801" t="s">
        <v>216</v>
      </c>
      <c r="G30" s="805">
        <f>G28-G29</f>
        <v>707101.93486331694</v>
      </c>
      <c r="H30" s="805">
        <f t="shared" ref="H30:S30" si="1">H28-H29</f>
        <v>642096.81779919891</v>
      </c>
      <c r="I30" s="805">
        <f>I28-I29</f>
        <v>618157.13303000003</v>
      </c>
      <c r="J30" s="805">
        <f>J28-J29</f>
        <v>558341.20505000011</v>
      </c>
      <c r="K30" s="805">
        <f>K28-K29</f>
        <v>482051.91496000008</v>
      </c>
      <c r="L30" s="805">
        <f>L28-L29</f>
        <v>425464.08200000005</v>
      </c>
      <c r="M30" s="805">
        <f>M28-M29</f>
        <v>376658</v>
      </c>
      <c r="N30" s="805">
        <f t="shared" si="1"/>
        <v>332074</v>
      </c>
      <c r="O30" s="805">
        <f t="shared" si="1"/>
        <v>305296</v>
      </c>
      <c r="P30" s="805">
        <f t="shared" si="1"/>
        <v>279736</v>
      </c>
      <c r="Q30" s="805">
        <f t="shared" si="1"/>
        <v>252682</v>
      </c>
      <c r="R30" s="805">
        <f t="shared" si="1"/>
        <v>228421</v>
      </c>
      <c r="S30" s="805">
        <f t="shared" si="1"/>
        <v>202629</v>
      </c>
      <c r="X30" s="805"/>
      <c r="Y30" s="805"/>
      <c r="Z30" s="805"/>
      <c r="AA30" s="805"/>
      <c r="AB30" s="805"/>
      <c r="AC30" s="805"/>
      <c r="AD30" s="805"/>
      <c r="AE30" s="805"/>
      <c r="AF30" s="805"/>
      <c r="AG30" s="805"/>
      <c r="AH30" s="805"/>
      <c r="AI30" s="805"/>
    </row>
    <row r="31" spans="1:35">
      <c r="G31" s="805"/>
      <c r="H31" s="805"/>
      <c r="I31" s="805"/>
      <c r="J31" s="805"/>
      <c r="K31" s="805"/>
      <c r="L31" s="805"/>
      <c r="M31" s="805"/>
      <c r="N31" s="805"/>
      <c r="O31" s="805"/>
      <c r="P31" s="805"/>
      <c r="Q31" s="805"/>
      <c r="R31" s="805"/>
      <c r="S31" s="805"/>
    </row>
    <row r="32" spans="1:35">
      <c r="A32" s="801" t="s">
        <v>217</v>
      </c>
      <c r="B32" s="801" t="s">
        <v>2928</v>
      </c>
      <c r="G32" s="805"/>
      <c r="H32" s="805"/>
      <c r="I32" s="805"/>
      <c r="J32" s="805"/>
      <c r="K32" s="805"/>
      <c r="L32" s="805"/>
      <c r="M32" s="805"/>
      <c r="N32" s="805"/>
      <c r="O32" s="805"/>
      <c r="P32" s="805"/>
      <c r="Q32" s="805"/>
      <c r="R32" s="805"/>
      <c r="S32" s="805"/>
      <c r="T32" s="805"/>
      <c r="X32" s="805"/>
      <c r="Y32" s="805"/>
      <c r="Z32" s="805"/>
      <c r="AA32" s="805"/>
      <c r="AB32" s="805"/>
      <c r="AC32" s="805"/>
      <c r="AD32" s="805"/>
      <c r="AE32" s="805"/>
      <c r="AF32" s="805"/>
      <c r="AG32" s="805"/>
      <c r="AH32" s="805"/>
      <c r="AI32" s="805"/>
    </row>
    <row r="33" spans="1:35">
      <c r="A33" s="801" t="s">
        <v>218</v>
      </c>
      <c r="B33" s="801" t="s">
        <v>199</v>
      </c>
      <c r="G33" s="805">
        <v>0</v>
      </c>
      <c r="H33" s="805">
        <v>0</v>
      </c>
      <c r="I33" s="805">
        <v>3232.8939999999998</v>
      </c>
      <c r="J33" s="805">
        <v>2138</v>
      </c>
      <c r="K33" s="805">
        <v>1793</v>
      </c>
      <c r="L33" s="805">
        <v>1655</v>
      </c>
      <c r="M33" s="805">
        <v>430</v>
      </c>
      <c r="N33" s="805">
        <v>814</v>
      </c>
      <c r="O33" s="806">
        <v>764</v>
      </c>
      <c r="P33" s="806">
        <v>935</v>
      </c>
      <c r="Q33" s="806">
        <v>900</v>
      </c>
      <c r="R33" s="806">
        <v>851</v>
      </c>
      <c r="S33" s="806">
        <v>1799</v>
      </c>
      <c r="T33" s="805"/>
      <c r="X33" s="805"/>
      <c r="Y33" s="805"/>
      <c r="Z33" s="805"/>
      <c r="AA33" s="805"/>
      <c r="AB33" s="805"/>
      <c r="AC33" s="805"/>
      <c r="AD33" s="805"/>
      <c r="AE33" s="805"/>
      <c r="AF33" s="805"/>
      <c r="AG33" s="805"/>
      <c r="AH33" s="805"/>
      <c r="AI33" s="805"/>
    </row>
    <row r="34" spans="1:35">
      <c r="A34" s="801" t="s">
        <v>219</v>
      </c>
      <c r="B34" s="801" t="s">
        <v>201</v>
      </c>
      <c r="G34" s="805">
        <v>0</v>
      </c>
      <c r="H34" s="805">
        <v>0</v>
      </c>
      <c r="I34" s="805">
        <v>14594.725</v>
      </c>
      <c r="J34" s="805">
        <v>15988</v>
      </c>
      <c r="K34" s="805">
        <v>16360</v>
      </c>
      <c r="L34" s="805">
        <v>11482</v>
      </c>
      <c r="M34" s="805">
        <v>6360</v>
      </c>
      <c r="N34" s="805">
        <v>6619</v>
      </c>
      <c r="O34" s="806">
        <v>1696</v>
      </c>
      <c r="P34" s="806">
        <v>-97</v>
      </c>
      <c r="Q34" s="806">
        <v>5961</v>
      </c>
      <c r="R34" s="806">
        <v>5244</v>
      </c>
      <c r="S34" s="806">
        <v>4266</v>
      </c>
      <c r="T34" s="805"/>
      <c r="X34" s="805"/>
      <c r="Y34" s="805"/>
      <c r="Z34" s="805"/>
      <c r="AA34" s="805"/>
      <c r="AB34" s="805"/>
      <c r="AC34" s="805"/>
      <c r="AD34" s="805"/>
      <c r="AE34" s="805"/>
      <c r="AF34" s="805"/>
      <c r="AG34" s="805"/>
      <c r="AH34" s="805"/>
      <c r="AI34" s="805"/>
    </row>
    <row r="35" spans="1:35">
      <c r="A35" s="801" t="s">
        <v>220</v>
      </c>
      <c r="B35" s="801" t="s">
        <v>203</v>
      </c>
      <c r="G35" s="805">
        <v>0</v>
      </c>
      <c r="H35" s="805">
        <v>0</v>
      </c>
      <c r="I35" s="805">
        <v>6.36</v>
      </c>
      <c r="J35" s="805">
        <v>6</v>
      </c>
      <c r="K35" s="805">
        <v>6</v>
      </c>
      <c r="L35" s="805">
        <v>58</v>
      </c>
      <c r="M35" s="805">
        <v>6</v>
      </c>
      <c r="N35" s="805">
        <v>6</v>
      </c>
      <c r="O35" s="806">
        <v>69</v>
      </c>
      <c r="P35" s="806">
        <v>192</v>
      </c>
      <c r="Q35" s="806">
        <v>64</v>
      </c>
      <c r="R35" s="806">
        <v>21</v>
      </c>
      <c r="S35" s="806">
        <v>43</v>
      </c>
      <c r="T35" s="805"/>
      <c r="X35" s="805"/>
      <c r="Y35" s="805"/>
      <c r="Z35" s="805"/>
      <c r="AA35" s="805"/>
      <c r="AB35" s="805"/>
      <c r="AC35" s="805"/>
      <c r="AD35" s="805"/>
      <c r="AE35" s="805"/>
      <c r="AF35" s="805"/>
      <c r="AG35" s="805"/>
      <c r="AH35" s="805"/>
      <c r="AI35" s="805"/>
    </row>
    <row r="36" spans="1:35">
      <c r="A36" s="801" t="s">
        <v>221</v>
      </c>
      <c r="B36" s="801" t="s">
        <v>205</v>
      </c>
      <c r="G36" s="1146">
        <v>0</v>
      </c>
      <c r="H36" s="1146">
        <v>0</v>
      </c>
      <c r="I36" s="1146">
        <v>0</v>
      </c>
      <c r="J36" s="1146">
        <v>0</v>
      </c>
      <c r="K36" s="1146">
        <v>0</v>
      </c>
      <c r="L36" s="1146">
        <v>0</v>
      </c>
      <c r="M36" s="1146">
        <v>0</v>
      </c>
      <c r="N36" s="1146">
        <v>0</v>
      </c>
      <c r="O36" s="1147">
        <v>0</v>
      </c>
      <c r="P36" s="1147">
        <v>0</v>
      </c>
      <c r="Q36" s="1147">
        <v>0</v>
      </c>
      <c r="R36" s="1147">
        <v>0</v>
      </c>
      <c r="S36" s="1147">
        <v>0</v>
      </c>
      <c r="T36" s="805"/>
      <c r="X36" s="805"/>
      <c r="Y36" s="805"/>
      <c r="Z36" s="805"/>
      <c r="AA36" s="805"/>
      <c r="AB36" s="805"/>
      <c r="AC36" s="805"/>
      <c r="AD36" s="805"/>
      <c r="AE36" s="805"/>
      <c r="AF36" s="805"/>
      <c r="AG36" s="805"/>
      <c r="AH36" s="805"/>
      <c r="AI36" s="805"/>
    </row>
    <row r="37" spans="1:35">
      <c r="A37" s="801" t="s">
        <v>222</v>
      </c>
      <c r="B37" s="801" t="s">
        <v>223</v>
      </c>
      <c r="G37" s="805">
        <f>SUM(G33:G36)</f>
        <v>0</v>
      </c>
      <c r="H37" s="805">
        <f t="shared" ref="H37:S37" si="2">SUM(H33:H36)</f>
        <v>0</v>
      </c>
      <c r="I37" s="805">
        <f>SUM(I33:I36)</f>
        <v>17833.978999999999</v>
      </c>
      <c r="J37" s="805">
        <f>SUM(J33:J36)</f>
        <v>18132</v>
      </c>
      <c r="K37" s="805">
        <f>SUM(K33:K36)</f>
        <v>18159</v>
      </c>
      <c r="L37" s="805">
        <f>SUM(L33:L36)</f>
        <v>13195</v>
      </c>
      <c r="M37" s="805">
        <f>SUM(M33:M36)</f>
        <v>6796</v>
      </c>
      <c r="N37" s="805">
        <f t="shared" si="2"/>
        <v>7439</v>
      </c>
      <c r="O37" s="805">
        <f t="shared" si="2"/>
        <v>2529</v>
      </c>
      <c r="P37" s="805">
        <f t="shared" si="2"/>
        <v>1030</v>
      </c>
      <c r="Q37" s="805">
        <f t="shared" si="2"/>
        <v>6925</v>
      </c>
      <c r="R37" s="805">
        <f t="shared" si="2"/>
        <v>6116</v>
      </c>
      <c r="S37" s="805">
        <f t="shared" si="2"/>
        <v>6108</v>
      </c>
      <c r="T37" s="805"/>
      <c r="X37" s="805"/>
      <c r="Y37" s="805"/>
      <c r="Z37" s="805"/>
      <c r="AA37" s="805"/>
      <c r="AB37" s="805"/>
      <c r="AC37" s="805"/>
      <c r="AD37" s="805"/>
      <c r="AE37" s="805"/>
      <c r="AF37" s="805"/>
      <c r="AG37" s="805"/>
      <c r="AH37" s="805"/>
      <c r="AI37" s="805"/>
    </row>
    <row r="38" spans="1:35">
      <c r="G38" s="805"/>
      <c r="H38" s="805"/>
      <c r="I38" s="805"/>
      <c r="J38" s="805"/>
      <c r="K38" s="805"/>
      <c r="L38" s="805"/>
      <c r="M38" s="805"/>
      <c r="N38" s="805"/>
      <c r="O38" s="805"/>
      <c r="P38" s="805"/>
      <c r="Q38" s="805"/>
      <c r="R38" s="805"/>
      <c r="T38" s="805"/>
      <c r="X38" s="805"/>
      <c r="Y38" s="805"/>
      <c r="Z38" s="805"/>
      <c r="AA38" s="805"/>
      <c r="AB38" s="805"/>
      <c r="AC38" s="805"/>
      <c r="AD38" s="805"/>
      <c r="AE38" s="805"/>
      <c r="AF38" s="805"/>
      <c r="AG38" s="805"/>
      <c r="AH38" s="805"/>
      <c r="AI38" s="805"/>
    </row>
    <row r="39" spans="1:35">
      <c r="A39" s="801" t="s">
        <v>224</v>
      </c>
      <c r="B39" s="801" t="s">
        <v>349</v>
      </c>
      <c r="G39" s="807">
        <f>G30+G37</f>
        <v>707101.93486331694</v>
      </c>
      <c r="H39" s="807">
        <f t="shared" ref="H39:S39" si="3">H30+H37</f>
        <v>642096.81779919891</v>
      </c>
      <c r="I39" s="807">
        <f>I30+I37</f>
        <v>635991.11203000008</v>
      </c>
      <c r="J39" s="807">
        <f>J30+J37</f>
        <v>576473.20505000011</v>
      </c>
      <c r="K39" s="807">
        <f>K30+K37</f>
        <v>500210.91496000008</v>
      </c>
      <c r="L39" s="807">
        <f>L30+L37</f>
        <v>438659.08200000005</v>
      </c>
      <c r="M39" s="807">
        <f>M30+M37</f>
        <v>383454</v>
      </c>
      <c r="N39" s="807">
        <f t="shared" si="3"/>
        <v>339513</v>
      </c>
      <c r="O39" s="807">
        <f t="shared" si="3"/>
        <v>307825</v>
      </c>
      <c r="P39" s="807">
        <f t="shared" si="3"/>
        <v>280766</v>
      </c>
      <c r="Q39" s="807">
        <f t="shared" si="3"/>
        <v>259607</v>
      </c>
      <c r="R39" s="807">
        <f t="shared" si="3"/>
        <v>234537</v>
      </c>
      <c r="S39" s="807">
        <f t="shared" si="3"/>
        <v>208737</v>
      </c>
      <c r="T39" s="805"/>
      <c r="X39" s="805"/>
      <c r="Y39" s="805"/>
      <c r="Z39" s="805"/>
      <c r="AA39" s="805"/>
      <c r="AB39" s="805"/>
      <c r="AC39" s="805"/>
      <c r="AD39" s="805"/>
      <c r="AE39" s="805"/>
      <c r="AF39" s="805"/>
      <c r="AG39" s="805"/>
      <c r="AH39" s="805"/>
      <c r="AI39" s="805"/>
    </row>
    <row r="40" spans="1:35">
      <c r="G40" s="805"/>
      <c r="N40" s="805"/>
      <c r="O40" s="805"/>
      <c r="Q40" s="805"/>
      <c r="R40" s="805"/>
      <c r="S40" s="805"/>
      <c r="T40" s="805"/>
      <c r="X40" s="805"/>
      <c r="Y40" s="805"/>
      <c r="Z40" s="805"/>
      <c r="AA40" s="805"/>
      <c r="AB40" s="805"/>
      <c r="AC40" s="805"/>
      <c r="AD40" s="805"/>
      <c r="AE40" s="805"/>
      <c r="AF40" s="805"/>
      <c r="AG40" s="805"/>
      <c r="AH40" s="805"/>
      <c r="AI40" s="805"/>
    </row>
    <row r="41" spans="1:35">
      <c r="A41" s="800" t="s">
        <v>2930</v>
      </c>
      <c r="X41" s="805"/>
      <c r="Y41" s="805"/>
      <c r="Z41" s="805"/>
      <c r="AA41" s="805"/>
      <c r="AB41" s="805"/>
      <c r="AC41" s="805"/>
      <c r="AD41" s="805"/>
      <c r="AE41" s="805"/>
      <c r="AF41" s="805"/>
      <c r="AG41" s="805"/>
      <c r="AH41" s="805"/>
      <c r="AI41" s="805"/>
    </row>
    <row r="43" spans="1:35">
      <c r="A43" s="1356" t="str">
        <f>A1</f>
        <v>COLUMBIA GAS OF KENTUCKY, INC.</v>
      </c>
      <c r="B43" s="1356"/>
      <c r="C43" s="1356"/>
      <c r="D43" s="1356"/>
      <c r="E43" s="1356"/>
      <c r="F43" s="1356"/>
      <c r="G43" s="1356"/>
      <c r="H43" s="1356"/>
      <c r="I43" s="1356"/>
      <c r="J43" s="1356"/>
      <c r="K43" s="1356"/>
      <c r="L43" s="1356"/>
      <c r="M43" s="1356"/>
      <c r="N43" s="1356"/>
      <c r="O43" s="1356"/>
      <c r="P43" s="1356"/>
      <c r="Q43" s="1356"/>
      <c r="R43" s="1356"/>
      <c r="S43" s="1356"/>
    </row>
    <row r="44" spans="1:35">
      <c r="A44" s="1356" t="str">
        <f>A2</f>
        <v>CASE NO. 2024 - 00092</v>
      </c>
      <c r="B44" s="1356"/>
      <c r="C44" s="1356"/>
      <c r="D44" s="1356"/>
      <c r="E44" s="1356"/>
      <c r="F44" s="1356"/>
      <c r="G44" s="1356"/>
      <c r="H44" s="1356"/>
      <c r="I44" s="1356"/>
      <c r="J44" s="1356"/>
      <c r="K44" s="1356"/>
      <c r="L44" s="1356"/>
      <c r="M44" s="1356"/>
      <c r="N44" s="1356"/>
      <c r="O44" s="1356"/>
      <c r="P44" s="1356"/>
      <c r="Q44" s="1356"/>
      <c r="R44" s="1356"/>
      <c r="S44" s="1356"/>
    </row>
    <row r="45" spans="1:35">
      <c r="A45" s="1356" t="str">
        <f>A3</f>
        <v>COMPARATIVE FINANCIAL DATA</v>
      </c>
      <c r="B45" s="1356"/>
      <c r="C45" s="1356"/>
      <c r="D45" s="1356"/>
      <c r="E45" s="1356"/>
      <c r="F45" s="1356"/>
      <c r="G45" s="1356"/>
      <c r="H45" s="1356"/>
      <c r="I45" s="1356"/>
      <c r="J45" s="1356"/>
      <c r="K45" s="1356"/>
      <c r="L45" s="1356"/>
      <c r="M45" s="1356"/>
      <c r="N45" s="1356"/>
      <c r="O45" s="1356"/>
      <c r="P45" s="1356"/>
      <c r="Q45" s="1356"/>
      <c r="R45" s="1356"/>
      <c r="S45" s="1356"/>
    </row>
    <row r="46" spans="1:35">
      <c r="A46" s="1356" t="str">
        <f>A4</f>
        <v>BASE PERIOD: TWELVE MONTHS ENDED AUGUST 31, 2024</v>
      </c>
      <c r="B46" s="1356"/>
      <c r="C46" s="1356"/>
      <c r="D46" s="1356"/>
      <c r="E46" s="1356"/>
      <c r="F46" s="1356"/>
      <c r="G46" s="1356"/>
      <c r="H46" s="1356"/>
      <c r="I46" s="1356"/>
      <c r="J46" s="1356"/>
      <c r="K46" s="1356"/>
      <c r="L46" s="1356"/>
      <c r="M46" s="1356"/>
      <c r="N46" s="1356"/>
      <c r="O46" s="1356"/>
      <c r="P46" s="1356"/>
      <c r="Q46" s="1356"/>
      <c r="R46" s="1356"/>
      <c r="S46" s="1356"/>
    </row>
    <row r="47" spans="1:35">
      <c r="A47" s="1356" t="str">
        <f>A5</f>
        <v>FORECASTED TEST PERIOD: TWELVE MONTHS ENDED DECEMBER 31, 2025</v>
      </c>
      <c r="B47" s="1356"/>
      <c r="C47" s="1356"/>
      <c r="D47" s="1356"/>
      <c r="E47" s="1356"/>
      <c r="F47" s="1356"/>
      <c r="G47" s="1356"/>
      <c r="H47" s="1356"/>
      <c r="I47" s="1356"/>
      <c r="J47" s="1356"/>
      <c r="K47" s="1356"/>
      <c r="L47" s="1356"/>
      <c r="M47" s="1356"/>
      <c r="N47" s="1356"/>
      <c r="O47" s="1356"/>
      <c r="P47" s="1356"/>
      <c r="Q47" s="1356"/>
      <c r="R47" s="1356"/>
      <c r="S47" s="1356"/>
    </row>
    <row r="49" spans="1:33">
      <c r="A49" s="801" t="s">
        <v>739</v>
      </c>
      <c r="S49" s="802" t="s">
        <v>189</v>
      </c>
    </row>
    <row r="50" spans="1:33">
      <c r="A50" s="801" t="str">
        <f>A8</f>
        <v>TYPE OF FILING:___X___ORIGINAL______UPDATED</v>
      </c>
      <c r="S50" s="802" t="s">
        <v>537</v>
      </c>
    </row>
    <row r="51" spans="1:33">
      <c r="A51" s="801" t="s">
        <v>575</v>
      </c>
      <c r="S51" s="802" t="str">
        <f>S9</f>
        <v>WITNESSES: SHAEFFER</v>
      </c>
    </row>
    <row r="52" spans="1:33">
      <c r="A52" s="801"/>
      <c r="S52" s="802" t="str">
        <f>S10</f>
        <v>INSCHO</v>
      </c>
    </row>
    <row r="53" spans="1:33">
      <c r="A53" s="801"/>
      <c r="S53" s="802" t="str">
        <f>S11</f>
        <v>GORE</v>
      </c>
    </row>
    <row r="54" spans="1:33">
      <c r="A54" s="801"/>
      <c r="S54" s="802" t="str">
        <f>'General Headers Index'!$B$76</f>
        <v>REA</v>
      </c>
    </row>
    <row r="55" spans="1:33">
      <c r="A55" s="801"/>
      <c r="S55" s="802"/>
    </row>
    <row r="56" spans="1:33">
      <c r="A56" s="877"/>
      <c r="B56" s="877"/>
      <c r="C56" s="877"/>
      <c r="D56" s="877"/>
      <c r="E56" s="877"/>
      <c r="F56" s="877"/>
      <c r="G56" s="878" t="s">
        <v>653</v>
      </c>
      <c r="H56" s="878" t="s">
        <v>653</v>
      </c>
      <c r="I56" s="877"/>
      <c r="J56" s="877"/>
      <c r="K56" s="877"/>
      <c r="L56" s="877"/>
      <c r="M56" s="877"/>
      <c r="N56" s="877"/>
      <c r="O56" s="877"/>
      <c r="P56" s="877"/>
      <c r="Q56" s="877"/>
      <c r="R56" s="877"/>
      <c r="S56" s="877"/>
    </row>
    <row r="57" spans="1:33">
      <c r="A57" s="801" t="s">
        <v>313</v>
      </c>
      <c r="G57" s="799" t="s">
        <v>651</v>
      </c>
      <c r="H57" s="799" t="s">
        <v>315</v>
      </c>
      <c r="I57" s="1143"/>
      <c r="J57" s="1143"/>
      <c r="K57" s="1143"/>
      <c r="L57" s="1143"/>
      <c r="M57" s="1143"/>
      <c r="N57" s="1144" t="s">
        <v>194</v>
      </c>
      <c r="O57" s="1143"/>
      <c r="P57" s="1143"/>
      <c r="Q57" s="1143"/>
      <c r="R57" s="1144"/>
      <c r="S57" s="1143"/>
    </row>
    <row r="58" spans="1:33">
      <c r="A58" s="1145" t="s">
        <v>316</v>
      </c>
      <c r="B58" s="1143"/>
      <c r="C58" s="1144" t="s">
        <v>451</v>
      </c>
      <c r="D58" s="1143"/>
      <c r="E58" s="1143"/>
      <c r="F58" s="1143"/>
      <c r="G58" s="1144" t="s">
        <v>2931</v>
      </c>
      <c r="H58" s="1144" t="s">
        <v>319</v>
      </c>
      <c r="I58" s="1144">
        <f>I16</f>
        <v>2023</v>
      </c>
      <c r="J58" s="1144">
        <v>2019</v>
      </c>
      <c r="K58" s="1144">
        <v>2018</v>
      </c>
      <c r="L58" s="1144">
        <v>2017</v>
      </c>
      <c r="M58" s="1144">
        <v>2016</v>
      </c>
      <c r="N58" s="1144">
        <v>2015</v>
      </c>
      <c r="O58" s="1144">
        <v>2014</v>
      </c>
      <c r="P58" s="1144">
        <v>2013</v>
      </c>
      <c r="Q58" s="1144">
        <v>2012</v>
      </c>
      <c r="R58" s="1144">
        <v>2011</v>
      </c>
      <c r="S58" s="1144">
        <v>2010</v>
      </c>
      <c r="W58" s="808"/>
      <c r="Z58" s="808"/>
      <c r="AB58" s="808"/>
      <c r="AC58" s="808"/>
      <c r="AD58" s="808"/>
      <c r="AE58" s="808"/>
      <c r="AF58" s="808"/>
      <c r="AG58" s="808"/>
    </row>
    <row r="59" spans="1:33">
      <c r="R59" s="799"/>
      <c r="S59" s="799"/>
      <c r="Z59" s="808"/>
    </row>
    <row r="60" spans="1:33">
      <c r="A60" s="799">
        <v>1</v>
      </c>
      <c r="B60" s="803" t="s">
        <v>225</v>
      </c>
      <c r="C60" s="804"/>
      <c r="D60" s="804"/>
      <c r="W60" s="808"/>
      <c r="Z60" s="808"/>
      <c r="AB60" s="808"/>
      <c r="AC60" s="808"/>
      <c r="AD60" s="808"/>
      <c r="AE60" s="808"/>
      <c r="AF60" s="808"/>
      <c r="AG60" s="808"/>
    </row>
    <row r="61" spans="1:33">
      <c r="A61" s="799">
        <f>A60+1</f>
        <v>2</v>
      </c>
      <c r="B61" s="801" t="s">
        <v>226</v>
      </c>
      <c r="G61" s="805"/>
      <c r="H61" s="805"/>
      <c r="I61" s="805"/>
      <c r="J61" s="805"/>
      <c r="K61" s="805"/>
      <c r="L61" s="805"/>
      <c r="M61" s="805"/>
      <c r="N61" s="805"/>
      <c r="O61" s="805"/>
      <c r="P61" s="805"/>
      <c r="Q61" s="805"/>
      <c r="R61" s="805"/>
      <c r="S61" s="805"/>
      <c r="T61" s="805"/>
      <c r="Z61" s="808"/>
    </row>
    <row r="62" spans="1:33">
      <c r="A62" s="799">
        <f>A61+1</f>
        <v>3</v>
      </c>
      <c r="B62" s="801" t="s">
        <v>227</v>
      </c>
      <c r="G62" s="809">
        <f>'J-1 Cost of Capital Summary'!G18/1000</f>
        <v>11600.5</v>
      </c>
      <c r="H62" s="809">
        <f>'J-1 Base Period Cost of Capital'!G17/1000</f>
        <v>17596.785344574644</v>
      </c>
      <c r="I62" s="810">
        <v>17628.77533</v>
      </c>
      <c r="J62" s="810">
        <v>51840.171909999997</v>
      </c>
      <c r="K62" s="810">
        <v>32187.766660000001</v>
      </c>
      <c r="L62" s="810">
        <v>34268</v>
      </c>
      <c r="M62" s="810">
        <v>21860</v>
      </c>
      <c r="N62" s="810">
        <v>7375</v>
      </c>
      <c r="O62" s="810">
        <v>27826</v>
      </c>
      <c r="P62" s="810">
        <v>7014</v>
      </c>
      <c r="Q62" s="810">
        <v>0</v>
      </c>
      <c r="R62" s="810">
        <v>0</v>
      </c>
      <c r="S62" s="810">
        <v>0</v>
      </c>
      <c r="T62" s="805"/>
      <c r="W62" s="808"/>
      <c r="Y62" s="808"/>
      <c r="Z62" s="808"/>
      <c r="AB62" s="808"/>
      <c r="AC62" s="808"/>
      <c r="AD62" s="808"/>
      <c r="AE62" s="808"/>
      <c r="AF62" s="808"/>
      <c r="AG62" s="808"/>
    </row>
    <row r="63" spans="1:33">
      <c r="A63" s="799">
        <f>A62+1</f>
        <v>4</v>
      </c>
      <c r="B63" s="801" t="s">
        <v>228</v>
      </c>
      <c r="G63" s="809">
        <f>'J-1 Cost of Capital Summary'!G20/1000</f>
        <v>297375</v>
      </c>
      <c r="H63" s="809">
        <f>'J-1 Base Period Cost of Capital'!G19/1000</f>
        <v>256375</v>
      </c>
      <c r="I63" s="810">
        <v>251375</v>
      </c>
      <c r="J63" s="810">
        <v>218375</v>
      </c>
      <c r="K63" s="810">
        <v>192375</v>
      </c>
      <c r="L63" s="810">
        <v>154375</v>
      </c>
      <c r="M63" s="810">
        <v>142375</v>
      </c>
      <c r="N63" s="810">
        <v>127375</v>
      </c>
      <c r="O63" s="810">
        <v>114375</v>
      </c>
      <c r="P63" s="810">
        <v>118585</v>
      </c>
      <c r="Q63" s="810">
        <v>98335</v>
      </c>
      <c r="R63" s="810">
        <v>98335</v>
      </c>
      <c r="S63" s="810">
        <v>93335</v>
      </c>
      <c r="T63" s="805"/>
      <c r="Z63" s="808"/>
    </row>
    <row r="64" spans="1:33">
      <c r="A64" s="799">
        <f>A63+1</f>
        <v>5</v>
      </c>
      <c r="B64" s="801" t="s">
        <v>229</v>
      </c>
      <c r="G64" s="811" t="s">
        <v>230</v>
      </c>
      <c r="H64" s="811" t="s">
        <v>230</v>
      </c>
      <c r="I64" s="812" t="s">
        <v>230</v>
      </c>
      <c r="J64" s="812" t="s">
        <v>230</v>
      </c>
      <c r="K64" s="812" t="s">
        <v>230</v>
      </c>
      <c r="L64" s="812" t="s">
        <v>230</v>
      </c>
      <c r="M64" s="812" t="s">
        <v>230</v>
      </c>
      <c r="N64" s="812" t="s">
        <v>230</v>
      </c>
      <c r="O64" s="812" t="s">
        <v>230</v>
      </c>
      <c r="P64" s="812" t="s">
        <v>230</v>
      </c>
      <c r="Q64" s="812" t="s">
        <v>230</v>
      </c>
      <c r="R64" s="812" t="s">
        <v>230</v>
      </c>
      <c r="S64" s="812" t="s">
        <v>230</v>
      </c>
      <c r="T64" s="805"/>
      <c r="W64" s="808"/>
      <c r="Z64" s="808"/>
      <c r="AB64" s="808"/>
      <c r="AC64" s="808"/>
      <c r="AD64" s="808"/>
      <c r="AE64" s="808"/>
      <c r="AF64" s="808"/>
      <c r="AG64" s="808"/>
    </row>
    <row r="65" spans="1:33">
      <c r="A65" s="799">
        <f>A64+1</f>
        <v>6</v>
      </c>
      <c r="B65" s="801" t="s">
        <v>231</v>
      </c>
      <c r="G65" s="1148">
        <f>'J-1 Cost of Capital Summary'!G24/1000</f>
        <v>343580.8778867721</v>
      </c>
      <c r="H65" s="1148">
        <f>'J-1 Base Period Cost of Capital'!G23/1000</f>
        <v>304249.43231615919</v>
      </c>
      <c r="I65" s="1149">
        <v>291028.50539999997</v>
      </c>
      <c r="J65" s="1149">
        <v>265983.53241000004</v>
      </c>
      <c r="K65" s="1149">
        <v>224667.41066999998</v>
      </c>
      <c r="L65" s="1149">
        <v>186263</v>
      </c>
      <c r="M65" s="1149">
        <v>168685</v>
      </c>
      <c r="N65" s="1149">
        <v>153333</v>
      </c>
      <c r="O65" s="1149">
        <v>132986</v>
      </c>
      <c r="P65" s="1149">
        <v>120305</v>
      </c>
      <c r="Q65" s="1149">
        <v>114423</v>
      </c>
      <c r="R65" s="1149">
        <v>110501</v>
      </c>
      <c r="S65" s="1149">
        <v>100386</v>
      </c>
      <c r="T65" s="805"/>
      <c r="Z65" s="808"/>
    </row>
    <row r="66" spans="1:33">
      <c r="A66" s="799"/>
      <c r="G66" s="805"/>
      <c r="H66" s="805"/>
      <c r="I66" s="805"/>
      <c r="J66" s="805"/>
      <c r="K66" s="805"/>
      <c r="L66" s="805"/>
      <c r="M66" s="805"/>
      <c r="N66" s="805"/>
      <c r="O66" s="805"/>
      <c r="P66" s="805"/>
      <c r="Q66" s="805"/>
      <c r="R66" s="805"/>
      <c r="S66" s="805"/>
      <c r="T66" s="805"/>
      <c r="W66" s="808"/>
      <c r="Y66" s="808"/>
      <c r="Z66" s="808"/>
      <c r="AB66" s="808"/>
      <c r="AC66" s="808"/>
      <c r="AD66" s="808"/>
      <c r="AE66" s="808"/>
      <c r="AF66" s="808"/>
      <c r="AG66" s="808"/>
    </row>
    <row r="67" spans="1:33">
      <c r="A67" s="799">
        <f>A65+1</f>
        <v>7</v>
      </c>
      <c r="B67" s="801" t="s">
        <v>349</v>
      </c>
      <c r="G67" s="807">
        <f t="shared" ref="G67:S67" si="4">SUM(G62:G65)</f>
        <v>652556.37788677216</v>
      </c>
      <c r="H67" s="807">
        <f t="shared" si="4"/>
        <v>578221.21766073385</v>
      </c>
      <c r="I67" s="807">
        <f>SUM(I62:I65)</f>
        <v>560032.28073</v>
      </c>
      <c r="J67" s="807">
        <f>SUM(J62:J65)</f>
        <v>536198.70432000002</v>
      </c>
      <c r="K67" s="807">
        <f>SUM(K62:K65)</f>
        <v>449230.17732999998</v>
      </c>
      <c r="L67" s="807">
        <f>SUM(L62:L65)</f>
        <v>374906</v>
      </c>
      <c r="M67" s="807">
        <f>SUM(M62:M65)</f>
        <v>332920</v>
      </c>
      <c r="N67" s="807">
        <f t="shared" si="4"/>
        <v>288083</v>
      </c>
      <c r="O67" s="807">
        <f t="shared" si="4"/>
        <v>275187</v>
      </c>
      <c r="P67" s="807">
        <f t="shared" si="4"/>
        <v>245904</v>
      </c>
      <c r="Q67" s="807">
        <f t="shared" si="4"/>
        <v>212758</v>
      </c>
      <c r="R67" s="807">
        <f t="shared" si="4"/>
        <v>208836</v>
      </c>
      <c r="S67" s="807">
        <f t="shared" si="4"/>
        <v>193721</v>
      </c>
      <c r="T67" s="805"/>
      <c r="Z67" s="808"/>
    </row>
    <row r="68" spans="1:33">
      <c r="A68" s="799"/>
      <c r="G68" s="805"/>
      <c r="H68" s="805"/>
      <c r="I68" s="805"/>
      <c r="J68" s="805"/>
      <c r="K68" s="805"/>
      <c r="L68" s="805"/>
      <c r="M68" s="805"/>
      <c r="N68" s="805"/>
      <c r="O68" s="805"/>
      <c r="P68" s="805"/>
      <c r="Q68" s="805"/>
      <c r="R68" s="805"/>
      <c r="S68" s="805"/>
      <c r="T68" s="805"/>
      <c r="W68" s="808"/>
      <c r="Y68" s="808"/>
      <c r="Z68" s="808"/>
      <c r="AA68" s="808"/>
      <c r="AB68" s="808"/>
      <c r="AC68" s="808"/>
      <c r="AD68" s="808"/>
      <c r="AE68" s="808"/>
      <c r="AF68" s="808"/>
      <c r="AG68" s="808"/>
    </row>
    <row r="69" spans="1:33">
      <c r="A69" s="799">
        <f>A67+1</f>
        <v>8</v>
      </c>
      <c r="B69" s="803" t="s">
        <v>232</v>
      </c>
      <c r="C69" s="804"/>
      <c r="D69" s="804"/>
      <c r="E69" s="804"/>
      <c r="F69" s="804"/>
      <c r="G69" s="805"/>
      <c r="H69" s="805"/>
      <c r="I69" s="805"/>
      <c r="J69" s="805"/>
      <c r="K69" s="805"/>
      <c r="L69" s="805"/>
      <c r="M69" s="805"/>
      <c r="N69" s="805"/>
      <c r="O69" s="805"/>
      <c r="P69" s="805"/>
      <c r="Q69" s="805"/>
      <c r="R69" s="805"/>
      <c r="S69" s="805"/>
      <c r="T69" s="805"/>
      <c r="Z69" s="808"/>
    </row>
    <row r="70" spans="1:33">
      <c r="A70" s="799">
        <f>A69+1</f>
        <v>9</v>
      </c>
      <c r="B70" s="801" t="s">
        <v>233</v>
      </c>
      <c r="G70" s="810">
        <f>'C-2.1.B Oper Rev&amp;Exp by Accts'!F39/1000</f>
        <v>150820.6856266667</v>
      </c>
      <c r="H70" s="810">
        <f>'C-2.1.A Oper Rev&amp;Exp by Accts'!F34/1000</f>
        <v>170218.51175259773</v>
      </c>
      <c r="I70" s="810">
        <v>189335.91527</v>
      </c>
      <c r="J70" s="810">
        <v>213420.28889</v>
      </c>
      <c r="K70" s="810">
        <v>157385.95649000001</v>
      </c>
      <c r="L70" s="810">
        <v>131005</v>
      </c>
      <c r="M70" s="810">
        <v>137928</v>
      </c>
      <c r="N70" s="810">
        <v>143589</v>
      </c>
      <c r="O70" s="810">
        <v>137145</v>
      </c>
      <c r="P70" s="810">
        <v>108656</v>
      </c>
      <c r="Q70" s="810">
        <v>131960</v>
      </c>
      <c r="R70" s="810">
        <v>168059</v>
      </c>
      <c r="S70" s="810">
        <v>137501</v>
      </c>
      <c r="T70" s="805"/>
      <c r="Z70" s="808"/>
    </row>
    <row r="71" spans="1:33">
      <c r="A71" s="799">
        <f>A70+1</f>
        <v>10</v>
      </c>
      <c r="B71" s="801" t="s">
        <v>234</v>
      </c>
      <c r="G71" s="805"/>
      <c r="H71" s="805"/>
      <c r="I71" s="805"/>
      <c r="J71" s="805"/>
      <c r="K71" s="805"/>
      <c r="L71" s="805"/>
      <c r="M71" s="805"/>
      <c r="N71" s="805"/>
      <c r="O71" s="805"/>
      <c r="P71" s="805"/>
      <c r="Q71" s="805"/>
      <c r="R71" s="805"/>
      <c r="S71" s="805"/>
      <c r="T71" s="805"/>
      <c r="W71" s="808"/>
      <c r="Y71" s="808"/>
      <c r="Z71" s="808"/>
      <c r="AB71" s="808"/>
      <c r="AC71" s="808"/>
      <c r="AD71" s="808"/>
      <c r="AE71" s="808"/>
      <c r="AF71" s="808"/>
      <c r="AG71" s="808"/>
    </row>
    <row r="72" spans="1:33">
      <c r="A72" s="799"/>
      <c r="B72" s="801" t="s">
        <v>235</v>
      </c>
      <c r="G72" s="813">
        <f>'C-2.1.B Oper Rev&amp;Exp by Accts'!F160/1000-G73-G74-G76</f>
        <v>123475.14517286459</v>
      </c>
      <c r="H72" s="810">
        <f>'C-2.1.A Oper Rev&amp;Exp by Accts'!F157/1000-H73-H74-H76</f>
        <v>130776.00392418314</v>
      </c>
      <c r="I72" s="810">
        <v>151711.97804999998</v>
      </c>
      <c r="J72" s="810">
        <v>179936.12514000005</v>
      </c>
      <c r="K72" s="810">
        <v>134936.29287</v>
      </c>
      <c r="L72" s="810">
        <v>109123</v>
      </c>
      <c r="M72" s="810">
        <v>115472</v>
      </c>
      <c r="N72" s="810">
        <v>117759</v>
      </c>
      <c r="O72" s="810">
        <v>115681</v>
      </c>
      <c r="P72" s="810">
        <v>91085</v>
      </c>
      <c r="Q72" s="810">
        <v>110672</v>
      </c>
      <c r="R72" s="810">
        <v>144427</v>
      </c>
      <c r="S72" s="810">
        <v>119443</v>
      </c>
      <c r="T72" s="805"/>
      <c r="Y72" s="808"/>
      <c r="Z72" s="808"/>
    </row>
    <row r="73" spans="1:33">
      <c r="A73" s="799">
        <f>A71+1</f>
        <v>11</v>
      </c>
      <c r="B73" s="801" t="s">
        <v>236</v>
      </c>
      <c r="G73" s="810">
        <f>('C-2.1.B Oper Rev&amp;Exp by Accts'!F156+'C-2.1.B Oper Rev&amp;Exp by Accts'!F158)/1000</f>
        <v>685.48987908510014</v>
      </c>
      <c r="H73" s="810">
        <f>('C-2.1.A Oper Rev&amp;Exp by Accts'!F153+'C-2.1.A Oper Rev&amp;Exp by Accts'!F155)/1000</f>
        <v>1376.5407217272077</v>
      </c>
      <c r="I73" s="810">
        <v>1346.41</v>
      </c>
      <c r="J73" s="810">
        <v>1160.4970000000001</v>
      </c>
      <c r="K73" s="810">
        <v>750.51099999999997</v>
      </c>
      <c r="L73" s="810">
        <v>332</v>
      </c>
      <c r="M73" s="810">
        <v>678</v>
      </c>
      <c r="N73" s="810">
        <v>1074</v>
      </c>
      <c r="O73" s="810">
        <v>855</v>
      </c>
      <c r="P73" s="810">
        <v>664</v>
      </c>
      <c r="Q73" s="810">
        <v>877</v>
      </c>
      <c r="R73" s="810">
        <v>1407</v>
      </c>
      <c r="S73" s="810">
        <v>282</v>
      </c>
      <c r="T73" s="805"/>
      <c r="W73" s="808"/>
      <c r="Y73" s="808"/>
      <c r="Z73" s="808"/>
      <c r="AB73" s="808"/>
      <c r="AC73" s="808"/>
      <c r="AD73" s="808"/>
      <c r="AE73" s="808"/>
      <c r="AF73" s="808"/>
      <c r="AG73" s="808"/>
    </row>
    <row r="74" spans="1:33">
      <c r="A74" s="799">
        <f>A73+1</f>
        <v>12</v>
      </c>
      <c r="B74" s="801" t="s">
        <v>237</v>
      </c>
      <c r="G74" s="1150">
        <f>('C-2.1.B Oper Rev&amp;Exp by Accts'!F155+'C-2.1.B Oper Rev&amp;Exp by Accts'!F157)/1000</f>
        <v>2030.2167561159101</v>
      </c>
      <c r="H74" s="1150">
        <f>('C-2.1.A Oper Rev&amp;Exp by Accts'!F152+'C-2.1.A Oper Rev&amp;Exp by Accts'!F154)/1000-H76</f>
        <v>5444.8440269795265</v>
      </c>
      <c r="I74" s="1150">
        <v>4657.1850000000004</v>
      </c>
      <c r="J74" s="1150">
        <v>4181.3410000000003</v>
      </c>
      <c r="K74" s="1150">
        <v>2338.9960000000001</v>
      </c>
      <c r="L74" s="1150">
        <v>3604</v>
      </c>
      <c r="M74" s="1150">
        <v>2531</v>
      </c>
      <c r="N74" s="1150">
        <v>3108</v>
      </c>
      <c r="O74" s="1150">
        <v>5334</v>
      </c>
      <c r="P74" s="1150">
        <v>3858</v>
      </c>
      <c r="Q74" s="1150">
        <v>7201</v>
      </c>
      <c r="R74" s="1150">
        <v>5964</v>
      </c>
      <c r="S74" s="1150">
        <v>4792</v>
      </c>
      <c r="T74" s="805"/>
      <c r="Y74" s="808"/>
      <c r="Z74" s="808"/>
    </row>
    <row r="75" spans="1:33">
      <c r="A75" s="799">
        <f t="shared" ref="A75:A84" si="5">A74+1</f>
        <v>13</v>
      </c>
      <c r="B75" s="801" t="s">
        <v>238</v>
      </c>
      <c r="G75" s="805">
        <f>G73+G74</f>
        <v>2715.7066352010102</v>
      </c>
      <c r="H75" s="805">
        <f t="shared" ref="H75:S75" si="6">H73+H74</f>
        <v>6821.3847487067342</v>
      </c>
      <c r="I75" s="805">
        <f t="shared" si="6"/>
        <v>6003.5950000000003</v>
      </c>
      <c r="J75" s="805">
        <f t="shared" si="6"/>
        <v>5341.8380000000006</v>
      </c>
      <c r="K75" s="805">
        <f t="shared" si="6"/>
        <v>3089.5070000000001</v>
      </c>
      <c r="L75" s="805">
        <f t="shared" si="6"/>
        <v>3936</v>
      </c>
      <c r="M75" s="805">
        <f t="shared" si="6"/>
        <v>3209</v>
      </c>
      <c r="N75" s="805">
        <f t="shared" si="6"/>
        <v>4182</v>
      </c>
      <c r="O75" s="805">
        <f t="shared" si="6"/>
        <v>6189</v>
      </c>
      <c r="P75" s="805">
        <f t="shared" si="6"/>
        <v>4522</v>
      </c>
      <c r="Q75" s="805">
        <f t="shared" si="6"/>
        <v>8078</v>
      </c>
      <c r="R75" s="805">
        <f t="shared" si="6"/>
        <v>7371</v>
      </c>
      <c r="S75" s="805">
        <f t="shared" si="6"/>
        <v>5074</v>
      </c>
      <c r="T75" s="805"/>
      <c r="W75" s="808"/>
      <c r="Y75" s="808"/>
      <c r="Z75" s="808"/>
      <c r="AB75" s="808"/>
      <c r="AC75" s="808"/>
      <c r="AD75" s="808"/>
      <c r="AE75" s="808"/>
      <c r="AF75" s="808"/>
      <c r="AG75" s="808"/>
    </row>
    <row r="76" spans="1:33">
      <c r="A76" s="799">
        <f t="shared" si="5"/>
        <v>14</v>
      </c>
      <c r="B76" s="801" t="s">
        <v>239</v>
      </c>
      <c r="G76" s="1149">
        <f>'E-1.1 Fed &amp; State Inc Tax'!J51/1000</f>
        <v>-1.0640000000000001</v>
      </c>
      <c r="H76" s="1149">
        <f>'E-1.1 Fed &amp; State Inc Tax'!D51/1000</f>
        <v>-9.0983333333333327</v>
      </c>
      <c r="I76" s="1149">
        <v>-12.816000000000001</v>
      </c>
      <c r="J76" s="1149">
        <v>-12.816000000000001</v>
      </c>
      <c r="K76" s="1149">
        <v>-18.588000000000001</v>
      </c>
      <c r="L76" s="1149">
        <v>-22</v>
      </c>
      <c r="M76" s="1149">
        <v>-24</v>
      </c>
      <c r="N76" s="1149">
        <v>171</v>
      </c>
      <c r="O76" s="1149">
        <v>-36</v>
      </c>
      <c r="P76" s="1149">
        <v>-53</v>
      </c>
      <c r="Q76" s="1149">
        <v>-66</v>
      </c>
      <c r="R76" s="1149">
        <v>-75</v>
      </c>
      <c r="S76" s="1149">
        <v>-80</v>
      </c>
      <c r="T76" s="805"/>
      <c r="Y76" s="808"/>
      <c r="Z76" s="808"/>
    </row>
    <row r="77" spans="1:33">
      <c r="A77" s="799">
        <f t="shared" si="5"/>
        <v>15</v>
      </c>
      <c r="B77" s="801" t="s">
        <v>240</v>
      </c>
      <c r="G77" s="805">
        <f>G70-G72-G75-G76</f>
        <v>24630.897818601097</v>
      </c>
      <c r="H77" s="805">
        <f t="shared" ref="H77:S77" si="7">H70-H72-H75-H76</f>
        <v>32630.221413041185</v>
      </c>
      <c r="I77" s="805">
        <f>I70-I72-I75-I76</f>
        <v>31633.158220000019</v>
      </c>
      <c r="J77" s="805">
        <f>J70-J72-J75-J76</f>
        <v>28155.141749999948</v>
      </c>
      <c r="K77" s="805">
        <f>K70-K72-K75-K76</f>
        <v>19378.744620000005</v>
      </c>
      <c r="L77" s="805">
        <f>L70-L72-L75-L76</f>
        <v>17968</v>
      </c>
      <c r="M77" s="805">
        <f>M70-M72-M75-M76</f>
        <v>19271</v>
      </c>
      <c r="N77" s="805">
        <f t="shared" si="7"/>
        <v>21477</v>
      </c>
      <c r="O77" s="805">
        <f t="shared" si="7"/>
        <v>15311</v>
      </c>
      <c r="P77" s="805">
        <f t="shared" si="7"/>
        <v>13102</v>
      </c>
      <c r="Q77" s="805">
        <f t="shared" si="7"/>
        <v>13276</v>
      </c>
      <c r="R77" s="805">
        <f t="shared" si="7"/>
        <v>16336</v>
      </c>
      <c r="S77" s="805">
        <f t="shared" si="7"/>
        <v>13064</v>
      </c>
      <c r="T77" s="805"/>
      <c r="Y77" s="808"/>
      <c r="Z77" s="808"/>
    </row>
    <row r="78" spans="1:33">
      <c r="A78" s="799">
        <f t="shared" si="5"/>
        <v>16</v>
      </c>
      <c r="B78" s="801" t="s">
        <v>241</v>
      </c>
      <c r="G78" s="810">
        <f>-('C-2.2.B Total Co Accts Activ '!P125+'C-2.2.B Total Co Accts Activ '!P130)/1000</f>
        <v>1620.5030835874197</v>
      </c>
      <c r="H78" s="810">
        <f>-('C-2.2.A Total Co Accts Activ '!P121+'C-2.2.A Total Co Accts Activ '!P126)/1000</f>
        <v>1223.9359295252161</v>
      </c>
      <c r="I78" s="810">
        <v>-548.65863000000002</v>
      </c>
      <c r="J78" s="810">
        <v>150.42879000000002</v>
      </c>
      <c r="K78" s="810">
        <v>210.25440999999998</v>
      </c>
      <c r="L78" s="810">
        <v>131</v>
      </c>
      <c r="M78" s="810">
        <v>218</v>
      </c>
      <c r="N78" s="810">
        <v>151</v>
      </c>
      <c r="O78" s="810">
        <v>108</v>
      </c>
      <c r="P78" s="810">
        <v>59</v>
      </c>
      <c r="Q78" s="810">
        <v>106</v>
      </c>
      <c r="R78" s="810">
        <v>152</v>
      </c>
      <c r="S78" s="810">
        <v>99</v>
      </c>
      <c r="T78" s="805"/>
      <c r="Y78" s="808"/>
      <c r="Z78" s="808"/>
      <c r="AB78" s="808"/>
      <c r="AC78" s="808"/>
      <c r="AD78" s="808"/>
      <c r="AE78" s="808"/>
      <c r="AF78" s="808"/>
      <c r="AG78" s="808"/>
    </row>
    <row r="79" spans="1:33">
      <c r="A79" s="799">
        <f>A78+1</f>
        <v>17</v>
      </c>
      <c r="B79" s="801" t="s">
        <v>242</v>
      </c>
      <c r="G79" s="1149">
        <f>-('C-2.2.B Total Co Accts Activ '!P129+'C-2.2.B Total Co Accts Activ '!P131)/1000</f>
        <v>323.8449</v>
      </c>
      <c r="H79" s="1149">
        <f>-('C-2.2.A Total Co Accts Activ '!P125+'C-2.2.A Total Co Accts Activ '!P127)/1000</f>
        <v>4362.5299862481861</v>
      </c>
      <c r="I79" s="1149">
        <v>5518.894590000009</v>
      </c>
      <c r="J79" s="1149">
        <v>6087.8815099999938</v>
      </c>
      <c r="K79" s="1149">
        <v>863.14404999999897</v>
      </c>
      <c r="L79" s="1149">
        <v>1066</v>
      </c>
      <c r="M79" s="1149">
        <v>2863</v>
      </c>
      <c r="N79" s="1149">
        <v>2598</v>
      </c>
      <c r="O79" s="1149">
        <v>3494</v>
      </c>
      <c r="P79" s="1149">
        <v>2270</v>
      </c>
      <c r="Q79" s="1149">
        <v>3461</v>
      </c>
      <c r="R79" s="1149">
        <v>1098</v>
      </c>
      <c r="S79" s="1149">
        <v>2340</v>
      </c>
      <c r="T79" s="805"/>
    </row>
    <row r="80" spans="1:33">
      <c r="A80" s="799">
        <f t="shared" si="5"/>
        <v>18</v>
      </c>
      <c r="B80" s="801" t="s">
        <v>243</v>
      </c>
      <c r="G80" s="805">
        <f>G77+G78+G79</f>
        <v>26575.245802188518</v>
      </c>
      <c r="H80" s="805">
        <f t="shared" ref="H80:S80" si="8">H77+H78+H79</f>
        <v>38216.687328814587</v>
      </c>
      <c r="I80" s="805">
        <f t="shared" si="8"/>
        <v>36603.394180000025</v>
      </c>
      <c r="J80" s="805">
        <f t="shared" si="8"/>
        <v>34393.452049999942</v>
      </c>
      <c r="K80" s="805">
        <f t="shared" si="8"/>
        <v>20452.143080000005</v>
      </c>
      <c r="L80" s="805">
        <f t="shared" si="8"/>
        <v>19165</v>
      </c>
      <c r="M80" s="805">
        <f t="shared" si="8"/>
        <v>22352</v>
      </c>
      <c r="N80" s="805">
        <f t="shared" si="8"/>
        <v>24226</v>
      </c>
      <c r="O80" s="805">
        <f t="shared" si="8"/>
        <v>18913</v>
      </c>
      <c r="P80" s="805">
        <f t="shared" si="8"/>
        <v>15431</v>
      </c>
      <c r="Q80" s="805">
        <f t="shared" si="8"/>
        <v>16843</v>
      </c>
      <c r="R80" s="805">
        <f t="shared" si="8"/>
        <v>17586</v>
      </c>
      <c r="S80" s="805">
        <f t="shared" si="8"/>
        <v>15503</v>
      </c>
      <c r="T80" s="805"/>
    </row>
    <row r="81" spans="1:29">
      <c r="A81" s="799">
        <f t="shared" si="5"/>
        <v>19</v>
      </c>
      <c r="B81" s="801" t="s">
        <v>244</v>
      </c>
      <c r="G81" s="1149">
        <f>SUM('C-2.2.B Total Co Accts Activ '!P123:P124)/1000</f>
        <v>14751.50264151488</v>
      </c>
      <c r="H81" s="1149">
        <f>SUM('C-2.2.A Total Co Accts Activ '!P119:P120)/1000</f>
        <v>12864.236825487105</v>
      </c>
      <c r="I81" s="1149">
        <v>11558.421190000001</v>
      </c>
      <c r="J81" s="1149">
        <v>10077.330310000001</v>
      </c>
      <c r="K81" s="1149">
        <v>8047.6805999999997</v>
      </c>
      <c r="L81" s="1149">
        <v>7588</v>
      </c>
      <c r="M81" s="1149">
        <v>7001</v>
      </c>
      <c r="N81" s="1149">
        <v>6379</v>
      </c>
      <c r="O81" s="1149">
        <v>6232</v>
      </c>
      <c r="P81" s="1149">
        <v>5550</v>
      </c>
      <c r="Q81" s="1149">
        <v>5721</v>
      </c>
      <c r="R81" s="1149">
        <v>5513</v>
      </c>
      <c r="S81" s="1149">
        <v>5067</v>
      </c>
      <c r="T81" s="805"/>
      <c r="Z81" s="805"/>
    </row>
    <row r="82" spans="1:29">
      <c r="A82" s="799">
        <f t="shared" si="5"/>
        <v>20</v>
      </c>
      <c r="B82" s="801" t="s">
        <v>245</v>
      </c>
      <c r="G82" s="805">
        <f>G80-G81</f>
        <v>11823.743160673637</v>
      </c>
      <c r="H82" s="805">
        <f t="shared" ref="H82:S82" si="9">H80-H81</f>
        <v>25352.450503327484</v>
      </c>
      <c r="I82" s="805">
        <f>I80-I81</f>
        <v>25044.972990000024</v>
      </c>
      <c r="J82" s="805">
        <f>J80-J81</f>
        <v>24316.12173999994</v>
      </c>
      <c r="K82" s="805">
        <f>K80-K81</f>
        <v>12404.462480000006</v>
      </c>
      <c r="L82" s="805">
        <f>L80-L81</f>
        <v>11577</v>
      </c>
      <c r="M82" s="805">
        <f>M80-M81</f>
        <v>15351</v>
      </c>
      <c r="N82" s="805">
        <f t="shared" si="9"/>
        <v>17847</v>
      </c>
      <c r="O82" s="805">
        <f t="shared" si="9"/>
        <v>12681</v>
      </c>
      <c r="P82" s="805">
        <f t="shared" si="9"/>
        <v>9881</v>
      </c>
      <c r="Q82" s="805">
        <f t="shared" si="9"/>
        <v>11122</v>
      </c>
      <c r="R82" s="805">
        <f t="shared" si="9"/>
        <v>12073</v>
      </c>
      <c r="S82" s="805">
        <f t="shared" si="9"/>
        <v>10436</v>
      </c>
      <c r="T82" s="805"/>
      <c r="U82" s="805"/>
      <c r="V82" s="805"/>
      <c r="W82" s="805"/>
      <c r="X82" s="805"/>
      <c r="Y82" s="805"/>
      <c r="Z82" s="805"/>
      <c r="AA82" s="805"/>
      <c r="AB82" s="805"/>
      <c r="AC82" s="805"/>
    </row>
    <row r="83" spans="1:29">
      <c r="A83" s="799">
        <f t="shared" si="5"/>
        <v>21</v>
      </c>
      <c r="B83" s="801" t="s">
        <v>246</v>
      </c>
      <c r="G83" s="1151" t="s">
        <v>230</v>
      </c>
      <c r="H83" s="1151" t="s">
        <v>230</v>
      </c>
      <c r="I83" s="1151" t="s">
        <v>230</v>
      </c>
      <c r="J83" s="1151" t="s">
        <v>230</v>
      </c>
      <c r="K83" s="1151" t="s">
        <v>230</v>
      </c>
      <c r="L83" s="1151" t="s">
        <v>230</v>
      </c>
      <c r="M83" s="1151" t="s">
        <v>230</v>
      </c>
      <c r="N83" s="1151" t="s">
        <v>230</v>
      </c>
      <c r="O83" s="1151" t="s">
        <v>230</v>
      </c>
      <c r="P83" s="1151" t="s">
        <v>230</v>
      </c>
      <c r="Q83" s="1151" t="s">
        <v>230</v>
      </c>
      <c r="R83" s="1151" t="s">
        <v>230</v>
      </c>
      <c r="S83" s="1151" t="s">
        <v>230</v>
      </c>
      <c r="T83" s="805"/>
    </row>
    <row r="84" spans="1:29">
      <c r="A84" s="799">
        <f t="shared" si="5"/>
        <v>22</v>
      </c>
      <c r="B84" s="801" t="s">
        <v>247</v>
      </c>
      <c r="G84" s="807">
        <f>SUM(G82:G83)</f>
        <v>11823.743160673637</v>
      </c>
      <c r="H84" s="807">
        <f t="shared" ref="H84:S84" si="10">SUM(H82:H83)</f>
        <v>25352.450503327484</v>
      </c>
      <c r="I84" s="807">
        <f t="shared" si="10"/>
        <v>25044.972990000024</v>
      </c>
      <c r="J84" s="807">
        <f t="shared" si="10"/>
        <v>24316.12173999994</v>
      </c>
      <c r="K84" s="807">
        <f t="shared" si="10"/>
        <v>12404.462480000006</v>
      </c>
      <c r="L84" s="807">
        <f t="shared" si="10"/>
        <v>11577</v>
      </c>
      <c r="M84" s="807">
        <f t="shared" si="10"/>
        <v>15351</v>
      </c>
      <c r="N84" s="807">
        <f t="shared" si="10"/>
        <v>17847</v>
      </c>
      <c r="O84" s="807">
        <f t="shared" si="10"/>
        <v>12681</v>
      </c>
      <c r="P84" s="807">
        <f t="shared" si="10"/>
        <v>9881</v>
      </c>
      <c r="Q84" s="807">
        <f t="shared" si="10"/>
        <v>11122</v>
      </c>
      <c r="R84" s="807">
        <f t="shared" si="10"/>
        <v>12073</v>
      </c>
      <c r="S84" s="807">
        <f t="shared" si="10"/>
        <v>10436</v>
      </c>
      <c r="T84" s="805"/>
    </row>
    <row r="85" spans="1:29">
      <c r="A85" s="799"/>
    </row>
    <row r="86" spans="1:29">
      <c r="A86" s="799">
        <f>A84+1</f>
        <v>23</v>
      </c>
      <c r="B86" s="801" t="s">
        <v>248</v>
      </c>
      <c r="G86" s="814">
        <f>ROUND(G78/G84,4)</f>
        <v>0.1371</v>
      </c>
      <c r="H86" s="814">
        <f t="shared" ref="H86:S86" si="11">ROUND(H78/H84,4)</f>
        <v>4.8300000000000003E-2</v>
      </c>
      <c r="I86" s="814">
        <f t="shared" si="11"/>
        <v>-2.1899999999999999E-2</v>
      </c>
      <c r="J86" s="814">
        <f t="shared" si="11"/>
        <v>6.1999999999999998E-3</v>
      </c>
      <c r="K86" s="814">
        <f t="shared" si="11"/>
        <v>1.6899999999999998E-2</v>
      </c>
      <c r="L86" s="814">
        <f t="shared" si="11"/>
        <v>1.1299999999999999E-2</v>
      </c>
      <c r="M86" s="814">
        <f t="shared" si="11"/>
        <v>1.4200000000000001E-2</v>
      </c>
      <c r="N86" s="814">
        <f t="shared" si="11"/>
        <v>8.5000000000000006E-3</v>
      </c>
      <c r="O86" s="814">
        <f t="shared" si="11"/>
        <v>8.5000000000000006E-3</v>
      </c>
      <c r="P86" s="814">
        <f t="shared" si="11"/>
        <v>6.0000000000000001E-3</v>
      </c>
      <c r="Q86" s="814">
        <f t="shared" si="11"/>
        <v>9.4999999999999998E-3</v>
      </c>
      <c r="R86" s="814">
        <f t="shared" si="11"/>
        <v>1.26E-2</v>
      </c>
      <c r="S86" s="814">
        <f t="shared" si="11"/>
        <v>9.4999999999999998E-3</v>
      </c>
      <c r="T86" s="805"/>
    </row>
    <row r="87" spans="1:29">
      <c r="A87" s="799">
        <f>A86+1</f>
        <v>24</v>
      </c>
      <c r="B87" s="801" t="s">
        <v>249</v>
      </c>
      <c r="G87" s="805"/>
      <c r="H87" s="805"/>
      <c r="I87" s="805"/>
      <c r="J87" s="805"/>
      <c r="K87" s="805"/>
      <c r="L87" s="805"/>
      <c r="M87" s="805"/>
      <c r="N87" s="805"/>
      <c r="O87" s="805"/>
      <c r="P87" s="805"/>
      <c r="Q87" s="805"/>
      <c r="R87" s="805"/>
      <c r="S87" s="805"/>
      <c r="T87" s="805"/>
    </row>
    <row r="88" spans="1:29">
      <c r="A88" s="799"/>
      <c r="B88" s="801" t="s">
        <v>250</v>
      </c>
      <c r="G88" s="814">
        <f>ROUND(G78/G84,4)</f>
        <v>0.1371</v>
      </c>
      <c r="H88" s="814">
        <f t="shared" ref="H88:S88" si="12">ROUND(H78/H84,4)</f>
        <v>4.8300000000000003E-2</v>
      </c>
      <c r="I88" s="814">
        <f t="shared" si="12"/>
        <v>-2.1899999999999999E-2</v>
      </c>
      <c r="J88" s="814">
        <f t="shared" si="12"/>
        <v>6.1999999999999998E-3</v>
      </c>
      <c r="K88" s="814">
        <f t="shared" si="12"/>
        <v>1.6899999999999998E-2</v>
      </c>
      <c r="L88" s="814">
        <f t="shared" si="12"/>
        <v>1.1299999999999999E-2</v>
      </c>
      <c r="M88" s="814">
        <f t="shared" si="12"/>
        <v>1.4200000000000001E-2</v>
      </c>
      <c r="N88" s="814">
        <f t="shared" si="12"/>
        <v>8.5000000000000006E-3</v>
      </c>
      <c r="O88" s="814">
        <f t="shared" si="12"/>
        <v>8.5000000000000006E-3</v>
      </c>
      <c r="P88" s="814">
        <f t="shared" si="12"/>
        <v>6.0000000000000001E-3</v>
      </c>
      <c r="Q88" s="814">
        <f t="shared" si="12"/>
        <v>9.4999999999999998E-3</v>
      </c>
      <c r="R88" s="814">
        <f t="shared" si="12"/>
        <v>1.26E-2</v>
      </c>
      <c r="S88" s="814">
        <f t="shared" si="12"/>
        <v>9.4999999999999998E-3</v>
      </c>
      <c r="T88" s="805"/>
    </row>
    <row r="89" spans="1:29">
      <c r="A89" s="799"/>
      <c r="B89" s="801"/>
      <c r="G89" s="814"/>
      <c r="H89" s="814"/>
      <c r="I89" s="814"/>
      <c r="J89" s="814"/>
      <c r="K89" s="814"/>
      <c r="L89" s="814"/>
      <c r="M89" s="814"/>
      <c r="N89" s="814"/>
      <c r="O89" s="814"/>
      <c r="P89" s="814"/>
      <c r="Q89" s="814"/>
      <c r="R89" s="814"/>
      <c r="S89" s="814"/>
      <c r="T89" s="805"/>
    </row>
    <row r="90" spans="1:29">
      <c r="A90" s="800" t="s">
        <v>1067</v>
      </c>
    </row>
    <row r="92" spans="1:29">
      <c r="A92" s="1356" t="str">
        <f>A1</f>
        <v>COLUMBIA GAS OF KENTUCKY, INC.</v>
      </c>
      <c r="B92" s="1356"/>
      <c r="C92" s="1356"/>
      <c r="D92" s="1356"/>
      <c r="E92" s="1356"/>
      <c r="F92" s="1356"/>
      <c r="G92" s="1356"/>
      <c r="H92" s="1356"/>
      <c r="I92" s="1356"/>
      <c r="J92" s="1356"/>
      <c r="K92" s="1356"/>
      <c r="L92" s="1356"/>
      <c r="M92" s="1356"/>
      <c r="N92" s="1356"/>
      <c r="O92" s="1356"/>
      <c r="P92" s="1356"/>
      <c r="Q92" s="1356"/>
      <c r="R92" s="1356"/>
      <c r="S92" s="1356"/>
    </row>
    <row r="93" spans="1:29">
      <c r="A93" s="1356" t="str">
        <f>A2</f>
        <v>CASE NO. 2024 - 00092</v>
      </c>
      <c r="B93" s="1356"/>
      <c r="C93" s="1356"/>
      <c r="D93" s="1356"/>
      <c r="E93" s="1356"/>
      <c r="F93" s="1356"/>
      <c r="G93" s="1356"/>
      <c r="H93" s="1356"/>
      <c r="I93" s="1356"/>
      <c r="J93" s="1356"/>
      <c r="K93" s="1356"/>
      <c r="L93" s="1356"/>
      <c r="M93" s="1356"/>
      <c r="N93" s="1356"/>
      <c r="O93" s="1356"/>
      <c r="P93" s="1356"/>
      <c r="Q93" s="1356"/>
      <c r="R93" s="1356"/>
      <c r="S93" s="1356"/>
    </row>
    <row r="94" spans="1:29">
      <c r="A94" s="1356" t="str">
        <f>A3</f>
        <v>COMPARATIVE FINANCIAL DATA</v>
      </c>
      <c r="B94" s="1356"/>
      <c r="C94" s="1356"/>
      <c r="D94" s="1356"/>
      <c r="E94" s="1356"/>
      <c r="F94" s="1356"/>
      <c r="G94" s="1356"/>
      <c r="H94" s="1356"/>
      <c r="I94" s="1356"/>
      <c r="J94" s="1356"/>
      <c r="K94" s="1356"/>
      <c r="L94" s="1356"/>
      <c r="M94" s="1356"/>
      <c r="N94" s="1356"/>
      <c r="O94" s="1356"/>
      <c r="P94" s="1356"/>
      <c r="Q94" s="1356"/>
      <c r="R94" s="1356"/>
      <c r="S94" s="1356"/>
    </row>
    <row r="95" spans="1:29">
      <c r="A95" s="1356" t="str">
        <f>A4</f>
        <v>BASE PERIOD: TWELVE MONTHS ENDED AUGUST 31, 2024</v>
      </c>
      <c r="B95" s="1356"/>
      <c r="C95" s="1356"/>
      <c r="D95" s="1356"/>
      <c r="E95" s="1356"/>
      <c r="F95" s="1356"/>
      <c r="G95" s="1356"/>
      <c r="H95" s="1356"/>
      <c r="I95" s="1356"/>
      <c r="J95" s="1356"/>
      <c r="K95" s="1356"/>
      <c r="L95" s="1356"/>
      <c r="M95" s="1356"/>
      <c r="N95" s="1356"/>
      <c r="O95" s="1356"/>
      <c r="P95" s="1356"/>
      <c r="Q95" s="1356"/>
      <c r="R95" s="1356"/>
      <c r="S95" s="1356"/>
    </row>
    <row r="96" spans="1:29">
      <c r="A96" s="1356" t="str">
        <f>A5</f>
        <v>FORECASTED TEST PERIOD: TWELVE MONTHS ENDED DECEMBER 31, 2025</v>
      </c>
      <c r="B96" s="1356"/>
      <c r="C96" s="1356"/>
      <c r="D96" s="1356"/>
      <c r="E96" s="1356"/>
      <c r="F96" s="1356"/>
      <c r="G96" s="1356"/>
      <c r="H96" s="1356"/>
      <c r="I96" s="1356"/>
      <c r="J96" s="1356"/>
      <c r="K96" s="1356"/>
      <c r="L96" s="1356"/>
      <c r="M96" s="1356"/>
      <c r="N96" s="1356"/>
      <c r="O96" s="1356"/>
      <c r="P96" s="1356"/>
      <c r="Q96" s="1356"/>
      <c r="R96" s="1356"/>
      <c r="S96" s="1356"/>
    </row>
    <row r="98" spans="1:20">
      <c r="A98" s="801" t="s">
        <v>739</v>
      </c>
      <c r="S98" s="802" t="s">
        <v>189</v>
      </c>
    </row>
    <row r="99" spans="1:20">
      <c r="A99" s="801" t="str">
        <f>A8</f>
        <v>TYPE OF FILING:___X___ORIGINAL______UPDATED</v>
      </c>
      <c r="S99" s="802" t="s">
        <v>251</v>
      </c>
    </row>
    <row r="100" spans="1:20">
      <c r="A100" s="801" t="s">
        <v>575</v>
      </c>
      <c r="S100" s="802" t="str">
        <f>S51</f>
        <v>WITNESSES: SHAEFFER</v>
      </c>
    </row>
    <row r="101" spans="1:20">
      <c r="A101" s="801"/>
      <c r="S101" s="802" t="str">
        <f>S52</f>
        <v>INSCHO</v>
      </c>
    </row>
    <row r="102" spans="1:20">
      <c r="A102" s="801"/>
      <c r="S102" s="802" t="str">
        <f>S53</f>
        <v>GORE</v>
      </c>
    </row>
    <row r="103" spans="1:20">
      <c r="A103" s="801"/>
      <c r="S103" s="802" t="str">
        <f>'General Headers Index'!$B$76</f>
        <v>REA</v>
      </c>
    </row>
    <row r="104" spans="1:20">
      <c r="A104" s="801"/>
      <c r="S104" s="802"/>
    </row>
    <row r="105" spans="1:20">
      <c r="A105" s="877"/>
      <c r="B105" s="877"/>
      <c r="C105" s="877"/>
      <c r="D105" s="877"/>
      <c r="E105" s="877"/>
      <c r="F105" s="877"/>
      <c r="G105" s="878" t="s">
        <v>653</v>
      </c>
      <c r="H105" s="878" t="s">
        <v>653</v>
      </c>
      <c r="I105" s="877"/>
      <c r="J105" s="877"/>
      <c r="K105" s="877"/>
      <c r="L105" s="877"/>
      <c r="M105" s="877"/>
      <c r="N105" s="877"/>
      <c r="O105" s="877"/>
      <c r="P105" s="877"/>
      <c r="Q105" s="877"/>
      <c r="R105" s="877"/>
      <c r="S105" s="877"/>
    </row>
    <row r="106" spans="1:20">
      <c r="A106" s="801" t="s">
        <v>313</v>
      </c>
      <c r="G106" s="799" t="s">
        <v>651</v>
      </c>
      <c r="H106" s="799" t="s">
        <v>315</v>
      </c>
      <c r="I106" s="1143"/>
      <c r="J106" s="1143"/>
      <c r="K106" s="1143"/>
      <c r="L106" s="1143"/>
      <c r="M106" s="1143"/>
      <c r="N106" s="1144" t="s">
        <v>194</v>
      </c>
      <c r="O106" s="1143"/>
      <c r="P106" s="1143"/>
      <c r="Q106" s="1143"/>
      <c r="R106" s="1144"/>
      <c r="S106" s="1143"/>
    </row>
    <row r="107" spans="1:20">
      <c r="A107" s="1145" t="s">
        <v>316</v>
      </c>
      <c r="B107" s="1143"/>
      <c r="C107" s="1144" t="s">
        <v>451</v>
      </c>
      <c r="D107" s="1143"/>
      <c r="E107" s="1143"/>
      <c r="F107" s="1143"/>
      <c r="G107" s="1144" t="s">
        <v>319</v>
      </c>
      <c r="H107" s="1144" t="s">
        <v>319</v>
      </c>
      <c r="I107" s="1144">
        <f>I16</f>
        <v>2023</v>
      </c>
      <c r="J107" s="1144">
        <v>2019</v>
      </c>
      <c r="K107" s="1144">
        <v>2018</v>
      </c>
      <c r="L107" s="1144">
        <v>2017</v>
      </c>
      <c r="M107" s="1144">
        <v>2016</v>
      </c>
      <c r="N107" s="1144">
        <v>2015</v>
      </c>
      <c r="O107" s="1144">
        <v>2014</v>
      </c>
      <c r="P107" s="1144">
        <v>2013</v>
      </c>
      <c r="Q107" s="1144">
        <v>2012</v>
      </c>
      <c r="R107" s="1144">
        <v>2011</v>
      </c>
      <c r="S107" s="1144">
        <v>2010</v>
      </c>
    </row>
    <row r="108" spans="1:20">
      <c r="A108" s="799">
        <v>1</v>
      </c>
      <c r="B108" s="803" t="s">
        <v>252</v>
      </c>
    </row>
    <row r="109" spans="1:20">
      <c r="A109" s="799">
        <f>A108+1</f>
        <v>2</v>
      </c>
      <c r="B109" s="801" t="s">
        <v>253</v>
      </c>
      <c r="C109" s="804"/>
      <c r="G109" s="815">
        <f>'J-1 Cost of Capital Summary'!K18</f>
        <v>5.2499999999999998E-2</v>
      </c>
      <c r="H109" s="815">
        <f>'J-1 Base Period Cost of Capital'!K17</f>
        <v>5.8630769230769229E-2</v>
      </c>
      <c r="I109" s="815">
        <v>6.1899999999999997E-2</v>
      </c>
      <c r="J109" s="815">
        <v>4.48E-2</v>
      </c>
      <c r="K109" s="815">
        <v>2E-3</v>
      </c>
      <c r="L109" s="815">
        <v>2.3E-3</v>
      </c>
      <c r="M109" s="815">
        <v>1.9300000000000001E-2</v>
      </c>
      <c r="N109" s="815">
        <v>2.86E-2</v>
      </c>
      <c r="O109" s="815">
        <v>1.7299999999999999E-2</v>
      </c>
      <c r="P109" s="815">
        <v>1.21E-2</v>
      </c>
      <c r="Q109" s="815">
        <v>7.1999999999999998E-3</v>
      </c>
      <c r="R109" s="815">
        <v>8.0999999999999996E-3</v>
      </c>
      <c r="S109" s="815">
        <v>7.1000000000000004E-3</v>
      </c>
    </row>
    <row r="110" spans="1:20">
      <c r="A110" s="799">
        <f>A109+1</f>
        <v>3</v>
      </c>
      <c r="B110" s="801" t="s">
        <v>254</v>
      </c>
      <c r="F110" s="805"/>
      <c r="G110" s="815">
        <f>'J-1 Cost of Capital Summary'!K20</f>
        <v>4.9090000000000002E-2</v>
      </c>
      <c r="H110" s="815">
        <f>'J-1 Base Period Cost of Capital'!K19</f>
        <v>4.7109999999999999E-2</v>
      </c>
      <c r="I110" s="815">
        <v>4.6800000000000001E-2</v>
      </c>
      <c r="J110" s="815">
        <v>4.3999999999999997E-2</v>
      </c>
      <c r="K110" s="815">
        <v>4.3999999999999997E-2</v>
      </c>
      <c r="L110" s="815">
        <v>4.9599999999999998E-2</v>
      </c>
      <c r="M110" s="815">
        <v>5.11E-2</v>
      </c>
      <c r="N110" s="815">
        <v>5.2699999999999997E-2</v>
      </c>
      <c r="O110" s="815">
        <v>5.3400000000000003E-2</v>
      </c>
      <c r="P110" s="815">
        <v>5.3400000000000003E-2</v>
      </c>
      <c r="Q110" s="815">
        <v>5.8200000000000002E-2</v>
      </c>
      <c r="R110" s="815">
        <v>5.8200000000000002E-2</v>
      </c>
      <c r="S110" s="815">
        <v>5.8900000000000001E-2</v>
      </c>
      <c r="T110" s="805"/>
    </row>
    <row r="111" spans="1:20">
      <c r="A111" s="799">
        <f>A110+1</f>
        <v>4</v>
      </c>
      <c r="B111" s="801" t="s">
        <v>255</v>
      </c>
      <c r="F111" s="805"/>
      <c r="G111" s="812" t="s">
        <v>230</v>
      </c>
      <c r="H111" s="812" t="s">
        <v>230</v>
      </c>
      <c r="I111" s="812" t="s">
        <v>230</v>
      </c>
      <c r="J111" s="812" t="s">
        <v>230</v>
      </c>
      <c r="K111" s="812" t="s">
        <v>230</v>
      </c>
      <c r="L111" s="812" t="s">
        <v>230</v>
      </c>
      <c r="M111" s="812" t="s">
        <v>230</v>
      </c>
      <c r="N111" s="812" t="s">
        <v>230</v>
      </c>
      <c r="O111" s="812" t="s">
        <v>230</v>
      </c>
      <c r="P111" s="812" t="s">
        <v>230</v>
      </c>
      <c r="Q111" s="812" t="s">
        <v>230</v>
      </c>
      <c r="R111" s="812" t="s">
        <v>230</v>
      </c>
      <c r="S111" s="812" t="s">
        <v>230</v>
      </c>
      <c r="T111" s="805"/>
    </row>
    <row r="112" spans="1:20">
      <c r="A112" s="799"/>
      <c r="F112" s="805"/>
      <c r="G112" s="805"/>
      <c r="H112" s="805"/>
      <c r="I112" s="805"/>
      <c r="J112" s="805"/>
      <c r="K112" s="805"/>
      <c r="L112" s="805"/>
      <c r="M112" s="805"/>
      <c r="N112" s="805"/>
      <c r="O112" s="805"/>
      <c r="P112" s="805"/>
      <c r="Q112" s="805"/>
      <c r="R112" s="805"/>
      <c r="S112" s="805"/>
      <c r="T112" s="805"/>
    </row>
    <row r="113" spans="1:20">
      <c r="A113" s="799">
        <f>A111+1</f>
        <v>5</v>
      </c>
      <c r="B113" s="803" t="s">
        <v>256</v>
      </c>
      <c r="F113" s="805"/>
      <c r="G113" s="805"/>
      <c r="H113" s="805"/>
      <c r="I113" s="805"/>
      <c r="J113" s="805"/>
      <c r="K113" s="805"/>
      <c r="L113" s="805"/>
      <c r="M113" s="805"/>
      <c r="N113" s="805"/>
      <c r="O113" s="805"/>
      <c r="P113" s="805"/>
      <c r="Q113" s="805"/>
      <c r="R113" s="805"/>
      <c r="S113" s="805"/>
      <c r="T113" s="805"/>
    </row>
    <row r="114" spans="1:20">
      <c r="A114" s="799">
        <f t="shared" ref="A114:A119" si="13">A113+1</f>
        <v>6</v>
      </c>
      <c r="B114" s="801" t="s">
        <v>257</v>
      </c>
      <c r="C114" s="804"/>
      <c r="D114" s="804"/>
      <c r="F114" s="805"/>
      <c r="G114" s="816">
        <f t="shared" ref="G114:S114" si="14">(G70-G72+G79)/(G81-G78)</f>
        <v>2.1071804344930865</v>
      </c>
      <c r="H114" s="816">
        <f t="shared" si="14"/>
        <v>3.7632221199590363</v>
      </c>
      <c r="I114" s="816">
        <f t="shared" si="14"/>
        <v>3.5634382899443069</v>
      </c>
      <c r="J114" s="816">
        <f t="shared" si="14"/>
        <v>3.9863440954131613</v>
      </c>
      <c r="K114" s="816">
        <f t="shared" si="14"/>
        <v>2.9745489277775268</v>
      </c>
      <c r="L114" s="816">
        <f t="shared" si="14"/>
        <v>3.0773769612444681</v>
      </c>
      <c r="M114" s="816">
        <f t="shared" si="14"/>
        <v>3.7327141382868936</v>
      </c>
      <c r="N114" s="816">
        <f t="shared" si="14"/>
        <v>4.5645472061657033</v>
      </c>
      <c r="O114" s="816">
        <f t="shared" si="14"/>
        <v>4.0754408883082949</v>
      </c>
      <c r="P114" s="816">
        <f t="shared" si="14"/>
        <v>3.613367328355491</v>
      </c>
      <c r="Q114" s="816">
        <f t="shared" si="14"/>
        <v>4.4076580587711485</v>
      </c>
      <c r="R114" s="816">
        <f t="shared" si="14"/>
        <v>4.6129453460175345</v>
      </c>
      <c r="S114" s="816">
        <f t="shared" si="14"/>
        <v>4.1058776167471818</v>
      </c>
      <c r="T114" s="805"/>
    </row>
    <row r="115" spans="1:20">
      <c r="A115" s="799">
        <f t="shared" si="13"/>
        <v>7</v>
      </c>
      <c r="B115" s="801" t="s">
        <v>258</v>
      </c>
      <c r="F115" s="805"/>
      <c r="G115" s="816">
        <f t="shared" ref="G115:S115" si="15">(G70-G72+G79)/G81</f>
        <v>1.8756994474537578</v>
      </c>
      <c r="H115" s="816">
        <f t="shared" si="15"/>
        <v>3.4051796782747807</v>
      </c>
      <c r="I115" s="816">
        <f t="shared" si="15"/>
        <v>3.7325886555618788</v>
      </c>
      <c r="J115" s="816">
        <f t="shared" si="15"/>
        <v>3.9268381647400754</v>
      </c>
      <c r="K115" s="816">
        <f t="shared" si="15"/>
        <v>2.8968356013035614</v>
      </c>
      <c r="L115" s="816">
        <f t="shared" si="15"/>
        <v>3.0242488139167105</v>
      </c>
      <c r="M115" s="816">
        <f t="shared" si="15"/>
        <v>3.6164833595200685</v>
      </c>
      <c r="N115" s="816">
        <f t="shared" si="15"/>
        <v>4.4564978836808278</v>
      </c>
      <c r="O115" s="816">
        <f t="shared" si="15"/>
        <v>4.0048138639281126</v>
      </c>
      <c r="P115" s="816">
        <f t="shared" si="15"/>
        <v>3.5749549549549551</v>
      </c>
      <c r="Q115" s="816">
        <f t="shared" si="15"/>
        <v>4.3259919594476486</v>
      </c>
      <c r="R115" s="816">
        <f t="shared" si="15"/>
        <v>4.4857609287139493</v>
      </c>
      <c r="S115" s="816">
        <f t="shared" si="15"/>
        <v>4.025656206828498</v>
      </c>
      <c r="T115" s="805"/>
    </row>
    <row r="116" spans="1:20">
      <c r="A116" s="799">
        <f t="shared" si="13"/>
        <v>8</v>
      </c>
      <c r="B116" s="801" t="s">
        <v>259</v>
      </c>
      <c r="F116" s="805"/>
      <c r="G116" s="816">
        <f t="shared" ref="G116:S116" si="16">(G77+G79)/(G81-G78)</f>
        <v>1.9004450200849634</v>
      </c>
      <c r="H116" s="816">
        <f t="shared" si="16"/>
        <v>3.177989274497401</v>
      </c>
      <c r="I116" s="816">
        <f t="shared" si="16"/>
        <v>3.0686221089108199</v>
      </c>
      <c r="J116" s="816">
        <f t="shared" si="16"/>
        <v>3.4495177766203868</v>
      </c>
      <c r="K116" s="816">
        <f t="shared" si="16"/>
        <v>2.582721441871723</v>
      </c>
      <c r="L116" s="816">
        <f t="shared" si="16"/>
        <v>2.5525010057663939</v>
      </c>
      <c r="M116" s="816">
        <f t="shared" si="16"/>
        <v>3.263157894736842</v>
      </c>
      <c r="N116" s="816">
        <f t="shared" si="16"/>
        <v>3.8656069364161851</v>
      </c>
      <c r="O116" s="816">
        <f t="shared" si="16"/>
        <v>3.0707054212932725</v>
      </c>
      <c r="P116" s="816">
        <f t="shared" si="16"/>
        <v>2.7994900746676379</v>
      </c>
      <c r="Q116" s="816">
        <f t="shared" si="16"/>
        <v>2.9807658058771147</v>
      </c>
      <c r="R116" s="816">
        <f t="shared" si="16"/>
        <v>3.2520052229061744</v>
      </c>
      <c r="S116" s="816">
        <f t="shared" si="16"/>
        <v>3.1006441223832528</v>
      </c>
      <c r="T116" s="805"/>
    </row>
    <row r="117" spans="1:20">
      <c r="A117" s="799">
        <f t="shared" si="13"/>
        <v>9</v>
      </c>
      <c r="B117" s="801" t="s">
        <v>260</v>
      </c>
      <c r="F117" s="805"/>
      <c r="G117" s="816">
        <f t="shared" ref="G117:S117" si="17">(G77+G79)/G81</f>
        <v>1.6916746263103684</v>
      </c>
      <c r="H117" s="816">
        <f t="shared" si="17"/>
        <v>2.8756273614302525</v>
      </c>
      <c r="I117" s="816">
        <f t="shared" si="17"/>
        <v>3.2142843905137211</v>
      </c>
      <c r="J117" s="816">
        <f t="shared" si="17"/>
        <v>3.3980252910852475</v>
      </c>
      <c r="K117" s="816">
        <f t="shared" si="17"/>
        <v>2.5152450346998121</v>
      </c>
      <c r="L117" s="816">
        <f t="shared" si="17"/>
        <v>2.5084343700579863</v>
      </c>
      <c r="M117" s="816">
        <f t="shared" si="17"/>
        <v>3.1615483502356807</v>
      </c>
      <c r="N117" s="816">
        <f t="shared" si="17"/>
        <v>3.7741025239065684</v>
      </c>
      <c r="O117" s="816">
        <f t="shared" si="17"/>
        <v>3.0174903722721438</v>
      </c>
      <c r="P117" s="816">
        <f t="shared" si="17"/>
        <v>2.7697297297297299</v>
      </c>
      <c r="Q117" s="816">
        <f t="shared" si="17"/>
        <v>2.9255374934452019</v>
      </c>
      <c r="R117" s="816">
        <f t="shared" si="17"/>
        <v>3.1623435516052965</v>
      </c>
      <c r="S117" s="816">
        <f t="shared" si="17"/>
        <v>3.0400631537398857</v>
      </c>
      <c r="T117" s="805"/>
    </row>
    <row r="118" spans="1:20">
      <c r="A118" s="799">
        <f t="shared" si="13"/>
        <v>10</v>
      </c>
      <c r="B118" s="801" t="s">
        <v>261</v>
      </c>
      <c r="F118" s="805"/>
      <c r="G118" s="811" t="s">
        <v>230</v>
      </c>
      <c r="H118" s="811" t="s">
        <v>230</v>
      </c>
      <c r="I118" s="811" t="s">
        <v>230</v>
      </c>
      <c r="J118" s="811" t="s">
        <v>230</v>
      </c>
      <c r="K118" s="811" t="s">
        <v>230</v>
      </c>
      <c r="L118" s="811" t="s">
        <v>230</v>
      </c>
      <c r="M118" s="811" t="s">
        <v>230</v>
      </c>
      <c r="N118" s="811" t="s">
        <v>230</v>
      </c>
      <c r="O118" s="811" t="s">
        <v>230</v>
      </c>
      <c r="P118" s="811" t="s">
        <v>230</v>
      </c>
      <c r="Q118" s="811" t="s">
        <v>230</v>
      </c>
      <c r="R118" s="811" t="s">
        <v>230</v>
      </c>
      <c r="S118" s="811" t="s">
        <v>230</v>
      </c>
      <c r="T118" s="805"/>
    </row>
    <row r="119" spans="1:20">
      <c r="A119" s="799">
        <f t="shared" si="13"/>
        <v>11</v>
      </c>
      <c r="B119" s="801" t="s">
        <v>262</v>
      </c>
      <c r="G119" s="816">
        <f t="shared" ref="G119:S119" si="18">G84/(G81-G78)</f>
        <v>0.90044502008496341</v>
      </c>
      <c r="H119" s="816">
        <f t="shared" si="18"/>
        <v>2.177989274497401</v>
      </c>
      <c r="I119" s="816">
        <f t="shared" si="18"/>
        <v>2.0686221089108194</v>
      </c>
      <c r="J119" s="816">
        <f t="shared" si="18"/>
        <v>2.4495177766203868</v>
      </c>
      <c r="K119" s="816">
        <f t="shared" si="18"/>
        <v>1.582721441871723</v>
      </c>
      <c r="L119" s="816">
        <f t="shared" si="18"/>
        <v>1.5525010057663939</v>
      </c>
      <c r="M119" s="816">
        <f t="shared" si="18"/>
        <v>2.263157894736842</v>
      </c>
      <c r="N119" s="816">
        <f t="shared" si="18"/>
        <v>2.8656069364161851</v>
      </c>
      <c r="O119" s="816">
        <f t="shared" si="18"/>
        <v>2.0707054212932725</v>
      </c>
      <c r="P119" s="816">
        <f t="shared" si="18"/>
        <v>1.7994900746676379</v>
      </c>
      <c r="Q119" s="816">
        <f t="shared" si="18"/>
        <v>1.9807658058771149</v>
      </c>
      <c r="R119" s="816">
        <f t="shared" si="18"/>
        <v>2.2520052229061744</v>
      </c>
      <c r="S119" s="816">
        <f t="shared" si="18"/>
        <v>2.1006441223832528</v>
      </c>
      <c r="T119" s="805"/>
    </row>
    <row r="120" spans="1:20">
      <c r="A120" s="799"/>
      <c r="F120" s="814"/>
      <c r="G120" s="805"/>
      <c r="H120" s="805"/>
      <c r="I120" s="805"/>
      <c r="J120" s="805"/>
      <c r="K120" s="805"/>
      <c r="L120" s="805"/>
      <c r="M120" s="805"/>
      <c r="N120" s="805"/>
      <c r="O120" s="805"/>
      <c r="P120" s="805"/>
      <c r="Q120" s="805"/>
      <c r="R120" s="805"/>
      <c r="S120" s="805"/>
      <c r="T120" s="805"/>
    </row>
    <row r="121" spans="1:20">
      <c r="A121" s="799">
        <f>A119+1</f>
        <v>12</v>
      </c>
      <c r="B121" s="803" t="s">
        <v>263</v>
      </c>
      <c r="G121" s="805"/>
      <c r="H121" s="805"/>
      <c r="I121" s="805"/>
      <c r="J121" s="805"/>
      <c r="K121" s="805"/>
      <c r="L121" s="805"/>
      <c r="M121" s="805"/>
      <c r="N121" s="805"/>
      <c r="O121" s="805"/>
      <c r="P121" s="805"/>
      <c r="Q121" s="805"/>
      <c r="R121" s="805"/>
      <c r="S121" s="805"/>
      <c r="T121" s="805"/>
    </row>
    <row r="122" spans="1:20">
      <c r="A122" s="799">
        <f>A121+1</f>
        <v>13</v>
      </c>
      <c r="B122" s="801" t="s">
        <v>264</v>
      </c>
      <c r="C122" s="804"/>
      <c r="D122" s="804"/>
      <c r="G122" s="812" t="s">
        <v>230</v>
      </c>
      <c r="H122" s="805"/>
      <c r="I122" s="817" t="s">
        <v>1039</v>
      </c>
      <c r="J122" s="817"/>
      <c r="K122" s="805"/>
      <c r="L122" s="805"/>
      <c r="M122" s="805"/>
      <c r="O122" s="805"/>
      <c r="P122" s="805"/>
      <c r="Q122" s="805"/>
      <c r="R122" s="805"/>
      <c r="S122" s="805"/>
      <c r="T122" s="805"/>
    </row>
    <row r="123" spans="1:20">
      <c r="A123" s="799">
        <f>A122+1</f>
        <v>14</v>
      </c>
      <c r="B123" s="801" t="s">
        <v>265</v>
      </c>
      <c r="F123" s="805"/>
      <c r="G123" s="812" t="s">
        <v>230</v>
      </c>
      <c r="H123" s="805"/>
      <c r="I123" s="817" t="s">
        <v>266</v>
      </c>
      <c r="J123" s="817"/>
      <c r="K123" s="805"/>
      <c r="L123" s="805"/>
      <c r="M123" s="805"/>
      <c r="O123" s="805"/>
      <c r="P123" s="805"/>
      <c r="Q123" s="805"/>
      <c r="R123" s="805"/>
      <c r="S123" s="805"/>
      <c r="T123" s="805"/>
    </row>
    <row r="124" spans="1:20">
      <c r="A124" s="799">
        <f>A123+1</f>
        <v>15</v>
      </c>
      <c r="B124" s="801" t="s">
        <v>267</v>
      </c>
      <c r="G124" s="812" t="s">
        <v>230</v>
      </c>
      <c r="H124" s="805"/>
      <c r="I124" s="805"/>
      <c r="J124" s="805"/>
      <c r="K124" s="805"/>
      <c r="L124" s="805"/>
      <c r="M124" s="805"/>
      <c r="N124" s="805"/>
      <c r="O124" s="805"/>
      <c r="P124" s="805"/>
      <c r="Q124" s="805"/>
      <c r="R124" s="805"/>
      <c r="S124" s="805"/>
      <c r="T124" s="805"/>
    </row>
    <row r="125" spans="1:20">
      <c r="A125" s="799">
        <f>A124+1</f>
        <v>16</v>
      </c>
      <c r="B125" s="801" t="s">
        <v>268</v>
      </c>
      <c r="G125" s="812" t="s">
        <v>230</v>
      </c>
      <c r="H125" s="805"/>
      <c r="I125" s="805"/>
      <c r="J125" s="805"/>
      <c r="K125" s="805"/>
      <c r="L125" s="805"/>
      <c r="M125" s="805"/>
      <c r="N125" s="805"/>
      <c r="O125" s="805"/>
      <c r="P125" s="805"/>
      <c r="Q125" s="805"/>
      <c r="R125" s="805"/>
      <c r="S125" s="805"/>
      <c r="T125" s="805"/>
    </row>
    <row r="126" spans="1:20">
      <c r="A126" s="799"/>
      <c r="G126" s="805"/>
      <c r="H126" s="805"/>
      <c r="I126" s="805"/>
      <c r="J126" s="805"/>
      <c r="K126" s="805"/>
      <c r="L126" s="805"/>
      <c r="M126" s="805"/>
      <c r="N126" s="805"/>
      <c r="O126" s="805"/>
      <c r="P126" s="805"/>
      <c r="Q126" s="805"/>
      <c r="R126" s="805"/>
      <c r="S126" s="805"/>
      <c r="T126" s="805"/>
    </row>
    <row r="127" spans="1:20">
      <c r="A127" s="799">
        <f>A125+1</f>
        <v>17</v>
      </c>
      <c r="B127" s="803" t="s">
        <v>269</v>
      </c>
      <c r="G127" s="805"/>
      <c r="H127" s="805"/>
      <c r="I127" s="805"/>
      <c r="J127" s="805"/>
      <c r="K127" s="805"/>
      <c r="L127" s="805"/>
      <c r="M127" s="805"/>
      <c r="N127" s="805"/>
      <c r="O127" s="805"/>
      <c r="P127" s="805"/>
      <c r="Q127" s="805"/>
      <c r="R127" s="805"/>
      <c r="S127" s="805"/>
      <c r="T127" s="805"/>
    </row>
    <row r="128" spans="1:20">
      <c r="A128" s="799">
        <f t="shared" ref="A128:A134" si="19">A127+1</f>
        <v>18</v>
      </c>
      <c r="B128" s="801" t="s">
        <v>270</v>
      </c>
      <c r="C128" s="804"/>
      <c r="D128" s="804"/>
      <c r="E128" s="804"/>
      <c r="G128" s="805">
        <v>952248</v>
      </c>
      <c r="H128" s="805">
        <v>952248</v>
      </c>
      <c r="I128" s="805">
        <v>952248</v>
      </c>
      <c r="J128" s="805">
        <v>952248</v>
      </c>
      <c r="K128" s="805">
        <v>952248</v>
      </c>
      <c r="L128" s="805">
        <v>952248</v>
      </c>
      <c r="M128" s="805">
        <v>952248</v>
      </c>
      <c r="N128" s="805">
        <v>952248</v>
      </c>
      <c r="O128" s="805">
        <v>952248</v>
      </c>
      <c r="P128" s="805">
        <v>952248</v>
      </c>
      <c r="Q128" s="805">
        <v>952248</v>
      </c>
      <c r="R128" s="805">
        <v>952248</v>
      </c>
      <c r="S128" s="805">
        <v>952248</v>
      </c>
      <c r="T128" s="805"/>
    </row>
    <row r="129" spans="1:20">
      <c r="A129" s="799">
        <f t="shared" si="19"/>
        <v>19</v>
      </c>
      <c r="B129" s="801" t="s">
        <v>271</v>
      </c>
      <c r="G129" s="806"/>
      <c r="H129" s="806"/>
      <c r="I129" s="805"/>
      <c r="J129" s="805"/>
      <c r="K129" s="805"/>
      <c r="L129" s="805"/>
      <c r="M129" s="805"/>
      <c r="N129" s="805"/>
      <c r="O129" s="805"/>
      <c r="P129" s="805"/>
      <c r="Q129" s="805"/>
      <c r="R129" s="805"/>
      <c r="S129" s="805"/>
      <c r="T129" s="805"/>
    </row>
    <row r="130" spans="1:20">
      <c r="A130" s="799">
        <f t="shared" si="19"/>
        <v>20</v>
      </c>
      <c r="B130" s="801" t="s">
        <v>272</v>
      </c>
      <c r="G130" s="805">
        <v>952248</v>
      </c>
      <c r="H130" s="805">
        <v>952248</v>
      </c>
      <c r="I130" s="805">
        <v>952248</v>
      </c>
      <c r="J130" s="805">
        <v>952248</v>
      </c>
      <c r="K130" s="805">
        <v>952248</v>
      </c>
      <c r="L130" s="805">
        <v>952248</v>
      </c>
      <c r="M130" s="805">
        <v>952248</v>
      </c>
      <c r="N130" s="805">
        <v>952248</v>
      </c>
      <c r="O130" s="805">
        <v>952248</v>
      </c>
      <c r="P130" s="805">
        <v>952248</v>
      </c>
      <c r="Q130" s="805">
        <v>952248</v>
      </c>
      <c r="R130" s="805">
        <v>952248</v>
      </c>
      <c r="S130" s="805">
        <v>952248</v>
      </c>
      <c r="T130" s="805"/>
    </row>
    <row r="131" spans="1:20">
      <c r="A131" s="799">
        <f t="shared" si="19"/>
        <v>21</v>
      </c>
      <c r="B131" s="801" t="s">
        <v>273</v>
      </c>
      <c r="G131" s="818">
        <f>IFERROR((G84*1000)/G128,0)</f>
        <v>12.416663684957738</v>
      </c>
      <c r="H131" s="818">
        <f t="shared" ref="H131:S131" si="20">IFERROR((H84*1000)/H128,0)</f>
        <v>26.623789709537309</v>
      </c>
      <c r="I131" s="818">
        <f t="shared" si="20"/>
        <v>26.300893244196917</v>
      </c>
      <c r="J131" s="818">
        <f t="shared" si="20"/>
        <v>25.535492581764348</v>
      </c>
      <c r="K131" s="818">
        <f t="shared" si="20"/>
        <v>13.02650410397292</v>
      </c>
      <c r="L131" s="818">
        <f t="shared" si="20"/>
        <v>12.157547193588226</v>
      </c>
      <c r="M131" s="818">
        <f t="shared" si="20"/>
        <v>16.12080046374474</v>
      </c>
      <c r="N131" s="818">
        <f t="shared" si="20"/>
        <v>18.74196637850644</v>
      </c>
      <c r="O131" s="818">
        <f t="shared" si="20"/>
        <v>13.316909040502054</v>
      </c>
      <c r="P131" s="818">
        <f t="shared" si="20"/>
        <v>10.376498559198865</v>
      </c>
      <c r="Q131" s="818">
        <f t="shared" si="20"/>
        <v>11.679730490376457</v>
      </c>
      <c r="R131" s="818">
        <f t="shared" si="20"/>
        <v>12.678419907419075</v>
      </c>
      <c r="S131" s="818">
        <f t="shared" si="20"/>
        <v>10.959329922457176</v>
      </c>
      <c r="T131" s="805"/>
    </row>
    <row r="132" spans="1:20">
      <c r="A132" s="799">
        <f t="shared" si="19"/>
        <v>22</v>
      </c>
      <c r="B132" s="801" t="s">
        <v>274</v>
      </c>
      <c r="G132" s="819">
        <f>IFERROR(ROUND(0/G128,2),0)</f>
        <v>0</v>
      </c>
      <c r="H132" s="819">
        <f t="shared" ref="H132:O132" si="21">IFERROR(ROUND(0/H128,2),0)</f>
        <v>0</v>
      </c>
      <c r="I132" s="819">
        <f t="shared" si="21"/>
        <v>0</v>
      </c>
      <c r="J132" s="819">
        <f t="shared" si="21"/>
        <v>0</v>
      </c>
      <c r="K132" s="819">
        <f t="shared" si="21"/>
        <v>0</v>
      </c>
      <c r="L132" s="819">
        <f t="shared" si="21"/>
        <v>0</v>
      </c>
      <c r="M132" s="819">
        <f t="shared" si="21"/>
        <v>0</v>
      </c>
      <c r="N132" s="819">
        <f t="shared" si="21"/>
        <v>0</v>
      </c>
      <c r="O132" s="819">
        <f t="shared" si="21"/>
        <v>0</v>
      </c>
      <c r="P132" s="819">
        <f>IFERROR(ROUND(4000000/P128,2),0)</f>
        <v>4.2</v>
      </c>
      <c r="Q132" s="819">
        <f>IFERROR(ROUND(8000000/Q128,2),0)</f>
        <v>8.4</v>
      </c>
      <c r="R132" s="819">
        <f>IFERROR(ROUND(2000000/R128,2),0)</f>
        <v>2.1</v>
      </c>
      <c r="S132" s="818">
        <f>IFERROR(ROUND(2000000/S128,2),0)</f>
        <v>2.1</v>
      </c>
      <c r="T132" s="805"/>
    </row>
    <row r="133" spans="1:20">
      <c r="A133" s="799">
        <f t="shared" si="19"/>
        <v>23</v>
      </c>
      <c r="B133" s="801" t="s">
        <v>275</v>
      </c>
      <c r="G133" s="819">
        <f t="shared" ref="G133" si="22">G132</f>
        <v>0</v>
      </c>
      <c r="H133" s="819">
        <f t="shared" ref="H133:S133" si="23">H132</f>
        <v>0</v>
      </c>
      <c r="I133" s="819">
        <f t="shared" si="23"/>
        <v>0</v>
      </c>
      <c r="J133" s="819">
        <f t="shared" si="23"/>
        <v>0</v>
      </c>
      <c r="K133" s="819">
        <f t="shared" si="23"/>
        <v>0</v>
      </c>
      <c r="L133" s="819">
        <f t="shared" si="23"/>
        <v>0</v>
      </c>
      <c r="M133" s="819">
        <f t="shared" si="23"/>
        <v>0</v>
      </c>
      <c r="N133" s="819">
        <f t="shared" si="23"/>
        <v>0</v>
      </c>
      <c r="O133" s="819">
        <f t="shared" si="23"/>
        <v>0</v>
      </c>
      <c r="P133" s="819">
        <f t="shared" si="23"/>
        <v>4.2</v>
      </c>
      <c r="Q133" s="819">
        <f t="shared" si="23"/>
        <v>8.4</v>
      </c>
      <c r="R133" s="819">
        <f t="shared" si="23"/>
        <v>2.1</v>
      </c>
      <c r="S133" s="819">
        <f t="shared" si="23"/>
        <v>2.1</v>
      </c>
      <c r="T133" s="805"/>
    </row>
    <row r="134" spans="1:20">
      <c r="A134" s="799">
        <f t="shared" si="19"/>
        <v>24</v>
      </c>
      <c r="B134" s="801" t="s">
        <v>1023</v>
      </c>
      <c r="G134" s="805"/>
      <c r="H134" s="805"/>
      <c r="I134" s="805"/>
      <c r="J134" s="805"/>
      <c r="K134" s="805"/>
      <c r="L134" s="805"/>
      <c r="M134" s="805"/>
      <c r="N134" s="805"/>
      <c r="O134" s="812"/>
      <c r="P134" s="805"/>
      <c r="Q134" s="805"/>
      <c r="R134" s="805"/>
      <c r="S134" s="812"/>
      <c r="T134" s="805"/>
    </row>
    <row r="135" spans="1:20">
      <c r="A135" s="799"/>
      <c r="B135" s="801" t="s">
        <v>276</v>
      </c>
      <c r="G135" s="820">
        <f>ROUND(0/7442000,2)</f>
        <v>0</v>
      </c>
      <c r="H135" s="820">
        <v>0</v>
      </c>
      <c r="I135" s="820">
        <v>0</v>
      </c>
      <c r="J135" s="820">
        <v>0</v>
      </c>
      <c r="K135" s="820">
        <v>0</v>
      </c>
      <c r="L135" s="820">
        <v>0</v>
      </c>
      <c r="M135" s="820">
        <v>0</v>
      </c>
      <c r="N135" s="820">
        <v>0</v>
      </c>
      <c r="O135" s="820">
        <v>0</v>
      </c>
      <c r="P135" s="821">
        <v>0.4</v>
      </c>
      <c r="Q135" s="820">
        <v>0.72</v>
      </c>
      <c r="R135" s="820">
        <v>0.17</v>
      </c>
      <c r="S135" s="821">
        <v>0.19</v>
      </c>
      <c r="T135" s="805"/>
    </row>
    <row r="136" spans="1:20">
      <c r="A136" s="799">
        <f>A134+1</f>
        <v>25</v>
      </c>
      <c r="B136" s="801" t="s">
        <v>277</v>
      </c>
      <c r="G136" s="805"/>
      <c r="H136" s="805"/>
      <c r="I136" s="805"/>
      <c r="J136" s="805"/>
      <c r="K136" s="805"/>
      <c r="L136" s="805"/>
      <c r="M136" s="805"/>
      <c r="N136" s="805"/>
      <c r="O136" s="805"/>
      <c r="P136" s="805"/>
      <c r="Q136" s="805"/>
      <c r="R136" s="805"/>
      <c r="S136" s="805"/>
      <c r="T136" s="805"/>
    </row>
    <row r="137" spans="1:20">
      <c r="A137" s="799">
        <f>A136+1</f>
        <v>26</v>
      </c>
      <c r="B137" s="801" t="s">
        <v>278</v>
      </c>
      <c r="G137" s="812" t="s">
        <v>230</v>
      </c>
      <c r="H137" s="805"/>
      <c r="I137" s="817" t="s">
        <v>1039</v>
      </c>
      <c r="J137" s="817"/>
      <c r="K137" s="805"/>
      <c r="L137" s="805"/>
      <c r="M137" s="805"/>
      <c r="O137" s="805"/>
      <c r="P137" s="805"/>
      <c r="Q137" s="805"/>
      <c r="R137" s="805"/>
      <c r="S137" s="805"/>
      <c r="T137" s="805"/>
    </row>
    <row r="138" spans="1:20">
      <c r="A138" s="799">
        <f t="shared" ref="A138:A145" si="24">A137+1</f>
        <v>27</v>
      </c>
      <c r="B138" s="801" t="s">
        <v>279</v>
      </c>
      <c r="G138" s="812" t="s">
        <v>230</v>
      </c>
      <c r="H138" s="805"/>
      <c r="I138" s="817" t="s">
        <v>266</v>
      </c>
      <c r="J138" s="817"/>
      <c r="K138" s="805"/>
      <c r="L138" s="805"/>
      <c r="M138" s="805"/>
      <c r="O138" s="805"/>
      <c r="P138" s="805"/>
      <c r="Q138" s="805"/>
      <c r="R138" s="805"/>
      <c r="S138" s="805"/>
      <c r="T138" s="805"/>
    </row>
    <row r="139" spans="1:20">
      <c r="A139" s="799">
        <f t="shared" si="24"/>
        <v>28</v>
      </c>
      <c r="B139" s="801" t="s">
        <v>280</v>
      </c>
      <c r="G139" s="812" t="s">
        <v>230</v>
      </c>
      <c r="H139" s="805"/>
      <c r="I139" s="805"/>
      <c r="J139" s="805"/>
      <c r="K139" s="805"/>
      <c r="L139" s="805"/>
      <c r="M139" s="805"/>
      <c r="N139" s="805"/>
      <c r="O139" s="805"/>
      <c r="P139" s="805"/>
      <c r="Q139" s="805"/>
      <c r="R139" s="805"/>
      <c r="S139" s="805"/>
      <c r="T139" s="805"/>
    </row>
    <row r="140" spans="1:20">
      <c r="A140" s="799">
        <f t="shared" si="24"/>
        <v>29</v>
      </c>
      <c r="B140" s="801" t="s">
        <v>281</v>
      </c>
      <c r="G140" s="812" t="s">
        <v>230</v>
      </c>
      <c r="H140" s="805"/>
      <c r="I140" s="805"/>
      <c r="J140" s="805"/>
      <c r="K140" s="805"/>
      <c r="L140" s="805"/>
      <c r="M140" s="805"/>
      <c r="N140" s="805"/>
      <c r="O140" s="805"/>
      <c r="P140" s="805"/>
      <c r="Q140" s="805"/>
      <c r="R140" s="805"/>
      <c r="S140" s="805"/>
      <c r="T140" s="805"/>
    </row>
    <row r="141" spans="1:20">
      <c r="A141" s="799">
        <f t="shared" si="24"/>
        <v>30</v>
      </c>
      <c r="B141" s="801" t="s">
        <v>282</v>
      </c>
      <c r="G141" s="812" t="s">
        <v>230</v>
      </c>
      <c r="H141" s="805"/>
      <c r="I141" s="805"/>
      <c r="J141" s="805"/>
      <c r="K141" s="805"/>
      <c r="L141" s="805"/>
      <c r="M141" s="805"/>
      <c r="N141" s="805"/>
      <c r="O141" s="805"/>
      <c r="P141" s="805"/>
      <c r="Q141" s="805"/>
      <c r="R141" s="805"/>
      <c r="S141" s="805"/>
      <c r="T141" s="805"/>
    </row>
    <row r="142" spans="1:20">
      <c r="A142" s="799">
        <f t="shared" si="24"/>
        <v>31</v>
      </c>
      <c r="B142" s="801" t="s">
        <v>283</v>
      </c>
      <c r="G142" s="812" t="s">
        <v>230</v>
      </c>
      <c r="H142" s="805"/>
      <c r="I142" s="805"/>
      <c r="J142" s="805"/>
      <c r="K142" s="805"/>
      <c r="L142" s="805"/>
      <c r="M142" s="805"/>
      <c r="N142" s="805"/>
      <c r="O142" s="805"/>
      <c r="P142" s="805"/>
      <c r="Q142" s="805"/>
      <c r="R142" s="805"/>
      <c r="S142" s="805"/>
      <c r="T142" s="805"/>
    </row>
    <row r="143" spans="1:20">
      <c r="A143" s="799">
        <f t="shared" si="24"/>
        <v>32</v>
      </c>
      <c r="B143" s="801" t="s">
        <v>284</v>
      </c>
      <c r="G143" s="812" t="s">
        <v>230</v>
      </c>
      <c r="H143" s="805"/>
      <c r="I143" s="805"/>
      <c r="J143" s="805"/>
      <c r="K143" s="805"/>
      <c r="L143" s="805"/>
      <c r="M143" s="805"/>
      <c r="N143" s="805"/>
      <c r="O143" s="805"/>
      <c r="P143" s="805"/>
      <c r="Q143" s="805"/>
      <c r="R143" s="805"/>
      <c r="S143" s="805"/>
      <c r="T143" s="805"/>
    </row>
    <row r="144" spans="1:20">
      <c r="A144" s="799">
        <f t="shared" si="24"/>
        <v>33</v>
      </c>
      <c r="B144" s="801" t="s">
        <v>285</v>
      </c>
      <c r="G144" s="812" t="s">
        <v>230</v>
      </c>
      <c r="H144" s="805"/>
      <c r="I144" s="805"/>
      <c r="J144" s="805"/>
      <c r="K144" s="805"/>
      <c r="L144" s="805"/>
      <c r="M144" s="805"/>
      <c r="N144" s="805"/>
      <c r="O144" s="805"/>
      <c r="P144" s="805"/>
      <c r="Q144" s="805"/>
      <c r="R144" s="805"/>
      <c r="S144" s="805"/>
      <c r="T144" s="805"/>
    </row>
    <row r="145" spans="1:20">
      <c r="A145" s="799">
        <f t="shared" si="24"/>
        <v>34</v>
      </c>
      <c r="B145" s="801" t="s">
        <v>286</v>
      </c>
      <c r="G145" s="818">
        <f>IFERROR((G65*1000)/G128,0)</f>
        <v>360.81029089771999</v>
      </c>
      <c r="H145" s="818">
        <f t="shared" ref="H145:S145" si="25">IFERROR((H65*1000)/H128,0)</f>
        <v>319.50650704034996</v>
      </c>
      <c r="I145" s="818">
        <f t="shared" si="25"/>
        <v>305.62259558434357</v>
      </c>
      <c r="J145" s="818">
        <f t="shared" si="25"/>
        <v>279.32170234014677</v>
      </c>
      <c r="K145" s="818">
        <f t="shared" si="25"/>
        <v>235.93371755047002</v>
      </c>
      <c r="L145" s="818">
        <f t="shared" si="25"/>
        <v>195.60345624249146</v>
      </c>
      <c r="M145" s="818">
        <f t="shared" si="25"/>
        <v>177.14397929951022</v>
      </c>
      <c r="N145" s="818">
        <f t="shared" si="25"/>
        <v>161.02212868916502</v>
      </c>
      <c r="O145" s="818">
        <f t="shared" si="25"/>
        <v>139.654795809495</v>
      </c>
      <c r="P145" s="818">
        <f t="shared" si="25"/>
        <v>126.33788676899295</v>
      </c>
      <c r="Q145" s="818">
        <f t="shared" si="25"/>
        <v>120.16092446505532</v>
      </c>
      <c r="R145" s="818">
        <f t="shared" si="25"/>
        <v>116.04224949802993</v>
      </c>
      <c r="S145" s="818">
        <f t="shared" si="25"/>
        <v>105.42001663432215</v>
      </c>
      <c r="T145" s="805"/>
    </row>
    <row r="146" spans="1:20">
      <c r="G146" s="805"/>
      <c r="H146" s="805"/>
      <c r="I146" s="805"/>
      <c r="J146" s="805"/>
      <c r="K146" s="805"/>
      <c r="L146" s="805"/>
      <c r="M146" s="805"/>
      <c r="N146" s="805"/>
      <c r="O146" s="805"/>
      <c r="P146" s="805"/>
      <c r="Q146" s="805"/>
      <c r="R146" s="805"/>
      <c r="S146" s="805"/>
      <c r="T146" s="805"/>
    </row>
    <row r="147" spans="1:20">
      <c r="G147" s="805"/>
    </row>
    <row r="148" spans="1:20">
      <c r="A148" s="1356" t="str">
        <f>A1</f>
        <v>COLUMBIA GAS OF KENTUCKY, INC.</v>
      </c>
      <c r="B148" s="1356"/>
      <c r="C148" s="1356"/>
      <c r="D148" s="1356"/>
      <c r="E148" s="1356"/>
      <c r="F148" s="1356"/>
      <c r="G148" s="1356"/>
      <c r="H148" s="1356"/>
      <c r="I148" s="1356"/>
      <c r="J148" s="1356"/>
      <c r="K148" s="1356"/>
      <c r="L148" s="1356"/>
      <c r="M148" s="1356"/>
      <c r="N148" s="1356"/>
      <c r="O148" s="1356"/>
      <c r="P148" s="1356"/>
      <c r="Q148" s="1356"/>
      <c r="R148" s="1356"/>
      <c r="S148" s="1356"/>
    </row>
    <row r="149" spans="1:20">
      <c r="A149" s="1356" t="str">
        <f>A2</f>
        <v>CASE NO. 2024 - 00092</v>
      </c>
      <c r="B149" s="1356"/>
      <c r="C149" s="1356"/>
      <c r="D149" s="1356"/>
      <c r="E149" s="1356"/>
      <c r="F149" s="1356"/>
      <c r="G149" s="1356"/>
      <c r="H149" s="1356"/>
      <c r="I149" s="1356"/>
      <c r="J149" s="1356"/>
      <c r="K149" s="1356"/>
      <c r="L149" s="1356"/>
      <c r="M149" s="1356"/>
      <c r="N149" s="1356"/>
      <c r="O149" s="1356"/>
      <c r="P149" s="1356"/>
      <c r="Q149" s="1356"/>
      <c r="R149" s="1356"/>
      <c r="S149" s="1356"/>
    </row>
    <row r="150" spans="1:20">
      <c r="A150" s="1356" t="str">
        <f>A3</f>
        <v>COMPARATIVE FINANCIAL DATA</v>
      </c>
      <c r="B150" s="1356"/>
      <c r="C150" s="1356"/>
      <c r="D150" s="1356"/>
      <c r="E150" s="1356"/>
      <c r="F150" s="1356"/>
      <c r="G150" s="1356"/>
      <c r="H150" s="1356"/>
      <c r="I150" s="1356"/>
      <c r="J150" s="1356"/>
      <c r="K150" s="1356"/>
      <c r="L150" s="1356"/>
      <c r="M150" s="1356"/>
      <c r="N150" s="1356"/>
      <c r="O150" s="1356"/>
      <c r="P150" s="1356"/>
      <c r="Q150" s="1356"/>
      <c r="R150" s="1356"/>
      <c r="S150" s="1356"/>
    </row>
    <row r="151" spans="1:20">
      <c r="A151" s="1356" t="str">
        <f>A4</f>
        <v>BASE PERIOD: TWELVE MONTHS ENDED AUGUST 31, 2024</v>
      </c>
      <c r="B151" s="1356"/>
      <c r="C151" s="1356"/>
      <c r="D151" s="1356"/>
      <c r="E151" s="1356"/>
      <c r="F151" s="1356"/>
      <c r="G151" s="1356"/>
      <c r="H151" s="1356"/>
      <c r="I151" s="1356"/>
      <c r="J151" s="1356"/>
      <c r="K151" s="1356"/>
      <c r="L151" s="1356"/>
      <c r="M151" s="1356"/>
      <c r="N151" s="1356"/>
      <c r="O151" s="1356"/>
      <c r="P151" s="1356"/>
      <c r="Q151" s="1356"/>
      <c r="R151" s="1356"/>
      <c r="S151" s="1356"/>
    </row>
    <row r="152" spans="1:20">
      <c r="A152" s="1356" t="str">
        <f>A5</f>
        <v>FORECASTED TEST PERIOD: TWELVE MONTHS ENDED DECEMBER 31, 2025</v>
      </c>
      <c r="B152" s="1356"/>
      <c r="C152" s="1356"/>
      <c r="D152" s="1356"/>
      <c r="E152" s="1356"/>
      <c r="F152" s="1356"/>
      <c r="G152" s="1356"/>
      <c r="H152" s="1356"/>
      <c r="I152" s="1356"/>
      <c r="J152" s="1356"/>
      <c r="K152" s="1356"/>
      <c r="L152" s="1356"/>
      <c r="M152" s="1356"/>
      <c r="N152" s="1356"/>
      <c r="O152" s="1356"/>
      <c r="P152" s="1356"/>
      <c r="Q152" s="1356"/>
      <c r="R152" s="1356"/>
      <c r="S152" s="1356"/>
    </row>
    <row r="154" spans="1:20">
      <c r="A154" s="801" t="s">
        <v>739</v>
      </c>
      <c r="S154" s="802" t="s">
        <v>189</v>
      </c>
    </row>
    <row r="155" spans="1:20">
      <c r="A155" s="801" t="str">
        <f>A8</f>
        <v>TYPE OF FILING:___X___ORIGINAL______UPDATED</v>
      </c>
      <c r="S155" s="802" t="s">
        <v>287</v>
      </c>
    </row>
    <row r="156" spans="1:20">
      <c r="A156" s="801" t="s">
        <v>575</v>
      </c>
      <c r="S156" s="802" t="str">
        <f>S100</f>
        <v>WITNESSES: SHAEFFER</v>
      </c>
    </row>
    <row r="157" spans="1:20">
      <c r="A157" s="801"/>
      <c r="S157" s="802" t="str">
        <f>S101</f>
        <v>INSCHO</v>
      </c>
    </row>
    <row r="158" spans="1:20">
      <c r="A158" s="801"/>
      <c r="S158" s="802" t="str">
        <f>S102</f>
        <v>GORE</v>
      </c>
    </row>
    <row r="159" spans="1:20">
      <c r="A159" s="801"/>
      <c r="S159" s="802" t="str">
        <f>'General Headers Index'!$B$76</f>
        <v>REA</v>
      </c>
    </row>
    <row r="160" spans="1:20">
      <c r="A160" s="801"/>
      <c r="S160" s="802"/>
    </row>
    <row r="161" spans="1:20">
      <c r="A161" s="877"/>
      <c r="B161" s="877"/>
      <c r="C161" s="877"/>
      <c r="D161" s="877"/>
      <c r="E161" s="877"/>
      <c r="F161" s="877"/>
      <c r="G161" s="878" t="s">
        <v>653</v>
      </c>
      <c r="H161" s="878" t="s">
        <v>653</v>
      </c>
      <c r="I161" s="877"/>
      <c r="J161" s="877"/>
      <c r="K161" s="877"/>
      <c r="L161" s="877"/>
      <c r="M161" s="877"/>
      <c r="N161" s="877"/>
      <c r="O161" s="877"/>
      <c r="P161" s="877"/>
      <c r="Q161" s="877"/>
      <c r="R161" s="877"/>
      <c r="S161" s="877"/>
    </row>
    <row r="162" spans="1:20">
      <c r="A162" s="801" t="s">
        <v>313</v>
      </c>
      <c r="G162" s="799" t="s">
        <v>651</v>
      </c>
      <c r="H162" s="799" t="s">
        <v>315</v>
      </c>
      <c r="I162" s="1143"/>
      <c r="J162" s="1143"/>
      <c r="K162" s="1143"/>
      <c r="L162" s="1143"/>
      <c r="M162" s="1143"/>
      <c r="N162" s="1144" t="s">
        <v>194</v>
      </c>
      <c r="O162" s="1143"/>
      <c r="P162" s="1143"/>
      <c r="Q162" s="1143"/>
      <c r="R162" s="1144"/>
      <c r="S162" s="1143"/>
    </row>
    <row r="163" spans="1:20">
      <c r="A163" s="1145" t="s">
        <v>316</v>
      </c>
      <c r="B163" s="1143"/>
      <c r="C163" s="1144" t="s">
        <v>451</v>
      </c>
      <c r="D163" s="1143"/>
      <c r="E163" s="1143"/>
      <c r="F163" s="1143"/>
      <c r="G163" s="1144" t="s">
        <v>319</v>
      </c>
      <c r="H163" s="1144" t="s">
        <v>319</v>
      </c>
      <c r="I163" s="1144">
        <f>I16</f>
        <v>2023</v>
      </c>
      <c r="J163" s="1144">
        <v>2022</v>
      </c>
      <c r="K163" s="1144">
        <v>2021</v>
      </c>
      <c r="L163" s="1144">
        <v>2020</v>
      </c>
      <c r="M163" s="1144">
        <v>2019</v>
      </c>
      <c r="N163" s="1144">
        <v>2018</v>
      </c>
      <c r="O163" s="1144">
        <v>2017</v>
      </c>
      <c r="P163" s="1144">
        <v>2016</v>
      </c>
      <c r="Q163" s="1144">
        <v>2015</v>
      </c>
      <c r="R163" s="1144">
        <v>2014</v>
      </c>
      <c r="S163" s="1144">
        <v>2013</v>
      </c>
    </row>
    <row r="164" spans="1:20">
      <c r="G164" s="805"/>
      <c r="H164" s="805"/>
      <c r="I164" s="805"/>
      <c r="J164" s="805"/>
      <c r="K164" s="805"/>
      <c r="L164" s="805"/>
      <c r="M164" s="805"/>
      <c r="N164" s="805"/>
      <c r="O164" s="805"/>
      <c r="P164" s="805"/>
      <c r="Q164" s="805"/>
      <c r="R164" s="805"/>
      <c r="S164" s="805"/>
      <c r="T164" s="805"/>
    </row>
    <row r="165" spans="1:20">
      <c r="A165" s="801">
        <v>1</v>
      </c>
      <c r="B165" s="803" t="s">
        <v>288</v>
      </c>
      <c r="C165" s="804"/>
      <c r="D165" s="804"/>
      <c r="E165" s="804"/>
      <c r="G165" s="805"/>
      <c r="H165" s="805"/>
      <c r="I165" s="805"/>
      <c r="J165" s="805"/>
      <c r="K165" s="805"/>
      <c r="L165" s="805"/>
      <c r="M165" s="805"/>
      <c r="N165" s="805"/>
      <c r="O165" s="805"/>
      <c r="P165" s="805"/>
      <c r="Q165" s="805"/>
      <c r="R165" s="805"/>
      <c r="S165" s="805"/>
      <c r="T165" s="805"/>
    </row>
    <row r="166" spans="1:20">
      <c r="A166" s="801">
        <f>A165+1</f>
        <v>2</v>
      </c>
      <c r="B166" s="801" t="s">
        <v>289</v>
      </c>
      <c r="G166" s="822">
        <f>G82/((G65+I65)/2)</f>
        <v>3.7263058101776082E-2</v>
      </c>
      <c r="H166" s="822">
        <f>H82/((H65+N65)/2)</f>
        <v>0.11081041890091889</v>
      </c>
      <c r="I166" s="822">
        <f t="shared" ref="I166:R166" si="26">I82/((I65+J65)/2)</f>
        <v>8.9926146258774417E-2</v>
      </c>
      <c r="J166" s="822">
        <f t="shared" si="26"/>
        <v>9.9117802922617557E-2</v>
      </c>
      <c r="K166" s="822">
        <f t="shared" si="26"/>
        <v>6.0372569943291342E-2</v>
      </c>
      <c r="L166" s="822">
        <f t="shared" si="26"/>
        <v>6.5232090334358839E-2</v>
      </c>
      <c r="M166" s="822">
        <f t="shared" si="26"/>
        <v>9.534249638218982E-2</v>
      </c>
      <c r="N166" s="822">
        <f t="shared" si="26"/>
        <v>0.12466514621802954</v>
      </c>
      <c r="O166" s="822">
        <f t="shared" si="26"/>
        <v>0.10012989012637638</v>
      </c>
      <c r="P166" s="822">
        <f t="shared" si="26"/>
        <v>8.4191063699260424E-2</v>
      </c>
      <c r="Q166" s="822">
        <f t="shared" si="26"/>
        <v>9.8895626967331188E-2</v>
      </c>
      <c r="R166" s="822">
        <f t="shared" si="26"/>
        <v>0.11449733743663668</v>
      </c>
      <c r="S166" s="822">
        <v>0.12</v>
      </c>
      <c r="T166" s="805"/>
    </row>
    <row r="167" spans="1:20">
      <c r="A167" s="801">
        <f t="shared" ref="A167:A168" si="27">A166+1</f>
        <v>3</v>
      </c>
      <c r="B167" s="801" t="s">
        <v>290</v>
      </c>
      <c r="G167" s="822">
        <f>G82/((G62+G63+G65+I62+I63+I65)/2)</f>
        <v>1.950165553116958E-2</v>
      </c>
      <c r="H167" s="822">
        <f>H82/((H62+H63+H65+N62+N63+N65)/2)</f>
        <v>5.8530132917478488E-2</v>
      </c>
      <c r="I167" s="822">
        <f t="shared" ref="I167:R167" si="28">I77/((I62+I63+I65+J62+J63+J65)/2)</f>
        <v>5.7712578190913306E-2</v>
      </c>
      <c r="J167" s="822">
        <f t="shared" si="28"/>
        <v>5.7142919746490564E-2</v>
      </c>
      <c r="K167" s="822">
        <f t="shared" si="28"/>
        <v>4.7028015886360935E-2</v>
      </c>
      <c r="L167" s="822">
        <f t="shared" si="28"/>
        <v>5.0769539406577323E-2</v>
      </c>
      <c r="M167" s="822">
        <f t="shared" si="28"/>
        <v>6.2064112411695273E-2</v>
      </c>
      <c r="N167" s="822">
        <f t="shared" si="28"/>
        <v>7.6258277557831947E-2</v>
      </c>
      <c r="O167" s="822">
        <f t="shared" si="28"/>
        <v>5.8765167696237318E-2</v>
      </c>
      <c r="P167" s="822">
        <f t="shared" si="28"/>
        <v>5.7131395232218933E-2</v>
      </c>
      <c r="Q167" s="822">
        <f t="shared" si="28"/>
        <v>6.2980023434868623E-2</v>
      </c>
      <c r="R167" s="822">
        <f t="shared" si="28"/>
        <v>8.1161177174909394E-2</v>
      </c>
      <c r="S167" s="822">
        <v>6.5000000000000002E-2</v>
      </c>
      <c r="T167" s="805"/>
    </row>
    <row r="168" spans="1:20">
      <c r="A168" s="801">
        <f t="shared" si="27"/>
        <v>4</v>
      </c>
      <c r="B168" s="801" t="s">
        <v>291</v>
      </c>
      <c r="G168" s="822">
        <f>G77/((G30+I30)/2)</f>
        <v>3.7171445818145313E-2</v>
      </c>
      <c r="H168" s="822">
        <f>H77/((H30+N30)/2)</f>
        <v>6.6990759355238849E-2</v>
      </c>
      <c r="I168" s="822">
        <f t="shared" ref="I168:R168" si="29">I77/((I30+J30)/2)</f>
        <v>5.3775100560913856E-2</v>
      </c>
      <c r="J168" s="822">
        <f t="shared" si="29"/>
        <v>5.4124044476052131E-2</v>
      </c>
      <c r="K168" s="822">
        <f t="shared" si="29"/>
        <v>4.2707224302194084E-2</v>
      </c>
      <c r="L168" s="822">
        <f t="shared" si="29"/>
        <v>4.4801160330105456E-2</v>
      </c>
      <c r="M168" s="822">
        <f t="shared" si="29"/>
        <v>5.438162803429223E-2</v>
      </c>
      <c r="N168" s="822">
        <f t="shared" si="29"/>
        <v>6.7392566327251047E-2</v>
      </c>
      <c r="O168" s="822">
        <f t="shared" si="29"/>
        <v>5.2342435969314496E-2</v>
      </c>
      <c r="P168" s="822">
        <f t="shared" si="29"/>
        <v>4.9216968622398188E-2</v>
      </c>
      <c r="Q168" s="822">
        <f t="shared" si="29"/>
        <v>5.5189845002005807E-2</v>
      </c>
      <c r="R168" s="822">
        <f t="shared" si="29"/>
        <v>7.5796311332792021E-2</v>
      </c>
      <c r="S168" s="822">
        <v>6.7000000000000004E-2</v>
      </c>
      <c r="T168" s="805"/>
    </row>
    <row r="169" spans="1:20">
      <c r="G169" s="805"/>
      <c r="H169" s="805"/>
      <c r="I169" s="805"/>
      <c r="J169" s="805"/>
      <c r="K169" s="805"/>
      <c r="L169" s="805"/>
      <c r="M169" s="805"/>
      <c r="N169" s="805"/>
      <c r="O169" s="805"/>
      <c r="P169" s="805"/>
      <c r="Q169" s="805"/>
      <c r="R169" s="805"/>
      <c r="S169" s="805"/>
      <c r="T169" s="805"/>
    </row>
    <row r="170" spans="1:20">
      <c r="A170" s="801">
        <f>A168+1</f>
        <v>5</v>
      </c>
      <c r="B170" s="803" t="s">
        <v>292</v>
      </c>
      <c r="C170" s="804"/>
      <c r="D170" s="804"/>
      <c r="E170" s="804"/>
      <c r="G170" s="805"/>
      <c r="H170" s="805"/>
      <c r="I170" s="805"/>
      <c r="J170" s="805"/>
      <c r="K170" s="805"/>
      <c r="L170" s="805"/>
      <c r="M170" s="805"/>
      <c r="N170" s="805"/>
      <c r="O170" s="805"/>
      <c r="P170" s="805"/>
      <c r="Q170" s="805"/>
      <c r="R170" s="805"/>
      <c r="S170" s="805"/>
      <c r="T170" s="805"/>
    </row>
    <row r="171" spans="1:20">
      <c r="A171" s="801">
        <f>A170+1</f>
        <v>6</v>
      </c>
      <c r="B171" s="801" t="s">
        <v>293</v>
      </c>
      <c r="D171" s="801" t="s">
        <v>294</v>
      </c>
      <c r="G171" s="805"/>
      <c r="H171" s="805"/>
      <c r="I171" s="805"/>
      <c r="J171" s="805"/>
      <c r="K171" s="805"/>
      <c r="L171" s="805"/>
      <c r="M171" s="805"/>
      <c r="N171" s="805"/>
      <c r="O171" s="805"/>
      <c r="P171" s="805"/>
      <c r="Q171" s="805"/>
      <c r="R171" s="805"/>
      <c r="S171" s="805"/>
      <c r="T171" s="805"/>
    </row>
    <row r="172" spans="1:20" ht="11.45" customHeight="1">
      <c r="A172" s="801">
        <f t="shared" ref="A172:A175" si="30">A171+1</f>
        <v>7</v>
      </c>
      <c r="B172" s="801" t="s">
        <v>295</v>
      </c>
      <c r="G172" s="805">
        <v>7448.7770999999993</v>
      </c>
      <c r="H172" s="805">
        <v>6954.3742000000002</v>
      </c>
      <c r="I172" s="805">
        <v>6127.4920000000002</v>
      </c>
      <c r="J172" s="805">
        <v>7258.0837999999994</v>
      </c>
      <c r="K172" s="805">
        <v>6868.6965</v>
      </c>
      <c r="L172" s="805">
        <v>6636</v>
      </c>
      <c r="M172" s="805">
        <v>6790</v>
      </c>
      <c r="N172" s="805">
        <v>7156</v>
      </c>
      <c r="O172" s="805">
        <v>5884</v>
      </c>
      <c r="P172" s="805">
        <v>5993</v>
      </c>
      <c r="Q172" s="805">
        <v>6292</v>
      </c>
      <c r="R172" s="805">
        <v>7511</v>
      </c>
      <c r="S172" s="805">
        <v>7010</v>
      </c>
      <c r="T172" s="805"/>
    </row>
    <row r="173" spans="1:20">
      <c r="A173" s="801">
        <f t="shared" si="30"/>
        <v>8</v>
      </c>
      <c r="B173" s="801" t="s">
        <v>296</v>
      </c>
      <c r="G173" s="805">
        <v>4366.1957000000002</v>
      </c>
      <c r="H173" s="805">
        <v>4289.8725999999997</v>
      </c>
      <c r="I173" s="805">
        <v>3828.3247999999999</v>
      </c>
      <c r="J173" s="805">
        <v>4223.1090000000004</v>
      </c>
      <c r="K173" s="805">
        <v>3742.0242000000003</v>
      </c>
      <c r="L173" s="805">
        <v>3429</v>
      </c>
      <c r="M173" s="805">
        <v>3689</v>
      </c>
      <c r="N173" s="805">
        <v>3810</v>
      </c>
      <c r="O173" s="805">
        <v>3143</v>
      </c>
      <c r="P173" s="805">
        <v>3072</v>
      </c>
      <c r="Q173" s="805">
        <v>3157</v>
      </c>
      <c r="R173" s="805">
        <v>3613</v>
      </c>
      <c r="S173" s="805">
        <v>3401</v>
      </c>
      <c r="T173" s="805"/>
    </row>
    <row r="174" spans="1:20">
      <c r="A174" s="801">
        <f t="shared" si="30"/>
        <v>9</v>
      </c>
      <c r="B174" s="801" t="s">
        <v>297</v>
      </c>
      <c r="G174" s="805">
        <v>208.37360000000001</v>
      </c>
      <c r="H174" s="805">
        <v>221.2328</v>
      </c>
      <c r="I174" s="805">
        <v>236.42579999999998</v>
      </c>
      <c r="J174" s="805">
        <v>242.12570000000002</v>
      </c>
      <c r="K174" s="805">
        <v>274.96629999999999</v>
      </c>
      <c r="L174" s="805">
        <v>251</v>
      </c>
      <c r="M174" s="805">
        <v>342</v>
      </c>
      <c r="N174" s="805">
        <v>207</v>
      </c>
      <c r="O174" s="805">
        <v>101</v>
      </c>
      <c r="P174" s="805">
        <v>242</v>
      </c>
      <c r="Q174" s="805">
        <v>194</v>
      </c>
      <c r="R174" s="805">
        <v>133</v>
      </c>
      <c r="S174" s="805">
        <v>299</v>
      </c>
      <c r="T174" s="805"/>
    </row>
    <row r="175" spans="1:20">
      <c r="A175" s="801">
        <f t="shared" si="30"/>
        <v>10</v>
      </c>
      <c r="B175" s="801" t="s">
        <v>298</v>
      </c>
      <c r="G175" s="805">
        <v>10.410500000000001</v>
      </c>
      <c r="H175" s="805">
        <v>8.8294999999999995</v>
      </c>
      <c r="I175" s="805">
        <v>7.7969999999999997</v>
      </c>
      <c r="J175" s="805">
        <v>10.27</v>
      </c>
      <c r="K175" s="805">
        <v>11.196999999999999</v>
      </c>
      <c r="L175" s="805">
        <v>10</v>
      </c>
      <c r="M175" s="805">
        <v>11</v>
      </c>
      <c r="N175" s="805">
        <v>11</v>
      </c>
      <c r="O175" s="805">
        <v>10</v>
      </c>
      <c r="P175" s="805">
        <v>10</v>
      </c>
      <c r="Q175" s="805">
        <v>12</v>
      </c>
      <c r="R175" s="805">
        <v>17</v>
      </c>
      <c r="S175" s="805">
        <v>18</v>
      </c>
      <c r="T175" s="805"/>
    </row>
    <row r="176" spans="1:20">
      <c r="A176" s="801">
        <f>A175+1</f>
        <v>11</v>
      </c>
      <c r="B176" s="801" t="s">
        <v>302</v>
      </c>
      <c r="G176" s="823">
        <v>0</v>
      </c>
      <c r="H176" s="823">
        <v>1.371</v>
      </c>
      <c r="I176" s="823">
        <v>-0.22600000000000001</v>
      </c>
      <c r="J176" s="823">
        <v>-0.374</v>
      </c>
      <c r="K176" s="823">
        <v>2.0190000000000001</v>
      </c>
      <c r="L176" s="823">
        <v>0</v>
      </c>
      <c r="M176" s="823">
        <v>0</v>
      </c>
      <c r="N176" s="823">
        <v>0</v>
      </c>
      <c r="O176" s="823">
        <v>0</v>
      </c>
      <c r="P176" s="823">
        <v>0</v>
      </c>
      <c r="Q176" s="823">
        <v>0</v>
      </c>
      <c r="R176" s="823">
        <v>0</v>
      </c>
      <c r="S176" s="823">
        <v>0</v>
      </c>
      <c r="T176" s="805"/>
    </row>
    <row r="177" spans="1:20">
      <c r="G177" s="805"/>
      <c r="H177" s="805"/>
      <c r="I177" s="805"/>
      <c r="J177" s="805"/>
      <c r="K177" s="805"/>
      <c r="L177" s="805"/>
      <c r="M177" s="805"/>
      <c r="N177" s="805"/>
      <c r="O177" s="805"/>
      <c r="P177" s="805"/>
      <c r="Q177" s="805"/>
      <c r="R177" s="805"/>
      <c r="S177" s="805"/>
      <c r="T177" s="805"/>
    </row>
    <row r="178" spans="1:20">
      <c r="A178" s="801">
        <f>A176+1</f>
        <v>12</v>
      </c>
      <c r="B178" s="801" t="s">
        <v>299</v>
      </c>
      <c r="G178" s="805">
        <f>G172+G173+G174+G175+G176</f>
        <v>12033.7569</v>
      </c>
      <c r="H178" s="805">
        <f t="shared" ref="H178:S178" si="31">H172+H173+H174+H175+H176</f>
        <v>11475.6801</v>
      </c>
      <c r="I178" s="805">
        <f t="shared" si="31"/>
        <v>10199.813600000001</v>
      </c>
      <c r="J178" s="805">
        <f t="shared" si="31"/>
        <v>11733.214500000002</v>
      </c>
      <c r="K178" s="805">
        <f t="shared" si="31"/>
        <v>10898.903</v>
      </c>
      <c r="L178" s="805">
        <f t="shared" si="31"/>
        <v>10326</v>
      </c>
      <c r="M178" s="805">
        <f t="shared" si="31"/>
        <v>10832</v>
      </c>
      <c r="N178" s="805">
        <f t="shared" si="31"/>
        <v>11184</v>
      </c>
      <c r="O178" s="805">
        <f t="shared" si="31"/>
        <v>9138</v>
      </c>
      <c r="P178" s="805">
        <f t="shared" si="31"/>
        <v>9317</v>
      </c>
      <c r="Q178" s="805">
        <f t="shared" si="31"/>
        <v>9655</v>
      </c>
      <c r="R178" s="805">
        <f t="shared" si="31"/>
        <v>11274</v>
      </c>
      <c r="S178" s="805">
        <f t="shared" si="31"/>
        <v>10728</v>
      </c>
      <c r="T178" s="805"/>
    </row>
    <row r="179" spans="1:20">
      <c r="G179" s="805"/>
      <c r="H179" s="805"/>
      <c r="I179" s="805"/>
      <c r="J179" s="805"/>
      <c r="K179" s="805"/>
      <c r="L179" s="805"/>
      <c r="M179" s="805"/>
      <c r="N179" s="805"/>
      <c r="O179" s="805"/>
      <c r="P179" s="805"/>
      <c r="Q179" s="805"/>
      <c r="R179" s="805"/>
      <c r="S179" s="805"/>
      <c r="T179" s="805"/>
    </row>
    <row r="180" spans="1:20">
      <c r="A180" s="801">
        <f>A178+1</f>
        <v>13</v>
      </c>
      <c r="B180" s="801" t="s">
        <v>300</v>
      </c>
      <c r="D180" s="801" t="s">
        <v>294</v>
      </c>
      <c r="G180" s="805"/>
      <c r="H180" s="805"/>
      <c r="I180" s="805"/>
      <c r="J180" s="805"/>
      <c r="K180" s="805"/>
      <c r="L180" s="805"/>
      <c r="M180" s="805"/>
      <c r="N180" s="805"/>
      <c r="O180" s="805"/>
      <c r="P180" s="805"/>
      <c r="Q180" s="805"/>
      <c r="R180" s="805"/>
      <c r="S180" s="805"/>
      <c r="T180" s="805"/>
    </row>
    <row r="181" spans="1:20" ht="12" customHeight="1">
      <c r="A181" s="801">
        <f>A180+1</f>
        <v>14</v>
      </c>
      <c r="B181" s="801" t="s">
        <v>301</v>
      </c>
      <c r="G181" s="805">
        <v>0</v>
      </c>
      <c r="H181" s="805">
        <v>0</v>
      </c>
      <c r="I181" s="805">
        <v>0</v>
      </c>
      <c r="J181" s="805">
        <v>0</v>
      </c>
      <c r="K181" s="805">
        <v>0</v>
      </c>
      <c r="L181" s="805">
        <v>0</v>
      </c>
      <c r="M181" s="805">
        <v>0</v>
      </c>
      <c r="N181" s="805">
        <v>0</v>
      </c>
      <c r="O181" s="805">
        <v>0</v>
      </c>
      <c r="P181" s="805">
        <v>0</v>
      </c>
      <c r="Q181" s="805">
        <v>0</v>
      </c>
      <c r="R181" s="805">
        <v>0</v>
      </c>
      <c r="S181" s="805">
        <v>0</v>
      </c>
      <c r="T181" s="805"/>
    </row>
    <row r="182" spans="1:20">
      <c r="A182" s="801">
        <f>A181+1</f>
        <v>15</v>
      </c>
      <c r="B182" s="801" t="s">
        <v>302</v>
      </c>
      <c r="G182" s="823">
        <v>0</v>
      </c>
      <c r="H182" s="823">
        <v>0</v>
      </c>
      <c r="I182" s="823">
        <v>0</v>
      </c>
      <c r="J182" s="823">
        <v>0</v>
      </c>
      <c r="K182" s="823">
        <v>0</v>
      </c>
      <c r="L182" s="823">
        <v>0</v>
      </c>
      <c r="M182" s="823">
        <v>0</v>
      </c>
      <c r="N182" s="823">
        <v>0</v>
      </c>
      <c r="O182" s="823">
        <v>0</v>
      </c>
      <c r="P182" s="823">
        <v>0</v>
      </c>
      <c r="Q182" s="823">
        <v>0</v>
      </c>
      <c r="R182" s="823">
        <v>0</v>
      </c>
      <c r="S182" s="823">
        <v>0</v>
      </c>
      <c r="T182" s="805"/>
    </row>
    <row r="183" spans="1:20">
      <c r="G183" s="805"/>
      <c r="H183" s="805"/>
      <c r="I183" s="805"/>
      <c r="J183" s="805"/>
      <c r="K183" s="805"/>
      <c r="L183" s="805"/>
      <c r="M183" s="805"/>
      <c r="N183" s="805"/>
      <c r="O183" s="805"/>
      <c r="P183" s="805"/>
      <c r="Q183" s="805"/>
      <c r="R183" s="805"/>
      <c r="S183" s="805"/>
      <c r="T183" s="805"/>
    </row>
    <row r="184" spans="1:20">
      <c r="A184" s="801">
        <f>A182+1</f>
        <v>16</v>
      </c>
      <c r="B184" s="801" t="s">
        <v>303</v>
      </c>
      <c r="G184" s="805">
        <f>G181+G182</f>
        <v>0</v>
      </c>
      <c r="H184" s="805">
        <f t="shared" ref="H184:S184" si="32">H181+H182</f>
        <v>0</v>
      </c>
      <c r="I184" s="805">
        <f>I181+I182</f>
        <v>0</v>
      </c>
      <c r="J184" s="805">
        <f>J181+J182</f>
        <v>0</v>
      </c>
      <c r="K184" s="805">
        <f>K181+K182</f>
        <v>0</v>
      </c>
      <c r="L184" s="805">
        <f>L181+L182</f>
        <v>0</v>
      </c>
      <c r="M184" s="805">
        <f>M181+M182</f>
        <v>0</v>
      </c>
      <c r="N184" s="805">
        <f t="shared" si="32"/>
        <v>0</v>
      </c>
      <c r="O184" s="805">
        <f t="shared" si="32"/>
        <v>0</v>
      </c>
      <c r="P184" s="805">
        <f t="shared" si="32"/>
        <v>0</v>
      </c>
      <c r="Q184" s="805">
        <f t="shared" si="32"/>
        <v>0</v>
      </c>
      <c r="R184" s="805">
        <f t="shared" si="32"/>
        <v>0</v>
      </c>
      <c r="S184" s="805">
        <f t="shared" si="32"/>
        <v>0</v>
      </c>
      <c r="T184" s="805"/>
    </row>
    <row r="185" spans="1:20">
      <c r="G185" s="805"/>
      <c r="H185" s="805"/>
      <c r="I185" s="805"/>
      <c r="J185" s="805"/>
      <c r="K185" s="805"/>
      <c r="L185" s="805"/>
      <c r="M185" s="805"/>
      <c r="N185" s="805"/>
      <c r="O185" s="805"/>
      <c r="P185" s="805"/>
      <c r="Q185" s="805"/>
      <c r="R185" s="805"/>
      <c r="S185" s="805"/>
      <c r="T185" s="805"/>
    </row>
    <row r="186" spans="1:20" ht="12" customHeight="1">
      <c r="A186" s="801">
        <f>A184+1</f>
        <v>17</v>
      </c>
      <c r="B186" s="801" t="s">
        <v>304</v>
      </c>
      <c r="G186" s="814">
        <f>'WPB-2.1.B Summary'!I170/(SUM('WPB-2.1.C Plant Detail'!G4102,-'WPB-2.1.C Plant Detail'!G4017,-'WPB-2.1.C Plant Detail'!G4018))</f>
        <v>3.2308954475270914E-2</v>
      </c>
      <c r="H186" s="814">
        <f>'WPB-2.1.B Summary'!I171/(SUM('WPB-2.1.C Plant Detail'!G2278,-'WPB-2.1.C Plant Detail'!G2193,-'WPB-2.1.C Plant Detail'!G2194))</f>
        <v>2.7688107693267655E-2</v>
      </c>
      <c r="I186" s="814">
        <v>2.53E-2</v>
      </c>
      <c r="J186" s="814">
        <v>2.0799999999999999E-2</v>
      </c>
      <c r="K186" s="814">
        <v>2.2800000000000001E-2</v>
      </c>
      <c r="L186" s="814">
        <v>2.5052217030950719E-2</v>
      </c>
      <c r="M186" s="814">
        <v>2.5353027531426226E-2</v>
      </c>
      <c r="N186" s="814">
        <v>1.7705719301024745E-2</v>
      </c>
      <c r="O186" s="814">
        <v>1.9047490523542605E-2</v>
      </c>
      <c r="P186" s="814">
        <v>2.0481838026172258E-2</v>
      </c>
      <c r="Q186" s="814">
        <v>2.0182054540541946E-2</v>
      </c>
      <c r="R186" s="814">
        <v>2.0205808054816449E-2</v>
      </c>
      <c r="S186" s="814">
        <v>2.0169695837589645E-2</v>
      </c>
      <c r="T186" s="805"/>
    </row>
    <row r="195" spans="1:2">
      <c r="A195" s="801"/>
      <c r="B195" s="801"/>
    </row>
    <row r="196" spans="1:2">
      <c r="B196" s="801"/>
    </row>
    <row r="197" spans="1:2">
      <c r="B197" s="801"/>
    </row>
    <row r="198" spans="1:2">
      <c r="B198" s="801"/>
    </row>
    <row r="199" spans="1:2">
      <c r="B199" s="801"/>
    </row>
    <row r="200" spans="1:2">
      <c r="B200" s="801"/>
    </row>
    <row r="201" spans="1:2">
      <c r="B201" s="801"/>
    </row>
    <row r="202" spans="1:2">
      <c r="B202" s="801"/>
    </row>
  </sheetData>
  <mergeCells count="20">
    <mergeCell ref="A151:S151"/>
    <mergeCell ref="A152:S152"/>
    <mergeCell ref="A94:S94"/>
    <mergeCell ref="A95:S95"/>
    <mergeCell ref="A96:S96"/>
    <mergeCell ref="A148:S148"/>
    <mergeCell ref="A149:S149"/>
    <mergeCell ref="A150:S150"/>
    <mergeCell ref="A93:S93"/>
    <mergeCell ref="A1:S1"/>
    <mergeCell ref="A2:S2"/>
    <mergeCell ref="A3:S3"/>
    <mergeCell ref="A4:S4"/>
    <mergeCell ref="A5:S5"/>
    <mergeCell ref="A43:S43"/>
    <mergeCell ref="A44:S44"/>
    <mergeCell ref="A45:S45"/>
    <mergeCell ref="A46:S46"/>
    <mergeCell ref="A47:S47"/>
    <mergeCell ref="A92:S92"/>
  </mergeCells>
  <printOptions horizontalCentered="1"/>
  <pageMargins left="0.5" right="0.5" top="0.75" bottom="0.5" header="0.3" footer="0.3"/>
  <pageSetup scale="79" fitToHeight="4" orientation="landscape" r:id="rId1"/>
  <rowBreaks count="2" manualBreakCount="2">
    <brk id="42" max="16383" man="1"/>
    <brk id="91"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H125"/>
  <sheetViews>
    <sheetView zoomScaleNormal="100" zoomScaleSheetLayoutView="100" workbookViewId="0">
      <selection activeCell="C12" sqref="C12"/>
    </sheetView>
  </sheetViews>
  <sheetFormatPr defaultColWidth="9.33203125" defaultRowHeight="10.5"/>
  <cols>
    <col min="1" max="1" width="32.83203125" style="948" bestFit="1" customWidth="1"/>
    <col min="2" max="2" width="5.6640625" style="948" customWidth="1"/>
    <col min="3" max="3" width="62.1640625" style="948" bestFit="1" customWidth="1"/>
    <col min="4" max="16384" width="9.33203125" style="948"/>
  </cols>
  <sheetData>
    <row r="1" spans="1:8" ht="12.75">
      <c r="A1" s="229"/>
      <c r="B1" s="220"/>
      <c r="C1" s="220"/>
      <c r="D1" s="220"/>
      <c r="E1" s="417"/>
      <c r="F1" s="417"/>
      <c r="G1" s="417"/>
      <c r="H1" s="417"/>
    </row>
    <row r="2" spans="1:8" ht="12.75">
      <c r="A2" s="220"/>
      <c r="B2" s="220"/>
      <c r="C2" s="220"/>
      <c r="D2" s="220"/>
      <c r="E2" s="417"/>
      <c r="F2" s="417"/>
      <c r="G2" s="417"/>
      <c r="H2" s="417"/>
    </row>
    <row r="3" spans="1:8" ht="12.75">
      <c r="A3" s="238" t="s">
        <v>1040</v>
      </c>
      <c r="B3" s="238"/>
      <c r="C3" s="1154"/>
      <c r="D3" s="220"/>
      <c r="E3" s="417"/>
      <c r="F3" s="417"/>
      <c r="G3" s="417"/>
      <c r="H3" s="417"/>
    </row>
    <row r="4" spans="1:8" ht="12.75">
      <c r="A4" s="220"/>
      <c r="B4" s="220"/>
      <c r="D4" s="220"/>
      <c r="E4" s="417"/>
      <c r="F4" s="417"/>
      <c r="G4" s="417"/>
      <c r="H4" s="417"/>
    </row>
    <row r="5" spans="1:8" ht="12.75">
      <c r="A5" s="238" t="s">
        <v>1041</v>
      </c>
      <c r="B5" s="238"/>
      <c r="C5" s="1154"/>
      <c r="D5" s="220"/>
      <c r="E5" s="417"/>
      <c r="F5" s="417"/>
      <c r="G5" s="417"/>
      <c r="H5" s="417"/>
    </row>
    <row r="6" spans="1:8" ht="12.75">
      <c r="A6" s="220"/>
      <c r="B6" s="220"/>
      <c r="D6" s="220"/>
      <c r="E6" s="417"/>
      <c r="F6" s="417"/>
      <c r="G6" s="417"/>
      <c r="H6" s="417"/>
    </row>
    <row r="7" spans="1:8" ht="12.75">
      <c r="A7" s="238" t="str">
        <f>'General Headers Index'!B4</f>
        <v>COLUMBIA GAS OF KENTUCKY, INC.</v>
      </c>
      <c r="B7" s="238"/>
      <c r="C7" s="1154"/>
      <c r="D7" s="220"/>
      <c r="E7" s="417"/>
      <c r="F7" s="417"/>
      <c r="G7" s="417"/>
      <c r="H7" s="417"/>
    </row>
    <row r="8" spans="1:8" ht="12.75">
      <c r="A8" s="220"/>
      <c r="B8" s="220"/>
      <c r="D8" s="220"/>
      <c r="E8" s="417"/>
      <c r="F8" s="417"/>
      <c r="G8" s="417"/>
      <c r="H8" s="417"/>
    </row>
    <row r="9" spans="1:8" ht="12.75">
      <c r="A9" s="238" t="str">
        <f>'General Headers Index'!B6</f>
        <v>CASE NO. 2024 - 00092</v>
      </c>
      <c r="B9" s="238"/>
      <c r="C9" s="1154"/>
      <c r="D9" s="220"/>
      <c r="E9" s="417"/>
      <c r="F9" s="417"/>
      <c r="G9" s="417"/>
      <c r="H9" s="417"/>
    </row>
    <row r="10" spans="1:8" ht="12.75">
      <c r="A10" s="229"/>
      <c r="B10" s="220"/>
      <c r="C10" s="217"/>
      <c r="D10" s="220"/>
      <c r="E10" s="417"/>
      <c r="F10" s="417"/>
      <c r="G10" s="417"/>
      <c r="H10" s="417"/>
    </row>
    <row r="11" spans="1:8" ht="12.75">
      <c r="A11" s="229" t="s">
        <v>683</v>
      </c>
      <c r="B11" s="220"/>
      <c r="C11" s="229" t="str">
        <f>'General Headers Index'!B8</f>
        <v>FOR THE TWELVE MONTHS ENDED AUGUST 31, 2024</v>
      </c>
      <c r="D11" s="220"/>
      <c r="E11" s="417"/>
      <c r="F11" s="417"/>
      <c r="G11" s="417"/>
      <c r="H11" s="417"/>
    </row>
    <row r="12" spans="1:8" ht="12.75">
      <c r="A12" s="220"/>
      <c r="B12" s="220"/>
      <c r="C12" s="220"/>
      <c r="D12" s="220"/>
      <c r="E12" s="417"/>
      <c r="F12" s="417"/>
      <c r="G12" s="417"/>
      <c r="H12" s="417"/>
    </row>
    <row r="13" spans="1:8" ht="12.75">
      <c r="A13" s="229" t="s">
        <v>1042</v>
      </c>
      <c r="B13" s="220"/>
      <c r="C13" s="229" t="str">
        <f>'General Headers Index'!B15</f>
        <v>FOR THE TWELVE MONTHS ENDED DECEMBER 31, 2025</v>
      </c>
      <c r="D13" s="220"/>
      <c r="E13" s="417"/>
      <c r="F13" s="417"/>
      <c r="G13" s="417"/>
      <c r="H13" s="417"/>
    </row>
    <row r="14" spans="1:8" ht="12.75">
      <c r="A14" s="220"/>
      <c r="B14" s="220"/>
      <c r="C14" s="220"/>
      <c r="D14" s="220"/>
      <c r="E14" s="417"/>
      <c r="F14" s="417"/>
      <c r="G14" s="417"/>
      <c r="H14" s="417"/>
    </row>
    <row r="15" spans="1:8" ht="12.75">
      <c r="A15" s="220"/>
      <c r="B15" s="220"/>
      <c r="C15" s="220"/>
      <c r="D15" s="220"/>
      <c r="E15" s="417"/>
      <c r="F15" s="417"/>
      <c r="G15" s="417"/>
      <c r="H15" s="417"/>
    </row>
    <row r="16" spans="1:8" ht="12.75">
      <c r="A16" s="505" t="s">
        <v>314</v>
      </c>
      <c r="B16" s="301"/>
      <c r="C16" s="505" t="s">
        <v>451</v>
      </c>
      <c r="D16" s="301"/>
      <c r="E16" s="1152"/>
      <c r="F16" s="1152"/>
      <c r="G16" s="1152"/>
      <c r="H16" s="1152"/>
    </row>
    <row r="17" spans="1:8" ht="12.75">
      <c r="A17" s="220"/>
      <c r="B17" s="220"/>
      <c r="C17" s="220"/>
      <c r="D17" s="220"/>
      <c r="E17" s="417"/>
      <c r="F17" s="417"/>
      <c r="G17" s="417"/>
      <c r="H17" s="417"/>
    </row>
    <row r="18" spans="1:8" ht="12.75">
      <c r="A18" s="229" t="s">
        <v>1043</v>
      </c>
      <c r="B18" s="220"/>
      <c r="C18" s="220" t="s">
        <v>1044</v>
      </c>
      <c r="D18" s="220"/>
      <c r="E18" s="417"/>
      <c r="F18" s="417"/>
      <c r="G18" s="417"/>
      <c r="H18" s="417"/>
    </row>
    <row r="19" spans="1:8" ht="12.75">
      <c r="A19" s="229" t="s">
        <v>1045</v>
      </c>
      <c r="B19" s="220"/>
      <c r="C19" s="229" t="s">
        <v>1046</v>
      </c>
      <c r="D19" s="220"/>
      <c r="E19" s="417"/>
      <c r="F19" s="417"/>
      <c r="G19" s="417"/>
      <c r="H19" s="417"/>
    </row>
    <row r="20" spans="1:8" ht="12.75">
      <c r="A20" s="229" t="s">
        <v>1047</v>
      </c>
      <c r="B20" s="220"/>
      <c r="C20" s="229" t="s">
        <v>1048</v>
      </c>
      <c r="D20" s="220"/>
      <c r="E20" s="417"/>
      <c r="F20" s="417"/>
      <c r="G20" s="417"/>
      <c r="H20" s="417"/>
    </row>
    <row r="21" spans="1:8" ht="12.75">
      <c r="A21" s="229"/>
      <c r="B21" s="220"/>
      <c r="C21" s="220"/>
      <c r="D21" s="220"/>
      <c r="E21" s="417"/>
      <c r="F21" s="417"/>
      <c r="G21" s="417"/>
      <c r="H21" s="417"/>
    </row>
    <row r="22" spans="1:8" ht="12.75">
      <c r="A22" s="229"/>
      <c r="B22" s="220"/>
      <c r="C22" s="220"/>
      <c r="D22" s="220"/>
      <c r="E22" s="417"/>
      <c r="F22" s="417"/>
      <c r="G22" s="417"/>
      <c r="H22" s="417"/>
    </row>
    <row r="23" spans="1:8" ht="11.25">
      <c r="A23" s="1153"/>
      <c r="B23" s="417"/>
      <c r="C23" s="417"/>
      <c r="D23" s="417"/>
      <c r="E23" s="417"/>
      <c r="F23" s="417"/>
      <c r="G23" s="417"/>
      <c r="H23" s="417"/>
    </row>
    <row r="24" spans="1:8" ht="11.25">
      <c r="A24" s="1153"/>
      <c r="B24" s="417"/>
      <c r="C24" s="417"/>
      <c r="D24" s="417"/>
      <c r="E24" s="417"/>
      <c r="F24" s="417"/>
      <c r="G24" s="417"/>
      <c r="H24" s="417"/>
    </row>
    <row r="25" spans="1:8" ht="11.25">
      <c r="A25" s="1153"/>
      <c r="B25" s="417"/>
      <c r="C25" s="417"/>
      <c r="D25" s="417"/>
      <c r="E25" s="417"/>
      <c r="F25" s="417"/>
      <c r="G25" s="417"/>
      <c r="H25" s="417"/>
    </row>
    <row r="26" spans="1:8" ht="11.25">
      <c r="A26" s="1153"/>
      <c r="B26" s="417"/>
      <c r="C26" s="417"/>
      <c r="D26" s="417"/>
      <c r="E26" s="417"/>
      <c r="F26" s="417"/>
      <c r="G26" s="417"/>
      <c r="H26" s="417"/>
    </row>
    <row r="27" spans="1:8" ht="11.25">
      <c r="A27" s="1153"/>
      <c r="B27" s="417"/>
      <c r="C27" s="417"/>
      <c r="D27" s="417"/>
      <c r="E27" s="417"/>
      <c r="F27" s="417"/>
      <c r="G27" s="417"/>
      <c r="H27" s="417"/>
    </row>
    <row r="28" spans="1:8" ht="11.25">
      <c r="A28" s="1153"/>
      <c r="B28" s="417"/>
      <c r="C28" s="417"/>
      <c r="D28" s="417"/>
      <c r="E28" s="417"/>
      <c r="F28" s="417"/>
      <c r="G28" s="417"/>
      <c r="H28" s="417"/>
    </row>
    <row r="29" spans="1:8" ht="11.25">
      <c r="A29" s="1153"/>
      <c r="B29" s="417"/>
      <c r="C29" s="417"/>
      <c r="D29" s="417"/>
      <c r="E29" s="417"/>
      <c r="F29" s="417"/>
      <c r="G29" s="417"/>
      <c r="H29" s="417"/>
    </row>
    <row r="30" spans="1:8" ht="11.25">
      <c r="A30" s="1153"/>
      <c r="B30" s="417"/>
      <c r="C30" s="417"/>
      <c r="D30" s="417"/>
      <c r="E30" s="417"/>
      <c r="F30" s="417"/>
      <c r="G30" s="417"/>
      <c r="H30" s="417"/>
    </row>
    <row r="31" spans="1:8" ht="11.25">
      <c r="A31" s="1153"/>
      <c r="B31" s="417"/>
      <c r="C31" s="417"/>
      <c r="D31" s="417"/>
      <c r="E31" s="417"/>
      <c r="F31" s="417"/>
      <c r="G31" s="417"/>
      <c r="H31" s="417"/>
    </row>
    <row r="32" spans="1:8" ht="11.25">
      <c r="A32" s="1153"/>
      <c r="B32" s="417"/>
      <c r="C32" s="417"/>
      <c r="D32" s="417"/>
      <c r="E32" s="417"/>
      <c r="F32" s="417"/>
      <c r="G32" s="417"/>
      <c r="H32" s="417"/>
    </row>
    <row r="33" spans="1:8" ht="11.25">
      <c r="A33" s="1153"/>
      <c r="B33" s="417"/>
      <c r="C33" s="417"/>
      <c r="D33" s="417"/>
      <c r="E33" s="417"/>
      <c r="F33" s="417"/>
      <c r="G33" s="417"/>
      <c r="H33" s="417"/>
    </row>
    <row r="34" spans="1:8" ht="11.25">
      <c r="A34" s="1153"/>
      <c r="B34" s="417"/>
      <c r="C34" s="417"/>
      <c r="D34" s="417"/>
      <c r="E34" s="417"/>
      <c r="F34" s="417"/>
      <c r="G34" s="417"/>
      <c r="H34" s="417"/>
    </row>
    <row r="35" spans="1:8" ht="11.25">
      <c r="A35" s="1153"/>
      <c r="B35" s="417"/>
      <c r="C35" s="417"/>
      <c r="D35" s="417"/>
      <c r="E35" s="417"/>
      <c r="F35" s="417"/>
      <c r="G35" s="417"/>
      <c r="H35" s="417"/>
    </row>
    <row r="36" spans="1:8" ht="11.25">
      <c r="A36" s="1153"/>
      <c r="B36" s="417"/>
      <c r="C36" s="417"/>
      <c r="D36" s="417"/>
      <c r="E36" s="417"/>
      <c r="F36" s="417"/>
      <c r="G36" s="417"/>
      <c r="H36" s="417"/>
    </row>
    <row r="37" spans="1:8" ht="11.25">
      <c r="A37" s="1153"/>
      <c r="B37" s="417"/>
      <c r="C37" s="417"/>
      <c r="D37" s="417"/>
      <c r="E37" s="417"/>
      <c r="F37" s="417"/>
      <c r="G37" s="417"/>
      <c r="H37" s="417"/>
    </row>
    <row r="38" spans="1:8" ht="11.25">
      <c r="A38" s="1153"/>
      <c r="B38" s="417"/>
      <c r="C38" s="417"/>
      <c r="D38" s="417"/>
      <c r="E38" s="417"/>
      <c r="F38" s="417"/>
      <c r="G38" s="417"/>
      <c r="H38" s="417"/>
    </row>
    <row r="39" spans="1:8" ht="11.25">
      <c r="A39" s="1153"/>
      <c r="B39" s="417"/>
      <c r="C39" s="417"/>
      <c r="D39" s="417"/>
      <c r="E39" s="417"/>
      <c r="F39" s="417"/>
      <c r="G39" s="417"/>
      <c r="H39" s="417"/>
    </row>
    <row r="40" spans="1:8" ht="11.25">
      <c r="A40" s="1153"/>
      <c r="B40" s="417"/>
      <c r="C40" s="417"/>
      <c r="D40" s="417"/>
      <c r="E40" s="417"/>
      <c r="F40" s="417"/>
      <c r="G40" s="417"/>
      <c r="H40" s="417"/>
    </row>
    <row r="41" spans="1:8" ht="11.25">
      <c r="A41" s="417"/>
      <c r="B41" s="417"/>
      <c r="C41" s="417"/>
      <c r="D41" s="417"/>
      <c r="E41" s="417"/>
      <c r="F41" s="417"/>
      <c r="G41" s="417"/>
      <c r="H41" s="417"/>
    </row>
    <row r="42" spans="1:8" ht="11.25">
      <c r="A42" s="417"/>
      <c r="B42" s="417"/>
      <c r="C42" s="417"/>
      <c r="D42" s="417"/>
      <c r="E42" s="417"/>
      <c r="F42" s="417"/>
      <c r="G42" s="417"/>
      <c r="H42" s="417"/>
    </row>
    <row r="43" spans="1:8" ht="11.25">
      <c r="A43" s="417"/>
      <c r="B43" s="417"/>
      <c r="C43" s="417"/>
      <c r="D43" s="417"/>
      <c r="E43" s="417"/>
      <c r="F43" s="417"/>
      <c r="G43" s="417"/>
      <c r="H43" s="417"/>
    </row>
    <row r="44" spans="1:8" ht="11.25">
      <c r="A44" s="417"/>
      <c r="B44" s="417"/>
      <c r="C44" s="417"/>
      <c r="D44" s="417"/>
      <c r="E44" s="417"/>
      <c r="F44" s="417"/>
      <c r="G44" s="417"/>
      <c r="H44" s="417"/>
    </row>
    <row r="45" spans="1:8" ht="11.25">
      <c r="A45" s="417"/>
      <c r="B45" s="417"/>
      <c r="C45" s="417"/>
      <c r="D45" s="417"/>
      <c r="E45" s="417"/>
      <c r="F45" s="417"/>
      <c r="G45" s="417"/>
      <c r="H45" s="417"/>
    </row>
    <row r="46" spans="1:8" ht="11.25">
      <c r="A46" s="417"/>
      <c r="B46" s="417"/>
      <c r="C46" s="417"/>
      <c r="D46" s="417"/>
      <c r="E46" s="417"/>
      <c r="F46" s="417"/>
      <c r="G46" s="417"/>
      <c r="H46" s="417"/>
    </row>
    <row r="47" spans="1:8" ht="11.25">
      <c r="A47" s="417"/>
      <c r="B47" s="417"/>
      <c r="C47" s="417"/>
      <c r="D47" s="417"/>
      <c r="E47" s="417"/>
      <c r="F47" s="417"/>
      <c r="G47" s="417"/>
      <c r="H47" s="417"/>
    </row>
    <row r="48" spans="1:8" ht="11.25">
      <c r="A48" s="417"/>
      <c r="B48" s="417"/>
      <c r="C48" s="417"/>
      <c r="D48" s="417"/>
      <c r="E48" s="417"/>
      <c r="F48" s="417"/>
      <c r="G48" s="417"/>
      <c r="H48" s="417"/>
    </row>
    <row r="49" spans="1:8" ht="11.25">
      <c r="A49" s="417"/>
      <c r="B49" s="417"/>
      <c r="C49" s="417"/>
      <c r="D49" s="417"/>
      <c r="E49" s="417"/>
      <c r="F49" s="417"/>
      <c r="G49" s="417"/>
      <c r="H49" s="417"/>
    </row>
    <row r="50" spans="1:8" ht="11.25">
      <c r="A50" s="417"/>
      <c r="B50" s="417"/>
      <c r="C50" s="417"/>
      <c r="D50" s="417"/>
      <c r="E50" s="417"/>
      <c r="F50" s="417"/>
      <c r="G50" s="417"/>
      <c r="H50" s="417"/>
    </row>
    <row r="51" spans="1:8" ht="11.25">
      <c r="A51" s="417"/>
      <c r="B51" s="417"/>
      <c r="C51" s="417"/>
      <c r="D51" s="417"/>
      <c r="E51" s="417"/>
      <c r="F51" s="417"/>
      <c r="G51" s="417"/>
      <c r="H51" s="417"/>
    </row>
    <row r="52" spans="1:8" ht="11.25">
      <c r="A52" s="417"/>
      <c r="B52" s="417"/>
      <c r="C52" s="417"/>
      <c r="D52" s="417"/>
      <c r="E52" s="417"/>
      <c r="F52" s="417"/>
      <c r="G52" s="417"/>
      <c r="H52" s="417"/>
    </row>
    <row r="53" spans="1:8" ht="11.25">
      <c r="A53" s="417"/>
      <c r="B53" s="417"/>
      <c r="C53" s="417"/>
      <c r="D53" s="417"/>
      <c r="E53" s="417"/>
      <c r="F53" s="417"/>
      <c r="G53" s="417"/>
      <c r="H53" s="417"/>
    </row>
    <row r="54" spans="1:8" ht="11.25">
      <c r="A54" s="417"/>
      <c r="B54" s="417"/>
      <c r="C54" s="417"/>
      <c r="D54" s="417"/>
      <c r="E54" s="417"/>
      <c r="F54" s="417"/>
      <c r="G54" s="417"/>
      <c r="H54" s="417"/>
    </row>
    <row r="55" spans="1:8" ht="11.25">
      <c r="A55" s="417"/>
      <c r="B55" s="417"/>
      <c r="C55" s="417"/>
      <c r="D55" s="417"/>
      <c r="E55" s="417"/>
      <c r="F55" s="417"/>
      <c r="G55" s="417"/>
      <c r="H55" s="417"/>
    </row>
    <row r="56" spans="1:8" ht="11.25">
      <c r="A56" s="417"/>
      <c r="B56" s="417"/>
      <c r="C56" s="417"/>
      <c r="D56" s="417"/>
      <c r="E56" s="417"/>
      <c r="F56" s="417"/>
      <c r="G56" s="417"/>
      <c r="H56" s="417"/>
    </row>
    <row r="57" spans="1:8" ht="11.25">
      <c r="A57" s="417"/>
      <c r="B57" s="417"/>
      <c r="C57" s="417"/>
      <c r="D57" s="417"/>
      <c r="E57" s="417"/>
      <c r="F57" s="417"/>
      <c r="G57" s="417"/>
      <c r="H57" s="417"/>
    </row>
    <row r="58" spans="1:8" ht="11.25">
      <c r="A58" s="417"/>
      <c r="B58" s="417"/>
      <c r="C58" s="417"/>
      <c r="D58" s="417"/>
      <c r="E58" s="417"/>
      <c r="F58" s="417"/>
      <c r="G58" s="417"/>
      <c r="H58" s="417"/>
    </row>
    <row r="59" spans="1:8" ht="11.25">
      <c r="A59" s="417"/>
      <c r="B59" s="417"/>
      <c r="C59" s="417"/>
      <c r="D59" s="417"/>
      <c r="E59" s="417"/>
      <c r="F59" s="417"/>
      <c r="G59" s="417"/>
      <c r="H59" s="417"/>
    </row>
    <row r="60" spans="1:8" ht="11.25">
      <c r="A60" s="417"/>
      <c r="B60" s="417"/>
      <c r="C60" s="417"/>
      <c r="D60" s="417"/>
      <c r="E60" s="417"/>
      <c r="F60" s="417"/>
      <c r="G60" s="417"/>
      <c r="H60" s="417"/>
    </row>
    <row r="61" spans="1:8" ht="11.25">
      <c r="A61" s="417"/>
      <c r="B61" s="417"/>
      <c r="C61" s="417"/>
      <c r="D61" s="417"/>
      <c r="E61" s="417"/>
      <c r="F61" s="417"/>
      <c r="G61" s="417"/>
      <c r="H61" s="417"/>
    </row>
    <row r="62" spans="1:8" ht="11.25">
      <c r="A62" s="417"/>
      <c r="B62" s="417"/>
      <c r="C62" s="417"/>
      <c r="D62" s="417"/>
      <c r="E62" s="417"/>
      <c r="F62" s="417"/>
      <c r="G62" s="417"/>
      <c r="H62" s="417"/>
    </row>
    <row r="63" spans="1:8" ht="11.25">
      <c r="A63" s="417"/>
      <c r="B63" s="417"/>
      <c r="C63" s="417"/>
      <c r="D63" s="417"/>
      <c r="E63" s="417"/>
      <c r="F63" s="417"/>
      <c r="G63" s="417"/>
      <c r="H63" s="417"/>
    </row>
    <row r="64" spans="1:8" ht="11.25">
      <c r="A64" s="417"/>
      <c r="B64" s="417"/>
      <c r="C64" s="417"/>
      <c r="D64" s="417"/>
      <c r="E64" s="417"/>
      <c r="F64" s="417"/>
      <c r="G64" s="417"/>
      <c r="H64" s="417"/>
    </row>
    <row r="65" spans="1:8" ht="11.25">
      <c r="A65" s="417"/>
      <c r="B65" s="417"/>
      <c r="C65" s="417"/>
      <c r="D65" s="417"/>
      <c r="E65" s="417"/>
      <c r="F65" s="417"/>
      <c r="G65" s="417"/>
      <c r="H65" s="417"/>
    </row>
    <row r="66" spans="1:8" ht="11.25">
      <c r="A66" s="417"/>
      <c r="B66" s="417"/>
      <c r="C66" s="417"/>
      <c r="D66" s="417"/>
      <c r="E66" s="417"/>
      <c r="F66" s="417"/>
      <c r="G66" s="417"/>
      <c r="H66" s="417"/>
    </row>
    <row r="67" spans="1:8" ht="11.25">
      <c r="A67" s="417"/>
      <c r="B67" s="417"/>
      <c r="C67" s="417"/>
      <c r="D67" s="417"/>
      <c r="E67" s="417"/>
      <c r="F67" s="417"/>
      <c r="G67" s="417"/>
      <c r="H67" s="417"/>
    </row>
    <row r="68" spans="1:8" ht="11.25">
      <c r="A68" s="417"/>
      <c r="B68" s="417"/>
      <c r="C68" s="417"/>
      <c r="D68" s="417"/>
      <c r="E68" s="417"/>
      <c r="F68" s="417"/>
      <c r="G68" s="417"/>
      <c r="H68" s="417"/>
    </row>
    <row r="69" spans="1:8" ht="11.25">
      <c r="A69" s="417"/>
      <c r="B69" s="417"/>
      <c r="C69" s="417"/>
      <c r="D69" s="417"/>
      <c r="E69" s="417"/>
      <c r="F69" s="417"/>
      <c r="G69" s="417"/>
      <c r="H69" s="417"/>
    </row>
    <row r="70" spans="1:8" ht="11.25">
      <c r="A70" s="417"/>
      <c r="B70" s="417"/>
      <c r="C70" s="417"/>
      <c r="D70" s="417"/>
      <c r="E70" s="417"/>
      <c r="F70" s="417"/>
      <c r="G70" s="417"/>
      <c r="H70" s="417"/>
    </row>
    <row r="71" spans="1:8" ht="11.25">
      <c r="A71" s="417"/>
      <c r="B71" s="417"/>
      <c r="C71" s="417"/>
      <c r="D71" s="417"/>
      <c r="E71" s="417"/>
      <c r="F71" s="417"/>
      <c r="G71" s="417"/>
      <c r="H71" s="417"/>
    </row>
    <row r="72" spans="1:8" ht="11.25">
      <c r="A72" s="417"/>
      <c r="B72" s="417"/>
      <c r="C72" s="417"/>
      <c r="D72" s="417"/>
      <c r="E72" s="417"/>
      <c r="F72" s="417"/>
      <c r="G72" s="417"/>
      <c r="H72" s="417"/>
    </row>
    <row r="73" spans="1:8" ht="11.25">
      <c r="A73" s="417"/>
      <c r="B73" s="417"/>
      <c r="C73" s="417"/>
      <c r="D73" s="417"/>
      <c r="E73" s="417"/>
      <c r="F73" s="417"/>
      <c r="G73" s="417"/>
      <c r="H73" s="417"/>
    </row>
    <row r="74" spans="1:8" ht="11.25">
      <c r="A74" s="417"/>
      <c r="B74" s="417"/>
      <c r="C74" s="417"/>
      <c r="D74" s="417"/>
      <c r="E74" s="417"/>
      <c r="F74" s="417"/>
      <c r="G74" s="417"/>
      <c r="H74" s="417"/>
    </row>
    <row r="75" spans="1:8" ht="11.25">
      <c r="A75" s="417"/>
      <c r="B75" s="417"/>
      <c r="C75" s="417"/>
      <c r="D75" s="417"/>
      <c r="E75" s="417"/>
      <c r="F75" s="417"/>
      <c r="G75" s="417"/>
      <c r="H75" s="417"/>
    </row>
    <row r="76" spans="1:8" ht="11.25">
      <c r="A76" s="417"/>
      <c r="B76" s="417"/>
      <c r="C76" s="417"/>
      <c r="D76" s="417"/>
      <c r="E76" s="417"/>
      <c r="F76" s="417"/>
      <c r="G76" s="417"/>
      <c r="H76" s="417"/>
    </row>
    <row r="77" spans="1:8" ht="11.25">
      <c r="A77" s="417"/>
      <c r="B77" s="417"/>
      <c r="C77" s="417"/>
      <c r="D77" s="417"/>
      <c r="E77" s="417"/>
      <c r="F77" s="417"/>
      <c r="G77" s="417"/>
      <c r="H77" s="417"/>
    </row>
    <row r="78" spans="1:8" ht="11.25">
      <c r="A78" s="417"/>
      <c r="B78" s="417"/>
      <c r="C78" s="417"/>
      <c r="D78" s="417"/>
      <c r="E78" s="417"/>
      <c r="F78" s="417"/>
      <c r="G78" s="417"/>
      <c r="H78" s="417"/>
    </row>
    <row r="79" spans="1:8" ht="11.25">
      <c r="A79" s="417"/>
      <c r="B79" s="417"/>
      <c r="C79" s="417"/>
      <c r="D79" s="417"/>
      <c r="E79" s="417"/>
      <c r="F79" s="417"/>
      <c r="G79" s="417"/>
      <c r="H79" s="417"/>
    </row>
    <row r="80" spans="1:8" ht="11.25">
      <c r="A80" s="417"/>
      <c r="B80" s="417"/>
      <c r="C80" s="417"/>
      <c r="D80" s="417"/>
      <c r="E80" s="417"/>
      <c r="F80" s="417"/>
      <c r="G80" s="417"/>
      <c r="H80" s="417"/>
    </row>
    <row r="81" spans="1:8" ht="11.25">
      <c r="A81" s="417"/>
      <c r="B81" s="417"/>
      <c r="C81" s="417"/>
      <c r="D81" s="417"/>
      <c r="E81" s="417"/>
      <c r="F81" s="417"/>
      <c r="G81" s="417"/>
      <c r="H81" s="417"/>
    </row>
    <row r="82" spans="1:8" ht="11.25">
      <c r="A82" s="417"/>
      <c r="B82" s="417"/>
      <c r="C82" s="417"/>
      <c r="D82" s="417"/>
      <c r="E82" s="417"/>
      <c r="F82" s="417"/>
      <c r="G82" s="417"/>
      <c r="H82" s="417"/>
    </row>
    <row r="83" spans="1:8" ht="11.25">
      <c r="A83" s="417"/>
      <c r="B83" s="417"/>
      <c r="C83" s="417"/>
      <c r="D83" s="417"/>
      <c r="E83" s="417"/>
      <c r="F83" s="417"/>
      <c r="G83" s="417"/>
      <c r="H83" s="417"/>
    </row>
    <row r="84" spans="1:8" ht="11.25">
      <c r="A84" s="417"/>
      <c r="B84" s="417"/>
      <c r="C84" s="417"/>
      <c r="D84" s="417"/>
      <c r="E84" s="417"/>
      <c r="F84" s="417"/>
      <c r="G84" s="417"/>
      <c r="H84" s="417"/>
    </row>
    <row r="85" spans="1:8" ht="11.25">
      <c r="A85" s="417"/>
      <c r="B85" s="417"/>
      <c r="C85" s="417"/>
      <c r="D85" s="417"/>
      <c r="E85" s="417"/>
      <c r="F85" s="417"/>
      <c r="G85" s="417"/>
      <c r="H85" s="417"/>
    </row>
    <row r="86" spans="1:8" ht="11.25">
      <c r="A86" s="417"/>
      <c r="B86" s="417"/>
      <c r="C86" s="417"/>
      <c r="D86" s="417"/>
      <c r="E86" s="417"/>
      <c r="F86" s="417"/>
      <c r="G86" s="417"/>
      <c r="H86" s="417"/>
    </row>
    <row r="87" spans="1:8" ht="11.25">
      <c r="A87" s="417"/>
      <c r="B87" s="417"/>
      <c r="C87" s="417"/>
      <c r="D87" s="417"/>
      <c r="E87" s="417"/>
      <c r="F87" s="417"/>
      <c r="G87" s="417"/>
      <c r="H87" s="417"/>
    </row>
    <row r="88" spans="1:8" ht="11.25">
      <c r="A88" s="417"/>
      <c r="B88" s="417"/>
      <c r="C88" s="417"/>
      <c r="D88" s="417"/>
      <c r="E88" s="417"/>
      <c r="F88" s="417"/>
      <c r="G88" s="417"/>
      <c r="H88" s="417"/>
    </row>
    <row r="89" spans="1:8" ht="11.25">
      <c r="A89" s="417"/>
      <c r="B89" s="417"/>
      <c r="C89" s="417"/>
      <c r="D89" s="417"/>
      <c r="E89" s="417"/>
      <c r="F89" s="417"/>
      <c r="G89" s="417"/>
      <c r="H89" s="417"/>
    </row>
    <row r="90" spans="1:8" ht="11.25">
      <c r="A90" s="417"/>
      <c r="B90" s="417"/>
      <c r="C90" s="417"/>
      <c r="D90" s="417"/>
      <c r="E90" s="417"/>
      <c r="F90" s="417"/>
      <c r="G90" s="417"/>
      <c r="H90" s="417"/>
    </row>
    <row r="91" spans="1:8" ht="11.25">
      <c r="A91" s="417"/>
      <c r="B91" s="417"/>
      <c r="C91" s="417"/>
      <c r="D91" s="417"/>
      <c r="E91" s="417"/>
      <c r="F91" s="417"/>
      <c r="G91" s="417"/>
      <c r="H91" s="417"/>
    </row>
    <row r="92" spans="1:8" ht="11.25">
      <c r="A92" s="417"/>
      <c r="B92" s="417"/>
      <c r="C92" s="417"/>
      <c r="D92" s="417"/>
      <c r="E92" s="417"/>
      <c r="F92" s="417"/>
      <c r="G92" s="417"/>
      <c r="H92" s="417"/>
    </row>
    <row r="93" spans="1:8" ht="11.25">
      <c r="A93" s="417"/>
      <c r="B93" s="417"/>
      <c r="C93" s="417"/>
      <c r="D93" s="417"/>
      <c r="E93" s="417"/>
      <c r="F93" s="417"/>
      <c r="G93" s="417"/>
      <c r="H93" s="417"/>
    </row>
    <row r="94" spans="1:8" ht="11.25">
      <c r="A94" s="417"/>
      <c r="B94" s="417"/>
      <c r="C94" s="417"/>
      <c r="D94" s="417"/>
      <c r="E94" s="417"/>
      <c r="F94" s="417"/>
      <c r="G94" s="417"/>
      <c r="H94" s="417"/>
    </row>
    <row r="95" spans="1:8" ht="11.25">
      <c r="A95" s="417"/>
      <c r="B95" s="417"/>
      <c r="C95" s="417"/>
      <c r="D95" s="417"/>
      <c r="E95" s="417"/>
      <c r="F95" s="417"/>
      <c r="G95" s="417"/>
      <c r="H95" s="417"/>
    </row>
    <row r="96" spans="1:8" ht="11.25">
      <c r="A96" s="417"/>
      <c r="B96" s="417"/>
      <c r="C96" s="417"/>
      <c r="D96" s="417"/>
      <c r="E96" s="417"/>
      <c r="F96" s="417"/>
      <c r="G96" s="417"/>
      <c r="H96" s="417"/>
    </row>
    <row r="97" spans="1:8" ht="11.25">
      <c r="A97" s="417"/>
      <c r="B97" s="417"/>
      <c r="C97" s="417"/>
      <c r="D97" s="417"/>
      <c r="E97" s="417"/>
      <c r="F97" s="417"/>
      <c r="G97" s="417"/>
      <c r="H97" s="417"/>
    </row>
    <row r="98" spans="1:8" ht="11.25">
      <c r="A98" s="417"/>
      <c r="B98" s="417"/>
      <c r="C98" s="417"/>
      <c r="D98" s="417"/>
      <c r="E98" s="417"/>
      <c r="F98" s="417"/>
      <c r="G98" s="417"/>
      <c r="H98" s="417"/>
    </row>
    <row r="99" spans="1:8" ht="11.25">
      <c r="A99" s="417"/>
      <c r="B99" s="417"/>
      <c r="C99" s="417"/>
      <c r="D99" s="417"/>
      <c r="E99" s="417"/>
      <c r="F99" s="417"/>
      <c r="G99" s="417"/>
      <c r="H99" s="417"/>
    </row>
    <row r="100" spans="1:8" ht="11.25">
      <c r="A100" s="417"/>
      <c r="B100" s="417"/>
      <c r="C100" s="417"/>
      <c r="D100" s="417"/>
      <c r="E100" s="417"/>
      <c r="F100" s="417"/>
      <c r="G100" s="417"/>
      <c r="H100" s="417"/>
    </row>
    <row r="101" spans="1:8" ht="11.25">
      <c r="A101" s="417"/>
      <c r="B101" s="417"/>
      <c r="C101" s="417"/>
      <c r="D101" s="417"/>
      <c r="E101" s="417"/>
      <c r="F101" s="417"/>
      <c r="G101" s="417"/>
      <c r="H101" s="417"/>
    </row>
    <row r="102" spans="1:8" ht="11.25">
      <c r="A102" s="417"/>
      <c r="B102" s="417"/>
      <c r="C102" s="417"/>
      <c r="D102" s="417"/>
      <c r="E102" s="417"/>
      <c r="F102" s="417"/>
      <c r="G102" s="417"/>
      <c r="H102" s="417"/>
    </row>
    <row r="103" spans="1:8" ht="11.25">
      <c r="A103" s="417"/>
      <c r="B103" s="417"/>
      <c r="C103" s="417"/>
      <c r="D103" s="417"/>
      <c r="E103" s="417"/>
      <c r="F103" s="417"/>
      <c r="G103" s="417"/>
      <c r="H103" s="417"/>
    </row>
    <row r="104" spans="1:8" ht="11.25">
      <c r="A104" s="417"/>
      <c r="B104" s="417"/>
      <c r="C104" s="417"/>
      <c r="D104" s="417"/>
      <c r="E104" s="417"/>
      <c r="F104" s="417"/>
      <c r="G104" s="417"/>
      <c r="H104" s="417"/>
    </row>
    <row r="105" spans="1:8" ht="11.25">
      <c r="A105" s="417"/>
      <c r="B105" s="417"/>
      <c r="C105" s="417"/>
      <c r="D105" s="417"/>
      <c r="E105" s="417"/>
      <c r="F105" s="417"/>
      <c r="G105" s="417"/>
      <c r="H105" s="417"/>
    </row>
    <row r="106" spans="1:8" ht="11.25">
      <c r="A106" s="417"/>
      <c r="B106" s="417"/>
      <c r="C106" s="417"/>
      <c r="D106" s="417"/>
      <c r="E106" s="417"/>
      <c r="F106" s="417"/>
      <c r="G106" s="417"/>
      <c r="H106" s="417"/>
    </row>
    <row r="107" spans="1:8" ht="11.25">
      <c r="A107" s="417"/>
      <c r="B107" s="417"/>
      <c r="C107" s="417"/>
      <c r="D107" s="417"/>
      <c r="E107" s="417"/>
      <c r="F107" s="417"/>
      <c r="G107" s="417"/>
      <c r="H107" s="417"/>
    </row>
    <row r="108" spans="1:8" ht="11.25">
      <c r="A108" s="417"/>
      <c r="B108" s="417"/>
      <c r="C108" s="417"/>
      <c r="D108" s="417"/>
      <c r="E108" s="417"/>
      <c r="F108" s="417"/>
      <c r="G108" s="417"/>
      <c r="H108" s="417"/>
    </row>
    <row r="109" spans="1:8" ht="11.25">
      <c r="A109" s="417"/>
      <c r="B109" s="417"/>
      <c r="C109" s="417"/>
      <c r="D109" s="417"/>
      <c r="E109" s="417"/>
      <c r="F109" s="417"/>
      <c r="G109" s="417"/>
      <c r="H109" s="417"/>
    </row>
    <row r="110" spans="1:8" ht="11.25">
      <c r="A110" s="417"/>
      <c r="B110" s="417"/>
      <c r="C110" s="417"/>
      <c r="D110" s="417"/>
      <c r="E110" s="417"/>
      <c r="F110" s="417"/>
      <c r="G110" s="417"/>
      <c r="H110" s="417"/>
    </row>
    <row r="111" spans="1:8" ht="11.25">
      <c r="A111" s="417"/>
      <c r="B111" s="417"/>
      <c r="C111" s="417"/>
      <c r="D111" s="417"/>
      <c r="E111" s="417"/>
      <c r="F111" s="417"/>
      <c r="G111" s="417"/>
      <c r="H111" s="417"/>
    </row>
    <row r="112" spans="1:8" ht="11.25">
      <c r="A112" s="417"/>
      <c r="B112" s="417"/>
      <c r="C112" s="417"/>
      <c r="D112" s="417"/>
      <c r="E112" s="417"/>
      <c r="F112" s="417"/>
      <c r="G112" s="417"/>
      <c r="H112" s="417"/>
    </row>
    <row r="113" spans="1:8" ht="11.25">
      <c r="A113" s="417"/>
      <c r="B113" s="417"/>
      <c r="C113" s="417"/>
      <c r="D113" s="417"/>
      <c r="E113" s="417"/>
      <c r="F113" s="417"/>
      <c r="G113" s="417"/>
      <c r="H113" s="417"/>
    </row>
    <row r="114" spans="1:8" ht="11.25">
      <c r="A114" s="417"/>
      <c r="B114" s="417"/>
      <c r="C114" s="417"/>
      <c r="D114" s="417"/>
      <c r="E114" s="417"/>
      <c r="F114" s="417"/>
      <c r="G114" s="417"/>
      <c r="H114" s="417"/>
    </row>
    <row r="115" spans="1:8" ht="11.25">
      <c r="A115" s="417"/>
      <c r="B115" s="417"/>
      <c r="C115" s="417"/>
      <c r="D115" s="417"/>
      <c r="E115" s="417"/>
      <c r="F115" s="417"/>
      <c r="G115" s="417"/>
      <c r="H115" s="417"/>
    </row>
    <row r="116" spans="1:8" ht="11.25">
      <c r="A116" s="417"/>
      <c r="B116" s="417"/>
      <c r="C116" s="417"/>
      <c r="D116" s="417"/>
      <c r="E116" s="417"/>
      <c r="F116" s="417"/>
      <c r="G116" s="417"/>
      <c r="H116" s="417"/>
    </row>
    <row r="117" spans="1:8" ht="11.25">
      <c r="A117" s="417"/>
      <c r="B117" s="417"/>
      <c r="C117" s="417"/>
      <c r="D117" s="417"/>
      <c r="E117" s="417"/>
      <c r="F117" s="417"/>
      <c r="G117" s="417"/>
      <c r="H117" s="417"/>
    </row>
    <row r="118" spans="1:8" ht="11.25">
      <c r="A118" s="417"/>
      <c r="B118" s="417"/>
      <c r="C118" s="417"/>
      <c r="D118" s="417"/>
      <c r="E118" s="417"/>
      <c r="F118" s="417"/>
      <c r="G118" s="417"/>
      <c r="H118" s="417"/>
    </row>
    <row r="119" spans="1:8" ht="11.25">
      <c r="A119" s="417"/>
      <c r="B119" s="417"/>
      <c r="C119" s="417"/>
      <c r="D119" s="417"/>
      <c r="E119" s="417"/>
      <c r="F119" s="417"/>
      <c r="G119" s="417"/>
      <c r="H119" s="417"/>
    </row>
    <row r="120" spans="1:8" ht="11.25">
      <c r="A120" s="417"/>
      <c r="B120" s="417"/>
      <c r="C120" s="417"/>
      <c r="D120" s="417"/>
      <c r="E120" s="417"/>
      <c r="F120" s="417"/>
      <c r="G120" s="417"/>
      <c r="H120" s="417"/>
    </row>
    <row r="121" spans="1:8" ht="11.25">
      <c r="A121" s="417"/>
      <c r="B121" s="417"/>
      <c r="C121" s="417"/>
      <c r="D121" s="417"/>
      <c r="E121" s="417"/>
      <c r="F121" s="417"/>
      <c r="G121" s="417"/>
      <c r="H121" s="417"/>
    </row>
    <row r="122" spans="1:8" ht="11.25">
      <c r="A122" s="417"/>
      <c r="B122" s="417"/>
      <c r="C122" s="417"/>
      <c r="D122" s="417"/>
      <c r="E122" s="417"/>
      <c r="F122" s="417"/>
      <c r="G122" s="417"/>
      <c r="H122" s="417"/>
    </row>
    <row r="123" spans="1:8" ht="11.25">
      <c r="A123" s="417"/>
      <c r="B123" s="417"/>
      <c r="C123" s="417"/>
      <c r="D123" s="417"/>
      <c r="E123" s="417"/>
      <c r="F123" s="417"/>
      <c r="G123" s="417"/>
      <c r="H123" s="417"/>
    </row>
    <row r="124" spans="1:8" ht="11.25">
      <c r="A124" s="417"/>
      <c r="B124" s="417"/>
      <c r="C124" s="417"/>
      <c r="D124" s="417"/>
      <c r="E124" s="417"/>
      <c r="F124" s="417"/>
      <c r="G124" s="417"/>
      <c r="H124" s="417"/>
    </row>
    <row r="125" spans="1:8" ht="11.25">
      <c r="A125" s="417"/>
      <c r="B125" s="417"/>
      <c r="C125" s="417"/>
      <c r="D125" s="417"/>
      <c r="E125" s="417"/>
      <c r="F125" s="417"/>
      <c r="G125" s="417"/>
      <c r="H125" s="417"/>
    </row>
  </sheetData>
  <printOptions horizontalCentered="1"/>
  <pageMargins left="0.5" right="0.5" top="0.75" bottom="0.5" header="0.3" footer="0.3"/>
  <pageSetup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I17"/>
  <sheetViews>
    <sheetView zoomScaleNormal="100" zoomScaleSheetLayoutView="100" workbookViewId="0">
      <selection activeCell="F16" sqref="F16"/>
    </sheetView>
  </sheetViews>
  <sheetFormatPr defaultColWidth="8.6640625" defaultRowHeight="10.5"/>
  <cols>
    <col min="1" max="8" width="12.6640625" customWidth="1"/>
  </cols>
  <sheetData>
    <row r="1" spans="1:9" ht="12.75">
      <c r="A1" s="1303" t="str">
        <f>'General Headers Index'!B4</f>
        <v>COLUMBIA GAS OF KENTUCKY, INC.</v>
      </c>
      <c r="B1" s="1303"/>
      <c r="C1" s="1303"/>
      <c r="D1" s="1303"/>
      <c r="E1" s="1303"/>
      <c r="F1" s="1303"/>
      <c r="G1" s="1303"/>
      <c r="H1" s="1303"/>
      <c r="I1" s="7"/>
    </row>
    <row r="2" spans="1:9" ht="12.75">
      <c r="A2" s="1303" t="str">
        <f>'General Headers Index'!B6</f>
        <v>CASE NO. 2024 - 00092</v>
      </c>
      <c r="B2" s="1303"/>
      <c r="C2" s="1303"/>
      <c r="D2" s="1303"/>
      <c r="E2" s="1303"/>
      <c r="F2" s="1303"/>
      <c r="G2" s="1303"/>
      <c r="H2" s="1303"/>
      <c r="I2" s="7"/>
    </row>
    <row r="3" spans="1:9" ht="12.75">
      <c r="A3" s="1303" t="s">
        <v>1044</v>
      </c>
      <c r="B3" s="1303"/>
      <c r="C3" s="1303"/>
      <c r="D3" s="1303"/>
      <c r="E3" s="1303"/>
      <c r="F3" s="1303"/>
      <c r="G3" s="1303"/>
      <c r="H3" s="1303"/>
      <c r="I3" s="7"/>
    </row>
    <row r="4" spans="1:9" ht="12.75">
      <c r="A4" s="1303" t="str">
        <f>'General Headers Index'!B15</f>
        <v>FOR THE TWELVE MONTHS ENDED DECEMBER 31, 2025</v>
      </c>
      <c r="B4" s="1303"/>
      <c r="C4" s="1303"/>
      <c r="D4" s="1303"/>
      <c r="E4" s="1303"/>
      <c r="F4" s="1303"/>
      <c r="G4" s="1303"/>
      <c r="H4" s="1303"/>
      <c r="I4" s="7"/>
    </row>
    <row r="5" spans="1:9" ht="12.75">
      <c r="A5" s="5"/>
      <c r="B5" s="5"/>
      <c r="C5" s="5"/>
      <c r="D5" s="5"/>
      <c r="E5" s="5"/>
      <c r="F5" s="5"/>
      <c r="G5" s="5"/>
      <c r="H5" s="5"/>
      <c r="I5" s="7"/>
    </row>
    <row r="6" spans="1:9" ht="12.75">
      <c r="A6" s="5"/>
      <c r="B6" s="5"/>
      <c r="C6" s="5"/>
      <c r="D6" s="5"/>
      <c r="E6" s="5"/>
      <c r="F6" s="5"/>
      <c r="G6" s="5"/>
      <c r="H6" s="5"/>
      <c r="I6" s="7"/>
    </row>
    <row r="7" spans="1:9" ht="12.75">
      <c r="A7" s="4" t="s">
        <v>1486</v>
      </c>
      <c r="B7" s="5"/>
      <c r="C7" s="5"/>
      <c r="D7" s="5"/>
      <c r="E7" s="5"/>
      <c r="F7" s="5"/>
      <c r="G7" s="7"/>
      <c r="H7" s="23" t="s">
        <v>1049</v>
      </c>
      <c r="I7" s="7"/>
    </row>
    <row r="8" spans="1:9" ht="12.75">
      <c r="A8" s="4" t="str">
        <f>'General Headers Index'!B37</f>
        <v>TYPE OF FILING:___X___ORIGINAL______UPDATED</v>
      </c>
      <c r="B8" s="5"/>
      <c r="C8" s="5"/>
      <c r="D8" s="5"/>
      <c r="E8" s="5"/>
      <c r="F8" s="5"/>
      <c r="G8" s="7"/>
      <c r="H8" s="23" t="s">
        <v>722</v>
      </c>
      <c r="I8" s="7"/>
    </row>
    <row r="9" spans="1:9" ht="12.75">
      <c r="A9" s="1155" t="s">
        <v>522</v>
      </c>
      <c r="B9" s="1156"/>
      <c r="C9" s="1156"/>
      <c r="D9" s="1156"/>
      <c r="E9" s="1156"/>
      <c r="F9" s="1157"/>
      <c r="G9" s="1158"/>
      <c r="H9" s="1159" t="str">
        <f>"WITNESS: "&amp;'General Headers Index'!B77</f>
        <v>WITNESS: COOPER</v>
      </c>
      <c r="I9" s="7"/>
    </row>
    <row r="10" spans="1:9" ht="12.75">
      <c r="A10" s="5"/>
      <c r="B10" s="5"/>
      <c r="C10" s="5"/>
      <c r="D10" s="5"/>
      <c r="E10" s="5"/>
      <c r="F10" s="5"/>
      <c r="G10" s="5"/>
      <c r="H10" s="5"/>
      <c r="I10" s="7"/>
    </row>
    <row r="11" spans="1:9" ht="12.75">
      <c r="A11" s="5"/>
      <c r="B11" s="5"/>
      <c r="C11" s="5"/>
      <c r="D11" s="5"/>
      <c r="E11" s="5"/>
      <c r="F11" s="5"/>
      <c r="G11" s="5"/>
      <c r="H11" s="5"/>
      <c r="I11" s="7"/>
    </row>
    <row r="12" spans="1:9" ht="12.75">
      <c r="A12" s="1303" t="s">
        <v>1342</v>
      </c>
      <c r="B12" s="1303"/>
      <c r="C12" s="1303"/>
      <c r="D12" s="1303"/>
      <c r="E12" s="1303"/>
      <c r="F12" s="1303"/>
      <c r="G12" s="1303"/>
      <c r="H12" s="1303"/>
      <c r="I12" s="7"/>
    </row>
    <row r="13" spans="1:9" ht="12.75">
      <c r="A13" s="5"/>
      <c r="B13" s="5"/>
      <c r="C13" s="5"/>
      <c r="D13" s="5"/>
      <c r="E13" s="5"/>
      <c r="F13" s="5"/>
      <c r="G13" s="5"/>
      <c r="H13" s="5"/>
      <c r="I13" s="7"/>
    </row>
    <row r="14" spans="1:9" ht="12.75">
      <c r="A14" s="5"/>
      <c r="B14" s="5"/>
      <c r="C14" s="5"/>
      <c r="D14" s="5"/>
      <c r="E14" s="5"/>
      <c r="F14" s="5"/>
      <c r="G14" s="5"/>
      <c r="H14" s="5"/>
      <c r="I14" s="7"/>
    </row>
    <row r="15" spans="1:9" ht="11.25">
      <c r="A15" s="7"/>
      <c r="B15" s="7"/>
      <c r="C15" s="7"/>
      <c r="D15" s="7"/>
      <c r="E15" s="7"/>
      <c r="F15" s="7"/>
      <c r="G15" s="7"/>
      <c r="H15" s="7"/>
      <c r="I15" s="7"/>
    </row>
    <row r="16" spans="1:9" ht="11.25">
      <c r="A16" s="7"/>
      <c r="B16" s="7"/>
      <c r="C16" s="7"/>
      <c r="D16" s="7"/>
      <c r="E16" s="7"/>
      <c r="F16" s="7"/>
      <c r="G16" s="7"/>
      <c r="H16" s="7"/>
      <c r="I16" s="7"/>
    </row>
    <row r="17" spans="1:9" ht="11.25">
      <c r="A17" s="7"/>
      <c r="B17" s="7"/>
      <c r="C17" s="7"/>
      <c r="D17" s="7"/>
      <c r="E17" s="7"/>
      <c r="F17" s="7"/>
      <c r="G17" s="7"/>
      <c r="H17" s="7"/>
      <c r="I17" s="7"/>
    </row>
  </sheetData>
  <mergeCells count="5">
    <mergeCell ref="A1:H1"/>
    <mergeCell ref="A2:H2"/>
    <mergeCell ref="A3:H3"/>
    <mergeCell ref="A4:H4"/>
    <mergeCell ref="A12:H12"/>
  </mergeCells>
  <printOptions horizontalCentered="1"/>
  <pageMargins left="0.5" right="0.5" top="0.75" bottom="0.5" header="0.3" footer="0.3"/>
  <pageSetup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E26"/>
  <sheetViews>
    <sheetView zoomScaleNormal="100" zoomScaleSheetLayoutView="100" workbookViewId="0">
      <selection activeCell="A7" sqref="A7:C7"/>
    </sheetView>
  </sheetViews>
  <sheetFormatPr defaultColWidth="9.6640625" defaultRowHeight="10.5"/>
  <cols>
    <col min="1" max="1" width="25.6640625" style="1160" customWidth="1"/>
    <col min="2" max="2" width="2.83203125" style="1160" customWidth="1"/>
    <col min="3" max="3" width="84.5" style="1160" customWidth="1"/>
    <col min="4" max="11" width="9.6640625" style="1160"/>
    <col min="12" max="12" width="1.6640625" style="1160" customWidth="1"/>
    <col min="13" max="13" width="7.6640625" style="1160" customWidth="1"/>
    <col min="14" max="14" width="6.6640625" style="1160" customWidth="1"/>
    <col min="15" max="16384" width="9.6640625" style="1160"/>
  </cols>
  <sheetData>
    <row r="1" spans="1:5" ht="12.75">
      <c r="A1" s="8" t="s">
        <v>579</v>
      </c>
      <c r="B1" s="9"/>
      <c r="C1" s="9"/>
    </row>
    <row r="2" spans="1:5" ht="12.75">
      <c r="A2" s="9"/>
      <c r="B2" s="9"/>
      <c r="C2" s="9"/>
    </row>
    <row r="3" spans="1:5" ht="12.75">
      <c r="A3" s="1358" t="s">
        <v>1050</v>
      </c>
      <c r="B3" s="1358"/>
      <c r="C3" s="1358"/>
    </row>
    <row r="4" spans="1:5" ht="12.75">
      <c r="A4" s="9"/>
      <c r="B4" s="9"/>
      <c r="C4" s="9"/>
    </row>
    <row r="5" spans="1:5" ht="12.75">
      <c r="A5" s="1358" t="s">
        <v>1051</v>
      </c>
      <c r="B5" s="1358"/>
      <c r="C5" s="1358"/>
    </row>
    <row r="6" spans="1:5" ht="12.75">
      <c r="A6" s="9"/>
      <c r="B6" s="9"/>
      <c r="C6" s="9"/>
    </row>
    <row r="7" spans="1:5" ht="12.75">
      <c r="A7" s="1358" t="str">
        <f>'General Headers Index'!B4</f>
        <v>COLUMBIA GAS OF KENTUCKY, INC.</v>
      </c>
      <c r="B7" s="1358"/>
      <c r="C7" s="1358"/>
    </row>
    <row r="8" spans="1:5" ht="12.75">
      <c r="A8" s="9"/>
      <c r="B8" s="9"/>
      <c r="C8" s="9"/>
    </row>
    <row r="9" spans="1:5" ht="12.75">
      <c r="A9" s="1358" t="str">
        <f>'General Headers Index'!B6</f>
        <v>CASE NO. 2024 - 00092</v>
      </c>
      <c r="B9" s="1358"/>
      <c r="C9" s="1358"/>
    </row>
    <row r="10" spans="1:5" ht="12.75">
      <c r="A10" s="9"/>
      <c r="B10" s="9"/>
      <c r="C10" s="9"/>
    </row>
    <row r="11" spans="1:5" ht="12.75">
      <c r="A11" s="9"/>
      <c r="B11" s="9"/>
      <c r="C11" s="9"/>
    </row>
    <row r="12" spans="1:5" ht="12.75">
      <c r="A12" s="9"/>
      <c r="B12" s="9"/>
      <c r="C12" s="9"/>
    </row>
    <row r="13" spans="1:5" ht="12.75">
      <c r="A13" s="10" t="s">
        <v>683</v>
      </c>
      <c r="B13" s="9"/>
      <c r="C13" s="9" t="str">
        <f>'General Headers Index'!B8</f>
        <v>FOR THE TWELVE MONTHS ENDED AUGUST 31, 2024</v>
      </c>
      <c r="D13" s="9"/>
      <c r="E13" s="9"/>
    </row>
    <row r="14" spans="1:5" ht="12.75">
      <c r="A14" s="9"/>
      <c r="B14" s="9"/>
      <c r="C14" s="9"/>
    </row>
    <row r="15" spans="1:5" ht="12.75">
      <c r="A15" s="10" t="s">
        <v>684</v>
      </c>
      <c r="B15" s="9"/>
      <c r="C15" s="9" t="str">
        <f>'General Headers Index'!B15</f>
        <v>FOR THE TWELVE MONTHS ENDED DECEMBER 31, 2025</v>
      </c>
    </row>
    <row r="16" spans="1:5" ht="12.75">
      <c r="A16" s="9"/>
      <c r="B16" s="9"/>
      <c r="C16" s="9"/>
    </row>
    <row r="17" spans="1:3" ht="12.75">
      <c r="A17" s="9"/>
      <c r="B17" s="9"/>
      <c r="C17" s="9"/>
    </row>
    <row r="18" spans="1:3" ht="12.75">
      <c r="A18" s="2" t="s">
        <v>314</v>
      </c>
      <c r="B18" s="3"/>
      <c r="C18" s="2" t="s">
        <v>451</v>
      </c>
    </row>
    <row r="19" spans="1:3" ht="12.75">
      <c r="A19" s="9"/>
      <c r="B19" s="9"/>
      <c r="C19" s="9"/>
    </row>
    <row r="20" spans="1:3" ht="12.75">
      <c r="A20" s="9"/>
      <c r="B20" s="9"/>
      <c r="C20" s="9"/>
    </row>
    <row r="21" spans="1:3" ht="12.75">
      <c r="A21" s="10" t="s">
        <v>1052</v>
      </c>
      <c r="B21" s="9"/>
      <c r="C21" s="10" t="s">
        <v>1053</v>
      </c>
    </row>
    <row r="22" spans="1:3" ht="12.75">
      <c r="A22" s="10" t="s">
        <v>1054</v>
      </c>
      <c r="B22" s="9"/>
      <c r="C22" s="10" t="s">
        <v>1055</v>
      </c>
    </row>
    <row r="23" spans="1:3" ht="12.75">
      <c r="A23" s="10" t="s">
        <v>1056</v>
      </c>
      <c r="B23" s="9"/>
      <c r="C23" s="10" t="s">
        <v>1057</v>
      </c>
    </row>
    <row r="24" spans="1:3" ht="12.75">
      <c r="A24" s="10" t="s">
        <v>1058</v>
      </c>
      <c r="B24" s="9"/>
      <c r="C24" s="10" t="s">
        <v>1059</v>
      </c>
    </row>
    <row r="25" spans="1:3" ht="12.75">
      <c r="A25" s="10" t="s">
        <v>1060</v>
      </c>
      <c r="B25" s="9"/>
      <c r="C25" s="10" t="s">
        <v>1061</v>
      </c>
    </row>
    <row r="26" spans="1:3" ht="12.75">
      <c r="A26" s="9"/>
      <c r="B26" s="9"/>
      <c r="C26" s="9"/>
    </row>
  </sheetData>
  <mergeCells count="4">
    <mergeCell ref="A3:C3"/>
    <mergeCell ref="A5:C5"/>
    <mergeCell ref="A7:C7"/>
    <mergeCell ref="A9:C9"/>
  </mergeCells>
  <printOptions horizontalCentered="1"/>
  <pageMargins left="0.5" right="0.5" top="0.75" bottom="0.5" header="0.3" footer="0.3"/>
  <pageSetup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7319-C348-45B5-BA96-98CBC0E5498A}">
  <dimension ref="A1:J17"/>
  <sheetViews>
    <sheetView workbookViewId="0">
      <selection activeCell="K33" sqref="K33"/>
    </sheetView>
  </sheetViews>
  <sheetFormatPr defaultColWidth="8.6640625" defaultRowHeight="10.5"/>
  <cols>
    <col min="1" max="9" width="12.6640625" customWidth="1"/>
  </cols>
  <sheetData>
    <row r="1" spans="1:10" ht="12.75">
      <c r="A1" s="1303" t="str">
        <f>'General Headers Index'!B4</f>
        <v>COLUMBIA GAS OF KENTUCKY, INC.</v>
      </c>
      <c r="B1" s="1303"/>
      <c r="C1" s="1303"/>
      <c r="D1" s="1303"/>
      <c r="E1" s="1303"/>
      <c r="F1" s="1303"/>
      <c r="G1" s="1303"/>
      <c r="H1" s="1303"/>
      <c r="I1" s="1303"/>
      <c r="J1" s="7"/>
    </row>
    <row r="2" spans="1:10" ht="12.75">
      <c r="A2" s="1303" t="str">
        <f>'General Headers Index'!B6</f>
        <v>CASE NO. 2024 - 00092</v>
      </c>
      <c r="B2" s="1303"/>
      <c r="C2" s="1303"/>
      <c r="D2" s="1303"/>
      <c r="E2" s="1303"/>
      <c r="F2" s="1303"/>
      <c r="G2" s="1303"/>
      <c r="H2" s="1303"/>
      <c r="I2" s="1303"/>
      <c r="J2" s="7"/>
    </row>
    <row r="3" spans="1:10" ht="12.75">
      <c r="A3" s="1303" t="s">
        <v>3118</v>
      </c>
      <c r="B3" s="1303"/>
      <c r="C3" s="1303"/>
      <c r="D3" s="1303"/>
      <c r="E3" s="1303"/>
      <c r="F3" s="1303"/>
      <c r="G3" s="1303"/>
      <c r="H3" s="1303"/>
      <c r="I3" s="1303"/>
      <c r="J3" s="7"/>
    </row>
    <row r="4" spans="1:10" ht="12.75">
      <c r="A4" s="1303" t="str">
        <f>'General Headers Index'!B15</f>
        <v>FOR THE TWELVE MONTHS ENDED DECEMBER 31, 2025</v>
      </c>
      <c r="B4" s="1303"/>
      <c r="C4" s="1303"/>
      <c r="D4" s="1303"/>
      <c r="E4" s="1303"/>
      <c r="F4" s="1303"/>
      <c r="G4" s="1303"/>
      <c r="H4" s="1303"/>
      <c r="I4" s="1303"/>
      <c r="J4" s="7"/>
    </row>
    <row r="5" spans="1:10" ht="12.75">
      <c r="A5" s="5"/>
      <c r="B5" s="5"/>
      <c r="C5" s="5"/>
      <c r="D5" s="5"/>
      <c r="E5" s="5"/>
      <c r="F5" s="5"/>
      <c r="G5" s="5"/>
      <c r="H5" s="5"/>
      <c r="I5" s="5"/>
      <c r="J5" s="7"/>
    </row>
    <row r="6" spans="1:10" ht="12.75">
      <c r="A6" s="5"/>
      <c r="B6" s="5"/>
      <c r="C6" s="5"/>
      <c r="D6" s="5"/>
      <c r="E6" s="5"/>
      <c r="F6" s="5"/>
      <c r="G6" s="5"/>
      <c r="H6" s="5"/>
      <c r="I6" s="5"/>
      <c r="J6" s="7"/>
    </row>
    <row r="7" spans="1:10" ht="12.75">
      <c r="A7" s="4" t="s">
        <v>1485</v>
      </c>
      <c r="B7" s="5"/>
      <c r="C7" s="5"/>
      <c r="D7" s="5"/>
      <c r="E7" s="5"/>
      <c r="F7" s="5"/>
      <c r="G7" s="5"/>
      <c r="H7" s="7"/>
      <c r="I7" s="23" t="s">
        <v>3119</v>
      </c>
      <c r="J7" s="7"/>
    </row>
    <row r="8" spans="1:10" ht="12.75">
      <c r="A8" s="4" t="str">
        <f>'General Headers Index'!B37</f>
        <v>TYPE OF FILING:___X___ORIGINAL______UPDATED</v>
      </c>
      <c r="B8" s="5"/>
      <c r="C8" s="5"/>
      <c r="D8" s="5"/>
      <c r="E8" s="5"/>
      <c r="F8" s="5"/>
      <c r="G8" s="5"/>
      <c r="H8" s="7"/>
      <c r="I8" s="23" t="s">
        <v>722</v>
      </c>
      <c r="J8" s="7"/>
    </row>
    <row r="9" spans="1:10" ht="12.75">
      <c r="A9" s="1155" t="s">
        <v>522</v>
      </c>
      <c r="B9" s="1156"/>
      <c r="C9" s="1156"/>
      <c r="D9" s="1156"/>
      <c r="E9" s="1156"/>
      <c r="F9" s="5"/>
      <c r="G9" s="1157"/>
      <c r="H9" s="1158"/>
      <c r="I9" s="1159" t="str">
        <f>"WITNESS: "&amp;'General Headers Index'!B78</f>
        <v>WITNESS: WOZNIAK</v>
      </c>
      <c r="J9" s="7"/>
    </row>
    <row r="10" spans="1:10" ht="12.75">
      <c r="A10" s="5"/>
      <c r="B10" s="5"/>
      <c r="C10" s="5"/>
      <c r="D10" s="5"/>
      <c r="E10" s="5"/>
      <c r="F10" s="5"/>
      <c r="G10" s="5"/>
      <c r="H10" s="5"/>
      <c r="I10" s="5"/>
      <c r="J10" s="7"/>
    </row>
    <row r="11" spans="1:10" ht="12.75">
      <c r="A11" s="5"/>
      <c r="B11" s="5"/>
      <c r="C11" s="5"/>
      <c r="D11" s="5"/>
      <c r="E11" s="5"/>
      <c r="F11" s="5"/>
      <c r="G11" s="5"/>
      <c r="H11" s="5"/>
      <c r="I11" s="5"/>
      <c r="J11" s="7"/>
    </row>
    <row r="12" spans="1:10" ht="12.75">
      <c r="A12" s="1303" t="s">
        <v>3120</v>
      </c>
      <c r="B12" s="1303"/>
      <c r="C12" s="1303"/>
      <c r="D12" s="1303"/>
      <c r="E12" s="1303"/>
      <c r="F12" s="1303"/>
      <c r="G12" s="1303"/>
      <c r="H12" s="1303"/>
      <c r="I12" s="1303"/>
      <c r="J12" s="7"/>
    </row>
    <row r="13" spans="1:10" ht="12.75">
      <c r="A13" s="5"/>
      <c r="B13" s="5"/>
      <c r="C13" s="5"/>
      <c r="D13" s="5"/>
      <c r="E13" s="5"/>
      <c r="F13" s="5"/>
      <c r="G13" s="5"/>
      <c r="H13" s="5"/>
      <c r="I13" s="5"/>
      <c r="J13" s="7"/>
    </row>
    <row r="14" spans="1:10" ht="12.75">
      <c r="A14" s="5"/>
      <c r="B14" s="5"/>
      <c r="C14" s="5"/>
      <c r="D14" s="5"/>
      <c r="E14" s="5"/>
      <c r="F14" s="5"/>
      <c r="G14" s="5"/>
      <c r="H14" s="5"/>
      <c r="I14" s="5"/>
      <c r="J14" s="7"/>
    </row>
    <row r="15" spans="1:10" ht="11.25">
      <c r="A15" s="7"/>
      <c r="B15" s="7"/>
      <c r="C15" s="7"/>
      <c r="D15" s="7"/>
      <c r="E15" s="7"/>
      <c r="F15" s="7"/>
      <c r="G15" s="7"/>
      <c r="H15" s="7"/>
      <c r="I15" s="7"/>
      <c r="J15" s="7"/>
    </row>
    <row r="16" spans="1:10" ht="11.25">
      <c r="A16" s="7"/>
      <c r="B16" s="7"/>
      <c r="C16" s="7"/>
      <c r="D16" s="7"/>
      <c r="E16" s="7"/>
      <c r="F16" s="7"/>
      <c r="G16" s="7"/>
      <c r="H16" s="7"/>
      <c r="I16" s="7"/>
      <c r="J16" s="7"/>
    </row>
    <row r="17" spans="1:10" ht="11.25">
      <c r="A17" s="7"/>
      <c r="B17" s="7"/>
      <c r="C17" s="7"/>
      <c r="D17" s="7"/>
      <c r="E17" s="7"/>
      <c r="F17" s="7"/>
      <c r="G17" s="7"/>
      <c r="H17" s="7"/>
      <c r="I17" s="7"/>
      <c r="J17" s="7"/>
    </row>
  </sheetData>
  <mergeCells count="5">
    <mergeCell ref="A1:I1"/>
    <mergeCell ref="A2:I2"/>
    <mergeCell ref="A3:I3"/>
    <mergeCell ref="A4:I4"/>
    <mergeCell ref="A12:I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46"/>
  <sheetViews>
    <sheetView topLeftCell="A5" zoomScaleNormal="100" zoomScaleSheetLayoutView="96" workbookViewId="0">
      <selection activeCell="A3" sqref="A3"/>
    </sheetView>
  </sheetViews>
  <sheetFormatPr defaultRowHeight="10.5"/>
  <cols>
    <col min="1" max="1" width="7.6640625" customWidth="1"/>
    <col min="2" max="2" width="63.6640625" bestFit="1" customWidth="1"/>
    <col min="3" max="3" width="2.5" customWidth="1"/>
    <col min="4" max="4" width="16" bestFit="1" customWidth="1"/>
    <col min="6" max="6" width="20.6640625" bestFit="1" customWidth="1"/>
    <col min="8" max="8" width="14" bestFit="1" customWidth="1"/>
    <col min="10" max="10" width="20.6640625" bestFit="1" customWidth="1"/>
  </cols>
  <sheetData>
    <row r="1" spans="1:10" ht="12.75">
      <c r="A1" s="238" t="str">
        <f>'General Headers Index'!B4</f>
        <v>COLUMBIA GAS OF KENTUCKY, INC.</v>
      </c>
      <c r="B1" s="238"/>
      <c r="C1" s="238"/>
      <c r="D1" s="238"/>
      <c r="E1" s="238"/>
      <c r="F1" s="238"/>
      <c r="G1" s="238"/>
      <c r="H1" s="238"/>
      <c r="I1" s="238"/>
      <c r="J1" s="238"/>
    </row>
    <row r="2" spans="1:10" ht="12.75">
      <c r="A2" s="238" t="str">
        <f>'General Headers Index'!B6</f>
        <v>CASE NO. 2024 - 00092</v>
      </c>
      <c r="B2" s="238"/>
      <c r="C2" s="238"/>
      <c r="D2" s="238"/>
      <c r="E2" s="238"/>
      <c r="F2" s="238"/>
      <c r="G2" s="238"/>
      <c r="H2" s="238"/>
      <c r="I2" s="238"/>
      <c r="J2" s="238"/>
    </row>
    <row r="3" spans="1:10" ht="12.75">
      <c r="A3" s="238" t="str">
        <f>'Index B'!$C$20</f>
        <v>RATE BASE SUMMARY - JURISDICTIONAL</v>
      </c>
      <c r="B3" s="238"/>
      <c r="C3" s="238"/>
      <c r="D3" s="238"/>
      <c r="E3" s="238"/>
      <c r="F3" s="238"/>
      <c r="G3" s="238"/>
      <c r="H3" s="238"/>
      <c r="I3" s="238"/>
      <c r="J3" s="238"/>
    </row>
    <row r="4" spans="1:10" ht="12.75">
      <c r="A4" s="238" t="str">
        <f>'General Headers Index'!B10</f>
        <v>AS OF AUGUST 31, 2024</v>
      </c>
      <c r="B4" s="238"/>
      <c r="C4" s="238"/>
      <c r="D4" s="238"/>
      <c r="E4" s="238"/>
      <c r="F4" s="238"/>
      <c r="G4" s="238"/>
      <c r="H4" s="238"/>
      <c r="I4" s="238"/>
      <c r="J4" s="238"/>
    </row>
    <row r="5" spans="1:10" ht="12.75">
      <c r="F5" s="217"/>
      <c r="H5" s="217"/>
      <c r="J5" s="217"/>
    </row>
    <row r="6" spans="1:10" ht="12.75">
      <c r="A6" s="229" t="s">
        <v>2787</v>
      </c>
      <c r="J6" s="326" t="s">
        <v>308</v>
      </c>
    </row>
    <row r="7" spans="1:10" ht="12.75">
      <c r="A7" s="229" t="str">
        <f>'General Headers Index'!$B$37</f>
        <v>TYPE OF FILING:___X___ORIGINAL______UPDATED</v>
      </c>
      <c r="J7" s="326" t="s">
        <v>309</v>
      </c>
    </row>
    <row r="8" spans="1:10" ht="12.75">
      <c r="A8" s="229" t="s">
        <v>575</v>
      </c>
      <c r="J8" s="326" t="str">
        <f>"WITNESS: "&amp;'General Headers Index'!B42</f>
        <v>WITNESS: GORE</v>
      </c>
    </row>
    <row r="9" spans="1:10" ht="12.75">
      <c r="A9" s="833"/>
      <c r="B9" s="833"/>
      <c r="C9" s="833"/>
      <c r="D9" s="833"/>
      <c r="E9" s="833"/>
      <c r="F9" s="833"/>
      <c r="G9" s="833"/>
      <c r="H9" s="833"/>
      <c r="I9" s="833"/>
      <c r="J9" s="833"/>
    </row>
    <row r="10" spans="1:10" ht="12.75">
      <c r="A10" s="220"/>
      <c r="B10" s="220"/>
      <c r="C10" s="220"/>
      <c r="D10" s="217" t="s">
        <v>311</v>
      </c>
      <c r="E10" s="220"/>
      <c r="F10" s="220"/>
      <c r="G10" s="220"/>
      <c r="H10" s="220"/>
      <c r="I10" s="220"/>
      <c r="J10" s="217" t="s">
        <v>1573</v>
      </c>
    </row>
    <row r="11" spans="1:10" ht="12.75">
      <c r="A11" s="217" t="s">
        <v>313</v>
      </c>
      <c r="B11" s="220"/>
      <c r="C11" s="220"/>
      <c r="D11" s="217" t="s">
        <v>314</v>
      </c>
      <c r="E11" s="220"/>
      <c r="F11" s="217" t="s">
        <v>371</v>
      </c>
      <c r="G11" s="220"/>
      <c r="H11" s="300" t="s">
        <v>2089</v>
      </c>
      <c r="I11" s="220"/>
      <c r="J11" s="217" t="s">
        <v>371</v>
      </c>
    </row>
    <row r="12" spans="1:10" ht="12.75">
      <c r="A12" s="327" t="s">
        <v>316</v>
      </c>
      <c r="B12" s="327" t="s">
        <v>317</v>
      </c>
      <c r="C12" s="299"/>
      <c r="D12" s="327" t="s">
        <v>318</v>
      </c>
      <c r="E12" s="299"/>
      <c r="F12" s="333" t="s">
        <v>502</v>
      </c>
      <c r="G12" s="299"/>
      <c r="H12" s="333" t="s">
        <v>1574</v>
      </c>
      <c r="I12" s="299"/>
      <c r="J12" s="333" t="s">
        <v>1575</v>
      </c>
    </row>
    <row r="13" spans="1:10" ht="12.75">
      <c r="A13" s="217"/>
      <c r="B13" s="229"/>
      <c r="C13" s="220"/>
      <c r="D13" s="217"/>
      <c r="E13" s="220"/>
      <c r="F13" s="334" t="str">
        <f>"(1)"</f>
        <v>(1)</v>
      </c>
      <c r="G13" s="220"/>
      <c r="H13" s="334" t="str">
        <f>"(2)"</f>
        <v>(2)</v>
      </c>
      <c r="I13" s="220"/>
      <c r="J13" s="336" t="s">
        <v>2633</v>
      </c>
    </row>
    <row r="14" spans="1:10" ht="12.75">
      <c r="F14" s="217" t="s">
        <v>320</v>
      </c>
      <c r="H14" s="217" t="s">
        <v>320</v>
      </c>
      <c r="J14" s="217" t="s">
        <v>320</v>
      </c>
    </row>
    <row r="15" spans="1:10" ht="12.75">
      <c r="F15" s="217"/>
      <c r="H15" s="217"/>
      <c r="J15" s="217"/>
    </row>
    <row r="16" spans="1:10" ht="12.75">
      <c r="A16" s="217">
        <f>IF(ISBLANK($B16),"",COUNTA($B$16:B16))</f>
        <v>1</v>
      </c>
      <c r="B16" s="229" t="s">
        <v>322</v>
      </c>
      <c r="D16" s="217" t="s">
        <v>323</v>
      </c>
      <c r="F16" s="1168">
        <f>'WPB-2.1.B Summary'!F150</f>
        <v>813363317.39681053</v>
      </c>
      <c r="G16" s="1168"/>
      <c r="H16" s="1168">
        <f>'WPB-2.1.B Summary'!F93</f>
        <v>60278460.73408556</v>
      </c>
      <c r="I16" s="1169"/>
      <c r="J16" s="1168">
        <f>'B-2 p.1 Grouping (Base)'!I33</f>
        <v>753084856.66272485</v>
      </c>
    </row>
    <row r="17" spans="1:10" ht="12.75">
      <c r="A17" s="217" t="str">
        <f>IF(ISBLANK($B17),"",COUNTA($B$16:B17))</f>
        <v/>
      </c>
      <c r="F17" s="1168"/>
      <c r="G17" s="1168"/>
      <c r="H17" s="1168"/>
      <c r="I17" s="1169"/>
      <c r="J17" s="1168"/>
    </row>
    <row r="18" spans="1:10" ht="12.75">
      <c r="A18" s="217">
        <f>IF(ISBLANK($B18),"",COUNTA($B$16:B18))</f>
        <v>2</v>
      </c>
      <c r="B18" s="229" t="s">
        <v>325</v>
      </c>
      <c r="D18" s="217" t="s">
        <v>326</v>
      </c>
      <c r="F18" s="1168">
        <v>0</v>
      </c>
      <c r="G18" s="1168"/>
      <c r="H18" s="1168">
        <v>0</v>
      </c>
      <c r="I18" s="1169"/>
      <c r="J18" s="1168">
        <v>0</v>
      </c>
    </row>
    <row r="19" spans="1:10" ht="12.75">
      <c r="A19" s="217" t="str">
        <f>IF(ISBLANK($B19),"",COUNTA($B$16:B19))</f>
        <v/>
      </c>
      <c r="F19" s="1168"/>
      <c r="G19" s="1168"/>
      <c r="H19" s="1168"/>
      <c r="I19" s="1169"/>
      <c r="J19" s="1168"/>
    </row>
    <row r="20" spans="1:10" ht="12.75">
      <c r="A20" s="217">
        <f>IF(ISBLANK($B20),"",COUNTA($B$16:B20))</f>
        <v>3</v>
      </c>
      <c r="B20" s="229" t="s">
        <v>328</v>
      </c>
      <c r="D20" s="217" t="s">
        <v>329</v>
      </c>
      <c r="F20" s="1168">
        <v>0</v>
      </c>
      <c r="G20" s="1168"/>
      <c r="H20" s="1168">
        <v>0</v>
      </c>
      <c r="I20" s="1169"/>
      <c r="J20" s="1168">
        <v>0</v>
      </c>
    </row>
    <row r="21" spans="1:10" ht="12.75">
      <c r="A21" s="217" t="str">
        <f>IF(ISBLANK($B21),"",COUNTA($B$16:B21))</f>
        <v/>
      </c>
      <c r="F21" s="1169"/>
      <c r="G21" s="1169"/>
      <c r="H21" s="1169"/>
      <c r="I21" s="1169"/>
      <c r="J21" s="1168"/>
    </row>
    <row r="22" spans="1:10" ht="12.75">
      <c r="A22" s="217">
        <f>IF(ISBLANK($B22),"",COUNTA($B$16:B22))</f>
        <v>4</v>
      </c>
      <c r="B22" s="229" t="s">
        <v>331</v>
      </c>
      <c r="D22" s="217" t="s">
        <v>332</v>
      </c>
      <c r="F22" s="1170">
        <f>-'WPB-2.1.B Summary'!M150</f>
        <v>-171266499.5976114</v>
      </c>
      <c r="G22" s="1168"/>
      <c r="H22" s="1170">
        <f>-'WPB-2.1.B Summary'!M93</f>
        <v>9273668.4292637352</v>
      </c>
      <c r="I22" s="1168"/>
      <c r="J22" s="1170">
        <f>F22-H22</f>
        <v>-180540168.02687514</v>
      </c>
    </row>
    <row r="23" spans="1:10" ht="12.75">
      <c r="A23" s="217" t="str">
        <f>IF(ISBLANK($B23),"",COUNTA($B$16:B23))</f>
        <v/>
      </c>
      <c r="F23" s="1169"/>
      <c r="G23" s="1169"/>
      <c r="H23" s="1169"/>
      <c r="I23" s="1169"/>
      <c r="J23" s="1168"/>
    </row>
    <row r="24" spans="1:10" ht="12.75">
      <c r="A24" s="217">
        <f>IF(ISBLANK($B24),"",COUNTA($B$16:B24))</f>
        <v>5</v>
      </c>
      <c r="B24" s="229" t="s">
        <v>334</v>
      </c>
      <c r="F24" s="1168">
        <f>SUM(F16:F22)</f>
        <v>642096817.7991991</v>
      </c>
      <c r="G24" s="1169"/>
      <c r="H24" s="1168">
        <f>SUM(H16:H22)</f>
        <v>69552129.163349301</v>
      </c>
      <c r="I24" s="1169"/>
      <c r="J24" s="1168">
        <f>SUM(J16:J22)</f>
        <v>572544688.63584971</v>
      </c>
    </row>
    <row r="25" spans="1:10" ht="12.75">
      <c r="A25" s="217" t="str">
        <f>IF(ISBLANK($B25),"",COUNTA($B$16:B25))</f>
        <v/>
      </c>
      <c r="F25" s="1169"/>
      <c r="G25" s="1169"/>
      <c r="H25" s="1169"/>
      <c r="I25" s="1169"/>
      <c r="J25" s="1168"/>
    </row>
    <row r="26" spans="1:10" ht="12.75">
      <c r="A26" s="217">
        <f>IF(ISBLANK($B26),"",COUNTA($B$16:B26))</f>
        <v>6</v>
      </c>
      <c r="B26" s="229" t="s">
        <v>339</v>
      </c>
      <c r="D26" s="217" t="s">
        <v>343</v>
      </c>
      <c r="F26" s="1168">
        <f>'B-5.2.A CWC (Base)'!K54</f>
        <v>0</v>
      </c>
      <c r="G26" s="1169"/>
      <c r="H26" s="1168">
        <v>0</v>
      </c>
      <c r="I26" s="1169"/>
      <c r="J26" s="1168">
        <f>F26-H26</f>
        <v>0</v>
      </c>
    </row>
    <row r="27" spans="1:10" ht="12.75">
      <c r="A27" s="217" t="str">
        <f>IF(ISBLANK($B27),"",COUNTA($B$16:B27))</f>
        <v/>
      </c>
      <c r="F27" s="1169"/>
      <c r="G27" s="1169"/>
      <c r="H27" s="1168"/>
      <c r="I27" s="1169"/>
      <c r="J27" s="1168"/>
    </row>
    <row r="28" spans="1:10" ht="12.75">
      <c r="A28" s="217">
        <f>IF(ISBLANK($B28),"",COUNTA($B$16:B28))</f>
        <v>7</v>
      </c>
      <c r="B28" s="229" t="s">
        <v>342</v>
      </c>
      <c r="D28" s="217" t="s">
        <v>343</v>
      </c>
      <c r="F28" s="1168">
        <f>+'B-5.1 Working Cap. (Base)'!F22</f>
        <v>38586782.358610742</v>
      </c>
      <c r="G28" s="1168"/>
      <c r="H28" s="1168">
        <v>0</v>
      </c>
      <c r="I28" s="1168"/>
      <c r="J28" s="1168">
        <f>F28-H28</f>
        <v>38586782.358610742</v>
      </c>
    </row>
    <row r="29" spans="1:10" ht="12.75">
      <c r="A29" s="217" t="str">
        <f>IF(ISBLANK($B29),"",COUNTA($B$16:B29))</f>
        <v/>
      </c>
      <c r="B29" s="229"/>
      <c r="D29" s="217"/>
      <c r="F29" s="1168"/>
      <c r="G29" s="1168"/>
      <c r="H29" s="1168"/>
      <c r="I29" s="1168"/>
      <c r="J29" s="1168"/>
    </row>
    <row r="30" spans="1:10" ht="12.75">
      <c r="A30" s="217" t="s">
        <v>2084</v>
      </c>
      <c r="B30" s="229" t="s">
        <v>695</v>
      </c>
      <c r="D30" s="217" t="s">
        <v>2086</v>
      </c>
      <c r="F30" s="1168">
        <f>'B-6.A ADIT &amp; EDIT (Base)'!W24</f>
        <v>-106768754.38449489</v>
      </c>
      <c r="G30" s="1168"/>
      <c r="H30" s="1168">
        <v>-8147472</v>
      </c>
      <c r="I30" s="1168"/>
      <c r="J30" s="1168">
        <f>F30-H30</f>
        <v>-98621282.384494886</v>
      </c>
    </row>
    <row r="31" spans="1:10" ht="12.75">
      <c r="A31" s="217" t="s">
        <v>2085</v>
      </c>
      <c r="B31" s="229" t="s">
        <v>2879</v>
      </c>
      <c r="D31" s="217" t="s">
        <v>2087</v>
      </c>
      <c r="F31" s="1168">
        <f>'B-6.A ADIT &amp; EDIT (Base)'!W32</f>
        <v>3490850</v>
      </c>
      <c r="G31" s="1168"/>
      <c r="H31" s="1168">
        <v>0</v>
      </c>
      <c r="I31" s="1168"/>
      <c r="J31" s="1168">
        <f>F31-H31</f>
        <v>3490850</v>
      </c>
    </row>
    <row r="32" spans="1:10" ht="12.75">
      <c r="A32" s="217" t="s">
        <v>2083</v>
      </c>
      <c r="B32" s="229" t="s">
        <v>2880</v>
      </c>
      <c r="D32" s="229"/>
      <c r="F32" s="1168">
        <f>-F31</f>
        <v>-3490850</v>
      </c>
      <c r="G32" s="1168"/>
      <c r="H32" s="1168">
        <f>-H31</f>
        <v>0</v>
      </c>
      <c r="I32" s="1168"/>
      <c r="J32" s="1168">
        <f>-J31</f>
        <v>-3490850</v>
      </c>
    </row>
    <row r="33" spans="1:10" ht="12.75">
      <c r="A33" s="217" t="s">
        <v>2444</v>
      </c>
      <c r="B33" s="220" t="s">
        <v>2881</v>
      </c>
      <c r="F33" s="1171">
        <v>0</v>
      </c>
      <c r="G33" s="1169"/>
      <c r="H33" s="1172">
        <v>0</v>
      </c>
      <c r="I33" s="1169"/>
      <c r="J33" s="1171">
        <f>F33-H33</f>
        <v>0</v>
      </c>
    </row>
    <row r="34" spans="1:10" ht="12.75">
      <c r="A34" s="217">
        <f>A28+1</f>
        <v>8</v>
      </c>
      <c r="B34" s="229" t="s">
        <v>346</v>
      </c>
      <c r="D34" s="217"/>
      <c r="F34" s="1168">
        <f>SUM(F30:F33)</f>
        <v>-106768754.38449489</v>
      </c>
      <c r="G34" s="1168"/>
      <c r="H34" s="1168">
        <f>SUM(H30:H33)</f>
        <v>-8147472</v>
      </c>
      <c r="I34" s="1169"/>
      <c r="J34" s="1168">
        <f>SUM(J30:J33)</f>
        <v>-98621282.384494886</v>
      </c>
    </row>
    <row r="35" spans="1:10" ht="12.75">
      <c r="A35" s="217"/>
      <c r="F35" s="1169"/>
      <c r="G35" s="1169"/>
      <c r="H35" s="1169"/>
      <c r="I35" s="1169"/>
      <c r="J35" s="1168"/>
    </row>
    <row r="36" spans="1:10" ht="12.75">
      <c r="A36" s="217">
        <f>A34+1</f>
        <v>9</v>
      </c>
      <c r="B36" s="229" t="s">
        <v>347</v>
      </c>
      <c r="F36" s="1168">
        <v>0</v>
      </c>
      <c r="G36" s="1169"/>
      <c r="H36" s="1168">
        <v>0</v>
      </c>
      <c r="I36" s="1169"/>
      <c r="J36" s="1168">
        <v>0</v>
      </c>
    </row>
    <row r="37" spans="1:10" ht="12.75">
      <c r="A37" s="217"/>
      <c r="F37" s="1169"/>
      <c r="G37" s="1169"/>
      <c r="H37" s="1169"/>
      <c r="I37" s="1169"/>
      <c r="J37" s="1169"/>
    </row>
    <row r="38" spans="1:10" ht="12.75">
      <c r="A38" s="217">
        <f>A36+1</f>
        <v>10</v>
      </c>
      <c r="B38" s="229" t="s">
        <v>1013</v>
      </c>
      <c r="F38" s="1177">
        <f>F24+F26+F28+F34</f>
        <v>573914845.77331495</v>
      </c>
      <c r="G38" s="1169"/>
      <c r="H38" s="1177">
        <f>H24+H26+H28+H34</f>
        <v>61404657.163349301</v>
      </c>
      <c r="I38" s="1169"/>
      <c r="J38" s="1177">
        <f>J24+J26+J28+J34</f>
        <v>512510188.60996556</v>
      </c>
    </row>
    <row r="39" spans="1:10" ht="12.75">
      <c r="J39" s="328"/>
    </row>
    <row r="43" spans="1:10" ht="12.75">
      <c r="A43" s="229"/>
      <c r="B43" s="229"/>
    </row>
    <row r="44" spans="1:10" ht="12.75">
      <c r="B44" s="229"/>
    </row>
    <row r="45" spans="1:10" ht="12.75">
      <c r="B45" s="229"/>
    </row>
    <row r="46" spans="1:10" ht="12.75">
      <c r="B46" s="229"/>
    </row>
  </sheetData>
  <printOptions horizontalCentered="1"/>
  <pageMargins left="0.5" right="0.5" top="0.75" bottom="0.5" header="0.3" footer="0.3"/>
  <pageSetup scale="9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49"/>
  <sheetViews>
    <sheetView topLeftCell="A7" zoomScaleNormal="100" zoomScaleSheetLayoutView="100" workbookViewId="0">
      <selection activeCell="A3" sqref="A3:K3"/>
    </sheetView>
  </sheetViews>
  <sheetFormatPr defaultColWidth="9.6640625" defaultRowHeight="12.75"/>
  <cols>
    <col min="1" max="1" width="7.6640625" style="220" customWidth="1"/>
    <col min="2" max="2" width="63" style="220" customWidth="1"/>
    <col min="3" max="3" width="16.83203125" style="220" customWidth="1"/>
    <col min="4" max="5" width="16" style="220" bestFit="1" customWidth="1"/>
    <col min="6" max="6" width="4.1640625" style="220" customWidth="1"/>
    <col min="7" max="8" width="16" style="220" bestFit="1" customWidth="1"/>
    <col min="9" max="9" width="4.6640625" style="220" customWidth="1"/>
    <col min="10" max="11" width="20.83203125" style="220" customWidth="1"/>
    <col min="12" max="12" width="9.33203125" style="220" customWidth="1"/>
    <col min="13" max="16384" width="9.6640625" style="220"/>
  </cols>
  <sheetData>
    <row r="1" spans="1:12">
      <c r="A1" s="1306" t="str">
        <f>'General Headers Index'!B4</f>
        <v>COLUMBIA GAS OF KENTUCKY, INC.</v>
      </c>
      <c r="B1" s="1306"/>
      <c r="C1" s="1306"/>
      <c r="D1" s="1306"/>
      <c r="E1" s="1306"/>
      <c r="F1" s="1306"/>
      <c r="G1" s="1306"/>
      <c r="H1" s="1306"/>
      <c r="I1" s="1306"/>
      <c r="J1" s="1306"/>
      <c r="K1" s="1306"/>
    </row>
    <row r="2" spans="1:12">
      <c r="A2" s="1306" t="str">
        <f>'General Headers Index'!B6</f>
        <v>CASE NO. 2024 - 00092</v>
      </c>
      <c r="B2" s="1306"/>
      <c r="C2" s="1306"/>
      <c r="D2" s="1306"/>
      <c r="E2" s="1306"/>
      <c r="F2" s="1306"/>
      <c r="G2" s="1306"/>
      <c r="H2" s="1306"/>
      <c r="I2" s="1306"/>
      <c r="J2" s="1306"/>
      <c r="K2" s="1306"/>
    </row>
    <row r="3" spans="1:12">
      <c r="A3" s="1306" t="str">
        <f>'Index B'!$C$20</f>
        <v>RATE BASE SUMMARY - JURISDICTIONAL</v>
      </c>
      <c r="B3" s="1306"/>
      <c r="C3" s="1306"/>
      <c r="D3" s="1306"/>
      <c r="E3" s="1306"/>
      <c r="F3" s="1306"/>
      <c r="G3" s="1306"/>
      <c r="H3" s="1306"/>
      <c r="I3" s="1306"/>
      <c r="J3" s="1306"/>
      <c r="K3" s="1306"/>
    </row>
    <row r="4" spans="1:12">
      <c r="A4" s="1306" t="str">
        <f>'General Headers Index'!B17</f>
        <v>AS OF DECEMBER 31, 2025</v>
      </c>
      <c r="B4" s="1306"/>
      <c r="C4" s="1306"/>
      <c r="D4" s="1306"/>
      <c r="E4" s="1306"/>
      <c r="F4" s="1306"/>
      <c r="G4" s="1306"/>
      <c r="H4" s="1306"/>
      <c r="I4" s="1306"/>
      <c r="J4" s="1306"/>
      <c r="K4" s="1306"/>
    </row>
    <row r="6" spans="1:12">
      <c r="A6" s="229" t="s">
        <v>2788</v>
      </c>
      <c r="K6" s="326" t="s">
        <v>308</v>
      </c>
    </row>
    <row r="7" spans="1:12">
      <c r="A7" s="229" t="str">
        <f>'General Headers Index'!B37</f>
        <v>TYPE OF FILING:___X___ORIGINAL______UPDATED</v>
      </c>
      <c r="K7" s="326" t="s">
        <v>650</v>
      </c>
    </row>
    <row r="8" spans="1:12">
      <c r="A8" s="229" t="s">
        <v>575</v>
      </c>
      <c r="K8" s="326" t="str">
        <f>"WITNESS: "&amp;'General Headers Index'!B42</f>
        <v>WITNESS: GORE</v>
      </c>
    </row>
    <row r="9" spans="1:12" s="332" customFormat="1">
      <c r="A9" s="884"/>
      <c r="B9" s="884"/>
      <c r="C9" s="884"/>
      <c r="D9" s="884"/>
      <c r="E9" s="884"/>
      <c r="F9" s="884"/>
      <c r="G9" s="884"/>
      <c r="H9" s="884"/>
      <c r="I9" s="884"/>
      <c r="J9" s="884"/>
      <c r="K9" s="884"/>
      <c r="L9" s="220"/>
    </row>
    <row r="10" spans="1:12" s="332" customFormat="1">
      <c r="A10" s="220"/>
      <c r="B10" s="220"/>
      <c r="C10" s="220"/>
      <c r="D10" s="220"/>
      <c r="E10" s="220"/>
      <c r="F10" s="220"/>
      <c r="G10" s="220"/>
      <c r="H10" s="220"/>
      <c r="I10" s="220"/>
      <c r="J10" s="1306" t="s">
        <v>1573</v>
      </c>
      <c r="K10" s="1306"/>
      <c r="L10" s="220"/>
    </row>
    <row r="11" spans="1:12" s="332" customFormat="1">
      <c r="A11" s="220"/>
      <c r="B11" s="220"/>
      <c r="C11" s="220"/>
      <c r="D11" s="1306" t="s">
        <v>371</v>
      </c>
      <c r="E11" s="1306"/>
      <c r="F11" s="220"/>
      <c r="G11" s="1307" t="s">
        <v>2090</v>
      </c>
      <c r="H11" s="1306"/>
      <c r="I11" s="220"/>
      <c r="J11" s="1306" t="s">
        <v>1576</v>
      </c>
      <c r="K11" s="1306"/>
      <c r="L11" s="220"/>
    </row>
    <row r="12" spans="1:12" s="332" customFormat="1">
      <c r="A12" s="220"/>
      <c r="B12" s="220"/>
      <c r="C12" s="220"/>
      <c r="D12" s="217" t="s">
        <v>653</v>
      </c>
      <c r="E12" s="217" t="s">
        <v>310</v>
      </c>
      <c r="F12" s="220"/>
      <c r="G12" s="217" t="s">
        <v>653</v>
      </c>
      <c r="H12" s="217" t="s">
        <v>310</v>
      </c>
      <c r="I12" s="220"/>
      <c r="J12" s="217" t="s">
        <v>653</v>
      </c>
      <c r="K12" s="217" t="s">
        <v>310</v>
      </c>
      <c r="L12" s="220"/>
    </row>
    <row r="13" spans="1:12" s="332" customFormat="1">
      <c r="A13" s="220"/>
      <c r="B13" s="220"/>
      <c r="C13" s="217" t="s">
        <v>311</v>
      </c>
      <c r="D13" s="217" t="s">
        <v>651</v>
      </c>
      <c r="E13" s="217" t="s">
        <v>312</v>
      </c>
      <c r="F13" s="220"/>
      <c r="G13" s="217" t="s">
        <v>651</v>
      </c>
      <c r="H13" s="217" t="s">
        <v>312</v>
      </c>
      <c r="I13" s="220"/>
      <c r="J13" s="217" t="s">
        <v>651</v>
      </c>
      <c r="K13" s="217" t="s">
        <v>312</v>
      </c>
      <c r="L13" s="220"/>
    </row>
    <row r="14" spans="1:12" s="332" customFormat="1">
      <c r="A14" s="217" t="s">
        <v>313</v>
      </c>
      <c r="B14" s="217"/>
      <c r="C14" s="217" t="s">
        <v>314</v>
      </c>
      <c r="D14" s="217" t="s">
        <v>652</v>
      </c>
      <c r="E14" s="217" t="s">
        <v>651</v>
      </c>
      <c r="F14" s="220"/>
      <c r="G14" s="217" t="s">
        <v>652</v>
      </c>
      <c r="H14" s="217" t="s">
        <v>651</v>
      </c>
      <c r="I14" s="220"/>
      <c r="J14" s="217" t="s">
        <v>652</v>
      </c>
      <c r="K14" s="217" t="s">
        <v>651</v>
      </c>
      <c r="L14" s="220"/>
    </row>
    <row r="15" spans="1:12" s="332" customFormat="1">
      <c r="A15" s="885" t="s">
        <v>316</v>
      </c>
      <c r="B15" s="885" t="s">
        <v>317</v>
      </c>
      <c r="C15" s="885" t="s">
        <v>318</v>
      </c>
      <c r="D15" s="890" t="s">
        <v>319</v>
      </c>
      <c r="E15" s="890" t="s">
        <v>319</v>
      </c>
      <c r="F15" s="884"/>
      <c r="G15" s="890" t="s">
        <v>319</v>
      </c>
      <c r="H15" s="890" t="s">
        <v>319</v>
      </c>
      <c r="I15" s="884"/>
      <c r="J15" s="890" t="s">
        <v>319</v>
      </c>
      <c r="K15" s="890" t="s">
        <v>319</v>
      </c>
      <c r="L15" s="220"/>
    </row>
    <row r="16" spans="1:12" s="332" customFormat="1">
      <c r="A16" s="220"/>
      <c r="B16" s="220"/>
      <c r="C16" s="217"/>
      <c r="D16" s="334" t="str">
        <f>"(1)"</f>
        <v>(1)</v>
      </c>
      <c r="E16" s="334" t="str">
        <f>"(2)"</f>
        <v>(2)</v>
      </c>
      <c r="F16" s="220"/>
      <c r="G16" s="334" t="str">
        <f>"(3)"</f>
        <v>(3)</v>
      </c>
      <c r="H16" s="334" t="str">
        <f>"(4)"</f>
        <v>(4)</v>
      </c>
      <c r="I16" s="220"/>
      <c r="J16" s="334" t="s">
        <v>1577</v>
      </c>
      <c r="K16" s="334" t="s">
        <v>1578</v>
      </c>
      <c r="L16" s="220"/>
    </row>
    <row r="17" spans="1:12" s="332" customFormat="1">
      <c r="A17" s="220"/>
      <c r="B17" s="220"/>
      <c r="C17" s="220"/>
      <c r="D17" s="217" t="s">
        <v>320</v>
      </c>
      <c r="E17" s="217" t="s">
        <v>320</v>
      </c>
      <c r="F17" s="220"/>
      <c r="G17" s="217" t="s">
        <v>320</v>
      </c>
      <c r="H17" s="217" t="s">
        <v>320</v>
      </c>
      <c r="I17" s="220"/>
      <c r="J17" s="217" t="s">
        <v>320</v>
      </c>
      <c r="K17" s="217" t="s">
        <v>320</v>
      </c>
      <c r="L17" s="220"/>
    </row>
    <row r="19" spans="1:12">
      <c r="A19" s="217">
        <f>IF(ISBLANK($B19),"",COUNTA($B$19:B19))</f>
        <v>1</v>
      </c>
      <c r="B19" s="229" t="s">
        <v>322</v>
      </c>
      <c r="C19" s="217" t="s">
        <v>323</v>
      </c>
      <c r="D19" s="1168">
        <f>'WPB-2.1.B Summary'!F166</f>
        <v>897138957.50874853</v>
      </c>
      <c r="E19" s="1168">
        <f>'WPB-2.1.B Summary'!F168</f>
        <v>863750084.14402115</v>
      </c>
      <c r="F19" s="1168"/>
      <c r="G19" s="1168">
        <f>'WPB-2.1.B Summary'!F109</f>
        <v>107858061.9423759</v>
      </c>
      <c r="H19" s="1168">
        <f>'WPB-2.1.B Summary'!F111</f>
        <v>88741943.279402107</v>
      </c>
      <c r="I19" s="1168"/>
      <c r="J19" s="1168">
        <f>D19-G19</f>
        <v>789280895.56637263</v>
      </c>
      <c r="K19" s="1168">
        <f>E19-H19</f>
        <v>775008140.86461902</v>
      </c>
    </row>
    <row r="20" spans="1:12">
      <c r="A20" s="217" t="str">
        <f>IF(ISBLANK($B20),"",COUNTA($B$19:B20))</f>
        <v/>
      </c>
      <c r="D20" s="1168"/>
      <c r="E20" s="1168"/>
      <c r="F20" s="1168"/>
      <c r="G20" s="1168"/>
      <c r="H20" s="1168"/>
      <c r="I20" s="1168"/>
      <c r="J20" s="1168"/>
      <c r="K20" s="1168"/>
    </row>
    <row r="21" spans="1:12">
      <c r="A21" s="217">
        <f>IF(ISBLANK($B21),"",COUNTA($B$19:B21))</f>
        <v>2</v>
      </c>
      <c r="B21" s="229" t="s">
        <v>325</v>
      </c>
      <c r="C21" s="217" t="s">
        <v>326</v>
      </c>
      <c r="D21" s="1168">
        <v>0</v>
      </c>
      <c r="E21" s="1168">
        <v>0</v>
      </c>
      <c r="F21" s="1168"/>
      <c r="G21" s="1168">
        <v>0</v>
      </c>
      <c r="H21" s="1168">
        <v>0</v>
      </c>
      <c r="I21" s="1168"/>
      <c r="J21" s="1168">
        <f>D21-G21</f>
        <v>0</v>
      </c>
      <c r="K21" s="1168">
        <f>E21-H21</f>
        <v>0</v>
      </c>
    </row>
    <row r="22" spans="1:12">
      <c r="A22" s="217" t="str">
        <f>IF(ISBLANK($B22),"",COUNTA($B$19:B22))</f>
        <v/>
      </c>
      <c r="D22" s="1168"/>
      <c r="E22" s="1168"/>
      <c r="F22" s="1168"/>
      <c r="G22" s="1168"/>
      <c r="H22" s="1168"/>
      <c r="I22" s="1168"/>
      <c r="J22" s="1168"/>
      <c r="K22" s="1168"/>
    </row>
    <row r="23" spans="1:12">
      <c r="A23" s="217">
        <f>IF(ISBLANK($B23),"",COUNTA($B$19:B23))</f>
        <v>3</v>
      </c>
      <c r="B23" s="229" t="s">
        <v>328</v>
      </c>
      <c r="C23" s="217" t="s">
        <v>329</v>
      </c>
      <c r="D23" s="1168">
        <v>0</v>
      </c>
      <c r="E23" s="1168">
        <v>0</v>
      </c>
      <c r="F23" s="1168"/>
      <c r="G23" s="1168">
        <v>0</v>
      </c>
      <c r="H23" s="1168">
        <v>0</v>
      </c>
      <c r="I23" s="1168"/>
      <c r="J23" s="1168">
        <f>D23-G23</f>
        <v>0</v>
      </c>
      <c r="K23" s="1168">
        <f>E23-H23</f>
        <v>0</v>
      </c>
    </row>
    <row r="24" spans="1:12">
      <c r="A24" s="217" t="str">
        <f>IF(ISBLANK($B24),"",COUNTA($B$19:B24))</f>
        <v/>
      </c>
      <c r="D24" s="1168"/>
      <c r="E24" s="1168"/>
      <c r="F24" s="1168"/>
      <c r="G24" s="1168"/>
      <c r="H24" s="1168"/>
      <c r="I24" s="1168"/>
      <c r="J24" s="1168"/>
      <c r="K24" s="1168"/>
    </row>
    <row r="25" spans="1:12">
      <c r="A25" s="217">
        <f>IF(ISBLANK($B25),"",COUNTA($B$19:B25))</f>
        <v>4</v>
      </c>
      <c r="B25" s="229" t="s">
        <v>331</v>
      </c>
      <c r="C25" s="217" t="s">
        <v>332</v>
      </c>
      <c r="D25" s="1173">
        <f>-'WPB-2.1.B Summary'!M166</f>
        <v>-190037022.64543155</v>
      </c>
      <c r="E25" s="1173">
        <f>-'WPB-2.1.B Summary'!M168</f>
        <v>-181928967.64338589</v>
      </c>
      <c r="F25" s="1168"/>
      <c r="G25" s="1173">
        <f>-'WPB-2.1.B Summary'!M109</f>
        <v>14288108.254032806</v>
      </c>
      <c r="H25" s="1173">
        <f>-'WPB-2.1.B Summary'!M111</f>
        <v>13062142.728809062</v>
      </c>
      <c r="I25" s="1168"/>
      <c r="J25" s="1173">
        <f>D25-G25</f>
        <v>-204325130.89946437</v>
      </c>
      <c r="K25" s="1173">
        <f>E25-H25</f>
        <v>-194991110.37219495</v>
      </c>
    </row>
    <row r="26" spans="1:12">
      <c r="A26" s="217" t="str">
        <f>IF(ISBLANK($B26),"",COUNTA($B$19:B26))</f>
        <v/>
      </c>
      <c r="D26" s="1168"/>
      <c r="E26" s="1168"/>
      <c r="F26" s="1168"/>
      <c r="G26" s="1168"/>
      <c r="H26" s="1168"/>
      <c r="I26" s="1168"/>
      <c r="J26" s="1168"/>
      <c r="K26" s="1168"/>
    </row>
    <row r="27" spans="1:12">
      <c r="A27" s="217">
        <f>IF(ISBLANK($B27),"",COUNTA($B$19:B27))</f>
        <v>5</v>
      </c>
      <c r="B27" s="229" t="s">
        <v>334</v>
      </c>
      <c r="D27" s="1168">
        <f>SUM(D19:D25)</f>
        <v>707101934.86331701</v>
      </c>
      <c r="E27" s="1168">
        <f>SUM(E19:E25)</f>
        <v>681821116.50063527</v>
      </c>
      <c r="F27" s="1168"/>
      <c r="G27" s="1168">
        <f>SUM(G19:G25)</f>
        <v>122146170.1964087</v>
      </c>
      <c r="H27" s="1168">
        <f>SUM(H19:H25)</f>
        <v>101804086.00821117</v>
      </c>
      <c r="I27" s="1168"/>
      <c r="J27" s="1168">
        <f>SUM(J19:J25)</f>
        <v>584955764.66690826</v>
      </c>
      <c r="K27" s="1168">
        <f>SUM(K19:K25)</f>
        <v>580017030.49242401</v>
      </c>
    </row>
    <row r="28" spans="1:12">
      <c r="A28" s="217" t="str">
        <f>IF(ISBLANK($B28),"",COUNTA($B$19:B28))</f>
        <v/>
      </c>
      <c r="D28" s="1168"/>
      <c r="E28" s="1168"/>
      <c r="F28" s="1168"/>
      <c r="G28" s="1168"/>
      <c r="H28" s="1168"/>
      <c r="I28" s="1168"/>
      <c r="J28" s="1168"/>
      <c r="K28" s="1168"/>
    </row>
    <row r="29" spans="1:12">
      <c r="A29" s="217">
        <f>IF(ISBLANK($B29),"",COUNTA($B$19:B29))</f>
        <v>6</v>
      </c>
      <c r="B29" s="229" t="s">
        <v>339</v>
      </c>
      <c r="C29" s="217" t="s">
        <v>343</v>
      </c>
      <c r="D29" s="1168">
        <f>+E29</f>
        <v>0</v>
      </c>
      <c r="E29" s="1168">
        <f>'B-5.2.A CWC (Forecast)'!K54</f>
        <v>0</v>
      </c>
      <c r="F29" s="1168"/>
      <c r="G29" s="1168">
        <v>0</v>
      </c>
      <c r="H29" s="1168">
        <v>0</v>
      </c>
      <c r="I29" s="1168"/>
      <c r="J29" s="1168">
        <f>D29-G29</f>
        <v>0</v>
      </c>
      <c r="K29" s="1168">
        <f>E29-H29</f>
        <v>0</v>
      </c>
    </row>
    <row r="30" spans="1:12">
      <c r="A30" s="217" t="str">
        <f>IF(ISBLANK($B30),"",COUNTA($B$19:B30))</f>
        <v/>
      </c>
      <c r="D30" s="1168"/>
      <c r="E30" s="1168"/>
      <c r="F30" s="1168"/>
      <c r="G30" s="1168"/>
      <c r="H30" s="1168"/>
      <c r="I30" s="1168"/>
      <c r="J30" s="1168"/>
      <c r="K30" s="1168"/>
    </row>
    <row r="31" spans="1:12">
      <c r="A31" s="217">
        <f>IF(ISBLANK($B31),"",COUNTA($B$19:B31))</f>
        <v>7</v>
      </c>
      <c r="B31" s="229" t="s">
        <v>667</v>
      </c>
      <c r="C31" s="217" t="s">
        <v>343</v>
      </c>
      <c r="D31" s="1168">
        <f>+'B-5.1 Working Cap. (Forecast)'!G22</f>
        <v>37749890.488828242</v>
      </c>
      <c r="E31" s="1168">
        <f>+D31</f>
        <v>37749890.488828242</v>
      </c>
      <c r="F31" s="1168"/>
      <c r="G31" s="1168">
        <v>0</v>
      </c>
      <c r="H31" s="1168">
        <v>0</v>
      </c>
      <c r="I31" s="1168"/>
      <c r="J31" s="1168">
        <f>D31-G31</f>
        <v>37749890.488828242</v>
      </c>
      <c r="K31" s="1168">
        <f>E31-H31</f>
        <v>37749890.488828242</v>
      </c>
    </row>
    <row r="32" spans="1:12">
      <c r="A32" s="217" t="str">
        <f>IF(ISBLANK($B32),"",COUNTA($B$19:B32))</f>
        <v/>
      </c>
      <c r="B32" s="229"/>
      <c r="C32" s="229"/>
      <c r="D32" s="1174"/>
      <c r="E32" s="1168"/>
      <c r="F32" s="1168"/>
      <c r="G32" s="1168"/>
      <c r="H32" s="1168"/>
      <c r="I32" s="1168"/>
      <c r="J32" s="1168"/>
      <c r="K32" s="1168"/>
    </row>
    <row r="33" spans="1:11">
      <c r="A33" s="217" t="s">
        <v>2084</v>
      </c>
      <c r="B33" s="229" t="s">
        <v>695</v>
      </c>
      <c r="C33" s="217" t="s">
        <v>2086</v>
      </c>
      <c r="D33" s="1175">
        <f>'B-6.B ADIT &amp; EDIT (Forecast)'!W24</f>
        <v>-112235537.65592897</v>
      </c>
      <c r="E33" s="1168">
        <f>'B-6.B ADIT &amp; EDIT (Forecast)'!Y24</f>
        <v>-110944611.85964453</v>
      </c>
      <c r="F33" s="1168"/>
      <c r="G33" s="1168">
        <v>-14100704</v>
      </c>
      <c r="H33" s="1168">
        <v>-11933285</v>
      </c>
      <c r="I33" s="1168"/>
      <c r="J33" s="1168">
        <f>D33-G33</f>
        <v>-98134833.655928969</v>
      </c>
      <c r="K33" s="1168">
        <f>E33-H33</f>
        <v>-99011326.859644532</v>
      </c>
    </row>
    <row r="34" spans="1:11">
      <c r="A34" s="217" t="s">
        <v>2085</v>
      </c>
      <c r="B34" s="229" t="s">
        <v>2879</v>
      </c>
      <c r="C34" s="217" t="s">
        <v>2087</v>
      </c>
      <c r="D34" s="1175">
        <f>'B-6.B ADIT &amp; EDIT (Forecast)'!W32</f>
        <v>3490850</v>
      </c>
      <c r="E34" s="1168">
        <f>'B-6.B ADIT &amp; EDIT (Forecast)'!Y32</f>
        <v>3490855.384615385</v>
      </c>
      <c r="F34" s="1168"/>
      <c r="G34" s="1168">
        <v>0</v>
      </c>
      <c r="H34" s="1168">
        <v>0</v>
      </c>
      <c r="I34" s="1168"/>
      <c r="J34" s="1168">
        <f>D34-G34</f>
        <v>3490850</v>
      </c>
      <c r="K34" s="1168">
        <f>E34-H34</f>
        <v>3490855.384615385</v>
      </c>
    </row>
    <row r="35" spans="1:11">
      <c r="A35" s="217" t="s">
        <v>2083</v>
      </c>
      <c r="B35" s="229" t="s">
        <v>2880</v>
      </c>
      <c r="C35" s="217"/>
      <c r="D35" s="1175">
        <f>-D34</f>
        <v>-3490850</v>
      </c>
      <c r="E35" s="1168">
        <f>-E34</f>
        <v>-3490855.384615385</v>
      </c>
      <c r="F35" s="1168"/>
      <c r="G35" s="1168">
        <f>-G34</f>
        <v>0</v>
      </c>
      <c r="H35" s="1168">
        <f>-H34</f>
        <v>0</v>
      </c>
      <c r="I35" s="1168"/>
      <c r="J35" s="1168">
        <f>-J34</f>
        <v>-3490850</v>
      </c>
      <c r="K35" s="1168">
        <f>-K34</f>
        <v>-3490855.384615385</v>
      </c>
    </row>
    <row r="36" spans="1:11">
      <c r="A36" s="217" t="s">
        <v>2444</v>
      </c>
      <c r="B36" s="220" t="s">
        <v>2881</v>
      </c>
      <c r="C36" s="217" t="s">
        <v>2088</v>
      </c>
      <c r="D36" s="1173">
        <v>0</v>
      </c>
      <c r="E36" s="1176">
        <f>'B-6.1 ADIT &amp; EDIT Normalization'!H46</f>
        <v>71717.641587942839</v>
      </c>
      <c r="F36" s="1168"/>
      <c r="G36" s="1173">
        <v>0</v>
      </c>
      <c r="H36" s="1173">
        <v>0</v>
      </c>
      <c r="I36" s="1168"/>
      <c r="J36" s="1173">
        <f>D36-G36</f>
        <v>0</v>
      </c>
      <c r="K36" s="1173">
        <f>E36-H36</f>
        <v>71717.641587942839</v>
      </c>
    </row>
    <row r="37" spans="1:11">
      <c r="A37" s="217">
        <f>A31+1</f>
        <v>8</v>
      </c>
      <c r="B37" s="229" t="s">
        <v>346</v>
      </c>
      <c r="C37" s="217" t="s">
        <v>358</v>
      </c>
      <c r="D37" s="1168">
        <f>SUM(D33:D36)</f>
        <v>-112235537.65592897</v>
      </c>
      <c r="E37" s="1168">
        <f>SUM(E33:E36)</f>
        <v>-110872894.21805659</v>
      </c>
      <c r="F37" s="1168"/>
      <c r="G37" s="1168">
        <f>SUM(G33:G36)</f>
        <v>-14100704</v>
      </c>
      <c r="H37" s="1168">
        <f>SUM(H33:H36)</f>
        <v>-11933285</v>
      </c>
      <c r="I37" s="1168"/>
      <c r="J37" s="1168">
        <f>SUM(J33:J36)</f>
        <v>-98134833.655928969</v>
      </c>
      <c r="K37" s="1168">
        <f>SUM(K33:K36)</f>
        <v>-98939609.218056589</v>
      </c>
    </row>
    <row r="38" spans="1:11">
      <c r="D38" s="1168"/>
      <c r="E38" s="1168"/>
      <c r="F38" s="1168"/>
      <c r="G38" s="1168"/>
      <c r="H38" s="1168"/>
      <c r="I38" s="1168"/>
      <c r="J38" s="1168"/>
      <c r="K38" s="1168"/>
    </row>
    <row r="39" spans="1:11">
      <c r="A39" s="217">
        <f>A37+1</f>
        <v>9</v>
      </c>
      <c r="B39" s="229" t="s">
        <v>347</v>
      </c>
      <c r="D39" s="1168">
        <v>0</v>
      </c>
      <c r="E39" s="1168">
        <v>0</v>
      </c>
      <c r="F39" s="1168"/>
      <c r="G39" s="1168">
        <v>0</v>
      </c>
      <c r="H39" s="1168">
        <v>0</v>
      </c>
      <c r="I39" s="1168"/>
      <c r="J39" s="1168">
        <f>D39-G39</f>
        <v>0</v>
      </c>
      <c r="K39" s="1168">
        <f>E39-H39</f>
        <v>0</v>
      </c>
    </row>
    <row r="40" spans="1:11">
      <c r="D40" s="1168"/>
      <c r="E40" s="1168"/>
      <c r="F40" s="1168"/>
      <c r="G40" s="1168"/>
      <c r="H40" s="1168"/>
      <c r="I40" s="1168"/>
      <c r="J40" s="1168"/>
      <c r="K40" s="1168"/>
    </row>
    <row r="41" spans="1:11" ht="13.5" thickBot="1">
      <c r="A41" s="217">
        <f>A39+1</f>
        <v>10</v>
      </c>
      <c r="B41" s="229" t="s">
        <v>1013</v>
      </c>
      <c r="D41" s="1177">
        <f>D27+D29+D31+D37</f>
        <v>632616287.69621623</v>
      </c>
      <c r="E41" s="1177">
        <f>E27+E29+E31+E37</f>
        <v>608698112.77140701</v>
      </c>
      <c r="F41" s="1168"/>
      <c r="G41" s="1177">
        <f>G27+G29+G31+G37</f>
        <v>108045466.1964087</v>
      </c>
      <c r="H41" s="1177">
        <f>H27+H29+H31+H37</f>
        <v>89870801.008211166</v>
      </c>
      <c r="I41" s="1168"/>
      <c r="J41" s="1177">
        <f>J27+J29+J31+J37</f>
        <v>524570821.49980748</v>
      </c>
      <c r="K41" s="1177">
        <f>K27+K29+K31+K37</f>
        <v>518827311.76319563</v>
      </c>
    </row>
    <row r="42" spans="1:11" ht="13.5" thickTop="1">
      <c r="J42" s="328"/>
      <c r="K42" s="328"/>
    </row>
    <row r="44" spans="1:11">
      <c r="K44" s="328"/>
    </row>
    <row r="46" spans="1:11">
      <c r="A46" s="229"/>
      <c r="B46" s="229"/>
    </row>
    <row r="47" spans="1:11">
      <c r="B47" s="229"/>
    </row>
    <row r="48" spans="1:11">
      <c r="B48" s="229"/>
    </row>
    <row r="49" spans="2:2">
      <c r="B49" s="229"/>
    </row>
  </sheetData>
  <mergeCells count="8">
    <mergeCell ref="D11:E11"/>
    <mergeCell ref="G11:H11"/>
    <mergeCell ref="J11:K11"/>
    <mergeCell ref="A1:K1"/>
    <mergeCell ref="A2:K2"/>
    <mergeCell ref="A3:K3"/>
    <mergeCell ref="A4:K4"/>
    <mergeCell ref="J10:K10"/>
  </mergeCells>
  <printOptions horizontalCentered="1"/>
  <pageMargins left="0.5" right="0.5" top="0.75" bottom="0.5" header="0.3" footer="0.3"/>
  <pageSetup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43"/>
  <sheetViews>
    <sheetView zoomScaleNormal="100" zoomScaleSheetLayoutView="112" workbookViewId="0">
      <selection activeCell="A3" sqref="A3:I3"/>
    </sheetView>
  </sheetViews>
  <sheetFormatPr defaultColWidth="9.6640625" defaultRowHeight="12.75"/>
  <cols>
    <col min="1" max="1" width="6.1640625" style="220" customWidth="1"/>
    <col min="2" max="2" width="14.33203125" style="220" customWidth="1"/>
    <col min="3" max="3" width="9.6640625" style="220"/>
    <col min="4" max="4" width="11.6640625" style="220" customWidth="1"/>
    <col min="5" max="5" width="17.5" style="220" customWidth="1"/>
    <col min="6" max="6" width="20.33203125" style="220" customWidth="1"/>
    <col min="7" max="7" width="19.1640625" style="220" customWidth="1"/>
    <col min="8" max="9" width="18.1640625" style="220" customWidth="1"/>
    <col min="10" max="16384" width="9.6640625" style="220"/>
  </cols>
  <sheetData>
    <row r="1" spans="1:9">
      <c r="A1" s="1306" t="str">
        <f>'General Headers Index'!B4</f>
        <v>COLUMBIA GAS OF KENTUCKY, INC.</v>
      </c>
      <c r="B1" s="1306"/>
      <c r="C1" s="1306"/>
      <c r="D1" s="1306"/>
      <c r="E1" s="1306"/>
      <c r="F1" s="1306"/>
      <c r="G1" s="1306"/>
      <c r="H1" s="1306"/>
      <c r="I1" s="1306"/>
    </row>
    <row r="2" spans="1:9">
      <c r="A2" s="1306" t="str">
        <f>'General Headers Index'!B6</f>
        <v>CASE NO. 2024 - 00092</v>
      </c>
      <c r="B2" s="1306"/>
      <c r="C2" s="1306"/>
      <c r="D2" s="1306"/>
      <c r="E2" s="1306"/>
      <c r="F2" s="1306"/>
      <c r="G2" s="1306"/>
      <c r="H2" s="1306"/>
      <c r="I2" s="1306"/>
    </row>
    <row r="3" spans="1:9">
      <c r="A3" s="1306" t="str">
        <f>'Index B'!$C$21</f>
        <v>PLANT IN SERVICE BY MAJOR GROUPING</v>
      </c>
      <c r="B3" s="1306"/>
      <c r="C3" s="1306"/>
      <c r="D3" s="1306"/>
      <c r="E3" s="1306"/>
      <c r="F3" s="1306"/>
      <c r="G3" s="1306"/>
      <c r="H3" s="1306"/>
      <c r="I3" s="1306"/>
    </row>
    <row r="4" spans="1:9">
      <c r="A4" s="1306" t="str">
        <f>'General Headers Index'!B10</f>
        <v>AS OF AUGUST 31, 2024</v>
      </c>
      <c r="B4" s="1306"/>
      <c r="C4" s="1306"/>
      <c r="D4" s="1306"/>
      <c r="E4" s="1306"/>
      <c r="F4" s="1306"/>
      <c r="G4" s="1306"/>
      <c r="H4" s="1306"/>
      <c r="I4" s="1306"/>
    </row>
    <row r="6" spans="1:9">
      <c r="A6" s="229" t="s">
        <v>2787</v>
      </c>
      <c r="I6" s="326" t="s">
        <v>348</v>
      </c>
    </row>
    <row r="7" spans="1:9">
      <c r="A7" s="229" t="str">
        <f>'General Headers Index'!B37</f>
        <v>TYPE OF FILING:___X___ORIGINAL______UPDATED</v>
      </c>
      <c r="I7" s="326" t="s">
        <v>309</v>
      </c>
    </row>
    <row r="8" spans="1:9">
      <c r="A8" s="229" t="s">
        <v>2472</v>
      </c>
      <c r="I8" s="326" t="str">
        <f>"WITNESS: "&amp;'General Headers Index'!B42</f>
        <v>WITNESS: GORE</v>
      </c>
    </row>
    <row r="9" spans="1:9">
      <c r="A9" s="891"/>
      <c r="B9" s="892"/>
      <c r="C9" s="892"/>
      <c r="D9" s="892"/>
      <c r="E9" s="892"/>
      <c r="F9" s="892"/>
      <c r="G9" s="892"/>
      <c r="H9" s="892"/>
      <c r="I9" s="893"/>
    </row>
    <row r="10" spans="1:9">
      <c r="E10" s="217" t="s">
        <v>315</v>
      </c>
      <c r="G10" s="217" t="s">
        <v>315</v>
      </c>
      <c r="I10" s="217"/>
    </row>
    <row r="11" spans="1:9">
      <c r="E11" s="217" t="s">
        <v>319</v>
      </c>
      <c r="G11" s="217" t="s">
        <v>319</v>
      </c>
      <c r="I11" s="217" t="s">
        <v>654</v>
      </c>
    </row>
    <row r="12" spans="1:9">
      <c r="A12" s="217" t="s">
        <v>313</v>
      </c>
      <c r="E12" s="217" t="s">
        <v>349</v>
      </c>
      <c r="F12" s="217" t="s">
        <v>350</v>
      </c>
      <c r="G12" s="217" t="s">
        <v>350</v>
      </c>
      <c r="I12" s="217" t="s">
        <v>351</v>
      </c>
    </row>
    <row r="13" spans="1:9">
      <c r="A13" s="890" t="s">
        <v>316</v>
      </c>
      <c r="B13" s="891" t="s">
        <v>26</v>
      </c>
      <c r="C13" s="892"/>
      <c r="D13" s="892"/>
      <c r="E13" s="890" t="s">
        <v>353</v>
      </c>
      <c r="F13" s="890" t="s">
        <v>354</v>
      </c>
      <c r="G13" s="890" t="s">
        <v>349</v>
      </c>
      <c r="H13" s="890" t="s">
        <v>355</v>
      </c>
      <c r="I13" s="890" t="s">
        <v>372</v>
      </c>
    </row>
    <row r="14" spans="1:9">
      <c r="A14" s="217"/>
      <c r="B14" s="229"/>
      <c r="E14" s="300" t="s">
        <v>532</v>
      </c>
      <c r="F14" s="300" t="s">
        <v>541</v>
      </c>
      <c r="G14" s="300" t="s">
        <v>2495</v>
      </c>
      <c r="H14" s="300" t="s">
        <v>668</v>
      </c>
      <c r="I14" s="300" t="s">
        <v>2363</v>
      </c>
    </row>
    <row r="15" spans="1:9">
      <c r="E15" s="217" t="s">
        <v>320</v>
      </c>
      <c r="G15" s="217" t="s">
        <v>320</v>
      </c>
      <c r="H15" s="217" t="s">
        <v>320</v>
      </c>
      <c r="I15" s="217" t="s">
        <v>320</v>
      </c>
    </row>
    <row r="17" spans="1:9">
      <c r="A17" s="217">
        <f>IF(ISBLANK($B17),"",COUNTA($B$17:B17))</f>
        <v>1</v>
      </c>
      <c r="B17" s="229" t="s">
        <v>356</v>
      </c>
      <c r="E17" s="397">
        <f>'B-2.1 Base Period GPA'!H22</f>
        <v>14758139.016810376</v>
      </c>
      <c r="F17" s="329">
        <v>1</v>
      </c>
      <c r="G17" s="397">
        <f>(E17*F17)</f>
        <v>14758139.016810376</v>
      </c>
      <c r="H17" s="397">
        <v>0</v>
      </c>
      <c r="I17" s="397">
        <f>(G17+H17)</f>
        <v>14758139.016810376</v>
      </c>
    </row>
    <row r="18" spans="1:9">
      <c r="A18" s="217" t="str">
        <f>IF(ISBLANK($B18),"",COUNTA($B$17:B18))</f>
        <v/>
      </c>
      <c r="E18" s="397"/>
      <c r="G18" s="397"/>
      <c r="H18" s="397"/>
      <c r="I18" s="397"/>
    </row>
    <row r="19" spans="1:9">
      <c r="A19" s="217">
        <f>IF(ISBLANK($B19),"",COUNTA($B$17:B19))</f>
        <v>2</v>
      </c>
      <c r="B19" s="229" t="s">
        <v>357</v>
      </c>
      <c r="E19" s="397">
        <v>0</v>
      </c>
      <c r="F19" s="329">
        <v>1</v>
      </c>
      <c r="G19" s="397">
        <f>(E19*F19)</f>
        <v>0</v>
      </c>
      <c r="H19" s="397">
        <v>0</v>
      </c>
      <c r="I19" s="397">
        <f>(G19+H19)</f>
        <v>0</v>
      </c>
    </row>
    <row r="20" spans="1:9">
      <c r="A20" s="217" t="str">
        <f>IF(ISBLANK($B20),"",COUNTA($B$17:B20))</f>
        <v/>
      </c>
      <c r="E20" s="397"/>
      <c r="G20" s="397" t="s">
        <v>358</v>
      </c>
      <c r="H20" s="397"/>
      <c r="I20" s="397" t="s">
        <v>358</v>
      </c>
    </row>
    <row r="21" spans="1:9">
      <c r="A21" s="217">
        <f>IF(ISBLANK($B21),"",COUNTA($B$17:B21))</f>
        <v>3</v>
      </c>
      <c r="B21" s="229" t="s">
        <v>359</v>
      </c>
      <c r="E21" s="397">
        <v>0</v>
      </c>
      <c r="F21" s="329">
        <v>1</v>
      </c>
      <c r="G21" s="397">
        <f>(E21*F21)</f>
        <v>0</v>
      </c>
      <c r="H21" s="397">
        <v>0</v>
      </c>
      <c r="I21" s="397">
        <f>(G21+H21)</f>
        <v>0</v>
      </c>
    </row>
    <row r="22" spans="1:9">
      <c r="A22" s="217" t="str">
        <f>IF(ISBLANK($B22),"",COUNTA($B$17:B22))</f>
        <v/>
      </c>
      <c r="E22" s="397"/>
      <c r="G22" s="397" t="s">
        <v>358</v>
      </c>
      <c r="H22" s="397" t="s">
        <v>358</v>
      </c>
      <c r="I22" s="397" t="s">
        <v>358</v>
      </c>
    </row>
    <row r="23" spans="1:9">
      <c r="A23" s="217">
        <f>IF(ISBLANK($B23),"",COUNTA($B$17:B23))</f>
        <v>4</v>
      </c>
      <c r="B23" s="229" t="s">
        <v>360</v>
      </c>
      <c r="E23" s="397">
        <v>0</v>
      </c>
      <c r="F23" s="329">
        <v>1</v>
      </c>
      <c r="G23" s="397">
        <f>(E23*F23)</f>
        <v>0</v>
      </c>
      <c r="H23" s="397">
        <v>0</v>
      </c>
      <c r="I23" s="397">
        <f>(G23+H23)</f>
        <v>0</v>
      </c>
    </row>
    <row r="24" spans="1:9">
      <c r="A24" s="217" t="str">
        <f>IF(ISBLANK($B24),"",COUNTA($B$17:B24))</f>
        <v/>
      </c>
      <c r="E24" s="397"/>
      <c r="G24" s="397" t="s">
        <v>358</v>
      </c>
      <c r="H24" s="397" t="s">
        <v>358</v>
      </c>
      <c r="I24" s="397" t="s">
        <v>358</v>
      </c>
    </row>
    <row r="25" spans="1:9">
      <c r="A25" s="217">
        <f>IF(ISBLANK($B25),"",COUNTA($B$17:B25))</f>
        <v>5</v>
      </c>
      <c r="B25" s="229" t="s">
        <v>361</v>
      </c>
      <c r="E25" s="397">
        <f>'B-2.1 Base Period GPA'!H55</f>
        <v>732483564.27591443</v>
      </c>
      <c r="F25" s="329">
        <v>1</v>
      </c>
      <c r="G25" s="397">
        <f>(E25*F25)</f>
        <v>732483564.27591443</v>
      </c>
      <c r="H25" s="397">
        <v>0</v>
      </c>
      <c r="I25" s="397">
        <f>(G25+H25)</f>
        <v>732483564.27591443</v>
      </c>
    </row>
    <row r="26" spans="1:9">
      <c r="A26" s="217" t="str">
        <f>IF(ISBLANK($B26),"",COUNTA($B$17:B26))</f>
        <v/>
      </c>
      <c r="E26" s="397"/>
      <c r="G26" s="397" t="s">
        <v>358</v>
      </c>
      <c r="H26" s="397" t="s">
        <v>358</v>
      </c>
      <c r="I26" s="397" t="s">
        <v>358</v>
      </c>
    </row>
    <row r="27" spans="1:9">
      <c r="A27" s="217">
        <f>IF(ISBLANK($B27),"",COUNTA($B$17:B27))</f>
        <v>6</v>
      </c>
      <c r="B27" s="229" t="s">
        <v>362</v>
      </c>
      <c r="E27" s="397">
        <f>'B-2.1 Base Period GPA'!H72</f>
        <v>6620245.3699999992</v>
      </c>
      <c r="F27" s="329">
        <v>1</v>
      </c>
      <c r="G27" s="397">
        <f>(E27*F27)</f>
        <v>6620245.3699999992</v>
      </c>
      <c r="H27" s="397">
        <v>0</v>
      </c>
      <c r="I27" s="397">
        <f>(G27+H27)</f>
        <v>6620245.3699999992</v>
      </c>
    </row>
    <row r="28" spans="1:9">
      <c r="A28" s="217" t="str">
        <f>IF(ISBLANK($B28),"",COUNTA($B$17:B28))</f>
        <v/>
      </c>
      <c r="E28" s="397"/>
      <c r="G28" s="397" t="s">
        <v>358</v>
      </c>
      <c r="H28" s="397" t="s">
        <v>358</v>
      </c>
      <c r="I28" s="397" t="s">
        <v>358</v>
      </c>
    </row>
    <row r="29" spans="1:9">
      <c r="A29" s="217">
        <f>IF(ISBLANK($B29),"",COUNTA($B$17:B29))</f>
        <v>7</v>
      </c>
      <c r="B29" s="229" t="s">
        <v>363</v>
      </c>
      <c r="E29" s="397">
        <v>0</v>
      </c>
      <c r="F29" s="329">
        <v>1</v>
      </c>
      <c r="G29" s="397">
        <f>(E29*F29)</f>
        <v>0</v>
      </c>
      <c r="H29" s="397">
        <v>0</v>
      </c>
      <c r="I29" s="397">
        <f>(G29+H29)</f>
        <v>0</v>
      </c>
    </row>
    <row r="30" spans="1:9">
      <c r="A30" s="217" t="str">
        <f>IF(ISBLANK($B30),"",COUNTA($B$17:B30))</f>
        <v/>
      </c>
      <c r="E30" s="397"/>
      <c r="G30" s="397" t="s">
        <v>358</v>
      </c>
      <c r="H30" s="397" t="s">
        <v>358</v>
      </c>
      <c r="I30" s="397" t="s">
        <v>358</v>
      </c>
    </row>
    <row r="31" spans="1:9">
      <c r="A31" s="217">
        <f>IF(ISBLANK($B31),"",COUNTA($B$17:B31))</f>
        <v>8</v>
      </c>
      <c r="B31" s="229" t="s">
        <v>364</v>
      </c>
      <c r="E31" s="952">
        <f>'B-2.1 Base Period GPA'!H75</f>
        <v>-777092</v>
      </c>
      <c r="F31" s="329">
        <v>1</v>
      </c>
      <c r="G31" s="952">
        <f>(E31*F31)</f>
        <v>-777092</v>
      </c>
      <c r="H31" s="952">
        <v>0</v>
      </c>
      <c r="I31" s="952">
        <f>(G31+H31)</f>
        <v>-777092</v>
      </c>
    </row>
    <row r="32" spans="1:9">
      <c r="A32" s="217" t="str">
        <f>IF(ISBLANK($B32),"",COUNTA($B$17:B32))</f>
        <v/>
      </c>
      <c r="E32" s="397"/>
      <c r="G32" s="397" t="s">
        <v>358</v>
      </c>
      <c r="H32" s="397" t="s">
        <v>358</v>
      </c>
      <c r="I32" s="397" t="s">
        <v>358</v>
      </c>
    </row>
    <row r="33" spans="1:9" ht="13.5" thickBot="1">
      <c r="A33" s="217">
        <f>IF(ISBLANK($B33),"",COUNTA($B$17:B33))</f>
        <v>9</v>
      </c>
      <c r="B33" s="229" t="s">
        <v>2913</v>
      </c>
      <c r="E33" s="1238">
        <f>SUM(E17:E31)</f>
        <v>753084856.66272485</v>
      </c>
      <c r="G33" s="1238">
        <f>SUM(G17:G31)</f>
        <v>753084856.66272485</v>
      </c>
      <c r="H33" s="1238">
        <f>SUM(H17:H31)</f>
        <v>0</v>
      </c>
      <c r="I33" s="1238">
        <f>SUM(I17:I31)</f>
        <v>753084856.66272485</v>
      </c>
    </row>
    <row r="34" spans="1:9" ht="13.5" thickTop="1">
      <c r="E34" s="397"/>
      <c r="G34" s="397"/>
      <c r="H34" s="397" t="s">
        <v>358</v>
      </c>
      <c r="I34" s="397"/>
    </row>
    <row r="35" spans="1:9">
      <c r="A35" s="217">
        <f>A33+1</f>
        <v>10</v>
      </c>
      <c r="B35" s="220" t="s">
        <v>2914</v>
      </c>
      <c r="E35" s="397">
        <f>'B-2.1 Base Period GPA'!H86</f>
        <v>60278460.73408556</v>
      </c>
      <c r="F35" s="329">
        <v>1</v>
      </c>
      <c r="G35" s="397">
        <f>(E35*F35)</f>
        <v>60278460.73408556</v>
      </c>
      <c r="H35" s="397">
        <v>0</v>
      </c>
      <c r="I35" s="397">
        <f>(G35+H35)</f>
        <v>60278460.73408556</v>
      </c>
    </row>
    <row r="36" spans="1:9">
      <c r="A36" s="217"/>
      <c r="E36" s="397"/>
      <c r="G36" s="397"/>
      <c r="H36" s="397"/>
      <c r="I36" s="397"/>
    </row>
    <row r="37" spans="1:9">
      <c r="A37" s="217">
        <f>A35+1</f>
        <v>11</v>
      </c>
      <c r="B37" s="229" t="s">
        <v>371</v>
      </c>
      <c r="E37" s="1239">
        <f>E33+E35</f>
        <v>813363317.39681041</v>
      </c>
      <c r="G37" s="1239">
        <f>G33+G35</f>
        <v>813363317.39681041</v>
      </c>
      <c r="H37" s="1239">
        <f>H33+H35</f>
        <v>0</v>
      </c>
      <c r="I37" s="1239">
        <f>I33+I35</f>
        <v>813363317.39681041</v>
      </c>
    </row>
    <row r="38" spans="1:9">
      <c r="A38" s="217"/>
      <c r="B38" s="229"/>
      <c r="G38" s="328"/>
      <c r="H38" s="328"/>
    </row>
    <row r="39" spans="1:9">
      <c r="B39" s="229"/>
      <c r="E39" s="328"/>
      <c r="G39" s="328"/>
      <c r="H39" s="328"/>
    </row>
    <row r="40" spans="1:9">
      <c r="B40" s="229"/>
      <c r="G40" s="328"/>
      <c r="H40" s="328"/>
    </row>
    <row r="41" spans="1:9">
      <c r="G41" s="328"/>
      <c r="H41" s="328"/>
    </row>
    <row r="42" spans="1:9">
      <c r="G42" s="328"/>
      <c r="H42" s="328"/>
    </row>
    <row r="43" spans="1:9">
      <c r="G43" s="328"/>
      <c r="H43" s="328"/>
    </row>
  </sheetData>
  <mergeCells count="4">
    <mergeCell ref="A1:I1"/>
    <mergeCell ref="A2:I2"/>
    <mergeCell ref="A3:I3"/>
    <mergeCell ref="A4:I4"/>
  </mergeCells>
  <printOptions horizontalCentered="1"/>
  <pageMargins left="0.5" right="0.5" top="0.75" bottom="0.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4"/>
  <sheetViews>
    <sheetView topLeftCell="A7" zoomScaleNormal="100" zoomScaleSheetLayoutView="98" workbookViewId="0">
      <selection activeCell="A3" sqref="A3:J3"/>
    </sheetView>
  </sheetViews>
  <sheetFormatPr defaultColWidth="9.6640625" defaultRowHeight="12.75"/>
  <cols>
    <col min="1" max="1" width="7.6640625" style="220" customWidth="1"/>
    <col min="2" max="2" width="14.33203125" style="220" customWidth="1"/>
    <col min="3" max="3" width="9.6640625" style="220"/>
    <col min="4" max="4" width="11.33203125" style="220" customWidth="1"/>
    <col min="5" max="5" width="17.6640625" style="220" customWidth="1"/>
    <col min="6" max="6" width="20.6640625" style="220" customWidth="1"/>
    <col min="7" max="7" width="19.83203125" style="220" customWidth="1"/>
    <col min="8" max="8" width="18.1640625" style="220" customWidth="1"/>
    <col min="9" max="9" width="19.33203125" style="220" customWidth="1"/>
    <col min="10" max="10" width="16.33203125" style="220" customWidth="1"/>
    <col min="11" max="16384" width="9.6640625" style="220"/>
  </cols>
  <sheetData>
    <row r="1" spans="1:10">
      <c r="A1" s="1306" t="str">
        <f>'General Headers Index'!B4</f>
        <v>COLUMBIA GAS OF KENTUCKY, INC.</v>
      </c>
      <c r="B1" s="1306"/>
      <c r="C1" s="1306"/>
      <c r="D1" s="1306"/>
      <c r="E1" s="1306"/>
      <c r="F1" s="1306"/>
      <c r="G1" s="1306"/>
      <c r="H1" s="1306"/>
      <c r="I1" s="1306"/>
      <c r="J1" s="1306"/>
    </row>
    <row r="2" spans="1:10">
      <c r="A2" s="1306" t="str">
        <f>'General Headers Index'!B6</f>
        <v>CASE NO. 2024 - 00092</v>
      </c>
      <c r="B2" s="1306"/>
      <c r="C2" s="1306"/>
      <c r="D2" s="1306"/>
      <c r="E2" s="1306"/>
      <c r="F2" s="1306"/>
      <c r="G2" s="1306"/>
      <c r="H2" s="1306"/>
      <c r="I2" s="1306"/>
      <c r="J2" s="1306"/>
    </row>
    <row r="3" spans="1:10">
      <c r="A3" s="1306" t="str">
        <f>'Index B'!$C$21</f>
        <v>PLANT IN SERVICE BY MAJOR GROUPING</v>
      </c>
      <c r="B3" s="1306"/>
      <c r="C3" s="1306"/>
      <c r="D3" s="1306"/>
      <c r="E3" s="1306"/>
      <c r="F3" s="1306"/>
      <c r="G3" s="1306"/>
      <c r="H3" s="1306"/>
      <c r="I3" s="1306"/>
      <c r="J3" s="1306"/>
    </row>
    <row r="4" spans="1:10">
      <c r="A4" s="1306" t="str">
        <f>'General Headers Index'!B17</f>
        <v>AS OF DECEMBER 31, 2025</v>
      </c>
      <c r="B4" s="1306"/>
      <c r="C4" s="1306"/>
      <c r="D4" s="1306"/>
      <c r="E4" s="1306"/>
      <c r="F4" s="1306"/>
      <c r="G4" s="1306"/>
      <c r="H4" s="1306"/>
      <c r="I4" s="1306"/>
      <c r="J4" s="1306"/>
    </row>
    <row r="5" spans="1:10">
      <c r="A5" s="217"/>
      <c r="B5" s="217"/>
      <c r="C5" s="217"/>
      <c r="D5" s="217"/>
      <c r="E5" s="217"/>
      <c r="F5" s="217"/>
      <c r="G5" s="217"/>
      <c r="H5" s="217"/>
      <c r="I5" s="217"/>
      <c r="J5" s="217"/>
    </row>
    <row r="7" spans="1:10">
      <c r="A7" s="229" t="s">
        <v>2789</v>
      </c>
      <c r="I7" s="229"/>
      <c r="J7" s="326" t="s">
        <v>348</v>
      </c>
    </row>
    <row r="8" spans="1:10">
      <c r="A8" s="229" t="str">
        <f>'General Headers Index'!B37</f>
        <v>TYPE OF FILING:___X___ORIGINAL______UPDATED</v>
      </c>
      <c r="I8" s="229"/>
      <c r="J8" s="326" t="s">
        <v>650</v>
      </c>
    </row>
    <row r="9" spans="1:10">
      <c r="A9" s="229" t="s">
        <v>2472</v>
      </c>
      <c r="I9" s="229"/>
      <c r="J9" s="326" t="str">
        <f>"WITNESS: "&amp;'General Headers Index'!B42</f>
        <v>WITNESS: GORE</v>
      </c>
    </row>
    <row r="10" spans="1:10">
      <c r="A10" s="891"/>
      <c r="B10" s="892"/>
      <c r="C10" s="892"/>
      <c r="D10" s="892"/>
      <c r="E10" s="892"/>
      <c r="F10" s="892"/>
      <c r="G10" s="892"/>
      <c r="H10" s="892"/>
      <c r="I10" s="891"/>
      <c r="J10" s="893"/>
    </row>
    <row r="11" spans="1:10">
      <c r="E11" s="217" t="s">
        <v>651</v>
      </c>
      <c r="G11" s="217" t="s">
        <v>651</v>
      </c>
      <c r="I11" s="217" t="s">
        <v>651</v>
      </c>
    </row>
    <row r="12" spans="1:10">
      <c r="E12" s="217" t="s">
        <v>319</v>
      </c>
      <c r="G12" s="217" t="s">
        <v>319</v>
      </c>
      <c r="I12" s="217" t="s">
        <v>319</v>
      </c>
    </row>
    <row r="13" spans="1:10">
      <c r="A13" s="217" t="s">
        <v>313</v>
      </c>
      <c r="E13" s="217" t="s">
        <v>349</v>
      </c>
      <c r="F13" s="217" t="s">
        <v>350</v>
      </c>
      <c r="G13" s="217" t="s">
        <v>350</v>
      </c>
      <c r="I13" s="217" t="s">
        <v>351</v>
      </c>
      <c r="J13" s="217" t="s">
        <v>352</v>
      </c>
    </row>
    <row r="14" spans="1:10">
      <c r="A14" s="890" t="s">
        <v>316</v>
      </c>
      <c r="B14" s="891" t="s">
        <v>26</v>
      </c>
      <c r="C14" s="892"/>
      <c r="D14" s="892"/>
      <c r="E14" s="890" t="s">
        <v>353</v>
      </c>
      <c r="F14" s="890" t="s">
        <v>354</v>
      </c>
      <c r="G14" s="890" t="s">
        <v>349</v>
      </c>
      <c r="H14" s="890" t="s">
        <v>355</v>
      </c>
      <c r="I14" s="890" t="s">
        <v>350</v>
      </c>
      <c r="J14" s="890" t="s">
        <v>312</v>
      </c>
    </row>
    <row r="15" spans="1:10">
      <c r="A15" s="217"/>
      <c r="B15" s="229"/>
      <c r="E15" s="300" t="s">
        <v>532</v>
      </c>
      <c r="F15" s="300" t="s">
        <v>541</v>
      </c>
      <c r="G15" s="300" t="s">
        <v>2495</v>
      </c>
      <c r="H15" s="300" t="s">
        <v>668</v>
      </c>
      <c r="I15" s="300" t="s">
        <v>2363</v>
      </c>
      <c r="J15" s="300" t="s">
        <v>670</v>
      </c>
    </row>
    <row r="16" spans="1:10">
      <c r="E16" s="217" t="s">
        <v>320</v>
      </c>
      <c r="G16" s="217" t="s">
        <v>320</v>
      </c>
      <c r="H16" s="217" t="s">
        <v>320</v>
      </c>
      <c r="I16" s="217" t="s">
        <v>320</v>
      </c>
      <c r="J16" s="217" t="s">
        <v>320</v>
      </c>
    </row>
    <row r="18" spans="1:10">
      <c r="A18" s="217">
        <f>IF(ISBLANK($B18),"",COUNTA($B$18:B18))</f>
        <v>1</v>
      </c>
      <c r="B18" s="229" t="s">
        <v>356</v>
      </c>
      <c r="E18" s="1168">
        <f>'B-2.1 Forecast Period GPA'!H22</f>
        <v>22717854.334126964</v>
      </c>
      <c r="F18" s="329">
        <v>1</v>
      </c>
      <c r="G18" s="1168">
        <f>(E18*F18)</f>
        <v>22717854.334126964</v>
      </c>
      <c r="H18" s="1168">
        <v>0</v>
      </c>
      <c r="I18" s="1168">
        <f>(G18+H18)</f>
        <v>22717854.334126964</v>
      </c>
      <c r="J18" s="1168">
        <f>'B-2.1 Forecast Period GPA'!I22</f>
        <v>19911881.791160975</v>
      </c>
    </row>
    <row r="19" spans="1:10">
      <c r="A19" s="217" t="str">
        <f>IF(ISBLANK($B19),"",COUNTA($B$18:B19))</f>
        <v/>
      </c>
      <c r="E19" s="1168"/>
      <c r="G19" s="1168"/>
      <c r="H19" s="1168" t="s">
        <v>358</v>
      </c>
      <c r="I19" s="1168"/>
      <c r="J19" s="1168"/>
    </row>
    <row r="20" spans="1:10">
      <c r="A20" s="217">
        <f>IF(ISBLANK($B20),"",COUNTA($B$18:B20))</f>
        <v>2</v>
      </c>
      <c r="B20" s="229" t="s">
        <v>357</v>
      </c>
      <c r="E20" s="1168">
        <v>0</v>
      </c>
      <c r="F20" s="329">
        <v>1</v>
      </c>
      <c r="G20" s="1168">
        <f>(E20*F20)</f>
        <v>0</v>
      </c>
      <c r="H20" s="1168">
        <v>0</v>
      </c>
      <c r="I20" s="1168">
        <f>(G20+H20)</f>
        <v>0</v>
      </c>
      <c r="J20" s="1168">
        <v>0</v>
      </c>
    </row>
    <row r="21" spans="1:10">
      <c r="A21" s="217" t="str">
        <f>IF(ISBLANK($B21),"",COUNTA($B$18:B21))</f>
        <v/>
      </c>
      <c r="E21" s="1168"/>
      <c r="G21" s="1168" t="s">
        <v>358</v>
      </c>
      <c r="H21" s="1168"/>
      <c r="I21" s="1168" t="s">
        <v>358</v>
      </c>
      <c r="J21" s="1168"/>
    </row>
    <row r="22" spans="1:10">
      <c r="A22" s="217">
        <f>IF(ISBLANK($B22),"",COUNTA($B$18:B22))</f>
        <v>3</v>
      </c>
      <c r="B22" s="229" t="s">
        <v>359</v>
      </c>
      <c r="E22" s="1168">
        <v>0</v>
      </c>
      <c r="F22" s="329">
        <v>1</v>
      </c>
      <c r="G22" s="1168">
        <f>(E22*F22)</f>
        <v>0</v>
      </c>
      <c r="H22" s="1168">
        <v>0</v>
      </c>
      <c r="I22" s="1168">
        <f>(G22+H22)</f>
        <v>0</v>
      </c>
      <c r="J22" s="1168">
        <v>0</v>
      </c>
    </row>
    <row r="23" spans="1:10">
      <c r="A23" s="217" t="str">
        <f>IF(ISBLANK($B23),"",COUNTA($B$18:B23))</f>
        <v/>
      </c>
      <c r="E23" s="1168"/>
      <c r="G23" s="1168" t="s">
        <v>358</v>
      </c>
      <c r="H23" s="1168" t="s">
        <v>358</v>
      </c>
      <c r="I23" s="1168" t="s">
        <v>358</v>
      </c>
      <c r="J23" s="1168"/>
    </row>
    <row r="24" spans="1:10">
      <c r="A24" s="217">
        <f>IF(ISBLANK($B24),"",COUNTA($B$18:B24))</f>
        <v>4</v>
      </c>
      <c r="B24" s="229" t="s">
        <v>360</v>
      </c>
      <c r="E24" s="1168">
        <v>0</v>
      </c>
      <c r="F24" s="329">
        <v>1</v>
      </c>
      <c r="G24" s="1168">
        <f>(E24*F24)</f>
        <v>0</v>
      </c>
      <c r="H24" s="1168">
        <v>0</v>
      </c>
      <c r="I24" s="1168">
        <f>(G24+H24)</f>
        <v>0</v>
      </c>
      <c r="J24" s="1168">
        <v>0</v>
      </c>
    </row>
    <row r="25" spans="1:10">
      <c r="A25" s="217" t="str">
        <f>IF(ISBLANK($B25),"",COUNTA($B$18:B25))</f>
        <v/>
      </c>
      <c r="E25" s="1168"/>
      <c r="G25" s="1168" t="s">
        <v>358</v>
      </c>
      <c r="H25" s="1168" t="s">
        <v>358</v>
      </c>
      <c r="I25" s="1168" t="s">
        <v>358</v>
      </c>
      <c r="J25" s="1168"/>
    </row>
    <row r="26" spans="1:10">
      <c r="A26" s="217">
        <f>IF(ISBLANK($B26),"",COUNTA($B$18:B26))</f>
        <v>5</v>
      </c>
      <c r="B26" s="229" t="s">
        <v>361</v>
      </c>
      <c r="E26" s="1168">
        <f>'B-2.1 Forecast Period GPA'!H55</f>
        <v>758901457.0322454</v>
      </c>
      <c r="F26" s="329">
        <v>1</v>
      </c>
      <c r="G26" s="1168">
        <f>(E26*F26)</f>
        <v>758901457.0322454</v>
      </c>
      <c r="H26" s="1168">
        <v>0</v>
      </c>
      <c r="I26" s="1168">
        <f>(G26+H26)</f>
        <v>758901457.0322454</v>
      </c>
      <c r="J26" s="1168">
        <f>'B-2.1 Forecast Period GPA'!I55</f>
        <v>748340633.26499629</v>
      </c>
    </row>
    <row r="27" spans="1:10">
      <c r="A27" s="217" t="str">
        <f>IF(ISBLANK($B27),"",COUNTA($B$18:B27))</f>
        <v/>
      </c>
      <c r="E27" s="1168"/>
      <c r="G27" s="1168" t="s">
        <v>358</v>
      </c>
      <c r="H27" s="1168" t="s">
        <v>358</v>
      </c>
      <c r="I27" s="1168" t="s">
        <v>358</v>
      </c>
      <c r="J27" s="1168"/>
    </row>
    <row r="28" spans="1:10">
      <c r="A28" s="217">
        <f>IF(ISBLANK($B28),"",COUNTA($B$18:B28))</f>
        <v>6</v>
      </c>
      <c r="B28" s="229" t="s">
        <v>362</v>
      </c>
      <c r="E28" s="1168">
        <f>'B-2.1 Forecast Period GPA'!H72</f>
        <v>8438676.1999999993</v>
      </c>
      <c r="F28" s="329">
        <v>1</v>
      </c>
      <c r="G28" s="1168">
        <f>(E28*F28)</f>
        <v>8438676.1999999993</v>
      </c>
      <c r="H28" s="1168">
        <v>0</v>
      </c>
      <c r="I28" s="1168">
        <f>(G28+H28)</f>
        <v>8438676.1999999993</v>
      </c>
      <c r="J28" s="1168">
        <f>'B-2.1 Forecast Period GPA'!I72</f>
        <v>7532717.8084615385</v>
      </c>
    </row>
    <row r="29" spans="1:10">
      <c r="A29" s="217" t="str">
        <f>IF(ISBLANK($B29),"",COUNTA($B$18:B29))</f>
        <v/>
      </c>
      <c r="E29" s="1168"/>
      <c r="G29" s="1168" t="s">
        <v>358</v>
      </c>
      <c r="H29" s="1168" t="s">
        <v>358</v>
      </c>
      <c r="I29" s="1168" t="s">
        <v>358</v>
      </c>
      <c r="J29" s="1168"/>
    </row>
    <row r="30" spans="1:10">
      <c r="A30" s="217">
        <f>IF(ISBLANK($B30),"",COUNTA($B$18:B30))</f>
        <v>7</v>
      </c>
      <c r="B30" s="229" t="s">
        <v>363</v>
      </c>
      <c r="E30" s="1168">
        <v>0</v>
      </c>
      <c r="F30" s="329">
        <v>1</v>
      </c>
      <c r="G30" s="1168">
        <f>(E30*F30)</f>
        <v>0</v>
      </c>
      <c r="H30" s="1168">
        <v>0</v>
      </c>
      <c r="I30" s="1168">
        <f>(G30+H30)</f>
        <v>0</v>
      </c>
      <c r="J30" s="1168">
        <v>0</v>
      </c>
    </row>
    <row r="31" spans="1:10">
      <c r="A31" s="217" t="str">
        <f>IF(ISBLANK($B31),"",COUNTA($B$18:B31))</f>
        <v/>
      </c>
      <c r="E31" s="1168"/>
      <c r="G31" s="1168" t="s">
        <v>358</v>
      </c>
      <c r="H31" s="1168" t="s">
        <v>358</v>
      </c>
      <c r="I31" s="1168" t="s">
        <v>358</v>
      </c>
      <c r="J31" s="1168"/>
    </row>
    <row r="32" spans="1:10">
      <c r="A32" s="217">
        <f>IF(ISBLANK($B32),"",COUNTA($B$18:B32))</f>
        <v>8</v>
      </c>
      <c r="B32" s="229" t="s">
        <v>364</v>
      </c>
      <c r="E32" s="1178">
        <f>'B-2.1 Forecast Period GPA'!H75</f>
        <v>-777092</v>
      </c>
      <c r="F32" s="329">
        <v>1</v>
      </c>
      <c r="G32" s="1178">
        <f>(E32*F32)</f>
        <v>-777092</v>
      </c>
      <c r="H32" s="1178">
        <v>0</v>
      </c>
      <c r="I32" s="1178">
        <f>(G32+H32)</f>
        <v>-777092</v>
      </c>
      <c r="J32" s="1178">
        <f>'B-2.1 Forecast Period GPA'!I75</f>
        <v>-777092</v>
      </c>
    </row>
    <row r="33" spans="1:10">
      <c r="A33" s="217" t="str">
        <f>IF(ISBLANK($B33),"",COUNTA($B$18:B33))</f>
        <v/>
      </c>
      <c r="E33" s="1168"/>
      <c r="G33" s="1168" t="s">
        <v>358</v>
      </c>
      <c r="H33" s="1168" t="s">
        <v>358</v>
      </c>
      <c r="I33" s="1168" t="s">
        <v>358</v>
      </c>
      <c r="J33" s="1168"/>
    </row>
    <row r="34" spans="1:10" ht="13.5" thickBot="1">
      <c r="A34" s="217">
        <f>IF(ISBLANK($B34),"",COUNTA($B$18:B34))</f>
        <v>9</v>
      </c>
      <c r="B34" s="229" t="s">
        <v>2913</v>
      </c>
      <c r="E34" s="1238">
        <f>SUM(E18:E32)</f>
        <v>789280895.56637239</v>
      </c>
      <c r="G34" s="1238">
        <f>SUM(G18:G32)</f>
        <v>789280895.56637239</v>
      </c>
      <c r="H34" s="1238">
        <f>SUM(H18:H32)</f>
        <v>0</v>
      </c>
      <c r="I34" s="1238">
        <f>SUM(I18:I32)</f>
        <v>789280895.56637239</v>
      </c>
      <c r="J34" s="1238">
        <f>SUM(J18:J32)</f>
        <v>775008140.86461878</v>
      </c>
    </row>
    <row r="35" spans="1:10" ht="13.5" thickTop="1">
      <c r="E35" s="1168"/>
      <c r="G35" s="1168"/>
      <c r="H35" s="1168" t="s">
        <v>358</v>
      </c>
      <c r="I35" s="1168"/>
      <c r="J35" s="1168"/>
    </row>
    <row r="36" spans="1:10">
      <c r="A36" s="217">
        <f>A34+1</f>
        <v>10</v>
      </c>
      <c r="B36" s="220" t="s">
        <v>2914</v>
      </c>
      <c r="E36" s="1168">
        <f>'B-2.1 Forecast Period GPA'!H86</f>
        <v>107858061.9423759</v>
      </c>
      <c r="F36" s="329">
        <v>1</v>
      </c>
      <c r="G36" s="1168">
        <f>(E36*F36)</f>
        <v>107858061.9423759</v>
      </c>
      <c r="H36" s="1168">
        <v>0</v>
      </c>
      <c r="I36" s="1168">
        <f>(G36+H36)</f>
        <v>107858061.9423759</v>
      </c>
      <c r="J36" s="1168">
        <f>'B-2.1 Forecast Period GPA'!I86</f>
        <v>88741943.279402107</v>
      </c>
    </row>
    <row r="37" spans="1:10">
      <c r="A37" s="217" t="str">
        <f>IF(ISBLANK($B37),"",COUNTA($B$18:B37))</f>
        <v/>
      </c>
      <c r="E37" s="1168"/>
      <c r="G37" s="1168"/>
      <c r="H37" s="1168"/>
      <c r="I37" s="1168"/>
      <c r="J37" s="1168"/>
    </row>
    <row r="38" spans="1:10">
      <c r="A38" s="217">
        <f>A36+1</f>
        <v>11</v>
      </c>
      <c r="B38" s="229" t="s">
        <v>371</v>
      </c>
      <c r="E38" s="1177">
        <f>E34+E36</f>
        <v>897138957.50874829</v>
      </c>
      <c r="G38" s="1177">
        <f>G34+G36</f>
        <v>897138957.50874829</v>
      </c>
      <c r="H38" s="1177">
        <f>H34+H36</f>
        <v>0</v>
      </c>
      <c r="I38" s="1177">
        <f>I34+I36</f>
        <v>897138957.50874829</v>
      </c>
      <c r="J38" s="1177">
        <f>J34+J36</f>
        <v>863750084.14402092</v>
      </c>
    </row>
    <row r="39" spans="1:10">
      <c r="B39" s="229"/>
      <c r="G39" s="328"/>
      <c r="H39" s="328"/>
    </row>
    <row r="40" spans="1:10">
      <c r="B40" s="229"/>
      <c r="E40" s="328"/>
      <c r="G40" s="328"/>
      <c r="H40" s="328"/>
    </row>
    <row r="41" spans="1:10">
      <c r="B41" s="229"/>
      <c r="G41" s="328"/>
      <c r="H41" s="328"/>
    </row>
    <row r="42" spans="1:10">
      <c r="G42" s="328"/>
      <c r="H42" s="328"/>
    </row>
    <row r="43" spans="1:10">
      <c r="G43" s="328"/>
      <c r="H43" s="328"/>
    </row>
    <row r="44" spans="1:10">
      <c r="G44" s="328"/>
      <c r="H44" s="328"/>
    </row>
  </sheetData>
  <mergeCells count="4">
    <mergeCell ref="A1:J1"/>
    <mergeCell ref="A2:J2"/>
    <mergeCell ref="A3:J3"/>
    <mergeCell ref="A4:J4"/>
  </mergeCells>
  <printOptions horizontalCentered="1"/>
  <pageMargins left="0.5" right="0.5" top="0.75" bottom="0.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88"/>
  <sheetViews>
    <sheetView topLeftCell="A55" zoomScaleNormal="100" zoomScaleSheetLayoutView="100" workbookViewId="0">
      <selection activeCell="D75" sqref="D75:D88"/>
    </sheetView>
  </sheetViews>
  <sheetFormatPr defaultColWidth="12.5" defaultRowHeight="12.75"/>
  <cols>
    <col min="1" max="1" width="6.83203125" style="291" customWidth="1"/>
    <col min="2" max="2" width="9.5" style="291" bestFit="1" customWidth="1"/>
    <col min="3" max="3" width="60.83203125" style="291" customWidth="1"/>
    <col min="4" max="4" width="21" style="291" bestFit="1" customWidth="1"/>
    <col min="5" max="5" width="12.83203125" style="291" customWidth="1"/>
    <col min="6" max="6" width="19.5" style="291" customWidth="1"/>
    <col min="7" max="7" width="18" style="291" bestFit="1" customWidth="1"/>
    <col min="8" max="8" width="21.5" style="291" customWidth="1"/>
    <col min="9" max="16384" width="12.5" style="291"/>
  </cols>
  <sheetData>
    <row r="1" spans="1:8">
      <c r="A1" s="1308" t="str">
        <f>'General Headers Index'!B4</f>
        <v>COLUMBIA GAS OF KENTUCKY, INC.</v>
      </c>
      <c r="B1" s="1308"/>
      <c r="C1" s="1308"/>
      <c r="D1" s="1308"/>
      <c r="E1" s="1308"/>
      <c r="F1" s="1308"/>
      <c r="G1" s="1308"/>
      <c r="H1" s="1308"/>
    </row>
    <row r="2" spans="1:8">
      <c r="A2" s="1308" t="str">
        <f>'General Headers Index'!B6</f>
        <v>CASE NO. 2024 - 00092</v>
      </c>
      <c r="B2" s="1308"/>
      <c r="C2" s="1308"/>
      <c r="D2" s="1308"/>
      <c r="E2" s="1308"/>
      <c r="F2" s="1308"/>
      <c r="G2" s="1308"/>
      <c r="H2" s="1308"/>
    </row>
    <row r="3" spans="1:8">
      <c r="A3" s="1308" t="s">
        <v>365</v>
      </c>
      <c r="B3" s="1308"/>
      <c r="C3" s="1308"/>
      <c r="D3" s="1308"/>
      <c r="E3" s="1308"/>
      <c r="F3" s="1308"/>
      <c r="G3" s="1308"/>
      <c r="H3" s="1308"/>
    </row>
    <row r="4" spans="1:8">
      <c r="A4" s="1308" t="str">
        <f>'General Headers Index'!B10</f>
        <v>AS OF AUGUST 31, 2024</v>
      </c>
      <c r="B4" s="1308"/>
      <c r="C4" s="1308"/>
      <c r="D4" s="1308"/>
      <c r="E4" s="1308"/>
      <c r="F4" s="1308"/>
      <c r="G4" s="1308"/>
      <c r="H4" s="1308"/>
    </row>
    <row r="5" spans="1:8">
      <c r="A5" s="290"/>
      <c r="B5" s="290"/>
      <c r="C5" s="290"/>
      <c r="D5" s="290"/>
      <c r="E5" s="290"/>
      <c r="F5" s="290"/>
      <c r="G5" s="290"/>
      <c r="H5" s="290"/>
    </row>
    <row r="6" spans="1:8">
      <c r="A6" s="297" t="s">
        <v>2790</v>
      </c>
      <c r="H6" s="312" t="s">
        <v>366</v>
      </c>
    </row>
    <row r="7" spans="1:8">
      <c r="A7" s="297" t="str">
        <f>'General Headers Index'!B37</f>
        <v>TYPE OF FILING:___X___ORIGINAL______UPDATED</v>
      </c>
      <c r="H7" s="312" t="s">
        <v>309</v>
      </c>
    </row>
    <row r="8" spans="1:8">
      <c r="A8" s="297" t="s">
        <v>2471</v>
      </c>
      <c r="H8" s="312" t="str">
        <f>"WITNESS: "&amp;'General Headers Index'!B42</f>
        <v>WITNESS: GORE</v>
      </c>
    </row>
    <row r="9" spans="1:8">
      <c r="A9" s="297"/>
      <c r="H9" s="297"/>
    </row>
    <row r="10" spans="1:8">
      <c r="A10" s="316"/>
      <c r="B10" s="315"/>
      <c r="C10" s="315"/>
      <c r="D10" s="324" t="s">
        <v>502</v>
      </c>
      <c r="E10" s="315"/>
      <c r="F10" s="315"/>
      <c r="G10" s="315"/>
      <c r="H10" s="316"/>
    </row>
    <row r="11" spans="1:8">
      <c r="A11" s="217" t="s">
        <v>313</v>
      </c>
      <c r="B11" s="290" t="s">
        <v>368</v>
      </c>
      <c r="C11" s="290" t="s">
        <v>369</v>
      </c>
      <c r="D11" s="290" t="s">
        <v>371</v>
      </c>
      <c r="E11" s="290" t="s">
        <v>78</v>
      </c>
      <c r="F11" s="290" t="s">
        <v>350</v>
      </c>
      <c r="H11" s="290" t="s">
        <v>351</v>
      </c>
    </row>
    <row r="12" spans="1:8">
      <c r="A12" s="885" t="s">
        <v>316</v>
      </c>
      <c r="B12" s="895" t="s">
        <v>316</v>
      </c>
      <c r="C12" s="895" t="s">
        <v>370</v>
      </c>
      <c r="D12" s="895" t="s">
        <v>2093</v>
      </c>
      <c r="E12" s="895" t="s">
        <v>354</v>
      </c>
      <c r="F12" s="895" t="s">
        <v>349</v>
      </c>
      <c r="G12" s="895" t="s">
        <v>355</v>
      </c>
      <c r="H12" s="895" t="s">
        <v>372</v>
      </c>
    </row>
    <row r="13" spans="1:8">
      <c r="A13" s="290"/>
      <c r="B13" s="290"/>
      <c r="C13" s="290"/>
      <c r="D13" s="300" t="s">
        <v>532</v>
      </c>
      <c r="E13" s="300" t="s">
        <v>541</v>
      </c>
      <c r="F13" s="300" t="s">
        <v>2634</v>
      </c>
      <c r="G13" s="300" t="s">
        <v>668</v>
      </c>
      <c r="H13" s="300" t="s">
        <v>2363</v>
      </c>
    </row>
    <row r="14" spans="1:8">
      <c r="D14" s="290" t="s">
        <v>320</v>
      </c>
      <c r="F14" s="290" t="s">
        <v>320</v>
      </c>
      <c r="G14" s="290" t="s">
        <v>320</v>
      </c>
      <c r="H14" s="290" t="s">
        <v>320</v>
      </c>
    </row>
    <row r="15" spans="1:8">
      <c r="A15" s="290">
        <f>IF(ISBLANK($C15),"",COUNTA($C$15:C15))</f>
        <v>1</v>
      </c>
      <c r="B15" s="294"/>
      <c r="C15" s="302" t="s">
        <v>373</v>
      </c>
      <c r="D15" s="313"/>
      <c r="G15" s="313"/>
      <c r="H15" s="313"/>
    </row>
    <row r="16" spans="1:8">
      <c r="A16" s="290">
        <f>IF(ISBLANK($C16),"",COUNTA($C$15:C16))</f>
        <v>2</v>
      </c>
      <c r="B16" s="294">
        <v>301</v>
      </c>
      <c r="C16" s="304" t="s">
        <v>374</v>
      </c>
      <c r="D16" s="1179">
        <f>'WPB-2.1.A Base Period'!O16</f>
        <v>521.20000000000005</v>
      </c>
      <c r="E16" s="320">
        <v>1</v>
      </c>
      <c r="F16" s="1179">
        <f t="shared" ref="F16:F22" si="0">D16</f>
        <v>521.20000000000005</v>
      </c>
      <c r="G16" s="1179">
        <v>0</v>
      </c>
      <c r="H16" s="1179">
        <f t="shared" ref="H16:H21" si="1">(+F16+G16)</f>
        <v>521.20000000000005</v>
      </c>
    </row>
    <row r="17" spans="1:8">
      <c r="A17" s="290">
        <f>IF(ISBLANK($C17),"",COUNTA($C$15:C17))</f>
        <v>3</v>
      </c>
      <c r="B17" s="294">
        <v>303</v>
      </c>
      <c r="C17" s="304" t="s">
        <v>375</v>
      </c>
      <c r="D17" s="1179">
        <f>'WPB-2.1.A Base Period'!O17</f>
        <v>96334.51</v>
      </c>
      <c r="E17" s="313"/>
      <c r="F17" s="1179">
        <f t="shared" si="0"/>
        <v>96334.51</v>
      </c>
      <c r="G17" s="1179">
        <v>0</v>
      </c>
      <c r="H17" s="1179">
        <f t="shared" si="1"/>
        <v>96334.51</v>
      </c>
    </row>
    <row r="18" spans="1:8">
      <c r="A18" s="290">
        <f>IF(ISBLANK($C18),"",COUNTA($C$15:C18))</f>
        <v>4</v>
      </c>
      <c r="B18" s="294">
        <v>303.10000000000002</v>
      </c>
      <c r="C18" s="304" t="s">
        <v>376</v>
      </c>
      <c r="D18" s="1179">
        <f>'WPB-2.1.A Base Period'!O18</f>
        <v>943.27</v>
      </c>
      <c r="E18" s="313"/>
      <c r="F18" s="1179">
        <f t="shared" si="0"/>
        <v>943.27</v>
      </c>
      <c r="G18" s="1179">
        <v>0</v>
      </c>
      <c r="H18" s="1179">
        <f t="shared" si="1"/>
        <v>943.27</v>
      </c>
    </row>
    <row r="19" spans="1:8">
      <c r="A19" s="290">
        <f>IF(ISBLANK($C19),"",COUNTA($C$15:C19))</f>
        <v>5</v>
      </c>
      <c r="B19" s="294">
        <v>303.2</v>
      </c>
      <c r="C19" s="304" t="s">
        <v>377</v>
      </c>
      <c r="D19" s="1179">
        <f>'WPB-2.1.A Base Period'!O19</f>
        <v>0</v>
      </c>
      <c r="E19" s="313"/>
      <c r="F19" s="1179">
        <f t="shared" si="0"/>
        <v>0</v>
      </c>
      <c r="G19" s="1179">
        <v>0</v>
      </c>
      <c r="H19" s="1179">
        <f t="shared" si="1"/>
        <v>0</v>
      </c>
    </row>
    <row r="20" spans="1:8">
      <c r="A20" s="290">
        <f>IF(ISBLANK($C20),"",COUNTA($C$15:C20))</f>
        <v>6</v>
      </c>
      <c r="B20" s="294">
        <v>303.3</v>
      </c>
      <c r="C20" s="304" t="s">
        <v>378</v>
      </c>
      <c r="D20" s="1179">
        <f>'WPB-2.1.A Base Period'!O20</f>
        <v>12565749.710000003</v>
      </c>
      <c r="E20" s="313"/>
      <c r="F20" s="1179">
        <f t="shared" si="0"/>
        <v>12565749.710000003</v>
      </c>
      <c r="G20" s="1179">
        <v>0</v>
      </c>
      <c r="H20" s="1179">
        <f t="shared" si="1"/>
        <v>12565749.710000003</v>
      </c>
    </row>
    <row r="21" spans="1:8">
      <c r="A21" s="290">
        <f>IF(ISBLANK($C21),"",COUNTA($C$15:C21))</f>
        <v>7</v>
      </c>
      <c r="B21" s="294">
        <v>303.99</v>
      </c>
      <c r="C21" s="304" t="s">
        <v>1129</v>
      </c>
      <c r="D21" s="1182">
        <f>'WPB-2.1.A Base Period'!O21</f>
        <v>2094590.3268103721</v>
      </c>
      <c r="E21" s="313"/>
      <c r="F21" s="1180">
        <f t="shared" si="0"/>
        <v>2094590.3268103721</v>
      </c>
      <c r="G21" s="1180">
        <v>0</v>
      </c>
      <c r="H21" s="1180">
        <f t="shared" si="1"/>
        <v>2094590.3268103721</v>
      </c>
    </row>
    <row r="22" spans="1:8">
      <c r="A22" s="290">
        <f>IF(ISBLANK($C22),"",COUNTA($C$15:C22))</f>
        <v>8</v>
      </c>
      <c r="B22" s="294"/>
      <c r="C22" s="304" t="s">
        <v>379</v>
      </c>
      <c r="D22" s="1179">
        <f>SUM(D16:D21)</f>
        <v>14758139.016810376</v>
      </c>
      <c r="E22" s="313"/>
      <c r="F22" s="1179">
        <f t="shared" si="0"/>
        <v>14758139.016810376</v>
      </c>
      <c r="G22" s="1179">
        <f>SUM(G16:G21)</f>
        <v>0</v>
      </c>
      <c r="H22" s="1179">
        <f>SUM(H16:H21)</f>
        <v>14758139.016810376</v>
      </c>
    </row>
    <row r="23" spans="1:8">
      <c r="A23" s="290" t="str">
        <f>IF(ISBLANK($C23),"",COUNTA($C$15:C23))</f>
        <v/>
      </c>
      <c r="B23" s="294"/>
      <c r="C23" s="294"/>
      <c r="D23" s="1179"/>
      <c r="E23" s="313"/>
      <c r="F23" s="1181" t="s">
        <v>358</v>
      </c>
      <c r="G23" s="1179"/>
      <c r="H23" s="1181" t="s">
        <v>358</v>
      </c>
    </row>
    <row r="24" spans="1:8">
      <c r="A24" s="290">
        <f>IF(ISBLANK($C24),"",COUNTA($C$15:C24))</f>
        <v>9</v>
      </c>
      <c r="B24" s="294"/>
      <c r="C24" s="302" t="s">
        <v>1581</v>
      </c>
      <c r="D24" s="1179"/>
      <c r="E24" s="313"/>
      <c r="F24" s="1181" t="s">
        <v>358</v>
      </c>
      <c r="G24" s="1179"/>
      <c r="H24" s="1181" t="s">
        <v>358</v>
      </c>
    </row>
    <row r="25" spans="1:8">
      <c r="A25" s="290">
        <f>IF(ISBLANK($C25),"",COUNTA($C$15:C25))</f>
        <v>10</v>
      </c>
      <c r="B25" s="294">
        <v>374.1</v>
      </c>
      <c r="C25" s="304" t="s">
        <v>382</v>
      </c>
      <c r="D25" s="1179">
        <f>'WPB-2.1.A Base Period'!O25</f>
        <v>205.4</v>
      </c>
      <c r="E25" s="313"/>
      <c r="F25" s="1179">
        <f t="shared" ref="F25:F41" si="2">D25</f>
        <v>205.4</v>
      </c>
      <c r="G25" s="1179">
        <v>0</v>
      </c>
      <c r="H25" s="1179">
        <f t="shared" ref="H25:H41" si="3">(+F25+G25)</f>
        <v>205.4</v>
      </c>
    </row>
    <row r="26" spans="1:8">
      <c r="A26" s="290">
        <f>IF(ISBLANK($C26),"",COUNTA($C$15:C26))</f>
        <v>11</v>
      </c>
      <c r="B26" s="294">
        <v>374.2</v>
      </c>
      <c r="C26" s="304" t="s">
        <v>383</v>
      </c>
      <c r="D26" s="1179">
        <f>'WPB-2.1.A Base Period'!O26</f>
        <v>876986.66</v>
      </c>
      <c r="E26" s="313"/>
      <c r="F26" s="1179">
        <f t="shared" si="2"/>
        <v>876986.66</v>
      </c>
      <c r="G26" s="1179">
        <v>0</v>
      </c>
      <c r="H26" s="1179">
        <f t="shared" si="3"/>
        <v>876986.66</v>
      </c>
    </row>
    <row r="27" spans="1:8">
      <c r="A27" s="290">
        <f>IF(ISBLANK($C27),"",COUNTA($C$15:C27))</f>
        <v>12</v>
      </c>
      <c r="B27" s="294">
        <v>374.4</v>
      </c>
      <c r="C27" s="304" t="s">
        <v>384</v>
      </c>
      <c r="D27" s="1179">
        <f>'WPB-2.1.A Base Period'!O27</f>
        <v>3105701.2200000007</v>
      </c>
      <c r="E27" s="313"/>
      <c r="F27" s="1179">
        <f t="shared" si="2"/>
        <v>3105701.2200000007</v>
      </c>
      <c r="G27" s="1179">
        <v>0</v>
      </c>
      <c r="H27" s="1179">
        <f t="shared" si="3"/>
        <v>3105701.2200000007</v>
      </c>
    </row>
    <row r="28" spans="1:8">
      <c r="A28" s="290">
        <f>IF(ISBLANK($C28),"",COUNTA($C$15:C28))</f>
        <v>13</v>
      </c>
      <c r="B28" s="294">
        <v>374.5</v>
      </c>
      <c r="C28" s="304" t="s">
        <v>385</v>
      </c>
      <c r="D28" s="1179">
        <f>'WPB-2.1.A Base Period'!O28</f>
        <v>2666577.16</v>
      </c>
      <c r="E28" s="313"/>
      <c r="F28" s="1179">
        <f t="shared" si="2"/>
        <v>2666577.16</v>
      </c>
      <c r="G28" s="1179">
        <v>0</v>
      </c>
      <c r="H28" s="1179">
        <f t="shared" si="3"/>
        <v>2666577.16</v>
      </c>
    </row>
    <row r="29" spans="1:8">
      <c r="A29" s="290">
        <f>IF(ISBLANK($C29),"",COUNTA($C$15:C29))</f>
        <v>14</v>
      </c>
      <c r="B29" s="294">
        <v>375.2</v>
      </c>
      <c r="C29" s="304" t="s">
        <v>386</v>
      </c>
      <c r="D29" s="1179">
        <f>'WPB-2.1.A Base Period'!O29</f>
        <v>2124.98</v>
      </c>
      <c r="E29" s="313"/>
      <c r="F29" s="1179">
        <f t="shared" si="2"/>
        <v>2124.98</v>
      </c>
      <c r="G29" s="1179">
        <v>0</v>
      </c>
      <c r="H29" s="1179">
        <f t="shared" si="3"/>
        <v>2124.98</v>
      </c>
    </row>
    <row r="30" spans="1:8">
      <c r="A30" s="290">
        <f>IF(ISBLANK($C30),"",COUNTA($C$15:C30))</f>
        <v>15</v>
      </c>
      <c r="B30" s="294">
        <v>375.3</v>
      </c>
      <c r="C30" s="304" t="s">
        <v>387</v>
      </c>
      <c r="D30" s="1179">
        <f>'WPB-2.1.A Base Period'!O30</f>
        <v>0</v>
      </c>
      <c r="E30" s="313"/>
      <c r="F30" s="1179">
        <f t="shared" si="2"/>
        <v>0</v>
      </c>
      <c r="G30" s="1179">
        <v>0</v>
      </c>
      <c r="H30" s="1179">
        <f t="shared" si="3"/>
        <v>0</v>
      </c>
    </row>
    <row r="31" spans="1:8">
      <c r="A31" s="290">
        <f>IF(ISBLANK($C31),"",COUNTA($C$15:C31))</f>
        <v>16</v>
      </c>
      <c r="B31" s="294">
        <v>375.4</v>
      </c>
      <c r="C31" s="304" t="s">
        <v>388</v>
      </c>
      <c r="D31" s="1179">
        <f>'WPB-2.1.A Base Period'!O31</f>
        <v>3310648.2599999988</v>
      </c>
      <c r="E31" s="313"/>
      <c r="F31" s="1179">
        <f t="shared" si="2"/>
        <v>3310648.2599999988</v>
      </c>
      <c r="G31" s="1179">
        <v>0</v>
      </c>
      <c r="H31" s="1179">
        <f t="shared" si="3"/>
        <v>3310648.2599999988</v>
      </c>
    </row>
    <row r="32" spans="1:8">
      <c r="A32" s="290">
        <f>IF(ISBLANK($C32),"",COUNTA($C$15:C32))</f>
        <v>17</v>
      </c>
      <c r="B32" s="294">
        <v>375.6</v>
      </c>
      <c r="C32" s="304" t="s">
        <v>389</v>
      </c>
      <c r="D32" s="1179">
        <f>'WPB-2.1.A Base Period'!O32</f>
        <v>0</v>
      </c>
      <c r="E32" s="313"/>
      <c r="F32" s="1179">
        <f t="shared" si="2"/>
        <v>0</v>
      </c>
      <c r="G32" s="1179">
        <v>0</v>
      </c>
      <c r="H32" s="1179">
        <f t="shared" si="3"/>
        <v>0</v>
      </c>
    </row>
    <row r="33" spans="1:8">
      <c r="A33" s="290">
        <f>IF(ISBLANK($C33),"",COUNTA($C$15:C33))</f>
        <v>18</v>
      </c>
      <c r="B33" s="294">
        <v>375.7</v>
      </c>
      <c r="C33" s="304" t="s">
        <v>390</v>
      </c>
      <c r="D33" s="1179">
        <f>'WPB-2.1.A Base Period'!O33</f>
        <v>9653355.5099999998</v>
      </c>
      <c r="E33" s="313"/>
      <c r="F33" s="1179">
        <f t="shared" si="2"/>
        <v>9653355.5099999998</v>
      </c>
      <c r="G33" s="1179">
        <v>0</v>
      </c>
      <c r="H33" s="1179">
        <f t="shared" si="3"/>
        <v>9653355.5099999998</v>
      </c>
    </row>
    <row r="34" spans="1:8">
      <c r="A34" s="290">
        <f>IF(ISBLANK($C34),"",COUNTA($C$15:C34))</f>
        <v>19</v>
      </c>
      <c r="B34" s="294">
        <v>375.71</v>
      </c>
      <c r="C34" s="304" t="s">
        <v>391</v>
      </c>
      <c r="D34" s="1179">
        <f>'WPB-2.1.A Base Period'!O34</f>
        <v>880994.59</v>
      </c>
      <c r="E34" s="313"/>
      <c r="F34" s="1179">
        <f t="shared" si="2"/>
        <v>880994.59</v>
      </c>
      <c r="G34" s="1179">
        <v>0</v>
      </c>
      <c r="H34" s="1179">
        <f t="shared" si="3"/>
        <v>880994.59</v>
      </c>
    </row>
    <row r="35" spans="1:8">
      <c r="A35" s="290">
        <f>IF(ISBLANK($C35),"",COUNTA($C$15:C35))</f>
        <v>20</v>
      </c>
      <c r="B35" s="294">
        <v>375.8</v>
      </c>
      <c r="C35" s="304" t="s">
        <v>392</v>
      </c>
      <c r="D35" s="1179">
        <f>'WPB-2.1.A Base Period'!O35</f>
        <v>132125.04</v>
      </c>
      <c r="E35" s="313"/>
      <c r="F35" s="1179">
        <f t="shared" si="2"/>
        <v>132125.04</v>
      </c>
      <c r="G35" s="1179">
        <v>0</v>
      </c>
      <c r="H35" s="1179">
        <f t="shared" si="3"/>
        <v>132125.04</v>
      </c>
    </row>
    <row r="36" spans="1:8">
      <c r="A36" s="290">
        <f>IF(ISBLANK($C36),"",COUNTA($C$15:C36))</f>
        <v>21</v>
      </c>
      <c r="B36" s="294">
        <v>376</v>
      </c>
      <c r="C36" s="220" t="s">
        <v>1582</v>
      </c>
      <c r="D36" s="1179">
        <f>'WPB-2.1.A Base Period'!O36</f>
        <v>415609477.43140608</v>
      </c>
      <c r="E36" s="313"/>
      <c r="F36" s="1179">
        <f t="shared" si="2"/>
        <v>415609477.43140608</v>
      </c>
      <c r="G36" s="1179">
        <v>0</v>
      </c>
      <c r="H36" s="1179">
        <f t="shared" si="3"/>
        <v>415609477.43140608</v>
      </c>
    </row>
    <row r="37" spans="1:8">
      <c r="A37" s="290">
        <f>IF(ISBLANK($C37),"",COUNTA($C$15:C37))</f>
        <v>22</v>
      </c>
      <c r="B37" s="294">
        <v>378.1</v>
      </c>
      <c r="C37" s="304" t="s">
        <v>394</v>
      </c>
      <c r="D37" s="1179">
        <f>'WPB-2.1.A Base Period'!O37</f>
        <v>126600.13999999998</v>
      </c>
      <c r="E37" s="313"/>
      <c r="F37" s="1179">
        <f t="shared" si="2"/>
        <v>126600.13999999998</v>
      </c>
      <c r="G37" s="1179">
        <v>0</v>
      </c>
      <c r="H37" s="1179">
        <f t="shared" si="3"/>
        <v>126600.13999999998</v>
      </c>
    </row>
    <row r="38" spans="1:8">
      <c r="A38" s="290">
        <f>IF(ISBLANK($C38),"",COUNTA($C$15:C38))</f>
        <v>23</v>
      </c>
      <c r="B38" s="294">
        <v>378.2</v>
      </c>
      <c r="C38" s="220" t="s">
        <v>1583</v>
      </c>
      <c r="D38" s="1179">
        <f>'WPB-2.1.A Base Period'!O38</f>
        <v>27404157.581906334</v>
      </c>
      <c r="E38" s="313"/>
      <c r="F38" s="1179">
        <f t="shared" si="2"/>
        <v>27404157.581906334</v>
      </c>
      <c r="G38" s="1179">
        <v>0</v>
      </c>
      <c r="H38" s="1179">
        <f t="shared" si="3"/>
        <v>27404157.581906334</v>
      </c>
    </row>
    <row r="39" spans="1:8">
      <c r="A39" s="290">
        <f>IF(ISBLANK($C39),"",COUNTA($C$15:C39))</f>
        <v>24</v>
      </c>
      <c r="B39" s="294">
        <v>378.3</v>
      </c>
      <c r="C39" s="304" t="s">
        <v>396</v>
      </c>
      <c r="D39" s="1179">
        <f>'WPB-2.1.A Base Period'!O39</f>
        <v>45443.08</v>
      </c>
      <c r="E39" s="313"/>
      <c r="F39" s="1179">
        <f t="shared" si="2"/>
        <v>45443.08</v>
      </c>
      <c r="G39" s="1179">
        <v>0</v>
      </c>
      <c r="H39" s="1179">
        <f t="shared" si="3"/>
        <v>45443.08</v>
      </c>
    </row>
    <row r="40" spans="1:8">
      <c r="A40" s="290">
        <f>IF(ISBLANK($C40),"",COUNTA($C$15:C40))</f>
        <v>25</v>
      </c>
      <c r="B40" s="294">
        <v>379.1</v>
      </c>
      <c r="C40" s="304" t="s">
        <v>397</v>
      </c>
      <c r="D40" s="1179">
        <f>'WPB-2.1.A Base Period'!O40</f>
        <v>1554144.06</v>
      </c>
      <c r="E40" s="313"/>
      <c r="F40" s="1179">
        <f t="shared" si="2"/>
        <v>1554144.06</v>
      </c>
      <c r="G40" s="1179">
        <v>0</v>
      </c>
      <c r="H40" s="1179">
        <f t="shared" si="3"/>
        <v>1554144.06</v>
      </c>
    </row>
    <row r="41" spans="1:8">
      <c r="A41" s="290">
        <f>IF(ISBLANK($C41),"",COUNTA($C$15:C41))</f>
        <v>26</v>
      </c>
      <c r="B41" s="294">
        <v>380</v>
      </c>
      <c r="C41" s="220" t="s">
        <v>1584</v>
      </c>
      <c r="D41" s="1179">
        <f>'WPB-2.1.A Base Period'!O41</f>
        <v>203858319.938647</v>
      </c>
      <c r="E41" s="313"/>
      <c r="F41" s="1179">
        <f t="shared" si="2"/>
        <v>203858319.938647</v>
      </c>
      <c r="G41" s="1179">
        <v>0</v>
      </c>
      <c r="H41" s="1179">
        <f t="shared" si="3"/>
        <v>203858319.938647</v>
      </c>
    </row>
    <row r="42" spans="1:8">
      <c r="A42" s="290">
        <f>IF(ISBLANK($C42),"",COUNTA($C$15:C42))</f>
        <v>27</v>
      </c>
      <c r="B42" s="294">
        <v>381</v>
      </c>
      <c r="C42" s="304" t="s">
        <v>399</v>
      </c>
      <c r="D42" s="1179">
        <f>'WPB-2.1.A Base Period'!O42</f>
        <v>19637901.430000007</v>
      </c>
      <c r="E42" s="320"/>
      <c r="F42" s="1179">
        <f t="shared" ref="F42:F53" si="4">D42</f>
        <v>19637901.430000007</v>
      </c>
      <c r="G42" s="1179">
        <v>0</v>
      </c>
      <c r="H42" s="1179">
        <f t="shared" ref="H42:H53" si="5">(+F42+G42)</f>
        <v>19637901.430000007</v>
      </c>
    </row>
    <row r="43" spans="1:8">
      <c r="A43" s="290">
        <f>IF(ISBLANK($C43),"",COUNTA($C$15:C43))</f>
        <v>28</v>
      </c>
      <c r="B43" s="294">
        <v>381.1</v>
      </c>
      <c r="C43" s="304" t="s">
        <v>2366</v>
      </c>
      <c r="D43" s="1179">
        <f>'WPB-2.1.A Base Period'!O43</f>
        <v>9980854.4800000004</v>
      </c>
      <c r="E43" s="313"/>
      <c r="F43" s="1179">
        <f t="shared" si="4"/>
        <v>9980854.4800000004</v>
      </c>
      <c r="G43" s="1179">
        <v>0</v>
      </c>
      <c r="H43" s="1179">
        <f t="shared" si="5"/>
        <v>9980854.4800000004</v>
      </c>
    </row>
    <row r="44" spans="1:8">
      <c r="A44" s="290">
        <f>IF(ISBLANK($C44),"",COUNTA($C$15:C44))</f>
        <v>29</v>
      </c>
      <c r="B44" s="294">
        <v>382</v>
      </c>
      <c r="C44" s="220" t="s">
        <v>1585</v>
      </c>
      <c r="D44" s="1179">
        <f>'WPB-2.1.A Base Period'!O44</f>
        <v>10605504.892643822</v>
      </c>
      <c r="E44" s="313"/>
      <c r="F44" s="1179">
        <f t="shared" si="4"/>
        <v>10605504.892643822</v>
      </c>
      <c r="G44" s="1179">
        <v>0</v>
      </c>
      <c r="H44" s="1179">
        <f t="shared" si="5"/>
        <v>10605504.892643822</v>
      </c>
    </row>
    <row r="45" spans="1:8">
      <c r="A45" s="290">
        <f>IF(ISBLANK($C45),"",COUNTA($C$15:C45))</f>
        <v>30</v>
      </c>
      <c r="B45" s="294">
        <v>383</v>
      </c>
      <c r="C45" s="220" t="s">
        <v>1586</v>
      </c>
      <c r="D45" s="1179">
        <f>'WPB-2.1.A Base Period'!O45</f>
        <v>7467481.8413111707</v>
      </c>
      <c r="E45" s="313"/>
      <c r="F45" s="1179">
        <f t="shared" si="4"/>
        <v>7467481.8413111707</v>
      </c>
      <c r="G45" s="1179">
        <v>0</v>
      </c>
      <c r="H45" s="1179">
        <f t="shared" si="5"/>
        <v>7467481.8413111707</v>
      </c>
    </row>
    <row r="46" spans="1:8">
      <c r="A46" s="290">
        <f>IF(ISBLANK($C46),"",COUNTA($C$15:C46))</f>
        <v>31</v>
      </c>
      <c r="B46" s="294">
        <v>384</v>
      </c>
      <c r="C46" s="304" t="s">
        <v>402</v>
      </c>
      <c r="D46" s="1179">
        <f>'WPB-2.1.A Base Period'!O46</f>
        <v>2085164.5799999998</v>
      </c>
      <c r="E46" s="313"/>
      <c r="F46" s="1179">
        <f t="shared" si="4"/>
        <v>2085164.5799999998</v>
      </c>
      <c r="G46" s="1179">
        <v>0</v>
      </c>
      <c r="H46" s="1179">
        <f t="shared" si="5"/>
        <v>2085164.5799999998</v>
      </c>
    </row>
    <row r="47" spans="1:8">
      <c r="A47" s="290">
        <f>IF(ISBLANK($C47),"",COUNTA($C$15:C47))</f>
        <v>32</v>
      </c>
      <c r="B47" s="294">
        <v>385</v>
      </c>
      <c r="C47" s="304" t="s">
        <v>403</v>
      </c>
      <c r="D47" s="1179">
        <f>'WPB-2.1.A Base Period'!O47</f>
        <v>6204468.29</v>
      </c>
      <c r="E47" s="313"/>
      <c r="F47" s="1179">
        <f t="shared" si="4"/>
        <v>6204468.29</v>
      </c>
      <c r="G47" s="1179">
        <v>0</v>
      </c>
      <c r="H47" s="1179">
        <f t="shared" si="5"/>
        <v>6204468.29</v>
      </c>
    </row>
    <row r="48" spans="1:8">
      <c r="A48" s="290">
        <f>IF(ISBLANK($C48),"",COUNTA($C$15:C48))</f>
        <v>33</v>
      </c>
      <c r="B48" s="294">
        <v>387.2</v>
      </c>
      <c r="C48" s="304" t="s">
        <v>404</v>
      </c>
      <c r="D48" s="1179">
        <f>'WPB-2.1.A Base Period'!O48</f>
        <v>0</v>
      </c>
      <c r="E48" s="313"/>
      <c r="F48" s="1179">
        <f t="shared" si="4"/>
        <v>0</v>
      </c>
      <c r="G48" s="1179">
        <v>0</v>
      </c>
      <c r="H48" s="1179">
        <f t="shared" si="5"/>
        <v>0</v>
      </c>
    </row>
    <row r="49" spans="1:8">
      <c r="A49" s="290">
        <f>IF(ISBLANK($C49),"",COUNTA($C$15:C49))</f>
        <v>34</v>
      </c>
      <c r="B49" s="294">
        <v>387.41</v>
      </c>
      <c r="C49" s="304" t="s">
        <v>405</v>
      </c>
      <c r="D49" s="1179">
        <f>'WPB-2.1.A Base Period'!O49</f>
        <v>260538.46000000008</v>
      </c>
      <c r="E49" s="313"/>
      <c r="F49" s="1179">
        <f t="shared" si="4"/>
        <v>260538.46000000008</v>
      </c>
      <c r="G49" s="1179">
        <v>0</v>
      </c>
      <c r="H49" s="1179">
        <f t="shared" si="5"/>
        <v>260538.46000000008</v>
      </c>
    </row>
    <row r="50" spans="1:8">
      <c r="A50" s="290">
        <f>IF(ISBLANK($C50),"",COUNTA($C$15:C50))</f>
        <v>35</v>
      </c>
      <c r="B50" s="294">
        <v>387.42</v>
      </c>
      <c r="C50" s="304" t="s">
        <v>406</v>
      </c>
      <c r="D50" s="1179">
        <f>'WPB-2.1.A Base Period'!O50</f>
        <v>419367.40000000008</v>
      </c>
      <c r="E50" s="313"/>
      <c r="F50" s="1179">
        <f t="shared" si="4"/>
        <v>419367.40000000008</v>
      </c>
      <c r="G50" s="1179">
        <v>0</v>
      </c>
      <c r="H50" s="1179">
        <f t="shared" si="5"/>
        <v>419367.40000000008</v>
      </c>
    </row>
    <row r="51" spans="1:8">
      <c r="A51" s="290">
        <f>IF(ISBLANK($C51),"",COUNTA($C$15:C51))</f>
        <v>36</v>
      </c>
      <c r="B51" s="294">
        <v>387.44</v>
      </c>
      <c r="C51" s="304" t="s">
        <v>407</v>
      </c>
      <c r="D51" s="1179">
        <f>'WPB-2.1.A Base Period'!O51</f>
        <v>124678.76000000001</v>
      </c>
      <c r="E51" s="313"/>
      <c r="F51" s="1179">
        <f t="shared" si="4"/>
        <v>124678.76000000001</v>
      </c>
      <c r="G51" s="1179">
        <v>0</v>
      </c>
      <c r="H51" s="1179">
        <f t="shared" si="5"/>
        <v>124678.76000000001</v>
      </c>
    </row>
    <row r="52" spans="1:8">
      <c r="A52" s="290">
        <f>IF(ISBLANK($C52),"",COUNTA($C$15:C52))</f>
        <v>37</v>
      </c>
      <c r="B52" s="294">
        <v>387.45</v>
      </c>
      <c r="C52" s="304" t="s">
        <v>408</v>
      </c>
      <c r="D52" s="1179">
        <f>'WPB-2.1.A Base Period'!O52</f>
        <v>6119025.9300000006</v>
      </c>
      <c r="E52" s="313"/>
      <c r="F52" s="1179">
        <f t="shared" si="4"/>
        <v>6119025.9300000006</v>
      </c>
      <c r="G52" s="1179">
        <v>0</v>
      </c>
      <c r="H52" s="1179">
        <f t="shared" si="5"/>
        <v>6119025.9300000006</v>
      </c>
    </row>
    <row r="53" spans="1:8">
      <c r="A53" s="290">
        <f>IF(ISBLANK($C53),"",COUNTA($C$15:C53))</f>
        <v>38</v>
      </c>
      <c r="B53" s="294">
        <v>387.46</v>
      </c>
      <c r="C53" s="304" t="s">
        <v>409</v>
      </c>
      <c r="D53" s="1179">
        <f>'WPB-2.1.A Base Period'!O53</f>
        <v>113644.47</v>
      </c>
      <c r="E53" s="313"/>
      <c r="F53" s="1179">
        <f t="shared" si="4"/>
        <v>113644.47</v>
      </c>
      <c r="G53" s="1179">
        <v>0</v>
      </c>
      <c r="H53" s="1179">
        <f t="shared" si="5"/>
        <v>113644.47</v>
      </c>
    </row>
    <row r="54" spans="1:8">
      <c r="A54" s="290">
        <f>IF(ISBLANK($C54),"",COUNTA($C$15:C54))</f>
        <v>39</v>
      </c>
      <c r="B54" s="294">
        <v>387.5</v>
      </c>
      <c r="C54" s="304" t="s">
        <v>1075</v>
      </c>
      <c r="D54" s="1182">
        <f>'WPB-2.1.A Base Period'!O54</f>
        <v>238072.69</v>
      </c>
      <c r="E54" s="313"/>
      <c r="F54" s="1180">
        <f>D54</f>
        <v>238072.69</v>
      </c>
      <c r="G54" s="1182">
        <v>0</v>
      </c>
      <c r="H54" s="1180">
        <f>(+F54+G54)</f>
        <v>238072.69</v>
      </c>
    </row>
    <row r="55" spans="1:8">
      <c r="A55" s="290">
        <f>IF(ISBLANK($C55),"",COUNTA($C$15:C55))</f>
        <v>40</v>
      </c>
      <c r="B55" s="294"/>
      <c r="C55" s="304" t="s">
        <v>1587</v>
      </c>
      <c r="D55" s="1179">
        <f>SUM(D25:D41)+SUM(D42:D54)</f>
        <v>732483564.27591443</v>
      </c>
      <c r="E55" s="313"/>
      <c r="F55" s="1179">
        <f>SUM(F25:F41)+SUM(F42:F54)</f>
        <v>732483564.27591443</v>
      </c>
      <c r="G55" s="1179">
        <f>SUM(G25:G41)+SUM(G42:G54)</f>
        <v>0</v>
      </c>
      <c r="H55" s="1179">
        <f>SUM(H25:H41)+SUM(H42:H54)</f>
        <v>732483564.27591443</v>
      </c>
    </row>
    <row r="56" spans="1:8">
      <c r="A56" s="290" t="str">
        <f>IF(ISBLANK($C56),"",COUNTA($C$15:C56))</f>
        <v/>
      </c>
      <c r="B56" s="294"/>
      <c r="C56" s="294"/>
      <c r="D56" s="1179"/>
      <c r="E56" s="313"/>
      <c r="F56" s="1181" t="s">
        <v>358</v>
      </c>
      <c r="G56" s="1179"/>
      <c r="H56" s="1181" t="s">
        <v>358</v>
      </c>
    </row>
    <row r="57" spans="1:8">
      <c r="A57" s="290">
        <f>IF(ISBLANK($C57),"",COUNTA($C$15:C57))</f>
        <v>41</v>
      </c>
      <c r="B57" s="294"/>
      <c r="C57" s="302" t="s">
        <v>411</v>
      </c>
      <c r="D57" s="1179"/>
      <c r="E57" s="313"/>
      <c r="F57" s="1181" t="s">
        <v>358</v>
      </c>
      <c r="G57" s="1179"/>
      <c r="H57" s="1181" t="s">
        <v>358</v>
      </c>
    </row>
    <row r="58" spans="1:8">
      <c r="A58" s="290">
        <f>IF(ISBLANK($C58),"",COUNTA($C$15:C58))</f>
        <v>42</v>
      </c>
      <c r="B58" s="294">
        <v>391.1</v>
      </c>
      <c r="C58" s="304" t="s">
        <v>412</v>
      </c>
      <c r="D58" s="1179">
        <f>'WPB-2.1.A Base Period'!O71</f>
        <v>921741.33000000007</v>
      </c>
      <c r="E58" s="313"/>
      <c r="F58" s="1179">
        <f t="shared" ref="F58:F71" si="6">D58</f>
        <v>921741.33000000007</v>
      </c>
      <c r="G58" s="1179">
        <v>0</v>
      </c>
      <c r="H58" s="1179">
        <f t="shared" ref="H58:H71" si="7">(+F58+G58)</f>
        <v>921741.33000000007</v>
      </c>
    </row>
    <row r="59" spans="1:8">
      <c r="A59" s="290">
        <f>IF(ISBLANK($C59),"",COUNTA($C$15:C59))</f>
        <v>43</v>
      </c>
      <c r="B59" s="294">
        <v>391.11</v>
      </c>
      <c r="C59" s="304" t="s">
        <v>413</v>
      </c>
      <c r="D59" s="1179">
        <f>'WPB-2.1.A Base Period'!O72</f>
        <v>0</v>
      </c>
      <c r="E59" s="313"/>
      <c r="F59" s="1179">
        <f t="shared" si="6"/>
        <v>0</v>
      </c>
      <c r="G59" s="1179">
        <v>0</v>
      </c>
      <c r="H59" s="1179">
        <f t="shared" si="7"/>
        <v>0</v>
      </c>
    </row>
    <row r="60" spans="1:8">
      <c r="A60" s="290">
        <f>IF(ISBLANK($C60),"",COUNTA($C$15:C60))</f>
        <v>44</v>
      </c>
      <c r="B60" s="294">
        <v>391.12</v>
      </c>
      <c r="C60" s="304" t="s">
        <v>414</v>
      </c>
      <c r="D60" s="1179">
        <f>'WPB-2.1.A Base Period'!O73</f>
        <v>37129.580000000009</v>
      </c>
      <c r="E60" s="313"/>
      <c r="F60" s="1179">
        <f t="shared" si="6"/>
        <v>37129.580000000009</v>
      </c>
      <c r="G60" s="1179">
        <v>0</v>
      </c>
      <c r="H60" s="1179">
        <f t="shared" si="7"/>
        <v>37129.580000000009</v>
      </c>
    </row>
    <row r="61" spans="1:8">
      <c r="A61" s="290">
        <f>IF(ISBLANK($C61),"",COUNTA($C$15:C61))</f>
        <v>45</v>
      </c>
      <c r="B61" s="294">
        <v>392.2</v>
      </c>
      <c r="C61" s="304" t="s">
        <v>524</v>
      </c>
      <c r="D61" s="1179">
        <f>'WPB-2.1.A Base Period'!O74</f>
        <v>48924.4</v>
      </c>
      <c r="E61" s="313"/>
      <c r="F61" s="1179">
        <f t="shared" si="6"/>
        <v>48924.4</v>
      </c>
      <c r="G61" s="1179">
        <v>0</v>
      </c>
      <c r="H61" s="1179">
        <f t="shared" si="7"/>
        <v>48924.4</v>
      </c>
    </row>
    <row r="62" spans="1:8">
      <c r="A62" s="290">
        <f>IF(ISBLANK($C62),"",COUNTA($C$15:C62))</f>
        <v>46</v>
      </c>
      <c r="B62" s="294">
        <v>392.21</v>
      </c>
      <c r="C62" s="304" t="s">
        <v>415</v>
      </c>
      <c r="D62" s="1179">
        <f>'WPB-2.1.A Base Period'!O75</f>
        <v>24462.2</v>
      </c>
      <c r="E62" s="313"/>
      <c r="F62" s="1179">
        <f t="shared" si="6"/>
        <v>24462.2</v>
      </c>
      <c r="G62" s="1179">
        <v>0</v>
      </c>
      <c r="H62" s="1179">
        <f t="shared" si="7"/>
        <v>24462.2</v>
      </c>
    </row>
    <row r="63" spans="1:8">
      <c r="A63" s="290">
        <f>IF(ISBLANK($C63),"",COUNTA($C$15:C63))</f>
        <v>47</v>
      </c>
      <c r="B63" s="294">
        <v>393</v>
      </c>
      <c r="C63" s="304" t="s">
        <v>416</v>
      </c>
      <c r="D63" s="1179">
        <f>'WPB-2.1.A Base Period'!O76</f>
        <v>0</v>
      </c>
      <c r="E63" s="313"/>
      <c r="F63" s="1179">
        <f t="shared" si="6"/>
        <v>0</v>
      </c>
      <c r="G63" s="1179">
        <v>0</v>
      </c>
      <c r="H63" s="1179">
        <f t="shared" si="7"/>
        <v>0</v>
      </c>
    </row>
    <row r="64" spans="1:8">
      <c r="A64" s="290">
        <f>IF(ISBLANK($C64),"",COUNTA($C$15:C64))</f>
        <v>48</v>
      </c>
      <c r="B64" s="294">
        <v>394.1</v>
      </c>
      <c r="C64" s="304" t="s">
        <v>417</v>
      </c>
      <c r="D64" s="1179">
        <f>'WPB-2.1.A Base Period'!O77</f>
        <v>9739</v>
      </c>
      <c r="E64" s="313"/>
      <c r="F64" s="1179">
        <f t="shared" si="6"/>
        <v>9739</v>
      </c>
      <c r="G64" s="1179">
        <v>0</v>
      </c>
      <c r="H64" s="1179">
        <f t="shared" si="7"/>
        <v>9739</v>
      </c>
    </row>
    <row r="65" spans="1:8">
      <c r="A65" s="290">
        <f>IF(ISBLANK($C65),"",COUNTA($C$15:C65))</f>
        <v>49</v>
      </c>
      <c r="B65" s="294">
        <v>394.11</v>
      </c>
      <c r="C65" s="304" t="s">
        <v>418</v>
      </c>
      <c r="D65" s="1179">
        <f>'WPB-2.1.A Base Period'!O78</f>
        <v>0</v>
      </c>
      <c r="E65" s="313"/>
      <c r="F65" s="1179">
        <f t="shared" si="6"/>
        <v>0</v>
      </c>
      <c r="G65" s="1179">
        <v>0</v>
      </c>
      <c r="H65" s="1179">
        <f t="shared" si="7"/>
        <v>0</v>
      </c>
    </row>
    <row r="66" spans="1:8" ht="13.5" customHeight="1">
      <c r="A66" s="290">
        <f>IF(ISBLANK($C66),"",COUNTA($C$15:C66))</f>
        <v>50</v>
      </c>
      <c r="B66" s="294">
        <v>394.13</v>
      </c>
      <c r="C66" s="304" t="s">
        <v>419</v>
      </c>
      <c r="D66" s="1179">
        <f>'WPB-2.1.A Base Period'!O79</f>
        <v>0</v>
      </c>
      <c r="E66" s="313"/>
      <c r="F66" s="1179">
        <f t="shared" si="6"/>
        <v>0</v>
      </c>
      <c r="G66" s="1179">
        <v>0</v>
      </c>
      <c r="H66" s="1179">
        <f t="shared" si="7"/>
        <v>0</v>
      </c>
    </row>
    <row r="67" spans="1:8" ht="13.5" customHeight="1">
      <c r="A67" s="290">
        <f>IF(ISBLANK($C67),"",COUNTA($C$15:C67))</f>
        <v>51</v>
      </c>
      <c r="B67" s="294">
        <v>394.2</v>
      </c>
      <c r="C67" s="304" t="s">
        <v>515</v>
      </c>
      <c r="D67" s="1179">
        <f>'WPB-2.1.A Base Period'!O80</f>
        <v>0</v>
      </c>
      <c r="E67" s="313"/>
      <c r="F67" s="1179">
        <f t="shared" si="6"/>
        <v>0</v>
      </c>
      <c r="G67" s="1179">
        <v>0</v>
      </c>
      <c r="H67" s="1179">
        <f t="shared" si="7"/>
        <v>0</v>
      </c>
    </row>
    <row r="68" spans="1:8">
      <c r="A68" s="290">
        <f>IF(ISBLANK($C68),"",COUNTA($C$15:C68))</f>
        <v>52</v>
      </c>
      <c r="B68" s="294">
        <v>394.3</v>
      </c>
      <c r="C68" s="304" t="s">
        <v>420</v>
      </c>
      <c r="D68" s="1179">
        <f>'WPB-2.1.A Base Period'!O81</f>
        <v>5244673.6599999992</v>
      </c>
      <c r="E68" s="313"/>
      <c r="F68" s="1179">
        <f t="shared" si="6"/>
        <v>5244673.6599999992</v>
      </c>
      <c r="G68" s="1179">
        <v>0</v>
      </c>
      <c r="H68" s="1179">
        <f t="shared" si="7"/>
        <v>5244673.6599999992</v>
      </c>
    </row>
    <row r="69" spans="1:8">
      <c r="A69" s="290">
        <f>IF(ISBLANK($C69),"",COUNTA($C$15:C69))</f>
        <v>53</v>
      </c>
      <c r="B69" s="294">
        <v>395</v>
      </c>
      <c r="C69" s="304" t="s">
        <v>421</v>
      </c>
      <c r="D69" s="1179">
        <f>'WPB-2.1.A Base Period'!O82</f>
        <v>0</v>
      </c>
      <c r="E69" s="313"/>
      <c r="F69" s="1179">
        <f t="shared" si="6"/>
        <v>0</v>
      </c>
      <c r="G69" s="1179">
        <v>0</v>
      </c>
      <c r="H69" s="1179">
        <f t="shared" si="7"/>
        <v>0</v>
      </c>
    </row>
    <row r="70" spans="1:8">
      <c r="A70" s="290">
        <f>IF(ISBLANK($C70),"",COUNTA($C$15:C70))</f>
        <v>54</v>
      </c>
      <c r="B70" s="294">
        <v>396</v>
      </c>
      <c r="C70" s="304" t="s">
        <v>422</v>
      </c>
      <c r="D70" s="1179">
        <f>'WPB-2.1.A Base Period'!O83</f>
        <v>185547</v>
      </c>
      <c r="E70" s="313"/>
      <c r="F70" s="1179">
        <f t="shared" si="6"/>
        <v>185547</v>
      </c>
      <c r="G70" s="1179">
        <v>0</v>
      </c>
      <c r="H70" s="1179">
        <f t="shared" si="7"/>
        <v>185547</v>
      </c>
    </row>
    <row r="71" spans="1:8">
      <c r="A71" s="290">
        <f>IF(ISBLANK($C71),"",COUNTA($C$15:C71))</f>
        <v>55</v>
      </c>
      <c r="B71" s="294">
        <v>398</v>
      </c>
      <c r="C71" s="304" t="s">
        <v>423</v>
      </c>
      <c r="D71" s="1182">
        <f>'WPB-2.1.A Base Period'!O84</f>
        <v>148028.20000000001</v>
      </c>
      <c r="E71" s="313"/>
      <c r="F71" s="1182">
        <f t="shared" si="6"/>
        <v>148028.20000000001</v>
      </c>
      <c r="G71" s="1182">
        <v>0</v>
      </c>
      <c r="H71" s="1182">
        <f t="shared" si="7"/>
        <v>148028.20000000001</v>
      </c>
    </row>
    <row r="72" spans="1:8">
      <c r="A72" s="290">
        <f>IF(ISBLANK($C72),"",COUNTA($C$15:C72))</f>
        <v>56</v>
      </c>
      <c r="B72" s="294"/>
      <c r="C72" s="304" t="s">
        <v>425</v>
      </c>
      <c r="D72" s="1179">
        <f>SUM(D58:D71)</f>
        <v>6620245.3699999992</v>
      </c>
      <c r="E72" s="313"/>
      <c r="F72" s="1179">
        <f>SUM(F58:F71)</f>
        <v>6620245.3699999992</v>
      </c>
      <c r="G72" s="1179">
        <f>SUM(G58:G71)</f>
        <v>0</v>
      </c>
      <c r="H72" s="1179">
        <f>SUM(H58:H71)</f>
        <v>6620245.3699999992</v>
      </c>
    </row>
    <row r="73" spans="1:8">
      <c r="A73" s="290" t="str">
        <f>IF(ISBLANK($C73),"",COUNTA($C$15:C73))</f>
        <v/>
      </c>
      <c r="B73" s="294"/>
      <c r="C73" s="304"/>
      <c r="D73" s="1179"/>
      <c r="E73" s="313"/>
      <c r="F73" s="1179"/>
      <c r="G73" s="1179"/>
      <c r="H73" s="1179"/>
    </row>
    <row r="74" spans="1:8">
      <c r="A74" s="290">
        <f>IF(ISBLANK($C74),"",COUNTA($C$15:C74))</f>
        <v>57</v>
      </c>
      <c r="B74" s="294"/>
      <c r="C74" s="302" t="s">
        <v>1038</v>
      </c>
      <c r="D74" s="1179"/>
      <c r="E74" s="313"/>
      <c r="F74" s="1181" t="s">
        <v>358</v>
      </c>
      <c r="G74" s="1179"/>
      <c r="H74" s="1181" t="s">
        <v>358</v>
      </c>
    </row>
    <row r="75" spans="1:8">
      <c r="A75" s="290">
        <f>IF(ISBLANK($C75),"",COUNTA($C$15:C75))</f>
        <v>58</v>
      </c>
      <c r="B75" s="294">
        <v>378.21</v>
      </c>
      <c r="C75" s="304" t="s">
        <v>1037</v>
      </c>
      <c r="D75" s="1182">
        <f>'WPB-2.1.A Base Period'!O88</f>
        <v>-777092</v>
      </c>
      <c r="E75" s="313"/>
      <c r="F75" s="1182">
        <f>D75</f>
        <v>-777092</v>
      </c>
      <c r="G75" s="1182">
        <v>0</v>
      </c>
      <c r="H75" s="1182">
        <f>(+F75+G75)</f>
        <v>-777092</v>
      </c>
    </row>
    <row r="76" spans="1:8">
      <c r="A76" s="290">
        <f>IF(ISBLANK($C76),"",COUNTA($C$15:C76))</f>
        <v>59</v>
      </c>
      <c r="B76" s="294"/>
      <c r="C76" s="304" t="s">
        <v>1579</v>
      </c>
      <c r="D76" s="1179">
        <f>SUM(D75)</f>
        <v>-777092</v>
      </c>
      <c r="F76" s="1179">
        <f>SUM(F75)</f>
        <v>-777092</v>
      </c>
      <c r="G76" s="1179">
        <f>SUM(G75)</f>
        <v>0</v>
      </c>
      <c r="H76" s="1179">
        <f>SUM(H75)</f>
        <v>-777092</v>
      </c>
    </row>
    <row r="77" spans="1:8">
      <c r="A77" s="290" t="str">
        <f>IF(ISBLANK($C77),"",COUNTA($C$15:C77))</f>
        <v/>
      </c>
      <c r="B77" s="294"/>
      <c r="C77" s="294"/>
      <c r="D77" s="1179"/>
      <c r="E77" s="313"/>
      <c r="F77" s="1181" t="s">
        <v>358</v>
      </c>
      <c r="G77" s="1179"/>
      <c r="H77" s="1181" t="s">
        <v>358</v>
      </c>
    </row>
    <row r="78" spans="1:8">
      <c r="A78" s="290">
        <f>IF(ISBLANK($C78),"",COUNTA($C$15:C78))</f>
        <v>60</v>
      </c>
      <c r="B78" s="294"/>
      <c r="C78" s="304" t="s">
        <v>1580</v>
      </c>
      <c r="D78" s="1183">
        <f>D22+D55+D72+D76</f>
        <v>753084856.66272485</v>
      </c>
      <c r="E78" s="313"/>
      <c r="F78" s="1183">
        <f>F22+F55+F72+F76</f>
        <v>753084856.66272485</v>
      </c>
      <c r="G78" s="1183">
        <f>G2+G55+G72+G76</f>
        <v>0</v>
      </c>
      <c r="H78" s="1183">
        <f>H22+H55+H72+H76</f>
        <v>753084856.66272485</v>
      </c>
    </row>
    <row r="79" spans="1:8">
      <c r="D79" s="1179"/>
      <c r="E79" s="313"/>
      <c r="F79" s="1179"/>
      <c r="G79" s="1179"/>
      <c r="H79" s="1179"/>
    </row>
    <row r="80" spans="1:8">
      <c r="A80" s="322">
        <f>A78+1</f>
        <v>61</v>
      </c>
      <c r="C80" s="325" t="s">
        <v>1774</v>
      </c>
      <c r="D80" s="1179"/>
      <c r="F80" s="1179"/>
      <c r="G80" s="1179"/>
      <c r="H80" s="1179"/>
    </row>
    <row r="81" spans="1:8">
      <c r="A81" s="322">
        <f>A80+1</f>
        <v>62</v>
      </c>
      <c r="B81" s="294">
        <v>376</v>
      </c>
      <c r="C81" s="308" t="s">
        <v>393</v>
      </c>
      <c r="D81" s="1179">
        <f>'WPB-2.1.A Base Period'!O94</f>
        <v>41145560.138593905</v>
      </c>
      <c r="E81" s="313"/>
      <c r="F81" s="1179">
        <f t="shared" ref="F81:F85" si="8">D81</f>
        <v>41145560.138593905</v>
      </c>
      <c r="G81" s="1179">
        <v>0</v>
      </c>
      <c r="H81" s="1179">
        <f t="shared" ref="H81:H85" si="9">(+F81+G81)</f>
        <v>41145560.138593905</v>
      </c>
    </row>
    <row r="82" spans="1:8">
      <c r="A82" s="322">
        <f t="shared" ref="A82:A86" si="10">A81+1</f>
        <v>63</v>
      </c>
      <c r="B82" s="294">
        <v>378.2</v>
      </c>
      <c r="C82" s="308" t="s">
        <v>2915</v>
      </c>
      <c r="D82" s="1179">
        <f>'WPB-2.1.A Base Period'!O95</f>
        <v>436773.86809366115</v>
      </c>
      <c r="F82" s="1179">
        <f t="shared" si="8"/>
        <v>436773.86809366115</v>
      </c>
      <c r="G82" s="1179">
        <v>0</v>
      </c>
      <c r="H82" s="1179">
        <f t="shared" si="9"/>
        <v>436773.86809366115</v>
      </c>
    </row>
    <row r="83" spans="1:8">
      <c r="A83" s="322">
        <f t="shared" si="10"/>
        <v>64</v>
      </c>
      <c r="B83" s="294">
        <v>380</v>
      </c>
      <c r="C83" s="308" t="s">
        <v>398</v>
      </c>
      <c r="D83" s="1179">
        <f>'WPB-2.1.A Base Period'!O96</f>
        <v>18420436.571352985</v>
      </c>
      <c r="F83" s="1179">
        <f t="shared" si="8"/>
        <v>18420436.571352985</v>
      </c>
      <c r="G83" s="1179">
        <v>0</v>
      </c>
      <c r="H83" s="1179">
        <f t="shared" si="9"/>
        <v>18420436.571352985</v>
      </c>
    </row>
    <row r="84" spans="1:8">
      <c r="A84" s="322">
        <f t="shared" si="10"/>
        <v>65</v>
      </c>
      <c r="B84" s="294">
        <v>382</v>
      </c>
      <c r="C84" s="308" t="s">
        <v>2916</v>
      </c>
      <c r="D84" s="1179">
        <f>'WPB-2.1.A Base Period'!O97</f>
        <v>189719.96735617745</v>
      </c>
      <c r="F84" s="1179">
        <f t="shared" si="8"/>
        <v>189719.96735617745</v>
      </c>
      <c r="G84" s="1179">
        <v>0</v>
      </c>
      <c r="H84" s="1179">
        <f t="shared" si="9"/>
        <v>189719.96735617745</v>
      </c>
    </row>
    <row r="85" spans="1:8">
      <c r="A85" s="322">
        <f t="shared" si="10"/>
        <v>66</v>
      </c>
      <c r="B85" s="294">
        <v>383</v>
      </c>
      <c r="C85" s="308" t="s">
        <v>2917</v>
      </c>
      <c r="D85" s="1179">
        <f>'WPB-2.1.A Base Period'!O98</f>
        <v>85970.188688827417</v>
      </c>
      <c r="F85" s="1179">
        <f t="shared" si="8"/>
        <v>85970.188688827417</v>
      </c>
      <c r="G85" s="1179">
        <v>0</v>
      </c>
      <c r="H85" s="1179">
        <f t="shared" si="9"/>
        <v>85970.188688827417</v>
      </c>
    </row>
    <row r="86" spans="1:8">
      <c r="A86" s="322">
        <f t="shared" si="10"/>
        <v>67</v>
      </c>
      <c r="B86" s="307"/>
      <c r="C86" s="308" t="s">
        <v>1780</v>
      </c>
      <c r="D86" s="253">
        <f>SUM(D81:D85)</f>
        <v>60278460.73408556</v>
      </c>
      <c r="F86" s="253">
        <f>SUM(F81:F85)</f>
        <v>60278460.73408556</v>
      </c>
      <c r="G86" s="1184">
        <f>SUM(G81:G85)</f>
        <v>0</v>
      </c>
      <c r="H86" s="253">
        <f>SUM(H81:H85)</f>
        <v>60278460.73408556</v>
      </c>
    </row>
    <row r="87" spans="1:8">
      <c r="A87" s="322"/>
      <c r="B87" s="307"/>
      <c r="C87" s="308"/>
      <c r="D87" s="1179"/>
      <c r="F87" s="1179"/>
      <c r="G87" s="1179"/>
      <c r="H87" s="1179"/>
    </row>
    <row r="88" spans="1:8">
      <c r="A88" s="322">
        <f>A86+1</f>
        <v>68</v>
      </c>
      <c r="B88" s="307"/>
      <c r="C88" s="308" t="s">
        <v>447</v>
      </c>
      <c r="D88" s="1183">
        <f>D86+D78</f>
        <v>813363317.39681041</v>
      </c>
      <c r="F88" s="1183">
        <f>F86+F78</f>
        <v>813363317.39681041</v>
      </c>
      <c r="G88" s="1183">
        <f>G86+G78</f>
        <v>0</v>
      </c>
      <c r="H88" s="1183">
        <f>H86+H78</f>
        <v>813363317.39681041</v>
      </c>
    </row>
  </sheetData>
  <mergeCells count="4">
    <mergeCell ref="A1:H1"/>
    <mergeCell ref="A2:H2"/>
    <mergeCell ref="A3:H3"/>
    <mergeCell ref="A4:H4"/>
  </mergeCells>
  <printOptions horizontalCentered="1"/>
  <pageMargins left="0.5" right="0.5" top="0.75" bottom="0.5" header="0.3" footer="0.3"/>
  <pageSetup scale="6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89"/>
  <sheetViews>
    <sheetView zoomScaleNormal="100" zoomScaleSheetLayoutView="95" workbookViewId="0">
      <selection activeCell="G17" sqref="G17"/>
    </sheetView>
  </sheetViews>
  <sheetFormatPr defaultColWidth="12.5" defaultRowHeight="12.75"/>
  <cols>
    <col min="1" max="1" width="6" style="291" customWidth="1"/>
    <col min="2" max="2" width="10" style="291" customWidth="1"/>
    <col min="3" max="3" width="62.5" style="291" customWidth="1"/>
    <col min="4" max="4" width="25.1640625" style="294" bestFit="1" customWidth="1"/>
    <col min="5" max="5" width="11.33203125" style="291" bestFit="1" customWidth="1"/>
    <col min="6" max="6" width="15.1640625" style="294" customWidth="1"/>
    <col min="7" max="7" width="17" style="294" bestFit="1" customWidth="1"/>
    <col min="8" max="8" width="17.5" style="294" bestFit="1" customWidth="1"/>
    <col min="9" max="9" width="19.6640625" style="294" customWidth="1"/>
    <col min="10" max="16384" width="12.5" style="291"/>
  </cols>
  <sheetData>
    <row r="1" spans="1:9">
      <c r="A1" s="1308" t="str">
        <f>'General Headers Index'!B4</f>
        <v>COLUMBIA GAS OF KENTUCKY, INC.</v>
      </c>
      <c r="B1" s="1308"/>
      <c r="C1" s="1308"/>
      <c r="D1" s="1308"/>
      <c r="E1" s="1308"/>
      <c r="F1" s="1308"/>
      <c r="G1" s="1308"/>
      <c r="H1" s="1308"/>
      <c r="I1" s="1308"/>
    </row>
    <row r="2" spans="1:9">
      <c r="A2" s="1308" t="str">
        <f>'General Headers Index'!B6</f>
        <v>CASE NO. 2024 - 00092</v>
      </c>
      <c r="B2" s="1308"/>
      <c r="C2" s="1308"/>
      <c r="D2" s="1308"/>
      <c r="E2" s="1308"/>
      <c r="F2" s="1308"/>
      <c r="G2" s="1308"/>
      <c r="H2" s="1308"/>
      <c r="I2" s="1308"/>
    </row>
    <row r="3" spans="1:9">
      <c r="A3" s="1308" t="s">
        <v>365</v>
      </c>
      <c r="B3" s="1308"/>
      <c r="C3" s="1308"/>
      <c r="D3" s="1308"/>
      <c r="E3" s="1308"/>
      <c r="F3" s="1308"/>
      <c r="G3" s="1308"/>
      <c r="H3" s="1308"/>
      <c r="I3" s="1308"/>
    </row>
    <row r="4" spans="1:9">
      <c r="A4" s="1308" t="str">
        <f>'General Headers Index'!B17</f>
        <v>AS OF DECEMBER 31, 2025</v>
      </c>
      <c r="B4" s="1308"/>
      <c r="C4" s="1308"/>
      <c r="D4" s="1308"/>
      <c r="E4" s="1308"/>
      <c r="F4" s="1308"/>
      <c r="G4" s="1308"/>
      <c r="H4" s="1308"/>
      <c r="I4" s="1308"/>
    </row>
    <row r="5" spans="1:9">
      <c r="A5" s="290"/>
      <c r="B5" s="290"/>
      <c r="C5" s="290"/>
      <c r="D5" s="295"/>
      <c r="E5" s="290"/>
      <c r="F5" s="295"/>
      <c r="G5" s="295"/>
      <c r="H5" s="295"/>
      <c r="I5" s="295"/>
    </row>
    <row r="6" spans="1:9">
      <c r="A6" s="297" t="s">
        <v>2791</v>
      </c>
      <c r="I6" s="296" t="s">
        <v>366</v>
      </c>
    </row>
    <row r="7" spans="1:9">
      <c r="A7" s="297" t="str">
        <f>'General Headers Index'!B37</f>
        <v>TYPE OF FILING:___X___ORIGINAL______UPDATED</v>
      </c>
      <c r="I7" s="296" t="s">
        <v>650</v>
      </c>
    </row>
    <row r="8" spans="1:9">
      <c r="A8" s="297" t="s">
        <v>2471</v>
      </c>
      <c r="I8" s="296" t="str">
        <f>"WITNESS: "&amp;'General Headers Index'!B42</f>
        <v>WITNESS: GORE</v>
      </c>
    </row>
    <row r="9" spans="1:9">
      <c r="A9" s="297"/>
      <c r="I9" s="304"/>
    </row>
    <row r="10" spans="1:9">
      <c r="A10" s="316"/>
      <c r="B10" s="315"/>
      <c r="C10" s="315"/>
      <c r="D10" s="317" t="s">
        <v>694</v>
      </c>
      <c r="E10" s="315"/>
      <c r="F10" s="318"/>
      <c r="G10" s="318"/>
      <c r="H10" s="318"/>
      <c r="I10" s="319"/>
    </row>
    <row r="11" spans="1:9">
      <c r="A11" s="217" t="s">
        <v>313</v>
      </c>
      <c r="B11" s="290" t="s">
        <v>368</v>
      </c>
      <c r="C11" s="290" t="s">
        <v>369</v>
      </c>
      <c r="D11" s="295" t="s">
        <v>371</v>
      </c>
      <c r="E11" s="290" t="s">
        <v>78</v>
      </c>
      <c r="F11" s="295" t="s">
        <v>78</v>
      </c>
      <c r="H11" s="295" t="s">
        <v>351</v>
      </c>
      <c r="I11" s="305" t="s">
        <v>352</v>
      </c>
    </row>
    <row r="12" spans="1:9">
      <c r="A12" s="885" t="s">
        <v>316</v>
      </c>
      <c r="B12" s="895" t="s">
        <v>316</v>
      </c>
      <c r="C12" s="895" t="s">
        <v>370</v>
      </c>
      <c r="D12" s="897" t="s">
        <v>2093</v>
      </c>
      <c r="E12" s="895" t="s">
        <v>354</v>
      </c>
      <c r="F12" s="897" t="s">
        <v>349</v>
      </c>
      <c r="G12" s="897" t="s">
        <v>355</v>
      </c>
      <c r="H12" s="897" t="s">
        <v>78</v>
      </c>
      <c r="I12" s="898" t="s">
        <v>312</v>
      </c>
    </row>
    <row r="13" spans="1:9">
      <c r="A13" s="290"/>
      <c r="B13" s="290"/>
      <c r="C13" s="290"/>
      <c r="D13" s="300" t="s">
        <v>532</v>
      </c>
      <c r="E13" s="300" t="s">
        <v>541</v>
      </c>
      <c r="F13" s="300" t="s">
        <v>2634</v>
      </c>
      <c r="G13" s="300" t="s">
        <v>668</v>
      </c>
      <c r="H13" s="300" t="s">
        <v>2363</v>
      </c>
      <c r="I13" s="300" t="s">
        <v>670</v>
      </c>
    </row>
    <row r="14" spans="1:9">
      <c r="D14" s="295" t="s">
        <v>320</v>
      </c>
      <c r="F14" s="295" t="s">
        <v>320</v>
      </c>
      <c r="G14" s="295" t="s">
        <v>320</v>
      </c>
      <c r="H14" s="295" t="s">
        <v>320</v>
      </c>
      <c r="I14" s="295" t="s">
        <v>320</v>
      </c>
    </row>
    <row r="15" spans="1:9">
      <c r="A15" s="290">
        <f>IF(ISBLANK($C15),"",COUNTA($C$15:C15))</f>
        <v>1</v>
      </c>
      <c r="B15" s="294"/>
      <c r="C15" s="302" t="s">
        <v>373</v>
      </c>
      <c r="D15" s="313"/>
      <c r="F15" s="313"/>
      <c r="G15" s="313"/>
      <c r="H15" s="313"/>
      <c r="I15" s="313"/>
    </row>
    <row r="16" spans="1:9">
      <c r="A16" s="290">
        <f>IF(ISBLANK($C16),"",COUNTA($C$15:C16))</f>
        <v>2</v>
      </c>
      <c r="B16" s="294">
        <v>301</v>
      </c>
      <c r="C16" s="304" t="s">
        <v>374</v>
      </c>
      <c r="D16" s="1179">
        <f>'WPB-2.1.A 13 mo avg Forecast '!P16</f>
        <v>521.20000000000005</v>
      </c>
      <c r="E16" s="320">
        <v>1</v>
      </c>
      <c r="F16" s="1179">
        <f t="shared" ref="F16:F22" si="0">D16</f>
        <v>521.20000000000005</v>
      </c>
      <c r="G16" s="1179">
        <v>0</v>
      </c>
      <c r="H16" s="1179">
        <f t="shared" ref="H16:H21" si="1">(+F16+G16)</f>
        <v>521.20000000000005</v>
      </c>
      <c r="I16" s="1179">
        <f>'WPB-2.1.A 13 mo avg Forecast '!Q16</f>
        <v>521.19999999999993</v>
      </c>
    </row>
    <row r="17" spans="1:9">
      <c r="A17" s="290">
        <f>IF(ISBLANK($C17),"",COUNTA($C$15:C17))</f>
        <v>3</v>
      </c>
      <c r="B17" s="294">
        <v>303</v>
      </c>
      <c r="C17" s="304" t="s">
        <v>375</v>
      </c>
      <c r="D17" s="1179">
        <f>'WPB-2.1.A 13 mo avg Forecast '!P17</f>
        <v>81146.899999999994</v>
      </c>
      <c r="E17" s="313"/>
      <c r="F17" s="1179">
        <f t="shared" si="0"/>
        <v>81146.899999999994</v>
      </c>
      <c r="G17" s="1179">
        <v>0</v>
      </c>
      <c r="H17" s="1179">
        <f t="shared" si="1"/>
        <v>81146.899999999994</v>
      </c>
      <c r="I17" s="1179">
        <f>'WPB-2.1.A 13 mo avg Forecast '!Q17</f>
        <v>88156.566153846143</v>
      </c>
    </row>
    <row r="18" spans="1:9">
      <c r="A18" s="290">
        <f>IF(ISBLANK($C18),"",COUNTA($C$15:C18))</f>
        <v>4</v>
      </c>
      <c r="B18" s="294">
        <v>303.10000000000002</v>
      </c>
      <c r="C18" s="304" t="s">
        <v>376</v>
      </c>
      <c r="D18" s="1179">
        <f>'WPB-2.1.A 13 mo avg Forecast '!P18</f>
        <v>943.27</v>
      </c>
      <c r="E18" s="313"/>
      <c r="F18" s="1179">
        <f t="shared" si="0"/>
        <v>943.27</v>
      </c>
      <c r="G18" s="1179">
        <v>0</v>
      </c>
      <c r="H18" s="1179">
        <f t="shared" si="1"/>
        <v>943.27</v>
      </c>
      <c r="I18" s="1179">
        <f>'WPB-2.1.A 13 mo avg Forecast '!Q18</f>
        <v>943.27000000000032</v>
      </c>
    </row>
    <row r="19" spans="1:9">
      <c r="A19" s="290">
        <f>IF(ISBLANK($C19),"",COUNTA($C$15:C19))</f>
        <v>5</v>
      </c>
      <c r="B19" s="294">
        <v>303.2</v>
      </c>
      <c r="C19" s="304" t="s">
        <v>377</v>
      </c>
      <c r="D19" s="1179">
        <f>'WPB-2.1.A 13 mo avg Forecast '!P19</f>
        <v>0</v>
      </c>
      <c r="E19" s="313"/>
      <c r="F19" s="1179">
        <f t="shared" si="0"/>
        <v>0</v>
      </c>
      <c r="G19" s="1179">
        <v>0</v>
      </c>
      <c r="H19" s="1179">
        <f t="shared" si="1"/>
        <v>0</v>
      </c>
      <c r="I19" s="1179">
        <f>'WPB-2.1.A 13 mo avg Forecast '!Q19</f>
        <v>0</v>
      </c>
    </row>
    <row r="20" spans="1:9">
      <c r="A20" s="290">
        <f>IF(ISBLANK($C20),"",COUNTA($C$15:C20))</f>
        <v>6</v>
      </c>
      <c r="B20" s="294">
        <v>303.3</v>
      </c>
      <c r="C20" s="304" t="s">
        <v>378</v>
      </c>
      <c r="D20" s="1179">
        <f>'WPB-2.1.A 13 mo avg Forecast '!P20</f>
        <v>18032201.264649007</v>
      </c>
      <c r="E20" s="313"/>
      <c r="F20" s="1179">
        <f t="shared" si="0"/>
        <v>18032201.264649007</v>
      </c>
      <c r="G20" s="1179">
        <v>0</v>
      </c>
      <c r="H20" s="1179">
        <f t="shared" si="1"/>
        <v>18032201.264649007</v>
      </c>
      <c r="I20" s="1179">
        <f>'WPB-2.1.A 13 mo avg Forecast '!Q20</f>
        <v>16135215.843362007</v>
      </c>
    </row>
    <row r="21" spans="1:9">
      <c r="A21" s="290">
        <f>IF(ISBLANK($C21),"",COUNTA($C$15:C21))</f>
        <v>7</v>
      </c>
      <c r="B21" s="294">
        <v>303.99</v>
      </c>
      <c r="C21" s="304" t="s">
        <v>1129</v>
      </c>
      <c r="D21" s="1182">
        <f>'WPB-2.1.A 13 mo avg Forecast '!P21</f>
        <v>4603041.6994779538</v>
      </c>
      <c r="E21" s="313"/>
      <c r="F21" s="1180">
        <f>D21</f>
        <v>4603041.6994779538</v>
      </c>
      <c r="G21" s="1180">
        <v>0</v>
      </c>
      <c r="H21" s="1180">
        <f t="shared" si="1"/>
        <v>4603041.6994779538</v>
      </c>
      <c r="I21" s="1182">
        <f>'WPB-2.1.A 13 mo avg Forecast '!Q21</f>
        <v>3687044.9116451209</v>
      </c>
    </row>
    <row r="22" spans="1:9">
      <c r="A22" s="290">
        <f>IF(ISBLANK($C22),"",COUNTA($C$15:C22))</f>
        <v>8</v>
      </c>
      <c r="B22" s="294"/>
      <c r="C22" s="304" t="s">
        <v>379</v>
      </c>
      <c r="D22" s="1179">
        <f>SUM(D16:D21)</f>
        <v>22717854.334126964</v>
      </c>
      <c r="E22" s="313"/>
      <c r="F22" s="1179">
        <f t="shared" si="0"/>
        <v>22717854.334126964</v>
      </c>
      <c r="G22" s="1179">
        <f>SUM(G16:G21)</f>
        <v>0</v>
      </c>
      <c r="H22" s="1179">
        <f>SUM(H16:H21)</f>
        <v>22717854.334126964</v>
      </c>
      <c r="I22" s="1179">
        <f>SUM(I16:I21)</f>
        <v>19911881.791160975</v>
      </c>
    </row>
    <row r="23" spans="1:9">
      <c r="A23" s="290" t="str">
        <f>IF(ISBLANK($C23),"",COUNTA($C$15:C23))</f>
        <v/>
      </c>
      <c r="B23" s="294"/>
      <c r="C23" s="294"/>
      <c r="D23" s="1179"/>
      <c r="E23" s="313"/>
      <c r="F23" s="1181" t="s">
        <v>358</v>
      </c>
      <c r="G23" s="1179"/>
      <c r="H23" s="1179"/>
      <c r="I23" s="1179" t="s">
        <v>358</v>
      </c>
    </row>
    <row r="24" spans="1:9">
      <c r="A24" s="290">
        <f>IF(ISBLANK($C24),"",COUNTA($C$15:C24))</f>
        <v>9</v>
      </c>
      <c r="B24" s="294"/>
      <c r="C24" s="302" t="s">
        <v>1581</v>
      </c>
      <c r="D24" s="1179"/>
      <c r="E24" s="313"/>
      <c r="F24" s="1181" t="s">
        <v>358</v>
      </c>
      <c r="G24" s="1179"/>
      <c r="H24" s="1179"/>
      <c r="I24" s="1179" t="s">
        <v>358</v>
      </c>
    </row>
    <row r="25" spans="1:9">
      <c r="A25" s="290">
        <f>IF(ISBLANK($C25),"",COUNTA($C$15:C25))</f>
        <v>10</v>
      </c>
      <c r="B25" s="294">
        <v>374.1</v>
      </c>
      <c r="C25" s="304" t="s">
        <v>382</v>
      </c>
      <c r="D25" s="1179">
        <f>'WPB-2.1.A 13 mo avg Forecast '!P25</f>
        <v>205.4</v>
      </c>
      <c r="E25" s="313"/>
      <c r="F25" s="1179">
        <f t="shared" ref="F25:F41" si="2">D25</f>
        <v>205.4</v>
      </c>
      <c r="G25" s="1179">
        <v>0</v>
      </c>
      <c r="H25" s="1179">
        <f t="shared" ref="H25:H41" si="3">(+F25+G25)</f>
        <v>205.4</v>
      </c>
      <c r="I25" s="1179">
        <f>'WPB-2.1.A 13 mo avg Forecast '!Q25</f>
        <v>205.40000000000006</v>
      </c>
    </row>
    <row r="26" spans="1:9">
      <c r="A26" s="290">
        <f>IF(ISBLANK($C26),"",COUNTA($C$15:C26))</f>
        <v>11</v>
      </c>
      <c r="B26" s="294">
        <v>374.2</v>
      </c>
      <c r="C26" s="304" t="s">
        <v>383</v>
      </c>
      <c r="D26" s="1179">
        <f>'WPB-2.1.A 13 mo avg Forecast '!P26</f>
        <v>876986.66</v>
      </c>
      <c r="E26" s="313"/>
      <c r="F26" s="1179">
        <f t="shared" si="2"/>
        <v>876986.66</v>
      </c>
      <c r="G26" s="1179">
        <v>0</v>
      </c>
      <c r="H26" s="1179">
        <f t="shared" si="3"/>
        <v>876986.66</v>
      </c>
      <c r="I26" s="1179">
        <f>'WPB-2.1.A 13 mo avg Forecast '!Q26</f>
        <v>876986.66</v>
      </c>
    </row>
    <row r="27" spans="1:9">
      <c r="A27" s="290">
        <f>IF(ISBLANK($C27),"",COUNTA($C$15:C27))</f>
        <v>12</v>
      </c>
      <c r="B27" s="294">
        <v>374.4</v>
      </c>
      <c r="C27" s="304" t="s">
        <v>384</v>
      </c>
      <c r="D27" s="1179">
        <f>'WPB-2.1.A 13 mo avg Forecast '!P27</f>
        <v>3329393.9800000009</v>
      </c>
      <c r="E27" s="313"/>
      <c r="F27" s="1179">
        <f t="shared" si="2"/>
        <v>3329393.9800000009</v>
      </c>
      <c r="G27" s="1179">
        <v>0</v>
      </c>
      <c r="H27" s="1179">
        <f t="shared" si="3"/>
        <v>3329393.9800000009</v>
      </c>
      <c r="I27" s="1179">
        <f>'WPB-2.1.A 13 mo avg Forecast '!Q27</f>
        <v>3216702.4692307701</v>
      </c>
    </row>
    <row r="28" spans="1:9">
      <c r="A28" s="290">
        <f>IF(ISBLANK($C28),"",COUNTA($C$15:C28))</f>
        <v>13</v>
      </c>
      <c r="B28" s="294">
        <v>374.5</v>
      </c>
      <c r="C28" s="304" t="s">
        <v>385</v>
      </c>
      <c r="D28" s="1179">
        <f>'WPB-2.1.A 13 mo avg Forecast '!P28</f>
        <v>2666577.16</v>
      </c>
      <c r="E28" s="313"/>
      <c r="F28" s="1179">
        <f t="shared" si="2"/>
        <v>2666577.16</v>
      </c>
      <c r="G28" s="1179">
        <v>0</v>
      </c>
      <c r="H28" s="1179">
        <f t="shared" si="3"/>
        <v>2666577.16</v>
      </c>
      <c r="I28" s="1179">
        <f>'WPB-2.1.A 13 mo avg Forecast '!Q28</f>
        <v>2666577.1599999997</v>
      </c>
    </row>
    <row r="29" spans="1:9">
      <c r="A29" s="290">
        <f>IF(ISBLANK($C29),"",COUNTA($C$15:C29))</f>
        <v>14</v>
      </c>
      <c r="B29" s="294">
        <v>375.2</v>
      </c>
      <c r="C29" s="304" t="s">
        <v>386</v>
      </c>
      <c r="D29" s="1179">
        <f>'WPB-2.1.A 13 mo avg Forecast '!P29</f>
        <v>2124.98</v>
      </c>
      <c r="E29" s="313"/>
      <c r="F29" s="1179">
        <f t="shared" si="2"/>
        <v>2124.98</v>
      </c>
      <c r="G29" s="1179">
        <v>0</v>
      </c>
      <c r="H29" s="1179">
        <f t="shared" si="3"/>
        <v>2124.98</v>
      </c>
      <c r="I29" s="1179">
        <f>'WPB-2.1.A 13 mo avg Forecast '!Q29</f>
        <v>2124.98</v>
      </c>
    </row>
    <row r="30" spans="1:9">
      <c r="A30" s="290">
        <f>IF(ISBLANK($C30),"",COUNTA($C$15:C30))</f>
        <v>15</v>
      </c>
      <c r="B30" s="294">
        <v>375.3</v>
      </c>
      <c r="C30" s="304" t="s">
        <v>387</v>
      </c>
      <c r="D30" s="1179">
        <f>'WPB-2.1.A 13 mo avg Forecast '!P30</f>
        <v>0</v>
      </c>
      <c r="E30" s="313"/>
      <c r="F30" s="1179">
        <f t="shared" si="2"/>
        <v>0</v>
      </c>
      <c r="G30" s="1179">
        <v>0</v>
      </c>
      <c r="H30" s="1179">
        <f t="shared" si="3"/>
        <v>0</v>
      </c>
      <c r="I30" s="1179">
        <f>'WPB-2.1.A 13 mo avg Forecast '!Q30</f>
        <v>0</v>
      </c>
    </row>
    <row r="31" spans="1:9">
      <c r="A31" s="290">
        <f>IF(ISBLANK($C31),"",COUNTA($C$15:C31))</f>
        <v>16</v>
      </c>
      <c r="B31" s="294">
        <v>375.4</v>
      </c>
      <c r="C31" s="304" t="s">
        <v>388</v>
      </c>
      <c r="D31" s="1179">
        <f>'WPB-2.1.A 13 mo avg Forecast '!P31</f>
        <v>4584485.17</v>
      </c>
      <c r="E31" s="313"/>
      <c r="F31" s="1179">
        <f t="shared" si="2"/>
        <v>4584485.17</v>
      </c>
      <c r="G31" s="1179">
        <v>0</v>
      </c>
      <c r="H31" s="1179">
        <f t="shared" si="3"/>
        <v>4584485.17</v>
      </c>
      <c r="I31" s="1179">
        <f>'WPB-2.1.A 13 mo avg Forecast '!Q31</f>
        <v>3995284.3684615372</v>
      </c>
    </row>
    <row r="32" spans="1:9">
      <c r="A32" s="290">
        <f>IF(ISBLANK($C32),"",COUNTA($C$15:C32))</f>
        <v>17</v>
      </c>
      <c r="B32" s="294">
        <v>375.6</v>
      </c>
      <c r="C32" s="304" t="s">
        <v>389</v>
      </c>
      <c r="D32" s="1179">
        <f>'WPB-2.1.A 13 mo avg Forecast '!P32</f>
        <v>0</v>
      </c>
      <c r="E32" s="313"/>
      <c r="F32" s="1179">
        <f t="shared" si="2"/>
        <v>0</v>
      </c>
      <c r="G32" s="1179">
        <v>0</v>
      </c>
      <c r="H32" s="1179">
        <f t="shared" si="3"/>
        <v>0</v>
      </c>
      <c r="I32" s="1179">
        <f>'WPB-2.1.A 13 mo avg Forecast '!Q32</f>
        <v>0</v>
      </c>
    </row>
    <row r="33" spans="1:9">
      <c r="A33" s="290">
        <f>IF(ISBLANK($C33),"",COUNTA($C$15:C33))</f>
        <v>18</v>
      </c>
      <c r="B33" s="294">
        <v>375.7</v>
      </c>
      <c r="C33" s="304" t="s">
        <v>390</v>
      </c>
      <c r="D33" s="1179">
        <f>'WPB-2.1.A 13 mo avg Forecast '!P33</f>
        <v>9809384.9399999958</v>
      </c>
      <c r="E33" s="313"/>
      <c r="F33" s="1179">
        <f t="shared" si="2"/>
        <v>9809384.9399999958</v>
      </c>
      <c r="G33" s="1179">
        <v>0</v>
      </c>
      <c r="H33" s="1179">
        <f t="shared" si="3"/>
        <v>9809384.9399999958</v>
      </c>
      <c r="I33" s="1179">
        <f>'WPB-2.1.A 13 mo avg Forecast '!Q33</f>
        <v>9736915.6261538453</v>
      </c>
    </row>
    <row r="34" spans="1:9">
      <c r="A34" s="290">
        <f>IF(ISBLANK($C34),"",COUNTA($C$15:C34))</f>
        <v>19</v>
      </c>
      <c r="B34" s="294">
        <v>375.71</v>
      </c>
      <c r="C34" s="304" t="s">
        <v>391</v>
      </c>
      <c r="D34" s="1179">
        <f>'WPB-2.1.A 13 mo avg Forecast '!P34</f>
        <v>880994.59</v>
      </c>
      <c r="E34" s="313"/>
      <c r="F34" s="1179">
        <f t="shared" si="2"/>
        <v>880994.59</v>
      </c>
      <c r="G34" s="1179">
        <v>0</v>
      </c>
      <c r="H34" s="1179">
        <f t="shared" si="3"/>
        <v>880994.59</v>
      </c>
      <c r="I34" s="1179">
        <f>'WPB-2.1.A 13 mo avg Forecast '!Q34</f>
        <v>880994.59</v>
      </c>
    </row>
    <row r="35" spans="1:9">
      <c r="A35" s="290">
        <f>IF(ISBLANK($C35),"",COUNTA($C$15:C35))</f>
        <v>20</v>
      </c>
      <c r="B35" s="294">
        <v>375.8</v>
      </c>
      <c r="C35" s="304" t="s">
        <v>392</v>
      </c>
      <c r="D35" s="1179">
        <f>'WPB-2.1.A 13 mo avg Forecast '!P35</f>
        <v>132125.04</v>
      </c>
      <c r="E35" s="313"/>
      <c r="F35" s="1179">
        <f t="shared" si="2"/>
        <v>132125.04</v>
      </c>
      <c r="G35" s="1179">
        <v>0</v>
      </c>
      <c r="H35" s="1179">
        <f t="shared" si="3"/>
        <v>132125.04</v>
      </c>
      <c r="I35" s="1179">
        <f>'WPB-2.1.A 13 mo avg Forecast '!Q35</f>
        <v>132125.04</v>
      </c>
    </row>
    <row r="36" spans="1:9">
      <c r="A36" s="290">
        <f>IF(ISBLANK($C36),"",COUNTA($C$15:C36))</f>
        <v>21</v>
      </c>
      <c r="B36" s="294">
        <v>376</v>
      </c>
      <c r="C36" s="220" t="s">
        <v>1582</v>
      </c>
      <c r="D36" s="1179">
        <f>'WPB-2.1.A 13 mo avg Forecast '!P36</f>
        <v>427403918.07649362</v>
      </c>
      <c r="E36" s="313"/>
      <c r="F36" s="1179">
        <f t="shared" si="2"/>
        <v>427403918.07649362</v>
      </c>
      <c r="G36" s="1179">
        <v>0</v>
      </c>
      <c r="H36" s="1179">
        <f t="shared" si="3"/>
        <v>427403918.07649362</v>
      </c>
      <c r="I36" s="1179">
        <f>'WPB-2.1.A 13 mo avg Forecast '!Q36</f>
        <v>423416151.57083267</v>
      </c>
    </row>
    <row r="37" spans="1:9">
      <c r="A37" s="290">
        <f>IF(ISBLANK($C37),"",COUNTA($C$15:C37))</f>
        <v>22</v>
      </c>
      <c r="B37" s="294">
        <v>378.1</v>
      </c>
      <c r="C37" s="304" t="s">
        <v>394</v>
      </c>
      <c r="D37" s="1179">
        <f>'WPB-2.1.A 13 mo avg Forecast '!P37</f>
        <v>-172291.25</v>
      </c>
      <c r="E37" s="313"/>
      <c r="F37" s="1179">
        <f t="shared" si="2"/>
        <v>-172291.25</v>
      </c>
      <c r="G37" s="1179">
        <v>0</v>
      </c>
      <c r="H37" s="1179">
        <f t="shared" si="3"/>
        <v>-172291.25</v>
      </c>
      <c r="I37" s="1179">
        <f>'WPB-2.1.A 13 mo avg Forecast '!Q37</f>
        <v>-172291.25</v>
      </c>
    </row>
    <row r="38" spans="1:9">
      <c r="A38" s="290">
        <f>IF(ISBLANK($C38),"",COUNTA($C$15:C38))</f>
        <v>23</v>
      </c>
      <c r="B38" s="294">
        <v>378.2</v>
      </c>
      <c r="C38" s="220" t="s">
        <v>1583</v>
      </c>
      <c r="D38" s="1179">
        <f>'WPB-2.1.A 13 mo avg Forecast '!P38</f>
        <v>30947342.196898129</v>
      </c>
      <c r="E38" s="313"/>
      <c r="F38" s="1179">
        <f t="shared" si="2"/>
        <v>30947342.196898129</v>
      </c>
      <c r="G38" s="1179">
        <v>0</v>
      </c>
      <c r="H38" s="1179">
        <f t="shared" si="3"/>
        <v>30947342.196898129</v>
      </c>
      <c r="I38" s="1179">
        <f>'WPB-2.1.A 13 mo avg Forecast '!Q38</f>
        <v>29553453.695415787</v>
      </c>
    </row>
    <row r="39" spans="1:9">
      <c r="A39" s="290">
        <f>IF(ISBLANK($C39),"",COUNTA($C$15:C39))</f>
        <v>24</v>
      </c>
      <c r="B39" s="294">
        <v>378.3</v>
      </c>
      <c r="C39" s="304" t="s">
        <v>396</v>
      </c>
      <c r="D39" s="1179">
        <f>'WPB-2.1.A 13 mo avg Forecast '!P39</f>
        <v>45443.08</v>
      </c>
      <c r="E39" s="313"/>
      <c r="F39" s="1179">
        <f t="shared" si="2"/>
        <v>45443.08</v>
      </c>
      <c r="G39" s="1179">
        <v>0</v>
      </c>
      <c r="H39" s="1179">
        <f t="shared" si="3"/>
        <v>45443.08</v>
      </c>
      <c r="I39" s="1179">
        <f>'WPB-2.1.A 13 mo avg Forecast '!Q39</f>
        <v>45443.08</v>
      </c>
    </row>
    <row r="40" spans="1:9">
      <c r="A40" s="290">
        <f>IF(ISBLANK($C40),"",COUNTA($C$15:C40))</f>
        <v>25</v>
      </c>
      <c r="B40" s="294">
        <v>379.1</v>
      </c>
      <c r="C40" s="304" t="s">
        <v>397</v>
      </c>
      <c r="D40" s="1179">
        <f>'WPB-2.1.A 13 mo avg Forecast '!P40</f>
        <v>1554144.06</v>
      </c>
      <c r="E40" s="313"/>
      <c r="F40" s="1179">
        <f t="shared" si="2"/>
        <v>1554144.06</v>
      </c>
      <c r="G40" s="1179">
        <v>0</v>
      </c>
      <c r="H40" s="1179">
        <f t="shared" si="3"/>
        <v>1554144.06</v>
      </c>
      <c r="I40" s="1179">
        <f>'WPB-2.1.A 13 mo avg Forecast '!Q40</f>
        <v>1554144.06</v>
      </c>
    </row>
    <row r="41" spans="1:9">
      <c r="A41" s="290">
        <f>IF(ISBLANK($C41),"",COUNTA($C$15:C41))</f>
        <v>26</v>
      </c>
      <c r="B41" s="294">
        <v>380</v>
      </c>
      <c r="C41" s="220" t="s">
        <v>1584</v>
      </c>
      <c r="D41" s="1179">
        <f>'WPB-2.1.A 13 mo avg Forecast '!P41</f>
        <v>210022514.82104781</v>
      </c>
      <c r="E41" s="313"/>
      <c r="F41" s="1179">
        <f t="shared" si="2"/>
        <v>210022514.82104781</v>
      </c>
      <c r="G41" s="1179">
        <v>0</v>
      </c>
      <c r="H41" s="1179">
        <f t="shared" si="3"/>
        <v>210022514.82104781</v>
      </c>
      <c r="I41" s="1179">
        <f>'WPB-2.1.A 13 mo avg Forecast '!Q41</f>
        <v>206990733.67370528</v>
      </c>
    </row>
    <row r="42" spans="1:9">
      <c r="A42" s="290">
        <f>IF(ISBLANK($C42),"",COUNTA($C$15:C42))</f>
        <v>27</v>
      </c>
      <c r="B42" s="294">
        <v>381</v>
      </c>
      <c r="C42" s="304" t="s">
        <v>399</v>
      </c>
      <c r="D42" s="1179">
        <f>'WPB-2.1.A 13 mo avg Forecast '!P42</f>
        <v>21224268.64080824</v>
      </c>
      <c r="E42" s="321"/>
      <c r="F42" s="1179">
        <f t="shared" ref="F42:F53" si="4">D42</f>
        <v>21224268.64080824</v>
      </c>
      <c r="G42" s="1179">
        <v>0</v>
      </c>
      <c r="H42" s="1179">
        <f t="shared" ref="H42:H53" si="5">(+F42+G42)</f>
        <v>21224268.64080824</v>
      </c>
      <c r="I42" s="1179">
        <f>'WPB-2.1.A 13 mo avg Forecast '!Q42</f>
        <v>20844456.254281364</v>
      </c>
    </row>
    <row r="43" spans="1:9">
      <c r="A43" s="290">
        <f>IF(ISBLANK($C43),"",COUNTA($C$15:C43))</f>
        <v>28</v>
      </c>
      <c r="B43" s="294">
        <v>381.1</v>
      </c>
      <c r="C43" s="304" t="s">
        <v>2366</v>
      </c>
      <c r="D43" s="1179">
        <f>'WPB-2.1.A 13 mo avg Forecast '!P43</f>
        <v>9980854.4800000004</v>
      </c>
      <c r="E43" s="313"/>
      <c r="F43" s="1179">
        <f t="shared" si="4"/>
        <v>9980854.4800000004</v>
      </c>
      <c r="G43" s="1179">
        <v>0</v>
      </c>
      <c r="H43" s="1179">
        <f t="shared" si="5"/>
        <v>9980854.4800000004</v>
      </c>
      <c r="I43" s="1179">
        <f>'WPB-2.1.A 13 mo avg Forecast '!Q43</f>
        <v>9980854.4800000023</v>
      </c>
    </row>
    <row r="44" spans="1:9">
      <c r="A44" s="290">
        <f>IF(ISBLANK($C44),"",COUNTA($C$15:C44))</f>
        <v>29</v>
      </c>
      <c r="B44" s="294">
        <v>382</v>
      </c>
      <c r="C44" s="220" t="s">
        <v>1585</v>
      </c>
      <c r="D44" s="1179">
        <f>'WPB-2.1.A 13 mo avg Forecast '!P44</f>
        <v>10849081.898008363</v>
      </c>
      <c r="E44" s="313"/>
      <c r="F44" s="1179">
        <f t="shared" si="4"/>
        <v>10849081.898008363</v>
      </c>
      <c r="G44" s="1179">
        <v>0</v>
      </c>
      <c r="H44" s="1179">
        <f t="shared" si="5"/>
        <v>10849081.898008363</v>
      </c>
      <c r="I44" s="1179">
        <f>'WPB-2.1.A 13 mo avg Forecast '!Q44</f>
        <v>10741912.148293857</v>
      </c>
    </row>
    <row r="45" spans="1:9">
      <c r="A45" s="290">
        <f>IF(ISBLANK($C45),"",COUNTA($C$15:C45))</f>
        <v>30</v>
      </c>
      <c r="B45" s="294">
        <v>383</v>
      </c>
      <c r="C45" s="220" t="s">
        <v>1586</v>
      </c>
      <c r="D45" s="1179">
        <f>'WPB-2.1.A 13 mo avg Forecast '!P45</f>
        <v>7914231.1389892902</v>
      </c>
      <c r="E45" s="313"/>
      <c r="F45" s="1179">
        <f t="shared" si="4"/>
        <v>7914231.1389892902</v>
      </c>
      <c r="G45" s="1179">
        <v>0</v>
      </c>
      <c r="H45" s="1179">
        <f t="shared" si="5"/>
        <v>7914231.1389892902</v>
      </c>
      <c r="I45" s="1179">
        <f>'WPB-2.1.A 13 mo avg Forecast '!Q45</f>
        <v>7740847.6078520026</v>
      </c>
    </row>
    <row r="46" spans="1:9">
      <c r="A46" s="290">
        <f>IF(ISBLANK($C46),"",COUNTA($C$15:C46))</f>
        <v>31</v>
      </c>
      <c r="B46" s="294">
        <v>384</v>
      </c>
      <c r="C46" s="304" t="s">
        <v>402</v>
      </c>
      <c r="D46" s="1179">
        <f>'WPB-2.1.A 13 mo avg Forecast '!P46</f>
        <v>2085385.5799999998</v>
      </c>
      <c r="E46" s="313"/>
      <c r="F46" s="1179">
        <f t="shared" si="4"/>
        <v>2085385.5799999998</v>
      </c>
      <c r="G46" s="1179">
        <v>0</v>
      </c>
      <c r="H46" s="1179">
        <f t="shared" si="5"/>
        <v>2085385.5799999998</v>
      </c>
      <c r="I46" s="1179">
        <f>'WPB-2.1.A 13 mo avg Forecast '!Q46</f>
        <v>2085301.5753846152</v>
      </c>
    </row>
    <row r="47" spans="1:9">
      <c r="A47" s="290">
        <f>IF(ISBLANK($C47),"",COUNTA($C$15:C47))</f>
        <v>32</v>
      </c>
      <c r="B47" s="294">
        <v>385</v>
      </c>
      <c r="C47" s="304" t="s">
        <v>403</v>
      </c>
      <c r="D47" s="1179">
        <f>'WPB-2.1.A 13 mo avg Forecast '!P47</f>
        <v>6485592.9399999985</v>
      </c>
      <c r="E47" s="313"/>
      <c r="F47" s="1179">
        <f t="shared" si="4"/>
        <v>6485592.9399999985</v>
      </c>
      <c r="G47" s="1179">
        <v>0</v>
      </c>
      <c r="H47" s="1179">
        <f t="shared" si="5"/>
        <v>6485592.9399999985</v>
      </c>
      <c r="I47" s="1179">
        <f>'WPB-2.1.A 13 mo avg Forecast '!Q47</f>
        <v>6363314.383076922</v>
      </c>
    </row>
    <row r="48" spans="1:9">
      <c r="A48" s="290">
        <f>IF(ISBLANK($C48),"",COUNTA($C$15:C48))</f>
        <v>33</v>
      </c>
      <c r="B48" s="294">
        <v>387.2</v>
      </c>
      <c r="C48" s="304" t="s">
        <v>404</v>
      </c>
      <c r="D48" s="1179">
        <f>'WPB-2.1.A 13 mo avg Forecast '!P48</f>
        <v>0</v>
      </c>
      <c r="E48" s="313"/>
      <c r="F48" s="1179">
        <f t="shared" si="4"/>
        <v>0</v>
      </c>
      <c r="G48" s="1179">
        <v>0</v>
      </c>
      <c r="H48" s="1179">
        <f t="shared" si="5"/>
        <v>0</v>
      </c>
      <c r="I48" s="1179">
        <f>'WPB-2.1.A 13 mo avg Forecast '!Q48</f>
        <v>0</v>
      </c>
    </row>
    <row r="49" spans="1:9">
      <c r="A49" s="290">
        <f>IF(ISBLANK($C49),"",COUNTA($C$15:C49))</f>
        <v>34</v>
      </c>
      <c r="B49" s="294">
        <v>387.41</v>
      </c>
      <c r="C49" s="304" t="s">
        <v>405</v>
      </c>
      <c r="D49" s="1179">
        <f>'WPB-2.1.A 13 mo avg Forecast '!P49</f>
        <v>260538.46000000008</v>
      </c>
      <c r="E49" s="313"/>
      <c r="F49" s="1179">
        <f t="shared" si="4"/>
        <v>260538.46000000008</v>
      </c>
      <c r="G49" s="1179">
        <v>0</v>
      </c>
      <c r="H49" s="1179">
        <f t="shared" si="5"/>
        <v>260538.46000000008</v>
      </c>
      <c r="I49" s="1179">
        <f>'WPB-2.1.A 13 mo avg Forecast '!Q49</f>
        <v>260538.46</v>
      </c>
    </row>
    <row r="50" spans="1:9">
      <c r="A50" s="290">
        <f>IF(ISBLANK($C50),"",COUNTA($C$15:C50))</f>
        <v>35</v>
      </c>
      <c r="B50" s="294">
        <v>387.42</v>
      </c>
      <c r="C50" s="304" t="s">
        <v>406</v>
      </c>
      <c r="D50" s="1179">
        <f>'WPB-2.1.A 13 mo avg Forecast '!P50</f>
        <v>419367.40000000008</v>
      </c>
      <c r="E50" s="313"/>
      <c r="F50" s="1179">
        <f t="shared" si="4"/>
        <v>419367.40000000008</v>
      </c>
      <c r="G50" s="1179">
        <v>0</v>
      </c>
      <c r="H50" s="1179">
        <f t="shared" si="5"/>
        <v>419367.40000000008</v>
      </c>
      <c r="I50" s="1179">
        <f>'WPB-2.1.A 13 mo avg Forecast '!Q50</f>
        <v>419367.40000000008</v>
      </c>
    </row>
    <row r="51" spans="1:9">
      <c r="A51" s="290">
        <f>IF(ISBLANK($C51),"",COUNTA($C$15:C51))</f>
        <v>36</v>
      </c>
      <c r="B51" s="294">
        <v>387.44</v>
      </c>
      <c r="C51" s="304" t="s">
        <v>407</v>
      </c>
      <c r="D51" s="1179">
        <f>'WPB-2.1.A 13 mo avg Forecast '!P51</f>
        <v>124678.76000000001</v>
      </c>
      <c r="E51" s="313"/>
      <c r="F51" s="1179">
        <f t="shared" si="4"/>
        <v>124678.76000000001</v>
      </c>
      <c r="G51" s="1179">
        <v>0</v>
      </c>
      <c r="H51" s="1179">
        <f t="shared" si="5"/>
        <v>124678.76000000001</v>
      </c>
      <c r="I51" s="1179">
        <f>'WPB-2.1.A 13 mo avg Forecast '!Q51</f>
        <v>124678.76000000001</v>
      </c>
    </row>
    <row r="52" spans="1:9">
      <c r="A52" s="290">
        <f>IF(ISBLANK($C52),"",COUNTA($C$15:C52))</f>
        <v>37</v>
      </c>
      <c r="B52" s="294">
        <v>387.45</v>
      </c>
      <c r="C52" s="304" t="s">
        <v>408</v>
      </c>
      <c r="D52" s="1179">
        <f>'WPB-2.1.A 13 mo avg Forecast '!P52</f>
        <v>7122391.6700000046</v>
      </c>
      <c r="E52" s="313"/>
      <c r="F52" s="1179">
        <f t="shared" si="4"/>
        <v>7122391.6700000046</v>
      </c>
      <c r="G52" s="1179">
        <v>0</v>
      </c>
      <c r="H52" s="1179">
        <f t="shared" si="5"/>
        <v>7122391.6700000046</v>
      </c>
      <c r="I52" s="1179">
        <f>'WPB-2.1.A 13 mo avg Forecast '!Q52</f>
        <v>6532093.9123076955</v>
      </c>
    </row>
    <row r="53" spans="1:9">
      <c r="A53" s="290">
        <f>IF(ISBLANK($C53),"",COUNTA($C$15:C53))</f>
        <v>38</v>
      </c>
      <c r="B53" s="294">
        <v>387.46</v>
      </c>
      <c r="C53" s="304" t="s">
        <v>409</v>
      </c>
      <c r="D53" s="1179">
        <f>'WPB-2.1.A 13 mo avg Forecast '!P53</f>
        <v>113644.47</v>
      </c>
      <c r="E53" s="313"/>
      <c r="F53" s="1179">
        <f t="shared" si="4"/>
        <v>113644.47</v>
      </c>
      <c r="G53" s="1179">
        <v>0</v>
      </c>
      <c r="H53" s="1179">
        <f t="shared" si="5"/>
        <v>113644.47</v>
      </c>
      <c r="I53" s="1179">
        <f>'WPB-2.1.A 13 mo avg Forecast '!Q53</f>
        <v>113644.46999999999</v>
      </c>
    </row>
    <row r="54" spans="1:9">
      <c r="A54" s="290">
        <f>IF(ISBLANK($C54),"",COUNTA($C$15:C54))</f>
        <v>39</v>
      </c>
      <c r="B54" s="294">
        <v>387.5</v>
      </c>
      <c r="C54" s="304" t="s">
        <v>1075</v>
      </c>
      <c r="D54" s="1182">
        <f>'WPB-2.1.A 13 mo avg Forecast '!P54</f>
        <v>238072.69</v>
      </c>
      <c r="E54" s="313"/>
      <c r="F54" s="1180">
        <f>D54</f>
        <v>238072.69</v>
      </c>
      <c r="G54" s="1182">
        <v>0</v>
      </c>
      <c r="H54" s="1180">
        <f>(+F54+G54)</f>
        <v>238072.69</v>
      </c>
      <c r="I54" s="1182">
        <f>'WPB-2.1.A 13 mo avg Forecast '!Q54</f>
        <v>238072.68999999997</v>
      </c>
    </row>
    <row r="55" spans="1:9">
      <c r="A55" s="290">
        <f>IF(ISBLANK($C55),"",COUNTA($C$15:C55))</f>
        <v>40</v>
      </c>
      <c r="B55" s="294"/>
      <c r="C55" s="304" t="s">
        <v>1587</v>
      </c>
      <c r="D55" s="1179">
        <f>SUM(D25:D41)+SUM(D42:D54)</f>
        <v>758901457.0322454</v>
      </c>
      <c r="E55" s="313"/>
      <c r="F55" s="1179">
        <f>SUM(F25:F41)+SUM(F42:F54)</f>
        <v>758901457.0322454</v>
      </c>
      <c r="G55" s="1179">
        <f>SUM(G25:G41)+SUM(G42:G53)</f>
        <v>0</v>
      </c>
      <c r="H55" s="1179">
        <f>SUM(H25:H41)+SUM(H42:H54)</f>
        <v>758901457.0322454</v>
      </c>
      <c r="I55" s="1179">
        <f>SUM(I25:I41)+SUM(I42:I54)</f>
        <v>748340633.26499629</v>
      </c>
    </row>
    <row r="56" spans="1:9">
      <c r="A56" s="290" t="str">
        <f>IF(ISBLANK($C56),"",COUNTA($C$15:C56))</f>
        <v/>
      </c>
      <c r="B56" s="294"/>
      <c r="C56" s="294"/>
      <c r="D56" s="1179"/>
      <c r="E56" s="313"/>
      <c r="F56" s="1181" t="s">
        <v>358</v>
      </c>
      <c r="G56" s="1179"/>
      <c r="H56" s="1179"/>
      <c r="I56" s="1179" t="s">
        <v>358</v>
      </c>
    </row>
    <row r="57" spans="1:9">
      <c r="A57" s="290">
        <f>IF(ISBLANK($C57),"",COUNTA($C$15:C57))</f>
        <v>41</v>
      </c>
      <c r="B57" s="294"/>
      <c r="C57" s="302" t="s">
        <v>411</v>
      </c>
      <c r="D57" s="1179"/>
      <c r="E57" s="313"/>
      <c r="F57" s="1181" t="s">
        <v>358</v>
      </c>
      <c r="G57" s="1179"/>
      <c r="H57" s="1179"/>
      <c r="I57" s="1179" t="s">
        <v>358</v>
      </c>
    </row>
    <row r="58" spans="1:9">
      <c r="A58" s="290">
        <f>IF(ISBLANK($C58),"",COUNTA($C$15:C58))</f>
        <v>42</v>
      </c>
      <c r="B58" s="294">
        <v>391.1</v>
      </c>
      <c r="C58" s="304" t="s">
        <v>412</v>
      </c>
      <c r="D58" s="1179">
        <f>'WPB-2.1.A 13 mo avg Forecast '!P71</f>
        <v>921741.33000000007</v>
      </c>
      <c r="E58" s="313"/>
      <c r="F58" s="1179">
        <f t="shared" ref="F58:F71" si="6">D58</f>
        <v>921741.33000000007</v>
      </c>
      <c r="G58" s="1179">
        <v>0</v>
      </c>
      <c r="H58" s="1179">
        <f t="shared" ref="H58:H71" si="7">(+F58+G58)</f>
        <v>921741.33000000007</v>
      </c>
      <c r="I58" s="1179">
        <f>'WPB-2.1.A 13 mo avg Forecast '!Q71</f>
        <v>921741.33000000007</v>
      </c>
    </row>
    <row r="59" spans="1:9">
      <c r="A59" s="290">
        <f>IF(ISBLANK($C59),"",COUNTA($C$15:C59))</f>
        <v>43</v>
      </c>
      <c r="B59" s="294">
        <v>391.11</v>
      </c>
      <c r="C59" s="304" t="s">
        <v>413</v>
      </c>
      <c r="D59" s="1179">
        <f>'WPB-2.1.A 13 mo avg Forecast '!P72</f>
        <v>0</v>
      </c>
      <c r="E59" s="313"/>
      <c r="F59" s="1179">
        <f t="shared" si="6"/>
        <v>0</v>
      </c>
      <c r="G59" s="1179">
        <v>0</v>
      </c>
      <c r="H59" s="1179">
        <f t="shared" si="7"/>
        <v>0</v>
      </c>
      <c r="I59" s="1179">
        <f>'WPB-2.1.A 13 mo avg Forecast '!Q72</f>
        <v>0</v>
      </c>
    </row>
    <row r="60" spans="1:9">
      <c r="A60" s="290">
        <f>IF(ISBLANK($C60),"",COUNTA($C$15:C60))</f>
        <v>44</v>
      </c>
      <c r="B60" s="294">
        <v>391.12</v>
      </c>
      <c r="C60" s="304" t="s">
        <v>414</v>
      </c>
      <c r="D60" s="1179">
        <f>'WPB-2.1.A 13 mo avg Forecast '!P73</f>
        <v>37129.580000000009</v>
      </c>
      <c r="E60" s="313"/>
      <c r="F60" s="1179">
        <f t="shared" si="6"/>
        <v>37129.580000000009</v>
      </c>
      <c r="G60" s="1179">
        <v>0</v>
      </c>
      <c r="H60" s="1179">
        <f t="shared" si="7"/>
        <v>37129.580000000009</v>
      </c>
      <c r="I60" s="1179">
        <f>'WPB-2.1.A 13 mo avg Forecast '!Q73</f>
        <v>37129.580000000009</v>
      </c>
    </row>
    <row r="61" spans="1:9">
      <c r="A61" s="290">
        <f>IF(ISBLANK($C61),"",COUNTA($C$15:C61))</f>
        <v>45</v>
      </c>
      <c r="B61" s="294">
        <v>392.2</v>
      </c>
      <c r="C61" s="304" t="s">
        <v>524</v>
      </c>
      <c r="D61" s="1179">
        <f>'WPB-2.1.A 13 mo avg Forecast '!P74</f>
        <v>48924.4</v>
      </c>
      <c r="E61" s="313"/>
      <c r="F61" s="1179">
        <f t="shared" si="6"/>
        <v>48924.4</v>
      </c>
      <c r="G61" s="1179">
        <v>0</v>
      </c>
      <c r="H61" s="1179">
        <f t="shared" si="7"/>
        <v>48924.4</v>
      </c>
      <c r="I61" s="1179">
        <f>'WPB-2.1.A 13 mo avg Forecast '!Q74</f>
        <v>48924.400000000016</v>
      </c>
    </row>
    <row r="62" spans="1:9">
      <c r="A62" s="290">
        <f>IF(ISBLANK($C62),"",COUNTA($C$15:C62))</f>
        <v>46</v>
      </c>
      <c r="B62" s="294">
        <v>392.21</v>
      </c>
      <c r="C62" s="304" t="s">
        <v>415</v>
      </c>
      <c r="D62" s="1179">
        <f>'WPB-2.1.A 13 mo avg Forecast '!P75</f>
        <v>24462.2</v>
      </c>
      <c r="E62" s="313"/>
      <c r="F62" s="1179">
        <f t="shared" si="6"/>
        <v>24462.2</v>
      </c>
      <c r="G62" s="1179">
        <v>0</v>
      </c>
      <c r="H62" s="1179">
        <f t="shared" si="7"/>
        <v>24462.2</v>
      </c>
      <c r="I62" s="1179">
        <f>'WPB-2.1.A 13 mo avg Forecast '!Q75</f>
        <v>24462.200000000008</v>
      </c>
    </row>
    <row r="63" spans="1:9">
      <c r="A63" s="290">
        <f>IF(ISBLANK($C63),"",COUNTA($C$15:C63))</f>
        <v>47</v>
      </c>
      <c r="B63" s="294">
        <v>393</v>
      </c>
      <c r="C63" s="304" t="s">
        <v>416</v>
      </c>
      <c r="D63" s="1179">
        <f>'WPB-2.1.A 13 mo avg Forecast '!P76</f>
        <v>0</v>
      </c>
      <c r="E63" s="313"/>
      <c r="F63" s="1179">
        <f t="shared" si="6"/>
        <v>0</v>
      </c>
      <c r="G63" s="1179">
        <v>0</v>
      </c>
      <c r="H63" s="1179">
        <f t="shared" si="7"/>
        <v>0</v>
      </c>
      <c r="I63" s="1179">
        <f>'WPB-2.1.A 13 mo avg Forecast '!Q76</f>
        <v>0</v>
      </c>
    </row>
    <row r="64" spans="1:9">
      <c r="A64" s="290">
        <f>IF(ISBLANK($C64),"",COUNTA($C$15:C64))</f>
        <v>48</v>
      </c>
      <c r="B64" s="294">
        <v>394.1</v>
      </c>
      <c r="C64" s="304" t="s">
        <v>417</v>
      </c>
      <c r="D64" s="1179">
        <f>'WPB-2.1.A 13 mo avg Forecast '!P77</f>
        <v>9739</v>
      </c>
      <c r="E64" s="313"/>
      <c r="F64" s="1179">
        <f t="shared" si="6"/>
        <v>9739</v>
      </c>
      <c r="G64" s="1179">
        <v>0</v>
      </c>
      <c r="H64" s="1179">
        <f t="shared" si="7"/>
        <v>9739</v>
      </c>
      <c r="I64" s="1179">
        <f>'WPB-2.1.A 13 mo avg Forecast '!Q77</f>
        <v>9739</v>
      </c>
    </row>
    <row r="65" spans="1:9">
      <c r="A65" s="290">
        <f>IF(ISBLANK($C65),"",COUNTA($C$15:C65))</f>
        <v>49</v>
      </c>
      <c r="B65" s="294">
        <v>394.11</v>
      </c>
      <c r="C65" s="304" t="s">
        <v>418</v>
      </c>
      <c r="D65" s="1179">
        <f>'WPB-2.1.A 13 mo avg Forecast '!P78</f>
        <v>0</v>
      </c>
      <c r="E65" s="313"/>
      <c r="F65" s="1179">
        <f t="shared" si="6"/>
        <v>0</v>
      </c>
      <c r="G65" s="1179">
        <v>0</v>
      </c>
      <c r="H65" s="1179">
        <f t="shared" si="7"/>
        <v>0</v>
      </c>
      <c r="I65" s="1179">
        <f>'WPB-2.1.A 13 mo avg Forecast '!Q78</f>
        <v>0</v>
      </c>
    </row>
    <row r="66" spans="1:9" ht="13.5" customHeight="1">
      <c r="A66" s="290">
        <f>IF(ISBLANK($C66),"",COUNTA($C$15:C66))</f>
        <v>50</v>
      </c>
      <c r="B66" s="294">
        <v>394.13</v>
      </c>
      <c r="C66" s="304" t="s">
        <v>419</v>
      </c>
      <c r="D66" s="1179">
        <f>'WPB-2.1.A 13 mo avg Forecast '!P79</f>
        <v>0</v>
      </c>
      <c r="E66" s="313"/>
      <c r="F66" s="1179">
        <f t="shared" si="6"/>
        <v>0</v>
      </c>
      <c r="G66" s="1179">
        <v>0</v>
      </c>
      <c r="H66" s="1179">
        <f t="shared" si="7"/>
        <v>0</v>
      </c>
      <c r="I66" s="1179">
        <f>'WPB-2.1.A 13 mo avg Forecast '!Q79</f>
        <v>0</v>
      </c>
    </row>
    <row r="67" spans="1:9" ht="13.5" customHeight="1">
      <c r="A67" s="290">
        <f>IF(ISBLANK($C67),"",COUNTA($C$15:C67))</f>
        <v>51</v>
      </c>
      <c r="B67" s="294">
        <v>394.2</v>
      </c>
      <c r="C67" s="304" t="s">
        <v>515</v>
      </c>
      <c r="D67" s="1179">
        <f>'WPB-2.1.A 13 mo avg Forecast '!P80</f>
        <v>0</v>
      </c>
      <c r="E67" s="313"/>
      <c r="F67" s="1179">
        <f t="shared" si="6"/>
        <v>0</v>
      </c>
      <c r="G67" s="1179">
        <v>0</v>
      </c>
      <c r="H67" s="1179">
        <f t="shared" si="7"/>
        <v>0</v>
      </c>
      <c r="I67" s="1179">
        <f>'WPB-2.1.A 13 mo avg Forecast '!Q80</f>
        <v>0</v>
      </c>
    </row>
    <row r="68" spans="1:9">
      <c r="A68" s="290">
        <f>IF(ISBLANK($C68),"",COUNTA($C$15:C68))</f>
        <v>52</v>
      </c>
      <c r="B68" s="294">
        <v>394.3</v>
      </c>
      <c r="C68" s="304" t="s">
        <v>420</v>
      </c>
      <c r="D68" s="1179">
        <f>'WPB-2.1.A 13 mo avg Forecast '!P81</f>
        <v>7063104.4900000002</v>
      </c>
      <c r="E68" s="313"/>
      <c r="F68" s="1179">
        <f t="shared" si="6"/>
        <v>7063104.4900000002</v>
      </c>
      <c r="G68" s="1179">
        <v>0</v>
      </c>
      <c r="H68" s="1179">
        <f t="shared" si="7"/>
        <v>7063104.4900000002</v>
      </c>
      <c r="I68" s="1179">
        <f>'WPB-2.1.A 13 mo avg Forecast '!Q81</f>
        <v>6157146.0984615386</v>
      </c>
    </row>
    <row r="69" spans="1:9">
      <c r="A69" s="290">
        <f>IF(ISBLANK($C69),"",COUNTA($C$15:C69))</f>
        <v>53</v>
      </c>
      <c r="B69" s="294">
        <v>395</v>
      </c>
      <c r="C69" s="304" t="s">
        <v>421</v>
      </c>
      <c r="D69" s="1179">
        <f>'WPB-2.1.A 13 mo avg Forecast '!P82</f>
        <v>0</v>
      </c>
      <c r="E69" s="313"/>
      <c r="F69" s="1179">
        <f t="shared" si="6"/>
        <v>0</v>
      </c>
      <c r="G69" s="1179">
        <v>0</v>
      </c>
      <c r="H69" s="1179">
        <f t="shared" si="7"/>
        <v>0</v>
      </c>
      <c r="I69" s="1179">
        <f>'WPB-2.1.A 13 mo avg Forecast '!Q82</f>
        <v>0</v>
      </c>
    </row>
    <row r="70" spans="1:9">
      <c r="A70" s="290">
        <f>IF(ISBLANK($C70),"",COUNTA($C$15:C70))</f>
        <v>54</v>
      </c>
      <c r="B70" s="294">
        <v>396</v>
      </c>
      <c r="C70" s="304" t="s">
        <v>422</v>
      </c>
      <c r="D70" s="1179">
        <f>'WPB-2.1.A 13 mo avg Forecast '!P83</f>
        <v>185547</v>
      </c>
      <c r="E70" s="313"/>
      <c r="F70" s="1179">
        <f t="shared" si="6"/>
        <v>185547</v>
      </c>
      <c r="G70" s="1179">
        <v>0</v>
      </c>
      <c r="H70" s="1179">
        <f t="shared" si="7"/>
        <v>185547</v>
      </c>
      <c r="I70" s="1179">
        <f>'WPB-2.1.A 13 mo avg Forecast '!Q83</f>
        <v>185547</v>
      </c>
    </row>
    <row r="71" spans="1:9">
      <c r="A71" s="290">
        <f>IF(ISBLANK($C71),"",COUNTA($C$15:C71))</f>
        <v>55</v>
      </c>
      <c r="B71" s="294">
        <v>398</v>
      </c>
      <c r="C71" s="304" t="s">
        <v>423</v>
      </c>
      <c r="D71" s="1182">
        <f>'WPB-2.1.A 13 mo avg Forecast '!P84</f>
        <v>148028.20000000001</v>
      </c>
      <c r="E71" s="313"/>
      <c r="F71" s="1182">
        <f t="shared" si="6"/>
        <v>148028.20000000001</v>
      </c>
      <c r="G71" s="1182">
        <v>0</v>
      </c>
      <c r="H71" s="1182">
        <f t="shared" si="7"/>
        <v>148028.20000000001</v>
      </c>
      <c r="I71" s="1182">
        <f>'WPB-2.1.A 13 mo avg Forecast '!Q84</f>
        <v>148028.19999999998</v>
      </c>
    </row>
    <row r="72" spans="1:9">
      <c r="A72" s="290">
        <f>IF(ISBLANK($C72),"",COUNTA($C$15:C72))</f>
        <v>56</v>
      </c>
      <c r="B72" s="294"/>
      <c r="C72" s="304" t="s">
        <v>425</v>
      </c>
      <c r="D72" s="1179">
        <f>SUM(D58:D71)</f>
        <v>8438676.1999999993</v>
      </c>
      <c r="E72" s="313"/>
      <c r="F72" s="1179">
        <f>SUM(F58:F71)</f>
        <v>8438676.1999999993</v>
      </c>
      <c r="G72" s="1179">
        <f>SUM(G58:G71)</f>
        <v>0</v>
      </c>
      <c r="H72" s="1179">
        <f>SUM(H58:H71)</f>
        <v>8438676.1999999993</v>
      </c>
      <c r="I72" s="1179">
        <f>SUM(I58:I71)</f>
        <v>7532717.8084615385</v>
      </c>
    </row>
    <row r="73" spans="1:9">
      <c r="A73" s="290" t="str">
        <f>IF(ISBLANK($C73),"",COUNTA($C$15:C73))</f>
        <v/>
      </c>
      <c r="B73" s="294"/>
      <c r="C73" s="294"/>
      <c r="D73" s="1179"/>
      <c r="E73" s="313"/>
      <c r="F73" s="1181" t="s">
        <v>358</v>
      </c>
      <c r="G73" s="1179"/>
      <c r="H73" s="1181" t="s">
        <v>358</v>
      </c>
      <c r="I73" s="1181"/>
    </row>
    <row r="74" spans="1:9">
      <c r="A74" s="290">
        <f>IF(ISBLANK($C74),"",COUNTA($C$15:C74))</f>
        <v>57</v>
      </c>
      <c r="B74" s="294"/>
      <c r="C74" s="302" t="s">
        <v>1038</v>
      </c>
      <c r="D74" s="1179"/>
      <c r="E74" s="313"/>
      <c r="F74" s="1181" t="s">
        <v>358</v>
      </c>
      <c r="G74" s="1179"/>
      <c r="H74" s="1181" t="s">
        <v>358</v>
      </c>
      <c r="I74" s="1179"/>
    </row>
    <row r="75" spans="1:9">
      <c r="A75" s="290">
        <f>IF(ISBLANK($C75),"",COUNTA($C$15:C75))</f>
        <v>58</v>
      </c>
      <c r="B75" s="294">
        <v>378.21</v>
      </c>
      <c r="C75" s="304" t="s">
        <v>1037</v>
      </c>
      <c r="D75" s="1182">
        <f>'WPB-2.1.A 13 mo avg Forecast '!P88</f>
        <v>-777092</v>
      </c>
      <c r="E75" s="313"/>
      <c r="F75" s="1182">
        <f>D75</f>
        <v>-777092</v>
      </c>
      <c r="G75" s="1182">
        <v>0</v>
      </c>
      <c r="H75" s="1182">
        <f>(+F75+G75)</f>
        <v>-777092</v>
      </c>
      <c r="I75" s="1182">
        <f>H75</f>
        <v>-777092</v>
      </c>
    </row>
    <row r="76" spans="1:9">
      <c r="A76" s="290">
        <f>IF(ISBLANK($C76),"",COUNTA($C$15:C76))</f>
        <v>59</v>
      </c>
      <c r="B76" s="294"/>
      <c r="C76" s="304" t="s">
        <v>1579</v>
      </c>
      <c r="D76" s="1179">
        <f>SUM(D75)</f>
        <v>-777092</v>
      </c>
      <c r="E76" s="313"/>
      <c r="F76" s="1179">
        <f>SUM(F75)</f>
        <v>-777092</v>
      </c>
      <c r="G76" s="1179"/>
      <c r="H76" s="1179">
        <f>SUM(H75)</f>
        <v>-777092</v>
      </c>
      <c r="I76" s="1179">
        <f>SUM(I75)</f>
        <v>-777092</v>
      </c>
    </row>
    <row r="77" spans="1:9">
      <c r="A77" s="290" t="str">
        <f>IF(ISBLANK($C77),"",COUNTA($C$15:C77))</f>
        <v/>
      </c>
      <c r="B77" s="294"/>
      <c r="C77" s="294"/>
      <c r="D77" s="1179"/>
      <c r="E77" s="313"/>
      <c r="F77" s="1179" t="s">
        <v>358</v>
      </c>
      <c r="G77" s="1179"/>
      <c r="H77" s="1179" t="s">
        <v>358</v>
      </c>
      <c r="I77" s="1179"/>
    </row>
    <row r="78" spans="1:9" ht="13.5" thickBot="1">
      <c r="A78" s="290">
        <f>IF(ISBLANK($C78),"",COUNTA($C$15:C78))</f>
        <v>60</v>
      </c>
      <c r="B78" s="294"/>
      <c r="C78" s="304" t="s">
        <v>1580</v>
      </c>
      <c r="D78" s="1183">
        <f>D22+D55+D72+D76</f>
        <v>789280895.56637239</v>
      </c>
      <c r="E78" s="313"/>
      <c r="F78" s="1183">
        <f>F22+F55+F72+F76</f>
        <v>789280895.56637239</v>
      </c>
      <c r="G78" s="1183">
        <f>G22+G55+G72+G75</f>
        <v>0</v>
      </c>
      <c r="H78" s="1183">
        <f>H22+H55+H72+H76</f>
        <v>789280895.56637239</v>
      </c>
      <c r="I78" s="1183">
        <f>I22+I55+I72+I76</f>
        <v>775008140.86461878</v>
      </c>
    </row>
    <row r="79" spans="1:9" ht="13.5" thickTop="1">
      <c r="D79" s="1179"/>
      <c r="E79" s="313"/>
      <c r="F79" s="1179"/>
      <c r="G79" s="1179"/>
      <c r="H79" s="1179"/>
      <c r="I79" s="1179"/>
    </row>
    <row r="80" spans="1:9">
      <c r="A80" s="322">
        <f>A78+1</f>
        <v>61</v>
      </c>
      <c r="C80" s="325" t="s">
        <v>1774</v>
      </c>
      <c r="D80" s="1179"/>
      <c r="F80" s="1179"/>
      <c r="G80" s="1179"/>
      <c r="H80" s="1179"/>
      <c r="I80" s="1179"/>
    </row>
    <row r="81" spans="1:9">
      <c r="A81" s="322">
        <f>A80+1</f>
        <v>62</v>
      </c>
      <c r="B81" s="310">
        <v>376</v>
      </c>
      <c r="C81" s="308" t="s">
        <v>393</v>
      </c>
      <c r="D81" s="1179">
        <f>'WPB-2.1.A 13 mo avg Forecast '!P94</f>
        <v>77446263.973506317</v>
      </c>
      <c r="F81" s="1179">
        <f t="shared" ref="F81:F85" si="8">D81</f>
        <v>77446263.973506317</v>
      </c>
      <c r="G81" s="1179">
        <v>0</v>
      </c>
      <c r="H81" s="1179">
        <f t="shared" ref="H81:H85" si="9">(+F81+G81)</f>
        <v>77446263.973506317</v>
      </c>
      <c r="I81" s="1179">
        <f>'WPB-2.1.A 13 mo avg Forecast '!Q94</f>
        <v>62010528.702244245</v>
      </c>
    </row>
    <row r="82" spans="1:9">
      <c r="A82" s="322">
        <f t="shared" ref="A82:A86" si="10">A81+1</f>
        <v>63</v>
      </c>
      <c r="B82" s="310">
        <v>378.2</v>
      </c>
      <c r="C82" s="308" t="s">
        <v>2915</v>
      </c>
      <c r="D82" s="1179">
        <f>'WPB-2.1.A 13 mo avg Forecast '!P95</f>
        <v>599780.62011021946</v>
      </c>
      <c r="F82" s="1179">
        <f t="shared" si="8"/>
        <v>599780.62011021946</v>
      </c>
      <c r="G82" s="1179">
        <v>0</v>
      </c>
      <c r="H82" s="1179">
        <f t="shared" si="9"/>
        <v>599780.62011021946</v>
      </c>
      <c r="I82" s="1179">
        <f>'WPB-2.1.A 13 mo avg Forecast '!Q95</f>
        <v>599780.62011021946</v>
      </c>
    </row>
    <row r="83" spans="1:9">
      <c r="A83" s="322">
        <f t="shared" si="10"/>
        <v>64</v>
      </c>
      <c r="B83" s="310">
        <v>380</v>
      </c>
      <c r="C83" s="308" t="s">
        <v>398</v>
      </c>
      <c r="D83" s="1179">
        <f>'WPB-2.1.A 13 mo avg Forecast '!P96</f>
        <v>29326332.758952212</v>
      </c>
      <c r="F83" s="1179">
        <f t="shared" si="8"/>
        <v>29326332.758952212</v>
      </c>
      <c r="G83" s="1179">
        <v>0</v>
      </c>
      <c r="H83" s="1179">
        <f t="shared" si="9"/>
        <v>29326332.758952212</v>
      </c>
      <c r="I83" s="1179">
        <f>'WPB-2.1.A 13 mo avg Forecast '!Q96</f>
        <v>25711526.350910101</v>
      </c>
    </row>
    <row r="84" spans="1:9">
      <c r="A84" s="322">
        <f t="shared" si="10"/>
        <v>65</v>
      </c>
      <c r="B84" s="310">
        <v>382</v>
      </c>
      <c r="C84" s="308" t="s">
        <v>2916</v>
      </c>
      <c r="D84" s="1179">
        <f>'WPB-2.1.A 13 mo avg Forecast '!P97</f>
        <v>282253.59452697512</v>
      </c>
      <c r="F84" s="1179">
        <f t="shared" si="8"/>
        <v>282253.59452697512</v>
      </c>
      <c r="G84" s="1179">
        <v>0</v>
      </c>
      <c r="H84" s="1179">
        <f t="shared" si="9"/>
        <v>282253.59452697512</v>
      </c>
      <c r="I84" s="1179">
        <f>'WPB-2.1.A 13 mo avg Forecast '!Q97</f>
        <v>246456.53916738307</v>
      </c>
    </row>
    <row r="85" spans="1:9">
      <c r="A85" s="322">
        <f t="shared" si="10"/>
        <v>66</v>
      </c>
      <c r="B85" s="310">
        <v>383</v>
      </c>
      <c r="C85" s="308" t="s">
        <v>2917</v>
      </c>
      <c r="D85" s="1179">
        <f>'WPB-2.1.A 13 mo avg Forecast '!P98</f>
        <v>203430.99528017396</v>
      </c>
      <c r="F85" s="1179">
        <f t="shared" si="8"/>
        <v>203430.99528017396</v>
      </c>
      <c r="G85" s="1179">
        <v>0</v>
      </c>
      <c r="H85" s="1179">
        <f t="shared" si="9"/>
        <v>203430.99528017396</v>
      </c>
      <c r="I85" s="1179">
        <f>'WPB-2.1.A 13 mo avg Forecast '!Q98</f>
        <v>173651.06697016026</v>
      </c>
    </row>
    <row r="86" spans="1:9">
      <c r="A86" s="322">
        <f t="shared" si="10"/>
        <v>67</v>
      </c>
      <c r="B86" s="307"/>
      <c r="C86" s="308" t="s">
        <v>1783</v>
      </c>
      <c r="D86" s="253">
        <f>SUM(D81:D85)</f>
        <v>107858061.9423759</v>
      </c>
      <c r="E86" s="227"/>
      <c r="F86" s="253">
        <f>SUM(F81:F85)</f>
        <v>107858061.9423759</v>
      </c>
      <c r="G86" s="253">
        <f>SUM(G81:G85)</f>
        <v>0</v>
      </c>
      <c r="H86" s="253">
        <f>SUM(H81:H85)</f>
        <v>107858061.9423759</v>
      </c>
      <c r="I86" s="253">
        <f>SUM(I81:I85)</f>
        <v>88741943.279402107</v>
      </c>
    </row>
    <row r="87" spans="1:9">
      <c r="A87" s="322"/>
      <c r="B87" s="307"/>
      <c r="C87" s="308"/>
      <c r="D87" s="1179"/>
      <c r="F87" s="1179"/>
      <c r="G87" s="1179"/>
      <c r="H87" s="1179"/>
      <c r="I87" s="1179"/>
    </row>
    <row r="88" spans="1:9" ht="13.5" thickBot="1">
      <c r="A88" s="322">
        <f>A86+1</f>
        <v>68</v>
      </c>
      <c r="B88" s="307"/>
      <c r="C88" s="308" t="s">
        <v>447</v>
      </c>
      <c r="D88" s="1183">
        <f>D86+D78</f>
        <v>897138957.50874829</v>
      </c>
      <c r="F88" s="1183">
        <f>F86+F78</f>
        <v>897138957.50874829</v>
      </c>
      <c r="G88" s="1183">
        <f>G86+G78</f>
        <v>0</v>
      </c>
      <c r="H88" s="1183">
        <f>H86+H78</f>
        <v>897138957.50874829</v>
      </c>
      <c r="I88" s="1183">
        <f>I86+I78</f>
        <v>863750084.14402092</v>
      </c>
    </row>
    <row r="89" spans="1:9" ht="13.5" thickTop="1"/>
  </sheetData>
  <mergeCells count="4">
    <mergeCell ref="A1:I1"/>
    <mergeCell ref="A2:I2"/>
    <mergeCell ref="A3:I3"/>
    <mergeCell ref="A4:I4"/>
  </mergeCells>
  <printOptions horizontalCentered="1"/>
  <pageMargins left="0.5" right="0.5" top="0.75" bottom="0.5" header="0.3" footer="0.3"/>
  <pageSetup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V104"/>
  <sheetViews>
    <sheetView zoomScaleNormal="100" zoomScaleSheetLayoutView="100" workbookViewId="0">
      <selection activeCell="C23" sqref="C23"/>
    </sheetView>
  </sheetViews>
  <sheetFormatPr defaultColWidth="8.6640625" defaultRowHeight="15"/>
  <cols>
    <col min="1" max="1" width="26.1640625" style="57" bestFit="1" customWidth="1"/>
    <col min="2" max="2" width="33" style="932" bestFit="1" customWidth="1"/>
    <col min="3" max="3" width="47.1640625" style="57" bestFit="1" customWidth="1"/>
    <col min="4" max="4" width="17.33203125" style="57" bestFit="1" customWidth="1"/>
    <col min="5" max="8" width="21.5" style="57" bestFit="1" customWidth="1"/>
    <col min="9" max="9" width="17.33203125" style="57" bestFit="1" customWidth="1"/>
    <col min="10" max="13" width="21.5" style="57" bestFit="1" customWidth="1"/>
    <col min="14" max="14" width="17.33203125" style="57" bestFit="1" customWidth="1"/>
    <col min="15" max="18" width="21.5" style="57" bestFit="1" customWidth="1"/>
    <col min="19" max="19" width="17.33203125" style="57" bestFit="1" customWidth="1"/>
    <col min="20" max="23" width="21.5" style="57" bestFit="1" customWidth="1"/>
    <col min="24" max="24" width="17.33203125" style="57" bestFit="1" customWidth="1"/>
    <col min="25" max="28" width="21.5" style="57" bestFit="1" customWidth="1"/>
    <col min="29" max="29" width="17.33203125" style="57" bestFit="1" customWidth="1"/>
    <col min="30" max="33" width="21.5" style="57" bestFit="1" customWidth="1"/>
    <col min="34" max="34" width="17.33203125" style="57" bestFit="1" customWidth="1"/>
    <col min="35" max="38" width="21.5" style="57" bestFit="1" customWidth="1"/>
    <col min="39" max="39" width="17.33203125" style="57" bestFit="1" customWidth="1"/>
    <col min="40" max="43" width="21.5" style="57" bestFit="1" customWidth="1"/>
    <col min="44" max="44" width="17.33203125" style="57" bestFit="1" customWidth="1"/>
    <col min="45" max="48" width="21.5" style="57" bestFit="1" customWidth="1"/>
    <col min="49" max="49" width="17.33203125" style="57" bestFit="1" customWidth="1"/>
    <col min="50" max="73" width="21.5" style="57" bestFit="1" customWidth="1"/>
    <col min="74" max="74" width="21.6640625" style="57" customWidth="1"/>
    <col min="75" max="79" width="21.5" style="57" hidden="1" customWidth="1"/>
    <col min="80" max="80" width="8.6640625" style="57"/>
    <col min="81" max="81" width="14.33203125" style="57" bestFit="1" customWidth="1"/>
    <col min="82" max="82" width="19.1640625" style="57" bestFit="1" customWidth="1"/>
    <col min="83" max="83" width="18.6640625" style="57" bestFit="1" customWidth="1"/>
    <col min="84" max="84" width="21.5" style="57" bestFit="1" customWidth="1"/>
    <col min="85" max="85" width="18.5" style="57" bestFit="1" customWidth="1"/>
    <col min="86" max="86" width="17.33203125" style="57" bestFit="1" customWidth="1"/>
    <col min="87" max="87" width="19.1640625" style="57" bestFit="1" customWidth="1"/>
    <col min="88" max="88" width="18.6640625" style="57" bestFit="1" customWidth="1"/>
    <col min="89" max="89" width="21.5" style="57" bestFit="1" customWidth="1"/>
    <col min="90" max="90" width="18.5" style="57" bestFit="1" customWidth="1"/>
    <col min="91" max="91" width="17.33203125" style="57" bestFit="1" customWidth="1"/>
    <col min="92" max="92" width="19.1640625" style="57" bestFit="1" customWidth="1"/>
    <col min="93" max="93" width="18.6640625" style="57" bestFit="1" customWidth="1"/>
    <col min="94" max="94" width="21.5" style="57" bestFit="1" customWidth="1"/>
    <col min="95" max="95" width="18.5" style="57" bestFit="1" customWidth="1"/>
    <col min="96" max="96" width="17.33203125" style="57" bestFit="1" customWidth="1"/>
    <col min="97" max="97" width="19.1640625" style="57" bestFit="1" customWidth="1"/>
    <col min="98" max="98" width="18.6640625" style="57" bestFit="1" customWidth="1"/>
    <col min="99" max="99" width="21.5" style="57" bestFit="1" customWidth="1"/>
    <col min="100" max="100" width="18.5" style="57" bestFit="1" customWidth="1"/>
    <col min="101" max="101" width="17.33203125" style="57" bestFit="1" customWidth="1"/>
    <col min="102" max="102" width="19.1640625" style="57" bestFit="1" customWidth="1"/>
    <col min="103" max="103" width="18.6640625" style="57" bestFit="1" customWidth="1"/>
    <col min="104" max="104" width="21.5" style="57" bestFit="1" customWidth="1"/>
    <col min="105" max="105" width="18.5" style="57" bestFit="1" customWidth="1"/>
    <col min="106" max="106" width="17.33203125" style="57" bestFit="1" customWidth="1"/>
    <col min="107" max="107" width="19.1640625" style="57" bestFit="1" customWidth="1"/>
    <col min="108" max="108" width="18.6640625" style="57" bestFit="1" customWidth="1"/>
    <col min="109" max="109" width="21.5" style="57" bestFit="1" customWidth="1"/>
    <col min="110" max="110" width="18.5" style="57" bestFit="1" customWidth="1"/>
    <col min="111" max="111" width="17.33203125" style="57" bestFit="1" customWidth="1"/>
    <col min="112" max="112" width="19.1640625" style="57" bestFit="1" customWidth="1"/>
    <col min="113" max="113" width="18.6640625" style="57" bestFit="1" customWidth="1"/>
    <col min="114" max="114" width="21.5" style="57" bestFit="1" customWidth="1"/>
    <col min="115" max="115" width="18.5" style="57" bestFit="1" customWidth="1"/>
    <col min="116" max="116" width="17.33203125" style="57" bestFit="1" customWidth="1"/>
    <col min="117" max="117" width="19.1640625" style="57" bestFit="1" customWidth="1"/>
    <col min="118" max="118" width="18.6640625" style="57" bestFit="1" customWidth="1"/>
    <col min="119" max="119" width="21.5" style="57" bestFit="1" customWidth="1"/>
    <col min="120" max="120" width="18.5" style="57" bestFit="1" customWidth="1"/>
    <col min="121" max="121" width="17.33203125" style="57" bestFit="1" customWidth="1"/>
    <col min="122" max="122" width="19.1640625" style="57" bestFit="1" customWidth="1"/>
    <col min="123" max="123" width="18.6640625" style="57" bestFit="1" customWidth="1"/>
    <col min="124" max="124" width="21.5" style="57" bestFit="1" customWidth="1"/>
    <col min="125" max="125" width="18.5" style="57" bestFit="1" customWidth="1"/>
    <col min="126" max="126" width="17.33203125" style="57" bestFit="1" customWidth="1"/>
    <col min="127" max="127" width="19.1640625" style="57" bestFit="1" customWidth="1"/>
    <col min="128" max="128" width="18.6640625" style="57" bestFit="1" customWidth="1"/>
    <col min="129" max="129" width="21.5" style="57" bestFit="1" customWidth="1"/>
    <col min="130" max="130" width="18.5" style="57" bestFit="1" customWidth="1"/>
    <col min="131" max="131" width="17.33203125" style="57" bestFit="1" customWidth="1"/>
    <col min="132" max="132" width="19.1640625" style="57" bestFit="1" customWidth="1"/>
    <col min="133" max="133" width="18.6640625" style="57" bestFit="1" customWidth="1"/>
    <col min="134" max="134" width="21.5" style="57" bestFit="1" customWidth="1"/>
    <col min="135" max="135" width="18.5" style="57" bestFit="1" customWidth="1"/>
    <col min="136" max="136" width="17.33203125" style="57" bestFit="1" customWidth="1"/>
    <col min="137" max="137" width="19.1640625" style="57" bestFit="1" customWidth="1"/>
    <col min="138" max="138" width="18.6640625" style="57" bestFit="1" customWidth="1"/>
    <col min="139" max="139" width="21.5" style="57" bestFit="1" customWidth="1"/>
    <col min="140" max="140" width="18.5" style="57" bestFit="1" customWidth="1"/>
    <col min="141" max="141" width="17.33203125" style="57" bestFit="1" customWidth="1"/>
    <col min="142" max="142" width="19.1640625" style="57" bestFit="1" customWidth="1"/>
    <col min="143" max="143" width="18.6640625" style="57" bestFit="1" customWidth="1"/>
    <col min="144" max="144" width="21.5" style="57" bestFit="1" customWidth="1"/>
    <col min="145" max="145" width="18.5" style="57" bestFit="1" customWidth="1"/>
    <col min="146" max="146" width="17.33203125" style="57" bestFit="1" customWidth="1"/>
    <col min="147" max="147" width="19.1640625" style="57" bestFit="1" customWidth="1"/>
    <col min="148" max="148" width="18.6640625" style="57" bestFit="1" customWidth="1"/>
    <col min="149" max="149" width="21.5" style="57" bestFit="1" customWidth="1"/>
    <col min="150" max="150" width="18.5" style="57" bestFit="1" customWidth="1"/>
    <col min="151" max="151" width="17.33203125" style="57" bestFit="1" customWidth="1"/>
    <col min="152" max="152" width="19.1640625" style="57" bestFit="1" customWidth="1"/>
    <col min="153" max="153" width="18.6640625" style="57" bestFit="1" customWidth="1"/>
    <col min="154" max="154" width="21.5" style="57" bestFit="1" customWidth="1"/>
    <col min="155" max="155" width="18.5" style="57" bestFit="1" customWidth="1"/>
    <col min="156" max="156" width="17.33203125" style="57" bestFit="1" customWidth="1"/>
    <col min="157" max="157" width="19.1640625" style="57" bestFit="1" customWidth="1"/>
    <col min="158" max="158" width="18.6640625" style="57" bestFit="1" customWidth="1"/>
    <col min="159" max="159" width="21.5" style="57" bestFit="1" customWidth="1"/>
    <col min="160" max="160" width="18.5" style="57" bestFit="1" customWidth="1"/>
    <col min="161" max="161" width="17.33203125" style="57" bestFit="1" customWidth="1"/>
    <col min="162" max="162" width="19.1640625" style="57" bestFit="1" customWidth="1"/>
    <col min="163" max="163" width="18.6640625" style="57" bestFit="1" customWidth="1"/>
    <col min="164" max="164" width="21.5" style="57" bestFit="1" customWidth="1"/>
    <col min="165" max="165" width="18.5" style="57" bestFit="1" customWidth="1"/>
    <col min="166" max="166" width="17.33203125" style="57" bestFit="1" customWidth="1"/>
    <col min="167" max="167" width="19.1640625" style="57" bestFit="1" customWidth="1"/>
    <col min="168" max="168" width="18.6640625" style="57" bestFit="1" customWidth="1"/>
    <col min="169" max="169" width="21.5" style="57" bestFit="1" customWidth="1"/>
    <col min="170" max="170" width="18.5" style="57" bestFit="1" customWidth="1"/>
    <col min="171" max="171" width="17.33203125" style="57" bestFit="1" customWidth="1"/>
    <col min="172" max="172" width="19.1640625" style="57" bestFit="1" customWidth="1"/>
    <col min="173" max="173" width="18.6640625" style="57" bestFit="1" customWidth="1"/>
    <col min="174" max="174" width="21.5" style="57" bestFit="1" customWidth="1"/>
    <col min="175" max="175" width="18.5" style="57" bestFit="1" customWidth="1"/>
    <col min="176" max="176" width="17.33203125" style="57" bestFit="1" customWidth="1"/>
    <col min="177" max="177" width="19.1640625" style="57" bestFit="1" customWidth="1"/>
    <col min="178" max="178" width="18.6640625" style="57" bestFit="1" customWidth="1"/>
    <col min="179" max="179" width="21.5" style="57" bestFit="1" customWidth="1"/>
    <col min="180" max="180" width="18.5" style="57" bestFit="1" customWidth="1"/>
    <col min="181" max="181" width="17.33203125" style="57" bestFit="1" customWidth="1"/>
    <col min="182" max="182" width="19.1640625" style="57" bestFit="1" customWidth="1"/>
    <col min="183" max="183" width="18.6640625" style="57" bestFit="1" customWidth="1"/>
    <col min="184" max="184" width="21.5" style="57" bestFit="1" customWidth="1"/>
    <col min="185" max="185" width="18.5" style="57" bestFit="1" customWidth="1"/>
    <col min="186" max="186" width="17.33203125" style="57" bestFit="1" customWidth="1"/>
    <col min="187" max="187" width="19.1640625" style="57" bestFit="1" customWidth="1"/>
    <col min="188" max="188" width="18.6640625" style="57" bestFit="1" customWidth="1"/>
    <col min="189" max="189" width="21.5" style="57" bestFit="1" customWidth="1"/>
    <col min="190" max="190" width="18.5" style="57" bestFit="1" customWidth="1"/>
    <col min="191" max="191" width="17.6640625" style="57" bestFit="1" customWidth="1"/>
    <col min="192" max="16384" width="8.6640625" style="57"/>
  </cols>
  <sheetData>
    <row r="1" spans="1:282" s="41" customFormat="1">
      <c r="B1" s="42"/>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t="s">
        <v>53</v>
      </c>
      <c r="AT1" s="43" t="s">
        <v>53</v>
      </c>
      <c r="AU1" s="43" t="s">
        <v>53</v>
      </c>
      <c r="AV1" s="43" t="s">
        <v>53</v>
      </c>
      <c r="AW1" s="43" t="s">
        <v>53</v>
      </c>
      <c r="AX1" s="43" t="s">
        <v>53</v>
      </c>
      <c r="AY1" s="43" t="s">
        <v>53</v>
      </c>
      <c r="AZ1" s="43" t="s">
        <v>53</v>
      </c>
      <c r="BA1" s="43" t="s">
        <v>53</v>
      </c>
      <c r="BB1" s="43" t="s">
        <v>53</v>
      </c>
      <c r="BC1" s="43" t="s">
        <v>53</v>
      </c>
      <c r="BD1" s="43" t="s">
        <v>53</v>
      </c>
      <c r="BE1" s="43" t="s">
        <v>53</v>
      </c>
      <c r="BF1" s="43" t="s">
        <v>53</v>
      </c>
      <c r="BG1" s="43" t="s">
        <v>53</v>
      </c>
      <c r="BH1" s="43" t="s">
        <v>53</v>
      </c>
      <c r="BI1" s="43" t="s">
        <v>53</v>
      </c>
      <c r="BJ1" s="43" t="s">
        <v>53</v>
      </c>
      <c r="BK1" s="43" t="s">
        <v>53</v>
      </c>
      <c r="BL1" s="43" t="s">
        <v>53</v>
      </c>
      <c r="BM1" s="43" t="s">
        <v>53</v>
      </c>
      <c r="BN1" s="43" t="s">
        <v>53</v>
      </c>
      <c r="BO1" s="43" t="s">
        <v>53</v>
      </c>
      <c r="BP1" s="43" t="s">
        <v>53</v>
      </c>
      <c r="BQ1" s="43" t="s">
        <v>53</v>
      </c>
      <c r="BR1" s="43" t="s">
        <v>53</v>
      </c>
      <c r="BS1" s="43" t="s">
        <v>53</v>
      </c>
      <c r="BT1" s="43" t="s">
        <v>53</v>
      </c>
      <c r="BU1" s="43" t="s">
        <v>53</v>
      </c>
      <c r="BV1" s="43" t="s">
        <v>53</v>
      </c>
      <c r="BW1" s="44" t="s">
        <v>53</v>
      </c>
      <c r="BX1" s="44" t="s">
        <v>53</v>
      </c>
      <c r="BY1" s="44" t="s">
        <v>53</v>
      </c>
      <c r="BZ1" s="44" t="s">
        <v>53</v>
      </c>
      <c r="CA1" s="44" t="s">
        <v>53</v>
      </c>
      <c r="CD1" s="43" t="s">
        <v>53</v>
      </c>
      <c r="CE1" s="43" t="s">
        <v>53</v>
      </c>
      <c r="CF1" s="43" t="s">
        <v>53</v>
      </c>
      <c r="CG1" s="43" t="s">
        <v>53</v>
      </c>
      <c r="CH1" s="43" t="s">
        <v>53</v>
      </c>
      <c r="CI1" s="43" t="s">
        <v>53</v>
      </c>
      <c r="CJ1" s="43" t="s">
        <v>53</v>
      </c>
      <c r="CK1" s="43" t="s">
        <v>53</v>
      </c>
      <c r="CL1" s="43" t="s">
        <v>53</v>
      </c>
      <c r="CM1" s="43" t="s">
        <v>53</v>
      </c>
      <c r="CN1" s="43" t="s">
        <v>53</v>
      </c>
      <c r="CO1" s="43" t="s">
        <v>53</v>
      </c>
      <c r="CP1" s="43" t="s">
        <v>53</v>
      </c>
      <c r="CQ1" s="43" t="s">
        <v>53</v>
      </c>
      <c r="CR1" s="43" t="s">
        <v>53</v>
      </c>
      <c r="CS1" s="43" t="s">
        <v>53</v>
      </c>
      <c r="CT1" s="43" t="s">
        <v>53</v>
      </c>
      <c r="CU1" s="43" t="s">
        <v>53</v>
      </c>
      <c r="CV1" s="43" t="s">
        <v>53</v>
      </c>
      <c r="CW1" s="43" t="s">
        <v>53</v>
      </c>
      <c r="CX1" s="43" t="s">
        <v>53</v>
      </c>
      <c r="CY1" s="43" t="s">
        <v>53</v>
      </c>
      <c r="CZ1" s="43" t="s">
        <v>53</v>
      </c>
      <c r="DA1" s="43" t="s">
        <v>53</v>
      </c>
      <c r="DB1" s="43" t="s">
        <v>53</v>
      </c>
      <c r="DC1" s="43" t="s">
        <v>53</v>
      </c>
      <c r="DD1" s="43" t="s">
        <v>53</v>
      </c>
      <c r="DE1" s="43" t="s">
        <v>53</v>
      </c>
      <c r="DF1" s="43" t="s">
        <v>53</v>
      </c>
      <c r="DG1" s="43" t="s">
        <v>53</v>
      </c>
      <c r="DH1" s="43" t="s">
        <v>1666</v>
      </c>
      <c r="DI1" s="43" t="s">
        <v>1666</v>
      </c>
      <c r="DJ1" s="43" t="s">
        <v>1666</v>
      </c>
      <c r="DK1" s="43" t="s">
        <v>1666</v>
      </c>
      <c r="DL1" s="43" t="s">
        <v>1666</v>
      </c>
      <c r="DM1" s="43" t="s">
        <v>1666</v>
      </c>
      <c r="DN1" s="43" t="s">
        <v>1666</v>
      </c>
      <c r="DO1" s="43" t="s">
        <v>1666</v>
      </c>
      <c r="DP1" s="43" t="s">
        <v>1666</v>
      </c>
      <c r="DQ1" s="43" t="s">
        <v>1666</v>
      </c>
      <c r="DR1" s="43" t="s">
        <v>1666</v>
      </c>
      <c r="DS1" s="43" t="s">
        <v>1666</v>
      </c>
      <c r="DT1" s="43" t="s">
        <v>1666</v>
      </c>
      <c r="DU1" s="43" t="s">
        <v>1666</v>
      </c>
      <c r="DV1" s="43" t="s">
        <v>1666</v>
      </c>
      <c r="DW1" s="43" t="s">
        <v>1666</v>
      </c>
      <c r="DX1" s="43" t="s">
        <v>1666</v>
      </c>
      <c r="DY1" s="43" t="s">
        <v>1666</v>
      </c>
      <c r="DZ1" s="43" t="s">
        <v>1666</v>
      </c>
      <c r="EA1" s="43" t="s">
        <v>1666</v>
      </c>
      <c r="EB1" s="43" t="s">
        <v>1351</v>
      </c>
      <c r="EC1" s="43" t="s">
        <v>1351</v>
      </c>
      <c r="ED1" s="43" t="s">
        <v>1351</v>
      </c>
      <c r="EE1" s="43" t="s">
        <v>1351</v>
      </c>
      <c r="EF1" s="43" t="s">
        <v>1351</v>
      </c>
      <c r="EG1" s="43" t="s">
        <v>1351</v>
      </c>
      <c r="EH1" s="43" t="s">
        <v>1351</v>
      </c>
      <c r="EI1" s="43" t="s">
        <v>1351</v>
      </c>
      <c r="EJ1" s="43" t="s">
        <v>1351</v>
      </c>
      <c r="EK1" s="43" t="s">
        <v>1351</v>
      </c>
      <c r="EL1" s="43" t="s">
        <v>1351</v>
      </c>
      <c r="EM1" s="43" t="s">
        <v>1351</v>
      </c>
      <c r="EN1" s="43" t="s">
        <v>1351</v>
      </c>
      <c r="EO1" s="43" t="s">
        <v>1351</v>
      </c>
      <c r="EP1" s="43" t="s">
        <v>1351</v>
      </c>
      <c r="EQ1" s="43" t="s">
        <v>1351</v>
      </c>
      <c r="ER1" s="43" t="s">
        <v>1351</v>
      </c>
      <c r="ES1" s="43" t="s">
        <v>1351</v>
      </c>
      <c r="ET1" s="43" t="s">
        <v>1351</v>
      </c>
      <c r="EU1" s="43" t="s">
        <v>1351</v>
      </c>
      <c r="EV1" s="43" t="s">
        <v>1351</v>
      </c>
      <c r="EW1" s="43" t="s">
        <v>1351</v>
      </c>
      <c r="EX1" s="43" t="s">
        <v>1351</v>
      </c>
      <c r="EY1" s="43" t="s">
        <v>1351</v>
      </c>
      <c r="EZ1" s="43" t="s">
        <v>1351</v>
      </c>
      <c r="FA1" s="43" t="s">
        <v>1351</v>
      </c>
      <c r="FB1" s="43" t="s">
        <v>1351</v>
      </c>
      <c r="FC1" s="43" t="s">
        <v>1351</v>
      </c>
      <c r="FD1" s="43" t="s">
        <v>1351</v>
      </c>
      <c r="FE1" s="43" t="s">
        <v>1351</v>
      </c>
      <c r="FF1" s="43" t="s">
        <v>1351</v>
      </c>
      <c r="FG1" s="43" t="s">
        <v>1351</v>
      </c>
      <c r="FH1" s="43" t="s">
        <v>1351</v>
      </c>
      <c r="FI1" s="43" t="s">
        <v>1351</v>
      </c>
      <c r="FJ1" s="43" t="s">
        <v>1351</v>
      </c>
      <c r="FK1" s="43" t="s">
        <v>1351</v>
      </c>
      <c r="FL1" s="43" t="s">
        <v>1351</v>
      </c>
      <c r="FM1" s="43" t="s">
        <v>1351</v>
      </c>
      <c r="FN1" s="43" t="s">
        <v>1351</v>
      </c>
      <c r="FO1" s="43" t="s">
        <v>1351</v>
      </c>
      <c r="FP1" s="43" t="s">
        <v>1351</v>
      </c>
      <c r="FQ1" s="43" t="s">
        <v>1351</v>
      </c>
      <c r="FR1" s="43" t="s">
        <v>1351</v>
      </c>
      <c r="FS1" s="43" t="s">
        <v>1351</v>
      </c>
      <c r="FT1" s="43" t="s">
        <v>1351</v>
      </c>
      <c r="FU1" s="43" t="s">
        <v>1351</v>
      </c>
      <c r="FV1" s="43" t="s">
        <v>1351</v>
      </c>
      <c r="FW1" s="43" t="s">
        <v>1351</v>
      </c>
      <c r="FX1" s="43" t="s">
        <v>1351</v>
      </c>
      <c r="FY1" s="43" t="s">
        <v>1351</v>
      </c>
      <c r="FZ1" s="43" t="s">
        <v>1351</v>
      </c>
      <c r="GA1" s="43" t="s">
        <v>1351</v>
      </c>
      <c r="GB1" s="43" t="s">
        <v>1351</v>
      </c>
      <c r="GC1" s="43" t="s">
        <v>1351</v>
      </c>
      <c r="GD1" s="43" t="s">
        <v>1351</v>
      </c>
      <c r="GE1" s="43" t="s">
        <v>1351</v>
      </c>
      <c r="GF1" s="43" t="s">
        <v>1351</v>
      </c>
      <c r="GG1" s="43" t="s">
        <v>1351</v>
      </c>
      <c r="GH1" s="43" t="s">
        <v>1351</v>
      </c>
      <c r="GI1" s="43" t="s">
        <v>1351</v>
      </c>
    </row>
    <row r="2" spans="1:282" s="45" customFormat="1">
      <c r="A2" s="45" t="s">
        <v>1667</v>
      </c>
      <c r="B2" s="46"/>
      <c r="D2" s="47">
        <v>44896</v>
      </c>
      <c r="E2" s="47">
        <v>44927</v>
      </c>
      <c r="F2" s="47">
        <v>44927</v>
      </c>
      <c r="G2" s="47">
        <v>44927</v>
      </c>
      <c r="H2" s="47">
        <v>44927</v>
      </c>
      <c r="I2" s="47">
        <v>44927</v>
      </c>
      <c r="J2" s="47">
        <v>44958</v>
      </c>
      <c r="K2" s="47">
        <v>44958</v>
      </c>
      <c r="L2" s="47">
        <v>44958</v>
      </c>
      <c r="M2" s="47">
        <v>44958</v>
      </c>
      <c r="N2" s="47">
        <v>44958</v>
      </c>
      <c r="O2" s="47">
        <v>44986</v>
      </c>
      <c r="P2" s="47">
        <v>44986</v>
      </c>
      <c r="Q2" s="47">
        <v>44986</v>
      </c>
      <c r="R2" s="47">
        <v>44986</v>
      </c>
      <c r="S2" s="47">
        <v>44986</v>
      </c>
      <c r="T2" s="47">
        <v>45017</v>
      </c>
      <c r="U2" s="47">
        <v>45017</v>
      </c>
      <c r="V2" s="47">
        <v>45017</v>
      </c>
      <c r="W2" s="47">
        <v>45017</v>
      </c>
      <c r="X2" s="47">
        <v>45017</v>
      </c>
      <c r="Y2" s="47">
        <v>45047</v>
      </c>
      <c r="Z2" s="47">
        <v>45047</v>
      </c>
      <c r="AA2" s="47">
        <v>45047</v>
      </c>
      <c r="AB2" s="47">
        <v>45047</v>
      </c>
      <c r="AC2" s="47">
        <v>45047</v>
      </c>
      <c r="AD2" s="47">
        <v>45078</v>
      </c>
      <c r="AE2" s="47">
        <v>45078</v>
      </c>
      <c r="AF2" s="47">
        <v>45078</v>
      </c>
      <c r="AG2" s="47">
        <v>45078</v>
      </c>
      <c r="AH2" s="47">
        <v>45078</v>
      </c>
      <c r="AI2" s="47">
        <v>45108</v>
      </c>
      <c r="AJ2" s="47">
        <v>45108</v>
      </c>
      <c r="AK2" s="47">
        <v>45108</v>
      </c>
      <c r="AL2" s="47">
        <v>45108</v>
      </c>
      <c r="AM2" s="47">
        <v>45108</v>
      </c>
      <c r="AN2" s="47">
        <v>45139</v>
      </c>
      <c r="AO2" s="47">
        <v>45139</v>
      </c>
      <c r="AP2" s="47">
        <v>45139</v>
      </c>
      <c r="AQ2" s="47">
        <v>45139</v>
      </c>
      <c r="AR2" s="47">
        <v>45139</v>
      </c>
      <c r="AS2" s="47">
        <v>45170</v>
      </c>
      <c r="AT2" s="47">
        <v>45170</v>
      </c>
      <c r="AU2" s="47">
        <v>45170</v>
      </c>
      <c r="AV2" s="47">
        <v>45170</v>
      </c>
      <c r="AW2" s="47">
        <v>45170</v>
      </c>
      <c r="AX2" s="47">
        <v>45200</v>
      </c>
      <c r="AY2" s="47">
        <v>45200</v>
      </c>
      <c r="AZ2" s="47">
        <v>45200</v>
      </c>
      <c r="BA2" s="47">
        <v>45200</v>
      </c>
      <c r="BB2" s="47">
        <v>45200</v>
      </c>
      <c r="BC2" s="47">
        <v>45231</v>
      </c>
      <c r="BD2" s="47">
        <v>45231</v>
      </c>
      <c r="BE2" s="47">
        <v>45231</v>
      </c>
      <c r="BF2" s="47">
        <v>45231</v>
      </c>
      <c r="BG2" s="47">
        <v>45231</v>
      </c>
      <c r="BH2" s="47">
        <v>45261</v>
      </c>
      <c r="BI2" s="47">
        <v>45261</v>
      </c>
      <c r="BJ2" s="47">
        <v>45261</v>
      </c>
      <c r="BK2" s="47">
        <v>45261</v>
      </c>
      <c r="BL2" s="47">
        <v>45261</v>
      </c>
      <c r="BM2" s="47">
        <v>45292</v>
      </c>
      <c r="BN2" s="47">
        <v>45292</v>
      </c>
      <c r="BO2" s="47">
        <v>45292</v>
      </c>
      <c r="BP2" s="47">
        <v>45292</v>
      </c>
      <c r="BQ2" s="47">
        <v>45292</v>
      </c>
      <c r="BR2" s="47">
        <v>45323</v>
      </c>
      <c r="BS2" s="47">
        <v>45323</v>
      </c>
      <c r="BT2" s="47">
        <v>45323</v>
      </c>
      <c r="BU2" s="47">
        <v>45323</v>
      </c>
      <c r="BV2" s="47">
        <v>45323</v>
      </c>
      <c r="BW2" s="48">
        <v>45352</v>
      </c>
      <c r="BX2" s="48">
        <v>45352</v>
      </c>
      <c r="BY2" s="48">
        <v>45352</v>
      </c>
      <c r="BZ2" s="48">
        <v>45352</v>
      </c>
      <c r="CA2" s="48">
        <v>45352</v>
      </c>
      <c r="CC2" s="49" t="s">
        <v>651</v>
      </c>
      <c r="CD2" s="50">
        <v>45352</v>
      </c>
      <c r="CE2" s="50">
        <f>CD2</f>
        <v>45352</v>
      </c>
      <c r="CF2" s="50">
        <f>CD2</f>
        <v>45352</v>
      </c>
      <c r="CG2" s="50">
        <f>CD2</f>
        <v>45352</v>
      </c>
      <c r="CH2" s="50">
        <f>CD2</f>
        <v>45352</v>
      </c>
      <c r="CI2" s="50">
        <v>45383</v>
      </c>
      <c r="CJ2" s="50">
        <f>CI2</f>
        <v>45383</v>
      </c>
      <c r="CK2" s="50">
        <f>CI2</f>
        <v>45383</v>
      </c>
      <c r="CL2" s="50">
        <f>CI2</f>
        <v>45383</v>
      </c>
      <c r="CM2" s="50">
        <f>CI2</f>
        <v>45383</v>
      </c>
      <c r="CN2" s="50">
        <v>45413</v>
      </c>
      <c r="CO2" s="50">
        <f>CN2</f>
        <v>45413</v>
      </c>
      <c r="CP2" s="50">
        <f>CN2</f>
        <v>45413</v>
      </c>
      <c r="CQ2" s="50">
        <f>CN2</f>
        <v>45413</v>
      </c>
      <c r="CR2" s="50">
        <f>CN2</f>
        <v>45413</v>
      </c>
      <c r="CS2" s="50">
        <v>45444</v>
      </c>
      <c r="CT2" s="50">
        <f>CS2</f>
        <v>45444</v>
      </c>
      <c r="CU2" s="50">
        <f>CS2</f>
        <v>45444</v>
      </c>
      <c r="CV2" s="50">
        <f>CS2</f>
        <v>45444</v>
      </c>
      <c r="CW2" s="50">
        <f>CS2</f>
        <v>45444</v>
      </c>
      <c r="CX2" s="50">
        <v>45474</v>
      </c>
      <c r="CY2" s="50">
        <f>CX2</f>
        <v>45474</v>
      </c>
      <c r="CZ2" s="50">
        <f>CX2</f>
        <v>45474</v>
      </c>
      <c r="DA2" s="50">
        <f>CX2</f>
        <v>45474</v>
      </c>
      <c r="DB2" s="50">
        <f>CX2</f>
        <v>45474</v>
      </c>
      <c r="DC2" s="50">
        <v>45505</v>
      </c>
      <c r="DD2" s="50">
        <f>DC2</f>
        <v>45505</v>
      </c>
      <c r="DE2" s="50">
        <f>DC2</f>
        <v>45505</v>
      </c>
      <c r="DF2" s="50">
        <f>DC2</f>
        <v>45505</v>
      </c>
      <c r="DG2" s="50">
        <f>DC2</f>
        <v>45505</v>
      </c>
      <c r="DH2" s="50">
        <v>45536</v>
      </c>
      <c r="DI2" s="50">
        <f>DH2</f>
        <v>45536</v>
      </c>
      <c r="DJ2" s="50">
        <f>DH2</f>
        <v>45536</v>
      </c>
      <c r="DK2" s="50">
        <f>DH2</f>
        <v>45536</v>
      </c>
      <c r="DL2" s="50">
        <f>DH2</f>
        <v>45536</v>
      </c>
      <c r="DM2" s="50">
        <v>45566</v>
      </c>
      <c r="DN2" s="50">
        <f>DM2</f>
        <v>45566</v>
      </c>
      <c r="DO2" s="50">
        <f>DM2</f>
        <v>45566</v>
      </c>
      <c r="DP2" s="50">
        <f>DM2</f>
        <v>45566</v>
      </c>
      <c r="DQ2" s="50">
        <f>DM2</f>
        <v>45566</v>
      </c>
      <c r="DR2" s="50">
        <v>45597</v>
      </c>
      <c r="DS2" s="50">
        <f>DR2</f>
        <v>45597</v>
      </c>
      <c r="DT2" s="50">
        <f>DR2</f>
        <v>45597</v>
      </c>
      <c r="DU2" s="50">
        <f>DR2</f>
        <v>45597</v>
      </c>
      <c r="DV2" s="50">
        <f>DR2</f>
        <v>45597</v>
      </c>
      <c r="DW2" s="50">
        <v>45627</v>
      </c>
      <c r="DX2" s="50">
        <f>DW2</f>
        <v>45627</v>
      </c>
      <c r="DY2" s="50">
        <f>DW2</f>
        <v>45627</v>
      </c>
      <c r="DZ2" s="50">
        <f>DW2</f>
        <v>45627</v>
      </c>
      <c r="EA2" s="50">
        <f>DW2</f>
        <v>45627</v>
      </c>
      <c r="EB2" s="50">
        <v>45658</v>
      </c>
      <c r="EC2" s="50">
        <f>EB2</f>
        <v>45658</v>
      </c>
      <c r="ED2" s="50">
        <f>EB2</f>
        <v>45658</v>
      </c>
      <c r="EE2" s="50">
        <f>EB2</f>
        <v>45658</v>
      </c>
      <c r="EF2" s="50">
        <f>EB2</f>
        <v>45658</v>
      </c>
      <c r="EG2" s="50">
        <v>45689</v>
      </c>
      <c r="EH2" s="50">
        <f>EG2</f>
        <v>45689</v>
      </c>
      <c r="EI2" s="50">
        <f>EG2</f>
        <v>45689</v>
      </c>
      <c r="EJ2" s="50">
        <f>EG2</f>
        <v>45689</v>
      </c>
      <c r="EK2" s="50">
        <f>EG2</f>
        <v>45689</v>
      </c>
      <c r="EL2" s="50">
        <v>45717</v>
      </c>
      <c r="EM2" s="50">
        <f>EL2</f>
        <v>45717</v>
      </c>
      <c r="EN2" s="50">
        <f>EL2</f>
        <v>45717</v>
      </c>
      <c r="EO2" s="50">
        <f>EL2</f>
        <v>45717</v>
      </c>
      <c r="EP2" s="50">
        <f>EL2</f>
        <v>45717</v>
      </c>
      <c r="EQ2" s="50">
        <v>45748</v>
      </c>
      <c r="ER2" s="50">
        <f>EQ2</f>
        <v>45748</v>
      </c>
      <c r="ES2" s="50">
        <f>EQ2</f>
        <v>45748</v>
      </c>
      <c r="ET2" s="50">
        <f>EQ2</f>
        <v>45748</v>
      </c>
      <c r="EU2" s="50">
        <f>EQ2</f>
        <v>45748</v>
      </c>
      <c r="EV2" s="50">
        <v>45778</v>
      </c>
      <c r="EW2" s="50">
        <f>EV2</f>
        <v>45778</v>
      </c>
      <c r="EX2" s="50">
        <f>EV2</f>
        <v>45778</v>
      </c>
      <c r="EY2" s="50">
        <f>EV2</f>
        <v>45778</v>
      </c>
      <c r="EZ2" s="50">
        <f>EV2</f>
        <v>45778</v>
      </c>
      <c r="FA2" s="50">
        <v>45809</v>
      </c>
      <c r="FB2" s="50">
        <f>FA2</f>
        <v>45809</v>
      </c>
      <c r="FC2" s="50">
        <f>FA2</f>
        <v>45809</v>
      </c>
      <c r="FD2" s="50">
        <f>FA2</f>
        <v>45809</v>
      </c>
      <c r="FE2" s="50">
        <f>FA2</f>
        <v>45809</v>
      </c>
      <c r="FF2" s="50">
        <v>45839</v>
      </c>
      <c r="FG2" s="50">
        <f>FF2</f>
        <v>45839</v>
      </c>
      <c r="FH2" s="50">
        <f>FF2</f>
        <v>45839</v>
      </c>
      <c r="FI2" s="50">
        <f>FF2</f>
        <v>45839</v>
      </c>
      <c r="FJ2" s="50">
        <f>FF2</f>
        <v>45839</v>
      </c>
      <c r="FK2" s="50">
        <v>45870</v>
      </c>
      <c r="FL2" s="50">
        <f>FK2</f>
        <v>45870</v>
      </c>
      <c r="FM2" s="50">
        <f>FK2</f>
        <v>45870</v>
      </c>
      <c r="FN2" s="50">
        <f>FK2</f>
        <v>45870</v>
      </c>
      <c r="FO2" s="50">
        <f>FK2</f>
        <v>45870</v>
      </c>
      <c r="FP2" s="50">
        <v>45901</v>
      </c>
      <c r="FQ2" s="50">
        <f>FP2</f>
        <v>45901</v>
      </c>
      <c r="FR2" s="50">
        <f>FP2</f>
        <v>45901</v>
      </c>
      <c r="FS2" s="50">
        <f>FP2</f>
        <v>45901</v>
      </c>
      <c r="FT2" s="50">
        <f>FP2</f>
        <v>45901</v>
      </c>
      <c r="FU2" s="50">
        <v>45931</v>
      </c>
      <c r="FV2" s="50">
        <f>FU2</f>
        <v>45931</v>
      </c>
      <c r="FW2" s="50">
        <f>FU2</f>
        <v>45931</v>
      </c>
      <c r="FX2" s="50">
        <f>FU2</f>
        <v>45931</v>
      </c>
      <c r="FY2" s="50">
        <f>FU2</f>
        <v>45931</v>
      </c>
      <c r="FZ2" s="50">
        <v>45962</v>
      </c>
      <c r="GA2" s="50">
        <f>FZ2</f>
        <v>45962</v>
      </c>
      <c r="GB2" s="50">
        <f>FZ2</f>
        <v>45962</v>
      </c>
      <c r="GC2" s="50">
        <f>FZ2</f>
        <v>45962</v>
      </c>
      <c r="GD2" s="50">
        <f>FZ2</f>
        <v>45962</v>
      </c>
      <c r="GE2" s="50">
        <v>45992</v>
      </c>
      <c r="GF2" s="50">
        <f>GE2</f>
        <v>45992</v>
      </c>
      <c r="GG2" s="50">
        <f>GE2</f>
        <v>45992</v>
      </c>
      <c r="GH2" s="50">
        <f>GE2</f>
        <v>45992</v>
      </c>
      <c r="GI2" s="50">
        <f>GE2</f>
        <v>45992</v>
      </c>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row>
    <row r="3" spans="1:282" s="41" customFormat="1">
      <c r="B3" s="42"/>
      <c r="D3" s="43" t="s">
        <v>648</v>
      </c>
      <c r="E3" s="43" t="s">
        <v>648</v>
      </c>
      <c r="F3" s="43" t="s">
        <v>648</v>
      </c>
      <c r="G3" s="43" t="s">
        <v>648</v>
      </c>
      <c r="H3" s="43" t="s">
        <v>648</v>
      </c>
      <c r="I3" s="43" t="s">
        <v>648</v>
      </c>
      <c r="J3" s="43" t="s">
        <v>648</v>
      </c>
      <c r="K3" s="43" t="s">
        <v>648</v>
      </c>
      <c r="L3" s="43" t="s">
        <v>648</v>
      </c>
      <c r="M3" s="43" t="s">
        <v>648</v>
      </c>
      <c r="N3" s="43" t="s">
        <v>648</v>
      </c>
      <c r="O3" s="43" t="s">
        <v>648</v>
      </c>
      <c r="P3" s="43" t="s">
        <v>648</v>
      </c>
      <c r="Q3" s="43" t="s">
        <v>648</v>
      </c>
      <c r="R3" s="43" t="s">
        <v>648</v>
      </c>
      <c r="S3" s="43" t="s">
        <v>648</v>
      </c>
      <c r="T3" s="43" t="s">
        <v>648</v>
      </c>
      <c r="U3" s="43" t="s">
        <v>648</v>
      </c>
      <c r="V3" s="43" t="s">
        <v>648</v>
      </c>
      <c r="W3" s="43" t="s">
        <v>648</v>
      </c>
      <c r="X3" s="43" t="s">
        <v>648</v>
      </c>
      <c r="Y3" s="43" t="s">
        <v>648</v>
      </c>
      <c r="Z3" s="43" t="s">
        <v>648</v>
      </c>
      <c r="AA3" s="43" t="s">
        <v>648</v>
      </c>
      <c r="AB3" s="43" t="s">
        <v>648</v>
      </c>
      <c r="AC3" s="43" t="s">
        <v>648</v>
      </c>
      <c r="AD3" s="43" t="s">
        <v>648</v>
      </c>
      <c r="AE3" s="43" t="s">
        <v>648</v>
      </c>
      <c r="AF3" s="43" t="s">
        <v>648</v>
      </c>
      <c r="AG3" s="43" t="s">
        <v>648</v>
      </c>
      <c r="AH3" s="43" t="s">
        <v>648</v>
      </c>
      <c r="AI3" s="43" t="s">
        <v>648</v>
      </c>
      <c r="AJ3" s="43" t="s">
        <v>648</v>
      </c>
      <c r="AK3" s="43" t="s">
        <v>648</v>
      </c>
      <c r="AL3" s="43" t="s">
        <v>648</v>
      </c>
      <c r="AM3" s="43" t="s">
        <v>648</v>
      </c>
      <c r="AN3" s="43" t="s">
        <v>648</v>
      </c>
      <c r="AO3" s="43" t="s">
        <v>648</v>
      </c>
      <c r="AP3" s="43" t="s">
        <v>648</v>
      </c>
      <c r="AQ3" s="43" t="s">
        <v>648</v>
      </c>
      <c r="AR3" s="43" t="s">
        <v>648</v>
      </c>
      <c r="AS3" s="43" t="s">
        <v>648</v>
      </c>
      <c r="AT3" s="43" t="s">
        <v>648</v>
      </c>
      <c r="AU3" s="43" t="s">
        <v>648</v>
      </c>
      <c r="AV3" s="43" t="s">
        <v>648</v>
      </c>
      <c r="AW3" s="43" t="s">
        <v>648</v>
      </c>
      <c r="AX3" s="43" t="s">
        <v>648</v>
      </c>
      <c r="AY3" s="43" t="s">
        <v>648</v>
      </c>
      <c r="AZ3" s="43" t="s">
        <v>648</v>
      </c>
      <c r="BA3" s="43" t="s">
        <v>648</v>
      </c>
      <c r="BB3" s="43" t="s">
        <v>648</v>
      </c>
      <c r="BC3" s="43" t="s">
        <v>648</v>
      </c>
      <c r="BD3" s="43" t="s">
        <v>648</v>
      </c>
      <c r="BE3" s="43" t="s">
        <v>648</v>
      </c>
      <c r="BF3" s="43" t="s">
        <v>648</v>
      </c>
      <c r="BG3" s="43" t="s">
        <v>648</v>
      </c>
      <c r="BH3" s="43" t="s">
        <v>648</v>
      </c>
      <c r="BI3" s="43" t="s">
        <v>648</v>
      </c>
      <c r="BJ3" s="43" t="s">
        <v>648</v>
      </c>
      <c r="BK3" s="43" t="s">
        <v>648</v>
      </c>
      <c r="BL3" s="43" t="s">
        <v>648</v>
      </c>
      <c r="BM3" s="51" t="s">
        <v>1668</v>
      </c>
      <c r="BN3" s="52"/>
      <c r="BO3" s="52"/>
      <c r="BP3" s="52"/>
      <c r="BQ3" s="52"/>
      <c r="BR3" s="52"/>
      <c r="BS3" s="52"/>
      <c r="BT3" s="52"/>
      <c r="BU3" s="52"/>
      <c r="BV3" s="52"/>
      <c r="BW3" s="53" t="s">
        <v>1669</v>
      </c>
      <c r="BX3" s="53" t="s">
        <v>1669</v>
      </c>
      <c r="BY3" s="53" t="s">
        <v>1669</v>
      </c>
      <c r="BZ3" s="53" t="s">
        <v>1669</v>
      </c>
      <c r="CA3" s="53" t="s">
        <v>1669</v>
      </c>
      <c r="CD3" s="42"/>
      <c r="CE3" s="54" t="s">
        <v>1670</v>
      </c>
      <c r="CI3" s="42"/>
      <c r="CO3" s="42"/>
      <c r="CS3" s="42"/>
      <c r="CX3" s="42"/>
      <c r="DC3" s="42"/>
      <c r="DH3" s="42"/>
      <c r="DM3" s="42"/>
      <c r="DR3" s="42"/>
      <c r="DW3" s="42"/>
      <c r="EB3" s="42"/>
      <c r="EG3" s="42"/>
      <c r="EL3" s="42"/>
      <c r="EQ3" s="42"/>
      <c r="EV3" s="42"/>
      <c r="FA3" s="42"/>
      <c r="FF3" s="42"/>
      <c r="FK3" s="42"/>
      <c r="FP3" s="42"/>
      <c r="FU3" s="42"/>
      <c r="FZ3" s="42"/>
      <c r="GE3" s="42"/>
    </row>
    <row r="4" spans="1:282" s="41" customFormat="1">
      <c r="A4" s="41" t="s">
        <v>1671</v>
      </c>
      <c r="B4" s="42"/>
      <c r="D4" s="55">
        <v>44896</v>
      </c>
      <c r="E4" s="55">
        <v>44927</v>
      </c>
      <c r="F4" s="55">
        <v>44927</v>
      </c>
      <c r="G4" s="55">
        <v>44927</v>
      </c>
      <c r="H4" s="55">
        <v>44927</v>
      </c>
      <c r="I4" s="55">
        <v>44927</v>
      </c>
      <c r="J4" s="55">
        <v>44958</v>
      </c>
      <c r="K4" s="55">
        <v>44958</v>
      </c>
      <c r="L4" s="55">
        <v>44958</v>
      </c>
      <c r="M4" s="55">
        <v>44958</v>
      </c>
      <c r="N4" s="55">
        <v>44958</v>
      </c>
      <c r="O4" s="55">
        <v>44986</v>
      </c>
      <c r="P4" s="55">
        <v>44986</v>
      </c>
      <c r="Q4" s="55">
        <v>44986</v>
      </c>
      <c r="R4" s="55">
        <v>44986</v>
      </c>
      <c r="S4" s="55">
        <v>44986</v>
      </c>
      <c r="T4" s="55">
        <v>45017</v>
      </c>
      <c r="U4" s="55">
        <v>45017</v>
      </c>
      <c r="V4" s="55">
        <v>45017</v>
      </c>
      <c r="W4" s="55">
        <v>45017</v>
      </c>
      <c r="X4" s="55">
        <v>45017</v>
      </c>
      <c r="Y4" s="55">
        <v>45047</v>
      </c>
      <c r="Z4" s="55">
        <v>45047</v>
      </c>
      <c r="AA4" s="55">
        <v>45047</v>
      </c>
      <c r="AB4" s="55">
        <v>45047</v>
      </c>
      <c r="AC4" s="55">
        <v>45047</v>
      </c>
      <c r="AD4" s="55">
        <v>45078</v>
      </c>
      <c r="AE4" s="55">
        <v>45078</v>
      </c>
      <c r="AF4" s="55">
        <v>45078</v>
      </c>
      <c r="AG4" s="55">
        <v>45078</v>
      </c>
      <c r="AH4" s="55">
        <v>45078</v>
      </c>
      <c r="AI4" s="55">
        <v>45108</v>
      </c>
      <c r="AJ4" s="55">
        <v>45108</v>
      </c>
      <c r="AK4" s="55">
        <v>45108</v>
      </c>
      <c r="AL4" s="55">
        <v>45108</v>
      </c>
      <c r="AM4" s="55">
        <v>45108</v>
      </c>
      <c r="AN4" s="55">
        <v>45139</v>
      </c>
      <c r="AO4" s="55">
        <v>45139</v>
      </c>
      <c r="AP4" s="55">
        <v>45139</v>
      </c>
      <c r="AQ4" s="55">
        <v>45139</v>
      </c>
      <c r="AR4" s="55">
        <v>45139</v>
      </c>
      <c r="AS4" s="55">
        <v>45170</v>
      </c>
      <c r="AT4" s="55">
        <v>45170</v>
      </c>
      <c r="AU4" s="55">
        <v>45170</v>
      </c>
      <c r="AV4" s="55">
        <v>45170</v>
      </c>
      <c r="AW4" s="55">
        <v>45170</v>
      </c>
      <c r="AX4" s="55">
        <v>45200</v>
      </c>
      <c r="AY4" s="55">
        <v>45200</v>
      </c>
      <c r="AZ4" s="55">
        <v>45200</v>
      </c>
      <c r="BA4" s="55">
        <v>45200</v>
      </c>
      <c r="BB4" s="55">
        <v>45200</v>
      </c>
      <c r="BC4" s="55">
        <v>45231</v>
      </c>
      <c r="BD4" s="55">
        <v>45231</v>
      </c>
      <c r="BE4" s="55">
        <v>45231</v>
      </c>
      <c r="BF4" s="55">
        <v>45231</v>
      </c>
      <c r="BG4" s="55">
        <v>45231</v>
      </c>
      <c r="BH4" s="55">
        <v>45261</v>
      </c>
      <c r="BI4" s="55">
        <v>45261</v>
      </c>
      <c r="BJ4" s="55">
        <v>45261</v>
      </c>
      <c r="BK4" s="55">
        <v>45261</v>
      </c>
      <c r="BL4" s="55">
        <v>45261</v>
      </c>
      <c r="BM4" s="47">
        <v>45292</v>
      </c>
      <c r="BN4" s="47">
        <v>45292</v>
      </c>
      <c r="BO4" s="47">
        <v>45292</v>
      </c>
      <c r="BP4" s="47">
        <v>45292</v>
      </c>
      <c r="BQ4" s="47">
        <v>45292</v>
      </c>
      <c r="BR4" s="47">
        <v>45323</v>
      </c>
      <c r="BS4" s="47">
        <v>45323</v>
      </c>
      <c r="BT4" s="47">
        <v>45323</v>
      </c>
      <c r="BU4" s="47">
        <v>45323</v>
      </c>
      <c r="BV4" s="47">
        <v>45323</v>
      </c>
      <c r="BW4" s="56" t="s">
        <v>1496</v>
      </c>
      <c r="BX4" s="56" t="s">
        <v>1496</v>
      </c>
      <c r="BY4" s="56" t="s">
        <v>1496</v>
      </c>
      <c r="BZ4" s="56" t="s">
        <v>1496</v>
      </c>
      <c r="CA4" s="56" t="s">
        <v>1496</v>
      </c>
    </row>
    <row r="5" spans="1:282" s="41" customFormat="1">
      <c r="A5" s="41" t="s">
        <v>1672</v>
      </c>
      <c r="B5" s="42" t="s">
        <v>1673</v>
      </c>
      <c r="C5" s="41" t="s">
        <v>1674</v>
      </c>
      <c r="D5" s="41" t="s">
        <v>1675</v>
      </c>
      <c r="E5" s="41" t="s">
        <v>1676</v>
      </c>
      <c r="F5" s="41" t="s">
        <v>1677</v>
      </c>
      <c r="G5" s="41" t="s">
        <v>1678</v>
      </c>
      <c r="H5" s="41" t="s">
        <v>1679</v>
      </c>
      <c r="I5" s="41" t="s">
        <v>1675</v>
      </c>
      <c r="J5" s="41" t="s">
        <v>1676</v>
      </c>
      <c r="K5" s="41" t="s">
        <v>1677</v>
      </c>
      <c r="L5" s="41" t="s">
        <v>1678</v>
      </c>
      <c r="M5" s="41" t="s">
        <v>1679</v>
      </c>
      <c r="N5" s="41" t="s">
        <v>1675</v>
      </c>
      <c r="O5" s="41" t="s">
        <v>1676</v>
      </c>
      <c r="P5" s="41" t="s">
        <v>1677</v>
      </c>
      <c r="Q5" s="41" t="s">
        <v>1678</v>
      </c>
      <c r="R5" s="41" t="s">
        <v>1679</v>
      </c>
      <c r="S5" s="41" t="s">
        <v>1675</v>
      </c>
      <c r="T5" s="41" t="s">
        <v>1676</v>
      </c>
      <c r="U5" s="41" t="s">
        <v>1677</v>
      </c>
      <c r="V5" s="41" t="s">
        <v>1678</v>
      </c>
      <c r="W5" s="41" t="s">
        <v>1679</v>
      </c>
      <c r="X5" s="41" t="s">
        <v>1675</v>
      </c>
      <c r="Y5" s="41" t="s">
        <v>1676</v>
      </c>
      <c r="Z5" s="41" t="s">
        <v>1677</v>
      </c>
      <c r="AA5" s="41" t="s">
        <v>1678</v>
      </c>
      <c r="AB5" s="41" t="s">
        <v>1679</v>
      </c>
      <c r="AC5" s="41" t="s">
        <v>1675</v>
      </c>
      <c r="AD5" s="41" t="s">
        <v>1676</v>
      </c>
      <c r="AE5" s="41" t="s">
        <v>1677</v>
      </c>
      <c r="AF5" s="41" t="s">
        <v>1678</v>
      </c>
      <c r="AG5" s="41" t="s">
        <v>1679</v>
      </c>
      <c r="AH5" s="41" t="s">
        <v>1675</v>
      </c>
      <c r="AI5" s="41" t="s">
        <v>1676</v>
      </c>
      <c r="AJ5" s="41" t="s">
        <v>1677</v>
      </c>
      <c r="AK5" s="41" t="s">
        <v>1678</v>
      </c>
      <c r="AL5" s="41" t="s">
        <v>1679</v>
      </c>
      <c r="AM5" s="41" t="s">
        <v>1675</v>
      </c>
      <c r="AN5" s="41" t="s">
        <v>1676</v>
      </c>
      <c r="AO5" s="41" t="s">
        <v>1677</v>
      </c>
      <c r="AP5" s="41" t="s">
        <v>1678</v>
      </c>
      <c r="AQ5" s="41" t="s">
        <v>1679</v>
      </c>
      <c r="AR5" s="41" t="s">
        <v>1675</v>
      </c>
      <c r="AS5" s="41" t="s">
        <v>1676</v>
      </c>
      <c r="AT5" s="41" t="s">
        <v>1677</v>
      </c>
      <c r="AU5" s="41" t="s">
        <v>1678</v>
      </c>
      <c r="AV5" s="41" t="s">
        <v>1679</v>
      </c>
      <c r="AW5" s="41" t="s">
        <v>1675</v>
      </c>
      <c r="AX5" s="41" t="s">
        <v>1676</v>
      </c>
      <c r="AY5" s="41" t="s">
        <v>1677</v>
      </c>
      <c r="AZ5" s="41" t="s">
        <v>1678</v>
      </c>
      <c r="BA5" s="41" t="s">
        <v>1679</v>
      </c>
      <c r="BB5" s="41" t="s">
        <v>1675</v>
      </c>
      <c r="BC5" s="41" t="s">
        <v>1676</v>
      </c>
      <c r="BD5" s="41" t="s">
        <v>1677</v>
      </c>
      <c r="BE5" s="41" t="s">
        <v>1678</v>
      </c>
      <c r="BF5" s="41" t="s">
        <v>1679</v>
      </c>
      <c r="BG5" s="41" t="s">
        <v>1675</v>
      </c>
      <c r="BH5" s="41" t="s">
        <v>1676</v>
      </c>
      <c r="BI5" s="41" t="s">
        <v>1677</v>
      </c>
      <c r="BJ5" s="41" t="s">
        <v>1678</v>
      </c>
      <c r="BK5" s="41" t="s">
        <v>1679</v>
      </c>
      <c r="BL5" s="41" t="s">
        <v>1675</v>
      </c>
      <c r="BM5" s="41" t="s">
        <v>1676</v>
      </c>
      <c r="BN5" s="41" t="s">
        <v>1677</v>
      </c>
      <c r="BO5" s="41" t="s">
        <v>1678</v>
      </c>
      <c r="BP5" s="41" t="s">
        <v>1679</v>
      </c>
      <c r="BQ5" s="41" t="s">
        <v>1675</v>
      </c>
      <c r="BR5" s="41" t="s">
        <v>1676</v>
      </c>
      <c r="BS5" s="41" t="s">
        <v>1677</v>
      </c>
      <c r="BT5" s="41" t="s">
        <v>1678</v>
      </c>
      <c r="BU5" s="41" t="s">
        <v>1679</v>
      </c>
      <c r="BV5" s="41" t="s">
        <v>1675</v>
      </c>
      <c r="BW5" s="53" t="s">
        <v>1676</v>
      </c>
      <c r="BX5" s="53" t="s">
        <v>1677</v>
      </c>
      <c r="BY5" s="53" t="s">
        <v>1678</v>
      </c>
      <c r="BZ5" s="53" t="s">
        <v>1679</v>
      </c>
      <c r="CA5" s="53" t="s">
        <v>1675</v>
      </c>
      <c r="CD5" s="41" t="s">
        <v>1676</v>
      </c>
      <c r="CE5" s="41" t="s">
        <v>1677</v>
      </c>
      <c r="CF5" s="41" t="s">
        <v>1678</v>
      </c>
      <c r="CG5" s="41" t="s">
        <v>1679</v>
      </c>
      <c r="CH5" s="41" t="s">
        <v>1675</v>
      </c>
      <c r="CI5" s="41" t="s">
        <v>1676</v>
      </c>
      <c r="CJ5" s="41" t="s">
        <v>1677</v>
      </c>
      <c r="CK5" s="41" t="s">
        <v>1678</v>
      </c>
      <c r="CL5" s="41" t="s">
        <v>1679</v>
      </c>
      <c r="CM5" s="41" t="s">
        <v>1675</v>
      </c>
      <c r="CN5" s="41" t="s">
        <v>1676</v>
      </c>
      <c r="CO5" s="41" t="s">
        <v>1677</v>
      </c>
      <c r="CP5" s="41" t="s">
        <v>1678</v>
      </c>
      <c r="CQ5" s="41" t="s">
        <v>1679</v>
      </c>
      <c r="CR5" s="41" t="s">
        <v>1675</v>
      </c>
      <c r="CS5" s="41" t="s">
        <v>1676</v>
      </c>
      <c r="CT5" s="41" t="s">
        <v>1677</v>
      </c>
      <c r="CU5" s="41" t="s">
        <v>1678</v>
      </c>
      <c r="CV5" s="41" t="s">
        <v>1679</v>
      </c>
      <c r="CW5" s="41" t="s">
        <v>1675</v>
      </c>
      <c r="CX5" s="41" t="s">
        <v>1676</v>
      </c>
      <c r="CY5" s="41" t="s">
        <v>1677</v>
      </c>
      <c r="CZ5" s="41" t="s">
        <v>1678</v>
      </c>
      <c r="DA5" s="41" t="s">
        <v>1679</v>
      </c>
      <c r="DB5" s="41" t="s">
        <v>1675</v>
      </c>
      <c r="DC5" s="41" t="s">
        <v>1676</v>
      </c>
      <c r="DD5" s="41" t="s">
        <v>1677</v>
      </c>
      <c r="DE5" s="41" t="s">
        <v>1678</v>
      </c>
      <c r="DF5" s="41" t="s">
        <v>1679</v>
      </c>
      <c r="DG5" s="41" t="s">
        <v>1675</v>
      </c>
      <c r="DH5" s="41" t="s">
        <v>1676</v>
      </c>
      <c r="DI5" s="41" t="s">
        <v>1677</v>
      </c>
      <c r="DJ5" s="41" t="s">
        <v>1678</v>
      </c>
      <c r="DK5" s="41" t="s">
        <v>1679</v>
      </c>
      <c r="DL5" s="41" t="s">
        <v>1675</v>
      </c>
      <c r="DM5" s="41" t="s">
        <v>1676</v>
      </c>
      <c r="DN5" s="41" t="s">
        <v>1677</v>
      </c>
      <c r="DO5" s="41" t="s">
        <v>1678</v>
      </c>
      <c r="DP5" s="41" t="s">
        <v>1679</v>
      </c>
      <c r="DQ5" s="41" t="s">
        <v>1675</v>
      </c>
      <c r="DR5" s="41" t="s">
        <v>1676</v>
      </c>
      <c r="DS5" s="41" t="s">
        <v>1677</v>
      </c>
      <c r="DT5" s="41" t="s">
        <v>1678</v>
      </c>
      <c r="DU5" s="41" t="s">
        <v>1679</v>
      </c>
      <c r="DV5" s="41" t="s">
        <v>1675</v>
      </c>
      <c r="DW5" s="41" t="s">
        <v>1676</v>
      </c>
      <c r="DX5" s="41" t="s">
        <v>1677</v>
      </c>
      <c r="DY5" s="41" t="s">
        <v>1678</v>
      </c>
      <c r="DZ5" s="41" t="s">
        <v>1679</v>
      </c>
      <c r="EA5" s="41" t="s">
        <v>1675</v>
      </c>
      <c r="EB5" s="41" t="s">
        <v>1676</v>
      </c>
      <c r="EC5" s="41" t="s">
        <v>1677</v>
      </c>
      <c r="ED5" s="41" t="s">
        <v>1678</v>
      </c>
      <c r="EE5" s="41" t="s">
        <v>1679</v>
      </c>
      <c r="EF5" s="41" t="s">
        <v>1675</v>
      </c>
      <c r="EG5" s="41" t="s">
        <v>1676</v>
      </c>
      <c r="EH5" s="41" t="s">
        <v>1677</v>
      </c>
      <c r="EI5" s="41" t="s">
        <v>1678</v>
      </c>
      <c r="EJ5" s="41" t="s">
        <v>1679</v>
      </c>
      <c r="EK5" s="41" t="s">
        <v>1675</v>
      </c>
      <c r="EL5" s="41" t="s">
        <v>1676</v>
      </c>
      <c r="EM5" s="41" t="s">
        <v>1677</v>
      </c>
      <c r="EN5" s="41" t="s">
        <v>1678</v>
      </c>
      <c r="EO5" s="41" t="s">
        <v>1679</v>
      </c>
      <c r="EP5" s="41" t="s">
        <v>1675</v>
      </c>
      <c r="EQ5" s="41" t="s">
        <v>1676</v>
      </c>
      <c r="ER5" s="41" t="s">
        <v>1677</v>
      </c>
      <c r="ES5" s="41" t="s">
        <v>1678</v>
      </c>
      <c r="ET5" s="41" t="s">
        <v>1679</v>
      </c>
      <c r="EU5" s="41" t="s">
        <v>1675</v>
      </c>
      <c r="EV5" s="41" t="s">
        <v>1676</v>
      </c>
      <c r="EW5" s="41" t="s">
        <v>1677</v>
      </c>
      <c r="EX5" s="41" t="s">
        <v>1678</v>
      </c>
      <c r="EY5" s="41" t="s">
        <v>1679</v>
      </c>
      <c r="EZ5" s="41" t="s">
        <v>1675</v>
      </c>
      <c r="FA5" s="41" t="s">
        <v>1676</v>
      </c>
      <c r="FB5" s="41" t="s">
        <v>1677</v>
      </c>
      <c r="FC5" s="41" t="s">
        <v>1678</v>
      </c>
      <c r="FD5" s="41" t="s">
        <v>1679</v>
      </c>
      <c r="FE5" s="41" t="s">
        <v>1675</v>
      </c>
      <c r="FF5" s="41" t="s">
        <v>1676</v>
      </c>
      <c r="FG5" s="41" t="s">
        <v>1677</v>
      </c>
      <c r="FH5" s="41" t="s">
        <v>1678</v>
      </c>
      <c r="FI5" s="41" t="s">
        <v>1679</v>
      </c>
      <c r="FJ5" s="41" t="s">
        <v>1675</v>
      </c>
      <c r="FK5" s="41" t="s">
        <v>1676</v>
      </c>
      <c r="FL5" s="41" t="s">
        <v>1677</v>
      </c>
      <c r="FM5" s="41" t="s">
        <v>1678</v>
      </c>
      <c r="FN5" s="41" t="s">
        <v>1679</v>
      </c>
      <c r="FO5" s="41" t="s">
        <v>1675</v>
      </c>
      <c r="FP5" s="41" t="s">
        <v>1676</v>
      </c>
      <c r="FQ5" s="41" t="s">
        <v>1677</v>
      </c>
      <c r="FR5" s="41" t="s">
        <v>1678</v>
      </c>
      <c r="FS5" s="41" t="s">
        <v>1679</v>
      </c>
      <c r="FT5" s="41" t="s">
        <v>1675</v>
      </c>
      <c r="FU5" s="41" t="s">
        <v>1676</v>
      </c>
      <c r="FV5" s="41" t="s">
        <v>1677</v>
      </c>
      <c r="FW5" s="41" t="s">
        <v>1678</v>
      </c>
      <c r="FX5" s="41" t="s">
        <v>1679</v>
      </c>
      <c r="FY5" s="41" t="s">
        <v>1675</v>
      </c>
      <c r="FZ5" s="41" t="s">
        <v>1676</v>
      </c>
      <c r="GA5" s="41" t="s">
        <v>1677</v>
      </c>
      <c r="GB5" s="41" t="s">
        <v>1678</v>
      </c>
      <c r="GC5" s="41" t="s">
        <v>1679</v>
      </c>
      <c r="GD5" s="41" t="s">
        <v>1675</v>
      </c>
      <c r="GE5" s="41" t="s">
        <v>1676</v>
      </c>
      <c r="GF5" s="41" t="s">
        <v>1677</v>
      </c>
      <c r="GG5" s="41" t="s">
        <v>1678</v>
      </c>
      <c r="GH5" s="41" t="s">
        <v>1679</v>
      </c>
      <c r="GI5" s="41" t="s">
        <v>1675</v>
      </c>
    </row>
    <row r="6" spans="1:282">
      <c r="A6" s="57" t="s">
        <v>1680</v>
      </c>
      <c r="B6" s="58">
        <v>301</v>
      </c>
      <c r="C6" s="57" t="s">
        <v>374</v>
      </c>
      <c r="D6" s="59">
        <v>521.20000000000005</v>
      </c>
      <c r="E6" s="59">
        <v>521.20000000000005</v>
      </c>
      <c r="F6" s="59">
        <v>0</v>
      </c>
      <c r="G6" s="59">
        <v>0</v>
      </c>
      <c r="H6" s="59">
        <v>0</v>
      </c>
      <c r="I6" s="59">
        <v>521.20000000000005</v>
      </c>
      <c r="J6" s="59">
        <v>521.20000000000005</v>
      </c>
      <c r="K6" s="59">
        <v>0</v>
      </c>
      <c r="L6" s="59">
        <v>0</v>
      </c>
      <c r="M6" s="59">
        <v>0</v>
      </c>
      <c r="N6" s="59">
        <v>521.20000000000005</v>
      </c>
      <c r="O6" s="59">
        <v>521.20000000000005</v>
      </c>
      <c r="P6" s="59">
        <v>0</v>
      </c>
      <c r="Q6" s="59">
        <v>0</v>
      </c>
      <c r="R6" s="59">
        <v>0</v>
      </c>
      <c r="S6" s="59">
        <v>521.20000000000005</v>
      </c>
      <c r="T6" s="59">
        <v>521.20000000000005</v>
      </c>
      <c r="U6" s="59">
        <v>0</v>
      </c>
      <c r="V6" s="59">
        <v>0</v>
      </c>
      <c r="W6" s="59">
        <v>0</v>
      </c>
      <c r="X6" s="59">
        <v>521.20000000000005</v>
      </c>
      <c r="Y6" s="59">
        <v>521.20000000000005</v>
      </c>
      <c r="Z6" s="59">
        <v>0</v>
      </c>
      <c r="AA6" s="59">
        <v>0</v>
      </c>
      <c r="AB6" s="59">
        <v>0</v>
      </c>
      <c r="AC6" s="59">
        <v>521.20000000000005</v>
      </c>
      <c r="AD6" s="59">
        <v>521.20000000000005</v>
      </c>
      <c r="AE6" s="59">
        <v>0</v>
      </c>
      <c r="AF6" s="59">
        <v>0</v>
      </c>
      <c r="AG6" s="59">
        <v>0</v>
      </c>
      <c r="AH6" s="59">
        <v>521.20000000000005</v>
      </c>
      <c r="AI6" s="59">
        <v>521.20000000000005</v>
      </c>
      <c r="AJ6" s="59">
        <v>0</v>
      </c>
      <c r="AK6" s="59">
        <v>0</v>
      </c>
      <c r="AL6" s="59">
        <v>0</v>
      </c>
      <c r="AM6" s="59">
        <v>521.20000000000005</v>
      </c>
      <c r="AN6" s="59">
        <v>521.20000000000005</v>
      </c>
      <c r="AO6" s="59">
        <v>0</v>
      </c>
      <c r="AP6" s="59">
        <v>0</v>
      </c>
      <c r="AQ6" s="59">
        <v>0</v>
      </c>
      <c r="AR6" s="59">
        <v>521.20000000000005</v>
      </c>
      <c r="AS6" s="59">
        <v>521.20000000000005</v>
      </c>
      <c r="AT6" s="59">
        <v>0</v>
      </c>
      <c r="AU6" s="59">
        <v>0</v>
      </c>
      <c r="AV6" s="59">
        <v>0</v>
      </c>
      <c r="AW6" s="59">
        <v>521.20000000000005</v>
      </c>
      <c r="AX6" s="59">
        <v>521.20000000000005</v>
      </c>
      <c r="AY6" s="59">
        <v>0</v>
      </c>
      <c r="AZ6" s="59">
        <v>0</v>
      </c>
      <c r="BA6" s="59">
        <v>0</v>
      </c>
      <c r="BB6" s="59">
        <v>521.20000000000005</v>
      </c>
      <c r="BC6" s="59">
        <v>521.20000000000005</v>
      </c>
      <c r="BD6" s="59">
        <v>0</v>
      </c>
      <c r="BE6" s="59">
        <v>0</v>
      </c>
      <c r="BF6" s="59">
        <v>0</v>
      </c>
      <c r="BG6" s="59">
        <v>521.20000000000005</v>
      </c>
      <c r="BH6" s="59">
        <v>521.20000000000005</v>
      </c>
      <c r="BI6" s="59">
        <v>0</v>
      </c>
      <c r="BJ6" s="59">
        <v>0</v>
      </c>
      <c r="BK6" s="59">
        <v>0</v>
      </c>
      <c r="BL6" s="59">
        <v>521.20000000000005</v>
      </c>
      <c r="BM6" s="59">
        <f>BL6</f>
        <v>521.20000000000005</v>
      </c>
      <c r="BN6" s="59">
        <v>0</v>
      </c>
      <c r="BO6" s="59">
        <v>0</v>
      </c>
      <c r="BP6" s="59">
        <v>0</v>
      </c>
      <c r="BQ6" s="59">
        <f>SUM(BM6:BP6)</f>
        <v>521.20000000000005</v>
      </c>
      <c r="BR6" s="59">
        <f>BQ6</f>
        <v>521.20000000000005</v>
      </c>
      <c r="BS6" s="59">
        <v>0</v>
      </c>
      <c r="BT6" s="59">
        <v>0</v>
      </c>
      <c r="BU6" s="59">
        <v>0</v>
      </c>
      <c r="BV6" s="59">
        <f>SUM(BR6:BU6)</f>
        <v>521.20000000000005</v>
      </c>
      <c r="BW6" s="59">
        <f>BV6</f>
        <v>521.20000000000005</v>
      </c>
      <c r="BX6" s="59">
        <v>0</v>
      </c>
      <c r="BY6" s="59">
        <v>0</v>
      </c>
      <c r="BZ6" s="59">
        <v>0</v>
      </c>
      <c r="CA6" s="59">
        <f>SUM(BW6:BZ6)</f>
        <v>521.20000000000005</v>
      </c>
      <c r="CD6" s="59">
        <f>BV6</f>
        <v>521.20000000000005</v>
      </c>
      <c r="CE6" s="60">
        <v>0</v>
      </c>
      <c r="CF6" s="60">
        <v>0</v>
      </c>
      <c r="CG6" s="60">
        <v>0</v>
      </c>
      <c r="CH6" s="59">
        <f t="shared" ref="CH6:CH11" si="0">SUM(CD6:CG6)</f>
        <v>521.20000000000005</v>
      </c>
      <c r="CI6" s="59">
        <f>CH6</f>
        <v>521.20000000000005</v>
      </c>
      <c r="CJ6" s="60">
        <v>0</v>
      </c>
      <c r="CK6" s="60">
        <v>0</v>
      </c>
      <c r="CL6" s="60">
        <v>0</v>
      </c>
      <c r="CM6" s="59">
        <f t="shared" ref="CM6:CM11" si="1">SUM(CI6:CL6)</f>
        <v>521.20000000000005</v>
      </c>
      <c r="CN6" s="59">
        <f>CM6</f>
        <v>521.20000000000005</v>
      </c>
      <c r="CO6" s="60">
        <v>0</v>
      </c>
      <c r="CP6" s="60">
        <v>0</v>
      </c>
      <c r="CQ6" s="60">
        <v>0</v>
      </c>
      <c r="CR6" s="59">
        <f t="shared" ref="CR6:CR11" si="2">SUM(CN6:CQ6)</f>
        <v>521.20000000000005</v>
      </c>
      <c r="CS6" s="59">
        <f t="shared" ref="CS6:CS11" si="3">CR6</f>
        <v>521.20000000000005</v>
      </c>
      <c r="CT6" s="60">
        <v>0</v>
      </c>
      <c r="CU6" s="60">
        <v>0</v>
      </c>
      <c r="CV6" s="60">
        <v>0</v>
      </c>
      <c r="CW6" s="59">
        <f t="shared" ref="CW6:CW11" si="4">SUM(CS6:CV6)</f>
        <v>521.20000000000005</v>
      </c>
      <c r="CX6" s="59">
        <f t="shared" ref="CX6:CX11" si="5">CW6</f>
        <v>521.20000000000005</v>
      </c>
      <c r="CY6" s="60">
        <v>0</v>
      </c>
      <c r="CZ6" s="60">
        <v>0</v>
      </c>
      <c r="DA6" s="60">
        <v>0</v>
      </c>
      <c r="DB6" s="59">
        <f t="shared" ref="DB6:DB11" si="6">SUM(CX6:DA6)</f>
        <v>521.20000000000005</v>
      </c>
      <c r="DC6" s="59">
        <f t="shared" ref="DC6:DC11" si="7">DB6</f>
        <v>521.20000000000005</v>
      </c>
      <c r="DD6" s="60">
        <v>0</v>
      </c>
      <c r="DE6" s="60">
        <v>0</v>
      </c>
      <c r="DF6" s="60">
        <v>0</v>
      </c>
      <c r="DG6" s="59">
        <f t="shared" ref="DG6:DG11" si="8">SUM(DC6:DF6)</f>
        <v>521.20000000000005</v>
      </c>
      <c r="DH6" s="59">
        <f t="shared" ref="DH6:DH11" si="9">DG6</f>
        <v>521.20000000000005</v>
      </c>
      <c r="DI6" s="60">
        <v>0</v>
      </c>
      <c r="DJ6" s="60">
        <v>0</v>
      </c>
      <c r="DK6" s="60">
        <v>0</v>
      </c>
      <c r="DL6" s="59">
        <f t="shared" ref="DL6:DL11" si="10">SUM(DH6:DK6)</f>
        <v>521.20000000000005</v>
      </c>
      <c r="DM6" s="59">
        <f t="shared" ref="DM6:DM11" si="11">DL6</f>
        <v>521.20000000000005</v>
      </c>
      <c r="DN6" s="60">
        <v>0</v>
      </c>
      <c r="DO6" s="60">
        <v>0</v>
      </c>
      <c r="DP6" s="60">
        <v>0</v>
      </c>
      <c r="DQ6" s="59">
        <f t="shared" ref="DQ6:DQ11" si="12">SUM(DM6:DP6)</f>
        <v>521.20000000000005</v>
      </c>
      <c r="DR6" s="59">
        <f t="shared" ref="DR6:DR11" si="13">DQ6</f>
        <v>521.20000000000005</v>
      </c>
      <c r="DS6" s="60">
        <v>0</v>
      </c>
      <c r="DT6" s="60">
        <v>0</v>
      </c>
      <c r="DU6" s="60">
        <v>0</v>
      </c>
      <c r="DV6" s="59">
        <f t="shared" ref="DV6:DV11" si="14">SUM(DR6:DU6)</f>
        <v>521.20000000000005</v>
      </c>
      <c r="DW6" s="59">
        <f t="shared" ref="DW6:DW11" si="15">DV6</f>
        <v>521.20000000000005</v>
      </c>
      <c r="DX6" s="60">
        <v>0</v>
      </c>
      <c r="DY6" s="60">
        <v>0</v>
      </c>
      <c r="DZ6" s="60">
        <v>0</v>
      </c>
      <c r="EA6" s="59">
        <f t="shared" ref="EA6:EA11" si="16">SUM(DW6:DZ6)</f>
        <v>521.20000000000005</v>
      </c>
      <c r="EB6" s="59">
        <f t="shared" ref="EB6:EB11" si="17">EA6</f>
        <v>521.20000000000005</v>
      </c>
      <c r="EC6" s="60">
        <v>0</v>
      </c>
      <c r="ED6" s="60">
        <v>0</v>
      </c>
      <c r="EE6" s="60">
        <v>0</v>
      </c>
      <c r="EF6" s="59">
        <f t="shared" ref="EF6:EF11" si="18">SUM(EB6:EE6)</f>
        <v>521.20000000000005</v>
      </c>
      <c r="EG6" s="59">
        <f t="shared" ref="EG6:EG11" si="19">EF6</f>
        <v>521.20000000000005</v>
      </c>
      <c r="EH6" s="60">
        <v>0</v>
      </c>
      <c r="EI6" s="60">
        <v>0</v>
      </c>
      <c r="EJ6" s="60">
        <v>0</v>
      </c>
      <c r="EK6" s="59">
        <f t="shared" ref="EK6:EK11" si="20">SUM(EG6:EJ6)</f>
        <v>521.20000000000005</v>
      </c>
      <c r="EL6" s="59">
        <f t="shared" ref="EL6:EL11" si="21">EK6</f>
        <v>521.20000000000005</v>
      </c>
      <c r="EM6" s="60">
        <v>0</v>
      </c>
      <c r="EN6" s="60">
        <v>0</v>
      </c>
      <c r="EO6" s="60">
        <v>0</v>
      </c>
      <c r="EP6" s="59">
        <f t="shared" ref="EP6:EP11" si="22">SUM(EL6:EO6)</f>
        <v>521.20000000000005</v>
      </c>
      <c r="EQ6" s="59">
        <f t="shared" ref="EQ6:EQ11" si="23">EP6</f>
        <v>521.20000000000005</v>
      </c>
      <c r="ER6" s="60">
        <v>0</v>
      </c>
      <c r="ES6" s="60">
        <v>0</v>
      </c>
      <c r="ET6" s="60">
        <v>0</v>
      </c>
      <c r="EU6" s="59">
        <f t="shared" ref="EU6:EU11" si="24">SUM(EQ6:ET6)</f>
        <v>521.20000000000005</v>
      </c>
      <c r="EV6" s="59">
        <f t="shared" ref="EV6:EV11" si="25">EU6</f>
        <v>521.20000000000005</v>
      </c>
      <c r="EW6" s="60">
        <v>0</v>
      </c>
      <c r="EX6" s="60">
        <v>0</v>
      </c>
      <c r="EY6" s="60">
        <v>0</v>
      </c>
      <c r="EZ6" s="59">
        <f t="shared" ref="EZ6:EZ11" si="26">SUM(EV6:EY6)</f>
        <v>521.20000000000005</v>
      </c>
      <c r="FA6" s="59">
        <f t="shared" ref="FA6:FA11" si="27">EZ6</f>
        <v>521.20000000000005</v>
      </c>
      <c r="FB6" s="60">
        <v>0</v>
      </c>
      <c r="FC6" s="60">
        <v>0</v>
      </c>
      <c r="FD6" s="60">
        <v>0</v>
      </c>
      <c r="FE6" s="59">
        <f t="shared" ref="FE6:FE11" si="28">SUM(FA6:FD6)</f>
        <v>521.20000000000005</v>
      </c>
      <c r="FF6" s="59">
        <f t="shared" ref="FF6:FF11" si="29">FE6</f>
        <v>521.20000000000005</v>
      </c>
      <c r="FG6" s="60">
        <v>0</v>
      </c>
      <c r="FH6" s="60">
        <v>0</v>
      </c>
      <c r="FI6" s="60">
        <v>0</v>
      </c>
      <c r="FJ6" s="59">
        <f t="shared" ref="FJ6:FJ11" si="30">SUM(FF6:FI6)</f>
        <v>521.20000000000005</v>
      </c>
      <c r="FK6" s="59">
        <f t="shared" ref="FK6:FK11" si="31">FJ6</f>
        <v>521.20000000000005</v>
      </c>
      <c r="FL6" s="60">
        <v>0</v>
      </c>
      <c r="FM6" s="60">
        <v>0</v>
      </c>
      <c r="FN6" s="60">
        <v>0</v>
      </c>
      <c r="FO6" s="59">
        <f t="shared" ref="FO6:FO11" si="32">SUM(FK6:FN6)</f>
        <v>521.20000000000005</v>
      </c>
      <c r="FP6" s="59">
        <f t="shared" ref="FP6:FP11" si="33">FO6</f>
        <v>521.20000000000005</v>
      </c>
      <c r="FQ6" s="60">
        <v>0</v>
      </c>
      <c r="FR6" s="60">
        <v>0</v>
      </c>
      <c r="FS6" s="60">
        <v>0</v>
      </c>
      <c r="FT6" s="59">
        <f t="shared" ref="FT6:FT11" si="34">SUM(FP6:FS6)</f>
        <v>521.20000000000005</v>
      </c>
      <c r="FU6" s="59">
        <f t="shared" ref="FU6:FU11" si="35">FT6</f>
        <v>521.20000000000005</v>
      </c>
      <c r="FV6" s="60">
        <v>0</v>
      </c>
      <c r="FW6" s="60">
        <v>0</v>
      </c>
      <c r="FX6" s="60">
        <v>0</v>
      </c>
      <c r="FY6" s="59">
        <f t="shared" ref="FY6:FY11" si="36">SUM(FU6:FX6)</f>
        <v>521.20000000000005</v>
      </c>
      <c r="FZ6" s="59">
        <f t="shared" ref="FZ6:FZ11" si="37">FY6</f>
        <v>521.20000000000005</v>
      </c>
      <c r="GA6" s="60">
        <v>0</v>
      </c>
      <c r="GB6" s="60">
        <v>0</v>
      </c>
      <c r="GC6" s="60">
        <v>0</v>
      </c>
      <c r="GD6" s="59">
        <f t="shared" ref="GD6:GD11" si="38">SUM(FZ6:GC6)</f>
        <v>521.20000000000005</v>
      </c>
      <c r="GE6" s="59">
        <f t="shared" ref="GE6:GE11" si="39">GD6</f>
        <v>521.20000000000005</v>
      </c>
      <c r="GF6" s="60">
        <v>0</v>
      </c>
      <c r="GG6" s="60">
        <v>0</v>
      </c>
      <c r="GH6" s="60">
        <v>0</v>
      </c>
      <c r="GI6" s="59">
        <f t="shared" ref="GI6:GI11" si="40">SUM(GE6:GH6)</f>
        <v>521.20000000000005</v>
      </c>
      <c r="GJ6" s="59"/>
    </row>
    <row r="7" spans="1:282">
      <c r="B7" s="58">
        <v>303</v>
      </c>
      <c r="C7" s="57" t="s">
        <v>375</v>
      </c>
      <c r="D7" s="59">
        <v>96334.51</v>
      </c>
      <c r="E7" s="59">
        <v>96334.51</v>
      </c>
      <c r="F7" s="59">
        <v>0</v>
      </c>
      <c r="G7" s="59">
        <v>0</v>
      </c>
      <c r="H7" s="59">
        <v>0</v>
      </c>
      <c r="I7" s="59">
        <v>96334.51</v>
      </c>
      <c r="J7" s="59">
        <v>96334.51</v>
      </c>
      <c r="K7" s="59">
        <v>0</v>
      </c>
      <c r="L7" s="59">
        <v>0</v>
      </c>
      <c r="M7" s="59">
        <v>0</v>
      </c>
      <c r="N7" s="59">
        <v>96334.51</v>
      </c>
      <c r="O7" s="59">
        <v>96334.51</v>
      </c>
      <c r="P7" s="59">
        <v>0</v>
      </c>
      <c r="Q7" s="59">
        <v>0</v>
      </c>
      <c r="R7" s="59">
        <v>0</v>
      </c>
      <c r="S7" s="59">
        <v>96334.51</v>
      </c>
      <c r="T7" s="59">
        <v>96334.51</v>
      </c>
      <c r="U7" s="59">
        <v>0</v>
      </c>
      <c r="V7" s="59">
        <v>0</v>
      </c>
      <c r="W7" s="59">
        <v>0</v>
      </c>
      <c r="X7" s="59">
        <v>96334.51</v>
      </c>
      <c r="Y7" s="59">
        <v>96334.51</v>
      </c>
      <c r="Z7" s="59">
        <v>0</v>
      </c>
      <c r="AA7" s="59">
        <v>0</v>
      </c>
      <c r="AB7" s="59">
        <v>0</v>
      </c>
      <c r="AC7" s="59">
        <v>96334.51</v>
      </c>
      <c r="AD7" s="59">
        <v>96334.51</v>
      </c>
      <c r="AE7" s="59">
        <v>0</v>
      </c>
      <c r="AF7" s="59">
        <v>0</v>
      </c>
      <c r="AG7" s="59">
        <v>0</v>
      </c>
      <c r="AH7" s="59">
        <v>96334.51</v>
      </c>
      <c r="AI7" s="59">
        <v>96334.51</v>
      </c>
      <c r="AJ7" s="59">
        <v>0</v>
      </c>
      <c r="AK7" s="59">
        <v>0</v>
      </c>
      <c r="AL7" s="59">
        <v>0</v>
      </c>
      <c r="AM7" s="59">
        <v>96334.51</v>
      </c>
      <c r="AN7" s="59">
        <v>96334.51</v>
      </c>
      <c r="AO7" s="59">
        <v>0</v>
      </c>
      <c r="AP7" s="59">
        <v>0</v>
      </c>
      <c r="AQ7" s="59">
        <v>0</v>
      </c>
      <c r="AR7" s="59">
        <v>96334.51</v>
      </c>
      <c r="AS7" s="59">
        <v>96334.51</v>
      </c>
      <c r="AT7" s="59">
        <v>0</v>
      </c>
      <c r="AU7" s="59">
        <v>0</v>
      </c>
      <c r="AV7" s="59">
        <v>0</v>
      </c>
      <c r="AW7" s="59">
        <v>96334.51</v>
      </c>
      <c r="AX7" s="59">
        <v>96334.51</v>
      </c>
      <c r="AY7" s="59">
        <v>0</v>
      </c>
      <c r="AZ7" s="59">
        <v>0</v>
      </c>
      <c r="BA7" s="59">
        <v>0</v>
      </c>
      <c r="BB7" s="59">
        <v>96334.51</v>
      </c>
      <c r="BC7" s="59">
        <v>96334.51</v>
      </c>
      <c r="BD7" s="59">
        <v>0</v>
      </c>
      <c r="BE7" s="59">
        <v>0</v>
      </c>
      <c r="BF7" s="59">
        <v>0</v>
      </c>
      <c r="BG7" s="59">
        <v>96334.51</v>
      </c>
      <c r="BH7" s="59">
        <v>96334.51</v>
      </c>
      <c r="BI7" s="59">
        <v>0</v>
      </c>
      <c r="BJ7" s="59">
        <v>0</v>
      </c>
      <c r="BK7" s="59">
        <v>0</v>
      </c>
      <c r="BL7" s="59">
        <v>96334.51</v>
      </c>
      <c r="BM7" s="59">
        <f t="shared" ref="BM7:BM61" si="41">BL7</f>
        <v>96334.51</v>
      </c>
      <c r="BN7" s="59">
        <v>0</v>
      </c>
      <c r="BO7" s="59">
        <v>0</v>
      </c>
      <c r="BP7" s="59">
        <v>0</v>
      </c>
      <c r="BQ7" s="59">
        <f t="shared" ref="BQ7:BQ33" si="42">SUM(BM7:BP7)</f>
        <v>96334.51</v>
      </c>
      <c r="BR7" s="59">
        <f t="shared" ref="BR7:BR61" si="43">BQ7</f>
        <v>96334.51</v>
      </c>
      <c r="BS7" s="59">
        <v>0</v>
      </c>
      <c r="BT7" s="59">
        <v>0</v>
      </c>
      <c r="BU7" s="59">
        <v>0</v>
      </c>
      <c r="BV7" s="59">
        <f t="shared" ref="BV7:BV33" si="44">SUM(BR7:BU7)</f>
        <v>96334.51</v>
      </c>
      <c r="BW7" s="59">
        <f t="shared" ref="BW7:BW61" si="45">BV7</f>
        <v>96334.51</v>
      </c>
      <c r="BX7" s="59">
        <v>0</v>
      </c>
      <c r="BY7" s="59">
        <v>0</v>
      </c>
      <c r="BZ7" s="59">
        <v>0</v>
      </c>
      <c r="CA7" s="59">
        <f t="shared" ref="CA7:CA33" si="46">SUM(BW7:BZ7)</f>
        <v>96334.51</v>
      </c>
      <c r="CD7" s="59">
        <f t="shared" ref="CD7:CD61" si="47">BV7</f>
        <v>96334.51</v>
      </c>
      <c r="CE7" s="60">
        <v>0</v>
      </c>
      <c r="CF7" s="60">
        <v>0</v>
      </c>
      <c r="CG7" s="60">
        <v>0</v>
      </c>
      <c r="CH7" s="59">
        <f t="shared" si="0"/>
        <v>96334.51</v>
      </c>
      <c r="CI7" s="59">
        <f t="shared" ref="CI7:CI61" si="48">CH7</f>
        <v>96334.51</v>
      </c>
      <c r="CJ7" s="60">
        <v>0</v>
      </c>
      <c r="CK7" s="60">
        <v>0</v>
      </c>
      <c r="CL7" s="60">
        <v>0</v>
      </c>
      <c r="CM7" s="59">
        <f t="shared" si="1"/>
        <v>96334.51</v>
      </c>
      <c r="CN7" s="59">
        <f t="shared" ref="CN7:CN61" si="49">CM7</f>
        <v>96334.51</v>
      </c>
      <c r="CO7" s="60">
        <v>0</v>
      </c>
      <c r="CP7" s="60">
        <v>0</v>
      </c>
      <c r="CQ7" s="60">
        <v>0</v>
      </c>
      <c r="CR7" s="59">
        <f t="shared" si="2"/>
        <v>96334.51</v>
      </c>
      <c r="CS7" s="59">
        <f t="shared" si="3"/>
        <v>96334.51</v>
      </c>
      <c r="CT7" s="60">
        <v>0</v>
      </c>
      <c r="CU7" s="60">
        <v>0</v>
      </c>
      <c r="CV7" s="60">
        <v>0</v>
      </c>
      <c r="CW7" s="59">
        <f t="shared" si="4"/>
        <v>96334.51</v>
      </c>
      <c r="CX7" s="59">
        <f t="shared" si="5"/>
        <v>96334.51</v>
      </c>
      <c r="CY7" s="60">
        <v>0</v>
      </c>
      <c r="CZ7" s="60">
        <v>0</v>
      </c>
      <c r="DA7" s="60">
        <v>0</v>
      </c>
      <c r="DB7" s="59">
        <f t="shared" si="6"/>
        <v>96334.51</v>
      </c>
      <c r="DC7" s="59">
        <f t="shared" si="7"/>
        <v>96334.51</v>
      </c>
      <c r="DD7" s="60">
        <v>0</v>
      </c>
      <c r="DE7" s="60">
        <v>0</v>
      </c>
      <c r="DF7" s="60">
        <v>0</v>
      </c>
      <c r="DG7" s="59">
        <f t="shared" si="8"/>
        <v>96334.51</v>
      </c>
      <c r="DH7" s="59">
        <f t="shared" si="9"/>
        <v>96334.51</v>
      </c>
      <c r="DI7" s="60">
        <v>0</v>
      </c>
      <c r="DJ7" s="60">
        <v>0</v>
      </c>
      <c r="DK7" s="60">
        <v>0</v>
      </c>
      <c r="DL7" s="59">
        <f t="shared" si="10"/>
        <v>96334.51</v>
      </c>
      <c r="DM7" s="59">
        <f t="shared" si="11"/>
        <v>96334.51</v>
      </c>
      <c r="DN7" s="60">
        <v>0</v>
      </c>
      <c r="DO7" s="60">
        <v>0</v>
      </c>
      <c r="DP7" s="60">
        <v>0</v>
      </c>
      <c r="DQ7" s="59">
        <f t="shared" si="12"/>
        <v>96334.51</v>
      </c>
      <c r="DR7" s="59">
        <f t="shared" si="13"/>
        <v>96334.51</v>
      </c>
      <c r="DS7" s="60">
        <v>0</v>
      </c>
      <c r="DT7" s="60">
        <v>0</v>
      </c>
      <c r="DU7" s="60">
        <v>0</v>
      </c>
      <c r="DV7" s="59">
        <f t="shared" si="14"/>
        <v>96334.51</v>
      </c>
      <c r="DW7" s="59">
        <f t="shared" si="15"/>
        <v>96334.51</v>
      </c>
      <c r="DX7" s="60">
        <v>0</v>
      </c>
      <c r="DY7" s="60">
        <v>0</v>
      </c>
      <c r="DZ7" s="60">
        <v>0</v>
      </c>
      <c r="EA7" s="59">
        <f t="shared" si="16"/>
        <v>96334.51</v>
      </c>
      <c r="EB7" s="59">
        <f t="shared" si="17"/>
        <v>96334.51</v>
      </c>
      <c r="EC7" s="60">
        <v>0</v>
      </c>
      <c r="ED7" s="60">
        <v>0</v>
      </c>
      <c r="EE7" s="60">
        <v>0</v>
      </c>
      <c r="EF7" s="59">
        <f t="shared" si="18"/>
        <v>96334.51</v>
      </c>
      <c r="EG7" s="59">
        <f t="shared" si="19"/>
        <v>96334.51</v>
      </c>
      <c r="EH7" s="60">
        <v>0</v>
      </c>
      <c r="EI7" s="60">
        <v>0</v>
      </c>
      <c r="EJ7" s="60">
        <v>0</v>
      </c>
      <c r="EK7" s="59">
        <f t="shared" si="20"/>
        <v>96334.51</v>
      </c>
      <c r="EL7" s="59">
        <f t="shared" si="21"/>
        <v>96334.51</v>
      </c>
      <c r="EM7" s="60">
        <v>0</v>
      </c>
      <c r="EN7" s="60">
        <v>0</v>
      </c>
      <c r="EO7" s="60">
        <v>0</v>
      </c>
      <c r="EP7" s="59">
        <f t="shared" si="22"/>
        <v>96334.51</v>
      </c>
      <c r="EQ7" s="59">
        <f t="shared" si="23"/>
        <v>96334.51</v>
      </c>
      <c r="ER7" s="60">
        <v>0</v>
      </c>
      <c r="ES7" s="60">
        <v>0</v>
      </c>
      <c r="ET7" s="60">
        <v>0</v>
      </c>
      <c r="EU7" s="59">
        <f t="shared" si="24"/>
        <v>96334.51</v>
      </c>
      <c r="EV7" s="59">
        <f t="shared" si="25"/>
        <v>96334.51</v>
      </c>
      <c r="EW7" s="60">
        <v>0</v>
      </c>
      <c r="EX7" s="60">
        <v>0</v>
      </c>
      <c r="EY7" s="60">
        <v>0</v>
      </c>
      <c r="EZ7" s="59">
        <f t="shared" si="26"/>
        <v>96334.51</v>
      </c>
      <c r="FA7" s="59">
        <f t="shared" si="27"/>
        <v>96334.51</v>
      </c>
      <c r="FB7" s="60">
        <v>0</v>
      </c>
      <c r="FC7" s="60">
        <f>-'WPB-2.1.E Intangibles'!J40</f>
        <v>-15187.61</v>
      </c>
      <c r="FD7" s="60">
        <v>0</v>
      </c>
      <c r="FE7" s="59">
        <f t="shared" si="28"/>
        <v>81146.899999999994</v>
      </c>
      <c r="FF7" s="59">
        <f t="shared" si="29"/>
        <v>81146.899999999994</v>
      </c>
      <c r="FG7" s="60">
        <v>0</v>
      </c>
      <c r="FH7" s="60">
        <v>0</v>
      </c>
      <c r="FI7" s="60">
        <v>0</v>
      </c>
      <c r="FJ7" s="59">
        <f t="shared" si="30"/>
        <v>81146.899999999994</v>
      </c>
      <c r="FK7" s="59">
        <f t="shared" si="31"/>
        <v>81146.899999999994</v>
      </c>
      <c r="FL7" s="60">
        <v>0</v>
      </c>
      <c r="FM7" s="60">
        <v>0</v>
      </c>
      <c r="FN7" s="60">
        <v>0</v>
      </c>
      <c r="FO7" s="59">
        <f t="shared" si="32"/>
        <v>81146.899999999994</v>
      </c>
      <c r="FP7" s="59">
        <f t="shared" si="33"/>
        <v>81146.899999999994</v>
      </c>
      <c r="FQ7" s="60">
        <v>0</v>
      </c>
      <c r="FR7" s="60">
        <v>0</v>
      </c>
      <c r="FS7" s="60">
        <v>0</v>
      </c>
      <c r="FT7" s="59">
        <f t="shared" si="34"/>
        <v>81146.899999999994</v>
      </c>
      <c r="FU7" s="59">
        <f t="shared" si="35"/>
        <v>81146.899999999994</v>
      </c>
      <c r="FV7" s="60">
        <v>0</v>
      </c>
      <c r="FW7" s="60">
        <v>0</v>
      </c>
      <c r="FX7" s="60">
        <v>0</v>
      </c>
      <c r="FY7" s="59">
        <f t="shared" si="36"/>
        <v>81146.899999999994</v>
      </c>
      <c r="FZ7" s="59">
        <f t="shared" si="37"/>
        <v>81146.899999999994</v>
      </c>
      <c r="GA7" s="60">
        <v>0</v>
      </c>
      <c r="GB7" s="60">
        <v>0</v>
      </c>
      <c r="GC7" s="60">
        <v>0</v>
      </c>
      <c r="GD7" s="59">
        <f t="shared" si="38"/>
        <v>81146.899999999994</v>
      </c>
      <c r="GE7" s="59">
        <f t="shared" si="39"/>
        <v>81146.899999999994</v>
      </c>
      <c r="GF7" s="60">
        <v>0</v>
      </c>
      <c r="GG7" s="60">
        <v>0</v>
      </c>
      <c r="GH7" s="60">
        <v>0</v>
      </c>
      <c r="GI7" s="59">
        <f t="shared" si="40"/>
        <v>81146.899999999994</v>
      </c>
      <c r="GJ7" s="59"/>
    </row>
    <row r="8" spans="1:282">
      <c r="B8" s="58">
        <v>303.10000000000002</v>
      </c>
      <c r="C8" s="57" t="s">
        <v>376</v>
      </c>
      <c r="D8" s="59">
        <v>943.27</v>
      </c>
      <c r="E8" s="59">
        <v>943.27</v>
      </c>
      <c r="F8" s="59">
        <v>0</v>
      </c>
      <c r="G8" s="59">
        <v>0</v>
      </c>
      <c r="H8" s="59">
        <v>0</v>
      </c>
      <c r="I8" s="59">
        <v>943.27</v>
      </c>
      <c r="J8" s="59">
        <v>943.27</v>
      </c>
      <c r="K8" s="59">
        <v>0</v>
      </c>
      <c r="L8" s="59">
        <v>0</v>
      </c>
      <c r="M8" s="59">
        <v>0</v>
      </c>
      <c r="N8" s="59">
        <v>943.27</v>
      </c>
      <c r="O8" s="59">
        <v>943.27</v>
      </c>
      <c r="P8" s="59">
        <v>0</v>
      </c>
      <c r="Q8" s="59">
        <v>0</v>
      </c>
      <c r="R8" s="59">
        <v>0</v>
      </c>
      <c r="S8" s="59">
        <v>943.27</v>
      </c>
      <c r="T8" s="59">
        <v>943.27</v>
      </c>
      <c r="U8" s="59">
        <v>0</v>
      </c>
      <c r="V8" s="59">
        <v>0</v>
      </c>
      <c r="W8" s="59">
        <v>0</v>
      </c>
      <c r="X8" s="59">
        <v>943.27</v>
      </c>
      <c r="Y8" s="59">
        <v>943.27</v>
      </c>
      <c r="Z8" s="59">
        <v>0</v>
      </c>
      <c r="AA8" s="59">
        <v>0</v>
      </c>
      <c r="AB8" s="59">
        <v>-943.27</v>
      </c>
      <c r="AC8" s="59">
        <v>0</v>
      </c>
      <c r="AD8" s="59">
        <v>0</v>
      </c>
      <c r="AE8" s="59">
        <v>0</v>
      </c>
      <c r="AF8" s="59">
        <v>0</v>
      </c>
      <c r="AG8" s="59">
        <v>0</v>
      </c>
      <c r="AH8" s="59">
        <v>0</v>
      </c>
      <c r="AI8" s="59">
        <v>0</v>
      </c>
      <c r="AJ8" s="59">
        <v>0</v>
      </c>
      <c r="AK8" s="59">
        <v>0</v>
      </c>
      <c r="AL8" s="59">
        <v>0</v>
      </c>
      <c r="AM8" s="59">
        <v>0</v>
      </c>
      <c r="AN8" s="59">
        <v>0</v>
      </c>
      <c r="AO8" s="59">
        <v>0</v>
      </c>
      <c r="AP8" s="59">
        <v>0</v>
      </c>
      <c r="AQ8" s="59">
        <v>0</v>
      </c>
      <c r="AR8" s="59">
        <v>0</v>
      </c>
      <c r="AS8" s="59">
        <v>0</v>
      </c>
      <c r="AT8" s="59">
        <v>0</v>
      </c>
      <c r="AU8" s="59">
        <v>0</v>
      </c>
      <c r="AV8" s="59">
        <v>0</v>
      </c>
      <c r="AW8" s="59">
        <v>0</v>
      </c>
      <c r="AX8" s="59">
        <v>0</v>
      </c>
      <c r="AY8" s="59">
        <v>0</v>
      </c>
      <c r="AZ8" s="59">
        <v>0</v>
      </c>
      <c r="BA8" s="59">
        <v>0</v>
      </c>
      <c r="BB8" s="59">
        <v>0</v>
      </c>
      <c r="BC8" s="59">
        <v>0</v>
      </c>
      <c r="BD8" s="59">
        <v>0</v>
      </c>
      <c r="BE8" s="59">
        <v>0</v>
      </c>
      <c r="BF8" s="59">
        <v>0</v>
      </c>
      <c r="BG8" s="59">
        <v>0</v>
      </c>
      <c r="BH8" s="59">
        <v>0</v>
      </c>
      <c r="BI8" s="59">
        <v>0</v>
      </c>
      <c r="BJ8" s="59">
        <v>0</v>
      </c>
      <c r="BK8" s="59">
        <v>0</v>
      </c>
      <c r="BL8" s="59">
        <v>0</v>
      </c>
      <c r="BM8" s="59">
        <f t="shared" si="41"/>
        <v>0</v>
      </c>
      <c r="BN8" s="59">
        <v>0</v>
      </c>
      <c r="BO8" s="59">
        <v>0</v>
      </c>
      <c r="BP8" s="59">
        <v>0</v>
      </c>
      <c r="BQ8" s="59">
        <f t="shared" si="42"/>
        <v>0</v>
      </c>
      <c r="BR8" s="59">
        <f t="shared" si="43"/>
        <v>0</v>
      </c>
      <c r="BS8" s="59">
        <v>0</v>
      </c>
      <c r="BT8" s="59">
        <v>0</v>
      </c>
      <c r="BU8" s="59">
        <v>0</v>
      </c>
      <c r="BV8" s="59">
        <f t="shared" si="44"/>
        <v>0</v>
      </c>
      <c r="BW8" s="59">
        <f t="shared" si="45"/>
        <v>0</v>
      </c>
      <c r="BX8" s="59">
        <v>0</v>
      </c>
      <c r="BY8" s="59">
        <v>0</v>
      </c>
      <c r="BZ8" s="59">
        <v>0</v>
      </c>
      <c r="CA8" s="59">
        <f t="shared" si="46"/>
        <v>0</v>
      </c>
      <c r="CD8" s="59">
        <f t="shared" si="47"/>
        <v>0</v>
      </c>
      <c r="CE8" s="60">
        <v>0</v>
      </c>
      <c r="CF8" s="60">
        <v>0</v>
      </c>
      <c r="CG8" s="60">
        <v>0</v>
      </c>
      <c r="CH8" s="59">
        <f t="shared" si="0"/>
        <v>0</v>
      </c>
      <c r="CI8" s="59">
        <f t="shared" si="48"/>
        <v>0</v>
      </c>
      <c r="CJ8" s="60">
        <v>0</v>
      </c>
      <c r="CK8" s="60">
        <v>0</v>
      </c>
      <c r="CL8" s="60">
        <v>0</v>
      </c>
      <c r="CM8" s="59">
        <f t="shared" si="1"/>
        <v>0</v>
      </c>
      <c r="CN8" s="59">
        <f t="shared" si="49"/>
        <v>0</v>
      </c>
      <c r="CO8" s="60">
        <v>0</v>
      </c>
      <c r="CP8" s="60">
        <v>0</v>
      </c>
      <c r="CQ8" s="60">
        <v>0</v>
      </c>
      <c r="CR8" s="59">
        <f t="shared" si="2"/>
        <v>0</v>
      </c>
      <c r="CS8" s="59">
        <f t="shared" si="3"/>
        <v>0</v>
      </c>
      <c r="CT8" s="60">
        <v>0</v>
      </c>
      <c r="CU8" s="60">
        <v>0</v>
      </c>
      <c r="CV8" s="60">
        <v>0</v>
      </c>
      <c r="CW8" s="59">
        <f t="shared" si="4"/>
        <v>0</v>
      </c>
      <c r="CX8" s="59">
        <f t="shared" si="5"/>
        <v>0</v>
      </c>
      <c r="CY8" s="60">
        <v>0</v>
      </c>
      <c r="CZ8" s="60">
        <v>0</v>
      </c>
      <c r="DA8" s="60">
        <v>0</v>
      </c>
      <c r="DB8" s="59">
        <f t="shared" si="6"/>
        <v>0</v>
      </c>
      <c r="DC8" s="59">
        <f t="shared" si="7"/>
        <v>0</v>
      </c>
      <c r="DD8" s="60">
        <v>0</v>
      </c>
      <c r="DE8" s="60">
        <v>0</v>
      </c>
      <c r="DF8" s="60">
        <v>0</v>
      </c>
      <c r="DG8" s="59">
        <f t="shared" si="8"/>
        <v>0</v>
      </c>
      <c r="DH8" s="59">
        <f t="shared" si="9"/>
        <v>0</v>
      </c>
      <c r="DI8" s="60">
        <v>0</v>
      </c>
      <c r="DJ8" s="60">
        <v>0</v>
      </c>
      <c r="DK8" s="60">
        <v>0</v>
      </c>
      <c r="DL8" s="59">
        <f t="shared" si="10"/>
        <v>0</v>
      </c>
      <c r="DM8" s="59">
        <f t="shared" si="11"/>
        <v>0</v>
      </c>
      <c r="DN8" s="60">
        <v>0</v>
      </c>
      <c r="DO8" s="60">
        <v>0</v>
      </c>
      <c r="DP8" s="60">
        <v>0</v>
      </c>
      <c r="DQ8" s="59">
        <f t="shared" si="12"/>
        <v>0</v>
      </c>
      <c r="DR8" s="59">
        <f t="shared" si="13"/>
        <v>0</v>
      </c>
      <c r="DS8" s="60">
        <v>0</v>
      </c>
      <c r="DT8" s="60">
        <v>0</v>
      </c>
      <c r="DU8" s="60">
        <v>0</v>
      </c>
      <c r="DV8" s="59">
        <f t="shared" si="14"/>
        <v>0</v>
      </c>
      <c r="DW8" s="59">
        <f t="shared" si="15"/>
        <v>0</v>
      </c>
      <c r="DX8" s="60">
        <v>0</v>
      </c>
      <c r="DY8" s="60">
        <v>0</v>
      </c>
      <c r="DZ8" s="60">
        <v>0</v>
      </c>
      <c r="EA8" s="59">
        <f t="shared" si="16"/>
        <v>0</v>
      </c>
      <c r="EB8" s="59">
        <f t="shared" si="17"/>
        <v>0</v>
      </c>
      <c r="EC8" s="60">
        <v>0</v>
      </c>
      <c r="ED8" s="60">
        <v>0</v>
      </c>
      <c r="EE8" s="60">
        <v>0</v>
      </c>
      <c r="EF8" s="59">
        <f t="shared" si="18"/>
        <v>0</v>
      </c>
      <c r="EG8" s="59">
        <f t="shared" si="19"/>
        <v>0</v>
      </c>
      <c r="EH8" s="60">
        <v>0</v>
      </c>
      <c r="EI8" s="60">
        <v>0</v>
      </c>
      <c r="EJ8" s="60">
        <v>0</v>
      </c>
      <c r="EK8" s="59">
        <f t="shared" si="20"/>
        <v>0</v>
      </c>
      <c r="EL8" s="59">
        <f t="shared" si="21"/>
        <v>0</v>
      </c>
      <c r="EM8" s="60">
        <v>0</v>
      </c>
      <c r="EN8" s="60">
        <v>0</v>
      </c>
      <c r="EO8" s="60">
        <v>0</v>
      </c>
      <c r="EP8" s="59">
        <f t="shared" si="22"/>
        <v>0</v>
      </c>
      <c r="EQ8" s="59">
        <f t="shared" si="23"/>
        <v>0</v>
      </c>
      <c r="ER8" s="60">
        <v>0</v>
      </c>
      <c r="ES8" s="60">
        <v>0</v>
      </c>
      <c r="ET8" s="60">
        <v>0</v>
      </c>
      <c r="EU8" s="59">
        <f t="shared" si="24"/>
        <v>0</v>
      </c>
      <c r="EV8" s="59">
        <f t="shared" si="25"/>
        <v>0</v>
      </c>
      <c r="EW8" s="60">
        <v>0</v>
      </c>
      <c r="EX8" s="60">
        <v>0</v>
      </c>
      <c r="EY8" s="60">
        <v>0</v>
      </c>
      <c r="EZ8" s="59">
        <f t="shared" si="26"/>
        <v>0</v>
      </c>
      <c r="FA8" s="59">
        <f t="shared" si="27"/>
        <v>0</v>
      </c>
      <c r="FB8" s="60">
        <v>0</v>
      </c>
      <c r="FC8" s="60">
        <v>0</v>
      </c>
      <c r="FD8" s="60">
        <v>0</v>
      </c>
      <c r="FE8" s="59">
        <f t="shared" si="28"/>
        <v>0</v>
      </c>
      <c r="FF8" s="59">
        <f t="shared" si="29"/>
        <v>0</v>
      </c>
      <c r="FG8" s="60">
        <v>0</v>
      </c>
      <c r="FH8" s="60">
        <v>0</v>
      </c>
      <c r="FI8" s="60">
        <v>0</v>
      </c>
      <c r="FJ8" s="59">
        <f t="shared" si="30"/>
        <v>0</v>
      </c>
      <c r="FK8" s="59">
        <f t="shared" si="31"/>
        <v>0</v>
      </c>
      <c r="FL8" s="60">
        <v>0</v>
      </c>
      <c r="FM8" s="60">
        <v>0</v>
      </c>
      <c r="FN8" s="60">
        <v>0</v>
      </c>
      <c r="FO8" s="59">
        <f t="shared" si="32"/>
        <v>0</v>
      </c>
      <c r="FP8" s="59">
        <f t="shared" si="33"/>
        <v>0</v>
      </c>
      <c r="FQ8" s="60">
        <v>0</v>
      </c>
      <c r="FR8" s="60">
        <v>0</v>
      </c>
      <c r="FS8" s="60">
        <v>0</v>
      </c>
      <c r="FT8" s="59">
        <f t="shared" si="34"/>
        <v>0</v>
      </c>
      <c r="FU8" s="59">
        <f t="shared" si="35"/>
        <v>0</v>
      </c>
      <c r="FV8" s="60">
        <v>0</v>
      </c>
      <c r="FW8" s="60">
        <v>0</v>
      </c>
      <c r="FX8" s="60">
        <v>0</v>
      </c>
      <c r="FY8" s="59">
        <f t="shared" si="36"/>
        <v>0</v>
      </c>
      <c r="FZ8" s="59">
        <f t="shared" si="37"/>
        <v>0</v>
      </c>
      <c r="GA8" s="60">
        <v>0</v>
      </c>
      <c r="GB8" s="60">
        <v>0</v>
      </c>
      <c r="GC8" s="60">
        <v>0</v>
      </c>
      <c r="GD8" s="59">
        <f t="shared" si="38"/>
        <v>0</v>
      </c>
      <c r="GE8" s="59">
        <f t="shared" si="39"/>
        <v>0</v>
      </c>
      <c r="GF8" s="60">
        <v>0</v>
      </c>
      <c r="GG8" s="60">
        <v>0</v>
      </c>
      <c r="GH8" s="60">
        <v>0</v>
      </c>
      <c r="GI8" s="59">
        <f t="shared" si="40"/>
        <v>0</v>
      </c>
      <c r="GJ8" s="59"/>
    </row>
    <row r="9" spans="1:282">
      <c r="B9" s="58">
        <v>303.2</v>
      </c>
      <c r="C9" s="57" t="s">
        <v>377</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59">
        <v>0</v>
      </c>
      <c r="AQ9" s="59">
        <v>0</v>
      </c>
      <c r="AR9" s="59">
        <v>0</v>
      </c>
      <c r="AS9" s="59">
        <v>0</v>
      </c>
      <c r="AT9" s="59">
        <v>0</v>
      </c>
      <c r="AU9" s="59">
        <v>0</v>
      </c>
      <c r="AV9" s="59">
        <v>0</v>
      </c>
      <c r="AW9" s="59">
        <v>0</v>
      </c>
      <c r="AX9" s="59">
        <v>0</v>
      </c>
      <c r="AY9" s="59">
        <v>0</v>
      </c>
      <c r="AZ9" s="59">
        <v>0</v>
      </c>
      <c r="BA9" s="59">
        <v>0</v>
      </c>
      <c r="BB9" s="59">
        <v>0</v>
      </c>
      <c r="BC9" s="59">
        <v>0</v>
      </c>
      <c r="BD9" s="59">
        <v>0</v>
      </c>
      <c r="BE9" s="59">
        <v>0</v>
      </c>
      <c r="BF9" s="59">
        <v>0</v>
      </c>
      <c r="BG9" s="59">
        <v>0</v>
      </c>
      <c r="BH9" s="59">
        <v>0</v>
      </c>
      <c r="BI9" s="59">
        <v>0</v>
      </c>
      <c r="BJ9" s="59">
        <v>0</v>
      </c>
      <c r="BK9" s="59">
        <v>0</v>
      </c>
      <c r="BL9" s="59">
        <v>0</v>
      </c>
      <c r="BM9" s="59">
        <f t="shared" si="41"/>
        <v>0</v>
      </c>
      <c r="BN9" s="59">
        <v>0</v>
      </c>
      <c r="BO9" s="59">
        <v>0</v>
      </c>
      <c r="BP9" s="59">
        <v>0</v>
      </c>
      <c r="BQ9" s="59">
        <f t="shared" si="42"/>
        <v>0</v>
      </c>
      <c r="BR9" s="59">
        <f t="shared" si="43"/>
        <v>0</v>
      </c>
      <c r="BS9" s="59">
        <v>0</v>
      </c>
      <c r="BT9" s="59">
        <v>0</v>
      </c>
      <c r="BU9" s="59">
        <v>0</v>
      </c>
      <c r="BV9" s="59">
        <f t="shared" si="44"/>
        <v>0</v>
      </c>
      <c r="BW9" s="59">
        <f t="shared" si="45"/>
        <v>0</v>
      </c>
      <c r="BX9" s="59">
        <v>0</v>
      </c>
      <c r="BY9" s="59">
        <v>0</v>
      </c>
      <c r="BZ9" s="59">
        <v>0</v>
      </c>
      <c r="CA9" s="59">
        <f t="shared" si="46"/>
        <v>0</v>
      </c>
      <c r="CD9" s="59">
        <f t="shared" si="47"/>
        <v>0</v>
      </c>
      <c r="CE9" s="60">
        <v>0</v>
      </c>
      <c r="CF9" s="60">
        <v>0</v>
      </c>
      <c r="CG9" s="60">
        <v>0</v>
      </c>
      <c r="CH9" s="59">
        <f t="shared" si="0"/>
        <v>0</v>
      </c>
      <c r="CI9" s="59">
        <f t="shared" si="48"/>
        <v>0</v>
      </c>
      <c r="CJ9" s="60">
        <v>0</v>
      </c>
      <c r="CK9" s="60">
        <v>0</v>
      </c>
      <c r="CL9" s="60">
        <v>0</v>
      </c>
      <c r="CM9" s="59">
        <f t="shared" si="1"/>
        <v>0</v>
      </c>
      <c r="CN9" s="59">
        <f t="shared" si="49"/>
        <v>0</v>
      </c>
      <c r="CO9" s="60">
        <v>0</v>
      </c>
      <c r="CP9" s="60">
        <v>0</v>
      </c>
      <c r="CQ9" s="60">
        <v>0</v>
      </c>
      <c r="CR9" s="59">
        <f t="shared" si="2"/>
        <v>0</v>
      </c>
      <c r="CS9" s="59">
        <f t="shared" si="3"/>
        <v>0</v>
      </c>
      <c r="CT9" s="60">
        <v>0</v>
      </c>
      <c r="CU9" s="60">
        <v>0</v>
      </c>
      <c r="CV9" s="60">
        <v>0</v>
      </c>
      <c r="CW9" s="59">
        <f t="shared" si="4"/>
        <v>0</v>
      </c>
      <c r="CX9" s="59">
        <f t="shared" si="5"/>
        <v>0</v>
      </c>
      <c r="CY9" s="60">
        <v>0</v>
      </c>
      <c r="CZ9" s="60">
        <v>0</v>
      </c>
      <c r="DA9" s="60">
        <v>0</v>
      </c>
      <c r="DB9" s="59">
        <f t="shared" si="6"/>
        <v>0</v>
      </c>
      <c r="DC9" s="59">
        <f t="shared" si="7"/>
        <v>0</v>
      </c>
      <c r="DD9" s="60">
        <v>0</v>
      </c>
      <c r="DE9" s="60">
        <v>0</v>
      </c>
      <c r="DF9" s="60">
        <v>0</v>
      </c>
      <c r="DG9" s="59">
        <f t="shared" si="8"/>
        <v>0</v>
      </c>
      <c r="DH9" s="59">
        <f t="shared" si="9"/>
        <v>0</v>
      </c>
      <c r="DI9" s="60">
        <v>0</v>
      </c>
      <c r="DJ9" s="60">
        <v>0</v>
      </c>
      <c r="DK9" s="60">
        <v>0</v>
      </c>
      <c r="DL9" s="59">
        <f t="shared" si="10"/>
        <v>0</v>
      </c>
      <c r="DM9" s="59">
        <f t="shared" si="11"/>
        <v>0</v>
      </c>
      <c r="DN9" s="60">
        <v>0</v>
      </c>
      <c r="DO9" s="60">
        <v>0</v>
      </c>
      <c r="DP9" s="60">
        <v>0</v>
      </c>
      <c r="DQ9" s="59">
        <f t="shared" si="12"/>
        <v>0</v>
      </c>
      <c r="DR9" s="59">
        <f t="shared" si="13"/>
        <v>0</v>
      </c>
      <c r="DS9" s="60">
        <v>0</v>
      </c>
      <c r="DT9" s="60">
        <v>0</v>
      </c>
      <c r="DU9" s="60">
        <v>0</v>
      </c>
      <c r="DV9" s="59">
        <f t="shared" si="14"/>
        <v>0</v>
      </c>
      <c r="DW9" s="59">
        <f t="shared" si="15"/>
        <v>0</v>
      </c>
      <c r="DX9" s="60">
        <v>0</v>
      </c>
      <c r="DY9" s="60">
        <v>0</v>
      </c>
      <c r="DZ9" s="60">
        <v>0</v>
      </c>
      <c r="EA9" s="59">
        <f t="shared" si="16"/>
        <v>0</v>
      </c>
      <c r="EB9" s="59">
        <f t="shared" si="17"/>
        <v>0</v>
      </c>
      <c r="EC9" s="60">
        <v>0</v>
      </c>
      <c r="ED9" s="60">
        <v>0</v>
      </c>
      <c r="EE9" s="60">
        <v>0</v>
      </c>
      <c r="EF9" s="59">
        <f t="shared" si="18"/>
        <v>0</v>
      </c>
      <c r="EG9" s="59">
        <f t="shared" si="19"/>
        <v>0</v>
      </c>
      <c r="EH9" s="60">
        <v>0</v>
      </c>
      <c r="EI9" s="60">
        <v>0</v>
      </c>
      <c r="EJ9" s="60">
        <v>0</v>
      </c>
      <c r="EK9" s="59">
        <f t="shared" si="20"/>
        <v>0</v>
      </c>
      <c r="EL9" s="59">
        <f t="shared" si="21"/>
        <v>0</v>
      </c>
      <c r="EM9" s="60">
        <v>0</v>
      </c>
      <c r="EN9" s="60">
        <v>0</v>
      </c>
      <c r="EO9" s="60">
        <v>0</v>
      </c>
      <c r="EP9" s="59">
        <f t="shared" si="22"/>
        <v>0</v>
      </c>
      <c r="EQ9" s="59">
        <f t="shared" si="23"/>
        <v>0</v>
      </c>
      <c r="ER9" s="60">
        <v>0</v>
      </c>
      <c r="ES9" s="60">
        <v>0</v>
      </c>
      <c r="ET9" s="60">
        <v>0</v>
      </c>
      <c r="EU9" s="59">
        <f t="shared" si="24"/>
        <v>0</v>
      </c>
      <c r="EV9" s="59">
        <f t="shared" si="25"/>
        <v>0</v>
      </c>
      <c r="EW9" s="60">
        <v>0</v>
      </c>
      <c r="EX9" s="60">
        <v>0</v>
      </c>
      <c r="EY9" s="60">
        <v>0</v>
      </c>
      <c r="EZ9" s="59">
        <f t="shared" si="26"/>
        <v>0</v>
      </c>
      <c r="FA9" s="59">
        <f t="shared" si="27"/>
        <v>0</v>
      </c>
      <c r="FB9" s="60">
        <v>0</v>
      </c>
      <c r="FC9" s="60">
        <v>0</v>
      </c>
      <c r="FD9" s="60">
        <v>0</v>
      </c>
      <c r="FE9" s="59">
        <f t="shared" si="28"/>
        <v>0</v>
      </c>
      <c r="FF9" s="59">
        <f t="shared" si="29"/>
        <v>0</v>
      </c>
      <c r="FG9" s="60">
        <v>0</v>
      </c>
      <c r="FH9" s="60">
        <v>0</v>
      </c>
      <c r="FI9" s="60">
        <v>0</v>
      </c>
      <c r="FJ9" s="59">
        <f t="shared" si="30"/>
        <v>0</v>
      </c>
      <c r="FK9" s="59">
        <f t="shared" si="31"/>
        <v>0</v>
      </c>
      <c r="FL9" s="60">
        <v>0</v>
      </c>
      <c r="FM9" s="60">
        <v>0</v>
      </c>
      <c r="FN9" s="60">
        <v>0</v>
      </c>
      <c r="FO9" s="59">
        <f t="shared" si="32"/>
        <v>0</v>
      </c>
      <c r="FP9" s="59">
        <f t="shared" si="33"/>
        <v>0</v>
      </c>
      <c r="FQ9" s="60">
        <v>0</v>
      </c>
      <c r="FR9" s="60">
        <v>0</v>
      </c>
      <c r="FS9" s="60">
        <v>0</v>
      </c>
      <c r="FT9" s="59">
        <f t="shared" si="34"/>
        <v>0</v>
      </c>
      <c r="FU9" s="59">
        <f t="shared" si="35"/>
        <v>0</v>
      </c>
      <c r="FV9" s="60">
        <v>0</v>
      </c>
      <c r="FW9" s="60">
        <v>0</v>
      </c>
      <c r="FX9" s="60">
        <v>0</v>
      </c>
      <c r="FY9" s="59">
        <f t="shared" si="36"/>
        <v>0</v>
      </c>
      <c r="FZ9" s="59">
        <f t="shared" si="37"/>
        <v>0</v>
      </c>
      <c r="GA9" s="60">
        <v>0</v>
      </c>
      <c r="GB9" s="60">
        <v>0</v>
      </c>
      <c r="GC9" s="60">
        <v>0</v>
      </c>
      <c r="GD9" s="59">
        <f t="shared" si="38"/>
        <v>0</v>
      </c>
      <c r="GE9" s="59">
        <f t="shared" si="39"/>
        <v>0</v>
      </c>
      <c r="GF9" s="60">
        <v>0</v>
      </c>
      <c r="GG9" s="60">
        <v>0</v>
      </c>
      <c r="GH9" s="60">
        <v>0</v>
      </c>
      <c r="GI9" s="59">
        <f t="shared" si="40"/>
        <v>0</v>
      </c>
      <c r="GJ9" s="59"/>
    </row>
    <row r="10" spans="1:282">
      <c r="B10" s="58">
        <v>303.3</v>
      </c>
      <c r="C10" s="57" t="s">
        <v>378</v>
      </c>
      <c r="D10" s="59">
        <v>10599294.17</v>
      </c>
      <c r="E10" s="59">
        <v>10599294.17</v>
      </c>
      <c r="F10" s="59">
        <v>90278.650000000009</v>
      </c>
      <c r="G10" s="59">
        <v>-141156.24</v>
      </c>
      <c r="H10" s="59">
        <v>0</v>
      </c>
      <c r="I10" s="59">
        <v>10548416.58</v>
      </c>
      <c r="J10" s="59">
        <v>10548416.58</v>
      </c>
      <c r="K10" s="59">
        <v>936807.92</v>
      </c>
      <c r="L10" s="59">
        <v>-44206.97</v>
      </c>
      <c r="M10" s="59">
        <v>0</v>
      </c>
      <c r="N10" s="59">
        <v>11441017.529999999</v>
      </c>
      <c r="O10" s="59">
        <v>11441017.529999999</v>
      </c>
      <c r="P10" s="59">
        <v>5275.49</v>
      </c>
      <c r="Q10" s="59">
        <v>-23227.89</v>
      </c>
      <c r="R10" s="59">
        <v>0</v>
      </c>
      <c r="S10" s="59">
        <v>11423065.130000001</v>
      </c>
      <c r="T10" s="59">
        <v>11423065.130000001</v>
      </c>
      <c r="U10" s="59">
        <v>101334.64</v>
      </c>
      <c r="V10" s="59">
        <v>-11622.77</v>
      </c>
      <c r="W10" s="59">
        <v>0</v>
      </c>
      <c r="X10" s="59">
        <v>11512777</v>
      </c>
      <c r="Y10" s="59">
        <v>11512777</v>
      </c>
      <c r="Z10" s="59">
        <v>562811.97</v>
      </c>
      <c r="AA10" s="59">
        <v>0</v>
      </c>
      <c r="AB10" s="59">
        <v>943.27</v>
      </c>
      <c r="AC10" s="59">
        <v>12076532.24</v>
      </c>
      <c r="AD10" s="59">
        <v>12076532.24</v>
      </c>
      <c r="AE10" s="59">
        <v>46873.14</v>
      </c>
      <c r="AF10" s="59">
        <v>0</v>
      </c>
      <c r="AG10" s="59">
        <v>0</v>
      </c>
      <c r="AH10" s="59">
        <v>12123405.380000001</v>
      </c>
      <c r="AI10" s="59">
        <v>12123405.380000001</v>
      </c>
      <c r="AJ10" s="59">
        <v>55718.91</v>
      </c>
      <c r="AK10" s="59">
        <v>0</v>
      </c>
      <c r="AL10" s="59">
        <v>0</v>
      </c>
      <c r="AM10" s="59">
        <v>12179124.289999999</v>
      </c>
      <c r="AN10" s="59">
        <v>12179124.289999999</v>
      </c>
      <c r="AO10" s="59">
        <v>399046.51</v>
      </c>
      <c r="AP10" s="59">
        <v>0</v>
      </c>
      <c r="AQ10" s="59">
        <v>0</v>
      </c>
      <c r="AR10" s="59">
        <v>12578170.800000001</v>
      </c>
      <c r="AS10" s="59">
        <v>12578170.800000001</v>
      </c>
      <c r="AT10" s="59">
        <v>83014.900000000009</v>
      </c>
      <c r="AU10" s="59">
        <v>-24342.89</v>
      </c>
      <c r="AV10" s="59">
        <v>0</v>
      </c>
      <c r="AW10" s="59">
        <v>12636842.810000001</v>
      </c>
      <c r="AX10" s="59">
        <v>12636842.810000001</v>
      </c>
      <c r="AY10" s="59">
        <v>32021.3</v>
      </c>
      <c r="AZ10" s="59">
        <v>-54209.98</v>
      </c>
      <c r="BA10" s="59">
        <v>0</v>
      </c>
      <c r="BB10" s="59">
        <v>12614654.130000001</v>
      </c>
      <c r="BC10" s="59">
        <v>12614654.130000001</v>
      </c>
      <c r="BD10" s="59">
        <v>162058.75</v>
      </c>
      <c r="BE10" s="59">
        <v>-67154.509999999995</v>
      </c>
      <c r="BF10" s="59">
        <v>0</v>
      </c>
      <c r="BG10" s="59">
        <v>12709558.369999999</v>
      </c>
      <c r="BH10" s="59">
        <v>12709558.369999999</v>
      </c>
      <c r="BI10" s="59">
        <v>499707.65</v>
      </c>
      <c r="BJ10" s="59">
        <v>-105701.91</v>
      </c>
      <c r="BK10" s="59">
        <v>0</v>
      </c>
      <c r="BL10" s="59">
        <v>13103564.109999999</v>
      </c>
      <c r="BM10" s="59">
        <f t="shared" si="41"/>
        <v>13103564.109999999</v>
      </c>
      <c r="BN10" s="59">
        <f>+'WPB-2.1.E Intangibles'!E17</f>
        <v>40225.480000000003</v>
      </c>
      <c r="BO10" s="59">
        <f>-'WPB-2.1.E Intangibles'!E35</f>
        <v>-365404.52999999997</v>
      </c>
      <c r="BP10" s="59">
        <v>0</v>
      </c>
      <c r="BQ10" s="59">
        <f t="shared" si="42"/>
        <v>12778385.060000001</v>
      </c>
      <c r="BR10" s="59">
        <f t="shared" si="43"/>
        <v>12778385.060000001</v>
      </c>
      <c r="BS10" s="59">
        <f>+'WPB-2.1.E Intangibles'!F16</f>
        <v>42429.279999999999</v>
      </c>
      <c r="BT10" s="59">
        <f>-'WPB-2.1.E Intangibles'!F35</f>
        <v>-17430.859999999997</v>
      </c>
      <c r="BU10" s="59">
        <v>0</v>
      </c>
      <c r="BV10" s="59">
        <f t="shared" si="44"/>
        <v>12803383.48</v>
      </c>
      <c r="BW10" s="59">
        <f t="shared" si="45"/>
        <v>12803383.48</v>
      </c>
      <c r="BX10" s="59">
        <v>781925.46</v>
      </c>
      <c r="BY10" s="59">
        <v>-13451.32</v>
      </c>
      <c r="BZ10" s="59">
        <v>0</v>
      </c>
      <c r="CA10" s="59">
        <f t="shared" si="46"/>
        <v>13571857.620000001</v>
      </c>
      <c r="CD10" s="59">
        <f t="shared" si="47"/>
        <v>12803383.48</v>
      </c>
      <c r="CE10" s="60">
        <f>+'WPB-2.1.E Intangibles'!G17</f>
        <v>126243.23999999999</v>
      </c>
      <c r="CF10" s="60">
        <f>-'WPB-2.1.E Intangibles'!G35</f>
        <v>-4260.66</v>
      </c>
      <c r="CG10" s="60">
        <v>0</v>
      </c>
      <c r="CH10" s="59">
        <f t="shared" si="0"/>
        <v>12925366.060000001</v>
      </c>
      <c r="CI10" s="59">
        <f t="shared" si="48"/>
        <v>12925366.060000001</v>
      </c>
      <c r="CJ10" s="60">
        <f>+'WPB-2.1.E Intangibles'!H17</f>
        <v>184077</v>
      </c>
      <c r="CK10" s="60">
        <f>-'WPB-2.1.E Intangibles'!H35</f>
        <v>-1759024.9</v>
      </c>
      <c r="CL10" s="60">
        <v>0</v>
      </c>
      <c r="CM10" s="59">
        <f t="shared" si="1"/>
        <v>11350418.16</v>
      </c>
      <c r="CN10" s="59">
        <f t="shared" si="49"/>
        <v>11350418.16</v>
      </c>
      <c r="CO10" s="60">
        <f>+'WPB-2.1.E Intangibles'!I17</f>
        <v>79811</v>
      </c>
      <c r="CP10" s="60">
        <f>-'WPB-2.1.E Intangibles'!I35</f>
        <v>-29287.239999999998</v>
      </c>
      <c r="CQ10" s="60">
        <v>0</v>
      </c>
      <c r="CR10" s="59">
        <f t="shared" si="2"/>
        <v>11400941.92</v>
      </c>
      <c r="CS10" s="59">
        <f t="shared" si="3"/>
        <v>11400941.92</v>
      </c>
      <c r="CT10" s="60">
        <f>+'WPB-2.1.E Intangibles'!J17</f>
        <v>574250</v>
      </c>
      <c r="CU10" s="60">
        <f>-'WPB-2.1.E Intangibles'!J35</f>
        <v>-208391.25999999998</v>
      </c>
      <c r="CV10" s="60">
        <v>0</v>
      </c>
      <c r="CW10" s="59">
        <f t="shared" si="4"/>
        <v>11766800.66</v>
      </c>
      <c r="CX10" s="59">
        <f t="shared" si="5"/>
        <v>11766800.66</v>
      </c>
      <c r="CY10" s="60">
        <f>+'WPB-2.1.E Intangibles'!K17</f>
        <v>1089068</v>
      </c>
      <c r="CZ10" s="60">
        <f>-'WPB-2.1.E Intangibles'!K35</f>
        <v>-384711.06</v>
      </c>
      <c r="DA10" s="60">
        <v>0</v>
      </c>
      <c r="DB10" s="59">
        <f t="shared" si="6"/>
        <v>12471157.6</v>
      </c>
      <c r="DC10" s="59">
        <f t="shared" si="7"/>
        <v>12471157.6</v>
      </c>
      <c r="DD10" s="60">
        <f>+'WPB-2.1.E Intangibles'!L17</f>
        <v>138184</v>
      </c>
      <c r="DE10" s="60">
        <f>-'WPB-2.1.E Intangibles'!L35</f>
        <v>-42648.62</v>
      </c>
      <c r="DF10" s="60">
        <v>0</v>
      </c>
      <c r="DG10" s="59">
        <f t="shared" si="8"/>
        <v>12566692.98</v>
      </c>
      <c r="DH10" s="59">
        <f t="shared" si="9"/>
        <v>12566692.98</v>
      </c>
      <c r="DI10" s="60">
        <f>+'WPB-2.1.E Intangibles'!M17</f>
        <v>12791</v>
      </c>
      <c r="DJ10" s="60">
        <f>-'WPB-2.1.E Intangibles'!M35</f>
        <v>-11181.699999999999</v>
      </c>
      <c r="DK10" s="60">
        <v>0</v>
      </c>
      <c r="DL10" s="59">
        <f t="shared" si="10"/>
        <v>12568302.280000001</v>
      </c>
      <c r="DM10" s="59">
        <f t="shared" si="11"/>
        <v>12568302.280000001</v>
      </c>
      <c r="DN10" s="60">
        <f>+'WPB-2.1.E Intangibles'!N17</f>
        <v>197898</v>
      </c>
      <c r="DO10" s="60">
        <f>-'WPB-2.1.E Intangibles'!N35</f>
        <v>-40480.840000000004</v>
      </c>
      <c r="DP10" s="60">
        <v>0</v>
      </c>
      <c r="DQ10" s="59">
        <f t="shared" si="12"/>
        <v>12725719.440000001</v>
      </c>
      <c r="DR10" s="59">
        <f t="shared" si="13"/>
        <v>12725719.440000001</v>
      </c>
      <c r="DS10" s="60">
        <f>+'WPB-2.1.E Intangibles'!O17</f>
        <v>730728</v>
      </c>
      <c r="DT10" s="60">
        <f>-'WPB-2.1.E Intangibles'!O35</f>
        <v>-328263.83999999997</v>
      </c>
      <c r="DU10" s="60">
        <v>0</v>
      </c>
      <c r="DV10" s="59">
        <f t="shared" si="14"/>
        <v>13128183.600000001</v>
      </c>
      <c r="DW10" s="59">
        <f t="shared" si="15"/>
        <v>13128183.600000001</v>
      </c>
      <c r="DX10" s="60">
        <f>+'WPB-2.1.E Intangibles'!P17</f>
        <v>721090</v>
      </c>
      <c r="DY10" s="60">
        <f>-'WPB-2.1.E Intangibles'!P35</f>
        <v>-149532.32</v>
      </c>
      <c r="DZ10" s="60">
        <v>0</v>
      </c>
      <c r="EA10" s="59">
        <f t="shared" si="16"/>
        <v>13699741.280000001</v>
      </c>
      <c r="EB10" s="59">
        <f t="shared" si="17"/>
        <v>13699741.280000001</v>
      </c>
      <c r="EC10" s="60">
        <f>+'WPB-2.1.E Intangibles'!E26</f>
        <v>301851.670705</v>
      </c>
      <c r="ED10" s="60">
        <f>-'WPB-2.1.E Intangibles'!E41</f>
        <v>-270166.99000000005</v>
      </c>
      <c r="EE10" s="60">
        <v>0</v>
      </c>
      <c r="EF10" s="59">
        <f t="shared" si="18"/>
        <v>13731425.960705001</v>
      </c>
      <c r="EG10" s="59">
        <f t="shared" si="19"/>
        <v>13731425.960705001</v>
      </c>
      <c r="EH10" s="60">
        <f>+'WPB-2.1.E Intangibles'!F26</f>
        <v>99476</v>
      </c>
      <c r="EI10" s="60">
        <f>-'WPB-2.1.E Intangibles'!F41</f>
        <v>-35698.9</v>
      </c>
      <c r="EJ10" s="60">
        <v>0</v>
      </c>
      <c r="EK10" s="59">
        <f t="shared" si="20"/>
        <v>13795203.060705001</v>
      </c>
      <c r="EL10" s="59">
        <f t="shared" si="21"/>
        <v>13795203.060705001</v>
      </c>
      <c r="EM10" s="60">
        <f>+'WPB-2.1.E Intangibles'!G26</f>
        <v>138481</v>
      </c>
      <c r="EN10" s="60">
        <f>-'WPB-2.1.E Intangibles'!G41</f>
        <v>-84261.430000000022</v>
      </c>
      <c r="EO10" s="60">
        <v>0</v>
      </c>
      <c r="EP10" s="59">
        <f t="shared" si="22"/>
        <v>13849422.630705001</v>
      </c>
      <c r="EQ10" s="59">
        <f t="shared" si="23"/>
        <v>13849422.630705001</v>
      </c>
      <c r="ER10" s="60">
        <f>+'WPB-2.1.E Intangibles'!H26</f>
        <v>2276545.4219440091</v>
      </c>
      <c r="ES10" s="60">
        <f>-'WPB-2.1.E Intangibles'!H41</f>
        <v>-16342.539999999999</v>
      </c>
      <c r="ET10" s="60">
        <v>0</v>
      </c>
      <c r="EU10" s="59">
        <f t="shared" si="24"/>
        <v>16109625.512649011</v>
      </c>
      <c r="EV10" s="59">
        <f t="shared" si="25"/>
        <v>16109625.512649011</v>
      </c>
      <c r="EW10" s="60">
        <f>+'WPB-2.1.E Intangibles'!I26</f>
        <v>109475.18275000001</v>
      </c>
      <c r="EX10" s="60">
        <f>-'WPB-2.1.E Intangibles'!I41</f>
        <v>-211510.36000000002</v>
      </c>
      <c r="EY10" s="60">
        <v>0</v>
      </c>
      <c r="EZ10" s="59">
        <f t="shared" si="26"/>
        <v>16007590.335399011</v>
      </c>
      <c r="FA10" s="59">
        <f t="shared" si="27"/>
        <v>16007590.335399011</v>
      </c>
      <c r="FB10" s="60">
        <f>+'WPB-2.1.E Intangibles'!J26</f>
        <v>1169581.6156500001</v>
      </c>
      <c r="FC10" s="60">
        <f>-'WPB-2.1.E Intangibles'!J41</f>
        <v>-48469.320000000007</v>
      </c>
      <c r="FD10" s="60">
        <v>0</v>
      </c>
      <c r="FE10" s="59">
        <f t="shared" si="28"/>
        <v>17128702.631049011</v>
      </c>
      <c r="FF10" s="59">
        <f t="shared" si="29"/>
        <v>17128702.631049011</v>
      </c>
      <c r="FG10" s="60">
        <f>+'WPB-2.1.E Intangibles'!K26</f>
        <v>308137.34090000001</v>
      </c>
      <c r="FH10" s="60">
        <f>-'WPB-2.1.E Intangibles'!K41</f>
        <v>-110228.52999999998</v>
      </c>
      <c r="FI10" s="60">
        <v>0</v>
      </c>
      <c r="FJ10" s="59">
        <f t="shared" si="30"/>
        <v>17326611.44194901</v>
      </c>
      <c r="FK10" s="59">
        <f t="shared" si="31"/>
        <v>17326611.44194901</v>
      </c>
      <c r="FL10" s="60">
        <f>+'WPB-2.1.E Intangibles'!L26</f>
        <v>130651.3409</v>
      </c>
      <c r="FM10" s="60">
        <f>-'WPB-2.1.E Intangibles'!L41</f>
        <v>-54486.85</v>
      </c>
      <c r="FN10" s="60">
        <v>0</v>
      </c>
      <c r="FO10" s="59">
        <f t="shared" si="32"/>
        <v>17402775.932849009</v>
      </c>
      <c r="FP10" s="59">
        <f t="shared" si="33"/>
        <v>17402775.932849009</v>
      </c>
      <c r="FQ10" s="60">
        <f>+'WPB-2.1.E Intangibles'!M26</f>
        <v>33203.340899999996</v>
      </c>
      <c r="FR10" s="60">
        <f>-'WPB-2.1.E Intangibles'!M41</f>
        <v>-144955.91</v>
      </c>
      <c r="FS10" s="60">
        <v>0</v>
      </c>
      <c r="FT10" s="59">
        <f t="shared" si="34"/>
        <v>17291023.363749009</v>
      </c>
      <c r="FU10" s="59">
        <f t="shared" si="35"/>
        <v>17291023.363749009</v>
      </c>
      <c r="FV10" s="60">
        <f>+'WPB-2.1.E Intangibles'!N26</f>
        <v>177056.34090000001</v>
      </c>
      <c r="FW10" s="60">
        <f>-'WPB-2.1.E Intangibles'!N41</f>
        <v>-33306.92</v>
      </c>
      <c r="FX10" s="60">
        <v>0</v>
      </c>
      <c r="FY10" s="59">
        <f t="shared" si="36"/>
        <v>17434772.784649007</v>
      </c>
      <c r="FZ10" s="59">
        <f t="shared" si="37"/>
        <v>17434772.784649007</v>
      </c>
      <c r="GA10" s="60">
        <f>+'WPB-2.1.E Intangibles'!O26</f>
        <v>567873</v>
      </c>
      <c r="GB10" s="60">
        <f>-'WPB-2.1.E Intangibles'!O41</f>
        <v>-42616.780000000006</v>
      </c>
      <c r="GC10" s="60">
        <v>0</v>
      </c>
      <c r="GD10" s="59">
        <f t="shared" si="38"/>
        <v>17960029.004649006</v>
      </c>
      <c r="GE10" s="59">
        <f t="shared" si="39"/>
        <v>17960029.004649006</v>
      </c>
      <c r="GF10" s="60">
        <f>+'WPB-2.1.E Intangibles'!P26</f>
        <v>190053</v>
      </c>
      <c r="GG10" s="60">
        <f>-'WPB-2.1.E Intangibles'!P41</f>
        <v>-116937.47</v>
      </c>
      <c r="GH10" s="60">
        <v>0</v>
      </c>
      <c r="GI10" s="59">
        <f t="shared" si="40"/>
        <v>18033144.534649007</v>
      </c>
      <c r="GJ10" s="59"/>
    </row>
    <row r="11" spans="1:282">
      <c r="B11" s="58">
        <v>303.99</v>
      </c>
      <c r="C11" s="57" t="s">
        <v>1129</v>
      </c>
      <c r="D11" s="59">
        <v>1804218.1600000001</v>
      </c>
      <c r="E11" s="59">
        <v>1804218.1600000001</v>
      </c>
      <c r="F11" s="59">
        <v>5760.57</v>
      </c>
      <c r="G11" s="59">
        <v>0</v>
      </c>
      <c r="H11" s="59">
        <v>0</v>
      </c>
      <c r="I11" s="59">
        <v>1809978.73</v>
      </c>
      <c r="J11" s="59">
        <v>1809978.73</v>
      </c>
      <c r="K11" s="59">
        <v>30874.05</v>
      </c>
      <c r="L11" s="59">
        <v>0</v>
      </c>
      <c r="M11" s="59">
        <v>0</v>
      </c>
      <c r="N11" s="59">
        <v>1840852.78</v>
      </c>
      <c r="O11" s="59">
        <v>1840852.78</v>
      </c>
      <c r="P11" s="59">
        <v>42472.65</v>
      </c>
      <c r="Q11" s="59">
        <v>0</v>
      </c>
      <c r="R11" s="59">
        <v>0</v>
      </c>
      <c r="S11" s="59">
        <v>1883325.4300000002</v>
      </c>
      <c r="T11" s="59">
        <v>1883325.4300000002</v>
      </c>
      <c r="U11" s="59">
        <v>-726.27</v>
      </c>
      <c r="V11" s="59">
        <v>0</v>
      </c>
      <c r="W11" s="59">
        <v>0</v>
      </c>
      <c r="X11" s="59">
        <v>1882599.1600000001</v>
      </c>
      <c r="Y11" s="59">
        <v>1882599.1600000001</v>
      </c>
      <c r="Z11" s="59">
        <v>-527.27</v>
      </c>
      <c r="AA11" s="59">
        <v>0</v>
      </c>
      <c r="AB11" s="59">
        <v>0</v>
      </c>
      <c r="AC11" s="59">
        <v>1882071.8900000001</v>
      </c>
      <c r="AD11" s="59">
        <v>1882071.8900000001</v>
      </c>
      <c r="AE11" s="59">
        <v>59.81</v>
      </c>
      <c r="AF11" s="59">
        <v>0</v>
      </c>
      <c r="AG11" s="59">
        <v>0</v>
      </c>
      <c r="AH11" s="59">
        <v>1882131.7000000002</v>
      </c>
      <c r="AI11" s="59">
        <v>1882131.7000000002</v>
      </c>
      <c r="AJ11" s="59">
        <v>11246.94</v>
      </c>
      <c r="AK11" s="59">
        <v>0</v>
      </c>
      <c r="AL11" s="59">
        <v>0</v>
      </c>
      <c r="AM11" s="59">
        <v>1893378.6400000001</v>
      </c>
      <c r="AN11" s="59">
        <v>1893378.6400000001</v>
      </c>
      <c r="AO11" s="59">
        <v>63187.07</v>
      </c>
      <c r="AP11" s="59">
        <v>0</v>
      </c>
      <c r="AQ11" s="59">
        <v>0</v>
      </c>
      <c r="AR11" s="59">
        <v>1956565.71</v>
      </c>
      <c r="AS11" s="59">
        <v>1956565.71</v>
      </c>
      <c r="AT11" s="59">
        <v>913.93000000000006</v>
      </c>
      <c r="AU11" s="59">
        <v>-23961.41</v>
      </c>
      <c r="AV11" s="59">
        <v>0</v>
      </c>
      <c r="AW11" s="59">
        <v>1933518.23</v>
      </c>
      <c r="AX11" s="59">
        <v>1933518.23</v>
      </c>
      <c r="AY11" s="59">
        <v>16587.93</v>
      </c>
      <c r="AZ11" s="59">
        <v>0</v>
      </c>
      <c r="BA11" s="59">
        <v>0</v>
      </c>
      <c r="BB11" s="59">
        <v>1950106.1600000001</v>
      </c>
      <c r="BC11" s="59">
        <v>1950106.1600000001</v>
      </c>
      <c r="BD11" s="59">
        <v>33439.410000000003</v>
      </c>
      <c r="BE11" s="59">
        <v>-28243</v>
      </c>
      <c r="BF11" s="59">
        <v>0</v>
      </c>
      <c r="BG11" s="59">
        <v>1955302.57</v>
      </c>
      <c r="BH11" s="59">
        <v>1955302.57</v>
      </c>
      <c r="BI11" s="59">
        <v>104723.39</v>
      </c>
      <c r="BJ11" s="59">
        <v>0</v>
      </c>
      <c r="BK11" s="59">
        <v>0</v>
      </c>
      <c r="BL11" s="59">
        <v>2060025.96</v>
      </c>
      <c r="BM11" s="59">
        <f t="shared" si="41"/>
        <v>2060025.96</v>
      </c>
      <c r="BN11" s="59">
        <f>+'WPB-2.1.E Intangibles'!E21</f>
        <v>30384.3</v>
      </c>
      <c r="BO11" s="59">
        <f>-'WPB-2.1.E Intangibles'!E36</f>
        <v>-30037.06</v>
      </c>
      <c r="BP11" s="59">
        <v>0</v>
      </c>
      <c r="BQ11" s="59">
        <f t="shared" si="42"/>
        <v>2060373.2</v>
      </c>
      <c r="BR11" s="59">
        <f t="shared" si="43"/>
        <v>2060373.2</v>
      </c>
      <c r="BS11" s="59">
        <f>+'WPB-2.1.E Intangibles'!F21</f>
        <v>3396.66</v>
      </c>
      <c r="BT11" s="59">
        <f>-'WPB-2.1.E Intangibles'!F36</f>
        <v>-16750.91</v>
      </c>
      <c r="BU11" s="59">
        <v>0</v>
      </c>
      <c r="BV11" s="59">
        <f t="shared" si="44"/>
        <v>2047018.95</v>
      </c>
      <c r="BW11" s="59">
        <f t="shared" si="45"/>
        <v>2047018.95</v>
      </c>
      <c r="BX11" s="59">
        <v>-7859.7</v>
      </c>
      <c r="BY11" s="59">
        <v>0</v>
      </c>
      <c r="BZ11" s="59">
        <v>0</v>
      </c>
      <c r="CA11" s="59">
        <f t="shared" si="46"/>
        <v>2039159.25</v>
      </c>
      <c r="CD11" s="59">
        <f t="shared" si="47"/>
        <v>2047018.95</v>
      </c>
      <c r="CE11" s="60">
        <f>+'WPB-2.1.E Intangibles'!G21</f>
        <v>10618.257945117266</v>
      </c>
      <c r="CF11" s="60">
        <f>-'WPB-2.1.E Intangibles'!G36</f>
        <v>0</v>
      </c>
      <c r="CG11" s="60">
        <v>0</v>
      </c>
      <c r="CH11" s="59">
        <f t="shared" si="0"/>
        <v>2057637.2079451173</v>
      </c>
      <c r="CI11" s="59">
        <f t="shared" si="48"/>
        <v>2057637.2079451173</v>
      </c>
      <c r="CJ11" s="60">
        <f>+'WPB-2.1.E Intangibles'!H21</f>
        <v>4906.1673746638562</v>
      </c>
      <c r="CK11" s="60">
        <f>-'WPB-2.1.E Intangibles'!H36</f>
        <v>0</v>
      </c>
      <c r="CL11" s="60">
        <v>0</v>
      </c>
      <c r="CM11" s="59">
        <f t="shared" si="1"/>
        <v>2062543.375319781</v>
      </c>
      <c r="CN11" s="59">
        <f t="shared" si="49"/>
        <v>2062543.375319781</v>
      </c>
      <c r="CO11" s="60">
        <f>+'WPB-2.1.E Intangibles'!I21</f>
        <v>6258.0188111107018</v>
      </c>
      <c r="CP11" s="60">
        <f>-'WPB-2.1.E Intangibles'!I36</f>
        <v>-86.21</v>
      </c>
      <c r="CQ11" s="60">
        <v>0</v>
      </c>
      <c r="CR11" s="59">
        <f t="shared" si="2"/>
        <v>2068715.1841308917</v>
      </c>
      <c r="CS11" s="59">
        <f t="shared" si="3"/>
        <v>2068715.1841308917</v>
      </c>
      <c r="CT11" s="60">
        <f>+'WPB-2.1.E Intangibles'!J21</f>
        <v>51358.467174310499</v>
      </c>
      <c r="CU11" s="60">
        <f>-'WPB-2.1.E Intangibles'!J36</f>
        <v>-14359.44</v>
      </c>
      <c r="CV11" s="60">
        <v>0</v>
      </c>
      <c r="CW11" s="59">
        <f t="shared" si="4"/>
        <v>2105714.2113052025</v>
      </c>
      <c r="CX11" s="59">
        <f t="shared" si="5"/>
        <v>2105714.2113052025</v>
      </c>
      <c r="CY11" s="60">
        <f>+'WPB-2.1.E Intangibles'!K21</f>
        <v>5415.6353020317774</v>
      </c>
      <c r="CZ11" s="60">
        <f>-'WPB-2.1.E Intangibles'!K36</f>
        <v>-27374.639999999999</v>
      </c>
      <c r="DA11" s="60">
        <v>0</v>
      </c>
      <c r="DB11" s="59">
        <f t="shared" si="6"/>
        <v>2083755.2066072344</v>
      </c>
      <c r="DC11" s="59">
        <f t="shared" si="7"/>
        <v>2083755.2066072344</v>
      </c>
      <c r="DD11" s="60">
        <f>+'WPB-2.1.E Intangibles'!L21</f>
        <v>10835.120203137652</v>
      </c>
      <c r="DE11" s="60">
        <f>-'WPB-2.1.E Intangibles'!L36</f>
        <v>0</v>
      </c>
      <c r="DF11" s="60">
        <v>0</v>
      </c>
      <c r="DG11" s="59">
        <f t="shared" si="8"/>
        <v>2094590.3268103721</v>
      </c>
      <c r="DH11" s="59">
        <f t="shared" si="9"/>
        <v>2094590.3268103721</v>
      </c>
      <c r="DI11" s="60">
        <f>+'WPB-2.1.E Intangibles'!M21</f>
        <v>1002.965519295847</v>
      </c>
      <c r="DJ11" s="60">
        <f>-'WPB-2.1.E Intangibles'!M36</f>
        <v>0</v>
      </c>
      <c r="DK11" s="60">
        <v>0</v>
      </c>
      <c r="DL11" s="59">
        <f t="shared" si="10"/>
        <v>2095593.2923296678</v>
      </c>
      <c r="DM11" s="59">
        <f t="shared" si="11"/>
        <v>2095593.2923296678</v>
      </c>
      <c r="DN11" s="60">
        <f>+'WPB-2.1.E Intangibles'!N21</f>
        <v>15517.312203905918</v>
      </c>
      <c r="DO11" s="60">
        <f>-'WPB-2.1.E Intangibles'!N36</f>
        <v>-79.48</v>
      </c>
      <c r="DP11" s="60">
        <v>0</v>
      </c>
      <c r="DQ11" s="59">
        <f t="shared" si="12"/>
        <v>2111031.1245335736</v>
      </c>
      <c r="DR11" s="59">
        <f t="shared" si="13"/>
        <v>2111031.1245335736</v>
      </c>
      <c r="DS11" s="60">
        <f>+'WPB-2.1.E Intangibles'!O21</f>
        <v>57296.850432090447</v>
      </c>
      <c r="DT11" s="60">
        <f>-'WPB-2.1.E Intangibles'!O36</f>
        <v>-161353.98000000001</v>
      </c>
      <c r="DU11" s="60">
        <v>0</v>
      </c>
      <c r="DV11" s="59">
        <f t="shared" si="14"/>
        <v>2006973.9949656641</v>
      </c>
      <c r="DW11" s="59">
        <f t="shared" si="15"/>
        <v>2006973.9949656641</v>
      </c>
      <c r="DX11" s="60">
        <f>+'WPB-2.1.E Intangibles'!P21</f>
        <v>19175.777584525305</v>
      </c>
      <c r="DY11" s="60">
        <f>-'WPB-2.1.E Intangibles'!P36</f>
        <v>0</v>
      </c>
      <c r="DZ11" s="60">
        <v>0</v>
      </c>
      <c r="EA11" s="59">
        <f t="shared" si="16"/>
        <v>2026149.7725501894</v>
      </c>
      <c r="EB11" s="59">
        <f t="shared" si="17"/>
        <v>2026149.7725501894</v>
      </c>
      <c r="EC11" s="60">
        <f>+'WPB-2.1.E Intangibles'!E30</f>
        <v>159569.19926087369</v>
      </c>
      <c r="ED11" s="60">
        <f>-'WPB-2.1.E Intangibles'!E42</f>
        <v>-23782.54</v>
      </c>
      <c r="EE11" s="60">
        <v>0</v>
      </c>
      <c r="EF11" s="59">
        <f t="shared" si="18"/>
        <v>2161936.4318110631</v>
      </c>
      <c r="EG11" s="59">
        <f t="shared" si="19"/>
        <v>2161936.4318110631</v>
      </c>
      <c r="EH11" s="60">
        <f>+'WPB-2.1.E Intangibles'!F30</f>
        <v>6276.8592533725496</v>
      </c>
      <c r="EI11" s="60">
        <f>-'WPB-2.1.E Intangibles'!F42</f>
        <v>-53945.760000000002</v>
      </c>
      <c r="EJ11" s="60">
        <v>0</v>
      </c>
      <c r="EK11" s="59">
        <f t="shared" si="20"/>
        <v>2114267.5310644358</v>
      </c>
      <c r="EL11" s="59">
        <f t="shared" si="21"/>
        <v>2114267.5310644358</v>
      </c>
      <c r="EM11" s="60">
        <f>+'WPB-2.1.E Intangibles'!G30</f>
        <v>8738.1004285808722</v>
      </c>
      <c r="EN11" s="60">
        <f>-'WPB-2.1.E Intangibles'!G42</f>
        <v>0</v>
      </c>
      <c r="EO11" s="60">
        <v>0</v>
      </c>
      <c r="EP11" s="59">
        <f t="shared" si="22"/>
        <v>2123005.6314930166</v>
      </c>
      <c r="EQ11" s="59">
        <f t="shared" si="23"/>
        <v>2123005.6314930166</v>
      </c>
      <c r="ER11" s="60">
        <f>+'WPB-2.1.E Intangibles'!H30</f>
        <v>2091855.5652282711</v>
      </c>
      <c r="ES11" s="60">
        <f>-'WPB-2.1.E Intangibles'!H42</f>
        <v>-8519.7799999999988</v>
      </c>
      <c r="ET11" s="60">
        <v>0</v>
      </c>
      <c r="EU11" s="59">
        <f t="shared" si="24"/>
        <v>4206341.4167212872</v>
      </c>
      <c r="EV11" s="59">
        <f t="shared" si="25"/>
        <v>4206341.4167212872</v>
      </c>
      <c r="EW11" s="60">
        <f>+'WPB-2.1.E Intangibles'!I30</f>
        <v>106742.14140589688</v>
      </c>
      <c r="EX11" s="60">
        <f>-'WPB-2.1.E Intangibles'!I42</f>
        <v>-7455.12</v>
      </c>
      <c r="EY11" s="60">
        <v>0</v>
      </c>
      <c r="EZ11" s="59">
        <f t="shared" si="26"/>
        <v>4305628.4381271843</v>
      </c>
      <c r="FA11" s="59">
        <f t="shared" si="27"/>
        <v>4305628.4381271843</v>
      </c>
      <c r="FB11" s="60">
        <f>+'WPB-2.1.E Intangibles'!J30</f>
        <v>17690.72153699537</v>
      </c>
      <c r="FC11" s="60">
        <f>-'WPB-2.1.E Intangibles'!J42</f>
        <v>0</v>
      </c>
      <c r="FD11" s="60">
        <v>0</v>
      </c>
      <c r="FE11" s="59">
        <f t="shared" si="28"/>
        <v>4323319.1596641792</v>
      </c>
      <c r="FF11" s="59">
        <f t="shared" si="29"/>
        <v>4323319.1596641792</v>
      </c>
      <c r="FG11" s="60">
        <f>+'WPB-2.1.E Intangibles'!K30</f>
        <v>5474.0554032724558</v>
      </c>
      <c r="FH11" s="60">
        <f>-'WPB-2.1.E Intangibles'!K42</f>
        <v>-9526.1</v>
      </c>
      <c r="FI11" s="60">
        <v>0</v>
      </c>
      <c r="FJ11" s="59">
        <f t="shared" si="30"/>
        <v>4319267.1150674522</v>
      </c>
      <c r="FK11" s="59">
        <f t="shared" si="31"/>
        <v>4319267.1150674522</v>
      </c>
      <c r="FL11" s="60">
        <f>+'WPB-2.1.E Intangibles'!L30</f>
        <v>8912.1258152824539</v>
      </c>
      <c r="FM11" s="60">
        <f>-'WPB-2.1.E Intangibles'!L42</f>
        <v>-32787.81</v>
      </c>
      <c r="FN11" s="60">
        <v>0</v>
      </c>
      <c r="FO11" s="59">
        <f t="shared" si="32"/>
        <v>4295391.4308827352</v>
      </c>
      <c r="FP11" s="59">
        <f t="shared" si="33"/>
        <v>4295391.4308827352</v>
      </c>
      <c r="FQ11" s="60">
        <f>+'WPB-2.1.E Intangibles'!M30</f>
        <v>2693.3637671437286</v>
      </c>
      <c r="FR11" s="60">
        <f>-'WPB-2.1.E Intangibles'!M42</f>
        <v>0</v>
      </c>
      <c r="FS11" s="60">
        <v>0</v>
      </c>
      <c r="FT11" s="59">
        <f t="shared" si="34"/>
        <v>4298084.7946498785</v>
      </c>
      <c r="FU11" s="59">
        <f t="shared" si="35"/>
        <v>4298084.7946498785</v>
      </c>
      <c r="FV11" s="60">
        <f>+'WPB-2.1.E Intangibles'!N30</f>
        <v>268820.70556914032</v>
      </c>
      <c r="FW11" s="60">
        <f>-'WPB-2.1.E Intangibles'!N42</f>
        <v>-7246.56</v>
      </c>
      <c r="FX11" s="60">
        <v>0</v>
      </c>
      <c r="FY11" s="59">
        <f t="shared" si="36"/>
        <v>4559658.9402190195</v>
      </c>
      <c r="FZ11" s="59">
        <f t="shared" si="37"/>
        <v>4559658.9402190195</v>
      </c>
      <c r="GA11" s="60">
        <f>+'WPB-2.1.E Intangibles'!O30</f>
        <v>35832.549439146882</v>
      </c>
      <c r="GB11" s="60">
        <f>-'WPB-2.1.E Intangibles'!O42</f>
        <v>0</v>
      </c>
      <c r="GC11" s="60">
        <v>0</v>
      </c>
      <c r="GD11" s="59">
        <f t="shared" si="38"/>
        <v>4595491.4896581667</v>
      </c>
      <c r="GE11" s="59">
        <f t="shared" si="39"/>
        <v>4595491.4896581667</v>
      </c>
      <c r="GF11" s="60">
        <f>+'WPB-2.1.E Intangibles'!P30</f>
        <v>11992.229819786944</v>
      </c>
      <c r="GG11" s="60">
        <f>-'WPB-2.1.E Intangibles'!P42</f>
        <v>-4442.0200000000004</v>
      </c>
      <c r="GH11" s="60">
        <v>0</v>
      </c>
      <c r="GI11" s="59">
        <f t="shared" si="40"/>
        <v>4603041.6994779538</v>
      </c>
      <c r="GJ11" s="59"/>
    </row>
    <row r="12" spans="1:282" s="41" customFormat="1">
      <c r="A12" s="61" t="s">
        <v>1681</v>
      </c>
      <c r="B12" s="62"/>
      <c r="C12" s="61"/>
      <c r="D12" s="63">
        <f>SUM(D6:D11)</f>
        <v>12501311.310000001</v>
      </c>
      <c r="E12" s="63">
        <f>SUM(E6:E11)</f>
        <v>12501311.310000001</v>
      </c>
      <c r="F12" s="63">
        <f t="shared" ref="F12:BQ12" si="50">SUM(F6:F11)</f>
        <v>96039.22</v>
      </c>
      <c r="G12" s="63">
        <f t="shared" si="50"/>
        <v>-141156.24</v>
      </c>
      <c r="H12" s="63">
        <f t="shared" si="50"/>
        <v>0</v>
      </c>
      <c r="I12" s="63">
        <f t="shared" si="50"/>
        <v>12456194.290000001</v>
      </c>
      <c r="J12" s="63">
        <f t="shared" si="50"/>
        <v>12456194.290000001</v>
      </c>
      <c r="K12" s="63">
        <f t="shared" si="50"/>
        <v>967681.97000000009</v>
      </c>
      <c r="L12" s="63">
        <f t="shared" si="50"/>
        <v>-44206.97</v>
      </c>
      <c r="M12" s="63">
        <f t="shared" si="50"/>
        <v>0</v>
      </c>
      <c r="N12" s="63">
        <f t="shared" si="50"/>
        <v>13379669.289999999</v>
      </c>
      <c r="O12" s="63">
        <f t="shared" si="50"/>
        <v>13379669.289999999</v>
      </c>
      <c r="P12" s="63">
        <f t="shared" si="50"/>
        <v>47748.14</v>
      </c>
      <c r="Q12" s="63">
        <f t="shared" si="50"/>
        <v>-23227.89</v>
      </c>
      <c r="R12" s="63">
        <f t="shared" si="50"/>
        <v>0</v>
      </c>
      <c r="S12" s="63">
        <f t="shared" si="50"/>
        <v>13404189.540000001</v>
      </c>
      <c r="T12" s="63">
        <f t="shared" si="50"/>
        <v>13404189.540000001</v>
      </c>
      <c r="U12" s="63">
        <f t="shared" si="50"/>
        <v>100608.37</v>
      </c>
      <c r="V12" s="63">
        <f t="shared" si="50"/>
        <v>-11622.77</v>
      </c>
      <c r="W12" s="63">
        <f t="shared" si="50"/>
        <v>0</v>
      </c>
      <c r="X12" s="63">
        <f t="shared" si="50"/>
        <v>13493175.140000001</v>
      </c>
      <c r="Y12" s="63">
        <f t="shared" si="50"/>
        <v>13493175.140000001</v>
      </c>
      <c r="Z12" s="63">
        <f t="shared" si="50"/>
        <v>562284.69999999995</v>
      </c>
      <c r="AA12" s="63">
        <f t="shared" si="50"/>
        <v>0</v>
      </c>
      <c r="AB12" s="63">
        <f t="shared" si="50"/>
        <v>0</v>
      </c>
      <c r="AC12" s="63">
        <f t="shared" si="50"/>
        <v>14055459.840000002</v>
      </c>
      <c r="AD12" s="63">
        <f t="shared" si="50"/>
        <v>14055459.840000002</v>
      </c>
      <c r="AE12" s="63">
        <f t="shared" si="50"/>
        <v>46932.95</v>
      </c>
      <c r="AF12" s="63">
        <f t="shared" si="50"/>
        <v>0</v>
      </c>
      <c r="AG12" s="63">
        <f t="shared" si="50"/>
        <v>0</v>
      </c>
      <c r="AH12" s="63">
        <f t="shared" si="50"/>
        <v>14102392.790000003</v>
      </c>
      <c r="AI12" s="63">
        <f t="shared" si="50"/>
        <v>14102392.790000003</v>
      </c>
      <c r="AJ12" s="63">
        <f t="shared" si="50"/>
        <v>66965.850000000006</v>
      </c>
      <c r="AK12" s="63">
        <f t="shared" si="50"/>
        <v>0</v>
      </c>
      <c r="AL12" s="63">
        <f t="shared" si="50"/>
        <v>0</v>
      </c>
      <c r="AM12" s="63">
        <f t="shared" si="50"/>
        <v>14169358.640000001</v>
      </c>
      <c r="AN12" s="63">
        <f t="shared" si="50"/>
        <v>14169358.640000001</v>
      </c>
      <c r="AO12" s="63">
        <f t="shared" si="50"/>
        <v>462233.58</v>
      </c>
      <c r="AP12" s="63">
        <f t="shared" si="50"/>
        <v>0</v>
      </c>
      <c r="AQ12" s="63">
        <f t="shared" si="50"/>
        <v>0</v>
      </c>
      <c r="AR12" s="63">
        <f t="shared" si="50"/>
        <v>14631592.220000003</v>
      </c>
      <c r="AS12" s="63">
        <f t="shared" si="50"/>
        <v>14631592.220000003</v>
      </c>
      <c r="AT12" s="63">
        <f t="shared" si="50"/>
        <v>83928.83</v>
      </c>
      <c r="AU12" s="63">
        <f t="shared" si="50"/>
        <v>-48304.3</v>
      </c>
      <c r="AV12" s="63">
        <f t="shared" si="50"/>
        <v>0</v>
      </c>
      <c r="AW12" s="63">
        <f t="shared" si="50"/>
        <v>14667216.750000002</v>
      </c>
      <c r="AX12" s="63">
        <f t="shared" si="50"/>
        <v>14667216.750000002</v>
      </c>
      <c r="AY12" s="63">
        <f t="shared" si="50"/>
        <v>48609.229999999996</v>
      </c>
      <c r="AZ12" s="63">
        <f t="shared" si="50"/>
        <v>-54209.98</v>
      </c>
      <c r="BA12" s="63">
        <f t="shared" si="50"/>
        <v>0</v>
      </c>
      <c r="BB12" s="63">
        <f t="shared" si="50"/>
        <v>14661616.000000002</v>
      </c>
      <c r="BC12" s="63">
        <f t="shared" si="50"/>
        <v>14661616.000000002</v>
      </c>
      <c r="BD12" s="63">
        <f t="shared" si="50"/>
        <v>195498.16</v>
      </c>
      <c r="BE12" s="63">
        <f t="shared" si="50"/>
        <v>-95397.51</v>
      </c>
      <c r="BF12" s="63">
        <f t="shared" si="50"/>
        <v>0</v>
      </c>
      <c r="BG12" s="63">
        <f t="shared" si="50"/>
        <v>14761716.65</v>
      </c>
      <c r="BH12" s="63">
        <f t="shared" si="50"/>
        <v>14761716.65</v>
      </c>
      <c r="BI12" s="63">
        <f t="shared" si="50"/>
        <v>604431.04</v>
      </c>
      <c r="BJ12" s="63">
        <f t="shared" si="50"/>
        <v>-105701.91</v>
      </c>
      <c r="BK12" s="63">
        <f t="shared" si="50"/>
        <v>0</v>
      </c>
      <c r="BL12" s="63">
        <f t="shared" si="50"/>
        <v>15260445.780000001</v>
      </c>
      <c r="BM12" s="63">
        <f t="shared" si="50"/>
        <v>15260445.780000001</v>
      </c>
      <c r="BN12" s="63">
        <f t="shared" si="50"/>
        <v>70609.78</v>
      </c>
      <c r="BO12" s="63">
        <f t="shared" si="50"/>
        <v>-395441.58999999997</v>
      </c>
      <c r="BP12" s="63">
        <f t="shared" si="50"/>
        <v>0</v>
      </c>
      <c r="BQ12" s="63">
        <f t="shared" si="50"/>
        <v>14935613.970000001</v>
      </c>
      <c r="BR12" s="63">
        <f t="shared" ref="BR12:CA12" si="51">SUM(BR6:BR11)</f>
        <v>14935613.970000001</v>
      </c>
      <c r="BS12" s="63">
        <f t="shared" si="51"/>
        <v>45825.94</v>
      </c>
      <c r="BT12" s="63">
        <f t="shared" si="51"/>
        <v>-34181.769999999997</v>
      </c>
      <c r="BU12" s="63">
        <f t="shared" si="51"/>
        <v>0</v>
      </c>
      <c r="BV12" s="63">
        <f t="shared" si="51"/>
        <v>14947258.140000001</v>
      </c>
      <c r="BW12" s="63">
        <f t="shared" si="51"/>
        <v>14947258.140000001</v>
      </c>
      <c r="BX12" s="63">
        <f t="shared" si="51"/>
        <v>774065.76</v>
      </c>
      <c r="BY12" s="63">
        <f t="shared" si="51"/>
        <v>-13451.32</v>
      </c>
      <c r="BZ12" s="63">
        <f t="shared" si="51"/>
        <v>0</v>
      </c>
      <c r="CA12" s="63">
        <f t="shared" si="51"/>
        <v>15707872.580000002</v>
      </c>
      <c r="CD12" s="63">
        <f t="shared" ref="CD12:DI12" si="52">SUM(CD6:CD11)</f>
        <v>14947258.140000001</v>
      </c>
      <c r="CE12" s="63">
        <f t="shared" si="52"/>
        <v>136861.49794511727</v>
      </c>
      <c r="CF12" s="63">
        <f t="shared" si="52"/>
        <v>-4260.66</v>
      </c>
      <c r="CG12" s="63">
        <f t="shared" si="52"/>
        <v>0</v>
      </c>
      <c r="CH12" s="63">
        <f t="shared" si="52"/>
        <v>15079858.977945119</v>
      </c>
      <c r="CI12" s="63">
        <f t="shared" si="52"/>
        <v>15079858.977945119</v>
      </c>
      <c r="CJ12" s="63">
        <f t="shared" si="52"/>
        <v>188983.16737466387</v>
      </c>
      <c r="CK12" s="63">
        <f t="shared" si="52"/>
        <v>-1759024.9</v>
      </c>
      <c r="CL12" s="63">
        <f t="shared" si="52"/>
        <v>0</v>
      </c>
      <c r="CM12" s="63">
        <f t="shared" si="52"/>
        <v>13509817.245319782</v>
      </c>
      <c r="CN12" s="63">
        <f t="shared" si="52"/>
        <v>13509817.245319782</v>
      </c>
      <c r="CO12" s="63">
        <f t="shared" si="52"/>
        <v>86069.018811110698</v>
      </c>
      <c r="CP12" s="63">
        <f t="shared" si="52"/>
        <v>-29373.449999999997</v>
      </c>
      <c r="CQ12" s="63">
        <f t="shared" si="52"/>
        <v>0</v>
      </c>
      <c r="CR12" s="63">
        <f t="shared" si="52"/>
        <v>13566512.814130893</v>
      </c>
      <c r="CS12" s="63">
        <f t="shared" si="52"/>
        <v>13566512.814130893</v>
      </c>
      <c r="CT12" s="63">
        <f t="shared" si="52"/>
        <v>625608.46717431047</v>
      </c>
      <c r="CU12" s="63">
        <f t="shared" si="52"/>
        <v>-222750.69999999998</v>
      </c>
      <c r="CV12" s="63">
        <f t="shared" si="52"/>
        <v>0</v>
      </c>
      <c r="CW12" s="63">
        <f t="shared" si="52"/>
        <v>13969370.581305204</v>
      </c>
      <c r="CX12" s="63">
        <f t="shared" si="52"/>
        <v>13969370.581305204</v>
      </c>
      <c r="CY12" s="63">
        <f t="shared" si="52"/>
        <v>1094483.6353020319</v>
      </c>
      <c r="CZ12" s="63">
        <f t="shared" si="52"/>
        <v>-412085.7</v>
      </c>
      <c r="DA12" s="63">
        <f t="shared" si="52"/>
        <v>0</v>
      </c>
      <c r="DB12" s="63">
        <f t="shared" si="52"/>
        <v>14651768.516607234</v>
      </c>
      <c r="DC12" s="63">
        <f t="shared" si="52"/>
        <v>14651768.516607234</v>
      </c>
      <c r="DD12" s="63">
        <f t="shared" si="52"/>
        <v>149019.12020313766</v>
      </c>
      <c r="DE12" s="63">
        <f t="shared" si="52"/>
        <v>-42648.62</v>
      </c>
      <c r="DF12" s="63">
        <f t="shared" si="52"/>
        <v>0</v>
      </c>
      <c r="DG12" s="63">
        <f t="shared" si="52"/>
        <v>14758139.016810372</v>
      </c>
      <c r="DH12" s="63">
        <f t="shared" si="52"/>
        <v>14758139.016810372</v>
      </c>
      <c r="DI12" s="63">
        <f t="shared" si="52"/>
        <v>13793.965519295847</v>
      </c>
      <c r="DJ12" s="63">
        <f t="shared" ref="DJ12:EO12" si="53">SUM(DJ6:DJ11)</f>
        <v>-11181.699999999999</v>
      </c>
      <c r="DK12" s="63">
        <f t="shared" si="53"/>
        <v>0</v>
      </c>
      <c r="DL12" s="63">
        <f t="shared" si="53"/>
        <v>14760751.282329669</v>
      </c>
      <c r="DM12" s="63">
        <f t="shared" si="53"/>
        <v>14760751.282329669</v>
      </c>
      <c r="DN12" s="63">
        <f t="shared" si="53"/>
        <v>213415.31220390592</v>
      </c>
      <c r="DO12" s="63">
        <f t="shared" si="53"/>
        <v>-40560.320000000007</v>
      </c>
      <c r="DP12" s="63">
        <f t="shared" si="53"/>
        <v>0</v>
      </c>
      <c r="DQ12" s="63">
        <f t="shared" si="53"/>
        <v>14933606.274533575</v>
      </c>
      <c r="DR12" s="63">
        <f t="shared" si="53"/>
        <v>14933606.274533575</v>
      </c>
      <c r="DS12" s="63">
        <f t="shared" si="53"/>
        <v>788024.85043209046</v>
      </c>
      <c r="DT12" s="63">
        <f t="shared" si="53"/>
        <v>-489617.81999999995</v>
      </c>
      <c r="DU12" s="63">
        <f t="shared" si="53"/>
        <v>0</v>
      </c>
      <c r="DV12" s="63">
        <f t="shared" si="53"/>
        <v>15232013.304965667</v>
      </c>
      <c r="DW12" s="63">
        <f t="shared" si="53"/>
        <v>15232013.304965667</v>
      </c>
      <c r="DX12" s="63">
        <f t="shared" si="53"/>
        <v>740265.77758452529</v>
      </c>
      <c r="DY12" s="63">
        <f t="shared" si="53"/>
        <v>-149532.32</v>
      </c>
      <c r="DZ12" s="63">
        <f t="shared" si="53"/>
        <v>0</v>
      </c>
      <c r="EA12" s="63">
        <f t="shared" si="53"/>
        <v>15822746.762550192</v>
      </c>
      <c r="EB12" s="63">
        <f t="shared" si="53"/>
        <v>15822746.762550192</v>
      </c>
      <c r="EC12" s="63">
        <f t="shared" si="53"/>
        <v>461420.86996587366</v>
      </c>
      <c r="ED12" s="63">
        <f t="shared" si="53"/>
        <v>-293949.53000000003</v>
      </c>
      <c r="EE12" s="63">
        <f t="shared" si="53"/>
        <v>0</v>
      </c>
      <c r="EF12" s="63">
        <f t="shared" si="53"/>
        <v>15990218.102516064</v>
      </c>
      <c r="EG12" s="63">
        <f t="shared" si="53"/>
        <v>15990218.102516064</v>
      </c>
      <c r="EH12" s="63">
        <f t="shared" si="53"/>
        <v>105752.85925337255</v>
      </c>
      <c r="EI12" s="63">
        <f t="shared" si="53"/>
        <v>-89644.66</v>
      </c>
      <c r="EJ12" s="63">
        <f t="shared" si="53"/>
        <v>0</v>
      </c>
      <c r="EK12" s="63">
        <f t="shared" si="53"/>
        <v>16006326.301769437</v>
      </c>
      <c r="EL12" s="63">
        <f t="shared" si="53"/>
        <v>16006326.301769437</v>
      </c>
      <c r="EM12" s="63">
        <f t="shared" si="53"/>
        <v>147219.10042858086</v>
      </c>
      <c r="EN12" s="63">
        <f t="shared" si="53"/>
        <v>-84261.430000000022</v>
      </c>
      <c r="EO12" s="63">
        <f t="shared" si="53"/>
        <v>0</v>
      </c>
      <c r="EP12" s="63">
        <f t="shared" ref="EP12:FU12" si="54">SUM(EP6:EP11)</f>
        <v>16069283.972198019</v>
      </c>
      <c r="EQ12" s="63">
        <f t="shared" si="54"/>
        <v>16069283.972198019</v>
      </c>
      <c r="ER12" s="63">
        <f t="shared" si="54"/>
        <v>4368400.9871722804</v>
      </c>
      <c r="ES12" s="63">
        <f t="shared" si="54"/>
        <v>-24862.32</v>
      </c>
      <c r="ET12" s="63">
        <f t="shared" si="54"/>
        <v>0</v>
      </c>
      <c r="EU12" s="63">
        <f t="shared" si="54"/>
        <v>20412822.6393703</v>
      </c>
      <c r="EV12" s="63">
        <f t="shared" si="54"/>
        <v>20412822.6393703</v>
      </c>
      <c r="EW12" s="63">
        <f t="shared" si="54"/>
        <v>216217.3241558969</v>
      </c>
      <c r="EX12" s="63">
        <f t="shared" si="54"/>
        <v>-218965.48</v>
      </c>
      <c r="EY12" s="63">
        <f t="shared" si="54"/>
        <v>0</v>
      </c>
      <c r="EZ12" s="63">
        <f t="shared" si="54"/>
        <v>20410074.483526196</v>
      </c>
      <c r="FA12" s="63">
        <f t="shared" si="54"/>
        <v>20410074.483526196</v>
      </c>
      <c r="FB12" s="63">
        <f t="shared" si="54"/>
        <v>1187272.3371869954</v>
      </c>
      <c r="FC12" s="63">
        <f t="shared" si="54"/>
        <v>-63656.930000000008</v>
      </c>
      <c r="FD12" s="63">
        <f t="shared" si="54"/>
        <v>0</v>
      </c>
      <c r="FE12" s="63">
        <f t="shared" si="54"/>
        <v>21533689.890713193</v>
      </c>
      <c r="FF12" s="63">
        <f t="shared" si="54"/>
        <v>21533689.890713193</v>
      </c>
      <c r="FG12" s="63">
        <f t="shared" si="54"/>
        <v>313611.39630327246</v>
      </c>
      <c r="FH12" s="63">
        <f t="shared" si="54"/>
        <v>-119754.62999999999</v>
      </c>
      <c r="FI12" s="63">
        <f t="shared" si="54"/>
        <v>0</v>
      </c>
      <c r="FJ12" s="63">
        <f t="shared" si="54"/>
        <v>21727546.657016464</v>
      </c>
      <c r="FK12" s="63">
        <f t="shared" si="54"/>
        <v>21727546.657016464</v>
      </c>
      <c r="FL12" s="63">
        <f t="shared" si="54"/>
        <v>139563.46671528244</v>
      </c>
      <c r="FM12" s="63">
        <f t="shared" si="54"/>
        <v>-87274.66</v>
      </c>
      <c r="FN12" s="63">
        <f t="shared" si="54"/>
        <v>0</v>
      </c>
      <c r="FO12" s="63">
        <f t="shared" si="54"/>
        <v>21779835.463731743</v>
      </c>
      <c r="FP12" s="63">
        <f t="shared" si="54"/>
        <v>21779835.463731743</v>
      </c>
      <c r="FQ12" s="63">
        <f t="shared" si="54"/>
        <v>35896.704667143727</v>
      </c>
      <c r="FR12" s="63">
        <f t="shared" si="54"/>
        <v>-144955.91</v>
      </c>
      <c r="FS12" s="63">
        <f t="shared" si="54"/>
        <v>0</v>
      </c>
      <c r="FT12" s="63">
        <f t="shared" si="54"/>
        <v>21670776.25839889</v>
      </c>
      <c r="FU12" s="63">
        <f t="shared" si="54"/>
        <v>21670776.25839889</v>
      </c>
      <c r="FV12" s="63">
        <f t="shared" ref="FV12:GI12" si="55">SUM(FV6:FV11)</f>
        <v>445877.04646914033</v>
      </c>
      <c r="FW12" s="63">
        <f t="shared" si="55"/>
        <v>-40553.479999999996</v>
      </c>
      <c r="FX12" s="63">
        <f t="shared" si="55"/>
        <v>0</v>
      </c>
      <c r="FY12" s="63">
        <f t="shared" si="55"/>
        <v>22076099.824868027</v>
      </c>
      <c r="FZ12" s="63">
        <f t="shared" si="55"/>
        <v>22076099.824868027</v>
      </c>
      <c r="GA12" s="63">
        <f t="shared" si="55"/>
        <v>603705.54943914688</v>
      </c>
      <c r="GB12" s="63">
        <f t="shared" si="55"/>
        <v>-42616.780000000006</v>
      </c>
      <c r="GC12" s="63">
        <f t="shared" si="55"/>
        <v>0</v>
      </c>
      <c r="GD12" s="63">
        <f t="shared" si="55"/>
        <v>22637188.594307173</v>
      </c>
      <c r="GE12" s="63">
        <f t="shared" si="55"/>
        <v>22637188.594307173</v>
      </c>
      <c r="GF12" s="63">
        <f t="shared" si="55"/>
        <v>202045.22981978694</v>
      </c>
      <c r="GG12" s="63">
        <f t="shared" si="55"/>
        <v>-121379.49</v>
      </c>
      <c r="GH12" s="63">
        <f t="shared" si="55"/>
        <v>0</v>
      </c>
      <c r="GI12" s="63">
        <f t="shared" si="55"/>
        <v>22717854.334126964</v>
      </c>
      <c r="GJ12" s="64"/>
    </row>
    <row r="13" spans="1:282">
      <c r="A13" s="57" t="s">
        <v>1682</v>
      </c>
      <c r="B13" s="58">
        <v>304.10000000000002</v>
      </c>
      <c r="C13" s="57" t="s">
        <v>380</v>
      </c>
      <c r="D13" s="59">
        <v>0</v>
      </c>
      <c r="E13" s="59">
        <v>0</v>
      </c>
      <c r="F13" s="59">
        <v>0</v>
      </c>
      <c r="G13" s="59">
        <v>0</v>
      </c>
      <c r="H13" s="59">
        <v>0</v>
      </c>
      <c r="I13" s="59">
        <v>0</v>
      </c>
      <c r="J13" s="59">
        <v>0</v>
      </c>
      <c r="K13" s="59">
        <v>0</v>
      </c>
      <c r="L13" s="59">
        <v>0</v>
      </c>
      <c r="M13" s="59">
        <v>0</v>
      </c>
      <c r="N13" s="59">
        <v>0</v>
      </c>
      <c r="O13" s="59">
        <v>0</v>
      </c>
      <c r="P13" s="59">
        <v>0</v>
      </c>
      <c r="Q13" s="59">
        <v>0</v>
      </c>
      <c r="R13" s="59">
        <v>0</v>
      </c>
      <c r="S13" s="59">
        <v>0</v>
      </c>
      <c r="T13" s="59">
        <v>0</v>
      </c>
      <c r="U13" s="59">
        <v>0</v>
      </c>
      <c r="V13" s="59">
        <v>0</v>
      </c>
      <c r="W13" s="59">
        <v>0</v>
      </c>
      <c r="X13" s="59">
        <v>0</v>
      </c>
      <c r="Y13" s="59">
        <v>0</v>
      </c>
      <c r="Z13" s="59">
        <v>0</v>
      </c>
      <c r="AA13" s="59">
        <v>0</v>
      </c>
      <c r="AB13" s="59">
        <v>0</v>
      </c>
      <c r="AC13" s="59">
        <v>0</v>
      </c>
      <c r="AD13" s="59">
        <v>0</v>
      </c>
      <c r="AE13" s="59">
        <v>0</v>
      </c>
      <c r="AF13" s="59">
        <v>0</v>
      </c>
      <c r="AG13" s="59">
        <v>0</v>
      </c>
      <c r="AH13" s="59">
        <v>0</v>
      </c>
      <c r="AI13" s="59">
        <v>0</v>
      </c>
      <c r="AJ13" s="59">
        <v>0</v>
      </c>
      <c r="AK13" s="59">
        <v>0</v>
      </c>
      <c r="AL13" s="59">
        <v>0</v>
      </c>
      <c r="AM13" s="59">
        <v>0</v>
      </c>
      <c r="AN13" s="59">
        <v>0</v>
      </c>
      <c r="AO13" s="59">
        <v>0</v>
      </c>
      <c r="AP13" s="59">
        <v>0</v>
      </c>
      <c r="AQ13" s="59">
        <v>0</v>
      </c>
      <c r="AR13" s="59">
        <v>0</v>
      </c>
      <c r="AS13" s="59">
        <v>0</v>
      </c>
      <c r="AT13" s="59">
        <v>0</v>
      </c>
      <c r="AU13" s="59">
        <v>0</v>
      </c>
      <c r="AV13" s="59">
        <v>0</v>
      </c>
      <c r="AW13" s="59">
        <v>0</v>
      </c>
      <c r="AX13" s="59">
        <v>0</v>
      </c>
      <c r="AY13" s="59">
        <v>0</v>
      </c>
      <c r="AZ13" s="59">
        <v>0</v>
      </c>
      <c r="BA13" s="59">
        <v>0</v>
      </c>
      <c r="BB13" s="59">
        <v>0</v>
      </c>
      <c r="BC13" s="59">
        <v>0</v>
      </c>
      <c r="BD13" s="59">
        <v>0</v>
      </c>
      <c r="BE13" s="59">
        <v>0</v>
      </c>
      <c r="BF13" s="59">
        <v>0</v>
      </c>
      <c r="BG13" s="59">
        <v>0</v>
      </c>
      <c r="BH13" s="59">
        <v>0</v>
      </c>
      <c r="BI13" s="59">
        <v>0</v>
      </c>
      <c r="BJ13" s="59">
        <v>0</v>
      </c>
      <c r="BK13" s="59">
        <v>0</v>
      </c>
      <c r="BL13" s="59">
        <v>0</v>
      </c>
      <c r="BM13" s="59">
        <f t="shared" si="41"/>
        <v>0</v>
      </c>
      <c r="BN13" s="59">
        <v>0</v>
      </c>
      <c r="BO13" s="59">
        <v>0</v>
      </c>
      <c r="BP13" s="59">
        <v>0</v>
      </c>
      <c r="BQ13" s="59">
        <f t="shared" si="42"/>
        <v>0</v>
      </c>
      <c r="BR13" s="59">
        <f t="shared" si="43"/>
        <v>0</v>
      </c>
      <c r="BS13" s="59">
        <v>0</v>
      </c>
      <c r="BT13" s="59">
        <v>0</v>
      </c>
      <c r="BU13" s="59">
        <v>0</v>
      </c>
      <c r="BV13" s="59">
        <f t="shared" si="44"/>
        <v>0</v>
      </c>
      <c r="BW13" s="59">
        <f t="shared" si="45"/>
        <v>0</v>
      </c>
      <c r="BX13" s="59">
        <v>0</v>
      </c>
      <c r="BY13" s="59">
        <v>0</v>
      </c>
      <c r="BZ13" s="59">
        <v>0</v>
      </c>
      <c r="CA13" s="59">
        <f t="shared" si="46"/>
        <v>0</v>
      </c>
      <c r="CD13" s="59">
        <f t="shared" si="47"/>
        <v>0</v>
      </c>
      <c r="CE13" s="60">
        <v>0</v>
      </c>
      <c r="CF13" s="60">
        <v>0</v>
      </c>
      <c r="CG13" s="60">
        <v>0</v>
      </c>
      <c r="CH13" s="59">
        <f>SUM(CD13:CG13)</f>
        <v>0</v>
      </c>
      <c r="CI13" s="59">
        <f t="shared" si="48"/>
        <v>0</v>
      </c>
      <c r="CJ13" s="60">
        <v>0</v>
      </c>
      <c r="CK13" s="60">
        <v>0</v>
      </c>
      <c r="CL13" s="60">
        <v>0</v>
      </c>
      <c r="CM13" s="59">
        <f>SUM(CI13:CL13)</f>
        <v>0</v>
      </c>
      <c r="CN13" s="59">
        <f t="shared" si="49"/>
        <v>0</v>
      </c>
      <c r="CO13" s="60">
        <v>0</v>
      </c>
      <c r="CP13" s="60">
        <v>0</v>
      </c>
      <c r="CQ13" s="60">
        <v>0</v>
      </c>
      <c r="CR13" s="59">
        <f>SUM(CN13:CQ13)</f>
        <v>0</v>
      </c>
      <c r="CS13" s="59">
        <f>CR13</f>
        <v>0</v>
      </c>
      <c r="CT13" s="60">
        <v>0</v>
      </c>
      <c r="CU13" s="60">
        <v>0</v>
      </c>
      <c r="CV13" s="60">
        <v>0</v>
      </c>
      <c r="CW13" s="59">
        <f>SUM(CS13:CV13)</f>
        <v>0</v>
      </c>
      <c r="CX13" s="59">
        <f>CW13</f>
        <v>0</v>
      </c>
      <c r="CY13" s="60">
        <v>0</v>
      </c>
      <c r="CZ13" s="60">
        <v>0</v>
      </c>
      <c r="DA13" s="60">
        <v>0</v>
      </c>
      <c r="DB13" s="59">
        <f>SUM(CX13:DA13)</f>
        <v>0</v>
      </c>
      <c r="DC13" s="59">
        <f>DB13</f>
        <v>0</v>
      </c>
      <c r="DD13" s="60">
        <v>0</v>
      </c>
      <c r="DE13" s="60">
        <v>0</v>
      </c>
      <c r="DF13" s="60">
        <v>0</v>
      </c>
      <c r="DG13" s="59">
        <f>SUM(DC13:DF13)</f>
        <v>0</v>
      </c>
      <c r="DH13" s="59">
        <f>DG13</f>
        <v>0</v>
      </c>
      <c r="DI13" s="60">
        <v>0</v>
      </c>
      <c r="DJ13" s="60">
        <v>0</v>
      </c>
      <c r="DK13" s="60">
        <v>0</v>
      </c>
      <c r="DL13" s="59">
        <f>SUM(DH13:DK13)</f>
        <v>0</v>
      </c>
      <c r="DM13" s="59">
        <f>DL13</f>
        <v>0</v>
      </c>
      <c r="DN13" s="60">
        <v>0</v>
      </c>
      <c r="DO13" s="60">
        <v>0</v>
      </c>
      <c r="DP13" s="60">
        <v>0</v>
      </c>
      <c r="DQ13" s="59">
        <f>SUM(DM13:DP13)</f>
        <v>0</v>
      </c>
      <c r="DR13" s="59">
        <f>DQ13</f>
        <v>0</v>
      </c>
      <c r="DS13" s="60">
        <v>0</v>
      </c>
      <c r="DT13" s="60">
        <v>0</v>
      </c>
      <c r="DU13" s="60">
        <v>0</v>
      </c>
      <c r="DV13" s="59">
        <f>SUM(DR13:DU13)</f>
        <v>0</v>
      </c>
      <c r="DW13" s="59">
        <f>DV13</f>
        <v>0</v>
      </c>
      <c r="DX13" s="60">
        <v>0</v>
      </c>
      <c r="DY13" s="60">
        <v>0</v>
      </c>
      <c r="DZ13" s="60">
        <v>0</v>
      </c>
      <c r="EA13" s="59">
        <f>SUM(DW13:DZ13)</f>
        <v>0</v>
      </c>
      <c r="EB13" s="59">
        <f>EA13</f>
        <v>0</v>
      </c>
      <c r="EC13" s="60">
        <v>0</v>
      </c>
      <c r="ED13" s="60">
        <v>0</v>
      </c>
      <c r="EE13" s="60">
        <v>0</v>
      </c>
      <c r="EF13" s="59">
        <f>SUM(EB13:EE13)</f>
        <v>0</v>
      </c>
      <c r="EG13" s="59">
        <f>EF13</f>
        <v>0</v>
      </c>
      <c r="EH13" s="60">
        <v>0</v>
      </c>
      <c r="EI13" s="60">
        <v>0</v>
      </c>
      <c r="EJ13" s="60">
        <v>0</v>
      </c>
      <c r="EK13" s="59">
        <f>SUM(EG13:EJ13)</f>
        <v>0</v>
      </c>
      <c r="EL13" s="59">
        <f>EK13</f>
        <v>0</v>
      </c>
      <c r="EM13" s="60">
        <v>0</v>
      </c>
      <c r="EN13" s="60">
        <v>0</v>
      </c>
      <c r="EO13" s="60">
        <v>0</v>
      </c>
      <c r="EP13" s="59">
        <f>SUM(EL13:EO13)</f>
        <v>0</v>
      </c>
      <c r="EQ13" s="59">
        <f>EP13</f>
        <v>0</v>
      </c>
      <c r="ER13" s="60">
        <v>0</v>
      </c>
      <c r="ES13" s="60">
        <v>0</v>
      </c>
      <c r="ET13" s="60">
        <v>0</v>
      </c>
      <c r="EU13" s="59">
        <f>SUM(EQ13:ET13)</f>
        <v>0</v>
      </c>
      <c r="EV13" s="59">
        <f>EU13</f>
        <v>0</v>
      </c>
      <c r="EW13" s="60">
        <v>0</v>
      </c>
      <c r="EX13" s="60">
        <v>0</v>
      </c>
      <c r="EY13" s="60">
        <v>0</v>
      </c>
      <c r="EZ13" s="59">
        <f>SUM(EV13:EY13)</f>
        <v>0</v>
      </c>
      <c r="FA13" s="59">
        <f>EZ13</f>
        <v>0</v>
      </c>
      <c r="FB13" s="60">
        <v>0</v>
      </c>
      <c r="FC13" s="60">
        <v>0</v>
      </c>
      <c r="FD13" s="60">
        <v>0</v>
      </c>
      <c r="FE13" s="59">
        <f>SUM(FA13:FD13)</f>
        <v>0</v>
      </c>
      <c r="FF13" s="59">
        <f>FE13</f>
        <v>0</v>
      </c>
      <c r="FG13" s="60">
        <v>0</v>
      </c>
      <c r="FH13" s="60">
        <v>0</v>
      </c>
      <c r="FI13" s="60">
        <v>0</v>
      </c>
      <c r="FJ13" s="59">
        <f>SUM(FF13:FI13)</f>
        <v>0</v>
      </c>
      <c r="FK13" s="59">
        <f>FJ13</f>
        <v>0</v>
      </c>
      <c r="FL13" s="60">
        <v>0</v>
      </c>
      <c r="FM13" s="60">
        <v>0</v>
      </c>
      <c r="FN13" s="60">
        <v>0</v>
      </c>
      <c r="FO13" s="59">
        <f>SUM(FK13:FN13)</f>
        <v>0</v>
      </c>
      <c r="FP13" s="59">
        <f>FO13</f>
        <v>0</v>
      </c>
      <c r="FQ13" s="60">
        <v>0</v>
      </c>
      <c r="FR13" s="60">
        <v>0</v>
      </c>
      <c r="FS13" s="60">
        <v>0</v>
      </c>
      <c r="FT13" s="59">
        <f>SUM(FP13:FS13)</f>
        <v>0</v>
      </c>
      <c r="FU13" s="59">
        <f>FT13</f>
        <v>0</v>
      </c>
      <c r="FV13" s="60">
        <v>0</v>
      </c>
      <c r="FW13" s="60">
        <v>0</v>
      </c>
      <c r="FX13" s="60">
        <v>0</v>
      </c>
      <c r="FY13" s="59">
        <f>SUM(FU13:FX13)</f>
        <v>0</v>
      </c>
      <c r="FZ13" s="59">
        <f>FY13</f>
        <v>0</v>
      </c>
      <c r="GA13" s="60">
        <v>0</v>
      </c>
      <c r="GB13" s="60">
        <v>0</v>
      </c>
      <c r="GC13" s="60">
        <v>0</v>
      </c>
      <c r="GD13" s="59">
        <f>SUM(FZ13:GC13)</f>
        <v>0</v>
      </c>
      <c r="GE13" s="59">
        <f>GD13</f>
        <v>0</v>
      </c>
      <c r="GF13" s="60">
        <v>0</v>
      </c>
      <c r="GG13" s="60">
        <v>0</v>
      </c>
      <c r="GH13" s="60">
        <v>0</v>
      </c>
      <c r="GI13" s="59">
        <f>SUM(GE13:GH13)</f>
        <v>0</v>
      </c>
      <c r="GJ13" s="59"/>
    </row>
    <row r="14" spans="1:282" s="41" customFormat="1">
      <c r="A14" s="61" t="s">
        <v>1683</v>
      </c>
      <c r="B14" s="62"/>
      <c r="C14" s="61"/>
      <c r="D14" s="63">
        <v>0</v>
      </c>
      <c r="E14" s="63">
        <f>SUM(E13)</f>
        <v>0</v>
      </c>
      <c r="F14" s="63">
        <f t="shared" ref="F14:BQ14" si="56">SUM(F13)</f>
        <v>0</v>
      </c>
      <c r="G14" s="63">
        <f t="shared" si="56"/>
        <v>0</v>
      </c>
      <c r="H14" s="63">
        <f t="shared" si="56"/>
        <v>0</v>
      </c>
      <c r="I14" s="63">
        <f t="shared" si="56"/>
        <v>0</v>
      </c>
      <c r="J14" s="63">
        <f t="shared" si="56"/>
        <v>0</v>
      </c>
      <c r="K14" s="63">
        <f t="shared" si="56"/>
        <v>0</v>
      </c>
      <c r="L14" s="63">
        <f t="shared" si="56"/>
        <v>0</v>
      </c>
      <c r="M14" s="63">
        <f t="shared" si="56"/>
        <v>0</v>
      </c>
      <c r="N14" s="63">
        <f t="shared" si="56"/>
        <v>0</v>
      </c>
      <c r="O14" s="63">
        <f t="shared" si="56"/>
        <v>0</v>
      </c>
      <c r="P14" s="63">
        <f t="shared" si="56"/>
        <v>0</v>
      </c>
      <c r="Q14" s="63">
        <f t="shared" si="56"/>
        <v>0</v>
      </c>
      <c r="R14" s="63">
        <f t="shared" si="56"/>
        <v>0</v>
      </c>
      <c r="S14" s="63">
        <f t="shared" si="56"/>
        <v>0</v>
      </c>
      <c r="T14" s="63">
        <f t="shared" si="56"/>
        <v>0</v>
      </c>
      <c r="U14" s="63">
        <f t="shared" si="56"/>
        <v>0</v>
      </c>
      <c r="V14" s="63">
        <f t="shared" si="56"/>
        <v>0</v>
      </c>
      <c r="W14" s="63">
        <f t="shared" si="56"/>
        <v>0</v>
      </c>
      <c r="X14" s="63">
        <f t="shared" si="56"/>
        <v>0</v>
      </c>
      <c r="Y14" s="63">
        <f t="shared" si="56"/>
        <v>0</v>
      </c>
      <c r="Z14" s="63">
        <f t="shared" si="56"/>
        <v>0</v>
      </c>
      <c r="AA14" s="63">
        <f t="shared" si="56"/>
        <v>0</v>
      </c>
      <c r="AB14" s="63">
        <f t="shared" si="56"/>
        <v>0</v>
      </c>
      <c r="AC14" s="63">
        <f t="shared" si="56"/>
        <v>0</v>
      </c>
      <c r="AD14" s="63">
        <f t="shared" si="56"/>
        <v>0</v>
      </c>
      <c r="AE14" s="63">
        <f t="shared" si="56"/>
        <v>0</v>
      </c>
      <c r="AF14" s="63">
        <f t="shared" si="56"/>
        <v>0</v>
      </c>
      <c r="AG14" s="63">
        <f t="shared" si="56"/>
        <v>0</v>
      </c>
      <c r="AH14" s="63">
        <f t="shared" si="56"/>
        <v>0</v>
      </c>
      <c r="AI14" s="63">
        <f t="shared" si="56"/>
        <v>0</v>
      </c>
      <c r="AJ14" s="63">
        <f t="shared" si="56"/>
        <v>0</v>
      </c>
      <c r="AK14" s="63">
        <f t="shared" si="56"/>
        <v>0</v>
      </c>
      <c r="AL14" s="63">
        <f t="shared" si="56"/>
        <v>0</v>
      </c>
      <c r="AM14" s="63">
        <f t="shared" si="56"/>
        <v>0</v>
      </c>
      <c r="AN14" s="63">
        <f t="shared" si="56"/>
        <v>0</v>
      </c>
      <c r="AO14" s="63">
        <f t="shared" si="56"/>
        <v>0</v>
      </c>
      <c r="AP14" s="63">
        <f t="shared" si="56"/>
        <v>0</v>
      </c>
      <c r="AQ14" s="63">
        <f t="shared" si="56"/>
        <v>0</v>
      </c>
      <c r="AR14" s="63">
        <f t="shared" si="56"/>
        <v>0</v>
      </c>
      <c r="AS14" s="63">
        <f t="shared" si="56"/>
        <v>0</v>
      </c>
      <c r="AT14" s="63">
        <f t="shared" si="56"/>
        <v>0</v>
      </c>
      <c r="AU14" s="63">
        <f t="shared" si="56"/>
        <v>0</v>
      </c>
      <c r="AV14" s="63">
        <f t="shared" si="56"/>
        <v>0</v>
      </c>
      <c r="AW14" s="63">
        <f t="shared" si="56"/>
        <v>0</v>
      </c>
      <c r="AX14" s="63">
        <f t="shared" si="56"/>
        <v>0</v>
      </c>
      <c r="AY14" s="63">
        <f t="shared" si="56"/>
        <v>0</v>
      </c>
      <c r="AZ14" s="63">
        <f t="shared" si="56"/>
        <v>0</v>
      </c>
      <c r="BA14" s="63">
        <f t="shared" si="56"/>
        <v>0</v>
      </c>
      <c r="BB14" s="63">
        <f t="shared" si="56"/>
        <v>0</v>
      </c>
      <c r="BC14" s="63">
        <f t="shared" si="56"/>
        <v>0</v>
      </c>
      <c r="BD14" s="63">
        <f t="shared" si="56"/>
        <v>0</v>
      </c>
      <c r="BE14" s="63">
        <f t="shared" si="56"/>
        <v>0</v>
      </c>
      <c r="BF14" s="63">
        <f t="shared" si="56"/>
        <v>0</v>
      </c>
      <c r="BG14" s="63">
        <f t="shared" si="56"/>
        <v>0</v>
      </c>
      <c r="BH14" s="63">
        <f t="shared" si="56"/>
        <v>0</v>
      </c>
      <c r="BI14" s="63">
        <f t="shared" si="56"/>
        <v>0</v>
      </c>
      <c r="BJ14" s="63">
        <f t="shared" si="56"/>
        <v>0</v>
      </c>
      <c r="BK14" s="63">
        <f t="shared" si="56"/>
        <v>0</v>
      </c>
      <c r="BL14" s="63">
        <f t="shared" si="56"/>
        <v>0</v>
      </c>
      <c r="BM14" s="63">
        <f t="shared" si="56"/>
        <v>0</v>
      </c>
      <c r="BN14" s="63">
        <f t="shared" si="56"/>
        <v>0</v>
      </c>
      <c r="BO14" s="63">
        <f t="shared" si="56"/>
        <v>0</v>
      </c>
      <c r="BP14" s="63">
        <f t="shared" si="56"/>
        <v>0</v>
      </c>
      <c r="BQ14" s="63">
        <f t="shared" si="56"/>
        <v>0</v>
      </c>
      <c r="BR14" s="63">
        <f t="shared" ref="BR14:CA14" si="57">SUM(BR13)</f>
        <v>0</v>
      </c>
      <c r="BS14" s="63">
        <f t="shared" si="57"/>
        <v>0</v>
      </c>
      <c r="BT14" s="63">
        <f t="shared" si="57"/>
        <v>0</v>
      </c>
      <c r="BU14" s="63">
        <f t="shared" si="57"/>
        <v>0</v>
      </c>
      <c r="BV14" s="63">
        <f t="shared" si="57"/>
        <v>0</v>
      </c>
      <c r="BW14" s="63">
        <f t="shared" si="57"/>
        <v>0</v>
      </c>
      <c r="BX14" s="63">
        <f t="shared" si="57"/>
        <v>0</v>
      </c>
      <c r="BY14" s="63">
        <f t="shared" si="57"/>
        <v>0</v>
      </c>
      <c r="BZ14" s="63">
        <f t="shared" si="57"/>
        <v>0</v>
      </c>
      <c r="CA14" s="63">
        <f t="shared" si="57"/>
        <v>0</v>
      </c>
      <c r="CD14" s="63">
        <f>SUM(CD13)</f>
        <v>0</v>
      </c>
      <c r="CE14" s="65">
        <f t="shared" ref="CE14:DJ14" si="58">CE13</f>
        <v>0</v>
      </c>
      <c r="CF14" s="65">
        <f t="shared" si="58"/>
        <v>0</v>
      </c>
      <c r="CG14" s="65">
        <f t="shared" si="58"/>
        <v>0</v>
      </c>
      <c r="CH14" s="65">
        <f t="shared" si="58"/>
        <v>0</v>
      </c>
      <c r="CI14" s="65">
        <f t="shared" si="58"/>
        <v>0</v>
      </c>
      <c r="CJ14" s="65">
        <f t="shared" si="58"/>
        <v>0</v>
      </c>
      <c r="CK14" s="65">
        <f t="shared" si="58"/>
        <v>0</v>
      </c>
      <c r="CL14" s="65">
        <f t="shared" si="58"/>
        <v>0</v>
      </c>
      <c r="CM14" s="65">
        <f t="shared" si="58"/>
        <v>0</v>
      </c>
      <c r="CN14" s="65">
        <f t="shared" si="58"/>
        <v>0</v>
      </c>
      <c r="CO14" s="65">
        <f t="shared" si="58"/>
        <v>0</v>
      </c>
      <c r="CP14" s="65">
        <f t="shared" si="58"/>
        <v>0</v>
      </c>
      <c r="CQ14" s="65">
        <f t="shared" si="58"/>
        <v>0</v>
      </c>
      <c r="CR14" s="65">
        <f t="shared" si="58"/>
        <v>0</v>
      </c>
      <c r="CS14" s="65">
        <f t="shared" si="58"/>
        <v>0</v>
      </c>
      <c r="CT14" s="65">
        <f t="shared" si="58"/>
        <v>0</v>
      </c>
      <c r="CU14" s="65">
        <f t="shared" si="58"/>
        <v>0</v>
      </c>
      <c r="CV14" s="65">
        <f t="shared" si="58"/>
        <v>0</v>
      </c>
      <c r="CW14" s="65">
        <f t="shared" si="58"/>
        <v>0</v>
      </c>
      <c r="CX14" s="65">
        <f t="shared" si="58"/>
        <v>0</v>
      </c>
      <c r="CY14" s="65">
        <f t="shared" si="58"/>
        <v>0</v>
      </c>
      <c r="CZ14" s="65">
        <f t="shared" si="58"/>
        <v>0</v>
      </c>
      <c r="DA14" s="65">
        <f t="shared" si="58"/>
        <v>0</v>
      </c>
      <c r="DB14" s="65">
        <f t="shared" si="58"/>
        <v>0</v>
      </c>
      <c r="DC14" s="65">
        <f t="shared" si="58"/>
        <v>0</v>
      </c>
      <c r="DD14" s="65">
        <f t="shared" si="58"/>
        <v>0</v>
      </c>
      <c r="DE14" s="65">
        <f t="shared" si="58"/>
        <v>0</v>
      </c>
      <c r="DF14" s="65">
        <f t="shared" si="58"/>
        <v>0</v>
      </c>
      <c r="DG14" s="65">
        <f t="shared" si="58"/>
        <v>0</v>
      </c>
      <c r="DH14" s="65">
        <f t="shared" si="58"/>
        <v>0</v>
      </c>
      <c r="DI14" s="65">
        <f t="shared" si="58"/>
        <v>0</v>
      </c>
      <c r="DJ14" s="65">
        <f t="shared" si="58"/>
        <v>0</v>
      </c>
      <c r="DK14" s="65">
        <f t="shared" ref="DK14:EP14" si="59">DK13</f>
        <v>0</v>
      </c>
      <c r="DL14" s="65">
        <f t="shared" si="59"/>
        <v>0</v>
      </c>
      <c r="DM14" s="65">
        <f t="shared" si="59"/>
        <v>0</v>
      </c>
      <c r="DN14" s="65">
        <f t="shared" si="59"/>
        <v>0</v>
      </c>
      <c r="DO14" s="65">
        <f t="shared" si="59"/>
        <v>0</v>
      </c>
      <c r="DP14" s="65">
        <f t="shared" si="59"/>
        <v>0</v>
      </c>
      <c r="DQ14" s="65">
        <f t="shared" si="59"/>
        <v>0</v>
      </c>
      <c r="DR14" s="65">
        <f t="shared" si="59"/>
        <v>0</v>
      </c>
      <c r="DS14" s="65">
        <f t="shared" si="59"/>
        <v>0</v>
      </c>
      <c r="DT14" s="65">
        <f t="shared" si="59"/>
        <v>0</v>
      </c>
      <c r="DU14" s="65">
        <f t="shared" si="59"/>
        <v>0</v>
      </c>
      <c r="DV14" s="65">
        <f t="shared" si="59"/>
        <v>0</v>
      </c>
      <c r="DW14" s="65">
        <f t="shared" si="59"/>
        <v>0</v>
      </c>
      <c r="DX14" s="65">
        <f t="shared" si="59"/>
        <v>0</v>
      </c>
      <c r="DY14" s="65">
        <f t="shared" si="59"/>
        <v>0</v>
      </c>
      <c r="DZ14" s="65">
        <f t="shared" si="59"/>
        <v>0</v>
      </c>
      <c r="EA14" s="65">
        <f t="shared" si="59"/>
        <v>0</v>
      </c>
      <c r="EB14" s="65">
        <f t="shared" si="59"/>
        <v>0</v>
      </c>
      <c r="EC14" s="65">
        <f t="shared" si="59"/>
        <v>0</v>
      </c>
      <c r="ED14" s="65">
        <f t="shared" si="59"/>
        <v>0</v>
      </c>
      <c r="EE14" s="65">
        <f t="shared" si="59"/>
        <v>0</v>
      </c>
      <c r="EF14" s="65">
        <f t="shared" si="59"/>
        <v>0</v>
      </c>
      <c r="EG14" s="65">
        <f t="shared" si="59"/>
        <v>0</v>
      </c>
      <c r="EH14" s="65">
        <f t="shared" si="59"/>
        <v>0</v>
      </c>
      <c r="EI14" s="65">
        <f t="shared" si="59"/>
        <v>0</v>
      </c>
      <c r="EJ14" s="65">
        <f t="shared" si="59"/>
        <v>0</v>
      </c>
      <c r="EK14" s="65">
        <f t="shared" si="59"/>
        <v>0</v>
      </c>
      <c r="EL14" s="65">
        <f t="shared" si="59"/>
        <v>0</v>
      </c>
      <c r="EM14" s="65">
        <f t="shared" si="59"/>
        <v>0</v>
      </c>
      <c r="EN14" s="65">
        <f t="shared" si="59"/>
        <v>0</v>
      </c>
      <c r="EO14" s="65">
        <f t="shared" si="59"/>
        <v>0</v>
      </c>
      <c r="EP14" s="65">
        <f t="shared" si="59"/>
        <v>0</v>
      </c>
      <c r="EQ14" s="65">
        <f t="shared" ref="EQ14:FV14" si="60">EQ13</f>
        <v>0</v>
      </c>
      <c r="ER14" s="65">
        <f t="shared" si="60"/>
        <v>0</v>
      </c>
      <c r="ES14" s="65">
        <f t="shared" si="60"/>
        <v>0</v>
      </c>
      <c r="ET14" s="65">
        <f t="shared" si="60"/>
        <v>0</v>
      </c>
      <c r="EU14" s="65">
        <f t="shared" si="60"/>
        <v>0</v>
      </c>
      <c r="EV14" s="65">
        <f t="shared" si="60"/>
        <v>0</v>
      </c>
      <c r="EW14" s="65">
        <f t="shared" si="60"/>
        <v>0</v>
      </c>
      <c r="EX14" s="65">
        <f t="shared" si="60"/>
        <v>0</v>
      </c>
      <c r="EY14" s="65">
        <f t="shared" si="60"/>
        <v>0</v>
      </c>
      <c r="EZ14" s="65">
        <f t="shared" si="60"/>
        <v>0</v>
      </c>
      <c r="FA14" s="65">
        <f t="shared" si="60"/>
        <v>0</v>
      </c>
      <c r="FB14" s="65">
        <f t="shared" si="60"/>
        <v>0</v>
      </c>
      <c r="FC14" s="65">
        <f t="shared" si="60"/>
        <v>0</v>
      </c>
      <c r="FD14" s="65">
        <f t="shared" si="60"/>
        <v>0</v>
      </c>
      <c r="FE14" s="65">
        <f t="shared" si="60"/>
        <v>0</v>
      </c>
      <c r="FF14" s="65">
        <f t="shared" si="60"/>
        <v>0</v>
      </c>
      <c r="FG14" s="65">
        <f t="shared" si="60"/>
        <v>0</v>
      </c>
      <c r="FH14" s="65">
        <f t="shared" si="60"/>
        <v>0</v>
      </c>
      <c r="FI14" s="65">
        <f t="shared" si="60"/>
        <v>0</v>
      </c>
      <c r="FJ14" s="65">
        <f t="shared" si="60"/>
        <v>0</v>
      </c>
      <c r="FK14" s="65">
        <f t="shared" si="60"/>
        <v>0</v>
      </c>
      <c r="FL14" s="65">
        <f t="shared" si="60"/>
        <v>0</v>
      </c>
      <c r="FM14" s="65">
        <f t="shared" si="60"/>
        <v>0</v>
      </c>
      <c r="FN14" s="65">
        <f t="shared" si="60"/>
        <v>0</v>
      </c>
      <c r="FO14" s="65">
        <f t="shared" si="60"/>
        <v>0</v>
      </c>
      <c r="FP14" s="65">
        <f t="shared" si="60"/>
        <v>0</v>
      </c>
      <c r="FQ14" s="65">
        <f t="shared" si="60"/>
        <v>0</v>
      </c>
      <c r="FR14" s="65">
        <f t="shared" si="60"/>
        <v>0</v>
      </c>
      <c r="FS14" s="65">
        <f t="shared" si="60"/>
        <v>0</v>
      </c>
      <c r="FT14" s="65">
        <f t="shared" si="60"/>
        <v>0</v>
      </c>
      <c r="FU14" s="65">
        <f t="shared" si="60"/>
        <v>0</v>
      </c>
      <c r="FV14" s="65">
        <f t="shared" si="60"/>
        <v>0</v>
      </c>
      <c r="FW14" s="65">
        <f t="shared" ref="FW14:GI14" si="61">FW13</f>
        <v>0</v>
      </c>
      <c r="FX14" s="65">
        <f t="shared" si="61"/>
        <v>0</v>
      </c>
      <c r="FY14" s="65">
        <f t="shared" si="61"/>
        <v>0</v>
      </c>
      <c r="FZ14" s="65">
        <f t="shared" si="61"/>
        <v>0</v>
      </c>
      <c r="GA14" s="65">
        <f t="shared" si="61"/>
        <v>0</v>
      </c>
      <c r="GB14" s="65">
        <f t="shared" si="61"/>
        <v>0</v>
      </c>
      <c r="GC14" s="65">
        <f t="shared" si="61"/>
        <v>0</v>
      </c>
      <c r="GD14" s="65">
        <f t="shared" si="61"/>
        <v>0</v>
      </c>
      <c r="GE14" s="65">
        <f t="shared" si="61"/>
        <v>0</v>
      </c>
      <c r="GF14" s="65">
        <f t="shared" si="61"/>
        <v>0</v>
      </c>
      <c r="GG14" s="65">
        <f t="shared" si="61"/>
        <v>0</v>
      </c>
      <c r="GH14" s="65">
        <f t="shared" si="61"/>
        <v>0</v>
      </c>
      <c r="GI14" s="65">
        <f t="shared" si="61"/>
        <v>0</v>
      </c>
      <c r="GJ14" s="66"/>
    </row>
    <row r="15" spans="1:282">
      <c r="A15" s="57" t="s">
        <v>1684</v>
      </c>
      <c r="B15" s="58">
        <v>374.1</v>
      </c>
      <c r="C15" s="57" t="s">
        <v>382</v>
      </c>
      <c r="D15" s="59">
        <v>206</v>
      </c>
      <c r="E15" s="59">
        <v>206</v>
      </c>
      <c r="F15" s="59">
        <v>0</v>
      </c>
      <c r="G15" s="59">
        <v>0</v>
      </c>
      <c r="H15" s="59">
        <v>0</v>
      </c>
      <c r="I15" s="59">
        <v>206</v>
      </c>
      <c r="J15" s="59">
        <v>206</v>
      </c>
      <c r="K15" s="59">
        <v>0</v>
      </c>
      <c r="L15" s="59">
        <v>0</v>
      </c>
      <c r="M15" s="59">
        <v>0</v>
      </c>
      <c r="N15" s="59">
        <v>206</v>
      </c>
      <c r="O15" s="59">
        <v>206</v>
      </c>
      <c r="P15" s="59">
        <v>0</v>
      </c>
      <c r="Q15" s="59">
        <v>0</v>
      </c>
      <c r="R15" s="59">
        <v>0</v>
      </c>
      <c r="S15" s="59">
        <v>206</v>
      </c>
      <c r="T15" s="59">
        <v>206</v>
      </c>
      <c r="U15" s="59">
        <v>0</v>
      </c>
      <c r="V15" s="59">
        <v>0</v>
      </c>
      <c r="W15" s="59">
        <v>0</v>
      </c>
      <c r="X15" s="59">
        <v>206</v>
      </c>
      <c r="Y15" s="59">
        <v>206</v>
      </c>
      <c r="Z15" s="59">
        <v>0</v>
      </c>
      <c r="AA15" s="59">
        <v>0</v>
      </c>
      <c r="AB15" s="59">
        <v>0</v>
      </c>
      <c r="AC15" s="59">
        <v>206</v>
      </c>
      <c r="AD15" s="59">
        <v>206</v>
      </c>
      <c r="AE15" s="59">
        <v>0</v>
      </c>
      <c r="AF15" s="59">
        <v>0</v>
      </c>
      <c r="AG15" s="59">
        <v>0</v>
      </c>
      <c r="AH15" s="59">
        <v>206</v>
      </c>
      <c r="AI15" s="59">
        <v>206</v>
      </c>
      <c r="AJ15" s="59">
        <v>0</v>
      </c>
      <c r="AK15" s="59">
        <v>0</v>
      </c>
      <c r="AL15" s="59">
        <v>0</v>
      </c>
      <c r="AM15" s="59">
        <v>206</v>
      </c>
      <c r="AN15" s="59">
        <v>206</v>
      </c>
      <c r="AO15" s="59">
        <v>0</v>
      </c>
      <c r="AP15" s="59">
        <v>0</v>
      </c>
      <c r="AQ15" s="59">
        <v>0</v>
      </c>
      <c r="AR15" s="59">
        <v>206</v>
      </c>
      <c r="AS15" s="59">
        <v>206</v>
      </c>
      <c r="AT15" s="59">
        <v>0</v>
      </c>
      <c r="AU15" s="59">
        <v>0</v>
      </c>
      <c r="AV15" s="59">
        <v>0</v>
      </c>
      <c r="AW15" s="59">
        <v>206</v>
      </c>
      <c r="AX15" s="59">
        <v>206</v>
      </c>
      <c r="AY15" s="59">
        <v>0</v>
      </c>
      <c r="AZ15" s="59">
        <v>0</v>
      </c>
      <c r="BA15" s="59">
        <v>0</v>
      </c>
      <c r="BB15" s="59">
        <v>206</v>
      </c>
      <c r="BC15" s="59">
        <v>206</v>
      </c>
      <c r="BD15" s="59">
        <v>0</v>
      </c>
      <c r="BE15" s="59">
        <v>0</v>
      </c>
      <c r="BF15" s="59">
        <v>0</v>
      </c>
      <c r="BG15" s="59">
        <v>206</v>
      </c>
      <c r="BH15" s="59">
        <v>206</v>
      </c>
      <c r="BI15" s="59">
        <v>0</v>
      </c>
      <c r="BJ15" s="59">
        <v>-0.6</v>
      </c>
      <c r="BK15" s="59">
        <v>0</v>
      </c>
      <c r="BL15" s="59">
        <v>205.4</v>
      </c>
      <c r="BM15" s="59">
        <f t="shared" si="41"/>
        <v>205.4</v>
      </c>
      <c r="BN15" s="59">
        <v>0</v>
      </c>
      <c r="BO15" s="59">
        <v>0</v>
      </c>
      <c r="BP15" s="59">
        <v>0</v>
      </c>
      <c r="BQ15" s="59">
        <f t="shared" si="42"/>
        <v>205.4</v>
      </c>
      <c r="BR15" s="59">
        <f t="shared" si="43"/>
        <v>205.4</v>
      </c>
      <c r="BS15" s="59">
        <v>0</v>
      </c>
      <c r="BT15" s="59">
        <v>0</v>
      </c>
      <c r="BU15" s="59">
        <v>0</v>
      </c>
      <c r="BV15" s="59">
        <f t="shared" si="44"/>
        <v>205.4</v>
      </c>
      <c r="BW15" s="59">
        <f t="shared" si="45"/>
        <v>205.4</v>
      </c>
      <c r="BX15" s="59">
        <v>0</v>
      </c>
      <c r="BY15" s="59">
        <v>0</v>
      </c>
      <c r="BZ15" s="59">
        <v>0</v>
      </c>
      <c r="CA15" s="59">
        <f t="shared" si="46"/>
        <v>205.4</v>
      </c>
      <c r="CD15" s="59">
        <f t="shared" si="47"/>
        <v>205.4</v>
      </c>
      <c r="CE15" s="60">
        <v>0</v>
      </c>
      <c r="CF15" s="60">
        <v>0</v>
      </c>
      <c r="CG15" s="60">
        <v>0</v>
      </c>
      <c r="CH15" s="59">
        <f t="shared" ref="CH15:CH61" si="62">SUM(CD15:CG15)</f>
        <v>205.4</v>
      </c>
      <c r="CI15" s="59">
        <f t="shared" si="48"/>
        <v>205.4</v>
      </c>
      <c r="CJ15" s="60">
        <v>0</v>
      </c>
      <c r="CK15" s="60">
        <v>0</v>
      </c>
      <c r="CL15" s="60">
        <v>0</v>
      </c>
      <c r="CM15" s="59">
        <f t="shared" ref="CM15:CM44" si="63">SUM(CI15:CL15)</f>
        <v>205.4</v>
      </c>
      <c r="CN15" s="59">
        <f t="shared" si="49"/>
        <v>205.4</v>
      </c>
      <c r="CO15" s="60">
        <v>0</v>
      </c>
      <c r="CP15" s="60">
        <v>0</v>
      </c>
      <c r="CQ15" s="60">
        <v>0</v>
      </c>
      <c r="CR15" s="59">
        <f t="shared" ref="CR15:CR44" si="64">SUM(CN15:CQ15)</f>
        <v>205.4</v>
      </c>
      <c r="CS15" s="59">
        <f t="shared" ref="CS15:CS44" si="65">CR15</f>
        <v>205.4</v>
      </c>
      <c r="CT15" s="60">
        <v>0</v>
      </c>
      <c r="CU15" s="60">
        <v>0</v>
      </c>
      <c r="CV15" s="60">
        <v>0</v>
      </c>
      <c r="CW15" s="59">
        <f t="shared" ref="CW15:CW44" si="66">SUM(CS15:CV15)</f>
        <v>205.4</v>
      </c>
      <c r="CX15" s="59">
        <f t="shared" ref="CX15:CX44" si="67">CW15</f>
        <v>205.4</v>
      </c>
      <c r="CY15" s="60">
        <v>0</v>
      </c>
      <c r="CZ15" s="60">
        <v>0</v>
      </c>
      <c r="DA15" s="60">
        <v>0</v>
      </c>
      <c r="DB15" s="59">
        <f t="shared" ref="DB15:DB44" si="68">SUM(CX15:DA15)</f>
        <v>205.4</v>
      </c>
      <c r="DC15" s="59">
        <f t="shared" ref="DC15:DC44" si="69">DB15</f>
        <v>205.4</v>
      </c>
      <c r="DD15" s="60">
        <v>0</v>
      </c>
      <c r="DE15" s="60">
        <v>0</v>
      </c>
      <c r="DF15" s="60">
        <v>0</v>
      </c>
      <c r="DG15" s="59">
        <f t="shared" ref="DG15:DG44" si="70">SUM(DC15:DF15)</f>
        <v>205.4</v>
      </c>
      <c r="DH15" s="59">
        <f t="shared" ref="DH15:DH44" si="71">DG15</f>
        <v>205.4</v>
      </c>
      <c r="DI15" s="60">
        <v>0</v>
      </c>
      <c r="DJ15" s="60">
        <v>0</v>
      </c>
      <c r="DK15" s="60">
        <v>0</v>
      </c>
      <c r="DL15" s="59">
        <f t="shared" ref="DL15:DL44" si="72">SUM(DH15:DK15)</f>
        <v>205.4</v>
      </c>
      <c r="DM15" s="59">
        <f t="shared" ref="DM15:DM44" si="73">DL15</f>
        <v>205.4</v>
      </c>
      <c r="DN15" s="60">
        <v>0</v>
      </c>
      <c r="DO15" s="60">
        <v>0</v>
      </c>
      <c r="DP15" s="60">
        <v>0</v>
      </c>
      <c r="DQ15" s="59">
        <f t="shared" ref="DQ15:DQ44" si="74">SUM(DM15:DP15)</f>
        <v>205.4</v>
      </c>
      <c r="DR15" s="59">
        <f t="shared" ref="DR15:DR44" si="75">DQ15</f>
        <v>205.4</v>
      </c>
      <c r="DS15" s="60">
        <v>0</v>
      </c>
      <c r="DT15" s="60">
        <v>0</v>
      </c>
      <c r="DU15" s="60">
        <v>0</v>
      </c>
      <c r="DV15" s="59">
        <f t="shared" ref="DV15:DV44" si="76">SUM(DR15:DU15)</f>
        <v>205.4</v>
      </c>
      <c r="DW15" s="59">
        <f t="shared" ref="DW15:DW44" si="77">DV15</f>
        <v>205.4</v>
      </c>
      <c r="DX15" s="60">
        <v>0</v>
      </c>
      <c r="DY15" s="60">
        <v>0</v>
      </c>
      <c r="DZ15" s="60">
        <v>0</v>
      </c>
      <c r="EA15" s="59">
        <f t="shared" ref="EA15:EA44" si="78">SUM(DW15:DZ15)</f>
        <v>205.4</v>
      </c>
      <c r="EB15" s="59">
        <f t="shared" ref="EB15:EB44" si="79">EA15</f>
        <v>205.4</v>
      </c>
      <c r="EC15" s="60">
        <v>0</v>
      </c>
      <c r="ED15" s="60">
        <v>0</v>
      </c>
      <c r="EE15" s="60">
        <v>0</v>
      </c>
      <c r="EF15" s="59">
        <f t="shared" ref="EF15:EF44" si="80">SUM(EB15:EE15)</f>
        <v>205.4</v>
      </c>
      <c r="EG15" s="59">
        <f t="shared" ref="EG15:EG44" si="81">EF15</f>
        <v>205.4</v>
      </c>
      <c r="EH15" s="60">
        <v>0</v>
      </c>
      <c r="EI15" s="60">
        <v>0</v>
      </c>
      <c r="EJ15" s="60">
        <v>0</v>
      </c>
      <c r="EK15" s="59">
        <f t="shared" ref="EK15:EK44" si="82">SUM(EG15:EJ15)</f>
        <v>205.4</v>
      </c>
      <c r="EL15" s="59">
        <f t="shared" ref="EL15:EL44" si="83">EK15</f>
        <v>205.4</v>
      </c>
      <c r="EM15" s="60">
        <v>0</v>
      </c>
      <c r="EN15" s="60">
        <v>0</v>
      </c>
      <c r="EO15" s="60">
        <v>0</v>
      </c>
      <c r="EP15" s="59">
        <f t="shared" ref="EP15:EP44" si="84">SUM(EL15:EO15)</f>
        <v>205.4</v>
      </c>
      <c r="EQ15" s="59">
        <f t="shared" ref="EQ15:EQ44" si="85">EP15</f>
        <v>205.4</v>
      </c>
      <c r="ER15" s="60">
        <v>0</v>
      </c>
      <c r="ES15" s="60">
        <v>0</v>
      </c>
      <c r="ET15" s="60">
        <v>0</v>
      </c>
      <c r="EU15" s="59">
        <f t="shared" ref="EU15:EU44" si="86">SUM(EQ15:ET15)</f>
        <v>205.4</v>
      </c>
      <c r="EV15" s="59">
        <f t="shared" ref="EV15:EV44" si="87">EU15</f>
        <v>205.4</v>
      </c>
      <c r="EW15" s="60">
        <v>0</v>
      </c>
      <c r="EX15" s="60">
        <v>0</v>
      </c>
      <c r="EY15" s="60">
        <v>0</v>
      </c>
      <c r="EZ15" s="59">
        <f t="shared" ref="EZ15:EZ44" si="88">SUM(EV15:EY15)</f>
        <v>205.4</v>
      </c>
      <c r="FA15" s="59">
        <f t="shared" ref="FA15:FA44" si="89">EZ15</f>
        <v>205.4</v>
      </c>
      <c r="FB15" s="60">
        <v>0</v>
      </c>
      <c r="FC15" s="60">
        <v>0</v>
      </c>
      <c r="FD15" s="60">
        <v>0</v>
      </c>
      <c r="FE15" s="59">
        <f t="shared" ref="FE15:FE44" si="90">SUM(FA15:FD15)</f>
        <v>205.4</v>
      </c>
      <c r="FF15" s="59">
        <f t="shared" ref="FF15:FF44" si="91">FE15</f>
        <v>205.4</v>
      </c>
      <c r="FG15" s="60">
        <v>0</v>
      </c>
      <c r="FH15" s="60">
        <v>0</v>
      </c>
      <c r="FI15" s="60">
        <v>0</v>
      </c>
      <c r="FJ15" s="59">
        <f t="shared" ref="FJ15:FJ44" si="92">SUM(FF15:FI15)</f>
        <v>205.4</v>
      </c>
      <c r="FK15" s="59">
        <f t="shared" ref="FK15:FK44" si="93">FJ15</f>
        <v>205.4</v>
      </c>
      <c r="FL15" s="60">
        <v>0</v>
      </c>
      <c r="FM15" s="60">
        <v>0</v>
      </c>
      <c r="FN15" s="60">
        <v>0</v>
      </c>
      <c r="FO15" s="59">
        <f t="shared" ref="FO15:FO44" si="94">SUM(FK15:FN15)</f>
        <v>205.4</v>
      </c>
      <c r="FP15" s="59">
        <f t="shared" ref="FP15:FP44" si="95">FO15</f>
        <v>205.4</v>
      </c>
      <c r="FQ15" s="60">
        <v>0</v>
      </c>
      <c r="FR15" s="60">
        <v>0</v>
      </c>
      <c r="FS15" s="60">
        <v>0</v>
      </c>
      <c r="FT15" s="59">
        <f t="shared" ref="FT15:FT44" si="96">SUM(FP15:FS15)</f>
        <v>205.4</v>
      </c>
      <c r="FU15" s="59">
        <f t="shared" ref="FU15:FU44" si="97">FT15</f>
        <v>205.4</v>
      </c>
      <c r="FV15" s="60">
        <v>0</v>
      </c>
      <c r="FW15" s="60">
        <v>0</v>
      </c>
      <c r="FX15" s="60">
        <v>0</v>
      </c>
      <c r="FY15" s="59">
        <f t="shared" ref="FY15:FY44" si="98">SUM(FU15:FX15)</f>
        <v>205.4</v>
      </c>
      <c r="FZ15" s="59">
        <f t="shared" ref="FZ15:FZ44" si="99">FY15</f>
        <v>205.4</v>
      </c>
      <c r="GA15" s="60">
        <v>0</v>
      </c>
      <c r="GB15" s="60">
        <v>0</v>
      </c>
      <c r="GC15" s="60">
        <v>0</v>
      </c>
      <c r="GD15" s="59">
        <f t="shared" ref="GD15:GD44" si="100">SUM(FZ15:GC15)</f>
        <v>205.4</v>
      </c>
      <c r="GE15" s="59">
        <f t="shared" ref="GE15:GE44" si="101">GD15</f>
        <v>205.4</v>
      </c>
      <c r="GF15" s="60">
        <v>0</v>
      </c>
      <c r="GG15" s="60">
        <v>0</v>
      </c>
      <c r="GH15" s="60">
        <v>0</v>
      </c>
      <c r="GI15" s="59">
        <f t="shared" ref="GI15:GI44" si="102">SUM(GE15:GH15)</f>
        <v>205.4</v>
      </c>
      <c r="GJ15" s="59"/>
    </row>
    <row r="16" spans="1:282">
      <c r="B16" s="58">
        <v>374.2</v>
      </c>
      <c r="C16" s="57" t="s">
        <v>383</v>
      </c>
      <c r="D16" s="59">
        <v>876991.23</v>
      </c>
      <c r="E16" s="59">
        <v>876991.23</v>
      </c>
      <c r="F16" s="59">
        <v>0</v>
      </c>
      <c r="G16" s="59">
        <v>-4.57</v>
      </c>
      <c r="H16" s="59">
        <v>0</v>
      </c>
      <c r="I16" s="59">
        <v>876986.66</v>
      </c>
      <c r="J16" s="59">
        <v>876986.66</v>
      </c>
      <c r="K16" s="59">
        <v>0</v>
      </c>
      <c r="L16" s="59">
        <v>0</v>
      </c>
      <c r="M16" s="59">
        <v>0</v>
      </c>
      <c r="N16" s="59">
        <v>876986.66</v>
      </c>
      <c r="O16" s="59">
        <v>876986.66</v>
      </c>
      <c r="P16" s="59">
        <v>0</v>
      </c>
      <c r="Q16" s="59">
        <v>0</v>
      </c>
      <c r="R16" s="59">
        <v>0</v>
      </c>
      <c r="S16" s="59">
        <v>876986.66</v>
      </c>
      <c r="T16" s="59">
        <v>876986.66</v>
      </c>
      <c r="U16" s="59">
        <v>0</v>
      </c>
      <c r="V16" s="59">
        <v>0</v>
      </c>
      <c r="W16" s="59">
        <v>0</v>
      </c>
      <c r="X16" s="59">
        <v>876986.66</v>
      </c>
      <c r="Y16" s="59">
        <v>876986.66</v>
      </c>
      <c r="Z16" s="59">
        <v>0</v>
      </c>
      <c r="AA16" s="59">
        <v>0</v>
      </c>
      <c r="AB16" s="59">
        <v>0</v>
      </c>
      <c r="AC16" s="59">
        <v>876986.66</v>
      </c>
      <c r="AD16" s="59">
        <v>876986.66</v>
      </c>
      <c r="AE16" s="59">
        <v>0</v>
      </c>
      <c r="AF16" s="59">
        <v>0</v>
      </c>
      <c r="AG16" s="59">
        <v>0</v>
      </c>
      <c r="AH16" s="59">
        <v>876986.66</v>
      </c>
      <c r="AI16" s="59">
        <v>876986.66</v>
      </c>
      <c r="AJ16" s="59">
        <v>0</v>
      </c>
      <c r="AK16" s="59">
        <v>0</v>
      </c>
      <c r="AL16" s="59">
        <v>0</v>
      </c>
      <c r="AM16" s="59">
        <v>876986.66</v>
      </c>
      <c r="AN16" s="59">
        <v>876986.66</v>
      </c>
      <c r="AO16" s="59">
        <v>0</v>
      </c>
      <c r="AP16" s="59">
        <v>0</v>
      </c>
      <c r="AQ16" s="59">
        <v>0</v>
      </c>
      <c r="AR16" s="59">
        <v>876986.66</v>
      </c>
      <c r="AS16" s="59">
        <v>876986.66</v>
      </c>
      <c r="AT16" s="59">
        <v>0</v>
      </c>
      <c r="AU16" s="59">
        <v>0</v>
      </c>
      <c r="AV16" s="59">
        <v>0</v>
      </c>
      <c r="AW16" s="59">
        <v>876986.66</v>
      </c>
      <c r="AX16" s="59">
        <v>876986.66</v>
      </c>
      <c r="AY16" s="59">
        <v>0</v>
      </c>
      <c r="AZ16" s="59">
        <v>0</v>
      </c>
      <c r="BA16" s="59">
        <v>0</v>
      </c>
      <c r="BB16" s="59">
        <v>876986.66</v>
      </c>
      <c r="BC16" s="59">
        <v>876986.66</v>
      </c>
      <c r="BD16" s="59">
        <v>0</v>
      </c>
      <c r="BE16" s="59">
        <v>0</v>
      </c>
      <c r="BF16" s="59">
        <v>0</v>
      </c>
      <c r="BG16" s="59">
        <v>876986.66</v>
      </c>
      <c r="BH16" s="59">
        <v>876986.66</v>
      </c>
      <c r="BI16" s="59">
        <v>0</v>
      </c>
      <c r="BJ16" s="59">
        <v>0</v>
      </c>
      <c r="BK16" s="59">
        <v>0</v>
      </c>
      <c r="BL16" s="59">
        <v>876986.66</v>
      </c>
      <c r="BM16" s="59">
        <f t="shared" si="41"/>
        <v>876986.66</v>
      </c>
      <c r="BN16" s="59">
        <v>0</v>
      </c>
      <c r="BO16" s="59">
        <v>0</v>
      </c>
      <c r="BP16" s="59">
        <v>0</v>
      </c>
      <c r="BQ16" s="59">
        <f t="shared" si="42"/>
        <v>876986.66</v>
      </c>
      <c r="BR16" s="59">
        <f t="shared" si="43"/>
        <v>876986.66</v>
      </c>
      <c r="BS16" s="59">
        <v>0</v>
      </c>
      <c r="BT16" s="59">
        <v>0</v>
      </c>
      <c r="BU16" s="59">
        <v>0</v>
      </c>
      <c r="BV16" s="59">
        <f t="shared" si="44"/>
        <v>876986.66</v>
      </c>
      <c r="BW16" s="59">
        <f t="shared" si="45"/>
        <v>876986.66</v>
      </c>
      <c r="BX16" s="59">
        <v>0</v>
      </c>
      <c r="BY16" s="59">
        <v>0</v>
      </c>
      <c r="BZ16" s="59">
        <v>0</v>
      </c>
      <c r="CA16" s="59">
        <f t="shared" si="46"/>
        <v>876986.66</v>
      </c>
      <c r="CD16" s="59">
        <f t="shared" si="47"/>
        <v>876986.66</v>
      </c>
      <c r="CE16" s="60">
        <v>0</v>
      </c>
      <c r="CF16" s="60">
        <v>0</v>
      </c>
      <c r="CG16" s="60">
        <v>0</v>
      </c>
      <c r="CH16" s="59">
        <f t="shared" si="62"/>
        <v>876986.66</v>
      </c>
      <c r="CI16" s="59">
        <f t="shared" si="48"/>
        <v>876986.66</v>
      </c>
      <c r="CJ16" s="60">
        <v>0</v>
      </c>
      <c r="CK16" s="60">
        <v>0</v>
      </c>
      <c r="CL16" s="60">
        <v>0</v>
      </c>
      <c r="CM16" s="59">
        <f t="shared" si="63"/>
        <v>876986.66</v>
      </c>
      <c r="CN16" s="59">
        <f t="shared" si="49"/>
        <v>876986.66</v>
      </c>
      <c r="CO16" s="60">
        <v>0</v>
      </c>
      <c r="CP16" s="60">
        <v>0</v>
      </c>
      <c r="CQ16" s="60">
        <v>0</v>
      </c>
      <c r="CR16" s="59">
        <f t="shared" si="64"/>
        <v>876986.66</v>
      </c>
      <c r="CS16" s="59">
        <f t="shared" si="65"/>
        <v>876986.66</v>
      </c>
      <c r="CT16" s="60">
        <v>0</v>
      </c>
      <c r="CU16" s="60">
        <v>0</v>
      </c>
      <c r="CV16" s="60">
        <v>0</v>
      </c>
      <c r="CW16" s="59">
        <f t="shared" si="66"/>
        <v>876986.66</v>
      </c>
      <c r="CX16" s="59">
        <f t="shared" si="67"/>
        <v>876986.66</v>
      </c>
      <c r="CY16" s="60">
        <v>0</v>
      </c>
      <c r="CZ16" s="60">
        <v>0</v>
      </c>
      <c r="DA16" s="60">
        <v>0</v>
      </c>
      <c r="DB16" s="59">
        <f t="shared" si="68"/>
        <v>876986.66</v>
      </c>
      <c r="DC16" s="59">
        <f t="shared" si="69"/>
        <v>876986.66</v>
      </c>
      <c r="DD16" s="60">
        <v>0</v>
      </c>
      <c r="DE16" s="60">
        <v>0</v>
      </c>
      <c r="DF16" s="60">
        <v>0</v>
      </c>
      <c r="DG16" s="59">
        <f t="shared" si="70"/>
        <v>876986.66</v>
      </c>
      <c r="DH16" s="59">
        <f t="shared" si="71"/>
        <v>876986.66</v>
      </c>
      <c r="DI16" s="60">
        <v>0</v>
      </c>
      <c r="DJ16" s="60">
        <v>0</v>
      </c>
      <c r="DK16" s="60">
        <v>0</v>
      </c>
      <c r="DL16" s="59">
        <f t="shared" si="72"/>
        <v>876986.66</v>
      </c>
      <c r="DM16" s="59">
        <f t="shared" si="73"/>
        <v>876986.66</v>
      </c>
      <c r="DN16" s="60">
        <v>0</v>
      </c>
      <c r="DO16" s="60">
        <v>0</v>
      </c>
      <c r="DP16" s="60">
        <v>0</v>
      </c>
      <c r="DQ16" s="59">
        <f t="shared" si="74"/>
        <v>876986.66</v>
      </c>
      <c r="DR16" s="59">
        <f t="shared" si="75"/>
        <v>876986.66</v>
      </c>
      <c r="DS16" s="60">
        <v>0</v>
      </c>
      <c r="DT16" s="60">
        <v>0</v>
      </c>
      <c r="DU16" s="60">
        <v>0</v>
      </c>
      <c r="DV16" s="59">
        <f t="shared" si="76"/>
        <v>876986.66</v>
      </c>
      <c r="DW16" s="59">
        <f t="shared" si="77"/>
        <v>876986.66</v>
      </c>
      <c r="DX16" s="60">
        <v>0</v>
      </c>
      <c r="DY16" s="60">
        <v>0</v>
      </c>
      <c r="DZ16" s="60">
        <v>0</v>
      </c>
      <c r="EA16" s="59">
        <f t="shared" si="78"/>
        <v>876986.66</v>
      </c>
      <c r="EB16" s="59">
        <f t="shared" si="79"/>
        <v>876986.66</v>
      </c>
      <c r="EC16" s="60">
        <v>0</v>
      </c>
      <c r="ED16" s="60">
        <v>0</v>
      </c>
      <c r="EE16" s="60">
        <v>0</v>
      </c>
      <c r="EF16" s="59">
        <f t="shared" si="80"/>
        <v>876986.66</v>
      </c>
      <c r="EG16" s="59">
        <f t="shared" si="81"/>
        <v>876986.66</v>
      </c>
      <c r="EH16" s="60">
        <v>0</v>
      </c>
      <c r="EI16" s="60">
        <v>0</v>
      </c>
      <c r="EJ16" s="60">
        <v>0</v>
      </c>
      <c r="EK16" s="59">
        <f t="shared" si="82"/>
        <v>876986.66</v>
      </c>
      <c r="EL16" s="59">
        <f t="shared" si="83"/>
        <v>876986.66</v>
      </c>
      <c r="EM16" s="60">
        <v>0</v>
      </c>
      <c r="EN16" s="60">
        <v>0</v>
      </c>
      <c r="EO16" s="60">
        <v>0</v>
      </c>
      <c r="EP16" s="59">
        <f t="shared" si="84"/>
        <v>876986.66</v>
      </c>
      <c r="EQ16" s="59">
        <f t="shared" si="85"/>
        <v>876986.66</v>
      </c>
      <c r="ER16" s="60">
        <v>0</v>
      </c>
      <c r="ES16" s="60">
        <v>0</v>
      </c>
      <c r="ET16" s="60">
        <v>0</v>
      </c>
      <c r="EU16" s="59">
        <f t="shared" si="86"/>
        <v>876986.66</v>
      </c>
      <c r="EV16" s="59">
        <f t="shared" si="87"/>
        <v>876986.66</v>
      </c>
      <c r="EW16" s="60">
        <v>0</v>
      </c>
      <c r="EX16" s="60">
        <v>0</v>
      </c>
      <c r="EY16" s="60">
        <v>0</v>
      </c>
      <c r="EZ16" s="59">
        <f t="shared" si="88"/>
        <v>876986.66</v>
      </c>
      <c r="FA16" s="59">
        <f t="shared" si="89"/>
        <v>876986.66</v>
      </c>
      <c r="FB16" s="60">
        <v>0</v>
      </c>
      <c r="FC16" s="60">
        <v>0</v>
      </c>
      <c r="FD16" s="60">
        <v>0</v>
      </c>
      <c r="FE16" s="59">
        <f t="shared" si="90"/>
        <v>876986.66</v>
      </c>
      <c r="FF16" s="59">
        <f t="shared" si="91"/>
        <v>876986.66</v>
      </c>
      <c r="FG16" s="60">
        <v>0</v>
      </c>
      <c r="FH16" s="60">
        <v>0</v>
      </c>
      <c r="FI16" s="60">
        <v>0</v>
      </c>
      <c r="FJ16" s="59">
        <f t="shared" si="92"/>
        <v>876986.66</v>
      </c>
      <c r="FK16" s="59">
        <f t="shared" si="93"/>
        <v>876986.66</v>
      </c>
      <c r="FL16" s="60">
        <v>0</v>
      </c>
      <c r="FM16" s="60">
        <v>0</v>
      </c>
      <c r="FN16" s="60">
        <v>0</v>
      </c>
      <c r="FO16" s="59">
        <f t="shared" si="94"/>
        <v>876986.66</v>
      </c>
      <c r="FP16" s="59">
        <f t="shared" si="95"/>
        <v>876986.66</v>
      </c>
      <c r="FQ16" s="60">
        <v>0</v>
      </c>
      <c r="FR16" s="60">
        <v>0</v>
      </c>
      <c r="FS16" s="60">
        <v>0</v>
      </c>
      <c r="FT16" s="59">
        <f t="shared" si="96"/>
        <v>876986.66</v>
      </c>
      <c r="FU16" s="59">
        <f t="shared" si="97"/>
        <v>876986.66</v>
      </c>
      <c r="FV16" s="60">
        <v>0</v>
      </c>
      <c r="FW16" s="60">
        <v>0</v>
      </c>
      <c r="FX16" s="60">
        <v>0</v>
      </c>
      <c r="FY16" s="59">
        <f t="shared" si="98"/>
        <v>876986.66</v>
      </c>
      <c r="FZ16" s="59">
        <f t="shared" si="99"/>
        <v>876986.66</v>
      </c>
      <c r="GA16" s="60">
        <v>0</v>
      </c>
      <c r="GB16" s="60">
        <v>0</v>
      </c>
      <c r="GC16" s="60">
        <v>0</v>
      </c>
      <c r="GD16" s="59">
        <f t="shared" si="100"/>
        <v>876986.66</v>
      </c>
      <c r="GE16" s="59">
        <f t="shared" si="101"/>
        <v>876986.66</v>
      </c>
      <c r="GF16" s="60">
        <v>0</v>
      </c>
      <c r="GG16" s="60">
        <v>0</v>
      </c>
      <c r="GH16" s="60">
        <v>0</v>
      </c>
      <c r="GI16" s="59">
        <f t="shared" si="102"/>
        <v>876986.66</v>
      </c>
      <c r="GJ16" s="59"/>
    </row>
    <row r="17" spans="2:192">
      <c r="B17" s="58">
        <v>374.4</v>
      </c>
      <c r="C17" s="57" t="s">
        <v>384</v>
      </c>
      <c r="D17" s="59">
        <v>2748764.41</v>
      </c>
      <c r="E17" s="59">
        <v>2748764.41</v>
      </c>
      <c r="F17" s="59">
        <v>500</v>
      </c>
      <c r="G17" s="59">
        <v>0</v>
      </c>
      <c r="H17" s="59">
        <v>0</v>
      </c>
      <c r="I17" s="59">
        <v>2749264.41</v>
      </c>
      <c r="J17" s="59">
        <v>2749264.41</v>
      </c>
      <c r="K17" s="59">
        <v>14000</v>
      </c>
      <c r="L17" s="59">
        <v>0</v>
      </c>
      <c r="M17" s="59">
        <v>0</v>
      </c>
      <c r="N17" s="59">
        <v>2763264.41</v>
      </c>
      <c r="O17" s="59">
        <v>2763264.41</v>
      </c>
      <c r="P17" s="59">
        <v>0</v>
      </c>
      <c r="Q17" s="59">
        <v>0</v>
      </c>
      <c r="R17" s="59">
        <v>0</v>
      </c>
      <c r="S17" s="59">
        <v>2763264.41</v>
      </c>
      <c r="T17" s="59">
        <v>2763264.41</v>
      </c>
      <c r="U17" s="59">
        <v>0</v>
      </c>
      <c r="V17" s="59">
        <v>0</v>
      </c>
      <c r="W17" s="59">
        <v>0</v>
      </c>
      <c r="X17" s="59">
        <v>2763264.41</v>
      </c>
      <c r="Y17" s="59">
        <v>2763264.41</v>
      </c>
      <c r="Z17" s="59">
        <v>0</v>
      </c>
      <c r="AA17" s="59">
        <v>0</v>
      </c>
      <c r="AB17" s="59">
        <v>0</v>
      </c>
      <c r="AC17" s="59">
        <v>2763264.41</v>
      </c>
      <c r="AD17" s="59">
        <v>2763264.41</v>
      </c>
      <c r="AE17" s="59">
        <v>0</v>
      </c>
      <c r="AF17" s="59">
        <v>0</v>
      </c>
      <c r="AG17" s="59">
        <v>0</v>
      </c>
      <c r="AH17" s="59">
        <v>2763264.41</v>
      </c>
      <c r="AI17" s="59">
        <v>2763264.41</v>
      </c>
      <c r="AJ17" s="59">
        <v>96291.170000000013</v>
      </c>
      <c r="AK17" s="59">
        <v>0</v>
      </c>
      <c r="AL17" s="59">
        <v>0</v>
      </c>
      <c r="AM17" s="59">
        <v>2859555.58</v>
      </c>
      <c r="AN17" s="59">
        <v>2859555.58</v>
      </c>
      <c r="AO17" s="59">
        <v>1552.6000000000001</v>
      </c>
      <c r="AP17" s="59">
        <v>0</v>
      </c>
      <c r="AQ17" s="59">
        <v>0</v>
      </c>
      <c r="AR17" s="59">
        <v>2861108.1799999997</v>
      </c>
      <c r="AS17" s="59">
        <v>2861108.1799999997</v>
      </c>
      <c r="AT17" s="59">
        <v>31922.02</v>
      </c>
      <c r="AU17" s="59">
        <v>0</v>
      </c>
      <c r="AV17" s="59">
        <v>0</v>
      </c>
      <c r="AW17" s="59">
        <v>2893030.2</v>
      </c>
      <c r="AX17" s="59">
        <v>2893030.2</v>
      </c>
      <c r="AY17" s="59">
        <v>2218</v>
      </c>
      <c r="AZ17" s="59">
        <v>0</v>
      </c>
      <c r="BA17" s="59">
        <v>0</v>
      </c>
      <c r="BB17" s="59">
        <v>2895248.2</v>
      </c>
      <c r="BC17" s="59">
        <v>2895248.2</v>
      </c>
      <c r="BD17" s="59">
        <v>224.52</v>
      </c>
      <c r="BE17" s="59">
        <v>0</v>
      </c>
      <c r="BF17" s="59">
        <v>0</v>
      </c>
      <c r="BG17" s="59">
        <v>2895472.7199999997</v>
      </c>
      <c r="BH17" s="59">
        <v>2895472.7199999997</v>
      </c>
      <c r="BI17" s="59">
        <v>62353.43</v>
      </c>
      <c r="BJ17" s="59">
        <v>0</v>
      </c>
      <c r="BK17" s="59">
        <v>0</v>
      </c>
      <c r="BL17" s="59">
        <v>2957826.1500000004</v>
      </c>
      <c r="BM17" s="59">
        <f t="shared" si="41"/>
        <v>2957826.1500000004</v>
      </c>
      <c r="BN17" s="59">
        <v>0</v>
      </c>
      <c r="BO17" s="59">
        <v>-0.16</v>
      </c>
      <c r="BP17" s="59">
        <v>0</v>
      </c>
      <c r="BQ17" s="59">
        <f t="shared" si="42"/>
        <v>2957825.99</v>
      </c>
      <c r="BR17" s="59">
        <f t="shared" si="43"/>
        <v>2957825.99</v>
      </c>
      <c r="BS17" s="59">
        <v>14755.260000000002</v>
      </c>
      <c r="BT17" s="59">
        <v>0</v>
      </c>
      <c r="BU17" s="59">
        <v>0</v>
      </c>
      <c r="BV17" s="59">
        <f t="shared" si="44"/>
        <v>2972581.25</v>
      </c>
      <c r="BW17" s="59">
        <f t="shared" si="45"/>
        <v>2972581.25</v>
      </c>
      <c r="BX17" s="59">
        <v>8025.9800000000005</v>
      </c>
      <c r="BY17" s="59">
        <v>0</v>
      </c>
      <c r="BZ17" s="59">
        <v>0</v>
      </c>
      <c r="CA17" s="59">
        <f t="shared" si="46"/>
        <v>2980607.23</v>
      </c>
      <c r="CD17" s="59">
        <f t="shared" si="47"/>
        <v>2972581.25</v>
      </c>
      <c r="CE17" s="60">
        <v>4754.66</v>
      </c>
      <c r="CF17" s="60">
        <v>0</v>
      </c>
      <c r="CG17" s="60">
        <v>0</v>
      </c>
      <c r="CH17" s="59">
        <f t="shared" si="62"/>
        <v>2977335.91</v>
      </c>
      <c r="CI17" s="59">
        <f t="shared" si="48"/>
        <v>2977335.91</v>
      </c>
      <c r="CJ17" s="60">
        <v>845.7</v>
      </c>
      <c r="CK17" s="60">
        <v>0</v>
      </c>
      <c r="CL17" s="60">
        <v>0</v>
      </c>
      <c r="CM17" s="59">
        <f t="shared" si="63"/>
        <v>2978181.6100000003</v>
      </c>
      <c r="CN17" s="59">
        <f t="shared" si="49"/>
        <v>2978181.6100000003</v>
      </c>
      <c r="CO17" s="60">
        <v>1294.93</v>
      </c>
      <c r="CP17" s="60">
        <v>0</v>
      </c>
      <c r="CQ17" s="60">
        <v>0</v>
      </c>
      <c r="CR17" s="59">
        <f t="shared" si="64"/>
        <v>2979476.5400000005</v>
      </c>
      <c r="CS17" s="59">
        <f t="shared" si="65"/>
        <v>2979476.5400000005</v>
      </c>
      <c r="CT17" s="60">
        <v>0.97</v>
      </c>
      <c r="CU17" s="60">
        <v>0</v>
      </c>
      <c r="CV17" s="60">
        <v>0</v>
      </c>
      <c r="CW17" s="59">
        <f t="shared" si="66"/>
        <v>2979477.5100000007</v>
      </c>
      <c r="CX17" s="59">
        <f t="shared" si="67"/>
        <v>2979477.5100000007</v>
      </c>
      <c r="CY17" s="60">
        <v>124235.29999999999</v>
      </c>
      <c r="CZ17" s="60">
        <v>0</v>
      </c>
      <c r="DA17" s="60">
        <v>0</v>
      </c>
      <c r="DB17" s="59">
        <f t="shared" si="68"/>
        <v>3103712.8100000005</v>
      </c>
      <c r="DC17" s="59">
        <f t="shared" si="69"/>
        <v>3103712.8100000005</v>
      </c>
      <c r="DD17" s="60">
        <v>1988.41</v>
      </c>
      <c r="DE17" s="60">
        <v>0</v>
      </c>
      <c r="DF17" s="60">
        <v>0</v>
      </c>
      <c r="DG17" s="59">
        <f t="shared" si="70"/>
        <v>3105701.2200000007</v>
      </c>
      <c r="DH17" s="59">
        <f t="shared" si="71"/>
        <v>3105701.2200000007</v>
      </c>
      <c r="DI17" s="60">
        <v>3645.69</v>
      </c>
      <c r="DJ17" s="60">
        <v>0</v>
      </c>
      <c r="DK17" s="60">
        <v>0</v>
      </c>
      <c r="DL17" s="59">
        <f t="shared" si="72"/>
        <v>3109346.9100000006</v>
      </c>
      <c r="DM17" s="59">
        <f t="shared" si="73"/>
        <v>3109346.9100000006</v>
      </c>
      <c r="DN17" s="60">
        <v>256.58999999999997</v>
      </c>
      <c r="DO17" s="60">
        <v>0</v>
      </c>
      <c r="DP17" s="60">
        <v>0</v>
      </c>
      <c r="DQ17" s="59">
        <f t="shared" si="74"/>
        <v>3109603.5000000005</v>
      </c>
      <c r="DR17" s="59">
        <f t="shared" si="75"/>
        <v>3109603.5000000005</v>
      </c>
      <c r="DS17" s="60">
        <v>157.32</v>
      </c>
      <c r="DT17" s="60">
        <v>0</v>
      </c>
      <c r="DU17" s="60">
        <v>0</v>
      </c>
      <c r="DV17" s="59">
        <f t="shared" si="76"/>
        <v>3109760.8200000003</v>
      </c>
      <c r="DW17" s="59">
        <f t="shared" si="77"/>
        <v>3109760.8200000003</v>
      </c>
      <c r="DX17" s="60">
        <v>28613.16</v>
      </c>
      <c r="DY17" s="60">
        <v>0</v>
      </c>
      <c r="DZ17" s="60">
        <v>0</v>
      </c>
      <c r="EA17" s="59">
        <f t="shared" si="78"/>
        <v>3138373.9800000004</v>
      </c>
      <c r="EB17" s="59">
        <f t="shared" si="79"/>
        <v>3138373.9800000004</v>
      </c>
      <c r="EC17" s="60">
        <v>192.74</v>
      </c>
      <c r="ED17" s="60">
        <v>0</v>
      </c>
      <c r="EE17" s="60">
        <v>0</v>
      </c>
      <c r="EF17" s="59">
        <f t="shared" si="80"/>
        <v>3138566.7200000007</v>
      </c>
      <c r="EG17" s="59">
        <f t="shared" si="81"/>
        <v>3138566.7200000007</v>
      </c>
      <c r="EH17" s="60">
        <v>1621.77</v>
      </c>
      <c r="EI17" s="60">
        <v>0</v>
      </c>
      <c r="EJ17" s="60">
        <v>0</v>
      </c>
      <c r="EK17" s="59">
        <f t="shared" si="82"/>
        <v>3140188.4900000007</v>
      </c>
      <c r="EL17" s="59">
        <f t="shared" si="83"/>
        <v>3140188.4900000007</v>
      </c>
      <c r="EM17" s="60">
        <v>5030.4399999999996</v>
      </c>
      <c r="EN17" s="60">
        <v>0</v>
      </c>
      <c r="EO17" s="60">
        <v>0</v>
      </c>
      <c r="EP17" s="59">
        <f t="shared" si="84"/>
        <v>3145218.9300000006</v>
      </c>
      <c r="EQ17" s="59">
        <f t="shared" si="85"/>
        <v>3145218.9300000006</v>
      </c>
      <c r="ER17" s="60">
        <v>894.75</v>
      </c>
      <c r="ES17" s="60">
        <v>0</v>
      </c>
      <c r="ET17" s="60">
        <v>0</v>
      </c>
      <c r="EU17" s="59">
        <f t="shared" si="86"/>
        <v>3146113.6800000006</v>
      </c>
      <c r="EV17" s="59">
        <f t="shared" si="87"/>
        <v>3146113.6800000006</v>
      </c>
      <c r="EW17" s="60">
        <v>1370.04</v>
      </c>
      <c r="EX17" s="60">
        <v>0</v>
      </c>
      <c r="EY17" s="60">
        <v>0</v>
      </c>
      <c r="EZ17" s="59">
        <f t="shared" si="88"/>
        <v>3147483.7200000007</v>
      </c>
      <c r="FA17" s="59">
        <f t="shared" si="89"/>
        <v>3147483.7200000007</v>
      </c>
      <c r="FB17" s="60">
        <v>1.03</v>
      </c>
      <c r="FC17" s="60">
        <v>0</v>
      </c>
      <c r="FD17" s="60">
        <v>0</v>
      </c>
      <c r="FE17" s="59">
        <f t="shared" si="90"/>
        <v>3147484.7500000005</v>
      </c>
      <c r="FF17" s="59">
        <f t="shared" si="91"/>
        <v>3147484.7500000005</v>
      </c>
      <c r="FG17" s="60">
        <v>145237.66</v>
      </c>
      <c r="FH17" s="60">
        <v>0</v>
      </c>
      <c r="FI17" s="60">
        <v>0</v>
      </c>
      <c r="FJ17" s="59">
        <f t="shared" si="92"/>
        <v>3292722.4100000006</v>
      </c>
      <c r="FK17" s="59">
        <f t="shared" si="93"/>
        <v>3292722.4100000006</v>
      </c>
      <c r="FL17" s="60">
        <v>2103.7399999999998</v>
      </c>
      <c r="FM17" s="60">
        <v>0</v>
      </c>
      <c r="FN17" s="60">
        <v>0</v>
      </c>
      <c r="FO17" s="59">
        <f t="shared" si="94"/>
        <v>3294826.1500000008</v>
      </c>
      <c r="FP17" s="59">
        <f t="shared" si="95"/>
        <v>3294826.1500000008</v>
      </c>
      <c r="FQ17" s="60">
        <v>3857.15</v>
      </c>
      <c r="FR17" s="60">
        <v>0</v>
      </c>
      <c r="FS17" s="60">
        <v>0</v>
      </c>
      <c r="FT17" s="59">
        <f t="shared" si="96"/>
        <v>3298683.3000000007</v>
      </c>
      <c r="FU17" s="59">
        <f t="shared" si="97"/>
        <v>3298683.3000000007</v>
      </c>
      <c r="FV17" s="60">
        <v>271.47000000000003</v>
      </c>
      <c r="FW17" s="60">
        <v>0</v>
      </c>
      <c r="FX17" s="60">
        <v>0</v>
      </c>
      <c r="FY17" s="59">
        <f t="shared" si="98"/>
        <v>3298954.7700000009</v>
      </c>
      <c r="FZ17" s="59">
        <f t="shared" si="99"/>
        <v>3298954.7700000009</v>
      </c>
      <c r="GA17" s="60">
        <v>166.45</v>
      </c>
      <c r="GB17" s="60">
        <v>0</v>
      </c>
      <c r="GC17" s="60">
        <v>0</v>
      </c>
      <c r="GD17" s="59">
        <f t="shared" si="100"/>
        <v>3299121.2200000011</v>
      </c>
      <c r="GE17" s="59">
        <f t="shared" si="101"/>
        <v>3299121.2200000011</v>
      </c>
      <c r="GF17" s="60">
        <v>30272.76</v>
      </c>
      <c r="GG17" s="60">
        <v>0</v>
      </c>
      <c r="GH17" s="60">
        <v>0</v>
      </c>
      <c r="GI17" s="59">
        <f t="shared" si="102"/>
        <v>3329393.9800000009</v>
      </c>
      <c r="GJ17" s="59"/>
    </row>
    <row r="18" spans="2:192">
      <c r="B18" s="58">
        <v>374.5</v>
      </c>
      <c r="C18" s="57" t="s">
        <v>385</v>
      </c>
      <c r="D18" s="59">
        <v>2666577.16</v>
      </c>
      <c r="E18" s="59">
        <v>2666577.16</v>
      </c>
      <c r="F18" s="59">
        <v>0</v>
      </c>
      <c r="G18" s="59">
        <v>0</v>
      </c>
      <c r="H18" s="59">
        <v>0</v>
      </c>
      <c r="I18" s="59">
        <v>2666577.16</v>
      </c>
      <c r="J18" s="59">
        <v>2666577.16</v>
      </c>
      <c r="K18" s="59">
        <v>0</v>
      </c>
      <c r="L18" s="59">
        <v>0</v>
      </c>
      <c r="M18" s="59">
        <v>0</v>
      </c>
      <c r="N18" s="59">
        <v>2666577.16</v>
      </c>
      <c r="O18" s="59">
        <v>2666577.16</v>
      </c>
      <c r="P18" s="59">
        <v>0</v>
      </c>
      <c r="Q18" s="59">
        <v>0</v>
      </c>
      <c r="R18" s="59">
        <v>0</v>
      </c>
      <c r="S18" s="59">
        <v>2666577.16</v>
      </c>
      <c r="T18" s="59">
        <v>2666577.16</v>
      </c>
      <c r="U18" s="59">
        <v>0</v>
      </c>
      <c r="V18" s="59">
        <v>0</v>
      </c>
      <c r="W18" s="59">
        <v>0</v>
      </c>
      <c r="X18" s="59">
        <v>2666577.16</v>
      </c>
      <c r="Y18" s="59">
        <v>2666577.16</v>
      </c>
      <c r="Z18" s="59">
        <v>0</v>
      </c>
      <c r="AA18" s="59">
        <v>0</v>
      </c>
      <c r="AB18" s="59">
        <v>0</v>
      </c>
      <c r="AC18" s="59">
        <v>2666577.16</v>
      </c>
      <c r="AD18" s="59">
        <v>2666577.16</v>
      </c>
      <c r="AE18" s="59">
        <v>0</v>
      </c>
      <c r="AF18" s="59">
        <v>0</v>
      </c>
      <c r="AG18" s="59">
        <v>0</v>
      </c>
      <c r="AH18" s="59">
        <v>2666577.16</v>
      </c>
      <c r="AI18" s="59">
        <v>2666577.16</v>
      </c>
      <c r="AJ18" s="59">
        <v>0</v>
      </c>
      <c r="AK18" s="59">
        <v>0</v>
      </c>
      <c r="AL18" s="59">
        <v>0</v>
      </c>
      <c r="AM18" s="59">
        <v>2666577.16</v>
      </c>
      <c r="AN18" s="59">
        <v>2666577.16</v>
      </c>
      <c r="AO18" s="59">
        <v>0</v>
      </c>
      <c r="AP18" s="59">
        <v>0</v>
      </c>
      <c r="AQ18" s="59">
        <v>0</v>
      </c>
      <c r="AR18" s="59">
        <v>2666577.16</v>
      </c>
      <c r="AS18" s="59">
        <v>2666577.16</v>
      </c>
      <c r="AT18" s="59">
        <v>0</v>
      </c>
      <c r="AU18" s="59">
        <v>0</v>
      </c>
      <c r="AV18" s="59">
        <v>0</v>
      </c>
      <c r="AW18" s="59">
        <v>2666577.16</v>
      </c>
      <c r="AX18" s="59">
        <v>2666577.16</v>
      </c>
      <c r="AY18" s="59">
        <v>0</v>
      </c>
      <c r="AZ18" s="59">
        <v>0</v>
      </c>
      <c r="BA18" s="59">
        <v>0</v>
      </c>
      <c r="BB18" s="59">
        <v>2666577.16</v>
      </c>
      <c r="BC18" s="59">
        <v>2666577.16</v>
      </c>
      <c r="BD18" s="59">
        <v>0</v>
      </c>
      <c r="BE18" s="59">
        <v>0</v>
      </c>
      <c r="BF18" s="59">
        <v>0</v>
      </c>
      <c r="BG18" s="59">
        <v>2666577.16</v>
      </c>
      <c r="BH18" s="59">
        <v>2666577.16</v>
      </c>
      <c r="BI18" s="59">
        <v>0</v>
      </c>
      <c r="BJ18" s="59">
        <v>0</v>
      </c>
      <c r="BK18" s="59">
        <v>0</v>
      </c>
      <c r="BL18" s="59">
        <v>2666577.16</v>
      </c>
      <c r="BM18" s="59">
        <f t="shared" si="41"/>
        <v>2666577.16</v>
      </c>
      <c r="BN18" s="59">
        <v>0</v>
      </c>
      <c r="BO18" s="59">
        <v>0</v>
      </c>
      <c r="BP18" s="59">
        <v>0</v>
      </c>
      <c r="BQ18" s="59">
        <f t="shared" si="42"/>
        <v>2666577.16</v>
      </c>
      <c r="BR18" s="59">
        <f t="shared" si="43"/>
        <v>2666577.16</v>
      </c>
      <c r="BS18" s="59">
        <v>0</v>
      </c>
      <c r="BT18" s="59">
        <v>0</v>
      </c>
      <c r="BU18" s="59">
        <v>0</v>
      </c>
      <c r="BV18" s="59">
        <f t="shared" si="44"/>
        <v>2666577.16</v>
      </c>
      <c r="BW18" s="59">
        <f t="shared" si="45"/>
        <v>2666577.16</v>
      </c>
      <c r="BX18" s="59">
        <v>0</v>
      </c>
      <c r="BY18" s="59">
        <v>0</v>
      </c>
      <c r="BZ18" s="59">
        <v>0</v>
      </c>
      <c r="CA18" s="59">
        <f t="shared" si="46"/>
        <v>2666577.16</v>
      </c>
      <c r="CD18" s="59">
        <f t="shared" si="47"/>
        <v>2666577.16</v>
      </c>
      <c r="CE18" s="60">
        <v>0</v>
      </c>
      <c r="CF18" s="60">
        <v>0</v>
      </c>
      <c r="CG18" s="60">
        <v>0</v>
      </c>
      <c r="CH18" s="59">
        <f t="shared" si="62"/>
        <v>2666577.16</v>
      </c>
      <c r="CI18" s="59">
        <f t="shared" si="48"/>
        <v>2666577.16</v>
      </c>
      <c r="CJ18" s="60">
        <v>0</v>
      </c>
      <c r="CK18" s="60">
        <v>0</v>
      </c>
      <c r="CL18" s="60">
        <v>0</v>
      </c>
      <c r="CM18" s="59">
        <f t="shared" si="63"/>
        <v>2666577.16</v>
      </c>
      <c r="CN18" s="59">
        <f t="shared" si="49"/>
        <v>2666577.16</v>
      </c>
      <c r="CO18" s="60">
        <v>0</v>
      </c>
      <c r="CP18" s="60">
        <v>0</v>
      </c>
      <c r="CQ18" s="60">
        <v>0</v>
      </c>
      <c r="CR18" s="59">
        <f t="shared" si="64"/>
        <v>2666577.16</v>
      </c>
      <c r="CS18" s="59">
        <f t="shared" si="65"/>
        <v>2666577.16</v>
      </c>
      <c r="CT18" s="60">
        <v>0</v>
      </c>
      <c r="CU18" s="60">
        <v>0</v>
      </c>
      <c r="CV18" s="60">
        <v>0</v>
      </c>
      <c r="CW18" s="59">
        <f t="shared" si="66"/>
        <v>2666577.16</v>
      </c>
      <c r="CX18" s="59">
        <f t="shared" si="67"/>
        <v>2666577.16</v>
      </c>
      <c r="CY18" s="60">
        <v>0</v>
      </c>
      <c r="CZ18" s="60">
        <v>0</v>
      </c>
      <c r="DA18" s="60">
        <v>0</v>
      </c>
      <c r="DB18" s="59">
        <f t="shared" si="68"/>
        <v>2666577.16</v>
      </c>
      <c r="DC18" s="59">
        <f t="shared" si="69"/>
        <v>2666577.16</v>
      </c>
      <c r="DD18" s="60">
        <v>0</v>
      </c>
      <c r="DE18" s="60">
        <v>0</v>
      </c>
      <c r="DF18" s="60">
        <v>0</v>
      </c>
      <c r="DG18" s="59">
        <f t="shared" si="70"/>
        <v>2666577.16</v>
      </c>
      <c r="DH18" s="59">
        <f t="shared" si="71"/>
        <v>2666577.16</v>
      </c>
      <c r="DI18" s="60">
        <v>0</v>
      </c>
      <c r="DJ18" s="60">
        <v>0</v>
      </c>
      <c r="DK18" s="60">
        <v>0</v>
      </c>
      <c r="DL18" s="59">
        <f t="shared" si="72"/>
        <v>2666577.16</v>
      </c>
      <c r="DM18" s="59">
        <f t="shared" si="73"/>
        <v>2666577.16</v>
      </c>
      <c r="DN18" s="60">
        <v>0</v>
      </c>
      <c r="DO18" s="60">
        <v>0</v>
      </c>
      <c r="DP18" s="60">
        <v>0</v>
      </c>
      <c r="DQ18" s="59">
        <f t="shared" si="74"/>
        <v>2666577.16</v>
      </c>
      <c r="DR18" s="59">
        <f t="shared" si="75"/>
        <v>2666577.16</v>
      </c>
      <c r="DS18" s="60">
        <v>0</v>
      </c>
      <c r="DT18" s="60">
        <v>0</v>
      </c>
      <c r="DU18" s="60">
        <v>0</v>
      </c>
      <c r="DV18" s="59">
        <f t="shared" si="76"/>
        <v>2666577.16</v>
      </c>
      <c r="DW18" s="59">
        <f t="shared" si="77"/>
        <v>2666577.16</v>
      </c>
      <c r="DX18" s="60">
        <v>0</v>
      </c>
      <c r="DY18" s="60">
        <v>0</v>
      </c>
      <c r="DZ18" s="60">
        <v>0</v>
      </c>
      <c r="EA18" s="59">
        <f t="shared" si="78"/>
        <v>2666577.16</v>
      </c>
      <c r="EB18" s="59">
        <f t="shared" si="79"/>
        <v>2666577.16</v>
      </c>
      <c r="EC18" s="60">
        <v>0</v>
      </c>
      <c r="ED18" s="60">
        <v>0</v>
      </c>
      <c r="EE18" s="60">
        <v>0</v>
      </c>
      <c r="EF18" s="59">
        <f t="shared" si="80"/>
        <v>2666577.16</v>
      </c>
      <c r="EG18" s="59">
        <f t="shared" si="81"/>
        <v>2666577.16</v>
      </c>
      <c r="EH18" s="60">
        <v>0</v>
      </c>
      <c r="EI18" s="60">
        <v>0</v>
      </c>
      <c r="EJ18" s="60">
        <v>0</v>
      </c>
      <c r="EK18" s="59">
        <f t="shared" si="82"/>
        <v>2666577.16</v>
      </c>
      <c r="EL18" s="59">
        <f t="shared" si="83"/>
        <v>2666577.16</v>
      </c>
      <c r="EM18" s="60">
        <v>0</v>
      </c>
      <c r="EN18" s="60">
        <v>0</v>
      </c>
      <c r="EO18" s="60">
        <v>0</v>
      </c>
      <c r="EP18" s="59">
        <f t="shared" si="84"/>
        <v>2666577.16</v>
      </c>
      <c r="EQ18" s="59">
        <f t="shared" si="85"/>
        <v>2666577.16</v>
      </c>
      <c r="ER18" s="60">
        <v>0</v>
      </c>
      <c r="ES18" s="60">
        <v>0</v>
      </c>
      <c r="ET18" s="60">
        <v>0</v>
      </c>
      <c r="EU18" s="59">
        <f t="shared" si="86"/>
        <v>2666577.16</v>
      </c>
      <c r="EV18" s="59">
        <f t="shared" si="87"/>
        <v>2666577.16</v>
      </c>
      <c r="EW18" s="60">
        <v>0</v>
      </c>
      <c r="EX18" s="60">
        <v>0</v>
      </c>
      <c r="EY18" s="60">
        <v>0</v>
      </c>
      <c r="EZ18" s="59">
        <f t="shared" si="88"/>
        <v>2666577.16</v>
      </c>
      <c r="FA18" s="59">
        <f t="shared" si="89"/>
        <v>2666577.16</v>
      </c>
      <c r="FB18" s="60">
        <v>0</v>
      </c>
      <c r="FC18" s="60">
        <v>0</v>
      </c>
      <c r="FD18" s="60">
        <v>0</v>
      </c>
      <c r="FE18" s="59">
        <f t="shared" si="90"/>
        <v>2666577.16</v>
      </c>
      <c r="FF18" s="59">
        <f t="shared" si="91"/>
        <v>2666577.16</v>
      </c>
      <c r="FG18" s="60">
        <v>0</v>
      </c>
      <c r="FH18" s="60">
        <v>0</v>
      </c>
      <c r="FI18" s="60">
        <v>0</v>
      </c>
      <c r="FJ18" s="59">
        <f t="shared" si="92"/>
        <v>2666577.16</v>
      </c>
      <c r="FK18" s="59">
        <f t="shared" si="93"/>
        <v>2666577.16</v>
      </c>
      <c r="FL18" s="60">
        <v>0</v>
      </c>
      <c r="FM18" s="60">
        <v>0</v>
      </c>
      <c r="FN18" s="60">
        <v>0</v>
      </c>
      <c r="FO18" s="59">
        <f t="shared" si="94"/>
        <v>2666577.16</v>
      </c>
      <c r="FP18" s="59">
        <f t="shared" si="95"/>
        <v>2666577.16</v>
      </c>
      <c r="FQ18" s="60">
        <v>0</v>
      </c>
      <c r="FR18" s="60">
        <v>0</v>
      </c>
      <c r="FS18" s="60">
        <v>0</v>
      </c>
      <c r="FT18" s="59">
        <f t="shared" si="96"/>
        <v>2666577.16</v>
      </c>
      <c r="FU18" s="59">
        <f t="shared" si="97"/>
        <v>2666577.16</v>
      </c>
      <c r="FV18" s="60">
        <v>0</v>
      </c>
      <c r="FW18" s="60">
        <v>0</v>
      </c>
      <c r="FX18" s="60">
        <v>0</v>
      </c>
      <c r="FY18" s="59">
        <f t="shared" si="98"/>
        <v>2666577.16</v>
      </c>
      <c r="FZ18" s="59">
        <f t="shared" si="99"/>
        <v>2666577.16</v>
      </c>
      <c r="GA18" s="60">
        <v>0</v>
      </c>
      <c r="GB18" s="60">
        <v>0</v>
      </c>
      <c r="GC18" s="60">
        <v>0</v>
      </c>
      <c r="GD18" s="59">
        <f t="shared" si="100"/>
        <v>2666577.16</v>
      </c>
      <c r="GE18" s="59">
        <f t="shared" si="101"/>
        <v>2666577.16</v>
      </c>
      <c r="GF18" s="60">
        <v>0</v>
      </c>
      <c r="GG18" s="60">
        <v>0</v>
      </c>
      <c r="GH18" s="60">
        <v>0</v>
      </c>
      <c r="GI18" s="59">
        <f t="shared" si="102"/>
        <v>2666577.16</v>
      </c>
      <c r="GJ18" s="59"/>
    </row>
    <row r="19" spans="2:192">
      <c r="B19" s="58">
        <v>375.2</v>
      </c>
      <c r="C19" s="57" t="s">
        <v>386</v>
      </c>
      <c r="D19" s="59">
        <v>2124.98</v>
      </c>
      <c r="E19" s="59">
        <v>2124.98</v>
      </c>
      <c r="F19" s="59">
        <v>0</v>
      </c>
      <c r="G19" s="59">
        <v>0</v>
      </c>
      <c r="H19" s="59">
        <v>0</v>
      </c>
      <c r="I19" s="59">
        <v>2124.98</v>
      </c>
      <c r="J19" s="59">
        <v>2124.98</v>
      </c>
      <c r="K19" s="59">
        <v>0</v>
      </c>
      <c r="L19" s="59">
        <v>0</v>
      </c>
      <c r="M19" s="59">
        <v>0</v>
      </c>
      <c r="N19" s="59">
        <v>2124.98</v>
      </c>
      <c r="O19" s="59">
        <v>2124.98</v>
      </c>
      <c r="P19" s="59">
        <v>0</v>
      </c>
      <c r="Q19" s="59">
        <v>0</v>
      </c>
      <c r="R19" s="59">
        <v>0</v>
      </c>
      <c r="S19" s="59">
        <v>2124.98</v>
      </c>
      <c r="T19" s="59">
        <v>2124.98</v>
      </c>
      <c r="U19" s="59">
        <v>0</v>
      </c>
      <c r="V19" s="59">
        <v>0</v>
      </c>
      <c r="W19" s="59">
        <v>0</v>
      </c>
      <c r="X19" s="59">
        <v>2124.98</v>
      </c>
      <c r="Y19" s="59">
        <v>2124.98</v>
      </c>
      <c r="Z19" s="59">
        <v>0</v>
      </c>
      <c r="AA19" s="59">
        <v>0</v>
      </c>
      <c r="AB19" s="59">
        <v>0</v>
      </c>
      <c r="AC19" s="59">
        <v>2124.98</v>
      </c>
      <c r="AD19" s="59">
        <v>2124.98</v>
      </c>
      <c r="AE19" s="59">
        <v>0</v>
      </c>
      <c r="AF19" s="59">
        <v>0</v>
      </c>
      <c r="AG19" s="59">
        <v>0</v>
      </c>
      <c r="AH19" s="59">
        <v>2124.98</v>
      </c>
      <c r="AI19" s="59">
        <v>2124.98</v>
      </c>
      <c r="AJ19" s="59">
        <v>0</v>
      </c>
      <c r="AK19" s="59">
        <v>0</v>
      </c>
      <c r="AL19" s="59">
        <v>0</v>
      </c>
      <c r="AM19" s="59">
        <v>2124.98</v>
      </c>
      <c r="AN19" s="59">
        <v>2124.98</v>
      </c>
      <c r="AO19" s="59">
        <v>0</v>
      </c>
      <c r="AP19" s="59">
        <v>0</v>
      </c>
      <c r="AQ19" s="59">
        <v>0</v>
      </c>
      <c r="AR19" s="59">
        <v>2124.98</v>
      </c>
      <c r="AS19" s="59">
        <v>2124.98</v>
      </c>
      <c r="AT19" s="59">
        <v>0</v>
      </c>
      <c r="AU19" s="59">
        <v>0</v>
      </c>
      <c r="AV19" s="59">
        <v>0</v>
      </c>
      <c r="AW19" s="59">
        <v>2124.98</v>
      </c>
      <c r="AX19" s="59">
        <v>2124.98</v>
      </c>
      <c r="AY19" s="59">
        <v>0</v>
      </c>
      <c r="AZ19" s="59">
        <v>0</v>
      </c>
      <c r="BA19" s="59">
        <v>0</v>
      </c>
      <c r="BB19" s="59">
        <v>2124.98</v>
      </c>
      <c r="BC19" s="59">
        <v>2124.98</v>
      </c>
      <c r="BD19" s="59">
        <v>0</v>
      </c>
      <c r="BE19" s="59">
        <v>0</v>
      </c>
      <c r="BF19" s="59">
        <v>0</v>
      </c>
      <c r="BG19" s="59">
        <v>2124.98</v>
      </c>
      <c r="BH19" s="59">
        <v>2124.98</v>
      </c>
      <c r="BI19" s="59">
        <v>0</v>
      </c>
      <c r="BJ19" s="59">
        <v>0</v>
      </c>
      <c r="BK19" s="59">
        <v>0</v>
      </c>
      <c r="BL19" s="59">
        <v>2124.98</v>
      </c>
      <c r="BM19" s="59">
        <f t="shared" si="41"/>
        <v>2124.98</v>
      </c>
      <c r="BN19" s="59">
        <v>0</v>
      </c>
      <c r="BO19" s="59">
        <v>0</v>
      </c>
      <c r="BP19" s="59">
        <v>0</v>
      </c>
      <c r="BQ19" s="59">
        <f t="shared" si="42"/>
        <v>2124.98</v>
      </c>
      <c r="BR19" s="59">
        <f t="shared" si="43"/>
        <v>2124.98</v>
      </c>
      <c r="BS19" s="59">
        <v>0</v>
      </c>
      <c r="BT19" s="59">
        <v>0</v>
      </c>
      <c r="BU19" s="59">
        <v>0</v>
      </c>
      <c r="BV19" s="59">
        <f t="shared" si="44"/>
        <v>2124.98</v>
      </c>
      <c r="BW19" s="59">
        <f t="shared" si="45"/>
        <v>2124.98</v>
      </c>
      <c r="BX19" s="59">
        <v>0</v>
      </c>
      <c r="BY19" s="59">
        <v>0</v>
      </c>
      <c r="BZ19" s="59">
        <v>0</v>
      </c>
      <c r="CA19" s="59">
        <f t="shared" si="46"/>
        <v>2124.98</v>
      </c>
      <c r="CD19" s="59">
        <f t="shared" si="47"/>
        <v>2124.98</v>
      </c>
      <c r="CE19" s="60">
        <v>0</v>
      </c>
      <c r="CF19" s="60">
        <v>0</v>
      </c>
      <c r="CG19" s="60">
        <v>0</v>
      </c>
      <c r="CH19" s="59">
        <f t="shared" si="62"/>
        <v>2124.98</v>
      </c>
      <c r="CI19" s="59">
        <f t="shared" si="48"/>
        <v>2124.98</v>
      </c>
      <c r="CJ19" s="60">
        <v>0</v>
      </c>
      <c r="CK19" s="60">
        <v>0</v>
      </c>
      <c r="CL19" s="60">
        <v>0</v>
      </c>
      <c r="CM19" s="59">
        <f t="shared" si="63"/>
        <v>2124.98</v>
      </c>
      <c r="CN19" s="59">
        <f t="shared" si="49"/>
        <v>2124.98</v>
      </c>
      <c r="CO19" s="60">
        <v>0</v>
      </c>
      <c r="CP19" s="60">
        <v>0</v>
      </c>
      <c r="CQ19" s="60">
        <v>0</v>
      </c>
      <c r="CR19" s="59">
        <f t="shared" si="64"/>
        <v>2124.98</v>
      </c>
      <c r="CS19" s="59">
        <f t="shared" si="65"/>
        <v>2124.98</v>
      </c>
      <c r="CT19" s="60">
        <v>0</v>
      </c>
      <c r="CU19" s="60">
        <v>0</v>
      </c>
      <c r="CV19" s="60">
        <v>0</v>
      </c>
      <c r="CW19" s="59">
        <f t="shared" si="66"/>
        <v>2124.98</v>
      </c>
      <c r="CX19" s="59">
        <f t="shared" si="67"/>
        <v>2124.98</v>
      </c>
      <c r="CY19" s="60">
        <v>0</v>
      </c>
      <c r="CZ19" s="60">
        <v>0</v>
      </c>
      <c r="DA19" s="60">
        <v>0</v>
      </c>
      <c r="DB19" s="59">
        <f t="shared" si="68"/>
        <v>2124.98</v>
      </c>
      <c r="DC19" s="59">
        <f t="shared" si="69"/>
        <v>2124.98</v>
      </c>
      <c r="DD19" s="60">
        <v>0</v>
      </c>
      <c r="DE19" s="60">
        <v>0</v>
      </c>
      <c r="DF19" s="60">
        <v>0</v>
      </c>
      <c r="DG19" s="59">
        <f t="shared" si="70"/>
        <v>2124.98</v>
      </c>
      <c r="DH19" s="59">
        <f t="shared" si="71"/>
        <v>2124.98</v>
      </c>
      <c r="DI19" s="60">
        <v>0</v>
      </c>
      <c r="DJ19" s="60">
        <v>0</v>
      </c>
      <c r="DK19" s="60">
        <v>0</v>
      </c>
      <c r="DL19" s="59">
        <f t="shared" si="72"/>
        <v>2124.98</v>
      </c>
      <c r="DM19" s="59">
        <f t="shared" si="73"/>
        <v>2124.98</v>
      </c>
      <c r="DN19" s="60">
        <v>0</v>
      </c>
      <c r="DO19" s="60">
        <v>0</v>
      </c>
      <c r="DP19" s="60">
        <v>0</v>
      </c>
      <c r="DQ19" s="59">
        <f t="shared" si="74"/>
        <v>2124.98</v>
      </c>
      <c r="DR19" s="59">
        <f t="shared" si="75"/>
        <v>2124.98</v>
      </c>
      <c r="DS19" s="60">
        <v>0</v>
      </c>
      <c r="DT19" s="60">
        <v>0</v>
      </c>
      <c r="DU19" s="60">
        <v>0</v>
      </c>
      <c r="DV19" s="59">
        <f t="shared" si="76"/>
        <v>2124.98</v>
      </c>
      <c r="DW19" s="59">
        <f t="shared" si="77"/>
        <v>2124.98</v>
      </c>
      <c r="DX19" s="60">
        <v>0</v>
      </c>
      <c r="DY19" s="60">
        <v>0</v>
      </c>
      <c r="DZ19" s="60">
        <v>0</v>
      </c>
      <c r="EA19" s="59">
        <f t="shared" si="78"/>
        <v>2124.98</v>
      </c>
      <c r="EB19" s="59">
        <f t="shared" si="79"/>
        <v>2124.98</v>
      </c>
      <c r="EC19" s="60">
        <v>0</v>
      </c>
      <c r="ED19" s="60">
        <v>0</v>
      </c>
      <c r="EE19" s="60">
        <v>0</v>
      </c>
      <c r="EF19" s="59">
        <f t="shared" si="80"/>
        <v>2124.98</v>
      </c>
      <c r="EG19" s="59">
        <f t="shared" si="81"/>
        <v>2124.98</v>
      </c>
      <c r="EH19" s="60">
        <v>0</v>
      </c>
      <c r="EI19" s="60">
        <v>0</v>
      </c>
      <c r="EJ19" s="60">
        <v>0</v>
      </c>
      <c r="EK19" s="59">
        <f t="shared" si="82"/>
        <v>2124.98</v>
      </c>
      <c r="EL19" s="59">
        <f t="shared" si="83"/>
        <v>2124.98</v>
      </c>
      <c r="EM19" s="60">
        <v>0</v>
      </c>
      <c r="EN19" s="60">
        <v>0</v>
      </c>
      <c r="EO19" s="60">
        <v>0</v>
      </c>
      <c r="EP19" s="59">
        <f t="shared" si="84"/>
        <v>2124.98</v>
      </c>
      <c r="EQ19" s="59">
        <f t="shared" si="85"/>
        <v>2124.98</v>
      </c>
      <c r="ER19" s="60">
        <v>0</v>
      </c>
      <c r="ES19" s="60">
        <v>0</v>
      </c>
      <c r="ET19" s="60">
        <v>0</v>
      </c>
      <c r="EU19" s="59">
        <f t="shared" si="86"/>
        <v>2124.98</v>
      </c>
      <c r="EV19" s="59">
        <f t="shared" si="87"/>
        <v>2124.98</v>
      </c>
      <c r="EW19" s="60">
        <v>0</v>
      </c>
      <c r="EX19" s="60">
        <v>0</v>
      </c>
      <c r="EY19" s="60">
        <v>0</v>
      </c>
      <c r="EZ19" s="59">
        <f t="shared" si="88"/>
        <v>2124.98</v>
      </c>
      <c r="FA19" s="59">
        <f t="shared" si="89"/>
        <v>2124.98</v>
      </c>
      <c r="FB19" s="60">
        <v>0</v>
      </c>
      <c r="FC19" s="60">
        <v>0</v>
      </c>
      <c r="FD19" s="60">
        <v>0</v>
      </c>
      <c r="FE19" s="59">
        <f t="shared" si="90"/>
        <v>2124.98</v>
      </c>
      <c r="FF19" s="59">
        <f t="shared" si="91"/>
        <v>2124.98</v>
      </c>
      <c r="FG19" s="60">
        <v>0</v>
      </c>
      <c r="FH19" s="60">
        <v>0</v>
      </c>
      <c r="FI19" s="60">
        <v>0</v>
      </c>
      <c r="FJ19" s="59">
        <f t="shared" si="92"/>
        <v>2124.98</v>
      </c>
      <c r="FK19" s="59">
        <f t="shared" si="93"/>
        <v>2124.98</v>
      </c>
      <c r="FL19" s="60">
        <v>0</v>
      </c>
      <c r="FM19" s="60">
        <v>0</v>
      </c>
      <c r="FN19" s="60">
        <v>0</v>
      </c>
      <c r="FO19" s="59">
        <f t="shared" si="94"/>
        <v>2124.98</v>
      </c>
      <c r="FP19" s="59">
        <f t="shared" si="95"/>
        <v>2124.98</v>
      </c>
      <c r="FQ19" s="60">
        <v>0</v>
      </c>
      <c r="FR19" s="60">
        <v>0</v>
      </c>
      <c r="FS19" s="60">
        <v>0</v>
      </c>
      <c r="FT19" s="59">
        <f t="shared" si="96"/>
        <v>2124.98</v>
      </c>
      <c r="FU19" s="59">
        <f t="shared" si="97"/>
        <v>2124.98</v>
      </c>
      <c r="FV19" s="60">
        <v>0</v>
      </c>
      <c r="FW19" s="60">
        <v>0</v>
      </c>
      <c r="FX19" s="60">
        <v>0</v>
      </c>
      <c r="FY19" s="59">
        <f t="shared" si="98"/>
        <v>2124.98</v>
      </c>
      <c r="FZ19" s="59">
        <f t="shared" si="99"/>
        <v>2124.98</v>
      </c>
      <c r="GA19" s="60">
        <v>0</v>
      </c>
      <c r="GB19" s="60">
        <v>0</v>
      </c>
      <c r="GC19" s="60">
        <v>0</v>
      </c>
      <c r="GD19" s="59">
        <f t="shared" si="100"/>
        <v>2124.98</v>
      </c>
      <c r="GE19" s="59">
        <f t="shared" si="101"/>
        <v>2124.98</v>
      </c>
      <c r="GF19" s="60">
        <v>0</v>
      </c>
      <c r="GG19" s="60">
        <v>0</v>
      </c>
      <c r="GH19" s="60">
        <v>0</v>
      </c>
      <c r="GI19" s="59">
        <f t="shared" si="102"/>
        <v>2124.98</v>
      </c>
      <c r="GJ19" s="59"/>
    </row>
    <row r="20" spans="2:192">
      <c r="B20" s="58">
        <v>375.3</v>
      </c>
      <c r="C20" s="57" t="s">
        <v>387</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0</v>
      </c>
      <c r="AG20" s="59">
        <v>0</v>
      </c>
      <c r="AH20" s="59">
        <v>0</v>
      </c>
      <c r="AI20" s="59">
        <v>0</v>
      </c>
      <c r="AJ20" s="59">
        <v>0</v>
      </c>
      <c r="AK20" s="59">
        <v>0</v>
      </c>
      <c r="AL20" s="59">
        <v>0</v>
      </c>
      <c r="AM20" s="59">
        <v>0</v>
      </c>
      <c r="AN20" s="59">
        <v>0</v>
      </c>
      <c r="AO20" s="59">
        <v>0</v>
      </c>
      <c r="AP20" s="59">
        <v>0</v>
      </c>
      <c r="AQ20" s="59">
        <v>0</v>
      </c>
      <c r="AR20" s="59">
        <v>0</v>
      </c>
      <c r="AS20" s="59">
        <v>0</v>
      </c>
      <c r="AT20" s="59">
        <v>0</v>
      </c>
      <c r="AU20" s="59">
        <v>0</v>
      </c>
      <c r="AV20" s="59">
        <v>0</v>
      </c>
      <c r="AW20" s="59">
        <v>0</v>
      </c>
      <c r="AX20" s="59">
        <v>0</v>
      </c>
      <c r="AY20" s="59">
        <v>0</v>
      </c>
      <c r="AZ20" s="59">
        <v>0</v>
      </c>
      <c r="BA20" s="59">
        <v>0</v>
      </c>
      <c r="BB20" s="59">
        <v>0</v>
      </c>
      <c r="BC20" s="59">
        <v>0</v>
      </c>
      <c r="BD20" s="59">
        <v>0</v>
      </c>
      <c r="BE20" s="59">
        <v>0</v>
      </c>
      <c r="BF20" s="59">
        <v>0</v>
      </c>
      <c r="BG20" s="59">
        <v>0</v>
      </c>
      <c r="BH20" s="59">
        <v>0</v>
      </c>
      <c r="BI20" s="59">
        <v>0</v>
      </c>
      <c r="BJ20" s="59">
        <v>0</v>
      </c>
      <c r="BK20" s="59">
        <v>0</v>
      </c>
      <c r="BL20" s="59">
        <v>0</v>
      </c>
      <c r="BM20" s="59">
        <f t="shared" si="41"/>
        <v>0</v>
      </c>
      <c r="BN20" s="59">
        <v>0</v>
      </c>
      <c r="BO20" s="59">
        <v>0</v>
      </c>
      <c r="BP20" s="59">
        <v>0</v>
      </c>
      <c r="BQ20" s="59">
        <f t="shared" si="42"/>
        <v>0</v>
      </c>
      <c r="BR20" s="59">
        <f t="shared" si="43"/>
        <v>0</v>
      </c>
      <c r="BS20" s="59">
        <v>0</v>
      </c>
      <c r="BT20" s="59">
        <v>0</v>
      </c>
      <c r="BU20" s="59">
        <v>0</v>
      </c>
      <c r="BV20" s="59">
        <f t="shared" si="44"/>
        <v>0</v>
      </c>
      <c r="BW20" s="59">
        <f t="shared" si="45"/>
        <v>0</v>
      </c>
      <c r="BX20" s="59">
        <v>0</v>
      </c>
      <c r="BY20" s="59">
        <v>0</v>
      </c>
      <c r="BZ20" s="59">
        <v>0</v>
      </c>
      <c r="CA20" s="59">
        <f t="shared" si="46"/>
        <v>0</v>
      </c>
      <c r="CD20" s="59">
        <f t="shared" si="47"/>
        <v>0</v>
      </c>
      <c r="CE20" s="60">
        <v>0</v>
      </c>
      <c r="CF20" s="60">
        <v>0</v>
      </c>
      <c r="CG20" s="60">
        <v>0</v>
      </c>
      <c r="CH20" s="59">
        <f t="shared" si="62"/>
        <v>0</v>
      </c>
      <c r="CI20" s="59">
        <f t="shared" si="48"/>
        <v>0</v>
      </c>
      <c r="CJ20" s="60">
        <v>0</v>
      </c>
      <c r="CK20" s="60">
        <v>0</v>
      </c>
      <c r="CL20" s="60">
        <v>0</v>
      </c>
      <c r="CM20" s="59">
        <f t="shared" si="63"/>
        <v>0</v>
      </c>
      <c r="CN20" s="59">
        <f t="shared" si="49"/>
        <v>0</v>
      </c>
      <c r="CO20" s="60">
        <v>0</v>
      </c>
      <c r="CP20" s="60">
        <v>0</v>
      </c>
      <c r="CQ20" s="60">
        <v>0</v>
      </c>
      <c r="CR20" s="59">
        <f t="shared" si="64"/>
        <v>0</v>
      </c>
      <c r="CS20" s="59">
        <f t="shared" si="65"/>
        <v>0</v>
      </c>
      <c r="CT20" s="60">
        <v>0</v>
      </c>
      <c r="CU20" s="60">
        <v>0</v>
      </c>
      <c r="CV20" s="60">
        <v>0</v>
      </c>
      <c r="CW20" s="59">
        <f t="shared" si="66"/>
        <v>0</v>
      </c>
      <c r="CX20" s="59">
        <f t="shared" si="67"/>
        <v>0</v>
      </c>
      <c r="CY20" s="60">
        <v>0</v>
      </c>
      <c r="CZ20" s="60">
        <v>0</v>
      </c>
      <c r="DA20" s="60">
        <v>0</v>
      </c>
      <c r="DB20" s="59">
        <f t="shared" si="68"/>
        <v>0</v>
      </c>
      <c r="DC20" s="59">
        <f t="shared" si="69"/>
        <v>0</v>
      </c>
      <c r="DD20" s="60">
        <v>0</v>
      </c>
      <c r="DE20" s="60">
        <v>0</v>
      </c>
      <c r="DF20" s="60">
        <v>0</v>
      </c>
      <c r="DG20" s="59">
        <f t="shared" si="70"/>
        <v>0</v>
      </c>
      <c r="DH20" s="59">
        <f t="shared" si="71"/>
        <v>0</v>
      </c>
      <c r="DI20" s="60">
        <v>0</v>
      </c>
      <c r="DJ20" s="60">
        <v>0</v>
      </c>
      <c r="DK20" s="60">
        <v>0</v>
      </c>
      <c r="DL20" s="59">
        <f t="shared" si="72"/>
        <v>0</v>
      </c>
      <c r="DM20" s="59">
        <f t="shared" si="73"/>
        <v>0</v>
      </c>
      <c r="DN20" s="60">
        <v>0</v>
      </c>
      <c r="DO20" s="60">
        <v>0</v>
      </c>
      <c r="DP20" s="60">
        <v>0</v>
      </c>
      <c r="DQ20" s="59">
        <f t="shared" si="74"/>
        <v>0</v>
      </c>
      <c r="DR20" s="59">
        <f t="shared" si="75"/>
        <v>0</v>
      </c>
      <c r="DS20" s="60">
        <v>0</v>
      </c>
      <c r="DT20" s="60">
        <v>0</v>
      </c>
      <c r="DU20" s="60">
        <v>0</v>
      </c>
      <c r="DV20" s="59">
        <f t="shared" si="76"/>
        <v>0</v>
      </c>
      <c r="DW20" s="59">
        <f t="shared" si="77"/>
        <v>0</v>
      </c>
      <c r="DX20" s="60">
        <v>0</v>
      </c>
      <c r="DY20" s="60">
        <v>0</v>
      </c>
      <c r="DZ20" s="60">
        <v>0</v>
      </c>
      <c r="EA20" s="59">
        <f t="shared" si="78"/>
        <v>0</v>
      </c>
      <c r="EB20" s="59">
        <f t="shared" si="79"/>
        <v>0</v>
      </c>
      <c r="EC20" s="60">
        <v>0</v>
      </c>
      <c r="ED20" s="60">
        <v>0</v>
      </c>
      <c r="EE20" s="60">
        <v>0</v>
      </c>
      <c r="EF20" s="59">
        <f t="shared" si="80"/>
        <v>0</v>
      </c>
      <c r="EG20" s="59">
        <f t="shared" si="81"/>
        <v>0</v>
      </c>
      <c r="EH20" s="60">
        <v>0</v>
      </c>
      <c r="EI20" s="60">
        <v>0</v>
      </c>
      <c r="EJ20" s="60">
        <v>0</v>
      </c>
      <c r="EK20" s="59">
        <f t="shared" si="82"/>
        <v>0</v>
      </c>
      <c r="EL20" s="59">
        <f t="shared" si="83"/>
        <v>0</v>
      </c>
      <c r="EM20" s="60">
        <v>0</v>
      </c>
      <c r="EN20" s="60">
        <v>0</v>
      </c>
      <c r="EO20" s="60">
        <v>0</v>
      </c>
      <c r="EP20" s="59">
        <f t="shared" si="84"/>
        <v>0</v>
      </c>
      <c r="EQ20" s="59">
        <f t="shared" si="85"/>
        <v>0</v>
      </c>
      <c r="ER20" s="60">
        <v>0</v>
      </c>
      <c r="ES20" s="60">
        <v>0</v>
      </c>
      <c r="ET20" s="60">
        <v>0</v>
      </c>
      <c r="EU20" s="59">
        <f t="shared" si="86"/>
        <v>0</v>
      </c>
      <c r="EV20" s="59">
        <f t="shared" si="87"/>
        <v>0</v>
      </c>
      <c r="EW20" s="60">
        <v>0</v>
      </c>
      <c r="EX20" s="60">
        <v>0</v>
      </c>
      <c r="EY20" s="60">
        <v>0</v>
      </c>
      <c r="EZ20" s="59">
        <f t="shared" si="88"/>
        <v>0</v>
      </c>
      <c r="FA20" s="59">
        <f t="shared" si="89"/>
        <v>0</v>
      </c>
      <c r="FB20" s="60">
        <v>0</v>
      </c>
      <c r="FC20" s="60">
        <v>0</v>
      </c>
      <c r="FD20" s="60">
        <v>0</v>
      </c>
      <c r="FE20" s="59">
        <f t="shared" si="90"/>
        <v>0</v>
      </c>
      <c r="FF20" s="59">
        <f t="shared" si="91"/>
        <v>0</v>
      </c>
      <c r="FG20" s="60">
        <v>0</v>
      </c>
      <c r="FH20" s="60">
        <v>0</v>
      </c>
      <c r="FI20" s="60">
        <v>0</v>
      </c>
      <c r="FJ20" s="59">
        <f t="shared" si="92"/>
        <v>0</v>
      </c>
      <c r="FK20" s="59">
        <f t="shared" si="93"/>
        <v>0</v>
      </c>
      <c r="FL20" s="60">
        <v>0</v>
      </c>
      <c r="FM20" s="60">
        <v>0</v>
      </c>
      <c r="FN20" s="60">
        <v>0</v>
      </c>
      <c r="FO20" s="59">
        <f t="shared" si="94"/>
        <v>0</v>
      </c>
      <c r="FP20" s="59">
        <f t="shared" si="95"/>
        <v>0</v>
      </c>
      <c r="FQ20" s="60">
        <v>0</v>
      </c>
      <c r="FR20" s="60">
        <v>0</v>
      </c>
      <c r="FS20" s="60">
        <v>0</v>
      </c>
      <c r="FT20" s="59">
        <f t="shared" si="96"/>
        <v>0</v>
      </c>
      <c r="FU20" s="59">
        <f t="shared" si="97"/>
        <v>0</v>
      </c>
      <c r="FV20" s="60">
        <v>0</v>
      </c>
      <c r="FW20" s="60">
        <v>0</v>
      </c>
      <c r="FX20" s="60">
        <v>0</v>
      </c>
      <c r="FY20" s="59">
        <f t="shared" si="98"/>
        <v>0</v>
      </c>
      <c r="FZ20" s="59">
        <f t="shared" si="99"/>
        <v>0</v>
      </c>
      <c r="GA20" s="60">
        <v>0</v>
      </c>
      <c r="GB20" s="60">
        <v>0</v>
      </c>
      <c r="GC20" s="60">
        <v>0</v>
      </c>
      <c r="GD20" s="59">
        <f t="shared" si="100"/>
        <v>0</v>
      </c>
      <c r="GE20" s="59">
        <f t="shared" si="101"/>
        <v>0</v>
      </c>
      <c r="GF20" s="60">
        <v>0</v>
      </c>
      <c r="GG20" s="60">
        <v>0</v>
      </c>
      <c r="GH20" s="60">
        <v>0</v>
      </c>
      <c r="GI20" s="59">
        <f t="shared" si="102"/>
        <v>0</v>
      </c>
      <c r="GJ20" s="59"/>
    </row>
    <row r="21" spans="2:192">
      <c r="B21" s="67">
        <v>375.4</v>
      </c>
      <c r="C21" s="68" t="s">
        <v>388</v>
      </c>
      <c r="D21" s="69">
        <v>2821847.9699999997</v>
      </c>
      <c r="E21" s="69">
        <v>2821847.9699999997</v>
      </c>
      <c r="F21" s="69">
        <v>651.27999999999884</v>
      </c>
      <c r="G21" s="69">
        <v>-5436.9000000000005</v>
      </c>
      <c r="H21" s="69">
        <v>0</v>
      </c>
      <c r="I21" s="69">
        <v>2817062.35</v>
      </c>
      <c r="J21" s="69">
        <v>2817062.35</v>
      </c>
      <c r="K21" s="69">
        <v>2401.62</v>
      </c>
      <c r="L21" s="69">
        <v>-400</v>
      </c>
      <c r="M21" s="69">
        <v>0</v>
      </c>
      <c r="N21" s="69">
        <v>2819063.97</v>
      </c>
      <c r="O21" s="69">
        <v>2819063.97</v>
      </c>
      <c r="P21" s="69">
        <v>9657.36</v>
      </c>
      <c r="Q21" s="69">
        <v>-200</v>
      </c>
      <c r="R21" s="69">
        <v>0</v>
      </c>
      <c r="S21" s="69">
        <v>2828521.33</v>
      </c>
      <c r="T21" s="69">
        <v>2828521.33</v>
      </c>
      <c r="U21" s="69">
        <v>186.02999999999884</v>
      </c>
      <c r="V21" s="69">
        <v>0</v>
      </c>
      <c r="W21" s="69">
        <v>0</v>
      </c>
      <c r="X21" s="69">
        <v>2828707.36</v>
      </c>
      <c r="Y21" s="69">
        <v>2828707.36</v>
      </c>
      <c r="Z21" s="69">
        <v>131288.39000000001</v>
      </c>
      <c r="AA21" s="69">
        <v>-1030.0999999999999</v>
      </c>
      <c r="AB21" s="69">
        <v>0</v>
      </c>
      <c r="AC21" s="69">
        <v>2958965.6499999994</v>
      </c>
      <c r="AD21" s="69">
        <v>2958965.6499999994</v>
      </c>
      <c r="AE21" s="69">
        <v>13592.67</v>
      </c>
      <c r="AF21" s="69">
        <v>0</v>
      </c>
      <c r="AG21" s="69">
        <v>0</v>
      </c>
      <c r="AH21" s="69">
        <v>2972558.32</v>
      </c>
      <c r="AI21" s="69">
        <v>2972558.32</v>
      </c>
      <c r="AJ21" s="69">
        <v>14538.61</v>
      </c>
      <c r="AK21" s="69">
        <v>0</v>
      </c>
      <c r="AL21" s="69">
        <v>0</v>
      </c>
      <c r="AM21" s="69">
        <v>2987096.93</v>
      </c>
      <c r="AN21" s="69">
        <v>2987096.93</v>
      </c>
      <c r="AO21" s="69">
        <v>0</v>
      </c>
      <c r="AP21" s="69">
        <v>0</v>
      </c>
      <c r="AQ21" s="69">
        <v>0</v>
      </c>
      <c r="AR21" s="69">
        <v>2987096.93</v>
      </c>
      <c r="AS21" s="69">
        <v>2987096.93</v>
      </c>
      <c r="AT21" s="69">
        <v>0</v>
      </c>
      <c r="AU21" s="69">
        <v>-443.09000000000003</v>
      </c>
      <c r="AV21" s="69">
        <v>0</v>
      </c>
      <c r="AW21" s="69">
        <v>2986653.8400000003</v>
      </c>
      <c r="AX21" s="69">
        <v>2986653.8400000003</v>
      </c>
      <c r="AY21" s="69">
        <v>3612.98</v>
      </c>
      <c r="AZ21" s="69">
        <v>0</v>
      </c>
      <c r="BA21" s="69">
        <v>0</v>
      </c>
      <c r="BB21" s="69">
        <v>2990266.8200000003</v>
      </c>
      <c r="BC21" s="69">
        <v>2990266.8200000003</v>
      </c>
      <c r="BD21" s="69">
        <v>19631.62</v>
      </c>
      <c r="BE21" s="69">
        <v>-6537.58</v>
      </c>
      <c r="BF21" s="69">
        <v>0</v>
      </c>
      <c r="BG21" s="69">
        <v>3003360.8600000003</v>
      </c>
      <c r="BH21" s="69">
        <v>3003360.8600000003</v>
      </c>
      <c r="BI21" s="69">
        <v>-31.720000000000002</v>
      </c>
      <c r="BJ21" s="69">
        <v>-6338.6100000000006</v>
      </c>
      <c r="BK21" s="69">
        <v>0</v>
      </c>
      <c r="BL21" s="69">
        <v>2996990.53</v>
      </c>
      <c r="BM21" s="69">
        <f t="shared" si="41"/>
        <v>2996990.53</v>
      </c>
      <c r="BN21" s="69">
        <v>78078.16</v>
      </c>
      <c r="BO21" s="69">
        <v>0</v>
      </c>
      <c r="BP21" s="69">
        <v>0</v>
      </c>
      <c r="BQ21" s="69">
        <f t="shared" si="42"/>
        <v>3075068.69</v>
      </c>
      <c r="BR21" s="69">
        <f t="shared" si="43"/>
        <v>3075068.69</v>
      </c>
      <c r="BS21" s="69">
        <v>0</v>
      </c>
      <c r="BT21" s="69">
        <v>-1335.04</v>
      </c>
      <c r="BU21" s="69">
        <v>0</v>
      </c>
      <c r="BV21" s="69">
        <f t="shared" si="44"/>
        <v>3073733.65</v>
      </c>
      <c r="BW21" s="69">
        <f t="shared" si="45"/>
        <v>3073733.65</v>
      </c>
      <c r="BX21" s="69">
        <v>0</v>
      </c>
      <c r="BY21" s="69">
        <v>0</v>
      </c>
      <c r="BZ21" s="69">
        <v>0</v>
      </c>
      <c r="CA21" s="69">
        <f t="shared" si="46"/>
        <v>3073733.65</v>
      </c>
      <c r="CB21" s="68"/>
      <c r="CC21" s="68"/>
      <c r="CD21" s="69">
        <f t="shared" si="47"/>
        <v>3073733.65</v>
      </c>
      <c r="CE21" s="70">
        <v>16168.71</v>
      </c>
      <c r="CF21" s="70">
        <v>-8773.0999999999985</v>
      </c>
      <c r="CG21" s="70">
        <v>0</v>
      </c>
      <c r="CH21" s="69">
        <f t="shared" si="62"/>
        <v>3081129.26</v>
      </c>
      <c r="CI21" s="69">
        <f t="shared" si="48"/>
        <v>3081129.26</v>
      </c>
      <c r="CJ21" s="70">
        <v>311.45999999999998</v>
      </c>
      <c r="CK21" s="70">
        <v>0</v>
      </c>
      <c r="CL21" s="70">
        <v>0</v>
      </c>
      <c r="CM21" s="69">
        <f t="shared" si="63"/>
        <v>3081440.7199999997</v>
      </c>
      <c r="CN21" s="69">
        <f t="shared" si="49"/>
        <v>3081440.7199999997</v>
      </c>
      <c r="CO21" s="70">
        <v>159532.96000000002</v>
      </c>
      <c r="CP21" s="70">
        <v>-1724.79</v>
      </c>
      <c r="CQ21" s="70">
        <v>0</v>
      </c>
      <c r="CR21" s="69">
        <f t="shared" si="64"/>
        <v>3239248.8899999997</v>
      </c>
      <c r="CS21" s="69">
        <f t="shared" si="65"/>
        <v>3239248.8899999997</v>
      </c>
      <c r="CT21" s="70">
        <v>22776.36</v>
      </c>
      <c r="CU21" s="70">
        <v>0</v>
      </c>
      <c r="CV21" s="70">
        <v>0</v>
      </c>
      <c r="CW21" s="69">
        <f t="shared" si="66"/>
        <v>3262025.2499999995</v>
      </c>
      <c r="CX21" s="69">
        <f t="shared" si="67"/>
        <v>3262025.2499999995</v>
      </c>
      <c r="CY21" s="70">
        <v>48647.76</v>
      </c>
      <c r="CZ21" s="70">
        <v>-24.75</v>
      </c>
      <c r="DA21" s="70">
        <v>0</v>
      </c>
      <c r="DB21" s="69">
        <f t="shared" si="68"/>
        <v>3310648.2599999993</v>
      </c>
      <c r="DC21" s="69">
        <f t="shared" si="69"/>
        <v>3310648.2599999993</v>
      </c>
      <c r="DD21" s="70">
        <v>0</v>
      </c>
      <c r="DE21" s="70">
        <v>0</v>
      </c>
      <c r="DF21" s="70">
        <v>0</v>
      </c>
      <c r="DG21" s="69">
        <f t="shared" si="70"/>
        <v>3310648.2599999993</v>
      </c>
      <c r="DH21" s="69">
        <f t="shared" si="71"/>
        <v>3310648.2599999993</v>
      </c>
      <c r="DI21" s="70">
        <v>62292.28</v>
      </c>
      <c r="DJ21" s="70">
        <v>-2216.88</v>
      </c>
      <c r="DK21" s="70">
        <v>0</v>
      </c>
      <c r="DL21" s="69">
        <f t="shared" si="72"/>
        <v>3370723.6599999992</v>
      </c>
      <c r="DM21" s="69">
        <f t="shared" si="73"/>
        <v>3370723.6599999992</v>
      </c>
      <c r="DN21" s="70">
        <v>6048.98</v>
      </c>
      <c r="DO21" s="70">
        <v>0</v>
      </c>
      <c r="DP21" s="70">
        <v>0</v>
      </c>
      <c r="DQ21" s="69">
        <f t="shared" si="74"/>
        <v>3376772.6399999992</v>
      </c>
      <c r="DR21" s="69">
        <f t="shared" si="75"/>
        <v>3376772.6399999992</v>
      </c>
      <c r="DS21" s="70">
        <v>33042.25</v>
      </c>
      <c r="DT21" s="70">
        <v>-10946.47</v>
      </c>
      <c r="DU21" s="70">
        <v>0</v>
      </c>
      <c r="DV21" s="69">
        <f t="shared" si="76"/>
        <v>3398868.419999999</v>
      </c>
      <c r="DW21" s="69">
        <f t="shared" si="77"/>
        <v>3398868.419999999</v>
      </c>
      <c r="DX21" s="70">
        <v>86144.78</v>
      </c>
      <c r="DY21" s="70">
        <v>-65223.360000000001</v>
      </c>
      <c r="DZ21" s="70">
        <v>0</v>
      </c>
      <c r="EA21" s="69">
        <f t="shared" si="78"/>
        <v>3419789.8399999989</v>
      </c>
      <c r="EB21" s="69">
        <f t="shared" si="79"/>
        <v>3419789.8399999989</v>
      </c>
      <c r="EC21" s="70">
        <v>0</v>
      </c>
      <c r="ED21" s="70">
        <v>-25077.63</v>
      </c>
      <c r="EE21" s="70">
        <v>0</v>
      </c>
      <c r="EF21" s="69">
        <f t="shared" si="80"/>
        <v>3394712.209999999</v>
      </c>
      <c r="EG21" s="69">
        <f t="shared" si="81"/>
        <v>3394712.209999999</v>
      </c>
      <c r="EH21" s="70">
        <v>8721.08</v>
      </c>
      <c r="EI21" s="70">
        <v>-1844.99</v>
      </c>
      <c r="EJ21" s="70">
        <v>0</v>
      </c>
      <c r="EK21" s="69">
        <f t="shared" si="82"/>
        <v>3401588.2999999989</v>
      </c>
      <c r="EL21" s="69">
        <f t="shared" si="83"/>
        <v>3401588.2999999989</v>
      </c>
      <c r="EM21" s="70">
        <v>44540.32</v>
      </c>
      <c r="EN21" s="70">
        <v>-922.5</v>
      </c>
      <c r="EO21" s="70">
        <v>0</v>
      </c>
      <c r="EP21" s="69">
        <f t="shared" si="84"/>
        <v>3445206.1199999987</v>
      </c>
      <c r="EQ21" s="69">
        <f t="shared" si="85"/>
        <v>3445206.1199999987</v>
      </c>
      <c r="ER21" s="70">
        <v>857.98</v>
      </c>
      <c r="ES21" s="70">
        <v>0</v>
      </c>
      <c r="ET21" s="70">
        <v>0</v>
      </c>
      <c r="EU21" s="69">
        <f t="shared" si="86"/>
        <v>3446064.0999999987</v>
      </c>
      <c r="EV21" s="69">
        <f t="shared" si="87"/>
        <v>3446064.0999999987</v>
      </c>
      <c r="EW21" s="70">
        <v>645831.93000000005</v>
      </c>
      <c r="EX21" s="70">
        <v>-4751.32</v>
      </c>
      <c r="EY21" s="70">
        <v>0</v>
      </c>
      <c r="EZ21" s="69">
        <f t="shared" si="88"/>
        <v>4087144.709999999</v>
      </c>
      <c r="FA21" s="69">
        <f t="shared" si="89"/>
        <v>4087144.709999999</v>
      </c>
      <c r="FB21" s="70">
        <v>62742.59</v>
      </c>
      <c r="FC21" s="70">
        <v>0</v>
      </c>
      <c r="FD21" s="70">
        <v>0</v>
      </c>
      <c r="FE21" s="69">
        <f t="shared" si="90"/>
        <v>4149887.2999999989</v>
      </c>
      <c r="FF21" s="69">
        <f t="shared" si="91"/>
        <v>4149887.2999999989</v>
      </c>
      <c r="FG21" s="70">
        <v>134011.13</v>
      </c>
      <c r="FH21" s="70">
        <v>-68.17</v>
      </c>
      <c r="FI21" s="70">
        <v>0</v>
      </c>
      <c r="FJ21" s="69">
        <f t="shared" si="92"/>
        <v>4283830.2599999988</v>
      </c>
      <c r="FK21" s="69">
        <f t="shared" si="93"/>
        <v>4283830.2599999988</v>
      </c>
      <c r="FL21" s="70">
        <v>0</v>
      </c>
      <c r="FM21" s="70">
        <v>0</v>
      </c>
      <c r="FN21" s="70">
        <v>0</v>
      </c>
      <c r="FO21" s="69">
        <f t="shared" si="94"/>
        <v>4283830.2599999988</v>
      </c>
      <c r="FP21" s="69">
        <f t="shared" si="95"/>
        <v>4283830.2599999988</v>
      </c>
      <c r="FQ21" s="70">
        <v>171598.03</v>
      </c>
      <c r="FR21" s="70">
        <v>-6106.89</v>
      </c>
      <c r="FS21" s="70">
        <v>0</v>
      </c>
      <c r="FT21" s="69">
        <f t="shared" si="96"/>
        <v>4449321.3999999994</v>
      </c>
      <c r="FU21" s="69">
        <f t="shared" si="97"/>
        <v>4449321.3999999994</v>
      </c>
      <c r="FV21" s="70">
        <v>16663.28</v>
      </c>
      <c r="FW21" s="70">
        <v>0</v>
      </c>
      <c r="FX21" s="70">
        <v>0</v>
      </c>
      <c r="FY21" s="69">
        <f t="shared" si="98"/>
        <v>4465984.68</v>
      </c>
      <c r="FZ21" s="69">
        <f t="shared" si="99"/>
        <v>4465984.68</v>
      </c>
      <c r="GA21" s="70">
        <v>91022.27</v>
      </c>
      <c r="GB21" s="70">
        <v>-30154.51</v>
      </c>
      <c r="GC21" s="70">
        <v>0</v>
      </c>
      <c r="GD21" s="69">
        <f t="shared" si="100"/>
        <v>4526852.4399999995</v>
      </c>
      <c r="GE21" s="69">
        <f t="shared" si="101"/>
        <v>4526852.4399999995</v>
      </c>
      <c r="GF21" s="70">
        <v>237305.08</v>
      </c>
      <c r="GG21" s="70">
        <v>-179672.35</v>
      </c>
      <c r="GH21" s="70">
        <v>0</v>
      </c>
      <c r="GI21" s="69">
        <f t="shared" si="102"/>
        <v>4584485.17</v>
      </c>
      <c r="GJ21" s="59"/>
    </row>
    <row r="22" spans="2:192">
      <c r="B22" s="58">
        <v>375.6</v>
      </c>
      <c r="C22" s="57" t="s">
        <v>389</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9">
        <v>0</v>
      </c>
      <c r="AN22" s="59">
        <v>0</v>
      </c>
      <c r="AO22" s="59">
        <v>0</v>
      </c>
      <c r="AP22" s="59">
        <v>0</v>
      </c>
      <c r="AQ22" s="59">
        <v>0</v>
      </c>
      <c r="AR22" s="59">
        <v>0</v>
      </c>
      <c r="AS22" s="59">
        <v>0</v>
      </c>
      <c r="AT22" s="59">
        <v>0</v>
      </c>
      <c r="AU22" s="59">
        <v>0</v>
      </c>
      <c r="AV22" s="59">
        <v>0</v>
      </c>
      <c r="AW22" s="59">
        <v>0</v>
      </c>
      <c r="AX22" s="59">
        <v>0</v>
      </c>
      <c r="AY22" s="59">
        <v>0</v>
      </c>
      <c r="AZ22" s="59">
        <v>0</v>
      </c>
      <c r="BA22" s="59">
        <v>0</v>
      </c>
      <c r="BB22" s="59">
        <v>0</v>
      </c>
      <c r="BC22" s="59">
        <v>0</v>
      </c>
      <c r="BD22" s="59">
        <v>0</v>
      </c>
      <c r="BE22" s="59">
        <v>0</v>
      </c>
      <c r="BF22" s="59">
        <v>0</v>
      </c>
      <c r="BG22" s="59">
        <v>0</v>
      </c>
      <c r="BH22" s="59">
        <v>0</v>
      </c>
      <c r="BI22" s="59">
        <v>0</v>
      </c>
      <c r="BJ22" s="59">
        <v>0</v>
      </c>
      <c r="BK22" s="59">
        <v>0</v>
      </c>
      <c r="BL22" s="59">
        <v>0</v>
      </c>
      <c r="BM22" s="59">
        <f t="shared" si="41"/>
        <v>0</v>
      </c>
      <c r="BN22" s="59">
        <v>0</v>
      </c>
      <c r="BO22" s="59">
        <v>0</v>
      </c>
      <c r="BP22" s="59">
        <v>0</v>
      </c>
      <c r="BQ22" s="59">
        <f t="shared" si="42"/>
        <v>0</v>
      </c>
      <c r="BR22" s="59">
        <f t="shared" si="43"/>
        <v>0</v>
      </c>
      <c r="BS22" s="59">
        <v>0</v>
      </c>
      <c r="BT22" s="59">
        <v>0</v>
      </c>
      <c r="BU22" s="59">
        <v>0</v>
      </c>
      <c r="BV22" s="59">
        <f t="shared" si="44"/>
        <v>0</v>
      </c>
      <c r="BW22" s="59">
        <f t="shared" si="45"/>
        <v>0</v>
      </c>
      <c r="BX22" s="59">
        <v>0</v>
      </c>
      <c r="BY22" s="59">
        <v>0</v>
      </c>
      <c r="BZ22" s="59">
        <v>0</v>
      </c>
      <c r="CA22" s="59">
        <f t="shared" si="46"/>
        <v>0</v>
      </c>
      <c r="CD22" s="59">
        <f t="shared" si="47"/>
        <v>0</v>
      </c>
      <c r="CE22" s="60">
        <v>0</v>
      </c>
      <c r="CF22" s="60">
        <v>0</v>
      </c>
      <c r="CG22" s="60">
        <v>0</v>
      </c>
      <c r="CH22" s="59">
        <f t="shared" si="62"/>
        <v>0</v>
      </c>
      <c r="CI22" s="59">
        <f t="shared" si="48"/>
        <v>0</v>
      </c>
      <c r="CJ22" s="60">
        <v>0</v>
      </c>
      <c r="CK22" s="60">
        <v>0</v>
      </c>
      <c r="CL22" s="60">
        <v>0</v>
      </c>
      <c r="CM22" s="59">
        <f t="shared" si="63"/>
        <v>0</v>
      </c>
      <c r="CN22" s="59">
        <f t="shared" si="49"/>
        <v>0</v>
      </c>
      <c r="CO22" s="60">
        <v>0</v>
      </c>
      <c r="CP22" s="60">
        <v>0</v>
      </c>
      <c r="CQ22" s="60">
        <v>0</v>
      </c>
      <c r="CR22" s="59">
        <f t="shared" si="64"/>
        <v>0</v>
      </c>
      <c r="CS22" s="59">
        <f t="shared" si="65"/>
        <v>0</v>
      </c>
      <c r="CT22" s="60">
        <v>0</v>
      </c>
      <c r="CU22" s="60">
        <v>0</v>
      </c>
      <c r="CV22" s="60">
        <v>0</v>
      </c>
      <c r="CW22" s="59">
        <f t="shared" si="66"/>
        <v>0</v>
      </c>
      <c r="CX22" s="59">
        <f t="shared" si="67"/>
        <v>0</v>
      </c>
      <c r="CY22" s="60">
        <v>0</v>
      </c>
      <c r="CZ22" s="60">
        <v>0</v>
      </c>
      <c r="DA22" s="60">
        <v>0</v>
      </c>
      <c r="DB22" s="59">
        <f t="shared" si="68"/>
        <v>0</v>
      </c>
      <c r="DC22" s="59">
        <f t="shared" si="69"/>
        <v>0</v>
      </c>
      <c r="DD22" s="60">
        <v>0</v>
      </c>
      <c r="DE22" s="60">
        <v>0</v>
      </c>
      <c r="DF22" s="60">
        <v>0</v>
      </c>
      <c r="DG22" s="59">
        <f t="shared" si="70"/>
        <v>0</v>
      </c>
      <c r="DH22" s="59">
        <f t="shared" si="71"/>
        <v>0</v>
      </c>
      <c r="DI22" s="60">
        <v>0</v>
      </c>
      <c r="DJ22" s="60">
        <v>0</v>
      </c>
      <c r="DK22" s="60">
        <v>0</v>
      </c>
      <c r="DL22" s="59">
        <f t="shared" si="72"/>
        <v>0</v>
      </c>
      <c r="DM22" s="59">
        <f t="shared" si="73"/>
        <v>0</v>
      </c>
      <c r="DN22" s="60">
        <v>0</v>
      </c>
      <c r="DO22" s="60">
        <v>0</v>
      </c>
      <c r="DP22" s="60">
        <v>0</v>
      </c>
      <c r="DQ22" s="59">
        <f t="shared" si="74"/>
        <v>0</v>
      </c>
      <c r="DR22" s="59">
        <f t="shared" si="75"/>
        <v>0</v>
      </c>
      <c r="DS22" s="60">
        <v>0</v>
      </c>
      <c r="DT22" s="60">
        <v>0</v>
      </c>
      <c r="DU22" s="60">
        <v>0</v>
      </c>
      <c r="DV22" s="59">
        <f t="shared" si="76"/>
        <v>0</v>
      </c>
      <c r="DW22" s="59">
        <f t="shared" si="77"/>
        <v>0</v>
      </c>
      <c r="DX22" s="60">
        <v>0</v>
      </c>
      <c r="DY22" s="60">
        <v>0</v>
      </c>
      <c r="DZ22" s="60">
        <v>0</v>
      </c>
      <c r="EA22" s="59">
        <f t="shared" si="78"/>
        <v>0</v>
      </c>
      <c r="EB22" s="59">
        <f t="shared" si="79"/>
        <v>0</v>
      </c>
      <c r="EC22" s="60">
        <v>0</v>
      </c>
      <c r="ED22" s="60">
        <v>0</v>
      </c>
      <c r="EE22" s="60">
        <v>0</v>
      </c>
      <c r="EF22" s="59">
        <f t="shared" si="80"/>
        <v>0</v>
      </c>
      <c r="EG22" s="59">
        <f t="shared" si="81"/>
        <v>0</v>
      </c>
      <c r="EH22" s="60">
        <v>0</v>
      </c>
      <c r="EI22" s="60">
        <v>0</v>
      </c>
      <c r="EJ22" s="60">
        <v>0</v>
      </c>
      <c r="EK22" s="59">
        <f t="shared" si="82"/>
        <v>0</v>
      </c>
      <c r="EL22" s="59">
        <f t="shared" si="83"/>
        <v>0</v>
      </c>
      <c r="EM22" s="60">
        <v>0</v>
      </c>
      <c r="EN22" s="60">
        <v>0</v>
      </c>
      <c r="EO22" s="60">
        <v>0</v>
      </c>
      <c r="EP22" s="59">
        <f t="shared" si="84"/>
        <v>0</v>
      </c>
      <c r="EQ22" s="59">
        <f t="shared" si="85"/>
        <v>0</v>
      </c>
      <c r="ER22" s="60">
        <v>0</v>
      </c>
      <c r="ES22" s="60">
        <v>0</v>
      </c>
      <c r="ET22" s="60">
        <v>0</v>
      </c>
      <c r="EU22" s="59">
        <f t="shared" si="86"/>
        <v>0</v>
      </c>
      <c r="EV22" s="59">
        <f t="shared" si="87"/>
        <v>0</v>
      </c>
      <c r="EW22" s="60">
        <v>0</v>
      </c>
      <c r="EX22" s="60">
        <v>0</v>
      </c>
      <c r="EY22" s="60">
        <v>0</v>
      </c>
      <c r="EZ22" s="59">
        <f t="shared" si="88"/>
        <v>0</v>
      </c>
      <c r="FA22" s="59">
        <f t="shared" si="89"/>
        <v>0</v>
      </c>
      <c r="FB22" s="60">
        <v>0</v>
      </c>
      <c r="FC22" s="60">
        <v>0</v>
      </c>
      <c r="FD22" s="60">
        <v>0</v>
      </c>
      <c r="FE22" s="59">
        <f t="shared" si="90"/>
        <v>0</v>
      </c>
      <c r="FF22" s="59">
        <f t="shared" si="91"/>
        <v>0</v>
      </c>
      <c r="FG22" s="60">
        <v>0</v>
      </c>
      <c r="FH22" s="60">
        <v>0</v>
      </c>
      <c r="FI22" s="60">
        <v>0</v>
      </c>
      <c r="FJ22" s="59">
        <f t="shared" si="92"/>
        <v>0</v>
      </c>
      <c r="FK22" s="59">
        <f t="shared" si="93"/>
        <v>0</v>
      </c>
      <c r="FL22" s="60">
        <v>0</v>
      </c>
      <c r="FM22" s="60">
        <v>0</v>
      </c>
      <c r="FN22" s="60">
        <v>0</v>
      </c>
      <c r="FO22" s="59">
        <f t="shared" si="94"/>
        <v>0</v>
      </c>
      <c r="FP22" s="59">
        <f t="shared" si="95"/>
        <v>0</v>
      </c>
      <c r="FQ22" s="60">
        <v>0</v>
      </c>
      <c r="FR22" s="60">
        <v>0</v>
      </c>
      <c r="FS22" s="60">
        <v>0</v>
      </c>
      <c r="FT22" s="59">
        <f t="shared" si="96"/>
        <v>0</v>
      </c>
      <c r="FU22" s="59">
        <f t="shared" si="97"/>
        <v>0</v>
      </c>
      <c r="FV22" s="60">
        <v>0</v>
      </c>
      <c r="FW22" s="60">
        <v>0</v>
      </c>
      <c r="FX22" s="60">
        <v>0</v>
      </c>
      <c r="FY22" s="59">
        <f t="shared" si="98"/>
        <v>0</v>
      </c>
      <c r="FZ22" s="59">
        <f t="shared" si="99"/>
        <v>0</v>
      </c>
      <c r="GA22" s="60">
        <v>0</v>
      </c>
      <c r="GB22" s="60">
        <v>0</v>
      </c>
      <c r="GC22" s="60">
        <v>0</v>
      </c>
      <c r="GD22" s="59">
        <f t="shared" si="100"/>
        <v>0</v>
      </c>
      <c r="GE22" s="59">
        <f t="shared" si="101"/>
        <v>0</v>
      </c>
      <c r="GF22" s="60">
        <v>0</v>
      </c>
      <c r="GG22" s="60">
        <v>0</v>
      </c>
      <c r="GH22" s="60">
        <v>0</v>
      </c>
      <c r="GI22" s="59">
        <f t="shared" si="102"/>
        <v>0</v>
      </c>
      <c r="GJ22" s="59"/>
    </row>
    <row r="23" spans="2:192">
      <c r="B23" s="58">
        <v>375.7</v>
      </c>
      <c r="C23" s="57" t="s">
        <v>390</v>
      </c>
      <c r="D23" s="59">
        <v>9004447.6400000006</v>
      </c>
      <c r="E23" s="59">
        <v>9004447.6400000006</v>
      </c>
      <c r="F23" s="59">
        <v>0</v>
      </c>
      <c r="G23" s="59">
        <v>3195.06</v>
      </c>
      <c r="H23" s="59">
        <v>0</v>
      </c>
      <c r="I23" s="59">
        <v>9007642.6999999993</v>
      </c>
      <c r="J23" s="59">
        <v>9007642.6999999993</v>
      </c>
      <c r="K23" s="59">
        <v>75034.28</v>
      </c>
      <c r="L23" s="59">
        <v>0</v>
      </c>
      <c r="M23" s="59">
        <v>0</v>
      </c>
      <c r="N23" s="59">
        <v>9082676.9800000004</v>
      </c>
      <c r="O23" s="59">
        <v>9082676.9800000004</v>
      </c>
      <c r="P23" s="59">
        <v>0</v>
      </c>
      <c r="Q23" s="59">
        <v>0</v>
      </c>
      <c r="R23" s="59">
        <v>0</v>
      </c>
      <c r="S23" s="59">
        <v>9082676.9800000004</v>
      </c>
      <c r="T23" s="59">
        <v>9082676.9800000004</v>
      </c>
      <c r="U23" s="59">
        <v>0</v>
      </c>
      <c r="V23" s="59">
        <v>0</v>
      </c>
      <c r="W23" s="59">
        <v>0</v>
      </c>
      <c r="X23" s="59">
        <v>9082676.9800000004</v>
      </c>
      <c r="Y23" s="59">
        <v>9082676.9800000004</v>
      </c>
      <c r="Z23" s="59">
        <v>0</v>
      </c>
      <c r="AA23" s="59">
        <v>0</v>
      </c>
      <c r="AB23" s="59">
        <v>0</v>
      </c>
      <c r="AC23" s="59">
        <v>9082676.9800000004</v>
      </c>
      <c r="AD23" s="59">
        <v>9082676.9800000004</v>
      </c>
      <c r="AE23" s="59">
        <v>0</v>
      </c>
      <c r="AF23" s="59">
        <v>0</v>
      </c>
      <c r="AG23" s="59">
        <v>0</v>
      </c>
      <c r="AH23" s="59">
        <v>9082676.9800000004</v>
      </c>
      <c r="AI23" s="59">
        <v>9082676.9800000004</v>
      </c>
      <c r="AJ23" s="59">
        <v>4334.0200000000004</v>
      </c>
      <c r="AK23" s="59">
        <v>0</v>
      </c>
      <c r="AL23" s="59">
        <v>0</v>
      </c>
      <c r="AM23" s="59">
        <v>9087011</v>
      </c>
      <c r="AN23" s="59">
        <v>9087011</v>
      </c>
      <c r="AO23" s="59">
        <v>336405.19</v>
      </c>
      <c r="AP23" s="59">
        <v>0</v>
      </c>
      <c r="AQ23" s="59">
        <v>0</v>
      </c>
      <c r="AR23" s="59">
        <v>9423416.1899999995</v>
      </c>
      <c r="AS23" s="59">
        <v>9423416.1899999995</v>
      </c>
      <c r="AT23" s="59">
        <v>101015.88</v>
      </c>
      <c r="AU23" s="59">
        <v>0</v>
      </c>
      <c r="AV23" s="59">
        <v>0</v>
      </c>
      <c r="AW23" s="59">
        <v>9524432.0700000003</v>
      </c>
      <c r="AX23" s="59">
        <v>9524432.0700000003</v>
      </c>
      <c r="AY23" s="59">
        <v>65345.22</v>
      </c>
      <c r="AZ23" s="59">
        <v>0</v>
      </c>
      <c r="BA23" s="59">
        <v>0</v>
      </c>
      <c r="BB23" s="59">
        <v>9589777.2899999991</v>
      </c>
      <c r="BC23" s="59">
        <v>9589777.2899999991</v>
      </c>
      <c r="BD23" s="59">
        <v>-44580.160000000003</v>
      </c>
      <c r="BE23" s="59">
        <v>0</v>
      </c>
      <c r="BF23" s="59">
        <v>0</v>
      </c>
      <c r="BG23" s="59">
        <v>9545197.1300000008</v>
      </c>
      <c r="BH23" s="59">
        <v>9545197.1300000008</v>
      </c>
      <c r="BI23" s="59">
        <v>34230.83</v>
      </c>
      <c r="BJ23" s="59">
        <v>-6808.5</v>
      </c>
      <c r="BK23" s="59">
        <v>0</v>
      </c>
      <c r="BL23" s="59">
        <v>9572619.4600000009</v>
      </c>
      <c r="BM23" s="59">
        <f t="shared" si="41"/>
        <v>9572619.4600000009</v>
      </c>
      <c r="BN23" s="59">
        <v>2460.2600000000002</v>
      </c>
      <c r="BO23" s="59">
        <v>0</v>
      </c>
      <c r="BP23" s="59">
        <v>0</v>
      </c>
      <c r="BQ23" s="59">
        <f t="shared" si="42"/>
        <v>9575079.7200000007</v>
      </c>
      <c r="BR23" s="59">
        <f t="shared" si="43"/>
        <v>9575079.7200000007</v>
      </c>
      <c r="BS23" s="59">
        <v>-2044</v>
      </c>
      <c r="BT23" s="59">
        <v>0</v>
      </c>
      <c r="BU23" s="59">
        <v>0</v>
      </c>
      <c r="BV23" s="59">
        <f t="shared" si="44"/>
        <v>9573035.7200000007</v>
      </c>
      <c r="BW23" s="59">
        <f t="shared" si="45"/>
        <v>9573035.7200000007</v>
      </c>
      <c r="BX23" s="59">
        <v>23.12</v>
      </c>
      <c r="BY23" s="59">
        <v>0</v>
      </c>
      <c r="BZ23" s="59">
        <v>0</v>
      </c>
      <c r="CA23" s="59">
        <f t="shared" si="46"/>
        <v>9573058.8399999999</v>
      </c>
      <c r="CD23" s="59">
        <f t="shared" si="47"/>
        <v>9573035.7200000007</v>
      </c>
      <c r="CE23" s="60">
        <v>14056.839999999998</v>
      </c>
      <c r="CF23" s="60">
        <v>0</v>
      </c>
      <c r="CG23" s="60">
        <v>0</v>
      </c>
      <c r="CH23" s="59">
        <f t="shared" si="62"/>
        <v>9587092.5600000005</v>
      </c>
      <c r="CI23" s="59">
        <f t="shared" si="48"/>
        <v>9587092.5600000005</v>
      </c>
      <c r="CJ23" s="60">
        <v>0</v>
      </c>
      <c r="CK23" s="60">
        <v>0</v>
      </c>
      <c r="CL23" s="60">
        <v>0</v>
      </c>
      <c r="CM23" s="59">
        <f t="shared" si="63"/>
        <v>9587092.5600000005</v>
      </c>
      <c r="CN23" s="59">
        <f t="shared" si="49"/>
        <v>9587092.5600000005</v>
      </c>
      <c r="CO23" s="60">
        <v>0</v>
      </c>
      <c r="CP23" s="60">
        <v>0</v>
      </c>
      <c r="CQ23" s="60">
        <v>0</v>
      </c>
      <c r="CR23" s="59">
        <f t="shared" si="64"/>
        <v>9587092.5600000005</v>
      </c>
      <c r="CS23" s="59">
        <f t="shared" si="65"/>
        <v>9587092.5600000005</v>
      </c>
      <c r="CT23" s="60">
        <v>0</v>
      </c>
      <c r="CU23" s="60">
        <v>0</v>
      </c>
      <c r="CV23" s="60">
        <v>0</v>
      </c>
      <c r="CW23" s="59">
        <f t="shared" si="66"/>
        <v>9587092.5600000005</v>
      </c>
      <c r="CX23" s="59">
        <f t="shared" si="67"/>
        <v>9587092.5600000005</v>
      </c>
      <c r="CY23" s="60">
        <v>1394.94</v>
      </c>
      <c r="CZ23" s="60">
        <v>0</v>
      </c>
      <c r="DA23" s="60">
        <v>0</v>
      </c>
      <c r="DB23" s="59">
        <f t="shared" si="68"/>
        <v>9588487.5</v>
      </c>
      <c r="DC23" s="59">
        <f t="shared" si="69"/>
        <v>9588487.5</v>
      </c>
      <c r="DD23" s="60">
        <v>64868.01</v>
      </c>
      <c r="DE23" s="60">
        <v>0</v>
      </c>
      <c r="DF23" s="60">
        <v>0</v>
      </c>
      <c r="DG23" s="59">
        <f t="shared" si="70"/>
        <v>9653355.5099999998</v>
      </c>
      <c r="DH23" s="59">
        <f t="shared" si="71"/>
        <v>9653355.5099999998</v>
      </c>
      <c r="DI23" s="60">
        <v>19478.59</v>
      </c>
      <c r="DJ23" s="60">
        <v>0</v>
      </c>
      <c r="DK23" s="60">
        <v>0</v>
      </c>
      <c r="DL23" s="59">
        <f t="shared" si="72"/>
        <v>9672834.0999999996</v>
      </c>
      <c r="DM23" s="59">
        <f t="shared" si="73"/>
        <v>9672834.0999999996</v>
      </c>
      <c r="DN23" s="60">
        <v>9303.34</v>
      </c>
      <c r="DO23" s="60">
        <v>0</v>
      </c>
      <c r="DP23" s="60">
        <v>0</v>
      </c>
      <c r="DQ23" s="59">
        <f t="shared" si="74"/>
        <v>9682137.4399999995</v>
      </c>
      <c r="DR23" s="59">
        <f t="shared" si="75"/>
        <v>9682137.4399999995</v>
      </c>
      <c r="DS23" s="60">
        <v>0</v>
      </c>
      <c r="DT23" s="60">
        <v>-56.88</v>
      </c>
      <c r="DU23" s="60">
        <v>0</v>
      </c>
      <c r="DV23" s="59">
        <f t="shared" si="76"/>
        <v>9682080.5599999987</v>
      </c>
      <c r="DW23" s="59">
        <f t="shared" si="77"/>
        <v>9682080.5599999987</v>
      </c>
      <c r="DX23" s="60">
        <v>7105.02</v>
      </c>
      <c r="DY23" s="60">
        <v>-899.43</v>
      </c>
      <c r="DZ23" s="60">
        <v>0</v>
      </c>
      <c r="EA23" s="59">
        <f t="shared" si="78"/>
        <v>9688286.1499999985</v>
      </c>
      <c r="EB23" s="59">
        <f t="shared" si="79"/>
        <v>9688286.1499999985</v>
      </c>
      <c r="EC23" s="60">
        <v>0</v>
      </c>
      <c r="ED23" s="60">
        <v>0</v>
      </c>
      <c r="EE23" s="60">
        <v>0</v>
      </c>
      <c r="EF23" s="59">
        <f t="shared" si="80"/>
        <v>9688286.1499999985</v>
      </c>
      <c r="EG23" s="59">
        <f t="shared" si="81"/>
        <v>9688286.1499999985</v>
      </c>
      <c r="EH23" s="60">
        <v>15148.13</v>
      </c>
      <c r="EI23" s="60">
        <v>0</v>
      </c>
      <c r="EJ23" s="60">
        <v>0</v>
      </c>
      <c r="EK23" s="59">
        <f t="shared" si="82"/>
        <v>9703434.2799999993</v>
      </c>
      <c r="EL23" s="59">
        <f t="shared" si="83"/>
        <v>9703434.2799999993</v>
      </c>
      <c r="EM23" s="60">
        <v>4.67</v>
      </c>
      <c r="EN23" s="60">
        <v>0</v>
      </c>
      <c r="EO23" s="60">
        <v>0</v>
      </c>
      <c r="EP23" s="59">
        <f t="shared" si="84"/>
        <v>9703438.9499999993</v>
      </c>
      <c r="EQ23" s="59">
        <f t="shared" si="85"/>
        <v>9703438.9499999993</v>
      </c>
      <c r="ER23" s="60">
        <v>0</v>
      </c>
      <c r="ES23" s="60">
        <v>0</v>
      </c>
      <c r="ET23" s="60">
        <v>0</v>
      </c>
      <c r="EU23" s="59">
        <f t="shared" si="86"/>
        <v>9703438.9499999993</v>
      </c>
      <c r="EV23" s="59">
        <f t="shared" si="87"/>
        <v>9703438.9499999993</v>
      </c>
      <c r="EW23" s="60">
        <v>0</v>
      </c>
      <c r="EX23" s="60">
        <v>0</v>
      </c>
      <c r="EY23" s="60">
        <v>0</v>
      </c>
      <c r="EZ23" s="59">
        <f t="shared" si="88"/>
        <v>9703438.9499999993</v>
      </c>
      <c r="FA23" s="59">
        <f t="shared" si="89"/>
        <v>9703438.9499999993</v>
      </c>
      <c r="FB23" s="60">
        <v>0</v>
      </c>
      <c r="FC23" s="60">
        <v>0</v>
      </c>
      <c r="FD23" s="60">
        <v>0</v>
      </c>
      <c r="FE23" s="59">
        <f t="shared" si="90"/>
        <v>9703438.9499999993</v>
      </c>
      <c r="FF23" s="59">
        <f t="shared" si="91"/>
        <v>9703438.9499999993</v>
      </c>
      <c r="FG23" s="60">
        <v>1460.45</v>
      </c>
      <c r="FH23" s="60">
        <v>0</v>
      </c>
      <c r="FI23" s="60">
        <v>0</v>
      </c>
      <c r="FJ23" s="59">
        <f t="shared" si="92"/>
        <v>9704899.3999999985</v>
      </c>
      <c r="FK23" s="59">
        <f t="shared" si="93"/>
        <v>9704899.3999999985</v>
      </c>
      <c r="FL23" s="60">
        <v>67914.429999999993</v>
      </c>
      <c r="FM23" s="60">
        <v>0</v>
      </c>
      <c r="FN23" s="60">
        <v>0</v>
      </c>
      <c r="FO23" s="59">
        <f t="shared" si="94"/>
        <v>9772813.8299999982</v>
      </c>
      <c r="FP23" s="59">
        <f t="shared" si="95"/>
        <v>9772813.8299999982</v>
      </c>
      <c r="FQ23" s="60">
        <v>20393.37</v>
      </c>
      <c r="FR23" s="60">
        <v>0</v>
      </c>
      <c r="FS23" s="60">
        <v>0</v>
      </c>
      <c r="FT23" s="59">
        <f t="shared" si="96"/>
        <v>9793207.1999999974</v>
      </c>
      <c r="FU23" s="59">
        <f t="shared" si="97"/>
        <v>9793207.1999999974</v>
      </c>
      <c r="FV23" s="60">
        <v>9740.27</v>
      </c>
      <c r="FW23" s="60">
        <v>0</v>
      </c>
      <c r="FX23" s="60">
        <v>0</v>
      </c>
      <c r="FY23" s="59">
        <f t="shared" si="98"/>
        <v>9802947.4699999969</v>
      </c>
      <c r="FZ23" s="59">
        <f t="shared" si="99"/>
        <v>9802947.4699999969</v>
      </c>
      <c r="GA23" s="60">
        <v>0</v>
      </c>
      <c r="GB23" s="60">
        <v>-59.55</v>
      </c>
      <c r="GC23" s="60">
        <v>0</v>
      </c>
      <c r="GD23" s="59">
        <f t="shared" si="100"/>
        <v>9802887.9199999962</v>
      </c>
      <c r="GE23" s="59">
        <f t="shared" si="101"/>
        <v>9802887.9199999962</v>
      </c>
      <c r="GF23" s="60">
        <v>7438.69</v>
      </c>
      <c r="GG23" s="60">
        <v>-941.67</v>
      </c>
      <c r="GH23" s="60">
        <v>0</v>
      </c>
      <c r="GI23" s="59">
        <f t="shared" si="102"/>
        <v>9809384.9399999958</v>
      </c>
      <c r="GJ23" s="59"/>
    </row>
    <row r="24" spans="2:192">
      <c r="B24" s="58">
        <v>375.71</v>
      </c>
      <c r="C24" s="57" t="s">
        <v>391</v>
      </c>
      <c r="D24" s="59">
        <v>860196.63</v>
      </c>
      <c r="E24" s="59">
        <v>860196.63</v>
      </c>
      <c r="F24" s="59">
        <v>0</v>
      </c>
      <c r="G24" s="59">
        <v>0</v>
      </c>
      <c r="H24" s="59">
        <v>0</v>
      </c>
      <c r="I24" s="59">
        <v>860196.63</v>
      </c>
      <c r="J24" s="59">
        <v>860196.63</v>
      </c>
      <c r="K24" s="59">
        <v>16454.939999999999</v>
      </c>
      <c r="L24" s="59">
        <v>0</v>
      </c>
      <c r="M24" s="59">
        <v>0</v>
      </c>
      <c r="N24" s="59">
        <v>876651.57000000007</v>
      </c>
      <c r="O24" s="59">
        <v>876651.57000000007</v>
      </c>
      <c r="P24" s="59">
        <v>0</v>
      </c>
      <c r="Q24" s="59">
        <v>0</v>
      </c>
      <c r="R24" s="59">
        <v>0</v>
      </c>
      <c r="S24" s="59">
        <v>876651.57000000007</v>
      </c>
      <c r="T24" s="59">
        <v>876651.57000000007</v>
      </c>
      <c r="U24" s="59">
        <v>0</v>
      </c>
      <c r="V24" s="59">
        <v>0</v>
      </c>
      <c r="W24" s="59">
        <v>0</v>
      </c>
      <c r="X24" s="59">
        <v>876651.57000000007</v>
      </c>
      <c r="Y24" s="59">
        <v>876651.57000000007</v>
      </c>
      <c r="Z24" s="59">
        <v>0</v>
      </c>
      <c r="AA24" s="59">
        <v>0</v>
      </c>
      <c r="AB24" s="59">
        <v>0</v>
      </c>
      <c r="AC24" s="59">
        <v>876651.57000000007</v>
      </c>
      <c r="AD24" s="59">
        <v>876651.57000000007</v>
      </c>
      <c r="AE24" s="59">
        <v>0</v>
      </c>
      <c r="AF24" s="59">
        <v>0</v>
      </c>
      <c r="AG24" s="59">
        <v>0</v>
      </c>
      <c r="AH24" s="59">
        <v>876651.57000000007</v>
      </c>
      <c r="AI24" s="59">
        <v>876651.57000000007</v>
      </c>
      <c r="AJ24" s="59">
        <v>4343.0200000000004</v>
      </c>
      <c r="AK24" s="59">
        <v>0</v>
      </c>
      <c r="AL24" s="59">
        <v>0</v>
      </c>
      <c r="AM24" s="59">
        <v>880994.59</v>
      </c>
      <c r="AN24" s="59">
        <v>880994.59</v>
      </c>
      <c r="AO24" s="59">
        <v>0</v>
      </c>
      <c r="AP24" s="59">
        <v>0</v>
      </c>
      <c r="AQ24" s="59">
        <v>0</v>
      </c>
      <c r="AR24" s="59">
        <v>880994.59</v>
      </c>
      <c r="AS24" s="59">
        <v>880994.59</v>
      </c>
      <c r="AT24" s="59">
        <v>0</v>
      </c>
      <c r="AU24" s="59">
        <v>0</v>
      </c>
      <c r="AV24" s="59">
        <v>0</v>
      </c>
      <c r="AW24" s="59">
        <v>880994.59</v>
      </c>
      <c r="AX24" s="59">
        <v>880994.59</v>
      </c>
      <c r="AY24" s="59">
        <v>0</v>
      </c>
      <c r="AZ24" s="59">
        <v>0</v>
      </c>
      <c r="BA24" s="59">
        <v>0</v>
      </c>
      <c r="BB24" s="59">
        <v>880994.59</v>
      </c>
      <c r="BC24" s="59">
        <v>880994.59</v>
      </c>
      <c r="BD24" s="59">
        <v>0</v>
      </c>
      <c r="BE24" s="59">
        <v>0</v>
      </c>
      <c r="BF24" s="59">
        <v>0</v>
      </c>
      <c r="BG24" s="59">
        <v>880994.59</v>
      </c>
      <c r="BH24" s="59">
        <v>880994.59</v>
      </c>
      <c r="BI24" s="59">
        <v>0</v>
      </c>
      <c r="BJ24" s="59">
        <v>0</v>
      </c>
      <c r="BK24" s="59">
        <v>0</v>
      </c>
      <c r="BL24" s="59">
        <v>880994.59</v>
      </c>
      <c r="BM24" s="59">
        <f t="shared" si="41"/>
        <v>880994.59</v>
      </c>
      <c r="BN24" s="59">
        <v>0</v>
      </c>
      <c r="BO24" s="59">
        <v>0</v>
      </c>
      <c r="BP24" s="59">
        <v>0</v>
      </c>
      <c r="BQ24" s="59">
        <f t="shared" si="42"/>
        <v>880994.59</v>
      </c>
      <c r="BR24" s="59">
        <f t="shared" si="43"/>
        <v>880994.59</v>
      </c>
      <c r="BS24" s="59">
        <v>0</v>
      </c>
      <c r="BT24" s="59">
        <v>0</v>
      </c>
      <c r="BU24" s="59">
        <v>0</v>
      </c>
      <c r="BV24" s="59">
        <f t="shared" si="44"/>
        <v>880994.59</v>
      </c>
      <c r="BW24" s="59">
        <f t="shared" si="45"/>
        <v>880994.59</v>
      </c>
      <c r="BX24" s="59">
        <v>0</v>
      </c>
      <c r="BY24" s="59">
        <v>0</v>
      </c>
      <c r="BZ24" s="59">
        <v>0</v>
      </c>
      <c r="CA24" s="59">
        <f t="shared" si="46"/>
        <v>880994.59</v>
      </c>
      <c r="CD24" s="59">
        <f t="shared" si="47"/>
        <v>880994.59</v>
      </c>
      <c r="CE24" s="60">
        <v>0</v>
      </c>
      <c r="CF24" s="60">
        <v>0</v>
      </c>
      <c r="CG24" s="60">
        <v>0</v>
      </c>
      <c r="CH24" s="59">
        <f t="shared" si="62"/>
        <v>880994.59</v>
      </c>
      <c r="CI24" s="59">
        <f t="shared" si="48"/>
        <v>880994.59</v>
      </c>
      <c r="CJ24" s="60">
        <v>0</v>
      </c>
      <c r="CK24" s="60">
        <v>0</v>
      </c>
      <c r="CL24" s="60">
        <v>0</v>
      </c>
      <c r="CM24" s="59">
        <f t="shared" si="63"/>
        <v>880994.59</v>
      </c>
      <c r="CN24" s="59">
        <f t="shared" si="49"/>
        <v>880994.59</v>
      </c>
      <c r="CO24" s="60">
        <v>0</v>
      </c>
      <c r="CP24" s="60">
        <v>0</v>
      </c>
      <c r="CQ24" s="60">
        <v>0</v>
      </c>
      <c r="CR24" s="59">
        <f t="shared" si="64"/>
        <v>880994.59</v>
      </c>
      <c r="CS24" s="59">
        <f t="shared" si="65"/>
        <v>880994.59</v>
      </c>
      <c r="CT24" s="60">
        <v>0</v>
      </c>
      <c r="CU24" s="60">
        <v>0</v>
      </c>
      <c r="CV24" s="60">
        <v>0</v>
      </c>
      <c r="CW24" s="59">
        <f t="shared" si="66"/>
        <v>880994.59</v>
      </c>
      <c r="CX24" s="59">
        <f t="shared" si="67"/>
        <v>880994.59</v>
      </c>
      <c r="CY24" s="60">
        <v>0</v>
      </c>
      <c r="CZ24" s="60">
        <v>0</v>
      </c>
      <c r="DA24" s="60">
        <v>0</v>
      </c>
      <c r="DB24" s="59">
        <f t="shared" si="68"/>
        <v>880994.59</v>
      </c>
      <c r="DC24" s="59">
        <f t="shared" si="69"/>
        <v>880994.59</v>
      </c>
      <c r="DD24" s="60">
        <v>0</v>
      </c>
      <c r="DE24" s="60">
        <v>0</v>
      </c>
      <c r="DF24" s="60">
        <v>0</v>
      </c>
      <c r="DG24" s="59">
        <f t="shared" si="70"/>
        <v>880994.59</v>
      </c>
      <c r="DH24" s="59">
        <f t="shared" si="71"/>
        <v>880994.59</v>
      </c>
      <c r="DI24" s="60">
        <v>0</v>
      </c>
      <c r="DJ24" s="60">
        <v>0</v>
      </c>
      <c r="DK24" s="60">
        <v>0</v>
      </c>
      <c r="DL24" s="59">
        <f t="shared" si="72"/>
        <v>880994.59</v>
      </c>
      <c r="DM24" s="59">
        <f t="shared" si="73"/>
        <v>880994.59</v>
      </c>
      <c r="DN24" s="60">
        <v>0</v>
      </c>
      <c r="DO24" s="60">
        <v>0</v>
      </c>
      <c r="DP24" s="60">
        <v>0</v>
      </c>
      <c r="DQ24" s="59">
        <f t="shared" si="74"/>
        <v>880994.59</v>
      </c>
      <c r="DR24" s="59">
        <f t="shared" si="75"/>
        <v>880994.59</v>
      </c>
      <c r="DS24" s="60">
        <v>0</v>
      </c>
      <c r="DT24" s="60">
        <v>0</v>
      </c>
      <c r="DU24" s="60">
        <v>0</v>
      </c>
      <c r="DV24" s="59">
        <f t="shared" si="76"/>
        <v>880994.59</v>
      </c>
      <c r="DW24" s="59">
        <f t="shared" si="77"/>
        <v>880994.59</v>
      </c>
      <c r="DX24" s="60">
        <v>0</v>
      </c>
      <c r="DY24" s="60">
        <v>0</v>
      </c>
      <c r="DZ24" s="60">
        <v>0</v>
      </c>
      <c r="EA24" s="59">
        <f t="shared" si="78"/>
        <v>880994.59</v>
      </c>
      <c r="EB24" s="59">
        <f t="shared" si="79"/>
        <v>880994.59</v>
      </c>
      <c r="EC24" s="60">
        <v>0</v>
      </c>
      <c r="ED24" s="60">
        <v>0</v>
      </c>
      <c r="EE24" s="60">
        <v>0</v>
      </c>
      <c r="EF24" s="59">
        <f t="shared" si="80"/>
        <v>880994.59</v>
      </c>
      <c r="EG24" s="59">
        <f t="shared" si="81"/>
        <v>880994.59</v>
      </c>
      <c r="EH24" s="60">
        <v>0</v>
      </c>
      <c r="EI24" s="60">
        <v>0</v>
      </c>
      <c r="EJ24" s="60">
        <v>0</v>
      </c>
      <c r="EK24" s="59">
        <f t="shared" si="82"/>
        <v>880994.59</v>
      </c>
      <c r="EL24" s="59">
        <f t="shared" si="83"/>
        <v>880994.59</v>
      </c>
      <c r="EM24" s="60">
        <v>0</v>
      </c>
      <c r="EN24" s="60">
        <v>0</v>
      </c>
      <c r="EO24" s="60">
        <v>0</v>
      </c>
      <c r="EP24" s="59">
        <f t="shared" si="84"/>
        <v>880994.59</v>
      </c>
      <c r="EQ24" s="59">
        <f t="shared" si="85"/>
        <v>880994.59</v>
      </c>
      <c r="ER24" s="60">
        <v>0</v>
      </c>
      <c r="ES24" s="60">
        <v>0</v>
      </c>
      <c r="ET24" s="60">
        <v>0</v>
      </c>
      <c r="EU24" s="59">
        <f t="shared" si="86"/>
        <v>880994.59</v>
      </c>
      <c r="EV24" s="59">
        <f t="shared" si="87"/>
        <v>880994.59</v>
      </c>
      <c r="EW24" s="60">
        <v>0</v>
      </c>
      <c r="EX24" s="60">
        <v>0</v>
      </c>
      <c r="EY24" s="60">
        <v>0</v>
      </c>
      <c r="EZ24" s="59">
        <f t="shared" si="88"/>
        <v>880994.59</v>
      </c>
      <c r="FA24" s="59">
        <f t="shared" si="89"/>
        <v>880994.59</v>
      </c>
      <c r="FB24" s="60">
        <v>0</v>
      </c>
      <c r="FC24" s="60">
        <v>0</v>
      </c>
      <c r="FD24" s="60">
        <v>0</v>
      </c>
      <c r="FE24" s="59">
        <f t="shared" si="90"/>
        <v>880994.59</v>
      </c>
      <c r="FF24" s="59">
        <f t="shared" si="91"/>
        <v>880994.59</v>
      </c>
      <c r="FG24" s="60">
        <v>0</v>
      </c>
      <c r="FH24" s="60">
        <v>0</v>
      </c>
      <c r="FI24" s="60">
        <v>0</v>
      </c>
      <c r="FJ24" s="59">
        <f t="shared" si="92"/>
        <v>880994.59</v>
      </c>
      <c r="FK24" s="59">
        <f t="shared" si="93"/>
        <v>880994.59</v>
      </c>
      <c r="FL24" s="60">
        <v>0</v>
      </c>
      <c r="FM24" s="60">
        <v>0</v>
      </c>
      <c r="FN24" s="60">
        <v>0</v>
      </c>
      <c r="FO24" s="59">
        <f t="shared" si="94"/>
        <v>880994.59</v>
      </c>
      <c r="FP24" s="59">
        <f t="shared" si="95"/>
        <v>880994.59</v>
      </c>
      <c r="FQ24" s="60">
        <v>0</v>
      </c>
      <c r="FR24" s="60">
        <v>0</v>
      </c>
      <c r="FS24" s="60">
        <v>0</v>
      </c>
      <c r="FT24" s="59">
        <f t="shared" si="96"/>
        <v>880994.59</v>
      </c>
      <c r="FU24" s="59">
        <f t="shared" si="97"/>
        <v>880994.59</v>
      </c>
      <c r="FV24" s="60">
        <v>0</v>
      </c>
      <c r="FW24" s="60">
        <v>0</v>
      </c>
      <c r="FX24" s="60">
        <v>0</v>
      </c>
      <c r="FY24" s="59">
        <f t="shared" si="98"/>
        <v>880994.59</v>
      </c>
      <c r="FZ24" s="59">
        <f t="shared" si="99"/>
        <v>880994.59</v>
      </c>
      <c r="GA24" s="60">
        <v>0</v>
      </c>
      <c r="GB24" s="60">
        <v>0</v>
      </c>
      <c r="GC24" s="60">
        <v>0</v>
      </c>
      <c r="GD24" s="59">
        <f t="shared" si="100"/>
        <v>880994.59</v>
      </c>
      <c r="GE24" s="59">
        <f t="shared" si="101"/>
        <v>880994.59</v>
      </c>
      <c r="GF24" s="60">
        <v>0</v>
      </c>
      <c r="GG24" s="60">
        <v>0</v>
      </c>
      <c r="GH24" s="60">
        <v>0</v>
      </c>
      <c r="GI24" s="59">
        <f t="shared" si="102"/>
        <v>880994.59</v>
      </c>
      <c r="GJ24" s="59"/>
    </row>
    <row r="25" spans="2:192">
      <c r="B25" s="58">
        <v>375.8</v>
      </c>
      <c r="C25" s="57" t="s">
        <v>392</v>
      </c>
      <c r="D25" s="59">
        <v>132125.04</v>
      </c>
      <c r="E25" s="59">
        <v>132125.04</v>
      </c>
      <c r="F25" s="59">
        <v>0</v>
      </c>
      <c r="G25" s="59">
        <v>0</v>
      </c>
      <c r="H25" s="59">
        <v>0</v>
      </c>
      <c r="I25" s="59">
        <v>132125.04</v>
      </c>
      <c r="J25" s="59">
        <v>132125.04</v>
      </c>
      <c r="K25" s="59">
        <v>0</v>
      </c>
      <c r="L25" s="59">
        <v>0</v>
      </c>
      <c r="M25" s="59">
        <v>0</v>
      </c>
      <c r="N25" s="59">
        <v>132125.04</v>
      </c>
      <c r="O25" s="59">
        <v>132125.04</v>
      </c>
      <c r="P25" s="59">
        <v>0</v>
      </c>
      <c r="Q25" s="59">
        <v>0</v>
      </c>
      <c r="R25" s="59">
        <v>0</v>
      </c>
      <c r="S25" s="59">
        <v>132125.04</v>
      </c>
      <c r="T25" s="59">
        <v>132125.04</v>
      </c>
      <c r="U25" s="59">
        <v>0</v>
      </c>
      <c r="V25" s="59">
        <v>0</v>
      </c>
      <c r="W25" s="59">
        <v>0</v>
      </c>
      <c r="X25" s="59">
        <v>132125.04</v>
      </c>
      <c r="Y25" s="59">
        <v>132125.04</v>
      </c>
      <c r="Z25" s="59">
        <v>0</v>
      </c>
      <c r="AA25" s="59">
        <v>0</v>
      </c>
      <c r="AB25" s="59">
        <v>0</v>
      </c>
      <c r="AC25" s="59">
        <v>132125.04</v>
      </c>
      <c r="AD25" s="59">
        <v>132125.04</v>
      </c>
      <c r="AE25" s="59">
        <v>0</v>
      </c>
      <c r="AF25" s="59">
        <v>0</v>
      </c>
      <c r="AG25" s="59">
        <v>0</v>
      </c>
      <c r="AH25" s="59">
        <v>132125.04</v>
      </c>
      <c r="AI25" s="59">
        <v>132125.04</v>
      </c>
      <c r="AJ25" s="59">
        <v>0</v>
      </c>
      <c r="AK25" s="59">
        <v>0</v>
      </c>
      <c r="AL25" s="59">
        <v>0</v>
      </c>
      <c r="AM25" s="59">
        <v>132125.04</v>
      </c>
      <c r="AN25" s="59">
        <v>132125.04</v>
      </c>
      <c r="AO25" s="59">
        <v>0</v>
      </c>
      <c r="AP25" s="59">
        <v>0</v>
      </c>
      <c r="AQ25" s="59">
        <v>0</v>
      </c>
      <c r="AR25" s="59">
        <v>132125.04</v>
      </c>
      <c r="AS25" s="59">
        <v>132125.04</v>
      </c>
      <c r="AT25" s="59">
        <v>0</v>
      </c>
      <c r="AU25" s="59">
        <v>0</v>
      </c>
      <c r="AV25" s="59">
        <v>0</v>
      </c>
      <c r="AW25" s="59">
        <v>132125.04</v>
      </c>
      <c r="AX25" s="59">
        <v>132125.04</v>
      </c>
      <c r="AY25" s="59">
        <v>0</v>
      </c>
      <c r="AZ25" s="59">
        <v>0</v>
      </c>
      <c r="BA25" s="59">
        <v>0</v>
      </c>
      <c r="BB25" s="59">
        <v>132125.04</v>
      </c>
      <c r="BC25" s="59">
        <v>132125.04</v>
      </c>
      <c r="BD25" s="59">
        <v>0</v>
      </c>
      <c r="BE25" s="59">
        <v>0</v>
      </c>
      <c r="BF25" s="59">
        <v>0</v>
      </c>
      <c r="BG25" s="59">
        <v>132125.04</v>
      </c>
      <c r="BH25" s="59">
        <v>132125.04</v>
      </c>
      <c r="BI25" s="59">
        <v>0</v>
      </c>
      <c r="BJ25" s="59">
        <v>0</v>
      </c>
      <c r="BK25" s="59">
        <v>0</v>
      </c>
      <c r="BL25" s="59">
        <v>132125.04</v>
      </c>
      <c r="BM25" s="59">
        <f t="shared" si="41"/>
        <v>132125.04</v>
      </c>
      <c r="BN25" s="59">
        <v>0</v>
      </c>
      <c r="BO25" s="59">
        <v>0</v>
      </c>
      <c r="BP25" s="59">
        <v>0</v>
      </c>
      <c r="BQ25" s="59">
        <f t="shared" si="42"/>
        <v>132125.04</v>
      </c>
      <c r="BR25" s="59">
        <f t="shared" si="43"/>
        <v>132125.04</v>
      </c>
      <c r="BS25" s="59">
        <v>0</v>
      </c>
      <c r="BT25" s="59">
        <v>0</v>
      </c>
      <c r="BU25" s="59">
        <v>0</v>
      </c>
      <c r="BV25" s="59">
        <f t="shared" si="44"/>
        <v>132125.04</v>
      </c>
      <c r="BW25" s="59">
        <f t="shared" si="45"/>
        <v>132125.04</v>
      </c>
      <c r="BX25" s="59">
        <v>0</v>
      </c>
      <c r="BY25" s="59">
        <v>0</v>
      </c>
      <c r="BZ25" s="59">
        <v>0</v>
      </c>
      <c r="CA25" s="59">
        <f t="shared" si="46"/>
        <v>132125.04</v>
      </c>
      <c r="CD25" s="59">
        <f t="shared" si="47"/>
        <v>132125.04</v>
      </c>
      <c r="CE25" s="60">
        <v>0</v>
      </c>
      <c r="CF25" s="60">
        <v>0</v>
      </c>
      <c r="CG25" s="60">
        <v>0</v>
      </c>
      <c r="CH25" s="59">
        <f t="shared" si="62"/>
        <v>132125.04</v>
      </c>
      <c r="CI25" s="59">
        <f t="shared" si="48"/>
        <v>132125.04</v>
      </c>
      <c r="CJ25" s="60">
        <v>0</v>
      </c>
      <c r="CK25" s="60">
        <v>0</v>
      </c>
      <c r="CL25" s="60">
        <v>0</v>
      </c>
      <c r="CM25" s="59">
        <f t="shared" si="63"/>
        <v>132125.04</v>
      </c>
      <c r="CN25" s="59">
        <f t="shared" si="49"/>
        <v>132125.04</v>
      </c>
      <c r="CO25" s="60">
        <v>0</v>
      </c>
      <c r="CP25" s="60">
        <v>0</v>
      </c>
      <c r="CQ25" s="60">
        <v>0</v>
      </c>
      <c r="CR25" s="59">
        <f t="shared" si="64"/>
        <v>132125.04</v>
      </c>
      <c r="CS25" s="59">
        <f t="shared" si="65"/>
        <v>132125.04</v>
      </c>
      <c r="CT25" s="60">
        <v>0</v>
      </c>
      <c r="CU25" s="60">
        <v>0</v>
      </c>
      <c r="CV25" s="60">
        <v>0</v>
      </c>
      <c r="CW25" s="59">
        <f t="shared" si="66"/>
        <v>132125.04</v>
      </c>
      <c r="CX25" s="59">
        <f t="shared" si="67"/>
        <v>132125.04</v>
      </c>
      <c r="CY25" s="60">
        <v>0</v>
      </c>
      <c r="CZ25" s="60">
        <v>0</v>
      </c>
      <c r="DA25" s="60">
        <v>0</v>
      </c>
      <c r="DB25" s="59">
        <f t="shared" si="68"/>
        <v>132125.04</v>
      </c>
      <c r="DC25" s="59">
        <f t="shared" si="69"/>
        <v>132125.04</v>
      </c>
      <c r="DD25" s="60">
        <v>0</v>
      </c>
      <c r="DE25" s="60">
        <v>0</v>
      </c>
      <c r="DF25" s="60">
        <v>0</v>
      </c>
      <c r="DG25" s="59">
        <f t="shared" si="70"/>
        <v>132125.04</v>
      </c>
      <c r="DH25" s="59">
        <f t="shared" si="71"/>
        <v>132125.04</v>
      </c>
      <c r="DI25" s="60">
        <v>0</v>
      </c>
      <c r="DJ25" s="60">
        <v>0</v>
      </c>
      <c r="DK25" s="60">
        <v>0</v>
      </c>
      <c r="DL25" s="59">
        <f t="shared" si="72"/>
        <v>132125.04</v>
      </c>
      <c r="DM25" s="59">
        <f t="shared" si="73"/>
        <v>132125.04</v>
      </c>
      <c r="DN25" s="60">
        <v>0</v>
      </c>
      <c r="DO25" s="60">
        <v>0</v>
      </c>
      <c r="DP25" s="60">
        <v>0</v>
      </c>
      <c r="DQ25" s="59">
        <f t="shared" si="74"/>
        <v>132125.04</v>
      </c>
      <c r="DR25" s="59">
        <f t="shared" si="75"/>
        <v>132125.04</v>
      </c>
      <c r="DS25" s="60">
        <v>0</v>
      </c>
      <c r="DT25" s="60">
        <v>0</v>
      </c>
      <c r="DU25" s="60">
        <v>0</v>
      </c>
      <c r="DV25" s="59">
        <f t="shared" si="76"/>
        <v>132125.04</v>
      </c>
      <c r="DW25" s="59">
        <f t="shared" si="77"/>
        <v>132125.04</v>
      </c>
      <c r="DX25" s="60">
        <v>0</v>
      </c>
      <c r="DY25" s="60">
        <v>0</v>
      </c>
      <c r="DZ25" s="60">
        <v>0</v>
      </c>
      <c r="EA25" s="59">
        <f t="shared" si="78"/>
        <v>132125.04</v>
      </c>
      <c r="EB25" s="59">
        <f t="shared" si="79"/>
        <v>132125.04</v>
      </c>
      <c r="EC25" s="60">
        <v>0</v>
      </c>
      <c r="ED25" s="60">
        <v>0</v>
      </c>
      <c r="EE25" s="60">
        <v>0</v>
      </c>
      <c r="EF25" s="59">
        <f t="shared" si="80"/>
        <v>132125.04</v>
      </c>
      <c r="EG25" s="59">
        <f t="shared" si="81"/>
        <v>132125.04</v>
      </c>
      <c r="EH25" s="60">
        <v>0</v>
      </c>
      <c r="EI25" s="60">
        <v>0</v>
      </c>
      <c r="EJ25" s="60">
        <v>0</v>
      </c>
      <c r="EK25" s="59">
        <f t="shared" si="82"/>
        <v>132125.04</v>
      </c>
      <c r="EL25" s="59">
        <f t="shared" si="83"/>
        <v>132125.04</v>
      </c>
      <c r="EM25" s="60">
        <v>0</v>
      </c>
      <c r="EN25" s="60">
        <v>0</v>
      </c>
      <c r="EO25" s="60">
        <v>0</v>
      </c>
      <c r="EP25" s="59">
        <f t="shared" si="84"/>
        <v>132125.04</v>
      </c>
      <c r="EQ25" s="59">
        <f t="shared" si="85"/>
        <v>132125.04</v>
      </c>
      <c r="ER25" s="60">
        <v>0</v>
      </c>
      <c r="ES25" s="60">
        <v>0</v>
      </c>
      <c r="ET25" s="60">
        <v>0</v>
      </c>
      <c r="EU25" s="59">
        <f t="shared" si="86"/>
        <v>132125.04</v>
      </c>
      <c r="EV25" s="59">
        <f t="shared" si="87"/>
        <v>132125.04</v>
      </c>
      <c r="EW25" s="60">
        <v>0</v>
      </c>
      <c r="EX25" s="60">
        <v>0</v>
      </c>
      <c r="EY25" s="60">
        <v>0</v>
      </c>
      <c r="EZ25" s="59">
        <f t="shared" si="88"/>
        <v>132125.04</v>
      </c>
      <c r="FA25" s="59">
        <f t="shared" si="89"/>
        <v>132125.04</v>
      </c>
      <c r="FB25" s="60">
        <v>0</v>
      </c>
      <c r="FC25" s="60">
        <v>0</v>
      </c>
      <c r="FD25" s="60">
        <v>0</v>
      </c>
      <c r="FE25" s="59">
        <f t="shared" si="90"/>
        <v>132125.04</v>
      </c>
      <c r="FF25" s="59">
        <f t="shared" si="91"/>
        <v>132125.04</v>
      </c>
      <c r="FG25" s="60">
        <v>0</v>
      </c>
      <c r="FH25" s="60">
        <v>0</v>
      </c>
      <c r="FI25" s="60">
        <v>0</v>
      </c>
      <c r="FJ25" s="59">
        <f t="shared" si="92"/>
        <v>132125.04</v>
      </c>
      <c r="FK25" s="59">
        <f t="shared" si="93"/>
        <v>132125.04</v>
      </c>
      <c r="FL25" s="60">
        <v>0</v>
      </c>
      <c r="FM25" s="60">
        <v>0</v>
      </c>
      <c r="FN25" s="60">
        <v>0</v>
      </c>
      <c r="FO25" s="59">
        <f t="shared" si="94"/>
        <v>132125.04</v>
      </c>
      <c r="FP25" s="59">
        <f t="shared" si="95"/>
        <v>132125.04</v>
      </c>
      <c r="FQ25" s="60">
        <v>0</v>
      </c>
      <c r="FR25" s="60">
        <v>0</v>
      </c>
      <c r="FS25" s="60">
        <v>0</v>
      </c>
      <c r="FT25" s="59">
        <f t="shared" si="96"/>
        <v>132125.04</v>
      </c>
      <c r="FU25" s="59">
        <f t="shared" si="97"/>
        <v>132125.04</v>
      </c>
      <c r="FV25" s="60">
        <v>0</v>
      </c>
      <c r="FW25" s="60">
        <v>0</v>
      </c>
      <c r="FX25" s="60">
        <v>0</v>
      </c>
      <c r="FY25" s="59">
        <f t="shared" si="98"/>
        <v>132125.04</v>
      </c>
      <c r="FZ25" s="59">
        <f t="shared" si="99"/>
        <v>132125.04</v>
      </c>
      <c r="GA25" s="60">
        <v>0</v>
      </c>
      <c r="GB25" s="60">
        <v>0</v>
      </c>
      <c r="GC25" s="60">
        <v>0</v>
      </c>
      <c r="GD25" s="59">
        <f t="shared" si="100"/>
        <v>132125.04</v>
      </c>
      <c r="GE25" s="59">
        <f t="shared" si="101"/>
        <v>132125.04</v>
      </c>
      <c r="GF25" s="60">
        <v>0</v>
      </c>
      <c r="GG25" s="60">
        <v>0</v>
      </c>
      <c r="GH25" s="60">
        <v>0</v>
      </c>
      <c r="GI25" s="59">
        <f t="shared" si="102"/>
        <v>132125.04</v>
      </c>
      <c r="GJ25" s="59"/>
    </row>
    <row r="26" spans="2:192">
      <c r="B26" s="71">
        <v>376</v>
      </c>
      <c r="C26" s="72" t="s">
        <v>576</v>
      </c>
      <c r="D26" s="73">
        <v>399913803.00999999</v>
      </c>
      <c r="E26" s="73">
        <v>399913803.00999999</v>
      </c>
      <c r="F26" s="73">
        <v>771626.61999999988</v>
      </c>
      <c r="G26" s="73">
        <v>-7748.31</v>
      </c>
      <c r="H26" s="73">
        <v>0</v>
      </c>
      <c r="I26" s="73">
        <v>400677681.31999999</v>
      </c>
      <c r="J26" s="73">
        <v>400677681.31999999</v>
      </c>
      <c r="K26" s="73">
        <v>2115302.58</v>
      </c>
      <c r="L26" s="73">
        <v>-67615.86</v>
      </c>
      <c r="M26" s="73">
        <v>0</v>
      </c>
      <c r="N26" s="73">
        <v>402725368.04000008</v>
      </c>
      <c r="O26" s="73">
        <v>402725368.04000008</v>
      </c>
      <c r="P26" s="73">
        <v>4227677.8699999992</v>
      </c>
      <c r="Q26" s="73">
        <v>-126444.81</v>
      </c>
      <c r="R26" s="73">
        <v>0</v>
      </c>
      <c r="S26" s="73">
        <v>406826601.10000002</v>
      </c>
      <c r="T26" s="73">
        <v>406826601.10000002</v>
      </c>
      <c r="U26" s="73">
        <v>1087572.4700000007</v>
      </c>
      <c r="V26" s="73">
        <v>-286844.15000000002</v>
      </c>
      <c r="W26" s="73">
        <v>0</v>
      </c>
      <c r="X26" s="73">
        <v>407627329.42000002</v>
      </c>
      <c r="Y26" s="73">
        <v>407627329.42000002</v>
      </c>
      <c r="Z26" s="73">
        <v>5034456.46</v>
      </c>
      <c r="AA26" s="73">
        <v>-135584.66999999998</v>
      </c>
      <c r="AB26" s="73">
        <v>0</v>
      </c>
      <c r="AC26" s="73">
        <v>412526201.20999998</v>
      </c>
      <c r="AD26" s="73">
        <v>412526201.20999998</v>
      </c>
      <c r="AE26" s="73">
        <v>4380523.63</v>
      </c>
      <c r="AF26" s="73">
        <v>-141091.80000000002</v>
      </c>
      <c r="AG26" s="73">
        <v>0</v>
      </c>
      <c r="AH26" s="73">
        <v>416765633.04000002</v>
      </c>
      <c r="AI26" s="73">
        <v>416765633.04000002</v>
      </c>
      <c r="AJ26" s="73">
        <v>3545220.2199999997</v>
      </c>
      <c r="AK26" s="73">
        <v>-149359.89000000001</v>
      </c>
      <c r="AL26" s="73">
        <v>0</v>
      </c>
      <c r="AM26" s="73">
        <v>420161493.36999995</v>
      </c>
      <c r="AN26" s="73">
        <v>420161493.36999995</v>
      </c>
      <c r="AO26" s="73">
        <v>1732880.47</v>
      </c>
      <c r="AP26" s="73">
        <v>-18845.41</v>
      </c>
      <c r="AQ26" s="73">
        <v>0</v>
      </c>
      <c r="AR26" s="73">
        <v>421875528.43000001</v>
      </c>
      <c r="AS26" s="73">
        <v>421875528.43000001</v>
      </c>
      <c r="AT26" s="73">
        <v>7087186.6900000004</v>
      </c>
      <c r="AU26" s="73">
        <v>-451617.27</v>
      </c>
      <c r="AV26" s="73">
        <v>0</v>
      </c>
      <c r="AW26" s="73">
        <v>428511097.84999996</v>
      </c>
      <c r="AX26" s="73">
        <v>428511097.84999996</v>
      </c>
      <c r="AY26" s="73">
        <v>3512408.01</v>
      </c>
      <c r="AZ26" s="73">
        <v>-13563.890000000001</v>
      </c>
      <c r="BA26" s="73">
        <v>0</v>
      </c>
      <c r="BB26" s="73">
        <v>432009941.96999991</v>
      </c>
      <c r="BC26" s="73">
        <v>432009941.96999991</v>
      </c>
      <c r="BD26" s="73">
        <v>4823088.25</v>
      </c>
      <c r="BE26" s="73">
        <v>-163335.63</v>
      </c>
      <c r="BF26" s="73">
        <v>0</v>
      </c>
      <c r="BG26" s="73">
        <v>436669694.58999997</v>
      </c>
      <c r="BH26" s="73">
        <v>436669694.58999997</v>
      </c>
      <c r="BI26" s="73">
        <v>6054826.6600000001</v>
      </c>
      <c r="BJ26" s="73">
        <v>-744499.1399999999</v>
      </c>
      <c r="BK26" s="73">
        <v>0</v>
      </c>
      <c r="BL26" s="73">
        <v>441980022.10999995</v>
      </c>
      <c r="BM26" s="73">
        <f>BL26</f>
        <v>441980022.10999995</v>
      </c>
      <c r="BN26" s="73">
        <v>770517.3200000003</v>
      </c>
      <c r="BO26" s="73">
        <v>-86892.96</v>
      </c>
      <c r="BP26" s="73">
        <v>0</v>
      </c>
      <c r="BQ26" s="73">
        <f>SUM(BM26:BP26)</f>
        <v>442663646.46999997</v>
      </c>
      <c r="BR26" s="73">
        <f>BQ26</f>
        <v>442663646.46999997</v>
      </c>
      <c r="BS26" s="73">
        <v>1251725.8799999999</v>
      </c>
      <c r="BT26" s="73">
        <v>-58672.22</v>
      </c>
      <c r="BU26" s="73">
        <v>0</v>
      </c>
      <c r="BV26" s="73">
        <f>SUM(BR26:BU26)</f>
        <v>443856700.12999994</v>
      </c>
      <c r="BW26" s="73">
        <f>BV26</f>
        <v>443856700.12999994</v>
      </c>
      <c r="BX26" s="73">
        <v>2468709.37</v>
      </c>
      <c r="BY26" s="73">
        <v>-15947.03</v>
      </c>
      <c r="BZ26" s="73">
        <v>0</v>
      </c>
      <c r="CA26" s="73">
        <f>SUM(BW26:BZ26)</f>
        <v>446309462.46999997</v>
      </c>
      <c r="CD26" s="73">
        <f t="shared" si="47"/>
        <v>443856700.12999994</v>
      </c>
      <c r="CE26" s="74">
        <v>3098210.1799999997</v>
      </c>
      <c r="CF26" s="74">
        <v>-12973.04</v>
      </c>
      <c r="CG26" s="74">
        <v>0</v>
      </c>
      <c r="CH26" s="73">
        <f t="shared" si="62"/>
        <v>446941937.26999992</v>
      </c>
      <c r="CI26" s="73">
        <f t="shared" si="48"/>
        <v>446941937.26999992</v>
      </c>
      <c r="CJ26" s="74">
        <v>1541121.66</v>
      </c>
      <c r="CK26" s="74">
        <v>-38434.33</v>
      </c>
      <c r="CL26" s="74">
        <v>0</v>
      </c>
      <c r="CM26" s="73">
        <f t="shared" si="63"/>
        <v>448444624.59999996</v>
      </c>
      <c r="CN26" s="73">
        <f t="shared" si="49"/>
        <v>448444624.59999996</v>
      </c>
      <c r="CO26" s="74">
        <v>2518749.0699999998</v>
      </c>
      <c r="CP26" s="74">
        <v>-42618.61</v>
      </c>
      <c r="CQ26" s="74">
        <v>0</v>
      </c>
      <c r="CR26" s="73">
        <f t="shared" si="64"/>
        <v>450920755.05999994</v>
      </c>
      <c r="CS26" s="73">
        <f t="shared" si="65"/>
        <v>450920755.05999994</v>
      </c>
      <c r="CT26" s="74">
        <v>2637935.1800000002</v>
      </c>
      <c r="CU26" s="74">
        <v>-26916.54</v>
      </c>
      <c r="CV26" s="74">
        <v>0</v>
      </c>
      <c r="CW26" s="73">
        <f t="shared" si="66"/>
        <v>453531773.69999993</v>
      </c>
      <c r="CX26" s="73">
        <f t="shared" si="67"/>
        <v>453531773.69999993</v>
      </c>
      <c r="CY26" s="74">
        <v>1676225.77</v>
      </c>
      <c r="CZ26" s="74">
        <v>-30147.08</v>
      </c>
      <c r="DA26" s="74">
        <v>0</v>
      </c>
      <c r="DB26" s="73">
        <f t="shared" si="68"/>
        <v>455177852.38999993</v>
      </c>
      <c r="DC26" s="73">
        <f t="shared" si="69"/>
        <v>455177852.38999993</v>
      </c>
      <c r="DD26" s="74">
        <v>1591820</v>
      </c>
      <c r="DE26" s="74">
        <v>-14634.82</v>
      </c>
      <c r="DF26" s="74">
        <v>0</v>
      </c>
      <c r="DG26" s="73">
        <f t="shared" si="70"/>
        <v>456755037.56999993</v>
      </c>
      <c r="DH26" s="73">
        <f t="shared" si="71"/>
        <v>456755037.56999993</v>
      </c>
      <c r="DI26" s="74">
        <v>3966530.48</v>
      </c>
      <c r="DJ26" s="74">
        <v>-86284.69</v>
      </c>
      <c r="DK26" s="74">
        <v>0</v>
      </c>
      <c r="DL26" s="73">
        <f t="shared" si="72"/>
        <v>460635283.35999995</v>
      </c>
      <c r="DM26" s="73">
        <f t="shared" si="73"/>
        <v>460635283.35999995</v>
      </c>
      <c r="DN26" s="74">
        <v>4691818.34</v>
      </c>
      <c r="DO26" s="74">
        <v>-75830.27</v>
      </c>
      <c r="DP26" s="74">
        <v>0</v>
      </c>
      <c r="DQ26" s="73">
        <f t="shared" si="74"/>
        <v>465251271.42999995</v>
      </c>
      <c r="DR26" s="73">
        <f t="shared" si="75"/>
        <v>465251271.42999995</v>
      </c>
      <c r="DS26" s="74">
        <v>2851321.05</v>
      </c>
      <c r="DT26" s="74">
        <v>-96816.7</v>
      </c>
      <c r="DU26" s="74">
        <v>0</v>
      </c>
      <c r="DV26" s="73">
        <f t="shared" si="76"/>
        <v>468005775.77999997</v>
      </c>
      <c r="DW26" s="73">
        <f t="shared" si="77"/>
        <v>468005775.77999997</v>
      </c>
      <c r="DX26" s="74">
        <v>6051021.0700000003</v>
      </c>
      <c r="DY26" s="74">
        <v>-181913.16999999998</v>
      </c>
      <c r="DZ26" s="74">
        <v>0</v>
      </c>
      <c r="EA26" s="73">
        <f t="shared" si="78"/>
        <v>473874883.67999995</v>
      </c>
      <c r="EB26" s="73">
        <f t="shared" si="79"/>
        <v>473874883.67999995</v>
      </c>
      <c r="EC26" s="74">
        <f>746313.8+1036201.48</f>
        <v>1782515.28</v>
      </c>
      <c r="ED26" s="74">
        <f>-80364.26-8683.68</f>
        <v>-89047.94</v>
      </c>
      <c r="EE26" s="74">
        <v>0</v>
      </c>
      <c r="EF26" s="73">
        <f t="shared" si="80"/>
        <v>475568351.01999992</v>
      </c>
      <c r="EG26" s="73">
        <f t="shared" si="81"/>
        <v>475568351.01999992</v>
      </c>
      <c r="EH26" s="74">
        <f>589946.46+464438.82</f>
        <v>1054385.28</v>
      </c>
      <c r="EI26" s="74">
        <f>-73287.1-370.67</f>
        <v>-73657.77</v>
      </c>
      <c r="EJ26" s="74">
        <v>0</v>
      </c>
      <c r="EK26" s="73">
        <f t="shared" si="82"/>
        <v>476549078.52999991</v>
      </c>
      <c r="EL26" s="73">
        <f t="shared" si="83"/>
        <v>476549078.52999991</v>
      </c>
      <c r="EM26" s="74">
        <f>366703.58+1344935.75</f>
        <v>1711639.33</v>
      </c>
      <c r="EN26" s="74">
        <f>-52067.07-638.79</f>
        <v>-52705.86</v>
      </c>
      <c r="EO26" s="74">
        <v>0</v>
      </c>
      <c r="EP26" s="73">
        <f t="shared" si="84"/>
        <v>478208011.99999988</v>
      </c>
      <c r="EQ26" s="73">
        <f t="shared" si="85"/>
        <v>478208011.99999988</v>
      </c>
      <c r="ER26" s="74">
        <f>411339.85+875179.68</f>
        <v>1286519.53</v>
      </c>
      <c r="ES26" s="74">
        <f>-133919.48-4684.32</f>
        <v>-138603.80000000002</v>
      </c>
      <c r="ET26" s="74">
        <v>0</v>
      </c>
      <c r="EU26" s="73">
        <f t="shared" si="86"/>
        <v>479355927.72999984</v>
      </c>
      <c r="EV26" s="73">
        <f t="shared" si="87"/>
        <v>479355927.72999984</v>
      </c>
      <c r="EW26" s="74">
        <f>1024793.38+1374757.5</f>
        <v>2399550.88</v>
      </c>
      <c r="EX26" s="74">
        <f>-135290.21-7007.68</f>
        <v>-142297.88999999998</v>
      </c>
      <c r="EY26" s="74">
        <v>0</v>
      </c>
      <c r="EZ26" s="73">
        <f t="shared" si="88"/>
        <v>481613180.71999985</v>
      </c>
      <c r="FA26" s="73">
        <f t="shared" si="89"/>
        <v>481613180.71999985</v>
      </c>
      <c r="FB26" s="74">
        <f>723310.61+1487371.12</f>
        <v>2210681.73</v>
      </c>
      <c r="FC26" s="74">
        <f>-106364.81-1553.84</f>
        <v>-107918.65</v>
      </c>
      <c r="FD26" s="74">
        <v>0</v>
      </c>
      <c r="FE26" s="73">
        <f t="shared" si="90"/>
        <v>483715943.79999989</v>
      </c>
      <c r="FF26" s="73">
        <f t="shared" si="91"/>
        <v>483715943.79999989</v>
      </c>
      <c r="FG26" s="74">
        <f>400285.37+954069.19</f>
        <v>1354354.56</v>
      </c>
      <c r="FH26" s="74">
        <f>-90780.98-5632.33</f>
        <v>-96413.31</v>
      </c>
      <c r="FI26" s="74">
        <v>0</v>
      </c>
      <c r="FJ26" s="73">
        <f t="shared" si="92"/>
        <v>484973885.04999989</v>
      </c>
      <c r="FK26" s="73">
        <f t="shared" si="93"/>
        <v>484973885.04999989</v>
      </c>
      <c r="FL26" s="74">
        <f>341447.32+910481.3</f>
        <v>1251928.6200000001</v>
      </c>
      <c r="FM26" s="74">
        <f>-56888.52-974.33</f>
        <v>-57862.85</v>
      </c>
      <c r="FN26" s="74">
        <v>0</v>
      </c>
      <c r="FO26" s="73">
        <f t="shared" si="94"/>
        <v>486167950.81999987</v>
      </c>
      <c r="FP26" s="73">
        <f t="shared" si="95"/>
        <v>486167950.81999987</v>
      </c>
      <c r="FQ26" s="74">
        <f>1129833.76+2234749.82</f>
        <v>3364583.58</v>
      </c>
      <c r="FR26" s="74">
        <f>-115218.94-34699.6</f>
        <v>-149918.54</v>
      </c>
      <c r="FS26" s="74">
        <v>0</v>
      </c>
      <c r="FT26" s="73">
        <f t="shared" si="96"/>
        <v>489382615.85999984</v>
      </c>
      <c r="FU26" s="73">
        <f t="shared" si="97"/>
        <v>489382615.85999984</v>
      </c>
      <c r="FV26" s="74">
        <f>1179811.2+2404053.67</f>
        <v>3583864.87</v>
      </c>
      <c r="FW26" s="74">
        <f>-120338.7-6178.88</f>
        <v>-126517.58</v>
      </c>
      <c r="FX26" s="74">
        <v>0</v>
      </c>
      <c r="FY26" s="73">
        <f t="shared" si="98"/>
        <v>492839963.14999986</v>
      </c>
      <c r="FZ26" s="73">
        <f t="shared" si="99"/>
        <v>492839963.14999986</v>
      </c>
      <c r="GA26" s="74">
        <f>758459.6+2101785.14</f>
        <v>2860244.74</v>
      </c>
      <c r="GB26" s="74">
        <f>-283219.8-9053.2</f>
        <v>-292273</v>
      </c>
      <c r="GC26" s="74">
        <v>0</v>
      </c>
      <c r="GD26" s="73">
        <f t="shared" si="100"/>
        <v>495407934.88999987</v>
      </c>
      <c r="GE26" s="73">
        <f t="shared" si="101"/>
        <v>495407934.88999987</v>
      </c>
      <c r="GF26" s="74">
        <f>5947716.53+3441110.07</f>
        <v>9388826.5999999996</v>
      </c>
      <c r="GG26" s="74">
        <f>-526941.1-103088.2</f>
        <v>-630029.29999999993</v>
      </c>
      <c r="GH26" s="74">
        <v>0</v>
      </c>
      <c r="GI26" s="73">
        <f t="shared" si="102"/>
        <v>504166732.18999988</v>
      </c>
      <c r="GJ26" s="59"/>
    </row>
    <row r="27" spans="2:192">
      <c r="B27" s="58">
        <v>378.1</v>
      </c>
      <c r="C27" s="57" t="s">
        <v>394</v>
      </c>
      <c r="D27" s="59">
        <v>505418.38</v>
      </c>
      <c r="E27" s="59">
        <v>505418.38</v>
      </c>
      <c r="F27" s="59">
        <v>0</v>
      </c>
      <c r="G27" s="59">
        <v>-7200.05</v>
      </c>
      <c r="H27" s="59">
        <v>0</v>
      </c>
      <c r="I27" s="59">
        <v>498218.33</v>
      </c>
      <c r="J27" s="59">
        <v>498218.33</v>
      </c>
      <c r="K27" s="59">
        <v>0</v>
      </c>
      <c r="L27" s="59">
        <v>-84.67</v>
      </c>
      <c r="M27" s="59">
        <v>0</v>
      </c>
      <c r="N27" s="59">
        <v>498133.66</v>
      </c>
      <c r="O27" s="59">
        <v>498133.66</v>
      </c>
      <c r="P27" s="59">
        <v>0</v>
      </c>
      <c r="Q27" s="59">
        <v>-3980.3</v>
      </c>
      <c r="R27" s="59">
        <v>0</v>
      </c>
      <c r="S27" s="59">
        <v>494153.36</v>
      </c>
      <c r="T27" s="59">
        <v>494153.36</v>
      </c>
      <c r="U27" s="59">
        <v>0</v>
      </c>
      <c r="V27" s="59">
        <v>-1222.27</v>
      </c>
      <c r="W27" s="59">
        <v>0</v>
      </c>
      <c r="X27" s="59">
        <v>492931.09</v>
      </c>
      <c r="Y27" s="59">
        <v>492931.09</v>
      </c>
      <c r="Z27" s="59">
        <v>79990.83</v>
      </c>
      <c r="AA27" s="59">
        <v>0</v>
      </c>
      <c r="AB27" s="59">
        <v>0</v>
      </c>
      <c r="AC27" s="59">
        <v>492931.09</v>
      </c>
      <c r="AD27" s="59">
        <v>492931.09</v>
      </c>
      <c r="AE27" s="59">
        <v>0</v>
      </c>
      <c r="AF27" s="59">
        <v>0</v>
      </c>
      <c r="AG27" s="59">
        <v>0</v>
      </c>
      <c r="AH27" s="59">
        <v>492931.09</v>
      </c>
      <c r="AI27" s="59">
        <v>492931.09</v>
      </c>
      <c r="AJ27" s="59">
        <v>0</v>
      </c>
      <c r="AK27" s="59">
        <v>0</v>
      </c>
      <c r="AL27" s="59">
        <v>0</v>
      </c>
      <c r="AM27" s="59">
        <v>492931.09</v>
      </c>
      <c r="AN27" s="59">
        <v>492931.09</v>
      </c>
      <c r="AO27" s="59">
        <v>0</v>
      </c>
      <c r="AP27" s="59">
        <v>-1348.69</v>
      </c>
      <c r="AQ27" s="59">
        <v>0</v>
      </c>
      <c r="AR27" s="59">
        <v>491582.4</v>
      </c>
      <c r="AS27" s="59">
        <v>491582.4</v>
      </c>
      <c r="AT27" s="59">
        <v>0</v>
      </c>
      <c r="AU27" s="59">
        <v>0</v>
      </c>
      <c r="AV27" s="59">
        <v>0</v>
      </c>
      <c r="AW27" s="59">
        <v>491582.4</v>
      </c>
      <c r="AX27" s="59">
        <v>491582.4</v>
      </c>
      <c r="AY27" s="59">
        <v>0</v>
      </c>
      <c r="AZ27" s="59">
        <v>0</v>
      </c>
      <c r="BA27" s="59">
        <v>0</v>
      </c>
      <c r="BB27" s="59">
        <v>491582.4</v>
      </c>
      <c r="BC27" s="59">
        <v>491582.4</v>
      </c>
      <c r="BD27" s="59">
        <v>0</v>
      </c>
      <c r="BE27" s="59">
        <v>0</v>
      </c>
      <c r="BF27" s="59">
        <v>0</v>
      </c>
      <c r="BG27" s="59">
        <v>491582.4</v>
      </c>
      <c r="BH27" s="59">
        <v>491582.4</v>
      </c>
      <c r="BI27" s="59">
        <v>0</v>
      </c>
      <c r="BJ27" s="59">
        <v>-193.67000000000002</v>
      </c>
      <c r="BK27" s="59">
        <v>0</v>
      </c>
      <c r="BL27" s="59">
        <v>491388.73</v>
      </c>
      <c r="BM27" s="59">
        <f t="shared" si="41"/>
        <v>491388.73</v>
      </c>
      <c r="BN27" s="59">
        <v>0</v>
      </c>
      <c r="BO27" s="59">
        <v>-91.54</v>
      </c>
      <c r="BP27" s="59">
        <v>0</v>
      </c>
      <c r="BQ27" s="59">
        <f t="shared" si="42"/>
        <v>491297.19</v>
      </c>
      <c r="BR27" s="59">
        <f t="shared" si="43"/>
        <v>491297.19</v>
      </c>
      <c r="BS27" s="59">
        <v>0</v>
      </c>
      <c r="BT27" s="59">
        <v>0</v>
      </c>
      <c r="BU27" s="59">
        <v>0</v>
      </c>
      <c r="BV27" s="59">
        <f t="shared" si="44"/>
        <v>491297.19</v>
      </c>
      <c r="BW27" s="59">
        <f t="shared" si="45"/>
        <v>491297.19</v>
      </c>
      <c r="BX27" s="59">
        <v>0</v>
      </c>
      <c r="BY27" s="59">
        <v>0</v>
      </c>
      <c r="BZ27" s="59">
        <v>0</v>
      </c>
      <c r="CA27" s="59">
        <f t="shared" si="46"/>
        <v>491297.19</v>
      </c>
      <c r="CD27" s="59">
        <f t="shared" si="47"/>
        <v>491297.19</v>
      </c>
      <c r="CE27" s="60">
        <v>0</v>
      </c>
      <c r="CF27" s="60">
        <v>-367095.33</v>
      </c>
      <c r="CG27" s="60">
        <v>0</v>
      </c>
      <c r="CH27" s="59">
        <f t="shared" si="62"/>
        <v>124201.85999999999</v>
      </c>
      <c r="CI27" s="59">
        <f t="shared" si="48"/>
        <v>124201.85999999999</v>
      </c>
      <c r="CJ27" s="60">
        <v>0</v>
      </c>
      <c r="CK27" s="60">
        <v>-36888.57</v>
      </c>
      <c r="CL27" s="60">
        <v>0</v>
      </c>
      <c r="CM27" s="59">
        <f t="shared" si="63"/>
        <v>87313.289999999979</v>
      </c>
      <c r="CN27" s="59">
        <f t="shared" si="49"/>
        <v>87313.289999999979</v>
      </c>
      <c r="CO27" s="60">
        <v>0</v>
      </c>
      <c r="CP27" s="60">
        <v>0</v>
      </c>
      <c r="CQ27" s="60">
        <v>0</v>
      </c>
      <c r="CR27" s="59">
        <f t="shared" si="64"/>
        <v>87313.289999999979</v>
      </c>
      <c r="CS27" s="59">
        <f t="shared" si="65"/>
        <v>87313.289999999979</v>
      </c>
      <c r="CT27" s="60">
        <v>0</v>
      </c>
      <c r="CU27" s="60">
        <v>0</v>
      </c>
      <c r="CV27" s="60">
        <v>0</v>
      </c>
      <c r="CW27" s="59">
        <f t="shared" si="66"/>
        <v>87313.289999999979</v>
      </c>
      <c r="CX27" s="59">
        <f t="shared" si="67"/>
        <v>87313.289999999979</v>
      </c>
      <c r="CY27" s="60">
        <v>0</v>
      </c>
      <c r="CZ27" s="60">
        <v>0</v>
      </c>
      <c r="DA27" s="60">
        <v>0</v>
      </c>
      <c r="DB27" s="59">
        <f t="shared" si="68"/>
        <v>87313.289999999979</v>
      </c>
      <c r="DC27" s="59">
        <f t="shared" si="69"/>
        <v>87313.289999999979</v>
      </c>
      <c r="DD27" s="60">
        <v>0</v>
      </c>
      <c r="DE27" s="60">
        <v>-40703.980000000003</v>
      </c>
      <c r="DF27" s="60">
        <v>0</v>
      </c>
      <c r="DG27" s="59">
        <f t="shared" si="70"/>
        <v>46609.309999999976</v>
      </c>
      <c r="DH27" s="59">
        <f t="shared" si="71"/>
        <v>46609.309999999976</v>
      </c>
      <c r="DI27" s="60">
        <v>0</v>
      </c>
      <c r="DJ27" s="60">
        <v>0</v>
      </c>
      <c r="DK27" s="60">
        <v>0</v>
      </c>
      <c r="DL27" s="59">
        <f t="shared" si="72"/>
        <v>46609.309999999976</v>
      </c>
      <c r="DM27" s="59">
        <f t="shared" si="73"/>
        <v>46609.309999999976</v>
      </c>
      <c r="DN27" s="60">
        <v>0</v>
      </c>
      <c r="DO27" s="60">
        <v>-6637.27</v>
      </c>
      <c r="DP27" s="60">
        <v>0</v>
      </c>
      <c r="DQ27" s="59">
        <f t="shared" si="74"/>
        <v>39972.039999999979</v>
      </c>
      <c r="DR27" s="59">
        <f t="shared" si="75"/>
        <v>39972.039999999979</v>
      </c>
      <c r="DS27" s="60">
        <v>0</v>
      </c>
      <c r="DT27" s="60">
        <v>-277438.87</v>
      </c>
      <c r="DU27" s="60">
        <v>0</v>
      </c>
      <c r="DV27" s="59">
        <f t="shared" si="76"/>
        <v>-237466.83000000002</v>
      </c>
      <c r="DW27" s="59">
        <f t="shared" si="77"/>
        <v>-237466.83000000002</v>
      </c>
      <c r="DX27" s="60">
        <v>0</v>
      </c>
      <c r="DY27" s="60">
        <v>-14815.25</v>
      </c>
      <c r="DZ27" s="60">
        <v>0</v>
      </c>
      <c r="EA27" s="59">
        <f t="shared" si="78"/>
        <v>-252282.08000000002</v>
      </c>
      <c r="EB27" s="59">
        <f t="shared" si="79"/>
        <v>-252282.08000000002</v>
      </c>
      <c r="EC27" s="60">
        <v>128150.09</v>
      </c>
      <c r="ED27" s="60">
        <v>-352711.86</v>
      </c>
      <c r="EE27" s="60">
        <v>0</v>
      </c>
      <c r="EF27" s="59">
        <f t="shared" si="80"/>
        <v>-476843.85</v>
      </c>
      <c r="EG27" s="59">
        <f t="shared" si="81"/>
        <v>-476843.85</v>
      </c>
      <c r="EH27" s="60">
        <v>187733.11</v>
      </c>
      <c r="EI27" s="60">
        <v>-3686.27</v>
      </c>
      <c r="EJ27" s="60">
        <v>0</v>
      </c>
      <c r="EK27" s="59">
        <f t="shared" si="82"/>
        <v>-292797.01</v>
      </c>
      <c r="EL27" s="59">
        <f t="shared" si="83"/>
        <v>-292797.01</v>
      </c>
      <c r="EM27" s="60">
        <v>393733.42</v>
      </c>
      <c r="EN27" s="60">
        <v>-173290.06</v>
      </c>
      <c r="EO27" s="60">
        <v>0</v>
      </c>
      <c r="EP27" s="59">
        <f t="shared" si="84"/>
        <v>-72353.650000000023</v>
      </c>
      <c r="EQ27" s="59">
        <f t="shared" si="85"/>
        <v>-72353.650000000023</v>
      </c>
      <c r="ER27" s="60">
        <v>299860.58</v>
      </c>
      <c r="ES27" s="60">
        <v>-53213.89</v>
      </c>
      <c r="ET27" s="60">
        <v>0</v>
      </c>
      <c r="EU27" s="59">
        <f t="shared" si="86"/>
        <v>174293.03999999998</v>
      </c>
      <c r="EV27" s="59">
        <f t="shared" si="87"/>
        <v>174293.03999999998</v>
      </c>
      <c r="EW27" s="60">
        <v>1066349.03</v>
      </c>
      <c r="EX27" s="60">
        <v>0</v>
      </c>
      <c r="EY27" s="60">
        <v>0</v>
      </c>
      <c r="EZ27" s="59">
        <f t="shared" si="88"/>
        <v>1240642.07</v>
      </c>
      <c r="FA27" s="59">
        <f t="shared" si="89"/>
        <v>1240642.07</v>
      </c>
      <c r="FB27" s="60">
        <v>44228.19</v>
      </c>
      <c r="FC27" s="60">
        <v>0</v>
      </c>
      <c r="FD27" s="60">
        <v>0</v>
      </c>
      <c r="FE27" s="59">
        <f t="shared" si="90"/>
        <v>1284870.26</v>
      </c>
      <c r="FF27" s="59">
        <f t="shared" si="91"/>
        <v>1284870.26</v>
      </c>
      <c r="FG27" s="60">
        <v>803579.52</v>
      </c>
      <c r="FH27" s="60">
        <v>0</v>
      </c>
      <c r="FI27" s="60">
        <v>0</v>
      </c>
      <c r="FJ27" s="59">
        <f t="shared" si="92"/>
        <v>2088449.78</v>
      </c>
      <c r="FK27" s="59">
        <f t="shared" si="93"/>
        <v>2088449.78</v>
      </c>
      <c r="FL27" s="60">
        <v>52269.85</v>
      </c>
      <c r="FM27" s="60">
        <v>-58717.83</v>
      </c>
      <c r="FN27" s="60">
        <v>0</v>
      </c>
      <c r="FO27" s="59">
        <f t="shared" si="94"/>
        <v>2082001.7999999998</v>
      </c>
      <c r="FP27" s="59">
        <f t="shared" si="95"/>
        <v>2082001.7999999998</v>
      </c>
      <c r="FQ27" s="60">
        <v>164183.47</v>
      </c>
      <c r="FR27" s="60">
        <v>0</v>
      </c>
      <c r="FS27" s="60">
        <v>0</v>
      </c>
      <c r="FT27" s="59">
        <f t="shared" si="96"/>
        <v>2246185.27</v>
      </c>
      <c r="FU27" s="59">
        <f t="shared" si="97"/>
        <v>2246185.27</v>
      </c>
      <c r="FV27" s="60">
        <v>23562.89</v>
      </c>
      <c r="FW27" s="60">
        <v>-9574.64</v>
      </c>
      <c r="FX27" s="60">
        <v>0</v>
      </c>
      <c r="FY27" s="59">
        <f t="shared" si="98"/>
        <v>2260173.52</v>
      </c>
      <c r="FZ27" s="59">
        <f t="shared" si="99"/>
        <v>2260173.52</v>
      </c>
      <c r="GA27" s="60">
        <v>69219.58</v>
      </c>
      <c r="GB27" s="60">
        <v>-400221.54</v>
      </c>
      <c r="GC27" s="60">
        <v>0</v>
      </c>
      <c r="GD27" s="59">
        <f t="shared" si="100"/>
        <v>1929171.56</v>
      </c>
      <c r="GE27" s="59">
        <f t="shared" si="101"/>
        <v>1929171.56</v>
      </c>
      <c r="GF27" s="60">
        <v>250207.93</v>
      </c>
      <c r="GG27" s="60">
        <v>-21371.85</v>
      </c>
      <c r="GH27" s="60">
        <v>0</v>
      </c>
      <c r="GI27" s="59">
        <f t="shared" si="102"/>
        <v>2158007.64</v>
      </c>
      <c r="GJ27" s="59"/>
    </row>
    <row r="28" spans="2:192">
      <c r="B28" s="71">
        <v>378.2</v>
      </c>
      <c r="C28" s="72" t="s">
        <v>395</v>
      </c>
      <c r="D28" s="73">
        <v>24969814.460000001</v>
      </c>
      <c r="E28" s="73">
        <v>24969814.460000001</v>
      </c>
      <c r="F28" s="73">
        <v>0</v>
      </c>
      <c r="G28" s="73">
        <v>-32849.590000000004</v>
      </c>
      <c r="H28" s="73">
        <v>0</v>
      </c>
      <c r="I28" s="73">
        <v>24936964.870000001</v>
      </c>
      <c r="J28" s="73">
        <v>24936964.870000001</v>
      </c>
      <c r="K28" s="73">
        <v>161.93</v>
      </c>
      <c r="L28" s="73">
        <v>-6092.8</v>
      </c>
      <c r="M28" s="73">
        <v>0</v>
      </c>
      <c r="N28" s="73">
        <v>24931034</v>
      </c>
      <c r="O28" s="73">
        <v>24931034</v>
      </c>
      <c r="P28" s="73">
        <v>0</v>
      </c>
      <c r="Q28" s="73">
        <v>-17244.22</v>
      </c>
      <c r="R28" s="73">
        <v>0</v>
      </c>
      <c r="S28" s="73">
        <v>24913789.780000001</v>
      </c>
      <c r="T28" s="73">
        <v>24913789.780000001</v>
      </c>
      <c r="U28" s="73">
        <v>0</v>
      </c>
      <c r="V28" s="73">
        <f>-34037.75+5189.18</f>
        <v>-28848.57</v>
      </c>
      <c r="W28" s="73">
        <v>0</v>
      </c>
      <c r="X28" s="73">
        <v>24879752.030000001</v>
      </c>
      <c r="Y28" s="73">
        <v>24879752.030000001</v>
      </c>
      <c r="Z28" s="73">
        <v>324846.16000000003</v>
      </c>
      <c r="AA28" s="73">
        <v>-10457.33</v>
      </c>
      <c r="AB28" s="73">
        <v>0</v>
      </c>
      <c r="AC28" s="73">
        <v>25274131.690000001</v>
      </c>
      <c r="AD28" s="73">
        <v>25274131.690000001</v>
      </c>
      <c r="AE28" s="73">
        <v>10172.579999999987</v>
      </c>
      <c r="AF28" s="73">
        <v>-98607.48</v>
      </c>
      <c r="AG28" s="73">
        <v>0</v>
      </c>
      <c r="AH28" s="73">
        <v>25185696.790000003</v>
      </c>
      <c r="AI28" s="73">
        <v>25185696.790000003</v>
      </c>
      <c r="AJ28" s="73">
        <v>30584.920000000002</v>
      </c>
      <c r="AK28" s="73">
        <v>-90900.479999999996</v>
      </c>
      <c r="AL28" s="73">
        <v>0</v>
      </c>
      <c r="AM28" s="73">
        <v>25125381.23</v>
      </c>
      <c r="AN28" s="73">
        <v>25125381.23</v>
      </c>
      <c r="AO28" s="73">
        <v>-7189.3600000000006</v>
      </c>
      <c r="AP28" s="73">
        <v>-73755.900000000009</v>
      </c>
      <c r="AQ28" s="73">
        <v>0</v>
      </c>
      <c r="AR28" s="73">
        <v>25044435.970000003</v>
      </c>
      <c r="AS28" s="73">
        <v>25044435.970000003</v>
      </c>
      <c r="AT28" s="73">
        <v>76624.100000000006</v>
      </c>
      <c r="AU28" s="73">
        <v>-42418.090000000004</v>
      </c>
      <c r="AV28" s="73">
        <v>0</v>
      </c>
      <c r="AW28" s="73">
        <v>25078641.98</v>
      </c>
      <c r="AX28" s="73">
        <v>25078641.98</v>
      </c>
      <c r="AY28" s="73">
        <v>12616.79</v>
      </c>
      <c r="AZ28" s="73">
        <v>0</v>
      </c>
      <c r="BA28" s="73">
        <v>0</v>
      </c>
      <c r="BB28" s="73">
        <v>25091258.770000003</v>
      </c>
      <c r="BC28" s="73">
        <v>25091258.770000003</v>
      </c>
      <c r="BD28" s="73">
        <v>4058.4799999999814</v>
      </c>
      <c r="BE28" s="73">
        <v>-26899.15</v>
      </c>
      <c r="BF28" s="73">
        <v>0</v>
      </c>
      <c r="BG28" s="73">
        <v>25068418.099999998</v>
      </c>
      <c r="BH28" s="73">
        <v>25068418.099999998</v>
      </c>
      <c r="BI28" s="73">
        <v>-518.45000000000005</v>
      </c>
      <c r="BJ28" s="73">
        <v>-42288.38</v>
      </c>
      <c r="BK28" s="73">
        <v>0</v>
      </c>
      <c r="BL28" s="73">
        <v>25025611.27</v>
      </c>
      <c r="BM28" s="73">
        <f>BL28</f>
        <v>25025611.27</v>
      </c>
      <c r="BN28" s="73">
        <v>12163.02</v>
      </c>
      <c r="BO28" s="73">
        <v>-164.58</v>
      </c>
      <c r="BP28" s="73">
        <v>0</v>
      </c>
      <c r="BQ28" s="73">
        <f>SUM(BM28:BP28)</f>
        <v>25037609.710000001</v>
      </c>
      <c r="BR28" s="73">
        <f>BQ28</f>
        <v>25037609.710000001</v>
      </c>
      <c r="BS28" s="73">
        <v>26962.039999999994</v>
      </c>
      <c r="BT28" s="73">
        <v>-13625.050000000001</v>
      </c>
      <c r="BU28" s="73">
        <v>0</v>
      </c>
      <c r="BV28" s="73">
        <f>SUM(BR28:BU28)</f>
        <v>25050946.699999999</v>
      </c>
      <c r="BW28" s="73">
        <f>BV28</f>
        <v>25050946.699999999</v>
      </c>
      <c r="BX28" s="73">
        <v>24463.03</v>
      </c>
      <c r="BY28" s="73">
        <v>0</v>
      </c>
      <c r="BZ28" s="73">
        <v>0</v>
      </c>
      <c r="CA28" s="73">
        <f>SUM(BW28:BZ28)</f>
        <v>25075409.73</v>
      </c>
      <c r="CD28" s="73">
        <f t="shared" si="47"/>
        <v>25050946.699999999</v>
      </c>
      <c r="CE28" s="74">
        <v>687532.94</v>
      </c>
      <c r="CF28" s="74">
        <v>-15853.18</v>
      </c>
      <c r="CG28" s="74">
        <v>0</v>
      </c>
      <c r="CH28" s="73">
        <f t="shared" si="62"/>
        <v>25722626.460000001</v>
      </c>
      <c r="CI28" s="73">
        <f t="shared" si="48"/>
        <v>25722626.460000001</v>
      </c>
      <c r="CJ28" s="74">
        <v>307061.71000000002</v>
      </c>
      <c r="CK28" s="74">
        <v>-14286.85</v>
      </c>
      <c r="CL28" s="74">
        <v>0</v>
      </c>
      <c r="CM28" s="73">
        <f t="shared" si="63"/>
        <v>26015401.32</v>
      </c>
      <c r="CN28" s="73">
        <f t="shared" si="49"/>
        <v>26015401.32</v>
      </c>
      <c r="CO28" s="74">
        <v>1111756.44</v>
      </c>
      <c r="CP28" s="74">
        <v>-21330.14</v>
      </c>
      <c r="CQ28" s="74">
        <v>0</v>
      </c>
      <c r="CR28" s="73">
        <f t="shared" si="64"/>
        <v>27105827.620000001</v>
      </c>
      <c r="CS28" s="73">
        <f t="shared" si="65"/>
        <v>27105827.620000001</v>
      </c>
      <c r="CT28" s="74">
        <v>45290.33</v>
      </c>
      <c r="CU28" s="74">
        <v>-32162.55</v>
      </c>
      <c r="CV28" s="74">
        <v>0</v>
      </c>
      <c r="CW28" s="73">
        <f t="shared" si="66"/>
        <v>27118955.399999999</v>
      </c>
      <c r="CX28" s="73">
        <f t="shared" si="67"/>
        <v>27118955.399999999</v>
      </c>
      <c r="CY28" s="74">
        <v>822877.41</v>
      </c>
      <c r="CZ28" s="74">
        <v>-56110.77</v>
      </c>
      <c r="DA28" s="74">
        <v>0</v>
      </c>
      <c r="DB28" s="73">
        <f t="shared" si="68"/>
        <v>27885722.039999999</v>
      </c>
      <c r="DC28" s="73">
        <f t="shared" si="69"/>
        <v>27885722.039999999</v>
      </c>
      <c r="DD28" s="74">
        <v>53525.11</v>
      </c>
      <c r="DE28" s="74">
        <v>-23514.05</v>
      </c>
      <c r="DF28" s="74">
        <v>0</v>
      </c>
      <c r="DG28" s="73">
        <f t="shared" si="70"/>
        <v>27915733.099999998</v>
      </c>
      <c r="DH28" s="73">
        <f t="shared" si="71"/>
        <v>27915733.099999998</v>
      </c>
      <c r="DI28" s="74">
        <v>170889.82</v>
      </c>
      <c r="DJ28" s="74">
        <v>-42480.75</v>
      </c>
      <c r="DK28" s="74">
        <v>0</v>
      </c>
      <c r="DL28" s="73">
        <f t="shared" si="72"/>
        <v>28044142.169999998</v>
      </c>
      <c r="DM28" s="73">
        <f t="shared" si="73"/>
        <v>28044142.169999998</v>
      </c>
      <c r="DN28" s="74">
        <v>55821.02</v>
      </c>
      <c r="DO28" s="74">
        <v>-26692.36</v>
      </c>
      <c r="DP28" s="74">
        <v>0</v>
      </c>
      <c r="DQ28" s="73">
        <f t="shared" si="74"/>
        <v>28073270.829999998</v>
      </c>
      <c r="DR28" s="73">
        <f t="shared" si="75"/>
        <v>28073270.829999998</v>
      </c>
      <c r="DS28" s="74">
        <v>123787.63</v>
      </c>
      <c r="DT28" s="74">
        <v>-47655.25</v>
      </c>
      <c r="DU28" s="74">
        <v>0</v>
      </c>
      <c r="DV28" s="73">
        <f t="shared" si="76"/>
        <v>28149403.209999997</v>
      </c>
      <c r="DW28" s="73">
        <f t="shared" si="77"/>
        <v>28149403.209999997</v>
      </c>
      <c r="DX28" s="74">
        <v>319750.77</v>
      </c>
      <c r="DY28" s="74">
        <v>-38834.47</v>
      </c>
      <c r="DZ28" s="74">
        <v>0</v>
      </c>
      <c r="EA28" s="73">
        <f t="shared" si="78"/>
        <v>28430319.509999998</v>
      </c>
      <c r="EB28" s="73">
        <f t="shared" si="79"/>
        <v>28430319.509999998</v>
      </c>
      <c r="EC28" s="74">
        <v>41540.910000000003</v>
      </c>
      <c r="ED28" s="74">
        <v>-114148.84</v>
      </c>
      <c r="EE28" s="74">
        <v>0</v>
      </c>
      <c r="EF28" s="73">
        <f t="shared" si="80"/>
        <v>28357711.579999998</v>
      </c>
      <c r="EG28" s="73">
        <f t="shared" si="81"/>
        <v>28357711.579999998</v>
      </c>
      <c r="EH28" s="74">
        <v>60855.23</v>
      </c>
      <c r="EI28" s="74">
        <v>-1193</v>
      </c>
      <c r="EJ28" s="74">
        <v>0</v>
      </c>
      <c r="EK28" s="73">
        <f t="shared" si="82"/>
        <v>28417373.809999999</v>
      </c>
      <c r="EL28" s="73">
        <f t="shared" si="83"/>
        <v>28417373.809999999</v>
      </c>
      <c r="EM28" s="74">
        <v>127631.92</v>
      </c>
      <c r="EN28" s="74">
        <v>-56082.2</v>
      </c>
      <c r="EO28" s="74">
        <v>0</v>
      </c>
      <c r="EP28" s="73">
        <f t="shared" si="84"/>
        <v>28488923.530000001</v>
      </c>
      <c r="EQ28" s="73">
        <f t="shared" si="85"/>
        <v>28488923.530000001</v>
      </c>
      <c r="ER28" s="74">
        <v>97202.27</v>
      </c>
      <c r="ES28" s="74">
        <v>-17221.72</v>
      </c>
      <c r="ET28" s="74">
        <v>0</v>
      </c>
      <c r="EU28" s="73">
        <f t="shared" si="86"/>
        <v>28568904.080000002</v>
      </c>
      <c r="EV28" s="73">
        <f t="shared" si="87"/>
        <v>28568904.080000002</v>
      </c>
      <c r="EW28" s="74">
        <v>345665.79</v>
      </c>
      <c r="EX28" s="74">
        <v>0</v>
      </c>
      <c r="EY28" s="74">
        <v>0</v>
      </c>
      <c r="EZ28" s="73">
        <f t="shared" si="88"/>
        <v>28914569.870000001</v>
      </c>
      <c r="FA28" s="73">
        <f t="shared" si="89"/>
        <v>28914569.870000001</v>
      </c>
      <c r="FB28" s="74">
        <v>14336.93</v>
      </c>
      <c r="FC28" s="74">
        <v>0</v>
      </c>
      <c r="FD28" s="74">
        <v>0</v>
      </c>
      <c r="FE28" s="73">
        <f t="shared" si="90"/>
        <v>28928906.800000001</v>
      </c>
      <c r="FF28" s="73">
        <f t="shared" si="91"/>
        <v>28928906.800000001</v>
      </c>
      <c r="FG28" s="74">
        <v>260486.9</v>
      </c>
      <c r="FH28" s="74">
        <v>0</v>
      </c>
      <c r="FI28" s="74">
        <v>0</v>
      </c>
      <c r="FJ28" s="73">
        <f t="shared" si="92"/>
        <v>29189393.699999999</v>
      </c>
      <c r="FK28" s="73">
        <f t="shared" si="93"/>
        <v>29189393.699999999</v>
      </c>
      <c r="FL28" s="74">
        <v>16943.7</v>
      </c>
      <c r="FM28" s="74">
        <v>-19002.97</v>
      </c>
      <c r="FN28" s="74">
        <v>0</v>
      </c>
      <c r="FO28" s="73">
        <f t="shared" si="94"/>
        <v>29187334.43</v>
      </c>
      <c r="FP28" s="73">
        <f t="shared" si="95"/>
        <v>29187334.43</v>
      </c>
      <c r="FQ28" s="74">
        <v>53221.42</v>
      </c>
      <c r="FR28" s="74">
        <v>0</v>
      </c>
      <c r="FS28" s="74">
        <v>0</v>
      </c>
      <c r="FT28" s="73">
        <f t="shared" si="96"/>
        <v>29240555.850000001</v>
      </c>
      <c r="FU28" s="73">
        <f t="shared" si="97"/>
        <v>29240555.850000001</v>
      </c>
      <c r="FV28" s="74">
        <v>7638.1</v>
      </c>
      <c r="FW28" s="74">
        <v>-3098.66</v>
      </c>
      <c r="FX28" s="74">
        <v>0</v>
      </c>
      <c r="FY28" s="73">
        <f t="shared" si="98"/>
        <v>29245095.290000003</v>
      </c>
      <c r="FZ28" s="73">
        <f t="shared" si="99"/>
        <v>29245095.290000003</v>
      </c>
      <c r="GA28" s="74">
        <v>22438.1</v>
      </c>
      <c r="GB28" s="74">
        <v>-129524.49</v>
      </c>
      <c r="GC28" s="74">
        <v>0</v>
      </c>
      <c r="GD28" s="73">
        <f t="shared" si="100"/>
        <v>29138008.900000006</v>
      </c>
      <c r="GE28" s="73">
        <f t="shared" si="101"/>
        <v>29138008.900000006</v>
      </c>
      <c r="GF28" s="74">
        <v>81106.95</v>
      </c>
      <c r="GG28" s="74">
        <v>-6916.61</v>
      </c>
      <c r="GH28" s="74">
        <v>0</v>
      </c>
      <c r="GI28" s="73">
        <f t="shared" si="102"/>
        <v>29212199.240000006</v>
      </c>
      <c r="GJ28" s="59"/>
    </row>
    <row r="29" spans="2:192">
      <c r="B29" s="58">
        <v>378.3</v>
      </c>
      <c r="C29" s="57" t="s">
        <v>396</v>
      </c>
      <c r="D29" s="59">
        <v>45443.08</v>
      </c>
      <c r="E29" s="59">
        <v>45443.08</v>
      </c>
      <c r="F29" s="59">
        <v>0</v>
      </c>
      <c r="G29" s="59">
        <v>0</v>
      </c>
      <c r="H29" s="59">
        <v>0</v>
      </c>
      <c r="I29" s="59">
        <v>45443.08</v>
      </c>
      <c r="J29" s="59">
        <v>45443.08</v>
      </c>
      <c r="K29" s="59">
        <v>0</v>
      </c>
      <c r="L29" s="59">
        <v>0</v>
      </c>
      <c r="M29" s="59">
        <v>0</v>
      </c>
      <c r="N29" s="59">
        <v>45443.08</v>
      </c>
      <c r="O29" s="59">
        <v>45443.08</v>
      </c>
      <c r="P29" s="59">
        <v>0</v>
      </c>
      <c r="Q29" s="59">
        <v>0</v>
      </c>
      <c r="R29" s="59">
        <v>0</v>
      </c>
      <c r="S29" s="59">
        <v>45443.08</v>
      </c>
      <c r="T29" s="59">
        <v>45443.08</v>
      </c>
      <c r="U29" s="59">
        <v>0</v>
      </c>
      <c r="V29" s="59">
        <v>0</v>
      </c>
      <c r="W29" s="59">
        <v>0</v>
      </c>
      <c r="X29" s="59">
        <v>45443.08</v>
      </c>
      <c r="Y29" s="59">
        <v>45443.08</v>
      </c>
      <c r="Z29" s="59">
        <v>0</v>
      </c>
      <c r="AA29" s="59">
        <v>0</v>
      </c>
      <c r="AB29" s="59">
        <v>0</v>
      </c>
      <c r="AC29" s="59">
        <v>45443.08</v>
      </c>
      <c r="AD29" s="59">
        <v>45443.08</v>
      </c>
      <c r="AE29" s="59">
        <v>0</v>
      </c>
      <c r="AF29" s="59">
        <v>0</v>
      </c>
      <c r="AG29" s="59">
        <v>0</v>
      </c>
      <c r="AH29" s="59">
        <v>45443.08</v>
      </c>
      <c r="AI29" s="59">
        <v>45443.08</v>
      </c>
      <c r="AJ29" s="59">
        <v>0</v>
      </c>
      <c r="AK29" s="59">
        <v>0</v>
      </c>
      <c r="AL29" s="59">
        <v>0</v>
      </c>
      <c r="AM29" s="59">
        <v>45443.08</v>
      </c>
      <c r="AN29" s="59">
        <v>45443.08</v>
      </c>
      <c r="AO29" s="59">
        <v>0</v>
      </c>
      <c r="AP29" s="59">
        <v>0</v>
      </c>
      <c r="AQ29" s="59">
        <v>0</v>
      </c>
      <c r="AR29" s="59">
        <v>45443.08</v>
      </c>
      <c r="AS29" s="59">
        <v>45443.08</v>
      </c>
      <c r="AT29" s="59">
        <v>0</v>
      </c>
      <c r="AU29" s="59">
        <v>0</v>
      </c>
      <c r="AV29" s="59">
        <v>0</v>
      </c>
      <c r="AW29" s="59">
        <v>45443.08</v>
      </c>
      <c r="AX29" s="59">
        <v>45443.08</v>
      </c>
      <c r="AY29" s="59">
        <v>0</v>
      </c>
      <c r="AZ29" s="59">
        <v>0</v>
      </c>
      <c r="BA29" s="59">
        <v>0</v>
      </c>
      <c r="BB29" s="59">
        <v>45443.08</v>
      </c>
      <c r="BC29" s="59">
        <v>45443.08</v>
      </c>
      <c r="BD29" s="59">
        <v>0</v>
      </c>
      <c r="BE29" s="59">
        <v>0</v>
      </c>
      <c r="BF29" s="59">
        <v>0</v>
      </c>
      <c r="BG29" s="59">
        <v>45443.08</v>
      </c>
      <c r="BH29" s="59">
        <v>45443.08</v>
      </c>
      <c r="BI29" s="59">
        <v>0</v>
      </c>
      <c r="BJ29" s="59">
        <v>0</v>
      </c>
      <c r="BK29" s="59">
        <v>0</v>
      </c>
      <c r="BL29" s="59">
        <v>45443.08</v>
      </c>
      <c r="BM29" s="59">
        <f t="shared" si="41"/>
        <v>45443.08</v>
      </c>
      <c r="BN29" s="59">
        <v>0</v>
      </c>
      <c r="BO29" s="59">
        <v>0</v>
      </c>
      <c r="BP29" s="59">
        <v>0</v>
      </c>
      <c r="BQ29" s="59">
        <f t="shared" si="42"/>
        <v>45443.08</v>
      </c>
      <c r="BR29" s="59">
        <f t="shared" si="43"/>
        <v>45443.08</v>
      </c>
      <c r="BS29" s="59">
        <v>0</v>
      </c>
      <c r="BT29" s="59">
        <v>0</v>
      </c>
      <c r="BU29" s="59">
        <v>0</v>
      </c>
      <c r="BV29" s="59">
        <f t="shared" si="44"/>
        <v>45443.08</v>
      </c>
      <c r="BW29" s="59">
        <f t="shared" si="45"/>
        <v>45443.08</v>
      </c>
      <c r="BX29" s="59">
        <v>0</v>
      </c>
      <c r="BY29" s="59">
        <v>0</v>
      </c>
      <c r="BZ29" s="59">
        <v>0</v>
      </c>
      <c r="CA29" s="59">
        <f t="shared" si="46"/>
        <v>45443.08</v>
      </c>
      <c r="CD29" s="59">
        <f t="shared" si="47"/>
        <v>45443.08</v>
      </c>
      <c r="CE29" s="60">
        <v>0</v>
      </c>
      <c r="CF29" s="60">
        <v>0</v>
      </c>
      <c r="CG29" s="60">
        <v>0</v>
      </c>
      <c r="CH29" s="59">
        <f t="shared" si="62"/>
        <v>45443.08</v>
      </c>
      <c r="CI29" s="59">
        <f t="shared" si="48"/>
        <v>45443.08</v>
      </c>
      <c r="CJ29" s="60">
        <v>0</v>
      </c>
      <c r="CK29" s="60">
        <v>0</v>
      </c>
      <c r="CL29" s="60">
        <v>0</v>
      </c>
      <c r="CM29" s="59">
        <f t="shared" si="63"/>
        <v>45443.08</v>
      </c>
      <c r="CN29" s="59">
        <f t="shared" si="49"/>
        <v>45443.08</v>
      </c>
      <c r="CO29" s="60">
        <v>0</v>
      </c>
      <c r="CP29" s="60">
        <v>0</v>
      </c>
      <c r="CQ29" s="60">
        <v>0</v>
      </c>
      <c r="CR29" s="59">
        <f t="shared" si="64"/>
        <v>45443.08</v>
      </c>
      <c r="CS29" s="59">
        <f t="shared" si="65"/>
        <v>45443.08</v>
      </c>
      <c r="CT29" s="60">
        <v>0</v>
      </c>
      <c r="CU29" s="60">
        <v>0</v>
      </c>
      <c r="CV29" s="60">
        <v>0</v>
      </c>
      <c r="CW29" s="59">
        <f t="shared" si="66"/>
        <v>45443.08</v>
      </c>
      <c r="CX29" s="59">
        <f t="shared" si="67"/>
        <v>45443.08</v>
      </c>
      <c r="CY29" s="60">
        <v>0</v>
      </c>
      <c r="CZ29" s="60">
        <v>0</v>
      </c>
      <c r="DA29" s="60">
        <v>0</v>
      </c>
      <c r="DB29" s="59">
        <f t="shared" si="68"/>
        <v>45443.08</v>
      </c>
      <c r="DC29" s="59">
        <f t="shared" si="69"/>
        <v>45443.08</v>
      </c>
      <c r="DD29" s="60">
        <v>0</v>
      </c>
      <c r="DE29" s="60">
        <v>0</v>
      </c>
      <c r="DF29" s="60">
        <v>0</v>
      </c>
      <c r="DG29" s="59">
        <f t="shared" si="70"/>
        <v>45443.08</v>
      </c>
      <c r="DH29" s="59">
        <f t="shared" si="71"/>
        <v>45443.08</v>
      </c>
      <c r="DI29" s="60">
        <v>0</v>
      </c>
      <c r="DJ29" s="60">
        <v>0</v>
      </c>
      <c r="DK29" s="60">
        <v>0</v>
      </c>
      <c r="DL29" s="59">
        <f t="shared" si="72"/>
        <v>45443.08</v>
      </c>
      <c r="DM29" s="59">
        <f t="shared" si="73"/>
        <v>45443.08</v>
      </c>
      <c r="DN29" s="60">
        <v>0</v>
      </c>
      <c r="DO29" s="60">
        <v>0</v>
      </c>
      <c r="DP29" s="60">
        <v>0</v>
      </c>
      <c r="DQ29" s="59">
        <f t="shared" si="74"/>
        <v>45443.08</v>
      </c>
      <c r="DR29" s="59">
        <f t="shared" si="75"/>
        <v>45443.08</v>
      </c>
      <c r="DS29" s="60">
        <v>0</v>
      </c>
      <c r="DT29" s="60">
        <v>0</v>
      </c>
      <c r="DU29" s="60">
        <v>0</v>
      </c>
      <c r="DV29" s="59">
        <f t="shared" si="76"/>
        <v>45443.08</v>
      </c>
      <c r="DW29" s="59">
        <f t="shared" si="77"/>
        <v>45443.08</v>
      </c>
      <c r="DX29" s="60">
        <v>0</v>
      </c>
      <c r="DY29" s="60">
        <v>0</v>
      </c>
      <c r="DZ29" s="60">
        <v>0</v>
      </c>
      <c r="EA29" s="59">
        <f t="shared" si="78"/>
        <v>45443.08</v>
      </c>
      <c r="EB29" s="59">
        <f t="shared" si="79"/>
        <v>45443.08</v>
      </c>
      <c r="EC29" s="60">
        <v>0</v>
      </c>
      <c r="ED29" s="60">
        <v>0</v>
      </c>
      <c r="EE29" s="60">
        <v>0</v>
      </c>
      <c r="EF29" s="59">
        <f t="shared" si="80"/>
        <v>45443.08</v>
      </c>
      <c r="EG29" s="59">
        <f t="shared" si="81"/>
        <v>45443.08</v>
      </c>
      <c r="EH29" s="60">
        <v>0</v>
      </c>
      <c r="EI29" s="60">
        <v>0</v>
      </c>
      <c r="EJ29" s="60">
        <v>0</v>
      </c>
      <c r="EK29" s="59">
        <f t="shared" si="82"/>
        <v>45443.08</v>
      </c>
      <c r="EL29" s="59">
        <f t="shared" si="83"/>
        <v>45443.08</v>
      </c>
      <c r="EM29" s="60">
        <v>0</v>
      </c>
      <c r="EN29" s="60">
        <v>0</v>
      </c>
      <c r="EO29" s="60">
        <v>0</v>
      </c>
      <c r="EP29" s="59">
        <f t="shared" si="84"/>
        <v>45443.08</v>
      </c>
      <c r="EQ29" s="59">
        <f t="shared" si="85"/>
        <v>45443.08</v>
      </c>
      <c r="ER29" s="60">
        <v>0</v>
      </c>
      <c r="ES29" s="60">
        <v>0</v>
      </c>
      <c r="ET29" s="60">
        <v>0</v>
      </c>
      <c r="EU29" s="59">
        <f t="shared" si="86"/>
        <v>45443.08</v>
      </c>
      <c r="EV29" s="59">
        <f t="shared" si="87"/>
        <v>45443.08</v>
      </c>
      <c r="EW29" s="60">
        <v>0</v>
      </c>
      <c r="EX29" s="60">
        <v>0</v>
      </c>
      <c r="EY29" s="60">
        <v>0</v>
      </c>
      <c r="EZ29" s="59">
        <f t="shared" si="88"/>
        <v>45443.08</v>
      </c>
      <c r="FA29" s="59">
        <f t="shared" si="89"/>
        <v>45443.08</v>
      </c>
      <c r="FB29" s="60">
        <v>0</v>
      </c>
      <c r="FC29" s="60">
        <v>0</v>
      </c>
      <c r="FD29" s="60">
        <v>0</v>
      </c>
      <c r="FE29" s="59">
        <f t="shared" si="90"/>
        <v>45443.08</v>
      </c>
      <c r="FF29" s="59">
        <f t="shared" si="91"/>
        <v>45443.08</v>
      </c>
      <c r="FG29" s="60">
        <v>0</v>
      </c>
      <c r="FH29" s="60">
        <v>0</v>
      </c>
      <c r="FI29" s="60">
        <v>0</v>
      </c>
      <c r="FJ29" s="59">
        <f t="shared" si="92"/>
        <v>45443.08</v>
      </c>
      <c r="FK29" s="59">
        <f t="shared" si="93"/>
        <v>45443.08</v>
      </c>
      <c r="FL29" s="60">
        <v>0</v>
      </c>
      <c r="FM29" s="60">
        <v>0</v>
      </c>
      <c r="FN29" s="60">
        <v>0</v>
      </c>
      <c r="FO29" s="59">
        <f t="shared" si="94"/>
        <v>45443.08</v>
      </c>
      <c r="FP29" s="59">
        <f t="shared" si="95"/>
        <v>45443.08</v>
      </c>
      <c r="FQ29" s="60">
        <v>0</v>
      </c>
      <c r="FR29" s="60">
        <v>0</v>
      </c>
      <c r="FS29" s="60">
        <v>0</v>
      </c>
      <c r="FT29" s="59">
        <f t="shared" si="96"/>
        <v>45443.08</v>
      </c>
      <c r="FU29" s="59">
        <f t="shared" si="97"/>
        <v>45443.08</v>
      </c>
      <c r="FV29" s="60">
        <v>0</v>
      </c>
      <c r="FW29" s="60">
        <v>0</v>
      </c>
      <c r="FX29" s="60">
        <v>0</v>
      </c>
      <c r="FY29" s="59">
        <f t="shared" si="98"/>
        <v>45443.08</v>
      </c>
      <c r="FZ29" s="59">
        <f t="shared" si="99"/>
        <v>45443.08</v>
      </c>
      <c r="GA29" s="60">
        <v>0</v>
      </c>
      <c r="GB29" s="60">
        <v>0</v>
      </c>
      <c r="GC29" s="60">
        <v>0</v>
      </c>
      <c r="GD29" s="59">
        <f t="shared" si="100"/>
        <v>45443.08</v>
      </c>
      <c r="GE29" s="59">
        <f t="shared" si="101"/>
        <v>45443.08</v>
      </c>
      <c r="GF29" s="60">
        <v>0</v>
      </c>
      <c r="GG29" s="60">
        <v>0</v>
      </c>
      <c r="GH29" s="60">
        <v>0</v>
      </c>
      <c r="GI29" s="59">
        <f t="shared" si="102"/>
        <v>45443.08</v>
      </c>
      <c r="GJ29" s="59"/>
    </row>
    <row r="30" spans="2:192">
      <c r="B30" s="58">
        <v>379.1</v>
      </c>
      <c r="C30" s="57" t="s">
        <v>397</v>
      </c>
      <c r="D30" s="59">
        <v>1554144.06</v>
      </c>
      <c r="E30" s="59">
        <v>1554144.06</v>
      </c>
      <c r="F30" s="59">
        <v>0</v>
      </c>
      <c r="G30" s="59">
        <v>0</v>
      </c>
      <c r="H30" s="59">
        <v>0</v>
      </c>
      <c r="I30" s="59">
        <v>1554144.06</v>
      </c>
      <c r="J30" s="59">
        <v>1554144.06</v>
      </c>
      <c r="K30" s="59">
        <v>0</v>
      </c>
      <c r="L30" s="59">
        <v>0</v>
      </c>
      <c r="M30" s="59">
        <v>0</v>
      </c>
      <c r="N30" s="59">
        <v>1554144.06</v>
      </c>
      <c r="O30" s="59">
        <v>1554144.06</v>
      </c>
      <c r="P30" s="59">
        <v>0</v>
      </c>
      <c r="Q30" s="59">
        <v>0</v>
      </c>
      <c r="R30" s="59">
        <v>0</v>
      </c>
      <c r="S30" s="59">
        <v>1554144.06</v>
      </c>
      <c r="T30" s="59">
        <v>1554144.06</v>
      </c>
      <c r="U30" s="59">
        <v>0</v>
      </c>
      <c r="V30" s="59">
        <v>0</v>
      </c>
      <c r="W30" s="59">
        <v>0</v>
      </c>
      <c r="X30" s="59">
        <v>1554144.06</v>
      </c>
      <c r="Y30" s="59">
        <v>1554144.06</v>
      </c>
      <c r="Z30" s="59">
        <v>0</v>
      </c>
      <c r="AA30" s="59">
        <v>0</v>
      </c>
      <c r="AB30" s="59">
        <v>0</v>
      </c>
      <c r="AC30" s="59">
        <v>1554144.06</v>
      </c>
      <c r="AD30" s="59">
        <v>1554144.06</v>
      </c>
      <c r="AE30" s="59">
        <v>0</v>
      </c>
      <c r="AF30" s="59">
        <v>0</v>
      </c>
      <c r="AG30" s="59">
        <v>0</v>
      </c>
      <c r="AH30" s="59">
        <v>1554144.06</v>
      </c>
      <c r="AI30" s="59">
        <v>1554144.06</v>
      </c>
      <c r="AJ30" s="59">
        <v>0</v>
      </c>
      <c r="AK30" s="59">
        <v>0</v>
      </c>
      <c r="AL30" s="59">
        <v>0</v>
      </c>
      <c r="AM30" s="59">
        <v>1554144.06</v>
      </c>
      <c r="AN30" s="59">
        <v>1554144.06</v>
      </c>
      <c r="AO30" s="59">
        <v>0</v>
      </c>
      <c r="AP30" s="59">
        <v>0</v>
      </c>
      <c r="AQ30" s="59">
        <v>0</v>
      </c>
      <c r="AR30" s="59">
        <v>1554144.06</v>
      </c>
      <c r="AS30" s="59">
        <v>1554144.06</v>
      </c>
      <c r="AT30" s="59">
        <v>0</v>
      </c>
      <c r="AU30" s="59">
        <v>0</v>
      </c>
      <c r="AV30" s="59">
        <v>0</v>
      </c>
      <c r="AW30" s="59">
        <v>1554144.06</v>
      </c>
      <c r="AX30" s="59">
        <v>1554144.06</v>
      </c>
      <c r="AY30" s="59">
        <v>0</v>
      </c>
      <c r="AZ30" s="59">
        <v>0</v>
      </c>
      <c r="BA30" s="59">
        <v>0</v>
      </c>
      <c r="BB30" s="59">
        <v>1554144.06</v>
      </c>
      <c r="BC30" s="59">
        <v>1554144.06</v>
      </c>
      <c r="BD30" s="59">
        <v>0</v>
      </c>
      <c r="BE30" s="59">
        <v>0</v>
      </c>
      <c r="BF30" s="59">
        <v>0</v>
      </c>
      <c r="BG30" s="59">
        <v>1554144.06</v>
      </c>
      <c r="BH30" s="59">
        <v>1554144.06</v>
      </c>
      <c r="BI30" s="59">
        <v>0</v>
      </c>
      <c r="BJ30" s="59">
        <v>0</v>
      </c>
      <c r="BK30" s="59">
        <v>0</v>
      </c>
      <c r="BL30" s="59">
        <v>1554144.06</v>
      </c>
      <c r="BM30" s="59">
        <f t="shared" si="41"/>
        <v>1554144.06</v>
      </c>
      <c r="BN30" s="59">
        <v>0</v>
      </c>
      <c r="BO30" s="59">
        <v>0</v>
      </c>
      <c r="BP30" s="59">
        <v>0</v>
      </c>
      <c r="BQ30" s="59">
        <f t="shared" si="42"/>
        <v>1554144.06</v>
      </c>
      <c r="BR30" s="59">
        <f t="shared" si="43"/>
        <v>1554144.06</v>
      </c>
      <c r="BS30" s="59">
        <v>0</v>
      </c>
      <c r="BT30" s="59">
        <v>0</v>
      </c>
      <c r="BU30" s="59">
        <v>0</v>
      </c>
      <c r="BV30" s="59">
        <f t="shared" si="44"/>
        <v>1554144.06</v>
      </c>
      <c r="BW30" s="59">
        <f t="shared" si="45"/>
        <v>1554144.06</v>
      </c>
      <c r="BX30" s="59">
        <v>0</v>
      </c>
      <c r="BY30" s="59">
        <v>0</v>
      </c>
      <c r="BZ30" s="59">
        <v>0</v>
      </c>
      <c r="CA30" s="59">
        <f t="shared" si="46"/>
        <v>1554144.06</v>
      </c>
      <c r="CD30" s="59">
        <f t="shared" si="47"/>
        <v>1554144.06</v>
      </c>
      <c r="CE30" s="60">
        <v>0</v>
      </c>
      <c r="CF30" s="60">
        <v>0</v>
      </c>
      <c r="CG30" s="60">
        <v>0</v>
      </c>
      <c r="CH30" s="59">
        <f t="shared" si="62"/>
        <v>1554144.06</v>
      </c>
      <c r="CI30" s="59">
        <f t="shared" si="48"/>
        <v>1554144.06</v>
      </c>
      <c r="CJ30" s="60">
        <v>0</v>
      </c>
      <c r="CK30" s="60">
        <v>0</v>
      </c>
      <c r="CL30" s="60">
        <v>0</v>
      </c>
      <c r="CM30" s="59">
        <f t="shared" si="63"/>
        <v>1554144.06</v>
      </c>
      <c r="CN30" s="59">
        <f t="shared" si="49"/>
        <v>1554144.06</v>
      </c>
      <c r="CO30" s="60">
        <v>0</v>
      </c>
      <c r="CP30" s="60">
        <v>0</v>
      </c>
      <c r="CQ30" s="60">
        <v>0</v>
      </c>
      <c r="CR30" s="59">
        <f t="shared" si="64"/>
        <v>1554144.06</v>
      </c>
      <c r="CS30" s="59">
        <f t="shared" si="65"/>
        <v>1554144.06</v>
      </c>
      <c r="CT30" s="60">
        <v>0</v>
      </c>
      <c r="CU30" s="60">
        <v>0</v>
      </c>
      <c r="CV30" s="60">
        <v>0</v>
      </c>
      <c r="CW30" s="59">
        <f t="shared" si="66"/>
        <v>1554144.06</v>
      </c>
      <c r="CX30" s="59">
        <f t="shared" si="67"/>
        <v>1554144.06</v>
      </c>
      <c r="CY30" s="60">
        <v>0</v>
      </c>
      <c r="CZ30" s="60">
        <v>0</v>
      </c>
      <c r="DA30" s="60">
        <v>0</v>
      </c>
      <c r="DB30" s="59">
        <f t="shared" si="68"/>
        <v>1554144.06</v>
      </c>
      <c r="DC30" s="59">
        <f t="shared" si="69"/>
        <v>1554144.06</v>
      </c>
      <c r="DD30" s="60">
        <v>0</v>
      </c>
      <c r="DE30" s="60">
        <v>0</v>
      </c>
      <c r="DF30" s="60">
        <v>0</v>
      </c>
      <c r="DG30" s="59">
        <f t="shared" si="70"/>
        <v>1554144.06</v>
      </c>
      <c r="DH30" s="59">
        <f t="shared" si="71"/>
        <v>1554144.06</v>
      </c>
      <c r="DI30" s="60">
        <v>0</v>
      </c>
      <c r="DJ30" s="60">
        <v>0</v>
      </c>
      <c r="DK30" s="60">
        <v>0</v>
      </c>
      <c r="DL30" s="59">
        <f t="shared" si="72"/>
        <v>1554144.06</v>
      </c>
      <c r="DM30" s="59">
        <f t="shared" si="73"/>
        <v>1554144.06</v>
      </c>
      <c r="DN30" s="60">
        <v>0</v>
      </c>
      <c r="DO30" s="60">
        <v>0</v>
      </c>
      <c r="DP30" s="60">
        <v>0</v>
      </c>
      <c r="DQ30" s="59">
        <f t="shared" si="74"/>
        <v>1554144.06</v>
      </c>
      <c r="DR30" s="59">
        <f t="shared" si="75"/>
        <v>1554144.06</v>
      </c>
      <c r="DS30" s="60">
        <v>0</v>
      </c>
      <c r="DT30" s="60">
        <v>0</v>
      </c>
      <c r="DU30" s="60">
        <v>0</v>
      </c>
      <c r="DV30" s="59">
        <f t="shared" si="76"/>
        <v>1554144.06</v>
      </c>
      <c r="DW30" s="59">
        <f t="shared" si="77"/>
        <v>1554144.06</v>
      </c>
      <c r="DX30" s="60">
        <v>0</v>
      </c>
      <c r="DY30" s="60">
        <v>0</v>
      </c>
      <c r="DZ30" s="60">
        <v>0</v>
      </c>
      <c r="EA30" s="59">
        <f t="shared" si="78"/>
        <v>1554144.06</v>
      </c>
      <c r="EB30" s="59">
        <f t="shared" si="79"/>
        <v>1554144.06</v>
      </c>
      <c r="EC30" s="60">
        <v>0</v>
      </c>
      <c r="ED30" s="60">
        <v>0</v>
      </c>
      <c r="EE30" s="60">
        <v>0</v>
      </c>
      <c r="EF30" s="59">
        <f t="shared" si="80"/>
        <v>1554144.06</v>
      </c>
      <c r="EG30" s="59">
        <f t="shared" si="81"/>
        <v>1554144.06</v>
      </c>
      <c r="EH30" s="60">
        <v>0</v>
      </c>
      <c r="EI30" s="60">
        <v>0</v>
      </c>
      <c r="EJ30" s="60">
        <v>0</v>
      </c>
      <c r="EK30" s="59">
        <f t="shared" si="82"/>
        <v>1554144.06</v>
      </c>
      <c r="EL30" s="59">
        <f t="shared" si="83"/>
        <v>1554144.06</v>
      </c>
      <c r="EM30" s="60">
        <v>0</v>
      </c>
      <c r="EN30" s="60">
        <v>0</v>
      </c>
      <c r="EO30" s="60">
        <v>0</v>
      </c>
      <c r="EP30" s="59">
        <f t="shared" si="84"/>
        <v>1554144.06</v>
      </c>
      <c r="EQ30" s="59">
        <f t="shared" si="85"/>
        <v>1554144.06</v>
      </c>
      <c r="ER30" s="60">
        <v>0</v>
      </c>
      <c r="ES30" s="60">
        <v>0</v>
      </c>
      <c r="ET30" s="60">
        <v>0</v>
      </c>
      <c r="EU30" s="59">
        <f t="shared" si="86"/>
        <v>1554144.06</v>
      </c>
      <c r="EV30" s="59">
        <f t="shared" si="87"/>
        <v>1554144.06</v>
      </c>
      <c r="EW30" s="60">
        <v>0</v>
      </c>
      <c r="EX30" s="60">
        <v>0</v>
      </c>
      <c r="EY30" s="60">
        <v>0</v>
      </c>
      <c r="EZ30" s="59">
        <f t="shared" si="88"/>
        <v>1554144.06</v>
      </c>
      <c r="FA30" s="59">
        <f t="shared" si="89"/>
        <v>1554144.06</v>
      </c>
      <c r="FB30" s="60">
        <v>0</v>
      </c>
      <c r="FC30" s="60">
        <v>0</v>
      </c>
      <c r="FD30" s="60">
        <v>0</v>
      </c>
      <c r="FE30" s="59">
        <f t="shared" si="90"/>
        <v>1554144.06</v>
      </c>
      <c r="FF30" s="59">
        <f t="shared" si="91"/>
        <v>1554144.06</v>
      </c>
      <c r="FG30" s="60">
        <v>0</v>
      </c>
      <c r="FH30" s="60">
        <v>0</v>
      </c>
      <c r="FI30" s="60">
        <v>0</v>
      </c>
      <c r="FJ30" s="59">
        <f t="shared" si="92"/>
        <v>1554144.06</v>
      </c>
      <c r="FK30" s="59">
        <f t="shared" si="93"/>
        <v>1554144.06</v>
      </c>
      <c r="FL30" s="60">
        <v>0</v>
      </c>
      <c r="FM30" s="60">
        <v>0</v>
      </c>
      <c r="FN30" s="60">
        <v>0</v>
      </c>
      <c r="FO30" s="59">
        <f t="shared" si="94"/>
        <v>1554144.06</v>
      </c>
      <c r="FP30" s="59">
        <f t="shared" si="95"/>
        <v>1554144.06</v>
      </c>
      <c r="FQ30" s="60">
        <v>0</v>
      </c>
      <c r="FR30" s="60">
        <v>0</v>
      </c>
      <c r="FS30" s="60">
        <v>0</v>
      </c>
      <c r="FT30" s="59">
        <f t="shared" si="96"/>
        <v>1554144.06</v>
      </c>
      <c r="FU30" s="59">
        <f t="shared" si="97"/>
        <v>1554144.06</v>
      </c>
      <c r="FV30" s="60">
        <v>0</v>
      </c>
      <c r="FW30" s="60">
        <v>0</v>
      </c>
      <c r="FX30" s="60">
        <v>0</v>
      </c>
      <c r="FY30" s="59">
        <f t="shared" si="98"/>
        <v>1554144.06</v>
      </c>
      <c r="FZ30" s="59">
        <f t="shared" si="99"/>
        <v>1554144.06</v>
      </c>
      <c r="GA30" s="60">
        <v>0</v>
      </c>
      <c r="GB30" s="60">
        <v>0</v>
      </c>
      <c r="GC30" s="60">
        <v>0</v>
      </c>
      <c r="GD30" s="59">
        <f t="shared" si="100"/>
        <v>1554144.06</v>
      </c>
      <c r="GE30" s="59">
        <f t="shared" si="101"/>
        <v>1554144.06</v>
      </c>
      <c r="GF30" s="60">
        <v>0</v>
      </c>
      <c r="GG30" s="60">
        <v>0</v>
      </c>
      <c r="GH30" s="60">
        <v>0</v>
      </c>
      <c r="GI30" s="59">
        <f t="shared" si="102"/>
        <v>1554144.06</v>
      </c>
      <c r="GJ30" s="59"/>
    </row>
    <row r="31" spans="2:192">
      <c r="B31" s="71">
        <v>380</v>
      </c>
      <c r="C31" s="72" t="s">
        <v>398</v>
      </c>
      <c r="D31" s="73">
        <v>192516615.68999997</v>
      </c>
      <c r="E31" s="73">
        <v>192516615.68999997</v>
      </c>
      <c r="F31" s="73">
        <v>1664903.0700000003</v>
      </c>
      <c r="G31" s="73">
        <v>-332499.81000000006</v>
      </c>
      <c r="H31" s="73">
        <v>0</v>
      </c>
      <c r="I31" s="73">
        <v>193849018.94999999</v>
      </c>
      <c r="J31" s="73">
        <v>193849018.94999999</v>
      </c>
      <c r="K31" s="73">
        <v>1642537.02</v>
      </c>
      <c r="L31" s="73">
        <v>-139753.89000000001</v>
      </c>
      <c r="M31" s="73">
        <v>0</v>
      </c>
      <c r="N31" s="73">
        <v>195351802.07999998</v>
      </c>
      <c r="O31" s="73">
        <v>195351802.07999998</v>
      </c>
      <c r="P31" s="73">
        <v>1833806.04</v>
      </c>
      <c r="Q31" s="73">
        <v>-230236.78</v>
      </c>
      <c r="R31" s="73">
        <v>0</v>
      </c>
      <c r="S31" s="73">
        <v>196955371.34</v>
      </c>
      <c r="T31" s="73">
        <v>196955371.34</v>
      </c>
      <c r="U31" s="73">
        <v>1869327.07</v>
      </c>
      <c r="V31" s="73">
        <v>-226669.43</v>
      </c>
      <c r="W31" s="73">
        <v>0</v>
      </c>
      <c r="X31" s="73">
        <v>198598028.97999999</v>
      </c>
      <c r="Y31" s="73">
        <v>198598028.97999999</v>
      </c>
      <c r="Z31" s="73">
        <v>2059813.0699999998</v>
      </c>
      <c r="AA31" s="73">
        <v>-350302.36</v>
      </c>
      <c r="AB31" s="73">
        <v>0</v>
      </c>
      <c r="AC31" s="73">
        <v>200307539.68999997</v>
      </c>
      <c r="AD31" s="73">
        <v>200307539.68999997</v>
      </c>
      <c r="AE31" s="73">
        <v>1874281.29</v>
      </c>
      <c r="AF31" s="73">
        <v>-430000.63</v>
      </c>
      <c r="AG31" s="73">
        <v>0</v>
      </c>
      <c r="AH31" s="73">
        <v>201751820.35000002</v>
      </c>
      <c r="AI31" s="73">
        <v>201751820.35000002</v>
      </c>
      <c r="AJ31" s="73">
        <v>1501296.13</v>
      </c>
      <c r="AK31" s="73">
        <v>-277094.53999999998</v>
      </c>
      <c r="AL31" s="73">
        <v>0</v>
      </c>
      <c r="AM31" s="73">
        <v>202976021.94</v>
      </c>
      <c r="AN31" s="73">
        <v>202976021.94</v>
      </c>
      <c r="AO31" s="73">
        <v>2168160.11</v>
      </c>
      <c r="AP31" s="73">
        <v>-202457.88</v>
      </c>
      <c r="AQ31" s="73">
        <v>0</v>
      </c>
      <c r="AR31" s="73">
        <v>204941724.17000002</v>
      </c>
      <c r="AS31" s="73">
        <v>204941724.17000002</v>
      </c>
      <c r="AT31" s="73">
        <v>1998270.21</v>
      </c>
      <c r="AU31" s="73">
        <v>-327519.94</v>
      </c>
      <c r="AV31" s="73">
        <v>0</v>
      </c>
      <c r="AW31" s="73">
        <v>206612474.44</v>
      </c>
      <c r="AX31" s="73">
        <v>206612474.44</v>
      </c>
      <c r="AY31" s="73">
        <v>2713690.01</v>
      </c>
      <c r="AZ31" s="73">
        <v>-214191.63999999998</v>
      </c>
      <c r="BA31" s="73">
        <v>0</v>
      </c>
      <c r="BB31" s="73">
        <v>209111972.81</v>
      </c>
      <c r="BC31" s="73">
        <v>209111972.81</v>
      </c>
      <c r="BD31" s="73">
        <v>1683609.69</v>
      </c>
      <c r="BE31" s="73">
        <v>-328974.77</v>
      </c>
      <c r="BF31" s="73">
        <v>0</v>
      </c>
      <c r="BG31" s="73">
        <v>210466607.72999999</v>
      </c>
      <c r="BH31" s="73">
        <v>210466607.72999999</v>
      </c>
      <c r="BI31" s="73">
        <v>1906436.8800000001</v>
      </c>
      <c r="BJ31" s="73">
        <v>-288076.59999999998</v>
      </c>
      <c r="BK31" s="73">
        <v>0</v>
      </c>
      <c r="BL31" s="73">
        <v>212084968.01000002</v>
      </c>
      <c r="BM31" s="73">
        <f>BL31</f>
        <v>212084968.01000002</v>
      </c>
      <c r="BN31" s="73">
        <v>1343992.6300000001</v>
      </c>
      <c r="BO31" s="73">
        <v>-96664.13</v>
      </c>
      <c r="BP31" s="73">
        <v>0</v>
      </c>
      <c r="BQ31" s="73">
        <f>SUM(BM31:BP31)</f>
        <v>213332296.51000002</v>
      </c>
      <c r="BR31" s="73">
        <f>BQ31</f>
        <v>213332296.51000002</v>
      </c>
      <c r="BS31" s="73">
        <v>1890748.39</v>
      </c>
      <c r="BT31" s="73">
        <v>-170916.27000000002</v>
      </c>
      <c r="BU31" s="73">
        <v>0</v>
      </c>
      <c r="BV31" s="73">
        <f>SUM(BR31:BU31)</f>
        <v>215052128.63</v>
      </c>
      <c r="BW31" s="73">
        <f>BV31</f>
        <v>215052128.63</v>
      </c>
      <c r="BX31" s="73">
        <v>1720969.27</v>
      </c>
      <c r="BY31" s="73">
        <v>-476932.92</v>
      </c>
      <c r="BZ31" s="73">
        <v>0</v>
      </c>
      <c r="CA31" s="73">
        <f>SUM(BW31:BZ31)</f>
        <v>216296164.98000002</v>
      </c>
      <c r="CD31" s="73">
        <f t="shared" si="47"/>
        <v>215052128.63</v>
      </c>
      <c r="CE31" s="74">
        <v>1608870.73</v>
      </c>
      <c r="CF31" s="74">
        <v>-674546.37</v>
      </c>
      <c r="CG31" s="74">
        <v>0</v>
      </c>
      <c r="CH31" s="73">
        <f t="shared" si="62"/>
        <v>215986452.98999998</v>
      </c>
      <c r="CI31" s="73">
        <f t="shared" si="48"/>
        <v>215986452.98999998</v>
      </c>
      <c r="CJ31" s="74">
        <v>1767402.59</v>
      </c>
      <c r="CK31" s="74">
        <v>-508176.36</v>
      </c>
      <c r="CL31" s="74">
        <v>0</v>
      </c>
      <c r="CM31" s="73">
        <f t="shared" si="63"/>
        <v>217245679.21999997</v>
      </c>
      <c r="CN31" s="73">
        <f t="shared" si="49"/>
        <v>217245679.21999997</v>
      </c>
      <c r="CO31" s="74">
        <v>1918280.61</v>
      </c>
      <c r="CP31" s="74">
        <v>-516042.33</v>
      </c>
      <c r="CQ31" s="74">
        <v>0</v>
      </c>
      <c r="CR31" s="73">
        <f t="shared" si="64"/>
        <v>218647917.49999997</v>
      </c>
      <c r="CS31" s="73">
        <f t="shared" si="65"/>
        <v>218647917.49999997</v>
      </c>
      <c r="CT31" s="74">
        <v>1761389.79</v>
      </c>
      <c r="CU31" s="74">
        <v>-588791.29</v>
      </c>
      <c r="CV31" s="74">
        <v>0</v>
      </c>
      <c r="CW31" s="73">
        <f t="shared" si="66"/>
        <v>219820515.99999997</v>
      </c>
      <c r="CX31" s="73">
        <f t="shared" si="67"/>
        <v>219820515.99999997</v>
      </c>
      <c r="CY31" s="74">
        <v>1393739.21</v>
      </c>
      <c r="CZ31" s="74">
        <v>-461344.66</v>
      </c>
      <c r="DA31" s="74">
        <v>0</v>
      </c>
      <c r="DB31" s="73">
        <f t="shared" si="68"/>
        <v>220752910.54999998</v>
      </c>
      <c r="DC31" s="73">
        <f t="shared" si="69"/>
        <v>220752910.54999998</v>
      </c>
      <c r="DD31" s="74">
        <v>1863304.01</v>
      </c>
      <c r="DE31" s="74">
        <v>-337458.05</v>
      </c>
      <c r="DF31" s="74">
        <v>0</v>
      </c>
      <c r="DG31" s="73">
        <f t="shared" si="70"/>
        <v>222278756.50999996</v>
      </c>
      <c r="DH31" s="73">
        <f t="shared" si="71"/>
        <v>222278756.50999996</v>
      </c>
      <c r="DI31" s="74">
        <v>1809408.76</v>
      </c>
      <c r="DJ31" s="74">
        <v>-504927.58</v>
      </c>
      <c r="DK31" s="74">
        <v>0</v>
      </c>
      <c r="DL31" s="73">
        <f t="shared" si="72"/>
        <v>223583237.68999994</v>
      </c>
      <c r="DM31" s="73">
        <f t="shared" si="73"/>
        <v>223583237.68999994</v>
      </c>
      <c r="DN31" s="74">
        <v>1508590.89</v>
      </c>
      <c r="DO31" s="74">
        <v>-523276.86</v>
      </c>
      <c r="DP31" s="74">
        <v>0</v>
      </c>
      <c r="DQ31" s="73">
        <f t="shared" si="74"/>
        <v>224568551.71999991</v>
      </c>
      <c r="DR31" s="73">
        <f t="shared" si="75"/>
        <v>224568551.71999991</v>
      </c>
      <c r="DS31" s="74">
        <v>1473465.08</v>
      </c>
      <c r="DT31" s="74">
        <v>-620919.98</v>
      </c>
      <c r="DU31" s="74">
        <v>0</v>
      </c>
      <c r="DV31" s="73">
        <f t="shared" si="76"/>
        <v>225421096.81999993</v>
      </c>
      <c r="DW31" s="73">
        <f t="shared" si="77"/>
        <v>225421096.81999993</v>
      </c>
      <c r="DX31" s="74">
        <v>1488168.31</v>
      </c>
      <c r="DY31" s="74">
        <v>-647223.6</v>
      </c>
      <c r="DZ31" s="74">
        <v>0</v>
      </c>
      <c r="EA31" s="73">
        <f t="shared" si="78"/>
        <v>226262041.52999994</v>
      </c>
      <c r="EB31" s="73">
        <f t="shared" si="79"/>
        <v>226262041.52999994</v>
      </c>
      <c r="EC31" s="74">
        <f>149809.4+790330.97</f>
        <v>940140.37</v>
      </c>
      <c r="ED31" s="74">
        <f>-21183.88-243304.99</f>
        <v>-264488.87</v>
      </c>
      <c r="EE31" s="74">
        <v>0</v>
      </c>
      <c r="EF31" s="73">
        <f t="shared" si="80"/>
        <v>226937693.02999994</v>
      </c>
      <c r="EG31" s="73">
        <f t="shared" si="81"/>
        <v>226937693.02999994</v>
      </c>
      <c r="EH31" s="74">
        <f>116712.7+906018.39</f>
        <v>1022731.09</v>
      </c>
      <c r="EI31" s="74">
        <f>-22450.79-258304.99</f>
        <v>-280755.77999999997</v>
      </c>
      <c r="EJ31" s="74">
        <v>0</v>
      </c>
      <c r="EK31" s="73">
        <f t="shared" si="82"/>
        <v>227679668.33999994</v>
      </c>
      <c r="EL31" s="73">
        <f t="shared" si="83"/>
        <v>227679668.33999994</v>
      </c>
      <c r="EM31" s="74">
        <f>142698.95+1250981.05</f>
        <v>1393680</v>
      </c>
      <c r="EN31" s="74">
        <f>-22843.45-262822.75</f>
        <v>-285666.2</v>
      </c>
      <c r="EO31" s="74">
        <v>0</v>
      </c>
      <c r="EP31" s="73">
        <f t="shared" si="84"/>
        <v>228787682.13999996</v>
      </c>
      <c r="EQ31" s="73">
        <f t="shared" si="85"/>
        <v>228787682.13999996</v>
      </c>
      <c r="ER31" s="74">
        <f>154824.72+1379447.52</f>
        <v>1534272.24</v>
      </c>
      <c r="ES31" s="74">
        <f>-35983.59-414004.14</f>
        <v>-449987.73</v>
      </c>
      <c r="ET31" s="74">
        <v>0</v>
      </c>
      <c r="EU31" s="73">
        <f t="shared" si="86"/>
        <v>229871966.64999998</v>
      </c>
      <c r="EV31" s="73">
        <f t="shared" si="87"/>
        <v>229871966.64999998</v>
      </c>
      <c r="EW31" s="74">
        <f>173164.19+1430203.12</f>
        <v>1603367.31</v>
      </c>
      <c r="EX31" s="74">
        <f>-36475.71-419667.91</f>
        <v>-456143.62</v>
      </c>
      <c r="EY31" s="74">
        <v>0</v>
      </c>
      <c r="EZ31" s="73">
        <f t="shared" si="88"/>
        <v>231019190.33999997</v>
      </c>
      <c r="FA31" s="73">
        <f t="shared" si="89"/>
        <v>231019190.33999997</v>
      </c>
      <c r="FB31" s="74">
        <f>160921.05+1281196.7</f>
        <v>1442117.75</v>
      </c>
      <c r="FC31" s="74">
        <f>-41502.16-477408.35</f>
        <v>-518910.51</v>
      </c>
      <c r="FD31" s="74">
        <v>0</v>
      </c>
      <c r="FE31" s="73">
        <f t="shared" si="90"/>
        <v>231942397.57999998</v>
      </c>
      <c r="FF31" s="73">
        <f t="shared" si="91"/>
        <v>231942397.57999998</v>
      </c>
      <c r="FG31" s="74">
        <f>119003.02+1116598.45</f>
        <v>1235601.47</v>
      </c>
      <c r="FH31" s="74">
        <f>-32644.77-375590.68</f>
        <v>-408235.45</v>
      </c>
      <c r="FI31" s="74">
        <v>0</v>
      </c>
      <c r="FJ31" s="73">
        <f t="shared" si="92"/>
        <v>232769763.59999999</v>
      </c>
      <c r="FK31" s="73">
        <f t="shared" si="93"/>
        <v>232769763.59999999</v>
      </c>
      <c r="FL31" s="74">
        <f>165362.76+1454154.59</f>
        <v>1619517.35</v>
      </c>
      <c r="FM31" s="74">
        <f>-23397.31-274947.83</f>
        <v>-298345.14</v>
      </c>
      <c r="FN31" s="74">
        <v>0</v>
      </c>
      <c r="FO31" s="73">
        <f t="shared" si="94"/>
        <v>234090935.81</v>
      </c>
      <c r="FP31" s="73">
        <f t="shared" si="95"/>
        <v>234090935.81</v>
      </c>
      <c r="FQ31" s="74">
        <f>179975.74+1301269.5</f>
        <v>1481245.24</v>
      </c>
      <c r="FR31" s="74">
        <f>-36493.46-419871.41</f>
        <v>-456364.87</v>
      </c>
      <c r="FS31" s="74">
        <v>0</v>
      </c>
      <c r="FT31" s="73">
        <f t="shared" si="96"/>
        <v>235115816.18000001</v>
      </c>
      <c r="FU31" s="73">
        <f t="shared" si="97"/>
        <v>235115816.18000001</v>
      </c>
      <c r="FV31" s="74">
        <f>213872.87+1423248.32</f>
        <v>1637121.19</v>
      </c>
      <c r="FW31" s="74">
        <f>-36029.88-414537.72</f>
        <v>-450567.6</v>
      </c>
      <c r="FX31" s="74">
        <v>0</v>
      </c>
      <c r="FY31" s="73">
        <f t="shared" si="98"/>
        <v>236302369.77000001</v>
      </c>
      <c r="FZ31" s="73">
        <f t="shared" si="99"/>
        <v>236302369.77000001</v>
      </c>
      <c r="GA31" s="74">
        <f>169420.83+1031000.01</f>
        <v>1200420.8400000001</v>
      </c>
      <c r="GB31" s="74">
        <f>-48631.77-559527.31</f>
        <v>-608159.08000000007</v>
      </c>
      <c r="GC31" s="74">
        <v>0</v>
      </c>
      <c r="GD31" s="73">
        <f t="shared" si="100"/>
        <v>236894631.53</v>
      </c>
      <c r="GE31" s="73">
        <f t="shared" si="101"/>
        <v>236894631.53</v>
      </c>
      <c r="GF31" s="74">
        <f>202933.55+903170.59</f>
        <v>1106104.1399999999</v>
      </c>
      <c r="GG31" s="74">
        <f>-51090.18-587812.29</f>
        <v>-638902.47000000009</v>
      </c>
      <c r="GH31" s="74">
        <v>0</v>
      </c>
      <c r="GI31" s="73">
        <f t="shared" si="102"/>
        <v>237361833.19999999</v>
      </c>
      <c r="GJ31" s="59"/>
    </row>
    <row r="32" spans="2:192">
      <c r="B32" s="58">
        <v>381</v>
      </c>
      <c r="C32" s="57" t="s">
        <v>399</v>
      </c>
      <c r="D32" s="59">
        <v>18837138.84</v>
      </c>
      <c r="E32" s="59">
        <v>18837138.84</v>
      </c>
      <c r="F32" s="59">
        <v>198147.51</v>
      </c>
      <c r="G32" s="59">
        <v>-15807.300000000001</v>
      </c>
      <c r="H32" s="59">
        <v>0</v>
      </c>
      <c r="I32" s="59">
        <v>19019479.050000001</v>
      </c>
      <c r="J32" s="59">
        <v>19019479.050000001</v>
      </c>
      <c r="K32" s="59">
        <v>417523.43</v>
      </c>
      <c r="L32" s="59">
        <v>0</v>
      </c>
      <c r="M32" s="59">
        <v>0</v>
      </c>
      <c r="N32" s="59">
        <v>19437002.48</v>
      </c>
      <c r="O32" s="59">
        <v>19437002.48</v>
      </c>
      <c r="P32" s="59">
        <v>183790.13</v>
      </c>
      <c r="Q32" s="59">
        <v>-91883.58</v>
      </c>
      <c r="R32" s="59">
        <v>0</v>
      </c>
      <c r="S32" s="59">
        <v>19528909.030000001</v>
      </c>
      <c r="T32" s="59">
        <v>19528909.030000001</v>
      </c>
      <c r="U32" s="59">
        <v>299459.25</v>
      </c>
      <c r="V32" s="59">
        <v>-1955644.3900000001</v>
      </c>
      <c r="W32" s="59">
        <v>0</v>
      </c>
      <c r="X32" s="59">
        <v>17872723.890000001</v>
      </c>
      <c r="Y32" s="59">
        <v>17872723.890000001</v>
      </c>
      <c r="Z32" s="59">
        <v>365086.52</v>
      </c>
      <c r="AA32" s="59">
        <v>-131610.87</v>
      </c>
      <c r="AB32" s="59">
        <v>0</v>
      </c>
      <c r="AC32" s="59">
        <v>18106199.539999999</v>
      </c>
      <c r="AD32" s="59">
        <v>18106199.539999999</v>
      </c>
      <c r="AE32" s="59">
        <v>58236.42</v>
      </c>
      <c r="AF32" s="59">
        <v>-84885.27</v>
      </c>
      <c r="AG32" s="59">
        <v>0</v>
      </c>
      <c r="AH32" s="59">
        <v>18079550.690000001</v>
      </c>
      <c r="AI32" s="59">
        <v>18079550.690000001</v>
      </c>
      <c r="AJ32" s="59">
        <v>165785.21</v>
      </c>
      <c r="AK32" s="59">
        <v>-88892.09</v>
      </c>
      <c r="AL32" s="59">
        <v>0</v>
      </c>
      <c r="AM32" s="59">
        <v>18156443.809999999</v>
      </c>
      <c r="AN32" s="59">
        <v>18156443.809999999</v>
      </c>
      <c r="AO32" s="59">
        <v>38453.64</v>
      </c>
      <c r="AP32" s="59">
        <v>-54461.25</v>
      </c>
      <c r="AQ32" s="59">
        <v>0</v>
      </c>
      <c r="AR32" s="59">
        <v>18140436.199999999</v>
      </c>
      <c r="AS32" s="59">
        <v>18140436.199999999</v>
      </c>
      <c r="AT32" s="59">
        <v>113163.63</v>
      </c>
      <c r="AU32" s="59">
        <v>-62906.37</v>
      </c>
      <c r="AV32" s="59">
        <v>0</v>
      </c>
      <c r="AW32" s="59">
        <v>18190693.460000001</v>
      </c>
      <c r="AX32" s="59">
        <v>18190693.460000001</v>
      </c>
      <c r="AY32" s="59">
        <v>1198247.3</v>
      </c>
      <c r="AZ32" s="59">
        <v>-51548.22</v>
      </c>
      <c r="BA32" s="59">
        <v>0</v>
      </c>
      <c r="BB32" s="59">
        <v>19337392.539999999</v>
      </c>
      <c r="BC32" s="59">
        <v>19337392.539999999</v>
      </c>
      <c r="BD32" s="59">
        <v>99720.99</v>
      </c>
      <c r="BE32" s="59">
        <v>-53396.82</v>
      </c>
      <c r="BF32" s="59">
        <v>0</v>
      </c>
      <c r="BG32" s="59">
        <v>19383716.710000001</v>
      </c>
      <c r="BH32" s="59">
        <v>19383716.710000001</v>
      </c>
      <c r="BI32" s="59">
        <v>71972.62</v>
      </c>
      <c r="BJ32" s="59">
        <v>-60.52</v>
      </c>
      <c r="BK32" s="59">
        <v>0</v>
      </c>
      <c r="BL32" s="59">
        <v>19455628.809999999</v>
      </c>
      <c r="BM32" s="59">
        <f t="shared" si="41"/>
        <v>19455628.809999999</v>
      </c>
      <c r="BN32" s="59">
        <v>70136.19</v>
      </c>
      <c r="BO32" s="59">
        <v>-42599.26</v>
      </c>
      <c r="BP32" s="59">
        <v>0</v>
      </c>
      <c r="BQ32" s="59">
        <f t="shared" si="42"/>
        <v>19483165.739999998</v>
      </c>
      <c r="BR32" s="59">
        <f t="shared" si="43"/>
        <v>19483165.739999998</v>
      </c>
      <c r="BS32" s="59">
        <v>57366.82</v>
      </c>
      <c r="BT32" s="59">
        <v>-34286.69</v>
      </c>
      <c r="BU32" s="59">
        <v>0</v>
      </c>
      <c r="BV32" s="59">
        <f t="shared" si="44"/>
        <v>19506245.869999997</v>
      </c>
      <c r="BW32" s="59">
        <f t="shared" si="45"/>
        <v>19506245.869999997</v>
      </c>
      <c r="BX32" s="59">
        <v>3479.65</v>
      </c>
      <c r="BY32" s="59">
        <v>-92394.430000000008</v>
      </c>
      <c r="BZ32" s="59">
        <v>0</v>
      </c>
      <c r="CA32" s="59">
        <f t="shared" si="46"/>
        <v>19417331.089999996</v>
      </c>
      <c r="CD32" s="59">
        <f t="shared" si="47"/>
        <v>19506245.869999997</v>
      </c>
      <c r="CE32" s="60">
        <v>292651.41000000003</v>
      </c>
      <c r="CF32" s="60">
        <v>-25879.520000000004</v>
      </c>
      <c r="CG32" s="60">
        <v>0</v>
      </c>
      <c r="CH32" s="59">
        <f t="shared" si="62"/>
        <v>19773017.759999998</v>
      </c>
      <c r="CI32" s="59">
        <f t="shared" si="48"/>
        <v>19773017.759999998</v>
      </c>
      <c r="CJ32" s="60">
        <v>184273.64</v>
      </c>
      <c r="CK32" s="60">
        <v>-664071.07999999996</v>
      </c>
      <c r="CL32" s="60">
        <v>0</v>
      </c>
      <c r="CM32" s="59">
        <f t="shared" si="63"/>
        <v>19293220.32</v>
      </c>
      <c r="CN32" s="59">
        <f t="shared" si="49"/>
        <v>19293220.32</v>
      </c>
      <c r="CO32" s="60">
        <v>171081.34</v>
      </c>
      <c r="CP32" s="60">
        <v>-71570.22</v>
      </c>
      <c r="CQ32" s="60">
        <v>0</v>
      </c>
      <c r="CR32" s="59">
        <f t="shared" si="64"/>
        <v>19392731.440000001</v>
      </c>
      <c r="CS32" s="59">
        <f t="shared" si="65"/>
        <v>19392731.440000001</v>
      </c>
      <c r="CT32" s="60">
        <v>46950.42</v>
      </c>
      <c r="CU32" s="60">
        <v>-57147.87</v>
      </c>
      <c r="CV32" s="60">
        <v>0</v>
      </c>
      <c r="CW32" s="59">
        <f t="shared" si="66"/>
        <v>19382533.990000002</v>
      </c>
      <c r="CX32" s="59">
        <f t="shared" si="67"/>
        <v>19382533.990000002</v>
      </c>
      <c r="CY32" s="60">
        <v>98375.95</v>
      </c>
      <c r="CZ32" s="60">
        <v>-52367.69</v>
      </c>
      <c r="DA32" s="60">
        <v>0</v>
      </c>
      <c r="DB32" s="59">
        <f t="shared" si="68"/>
        <v>19428542.25</v>
      </c>
      <c r="DC32" s="59">
        <f t="shared" si="69"/>
        <v>19428542.25</v>
      </c>
      <c r="DD32" s="60">
        <v>246144.92</v>
      </c>
      <c r="DE32" s="60">
        <v>-36785.74</v>
      </c>
      <c r="DF32" s="60">
        <v>0</v>
      </c>
      <c r="DG32" s="59">
        <f t="shared" si="70"/>
        <v>19637901.430000003</v>
      </c>
      <c r="DH32" s="59">
        <f t="shared" si="71"/>
        <v>19637901.430000003</v>
      </c>
      <c r="DI32" s="60">
        <v>61871.56</v>
      </c>
      <c r="DJ32" s="60">
        <v>-34559.61</v>
      </c>
      <c r="DK32" s="60">
        <v>0</v>
      </c>
      <c r="DL32" s="59">
        <f t="shared" si="72"/>
        <v>19665213.380000003</v>
      </c>
      <c r="DM32" s="59">
        <f t="shared" si="73"/>
        <v>19665213.380000003</v>
      </c>
      <c r="DN32" s="60">
        <v>631949.72</v>
      </c>
      <c r="DO32" s="60">
        <v>-43447.32</v>
      </c>
      <c r="DP32" s="60">
        <v>0</v>
      </c>
      <c r="DQ32" s="59">
        <f t="shared" si="74"/>
        <v>20253715.780000001</v>
      </c>
      <c r="DR32" s="59">
        <f t="shared" si="75"/>
        <v>20253715.780000001</v>
      </c>
      <c r="DS32" s="60">
        <v>430946.9</v>
      </c>
      <c r="DT32" s="60">
        <v>-56322.96</v>
      </c>
      <c r="DU32" s="60">
        <v>0</v>
      </c>
      <c r="DV32" s="59">
        <f t="shared" si="76"/>
        <v>20628339.719999999</v>
      </c>
      <c r="DW32" s="59">
        <f t="shared" si="77"/>
        <v>20628339.719999999</v>
      </c>
      <c r="DX32" s="60">
        <v>109269.03</v>
      </c>
      <c r="DY32" s="60">
        <v>-21685.65</v>
      </c>
      <c r="DZ32" s="60">
        <v>0</v>
      </c>
      <c r="EA32" s="59">
        <f t="shared" si="78"/>
        <v>20715923.100000001</v>
      </c>
      <c r="EB32" s="59">
        <f t="shared" si="79"/>
        <v>20715923.100000001</v>
      </c>
      <c r="EC32" s="60">
        <v>83298.62</v>
      </c>
      <c r="ED32" s="60">
        <v>-6932.16</v>
      </c>
      <c r="EE32" s="60">
        <v>0</v>
      </c>
      <c r="EF32" s="59">
        <f t="shared" si="80"/>
        <v>20792289.560000002</v>
      </c>
      <c r="EG32" s="59">
        <f t="shared" si="81"/>
        <v>20792289.560000002</v>
      </c>
      <c r="EH32" s="60">
        <v>60131.13</v>
      </c>
      <c r="EI32" s="60">
        <v>0</v>
      </c>
      <c r="EJ32" s="60">
        <v>0</v>
      </c>
      <c r="EK32" s="59">
        <f t="shared" si="82"/>
        <v>20852420.690000001</v>
      </c>
      <c r="EL32" s="59">
        <f t="shared" si="83"/>
        <v>20852420.690000001</v>
      </c>
      <c r="EM32" s="60">
        <v>26041.48</v>
      </c>
      <c r="EN32" s="60">
        <v>-34518.769999999997</v>
      </c>
      <c r="EO32" s="60">
        <v>0</v>
      </c>
      <c r="EP32" s="59">
        <f t="shared" si="84"/>
        <v>20843943.400000002</v>
      </c>
      <c r="EQ32" s="59">
        <f t="shared" si="85"/>
        <v>20843943.400000002</v>
      </c>
      <c r="ER32" s="60">
        <v>74327.63</v>
      </c>
      <c r="ES32" s="60">
        <v>-267856.14</v>
      </c>
      <c r="ET32" s="60">
        <v>0</v>
      </c>
      <c r="EU32" s="59">
        <f t="shared" si="86"/>
        <v>20650414.890000001</v>
      </c>
      <c r="EV32" s="59">
        <f t="shared" si="87"/>
        <v>20650414.890000001</v>
      </c>
      <c r="EW32" s="60">
        <v>69006.45</v>
      </c>
      <c r="EX32" s="60">
        <v>-28868.18</v>
      </c>
      <c r="EY32" s="60">
        <v>0</v>
      </c>
      <c r="EZ32" s="59">
        <f t="shared" si="88"/>
        <v>20690553.16</v>
      </c>
      <c r="FA32" s="59">
        <f t="shared" si="89"/>
        <v>20690553.16</v>
      </c>
      <c r="FB32" s="60">
        <v>18937.669999999998</v>
      </c>
      <c r="FC32" s="60">
        <v>-23050.86</v>
      </c>
      <c r="FD32" s="60">
        <v>0</v>
      </c>
      <c r="FE32" s="59">
        <f t="shared" si="90"/>
        <v>20686439.970000003</v>
      </c>
      <c r="FF32" s="59">
        <f t="shared" si="91"/>
        <v>20686439.970000003</v>
      </c>
      <c r="FG32" s="60">
        <v>39680.400000000001</v>
      </c>
      <c r="FH32" s="60">
        <v>-21122.75</v>
      </c>
      <c r="FI32" s="60">
        <v>0</v>
      </c>
      <c r="FJ32" s="59">
        <f t="shared" si="92"/>
        <v>20704997.620000001</v>
      </c>
      <c r="FK32" s="59">
        <f t="shared" si="93"/>
        <v>20704997.620000001</v>
      </c>
      <c r="FL32" s="60">
        <v>99283.69</v>
      </c>
      <c r="FM32" s="60">
        <v>-14837.7</v>
      </c>
      <c r="FN32" s="60">
        <v>0</v>
      </c>
      <c r="FO32" s="59">
        <f t="shared" si="94"/>
        <v>20789443.610000003</v>
      </c>
      <c r="FP32" s="59">
        <f t="shared" si="95"/>
        <v>20789443.610000003</v>
      </c>
      <c r="FQ32" s="60">
        <v>24956.18</v>
      </c>
      <c r="FR32" s="60">
        <v>-13939.78</v>
      </c>
      <c r="FS32" s="60">
        <v>0</v>
      </c>
      <c r="FT32" s="59">
        <f t="shared" si="96"/>
        <v>20800460.010000002</v>
      </c>
      <c r="FU32" s="59">
        <f t="shared" si="97"/>
        <v>20800460.010000002</v>
      </c>
      <c r="FV32" s="60">
        <v>254899.84</v>
      </c>
      <c r="FW32" s="60">
        <v>-17524.68</v>
      </c>
      <c r="FX32" s="60">
        <v>0</v>
      </c>
      <c r="FY32" s="59">
        <f t="shared" si="98"/>
        <v>21037835.170000002</v>
      </c>
      <c r="FZ32" s="59">
        <f t="shared" si="99"/>
        <v>21037835.170000002</v>
      </c>
      <c r="GA32" s="60">
        <v>173824.43</v>
      </c>
      <c r="GB32" s="60">
        <v>-22718.12</v>
      </c>
      <c r="GC32" s="60">
        <v>0</v>
      </c>
      <c r="GD32" s="59">
        <f t="shared" si="100"/>
        <v>21188941.48</v>
      </c>
      <c r="GE32" s="59">
        <f t="shared" si="101"/>
        <v>21188941.48</v>
      </c>
      <c r="GF32" s="60">
        <v>44074.17</v>
      </c>
      <c r="GG32" s="60">
        <v>-8747.01</v>
      </c>
      <c r="GH32" s="60">
        <v>0</v>
      </c>
      <c r="GI32" s="59">
        <f t="shared" si="102"/>
        <v>21224268.640000001</v>
      </c>
      <c r="GJ32" s="59"/>
    </row>
    <row r="33" spans="1:192">
      <c r="B33" s="58">
        <v>381.1</v>
      </c>
      <c r="C33" s="57" t="s">
        <v>655</v>
      </c>
      <c r="D33" s="59">
        <v>9970104.75</v>
      </c>
      <c r="E33" s="59">
        <v>9970104.75</v>
      </c>
      <c r="F33" s="59">
        <v>0</v>
      </c>
      <c r="G33" s="59">
        <v>0</v>
      </c>
      <c r="H33" s="59">
        <v>0</v>
      </c>
      <c r="I33" s="59">
        <v>9970104.75</v>
      </c>
      <c r="J33" s="59">
        <v>9970104.75</v>
      </c>
      <c r="K33" s="59">
        <v>10749.73</v>
      </c>
      <c r="L33" s="59">
        <v>0</v>
      </c>
      <c r="M33" s="59">
        <v>0</v>
      </c>
      <c r="N33" s="59">
        <v>9980854.4800000004</v>
      </c>
      <c r="O33" s="59">
        <v>9980854.4800000004</v>
      </c>
      <c r="P33" s="59">
        <v>0</v>
      </c>
      <c r="Q33" s="59">
        <v>0</v>
      </c>
      <c r="R33" s="59">
        <v>0</v>
      </c>
      <c r="S33" s="59">
        <v>9980854.4800000004</v>
      </c>
      <c r="T33" s="59">
        <v>9980854.4800000004</v>
      </c>
      <c r="U33" s="59">
        <v>0</v>
      </c>
      <c r="V33" s="59">
        <v>0</v>
      </c>
      <c r="W33" s="59">
        <v>0</v>
      </c>
      <c r="X33" s="59">
        <v>9980854.4800000004</v>
      </c>
      <c r="Y33" s="59">
        <v>9980854.4800000004</v>
      </c>
      <c r="Z33" s="59">
        <v>0</v>
      </c>
      <c r="AA33" s="59">
        <v>0</v>
      </c>
      <c r="AB33" s="59">
        <v>0</v>
      </c>
      <c r="AC33" s="59">
        <v>9980854.4800000004</v>
      </c>
      <c r="AD33" s="59">
        <v>9980854.4800000004</v>
      </c>
      <c r="AE33" s="59">
        <v>0</v>
      </c>
      <c r="AF33" s="59">
        <v>0</v>
      </c>
      <c r="AG33" s="59">
        <v>0</v>
      </c>
      <c r="AH33" s="59">
        <v>9980854.4800000004</v>
      </c>
      <c r="AI33" s="59">
        <v>9980854.4800000004</v>
      </c>
      <c r="AJ33" s="59">
        <v>0</v>
      </c>
      <c r="AK33" s="59">
        <v>0</v>
      </c>
      <c r="AL33" s="59">
        <v>0</v>
      </c>
      <c r="AM33" s="59">
        <v>9980854.4800000004</v>
      </c>
      <c r="AN33" s="59">
        <v>9980854.4800000004</v>
      </c>
      <c r="AO33" s="59">
        <v>0</v>
      </c>
      <c r="AP33" s="59">
        <v>0</v>
      </c>
      <c r="AQ33" s="59">
        <v>0</v>
      </c>
      <c r="AR33" s="59">
        <v>9980854.4800000004</v>
      </c>
      <c r="AS33" s="59">
        <v>9980854.4800000004</v>
      </c>
      <c r="AT33" s="59">
        <v>0</v>
      </c>
      <c r="AU33" s="59">
        <v>0</v>
      </c>
      <c r="AV33" s="59">
        <v>0</v>
      </c>
      <c r="AW33" s="59">
        <v>9980854.4800000004</v>
      </c>
      <c r="AX33" s="59">
        <v>9980854.4800000004</v>
      </c>
      <c r="AY33" s="59">
        <v>0</v>
      </c>
      <c r="AZ33" s="59">
        <v>0</v>
      </c>
      <c r="BA33" s="59">
        <v>0</v>
      </c>
      <c r="BB33" s="59">
        <v>9980854.4800000004</v>
      </c>
      <c r="BC33" s="59">
        <v>9980854.4800000004</v>
      </c>
      <c r="BD33" s="59">
        <v>0</v>
      </c>
      <c r="BE33" s="59">
        <v>0</v>
      </c>
      <c r="BF33" s="59">
        <v>0</v>
      </c>
      <c r="BG33" s="59">
        <v>9980854.4800000004</v>
      </c>
      <c r="BH33" s="59">
        <v>9980854.4800000004</v>
      </c>
      <c r="BI33" s="59">
        <v>0</v>
      </c>
      <c r="BJ33" s="59">
        <v>0</v>
      </c>
      <c r="BK33" s="59">
        <v>0</v>
      </c>
      <c r="BL33" s="59">
        <v>9980854.4800000004</v>
      </c>
      <c r="BM33" s="59">
        <f t="shared" si="41"/>
        <v>9980854.4800000004</v>
      </c>
      <c r="BN33" s="59">
        <v>0</v>
      </c>
      <c r="BO33" s="59">
        <v>0</v>
      </c>
      <c r="BP33" s="59">
        <v>0</v>
      </c>
      <c r="BQ33" s="59">
        <f t="shared" si="42"/>
        <v>9980854.4800000004</v>
      </c>
      <c r="BR33" s="59">
        <f t="shared" si="43"/>
        <v>9980854.4800000004</v>
      </c>
      <c r="BS33" s="59">
        <v>0</v>
      </c>
      <c r="BT33" s="59">
        <v>0</v>
      </c>
      <c r="BU33" s="59">
        <v>0</v>
      </c>
      <c r="BV33" s="59">
        <f t="shared" si="44"/>
        <v>9980854.4800000004</v>
      </c>
      <c r="BW33" s="59">
        <f t="shared" si="45"/>
        <v>9980854.4800000004</v>
      </c>
      <c r="BX33" s="59">
        <v>311.13</v>
      </c>
      <c r="BY33" s="59">
        <v>0</v>
      </c>
      <c r="BZ33" s="59">
        <v>0</v>
      </c>
      <c r="CA33" s="59">
        <f t="shared" si="46"/>
        <v>9981165.6100000013</v>
      </c>
      <c r="CD33" s="59">
        <f t="shared" si="47"/>
        <v>9980854.4800000004</v>
      </c>
      <c r="CE33" s="60">
        <v>0</v>
      </c>
      <c r="CF33" s="60">
        <v>0</v>
      </c>
      <c r="CG33" s="60">
        <v>0</v>
      </c>
      <c r="CH33" s="59">
        <f t="shared" si="62"/>
        <v>9980854.4800000004</v>
      </c>
      <c r="CI33" s="59">
        <f t="shared" si="48"/>
        <v>9980854.4800000004</v>
      </c>
      <c r="CJ33" s="60">
        <v>0</v>
      </c>
      <c r="CK33" s="60">
        <v>0</v>
      </c>
      <c r="CL33" s="60">
        <v>0</v>
      </c>
      <c r="CM33" s="59">
        <f t="shared" si="63"/>
        <v>9980854.4800000004</v>
      </c>
      <c r="CN33" s="59">
        <f t="shared" si="49"/>
        <v>9980854.4800000004</v>
      </c>
      <c r="CO33" s="60">
        <v>0</v>
      </c>
      <c r="CP33" s="60">
        <v>0</v>
      </c>
      <c r="CQ33" s="60">
        <v>0</v>
      </c>
      <c r="CR33" s="59">
        <f t="shared" si="64"/>
        <v>9980854.4800000004</v>
      </c>
      <c r="CS33" s="59">
        <f t="shared" si="65"/>
        <v>9980854.4800000004</v>
      </c>
      <c r="CT33" s="60">
        <v>0</v>
      </c>
      <c r="CU33" s="60">
        <v>0</v>
      </c>
      <c r="CV33" s="60">
        <v>0</v>
      </c>
      <c r="CW33" s="59">
        <f t="shared" si="66"/>
        <v>9980854.4800000004</v>
      </c>
      <c r="CX33" s="59">
        <f t="shared" si="67"/>
        <v>9980854.4800000004</v>
      </c>
      <c r="CY33" s="60">
        <v>0</v>
      </c>
      <c r="CZ33" s="60">
        <v>0</v>
      </c>
      <c r="DA33" s="60">
        <v>0</v>
      </c>
      <c r="DB33" s="59">
        <f t="shared" si="68"/>
        <v>9980854.4800000004</v>
      </c>
      <c r="DC33" s="59">
        <f t="shared" si="69"/>
        <v>9980854.4800000004</v>
      </c>
      <c r="DD33" s="60">
        <v>0</v>
      </c>
      <c r="DE33" s="60">
        <v>0</v>
      </c>
      <c r="DF33" s="60">
        <v>0</v>
      </c>
      <c r="DG33" s="59">
        <f t="shared" si="70"/>
        <v>9980854.4800000004</v>
      </c>
      <c r="DH33" s="59">
        <f t="shared" si="71"/>
        <v>9980854.4800000004</v>
      </c>
      <c r="DI33" s="60">
        <v>0</v>
      </c>
      <c r="DJ33" s="60">
        <v>0</v>
      </c>
      <c r="DK33" s="60">
        <v>0</v>
      </c>
      <c r="DL33" s="59">
        <f t="shared" si="72"/>
        <v>9980854.4800000004</v>
      </c>
      <c r="DM33" s="59">
        <f t="shared" si="73"/>
        <v>9980854.4800000004</v>
      </c>
      <c r="DN33" s="60">
        <v>0</v>
      </c>
      <c r="DO33" s="60">
        <v>0</v>
      </c>
      <c r="DP33" s="60">
        <v>0</v>
      </c>
      <c r="DQ33" s="59">
        <f t="shared" si="74"/>
        <v>9980854.4800000004</v>
      </c>
      <c r="DR33" s="59">
        <f t="shared" si="75"/>
        <v>9980854.4800000004</v>
      </c>
      <c r="DS33" s="60">
        <v>0</v>
      </c>
      <c r="DT33" s="60">
        <v>0</v>
      </c>
      <c r="DU33" s="60">
        <v>0</v>
      </c>
      <c r="DV33" s="59">
        <f t="shared" si="76"/>
        <v>9980854.4800000004</v>
      </c>
      <c r="DW33" s="59">
        <f t="shared" si="77"/>
        <v>9980854.4800000004</v>
      </c>
      <c r="DX33" s="60">
        <v>0</v>
      </c>
      <c r="DY33" s="60">
        <v>0</v>
      </c>
      <c r="DZ33" s="60">
        <v>0</v>
      </c>
      <c r="EA33" s="59">
        <f t="shared" si="78"/>
        <v>9980854.4800000004</v>
      </c>
      <c r="EB33" s="59">
        <f t="shared" si="79"/>
        <v>9980854.4800000004</v>
      </c>
      <c r="EC33" s="60">
        <v>0</v>
      </c>
      <c r="ED33" s="60">
        <v>0</v>
      </c>
      <c r="EE33" s="60">
        <v>0</v>
      </c>
      <c r="EF33" s="59">
        <f t="shared" si="80"/>
        <v>9980854.4800000004</v>
      </c>
      <c r="EG33" s="59">
        <f t="shared" si="81"/>
        <v>9980854.4800000004</v>
      </c>
      <c r="EH33" s="60">
        <v>0</v>
      </c>
      <c r="EI33" s="60">
        <v>0</v>
      </c>
      <c r="EJ33" s="60">
        <v>0</v>
      </c>
      <c r="EK33" s="59">
        <f t="shared" si="82"/>
        <v>9980854.4800000004</v>
      </c>
      <c r="EL33" s="59">
        <f t="shared" si="83"/>
        <v>9980854.4800000004</v>
      </c>
      <c r="EM33" s="60">
        <v>0</v>
      </c>
      <c r="EN33" s="60">
        <v>0</v>
      </c>
      <c r="EO33" s="60">
        <v>0</v>
      </c>
      <c r="EP33" s="59">
        <f t="shared" si="84"/>
        <v>9980854.4800000004</v>
      </c>
      <c r="EQ33" s="59">
        <f t="shared" si="85"/>
        <v>9980854.4800000004</v>
      </c>
      <c r="ER33" s="60">
        <v>0</v>
      </c>
      <c r="ES33" s="60">
        <v>0</v>
      </c>
      <c r="ET33" s="60">
        <v>0</v>
      </c>
      <c r="EU33" s="59">
        <f t="shared" si="86"/>
        <v>9980854.4800000004</v>
      </c>
      <c r="EV33" s="59">
        <f t="shared" si="87"/>
        <v>9980854.4800000004</v>
      </c>
      <c r="EW33" s="60">
        <v>0</v>
      </c>
      <c r="EX33" s="60">
        <v>0</v>
      </c>
      <c r="EY33" s="60">
        <v>0</v>
      </c>
      <c r="EZ33" s="59">
        <f t="shared" si="88"/>
        <v>9980854.4800000004</v>
      </c>
      <c r="FA33" s="59">
        <f t="shared" si="89"/>
        <v>9980854.4800000004</v>
      </c>
      <c r="FB33" s="60">
        <v>0</v>
      </c>
      <c r="FC33" s="60">
        <v>0</v>
      </c>
      <c r="FD33" s="60">
        <v>0</v>
      </c>
      <c r="FE33" s="59">
        <f t="shared" si="90"/>
        <v>9980854.4800000004</v>
      </c>
      <c r="FF33" s="59">
        <f t="shared" si="91"/>
        <v>9980854.4800000004</v>
      </c>
      <c r="FG33" s="60">
        <v>0</v>
      </c>
      <c r="FH33" s="60">
        <v>0</v>
      </c>
      <c r="FI33" s="60">
        <v>0</v>
      </c>
      <c r="FJ33" s="59">
        <f t="shared" si="92"/>
        <v>9980854.4800000004</v>
      </c>
      <c r="FK33" s="59">
        <f t="shared" si="93"/>
        <v>9980854.4800000004</v>
      </c>
      <c r="FL33" s="60">
        <v>0</v>
      </c>
      <c r="FM33" s="60">
        <v>0</v>
      </c>
      <c r="FN33" s="60">
        <v>0</v>
      </c>
      <c r="FO33" s="59">
        <f t="shared" si="94"/>
        <v>9980854.4800000004</v>
      </c>
      <c r="FP33" s="59">
        <f t="shared" si="95"/>
        <v>9980854.4800000004</v>
      </c>
      <c r="FQ33" s="60">
        <v>0</v>
      </c>
      <c r="FR33" s="60">
        <v>0</v>
      </c>
      <c r="FS33" s="60">
        <v>0</v>
      </c>
      <c r="FT33" s="59">
        <f t="shared" si="96"/>
        <v>9980854.4800000004</v>
      </c>
      <c r="FU33" s="59">
        <f t="shared" si="97"/>
        <v>9980854.4800000004</v>
      </c>
      <c r="FV33" s="60">
        <v>0</v>
      </c>
      <c r="FW33" s="60">
        <v>0</v>
      </c>
      <c r="FX33" s="60">
        <v>0</v>
      </c>
      <c r="FY33" s="59">
        <f t="shared" si="98"/>
        <v>9980854.4800000004</v>
      </c>
      <c r="FZ33" s="59">
        <f t="shared" si="99"/>
        <v>9980854.4800000004</v>
      </c>
      <c r="GA33" s="60">
        <v>0</v>
      </c>
      <c r="GB33" s="60">
        <v>0</v>
      </c>
      <c r="GC33" s="60">
        <v>0</v>
      </c>
      <c r="GD33" s="59">
        <f t="shared" si="100"/>
        <v>9980854.4800000004</v>
      </c>
      <c r="GE33" s="59">
        <f t="shared" si="101"/>
        <v>9980854.4800000004</v>
      </c>
      <c r="GF33" s="60">
        <v>0</v>
      </c>
      <c r="GG33" s="60">
        <v>0</v>
      </c>
      <c r="GH33" s="60">
        <v>0</v>
      </c>
      <c r="GI33" s="59">
        <f t="shared" si="102"/>
        <v>9980854.4800000004</v>
      </c>
      <c r="GJ33" s="59"/>
    </row>
    <row r="34" spans="1:192">
      <c r="B34" s="71">
        <v>382</v>
      </c>
      <c r="C34" s="72" t="s">
        <v>400</v>
      </c>
      <c r="D34" s="73">
        <v>10073731.52</v>
      </c>
      <c r="E34" s="73">
        <v>10073731.52</v>
      </c>
      <c r="F34" s="73">
        <v>26752.97</v>
      </c>
      <c r="G34" s="73">
        <v>-489.15000000000003</v>
      </c>
      <c r="H34" s="73">
        <v>0</v>
      </c>
      <c r="I34" s="73">
        <v>10099995.34</v>
      </c>
      <c r="J34" s="73">
        <v>10099995.34</v>
      </c>
      <c r="K34" s="73">
        <v>26242.959999999999</v>
      </c>
      <c r="L34" s="73">
        <v>-1574.73</v>
      </c>
      <c r="M34" s="73">
        <v>0</v>
      </c>
      <c r="N34" s="73">
        <v>10124663.57</v>
      </c>
      <c r="O34" s="73">
        <v>10124663.57</v>
      </c>
      <c r="P34" s="73">
        <v>18370.330000000002</v>
      </c>
      <c r="Q34" s="73">
        <v>-2045.79</v>
      </c>
      <c r="R34" s="73">
        <v>0</v>
      </c>
      <c r="S34" s="73">
        <v>10140988.109999999</v>
      </c>
      <c r="T34" s="73">
        <v>10140988.109999999</v>
      </c>
      <c r="U34" s="73">
        <v>14991.23</v>
      </c>
      <c r="V34" s="73">
        <v>-5647.45</v>
      </c>
      <c r="W34" s="73">
        <v>0</v>
      </c>
      <c r="X34" s="73">
        <v>10150331.890000001</v>
      </c>
      <c r="Y34" s="73">
        <v>10150331.890000001</v>
      </c>
      <c r="Z34" s="73">
        <v>14838.52</v>
      </c>
      <c r="AA34" s="73">
        <v>-3453.44</v>
      </c>
      <c r="AB34" s="73">
        <v>0</v>
      </c>
      <c r="AC34" s="73">
        <v>10161716.970000001</v>
      </c>
      <c r="AD34" s="73">
        <v>10161716.970000001</v>
      </c>
      <c r="AE34" s="73">
        <v>22237.46</v>
      </c>
      <c r="AF34" s="73">
        <v>-3705.51</v>
      </c>
      <c r="AG34" s="73">
        <v>0</v>
      </c>
      <c r="AH34" s="73">
        <v>10180248.92</v>
      </c>
      <c r="AI34" s="73">
        <v>10180248.92</v>
      </c>
      <c r="AJ34" s="73">
        <v>23700.99</v>
      </c>
      <c r="AK34" s="73">
        <v>-5252.36</v>
      </c>
      <c r="AL34" s="73">
        <v>0</v>
      </c>
      <c r="AM34" s="73">
        <v>10198697.550000001</v>
      </c>
      <c r="AN34" s="73">
        <v>10198697.550000001</v>
      </c>
      <c r="AO34" s="73">
        <v>62217.94</v>
      </c>
      <c r="AP34" s="73">
        <v>-9322.32</v>
      </c>
      <c r="AQ34" s="73">
        <v>0</v>
      </c>
      <c r="AR34" s="73">
        <v>10251593.17</v>
      </c>
      <c r="AS34" s="73">
        <v>10251593.17</v>
      </c>
      <c r="AT34" s="73">
        <v>63128.630000000005</v>
      </c>
      <c r="AU34" s="73">
        <v>-4705.1099999999997</v>
      </c>
      <c r="AV34" s="73">
        <v>0</v>
      </c>
      <c r="AW34" s="73">
        <v>10310016.689999999</v>
      </c>
      <c r="AX34" s="73">
        <v>10310016.689999999</v>
      </c>
      <c r="AY34" s="73">
        <v>107940.91</v>
      </c>
      <c r="AZ34" s="73">
        <v>-4703.41</v>
      </c>
      <c r="BA34" s="73">
        <v>0</v>
      </c>
      <c r="BB34" s="73">
        <v>10413254.189999999</v>
      </c>
      <c r="BC34" s="73">
        <v>10413254.189999999</v>
      </c>
      <c r="BD34" s="73">
        <v>89452.180000000008</v>
      </c>
      <c r="BE34" s="73">
        <v>-3639.67</v>
      </c>
      <c r="BF34" s="73">
        <v>0</v>
      </c>
      <c r="BG34" s="73">
        <v>10499066.699999999</v>
      </c>
      <c r="BH34" s="73">
        <v>10499066.699999999</v>
      </c>
      <c r="BI34" s="73">
        <v>107289.89</v>
      </c>
      <c r="BJ34" s="73">
        <v>-3691.83</v>
      </c>
      <c r="BK34" s="73">
        <v>0</v>
      </c>
      <c r="BL34" s="73">
        <v>10602664.76</v>
      </c>
      <c r="BM34" s="73">
        <f t="shared" si="41"/>
        <v>10602664.76</v>
      </c>
      <c r="BN34" s="73">
        <v>108504.31</v>
      </c>
      <c r="BO34" s="73">
        <v>-1867.38</v>
      </c>
      <c r="BP34" s="73">
        <v>0</v>
      </c>
      <c r="BQ34" s="73">
        <f t="shared" ref="BQ34:BQ61" si="103">SUM(BM34:BP34)</f>
        <v>10709301.689999999</v>
      </c>
      <c r="BR34" s="73">
        <f t="shared" si="43"/>
        <v>10709301.689999999</v>
      </c>
      <c r="BS34" s="73">
        <v>56915.51</v>
      </c>
      <c r="BT34" s="73">
        <v>-2576.42</v>
      </c>
      <c r="BU34" s="73">
        <v>0</v>
      </c>
      <c r="BV34" s="73">
        <f t="shared" ref="BV34:BV61" si="104">SUM(BR34:BU34)</f>
        <v>10763640.779999999</v>
      </c>
      <c r="BW34" s="73">
        <f t="shared" si="45"/>
        <v>10763640.779999999</v>
      </c>
      <c r="BX34" s="73">
        <v>16876.349999999999</v>
      </c>
      <c r="BY34" s="73">
        <v>-3452.41</v>
      </c>
      <c r="BZ34" s="73">
        <v>0</v>
      </c>
      <c r="CA34" s="73">
        <f t="shared" ref="CA34:CA61" si="105">SUM(BW34:BZ34)</f>
        <v>10777064.719999999</v>
      </c>
      <c r="CD34" s="73">
        <f t="shared" si="47"/>
        <v>10763640.779999999</v>
      </c>
      <c r="CE34" s="74">
        <v>5272.1100000000006</v>
      </c>
      <c r="CF34" s="74">
        <v>-1851.3799999999997</v>
      </c>
      <c r="CG34" s="74">
        <v>0</v>
      </c>
      <c r="CH34" s="73">
        <f t="shared" si="62"/>
        <v>10767061.509999998</v>
      </c>
      <c r="CI34" s="73">
        <f t="shared" si="48"/>
        <v>10767061.509999998</v>
      </c>
      <c r="CJ34" s="74">
        <v>2859.0699999999997</v>
      </c>
      <c r="CK34" s="74">
        <v>-4457.68</v>
      </c>
      <c r="CL34" s="74">
        <v>0</v>
      </c>
      <c r="CM34" s="73">
        <f t="shared" si="63"/>
        <v>10765462.899999999</v>
      </c>
      <c r="CN34" s="73">
        <f t="shared" si="49"/>
        <v>10765462.899999999</v>
      </c>
      <c r="CO34" s="74">
        <v>2611.7700000000004</v>
      </c>
      <c r="CP34" s="74">
        <v>-4003.31</v>
      </c>
      <c r="CQ34" s="74">
        <v>0</v>
      </c>
      <c r="CR34" s="73">
        <f t="shared" si="64"/>
        <v>10764071.359999998</v>
      </c>
      <c r="CS34" s="73">
        <f t="shared" si="65"/>
        <v>10764071.359999998</v>
      </c>
      <c r="CT34" s="74">
        <v>7092.09</v>
      </c>
      <c r="CU34" s="74">
        <v>-4681.57</v>
      </c>
      <c r="CV34" s="74">
        <v>0</v>
      </c>
      <c r="CW34" s="73">
        <f t="shared" si="66"/>
        <v>10766481.879999997</v>
      </c>
      <c r="CX34" s="73">
        <f t="shared" si="67"/>
        <v>10766481.879999997</v>
      </c>
      <c r="CY34" s="74">
        <v>12438.029999999999</v>
      </c>
      <c r="CZ34" s="74">
        <v>-4525.17</v>
      </c>
      <c r="DA34" s="74">
        <v>0</v>
      </c>
      <c r="DB34" s="73">
        <f t="shared" si="68"/>
        <v>10774394.739999996</v>
      </c>
      <c r="DC34" s="73">
        <f t="shared" si="69"/>
        <v>10774394.739999996</v>
      </c>
      <c r="DD34" s="74">
        <v>27316.58</v>
      </c>
      <c r="DE34" s="74">
        <v>-6486.46</v>
      </c>
      <c r="DF34" s="74">
        <v>0</v>
      </c>
      <c r="DG34" s="73">
        <f t="shared" si="70"/>
        <v>10795224.859999996</v>
      </c>
      <c r="DH34" s="73">
        <f t="shared" si="71"/>
        <v>10795224.859999996</v>
      </c>
      <c r="DI34" s="74">
        <v>27693.050000000003</v>
      </c>
      <c r="DJ34" s="74">
        <v>-4294.79</v>
      </c>
      <c r="DK34" s="74">
        <v>0</v>
      </c>
      <c r="DL34" s="73">
        <f t="shared" si="72"/>
        <v>10818623.119999997</v>
      </c>
      <c r="DM34" s="73">
        <f t="shared" si="73"/>
        <v>10818623.119999997</v>
      </c>
      <c r="DN34" s="74">
        <v>27886.980000000003</v>
      </c>
      <c r="DO34" s="74">
        <v>-3784.11</v>
      </c>
      <c r="DP34" s="74">
        <v>0</v>
      </c>
      <c r="DQ34" s="73">
        <f t="shared" si="74"/>
        <v>10842725.989999998</v>
      </c>
      <c r="DR34" s="73">
        <f t="shared" si="75"/>
        <v>10842725.989999998</v>
      </c>
      <c r="DS34" s="74">
        <v>30863.59</v>
      </c>
      <c r="DT34" s="74">
        <v>-4743.95</v>
      </c>
      <c r="DU34" s="74">
        <v>0</v>
      </c>
      <c r="DV34" s="73">
        <f t="shared" si="76"/>
        <v>10868845.629999999</v>
      </c>
      <c r="DW34" s="73">
        <f t="shared" si="77"/>
        <v>10868845.629999999</v>
      </c>
      <c r="DX34" s="74">
        <v>48758.91</v>
      </c>
      <c r="DY34" s="74">
        <v>-928.6</v>
      </c>
      <c r="DZ34" s="74">
        <v>0</v>
      </c>
      <c r="EA34" s="73">
        <f t="shared" si="78"/>
        <v>10916675.939999999</v>
      </c>
      <c r="EB34" s="73">
        <f t="shared" si="79"/>
        <v>10916675.939999999</v>
      </c>
      <c r="EC34" s="74">
        <v>15244.67</v>
      </c>
      <c r="ED34" s="74">
        <v>-1265.55</v>
      </c>
      <c r="EE34" s="74">
        <v>0</v>
      </c>
      <c r="EF34" s="73">
        <f t="shared" si="80"/>
        <v>10930655.059999999</v>
      </c>
      <c r="EG34" s="73">
        <f t="shared" si="81"/>
        <v>10930655.059999999</v>
      </c>
      <c r="EH34" s="74">
        <v>14824.51</v>
      </c>
      <c r="EI34" s="74">
        <v>-1645.07</v>
      </c>
      <c r="EJ34" s="74">
        <v>0</v>
      </c>
      <c r="EK34" s="73">
        <f t="shared" si="82"/>
        <v>10943834.499999998</v>
      </c>
      <c r="EL34" s="73">
        <f t="shared" si="83"/>
        <v>10943834.499999998</v>
      </c>
      <c r="EM34" s="74">
        <v>13586.93</v>
      </c>
      <c r="EN34" s="74">
        <v>-2215.1</v>
      </c>
      <c r="EO34" s="74">
        <v>0</v>
      </c>
      <c r="EP34" s="73">
        <f t="shared" si="84"/>
        <v>10955206.329999998</v>
      </c>
      <c r="EQ34" s="73">
        <f t="shared" si="85"/>
        <v>10955206.329999998</v>
      </c>
      <c r="ER34" s="74">
        <v>11622.19</v>
      </c>
      <c r="ES34" s="74">
        <v>-3629.57</v>
      </c>
      <c r="ET34" s="74">
        <v>0</v>
      </c>
      <c r="EU34" s="73">
        <f t="shared" si="86"/>
        <v>10963198.949999997</v>
      </c>
      <c r="EV34" s="73">
        <f t="shared" si="87"/>
        <v>10963198.949999997</v>
      </c>
      <c r="EW34" s="74">
        <v>11420.83</v>
      </c>
      <c r="EX34" s="74">
        <v>-3259.61</v>
      </c>
      <c r="EY34" s="74">
        <v>0</v>
      </c>
      <c r="EZ34" s="73">
        <f t="shared" si="88"/>
        <v>10971360.169999998</v>
      </c>
      <c r="FA34" s="73">
        <f t="shared" si="89"/>
        <v>10971360.169999998</v>
      </c>
      <c r="FB34" s="74">
        <v>15068.79</v>
      </c>
      <c r="FC34" s="74">
        <v>-3811.88</v>
      </c>
      <c r="FD34" s="74">
        <v>0</v>
      </c>
      <c r="FE34" s="73">
        <f t="shared" si="90"/>
        <v>10982617.079999996</v>
      </c>
      <c r="FF34" s="73">
        <f t="shared" si="91"/>
        <v>10982617.079999996</v>
      </c>
      <c r="FG34" s="74">
        <v>19421.53</v>
      </c>
      <c r="FH34" s="74">
        <v>-3684.53</v>
      </c>
      <c r="FI34" s="74">
        <v>0</v>
      </c>
      <c r="FJ34" s="73">
        <f t="shared" si="92"/>
        <v>10998354.079999996</v>
      </c>
      <c r="FK34" s="73">
        <f t="shared" si="93"/>
        <v>10998354.079999996</v>
      </c>
      <c r="FL34" s="74">
        <v>31535.599999999999</v>
      </c>
      <c r="FM34" s="74">
        <v>-5281.47</v>
      </c>
      <c r="FN34" s="74">
        <v>0</v>
      </c>
      <c r="FO34" s="73">
        <f t="shared" si="94"/>
        <v>11024608.209999995</v>
      </c>
      <c r="FP34" s="73">
        <f t="shared" si="95"/>
        <v>11024608.209999995</v>
      </c>
      <c r="FQ34" s="74">
        <v>60587.35</v>
      </c>
      <c r="FR34" s="74">
        <v>-3956.6</v>
      </c>
      <c r="FS34" s="74">
        <v>0</v>
      </c>
      <c r="FT34" s="73">
        <f t="shared" si="96"/>
        <v>11081238.959999995</v>
      </c>
      <c r="FU34" s="73">
        <f t="shared" si="97"/>
        <v>11081238.959999995</v>
      </c>
      <c r="FV34" s="74">
        <v>70540.61</v>
      </c>
      <c r="FW34" s="74">
        <v>-3645.71</v>
      </c>
      <c r="FX34" s="74">
        <v>0</v>
      </c>
      <c r="FY34" s="73">
        <f t="shared" si="98"/>
        <v>11148133.859999994</v>
      </c>
      <c r="FZ34" s="73">
        <f t="shared" si="99"/>
        <v>11148133.859999994</v>
      </c>
      <c r="GA34" s="74">
        <v>43110.89</v>
      </c>
      <c r="GB34" s="74">
        <v>-4477.96</v>
      </c>
      <c r="GC34" s="74">
        <v>0</v>
      </c>
      <c r="GD34" s="73">
        <f t="shared" si="100"/>
        <v>11186766.789999994</v>
      </c>
      <c r="GE34" s="73">
        <f t="shared" si="101"/>
        <v>11186766.789999994</v>
      </c>
      <c r="GF34" s="74">
        <v>61338.18</v>
      </c>
      <c r="GG34" s="74">
        <v>-1504.02</v>
      </c>
      <c r="GH34" s="74">
        <v>0</v>
      </c>
      <c r="GI34" s="73">
        <f t="shared" si="102"/>
        <v>11246600.949999994</v>
      </c>
      <c r="GJ34" s="59"/>
    </row>
    <row r="35" spans="1:192">
      <c r="B35" s="71">
        <v>383</v>
      </c>
      <c r="C35" s="72" t="s">
        <v>401</v>
      </c>
      <c r="D35" s="73">
        <v>7131728.5199999996</v>
      </c>
      <c r="E35" s="73">
        <v>7131728.5199999996</v>
      </c>
      <c r="F35" s="73">
        <v>18412.32</v>
      </c>
      <c r="G35" s="73">
        <v>-188.66</v>
      </c>
      <c r="H35" s="73">
        <v>0</v>
      </c>
      <c r="I35" s="73">
        <v>7149952.1799999997</v>
      </c>
      <c r="J35" s="73">
        <v>7149952.1799999997</v>
      </c>
      <c r="K35" s="73">
        <v>11751.6</v>
      </c>
      <c r="L35" s="73">
        <v>-230.70000000000002</v>
      </c>
      <c r="M35" s="73">
        <v>0</v>
      </c>
      <c r="N35" s="73">
        <v>7161473.0800000001</v>
      </c>
      <c r="O35" s="73">
        <v>7161473.0800000001</v>
      </c>
      <c r="P35" s="73">
        <v>17539.78</v>
      </c>
      <c r="Q35" s="73">
        <v>-156.80000000000001</v>
      </c>
      <c r="R35" s="73">
        <v>0</v>
      </c>
      <c r="S35" s="73">
        <v>7178856.0599999996</v>
      </c>
      <c r="T35" s="73">
        <v>7178856.0599999996</v>
      </c>
      <c r="U35" s="73">
        <v>3370.27</v>
      </c>
      <c r="V35" s="73">
        <v>-171.39000000000001</v>
      </c>
      <c r="W35" s="73">
        <v>0</v>
      </c>
      <c r="X35" s="73">
        <v>7182054.9399999995</v>
      </c>
      <c r="Y35" s="73">
        <v>7182054.9399999995</v>
      </c>
      <c r="Z35" s="73">
        <v>5712.37</v>
      </c>
      <c r="AA35" s="73">
        <v>-348.81</v>
      </c>
      <c r="AB35" s="73">
        <v>0</v>
      </c>
      <c r="AC35" s="73">
        <v>7187418.5</v>
      </c>
      <c r="AD35" s="73">
        <v>7187418.5</v>
      </c>
      <c r="AE35" s="73">
        <v>20823.150000000001</v>
      </c>
      <c r="AF35" s="73">
        <v>-226.33</v>
      </c>
      <c r="AG35" s="73">
        <v>0</v>
      </c>
      <c r="AH35" s="73">
        <v>7208015.3199999994</v>
      </c>
      <c r="AI35" s="73">
        <v>7208015.3199999994</v>
      </c>
      <c r="AJ35" s="73">
        <v>3311.4900000000002</v>
      </c>
      <c r="AK35" s="73">
        <v>-3043.3</v>
      </c>
      <c r="AL35" s="73">
        <v>0</v>
      </c>
      <c r="AM35" s="73">
        <v>7208283.5099999998</v>
      </c>
      <c r="AN35" s="73">
        <v>7208283.5099999998</v>
      </c>
      <c r="AO35" s="73">
        <v>9621.92</v>
      </c>
      <c r="AP35" s="73">
        <v>-197.14000000000001</v>
      </c>
      <c r="AQ35" s="73">
        <v>0</v>
      </c>
      <c r="AR35" s="73">
        <v>7217708.29</v>
      </c>
      <c r="AS35" s="73">
        <v>7217708.29</v>
      </c>
      <c r="AT35" s="73">
        <v>30958.080000000002</v>
      </c>
      <c r="AU35" s="73">
        <v>-575.59</v>
      </c>
      <c r="AV35" s="73">
        <v>0</v>
      </c>
      <c r="AW35" s="73">
        <v>7248090.7799999993</v>
      </c>
      <c r="AX35" s="73">
        <v>7248090.7799999993</v>
      </c>
      <c r="AY35" s="73">
        <v>26026.880000000001</v>
      </c>
      <c r="AZ35" s="73">
        <v>-562.87</v>
      </c>
      <c r="BA35" s="73">
        <v>0</v>
      </c>
      <c r="BB35" s="73">
        <v>7273554.79</v>
      </c>
      <c r="BC35" s="73">
        <v>7273554.79</v>
      </c>
      <c r="BD35" s="73">
        <v>28844.350000000002</v>
      </c>
      <c r="BE35" s="73">
        <v>-632.73</v>
      </c>
      <c r="BF35" s="73">
        <v>0</v>
      </c>
      <c r="BG35" s="73">
        <v>7301766.4099999992</v>
      </c>
      <c r="BH35" s="73">
        <v>7301766.4099999992</v>
      </c>
      <c r="BI35" s="73">
        <v>26459</v>
      </c>
      <c r="BJ35" s="73">
        <v>-534.66999999999996</v>
      </c>
      <c r="BK35" s="73">
        <v>0</v>
      </c>
      <c r="BL35" s="73">
        <v>7327690.7399999993</v>
      </c>
      <c r="BM35" s="73">
        <f t="shared" si="41"/>
        <v>7327690.7399999993</v>
      </c>
      <c r="BN35" s="73">
        <v>41482.04</v>
      </c>
      <c r="BO35" s="73">
        <v>-270.10000000000002</v>
      </c>
      <c r="BP35" s="73">
        <v>0</v>
      </c>
      <c r="BQ35" s="73">
        <f t="shared" si="103"/>
        <v>7368902.6799999997</v>
      </c>
      <c r="BR35" s="73">
        <f t="shared" si="43"/>
        <v>7368902.6799999997</v>
      </c>
      <c r="BS35" s="73">
        <v>35265.26</v>
      </c>
      <c r="BT35" s="73">
        <v>-489.95</v>
      </c>
      <c r="BU35" s="73">
        <v>0</v>
      </c>
      <c r="BV35" s="73">
        <f t="shared" si="104"/>
        <v>7403677.9899999993</v>
      </c>
      <c r="BW35" s="73">
        <f t="shared" si="45"/>
        <v>7403677.9899999993</v>
      </c>
      <c r="BX35" s="73">
        <v>23740.43</v>
      </c>
      <c r="BY35" s="73">
        <v>-269.64</v>
      </c>
      <c r="BZ35" s="73">
        <v>0</v>
      </c>
      <c r="CA35" s="73">
        <f t="shared" si="105"/>
        <v>7427148.7799999993</v>
      </c>
      <c r="CD35" s="73">
        <f t="shared" si="47"/>
        <v>7403677.9899999993</v>
      </c>
      <c r="CE35" s="74">
        <v>54407.7</v>
      </c>
      <c r="CF35" s="74">
        <v>-282.53999999999996</v>
      </c>
      <c r="CG35" s="74">
        <v>0</v>
      </c>
      <c r="CH35" s="73">
        <f t="shared" si="62"/>
        <v>7457803.1499999994</v>
      </c>
      <c r="CI35" s="73">
        <f t="shared" si="48"/>
        <v>7457803.1499999994</v>
      </c>
      <c r="CJ35" s="74">
        <v>25311.040000000001</v>
      </c>
      <c r="CK35" s="74">
        <v>-365.54</v>
      </c>
      <c r="CL35" s="74">
        <v>0</v>
      </c>
      <c r="CM35" s="73">
        <f t="shared" si="63"/>
        <v>7482748.6499999994</v>
      </c>
      <c r="CN35" s="73">
        <f t="shared" si="49"/>
        <v>7482748.6499999994</v>
      </c>
      <c r="CO35" s="74">
        <v>14422.58</v>
      </c>
      <c r="CP35" s="74">
        <v>-615.22</v>
      </c>
      <c r="CQ35" s="74">
        <v>0</v>
      </c>
      <c r="CR35" s="73">
        <f t="shared" si="64"/>
        <v>7496556.0099999998</v>
      </c>
      <c r="CS35" s="73">
        <f t="shared" si="65"/>
        <v>7496556.0099999998</v>
      </c>
      <c r="CT35" s="74">
        <v>24008.080000000002</v>
      </c>
      <c r="CU35" s="74">
        <v>-598.17999999999995</v>
      </c>
      <c r="CV35" s="74">
        <v>0</v>
      </c>
      <c r="CW35" s="73">
        <f t="shared" si="66"/>
        <v>7519965.9100000001</v>
      </c>
      <c r="CX35" s="73">
        <f t="shared" si="67"/>
        <v>7519965.9100000001</v>
      </c>
      <c r="CY35" s="74">
        <v>15476.5</v>
      </c>
      <c r="CZ35" s="74">
        <v>-2088.3000000000002</v>
      </c>
      <c r="DA35" s="74">
        <v>0</v>
      </c>
      <c r="DB35" s="73">
        <f t="shared" si="68"/>
        <v>7533354.1100000003</v>
      </c>
      <c r="DC35" s="73">
        <f t="shared" si="69"/>
        <v>7533354.1100000003</v>
      </c>
      <c r="DD35" s="74">
        <v>20694.43</v>
      </c>
      <c r="DE35" s="74">
        <v>-596.51</v>
      </c>
      <c r="DF35" s="74">
        <v>0</v>
      </c>
      <c r="DG35" s="73">
        <f t="shared" si="70"/>
        <v>7553452.0300000003</v>
      </c>
      <c r="DH35" s="73">
        <f t="shared" si="71"/>
        <v>7553452.0300000003</v>
      </c>
      <c r="DI35" s="74">
        <v>43880.35</v>
      </c>
      <c r="DJ35" s="74">
        <v>-845.32</v>
      </c>
      <c r="DK35" s="74">
        <v>0</v>
      </c>
      <c r="DL35" s="73">
        <f t="shared" si="72"/>
        <v>7596487.0599999996</v>
      </c>
      <c r="DM35" s="73">
        <f t="shared" si="73"/>
        <v>7596487.0599999996</v>
      </c>
      <c r="DN35" s="74">
        <v>40109.839999999997</v>
      </c>
      <c r="DO35" s="74">
        <v>-769.75</v>
      </c>
      <c r="DP35" s="74">
        <v>0</v>
      </c>
      <c r="DQ35" s="73">
        <f t="shared" si="74"/>
        <v>7635827.1499999994</v>
      </c>
      <c r="DR35" s="73">
        <f t="shared" si="75"/>
        <v>7635827.1499999994</v>
      </c>
      <c r="DS35" s="74">
        <v>38761.17</v>
      </c>
      <c r="DT35" s="74">
        <v>-1220.4100000000001</v>
      </c>
      <c r="DU35" s="74">
        <v>0</v>
      </c>
      <c r="DV35" s="73">
        <f t="shared" si="76"/>
        <v>7673367.9099999992</v>
      </c>
      <c r="DW35" s="73">
        <f t="shared" si="77"/>
        <v>7673367.9099999992</v>
      </c>
      <c r="DX35" s="74">
        <v>44035</v>
      </c>
      <c r="DY35" s="74">
        <v>-310.76</v>
      </c>
      <c r="DZ35" s="74">
        <v>0</v>
      </c>
      <c r="EA35" s="73">
        <f t="shared" si="78"/>
        <v>7717092.1499999994</v>
      </c>
      <c r="EB35" s="73">
        <f t="shared" si="79"/>
        <v>7717092.1499999994</v>
      </c>
      <c r="EC35" s="74">
        <v>56441.120000000003</v>
      </c>
      <c r="ED35" s="74">
        <v>-437.15</v>
      </c>
      <c r="EE35" s="74">
        <v>0</v>
      </c>
      <c r="EF35" s="73">
        <f t="shared" si="80"/>
        <v>7773096.1199999992</v>
      </c>
      <c r="EG35" s="73">
        <f t="shared" si="81"/>
        <v>7773096.1199999992</v>
      </c>
      <c r="EH35" s="74">
        <v>42481.56</v>
      </c>
      <c r="EI35" s="74">
        <v>-270.45999999999998</v>
      </c>
      <c r="EJ35" s="74">
        <v>0</v>
      </c>
      <c r="EK35" s="73">
        <f t="shared" si="82"/>
        <v>7815307.2199999988</v>
      </c>
      <c r="EL35" s="73">
        <f t="shared" si="83"/>
        <v>7815307.2199999988</v>
      </c>
      <c r="EM35" s="74">
        <v>31147.37</v>
      </c>
      <c r="EN35" s="74">
        <v>-327.38</v>
      </c>
      <c r="EO35" s="74">
        <v>0</v>
      </c>
      <c r="EP35" s="73">
        <f t="shared" si="84"/>
        <v>7846127.209999999</v>
      </c>
      <c r="EQ35" s="73">
        <f t="shared" si="85"/>
        <v>7846127.209999999</v>
      </c>
      <c r="ER35" s="74">
        <v>25101.66</v>
      </c>
      <c r="ES35" s="74">
        <v>-362.87</v>
      </c>
      <c r="ET35" s="74">
        <v>0</v>
      </c>
      <c r="EU35" s="73">
        <f t="shared" si="86"/>
        <v>7870865.9999999991</v>
      </c>
      <c r="EV35" s="73">
        <f t="shared" si="87"/>
        <v>7870865.9999999991</v>
      </c>
      <c r="EW35" s="74">
        <v>14303.28</v>
      </c>
      <c r="EX35" s="74">
        <v>-610.74</v>
      </c>
      <c r="EY35" s="74">
        <v>0</v>
      </c>
      <c r="EZ35" s="73">
        <f t="shared" si="88"/>
        <v>7884558.5399999991</v>
      </c>
      <c r="FA35" s="73">
        <f t="shared" si="89"/>
        <v>7884558.5399999991</v>
      </c>
      <c r="FB35" s="74">
        <v>23809.48</v>
      </c>
      <c r="FC35" s="74">
        <v>-593.80999999999995</v>
      </c>
      <c r="FD35" s="74">
        <v>0</v>
      </c>
      <c r="FE35" s="73">
        <f t="shared" si="90"/>
        <v>7907774.21</v>
      </c>
      <c r="FF35" s="73">
        <f t="shared" si="91"/>
        <v>7907774.21</v>
      </c>
      <c r="FG35" s="74">
        <v>15348.48</v>
      </c>
      <c r="FH35" s="74">
        <v>-2073.0500000000002</v>
      </c>
      <c r="FI35" s="74">
        <v>0</v>
      </c>
      <c r="FJ35" s="73">
        <f t="shared" si="92"/>
        <v>7921049.6400000006</v>
      </c>
      <c r="FK35" s="73">
        <f t="shared" si="93"/>
        <v>7921049.6400000006</v>
      </c>
      <c r="FL35" s="74">
        <v>20523.240000000002</v>
      </c>
      <c r="FM35" s="74">
        <v>-592.15</v>
      </c>
      <c r="FN35" s="74">
        <v>0</v>
      </c>
      <c r="FO35" s="73">
        <f t="shared" si="94"/>
        <v>7940980.7300000004</v>
      </c>
      <c r="FP35" s="73">
        <f t="shared" si="95"/>
        <v>7940980.7300000004</v>
      </c>
      <c r="FQ35" s="74">
        <v>49329.95</v>
      </c>
      <c r="FR35" s="74">
        <v>-902.47</v>
      </c>
      <c r="FS35" s="74">
        <v>0</v>
      </c>
      <c r="FT35" s="73">
        <f t="shared" si="96"/>
        <v>7989408.2100000009</v>
      </c>
      <c r="FU35" s="73">
        <f t="shared" si="97"/>
        <v>7989408.2100000009</v>
      </c>
      <c r="FV35" s="74">
        <v>43565.16</v>
      </c>
      <c r="FW35" s="74">
        <v>-836.11</v>
      </c>
      <c r="FX35" s="74">
        <v>0</v>
      </c>
      <c r="FY35" s="73">
        <f t="shared" si="98"/>
        <v>8032137.2600000007</v>
      </c>
      <c r="FZ35" s="73">
        <f t="shared" si="99"/>
        <v>8032137.2600000007</v>
      </c>
      <c r="GA35" s="74">
        <v>41619.129999999997</v>
      </c>
      <c r="GB35" s="74">
        <v>-1333.07</v>
      </c>
      <c r="GC35" s="74">
        <v>0</v>
      </c>
      <c r="GD35" s="73">
        <f t="shared" si="100"/>
        <v>8072423.3200000003</v>
      </c>
      <c r="GE35" s="73">
        <f t="shared" si="101"/>
        <v>8072423.3200000003</v>
      </c>
      <c r="GF35" s="74">
        <v>45659.21</v>
      </c>
      <c r="GG35" s="74">
        <v>-420.4</v>
      </c>
      <c r="GH35" s="74">
        <v>0</v>
      </c>
      <c r="GI35" s="73">
        <f t="shared" si="102"/>
        <v>8117662.1299999999</v>
      </c>
      <c r="GJ35" s="59"/>
    </row>
    <row r="36" spans="1:192">
      <c r="B36" s="58">
        <v>384</v>
      </c>
      <c r="C36" s="57" t="s">
        <v>402</v>
      </c>
      <c r="D36" s="59">
        <v>2085058.65</v>
      </c>
      <c r="E36" s="59">
        <v>2085058.65</v>
      </c>
      <c r="F36" s="59">
        <v>0</v>
      </c>
      <c r="G36" s="59">
        <v>0</v>
      </c>
      <c r="H36" s="59">
        <v>0</v>
      </c>
      <c r="I36" s="59">
        <v>2085058.65</v>
      </c>
      <c r="J36" s="59">
        <v>2085058.65</v>
      </c>
      <c r="K36" s="59">
        <v>0</v>
      </c>
      <c r="L36" s="59">
        <v>0</v>
      </c>
      <c r="M36" s="59">
        <v>0</v>
      </c>
      <c r="N36" s="59">
        <v>2085058.65</v>
      </c>
      <c r="O36" s="59">
        <v>2085058.65</v>
      </c>
      <c r="P36" s="59">
        <v>0</v>
      </c>
      <c r="Q36" s="59">
        <v>0</v>
      </c>
      <c r="R36" s="59">
        <v>0</v>
      </c>
      <c r="S36" s="59">
        <v>2085058.65</v>
      </c>
      <c r="T36" s="59">
        <v>2085058.65</v>
      </c>
      <c r="U36" s="59">
        <v>0</v>
      </c>
      <c r="V36" s="59">
        <v>0</v>
      </c>
      <c r="W36" s="59">
        <v>0</v>
      </c>
      <c r="X36" s="59">
        <v>2085058.65</v>
      </c>
      <c r="Y36" s="59">
        <v>2085058.65</v>
      </c>
      <c r="Z36" s="59">
        <v>0</v>
      </c>
      <c r="AA36" s="59">
        <v>0</v>
      </c>
      <c r="AB36" s="59">
        <v>0</v>
      </c>
      <c r="AC36" s="59">
        <v>2085058.65</v>
      </c>
      <c r="AD36" s="59">
        <v>2085058.65</v>
      </c>
      <c r="AE36" s="59">
        <v>0</v>
      </c>
      <c r="AF36" s="59">
        <v>0</v>
      </c>
      <c r="AG36" s="59">
        <v>0</v>
      </c>
      <c r="AH36" s="59">
        <v>2085058.65</v>
      </c>
      <c r="AI36" s="59">
        <v>2085058.65</v>
      </c>
      <c r="AJ36" s="59">
        <v>0</v>
      </c>
      <c r="AK36" s="59">
        <v>0</v>
      </c>
      <c r="AL36" s="59">
        <v>0</v>
      </c>
      <c r="AM36" s="59">
        <v>2085058.65</v>
      </c>
      <c r="AN36" s="59">
        <v>2085058.65</v>
      </c>
      <c r="AO36" s="59">
        <v>0</v>
      </c>
      <c r="AP36" s="59">
        <v>0</v>
      </c>
      <c r="AQ36" s="59">
        <v>0</v>
      </c>
      <c r="AR36" s="59">
        <v>2085058.65</v>
      </c>
      <c r="AS36" s="59">
        <v>2085058.65</v>
      </c>
      <c r="AT36" s="59">
        <v>0</v>
      </c>
      <c r="AU36" s="59">
        <v>0</v>
      </c>
      <c r="AV36" s="59">
        <v>0</v>
      </c>
      <c r="AW36" s="59">
        <v>2085058.65</v>
      </c>
      <c r="AX36" s="59">
        <v>2085058.65</v>
      </c>
      <c r="AY36" s="59">
        <v>0</v>
      </c>
      <c r="AZ36" s="59">
        <v>0</v>
      </c>
      <c r="BA36" s="59">
        <v>0</v>
      </c>
      <c r="BB36" s="59">
        <v>2085058.65</v>
      </c>
      <c r="BC36" s="59">
        <v>2085058.65</v>
      </c>
      <c r="BD36" s="59">
        <v>0</v>
      </c>
      <c r="BE36" s="59">
        <v>0</v>
      </c>
      <c r="BF36" s="59">
        <v>0</v>
      </c>
      <c r="BG36" s="59">
        <v>2085058.65</v>
      </c>
      <c r="BH36" s="59">
        <v>2085058.65</v>
      </c>
      <c r="BI36" s="59">
        <v>0</v>
      </c>
      <c r="BJ36" s="59">
        <v>0</v>
      </c>
      <c r="BK36" s="59">
        <v>0</v>
      </c>
      <c r="BL36" s="59">
        <v>2085058.65</v>
      </c>
      <c r="BM36" s="59">
        <f t="shared" si="41"/>
        <v>2085058.65</v>
      </c>
      <c r="BN36" s="59">
        <v>0</v>
      </c>
      <c r="BO36" s="59">
        <v>0</v>
      </c>
      <c r="BP36" s="59">
        <v>0</v>
      </c>
      <c r="BQ36" s="59">
        <f t="shared" si="103"/>
        <v>2085058.65</v>
      </c>
      <c r="BR36" s="59">
        <f t="shared" si="43"/>
        <v>2085058.65</v>
      </c>
      <c r="BS36" s="59">
        <v>0</v>
      </c>
      <c r="BT36" s="59">
        <v>0</v>
      </c>
      <c r="BU36" s="59">
        <v>0</v>
      </c>
      <c r="BV36" s="59">
        <f t="shared" si="104"/>
        <v>2085058.65</v>
      </c>
      <c r="BW36" s="59">
        <f t="shared" si="45"/>
        <v>2085058.65</v>
      </c>
      <c r="BX36" s="59">
        <v>0</v>
      </c>
      <c r="BY36" s="59">
        <v>0</v>
      </c>
      <c r="BZ36" s="59">
        <v>0</v>
      </c>
      <c r="CA36" s="59">
        <f t="shared" si="105"/>
        <v>2085058.65</v>
      </c>
      <c r="CD36" s="59">
        <f t="shared" si="47"/>
        <v>2085058.65</v>
      </c>
      <c r="CE36" s="60">
        <v>39.729999999999997</v>
      </c>
      <c r="CF36" s="60">
        <v>0</v>
      </c>
      <c r="CG36" s="60">
        <v>0</v>
      </c>
      <c r="CH36" s="59">
        <f t="shared" si="62"/>
        <v>2085098.38</v>
      </c>
      <c r="CI36" s="59">
        <f t="shared" si="48"/>
        <v>2085098.38</v>
      </c>
      <c r="CJ36" s="60">
        <v>13.24</v>
      </c>
      <c r="CK36" s="60">
        <v>0</v>
      </c>
      <c r="CL36" s="60">
        <v>0</v>
      </c>
      <c r="CM36" s="59">
        <f t="shared" si="63"/>
        <v>2085111.6199999999</v>
      </c>
      <c r="CN36" s="59">
        <f t="shared" si="49"/>
        <v>2085111.6199999999</v>
      </c>
      <c r="CO36" s="60">
        <v>13.24</v>
      </c>
      <c r="CP36" s="60">
        <v>0</v>
      </c>
      <c r="CQ36" s="60">
        <v>0</v>
      </c>
      <c r="CR36" s="59">
        <f t="shared" si="64"/>
        <v>2085124.8599999999</v>
      </c>
      <c r="CS36" s="59">
        <f t="shared" si="65"/>
        <v>2085124.8599999999</v>
      </c>
      <c r="CT36" s="60">
        <v>13.24</v>
      </c>
      <c r="CU36" s="60">
        <v>0</v>
      </c>
      <c r="CV36" s="60">
        <v>0</v>
      </c>
      <c r="CW36" s="59">
        <f t="shared" si="66"/>
        <v>2085138.0999999999</v>
      </c>
      <c r="CX36" s="59">
        <f t="shared" si="67"/>
        <v>2085138.0999999999</v>
      </c>
      <c r="CY36" s="60">
        <v>13.24</v>
      </c>
      <c r="CZ36" s="60">
        <v>0</v>
      </c>
      <c r="DA36" s="60">
        <v>0</v>
      </c>
      <c r="DB36" s="59">
        <f t="shared" si="68"/>
        <v>2085151.3399999999</v>
      </c>
      <c r="DC36" s="59">
        <f t="shared" si="69"/>
        <v>2085151.3399999999</v>
      </c>
      <c r="DD36" s="60">
        <v>13.24</v>
      </c>
      <c r="DE36" s="60">
        <v>0</v>
      </c>
      <c r="DF36" s="60">
        <v>0</v>
      </c>
      <c r="DG36" s="59">
        <f t="shared" si="70"/>
        <v>2085164.5799999998</v>
      </c>
      <c r="DH36" s="59">
        <f t="shared" si="71"/>
        <v>2085164.5799999998</v>
      </c>
      <c r="DI36" s="60">
        <v>13.26</v>
      </c>
      <c r="DJ36" s="60">
        <v>0</v>
      </c>
      <c r="DK36" s="60">
        <v>0</v>
      </c>
      <c r="DL36" s="59">
        <f t="shared" si="72"/>
        <v>2085177.8399999999</v>
      </c>
      <c r="DM36" s="59">
        <f t="shared" si="73"/>
        <v>2085177.8399999999</v>
      </c>
      <c r="DN36" s="60">
        <v>13.26</v>
      </c>
      <c r="DO36" s="60">
        <v>0</v>
      </c>
      <c r="DP36" s="60">
        <v>0</v>
      </c>
      <c r="DQ36" s="59">
        <f t="shared" si="74"/>
        <v>2085191.0999999999</v>
      </c>
      <c r="DR36" s="59">
        <f t="shared" si="75"/>
        <v>2085191.0999999999</v>
      </c>
      <c r="DS36" s="60">
        <v>13.26</v>
      </c>
      <c r="DT36" s="60">
        <v>0</v>
      </c>
      <c r="DU36" s="60">
        <v>0</v>
      </c>
      <c r="DV36" s="59">
        <f t="shared" si="76"/>
        <v>2085204.3599999999</v>
      </c>
      <c r="DW36" s="59">
        <f t="shared" si="77"/>
        <v>2085204.3599999999</v>
      </c>
      <c r="DX36" s="60">
        <v>13.26</v>
      </c>
      <c r="DY36" s="60">
        <v>0</v>
      </c>
      <c r="DZ36" s="60">
        <v>0</v>
      </c>
      <c r="EA36" s="59">
        <f t="shared" si="78"/>
        <v>2085217.6199999999</v>
      </c>
      <c r="EB36" s="59">
        <f t="shared" si="79"/>
        <v>2085217.6199999999</v>
      </c>
      <c r="EC36" s="60">
        <v>13.99</v>
      </c>
      <c r="ED36" s="60">
        <v>0</v>
      </c>
      <c r="EE36" s="60">
        <v>0</v>
      </c>
      <c r="EF36" s="59">
        <f t="shared" si="80"/>
        <v>2085231.6099999999</v>
      </c>
      <c r="EG36" s="59">
        <f t="shared" si="81"/>
        <v>2085231.6099999999</v>
      </c>
      <c r="EH36" s="60">
        <v>13.99</v>
      </c>
      <c r="EI36" s="60">
        <v>0</v>
      </c>
      <c r="EJ36" s="60">
        <v>0</v>
      </c>
      <c r="EK36" s="59">
        <f t="shared" si="82"/>
        <v>2085245.5999999999</v>
      </c>
      <c r="EL36" s="59">
        <f t="shared" si="83"/>
        <v>2085245.5999999999</v>
      </c>
      <c r="EM36" s="60">
        <v>13.99</v>
      </c>
      <c r="EN36" s="60">
        <v>0</v>
      </c>
      <c r="EO36" s="60">
        <v>0</v>
      </c>
      <c r="EP36" s="59">
        <f t="shared" si="84"/>
        <v>2085259.5899999999</v>
      </c>
      <c r="EQ36" s="59">
        <f t="shared" si="85"/>
        <v>2085259.5899999999</v>
      </c>
      <c r="ER36" s="60">
        <v>13.99</v>
      </c>
      <c r="ES36" s="60">
        <v>0</v>
      </c>
      <c r="ET36" s="60">
        <v>0</v>
      </c>
      <c r="EU36" s="59">
        <f t="shared" si="86"/>
        <v>2085273.5799999998</v>
      </c>
      <c r="EV36" s="59">
        <f t="shared" si="87"/>
        <v>2085273.5799999998</v>
      </c>
      <c r="EW36" s="60">
        <v>13.99</v>
      </c>
      <c r="EX36" s="60">
        <v>0</v>
      </c>
      <c r="EY36" s="60">
        <v>0</v>
      </c>
      <c r="EZ36" s="59">
        <f t="shared" si="88"/>
        <v>2085287.5699999998</v>
      </c>
      <c r="FA36" s="59">
        <f t="shared" si="89"/>
        <v>2085287.5699999998</v>
      </c>
      <c r="FB36" s="60">
        <v>13.99</v>
      </c>
      <c r="FC36" s="60">
        <v>0</v>
      </c>
      <c r="FD36" s="60">
        <v>0</v>
      </c>
      <c r="FE36" s="59">
        <f t="shared" si="90"/>
        <v>2085301.5599999998</v>
      </c>
      <c r="FF36" s="59">
        <f t="shared" si="91"/>
        <v>2085301.5599999998</v>
      </c>
      <c r="FG36" s="60">
        <v>13.99</v>
      </c>
      <c r="FH36" s="60">
        <v>0</v>
      </c>
      <c r="FI36" s="60">
        <v>0</v>
      </c>
      <c r="FJ36" s="59">
        <f t="shared" si="92"/>
        <v>2085315.5499999998</v>
      </c>
      <c r="FK36" s="59">
        <f t="shared" si="93"/>
        <v>2085315.5499999998</v>
      </c>
      <c r="FL36" s="60">
        <v>13.99</v>
      </c>
      <c r="FM36" s="60">
        <v>0</v>
      </c>
      <c r="FN36" s="60">
        <v>0</v>
      </c>
      <c r="FO36" s="59">
        <f t="shared" si="94"/>
        <v>2085329.5399999998</v>
      </c>
      <c r="FP36" s="59">
        <f t="shared" si="95"/>
        <v>2085329.5399999998</v>
      </c>
      <c r="FQ36" s="60">
        <v>14.01</v>
      </c>
      <c r="FR36" s="60">
        <v>0</v>
      </c>
      <c r="FS36" s="60">
        <v>0</v>
      </c>
      <c r="FT36" s="59">
        <f t="shared" si="96"/>
        <v>2085343.5499999998</v>
      </c>
      <c r="FU36" s="59">
        <f t="shared" si="97"/>
        <v>2085343.5499999998</v>
      </c>
      <c r="FV36" s="60">
        <v>14.01</v>
      </c>
      <c r="FW36" s="60">
        <v>0</v>
      </c>
      <c r="FX36" s="60">
        <v>0</v>
      </c>
      <c r="FY36" s="59">
        <f t="shared" si="98"/>
        <v>2085357.5599999998</v>
      </c>
      <c r="FZ36" s="59">
        <f t="shared" si="99"/>
        <v>2085357.5599999998</v>
      </c>
      <c r="GA36" s="60">
        <v>14.01</v>
      </c>
      <c r="GB36" s="60">
        <v>0</v>
      </c>
      <c r="GC36" s="60">
        <v>0</v>
      </c>
      <c r="GD36" s="59">
        <f t="shared" si="100"/>
        <v>2085371.5699999998</v>
      </c>
      <c r="GE36" s="59">
        <f t="shared" si="101"/>
        <v>2085371.5699999998</v>
      </c>
      <c r="GF36" s="60">
        <v>14.01</v>
      </c>
      <c r="GG36" s="60">
        <v>0</v>
      </c>
      <c r="GH36" s="60">
        <v>0</v>
      </c>
      <c r="GI36" s="59">
        <f t="shared" si="102"/>
        <v>2085385.5799999998</v>
      </c>
      <c r="GJ36" s="59"/>
    </row>
    <row r="37" spans="1:192">
      <c r="B37" s="58">
        <v>385</v>
      </c>
      <c r="C37" s="57" t="s">
        <v>403</v>
      </c>
      <c r="D37" s="59">
        <v>6047305.9500000002</v>
      </c>
      <c r="E37" s="59">
        <v>6047305.9500000002</v>
      </c>
      <c r="F37" s="59">
        <v>3496.0600000000013</v>
      </c>
      <c r="G37" s="59">
        <v>-30698.010000000002</v>
      </c>
      <c r="H37" s="59">
        <v>0</v>
      </c>
      <c r="I37" s="59">
        <v>6020104</v>
      </c>
      <c r="J37" s="59">
        <v>6020104</v>
      </c>
      <c r="K37" s="59">
        <v>22795.230000000003</v>
      </c>
      <c r="L37" s="59">
        <v>-8771.09</v>
      </c>
      <c r="M37" s="59">
        <v>0</v>
      </c>
      <c r="N37" s="59">
        <v>6034128.1400000006</v>
      </c>
      <c r="O37" s="59">
        <v>6034128.1400000006</v>
      </c>
      <c r="P37" s="59">
        <v>175459.89</v>
      </c>
      <c r="Q37" s="59">
        <v>-5874.74</v>
      </c>
      <c r="R37" s="59">
        <v>0</v>
      </c>
      <c r="S37" s="59">
        <v>6203713.29</v>
      </c>
      <c r="T37" s="59">
        <v>6203713.29</v>
      </c>
      <c r="U37" s="59">
        <v>-137299.88</v>
      </c>
      <c r="V37" s="59">
        <v>-19843.05</v>
      </c>
      <c r="W37" s="59">
        <v>0</v>
      </c>
      <c r="X37" s="59">
        <v>6046570.3600000003</v>
      </c>
      <c r="Y37" s="59">
        <v>6046570.3600000003</v>
      </c>
      <c r="Z37" s="59">
        <v>8482.2299999999959</v>
      </c>
      <c r="AA37" s="59">
        <v>-10694.53</v>
      </c>
      <c r="AB37" s="59">
        <v>0</v>
      </c>
      <c r="AC37" s="59">
        <v>6044358.0600000005</v>
      </c>
      <c r="AD37" s="59">
        <v>6044358.0600000005</v>
      </c>
      <c r="AE37" s="59">
        <v>135.93999999999505</v>
      </c>
      <c r="AF37" s="59">
        <v>-71076.990000000005</v>
      </c>
      <c r="AG37" s="59">
        <v>0</v>
      </c>
      <c r="AH37" s="59">
        <v>5973417.0099999998</v>
      </c>
      <c r="AI37" s="59">
        <v>5973417.0099999998</v>
      </c>
      <c r="AJ37" s="59">
        <v>3046.9799999999996</v>
      </c>
      <c r="AK37" s="59">
        <v>-22575.78</v>
      </c>
      <c r="AL37" s="59">
        <v>0</v>
      </c>
      <c r="AM37" s="59">
        <v>5953888.21</v>
      </c>
      <c r="AN37" s="59">
        <v>5953888.21</v>
      </c>
      <c r="AO37" s="59">
        <v>99138.94</v>
      </c>
      <c r="AP37" s="59">
        <v>-1208.03</v>
      </c>
      <c r="AQ37" s="59">
        <v>0</v>
      </c>
      <c r="AR37" s="59">
        <v>6051819.1200000001</v>
      </c>
      <c r="AS37" s="59">
        <v>6051819.1200000001</v>
      </c>
      <c r="AT37" s="59">
        <v>0</v>
      </c>
      <c r="AU37" s="59">
        <v>0</v>
      </c>
      <c r="AV37" s="59">
        <v>0</v>
      </c>
      <c r="AW37" s="59">
        <v>6051819.1200000001</v>
      </c>
      <c r="AX37" s="59">
        <v>6051819.1200000001</v>
      </c>
      <c r="AY37" s="59">
        <v>2046.16</v>
      </c>
      <c r="AZ37" s="59">
        <v>0</v>
      </c>
      <c r="BA37" s="59">
        <v>0</v>
      </c>
      <c r="BB37" s="59">
        <v>6053865.2800000003</v>
      </c>
      <c r="BC37" s="59">
        <v>6053865.2800000003</v>
      </c>
      <c r="BD37" s="59">
        <v>5105.68</v>
      </c>
      <c r="BE37" s="59">
        <v>-7127.42</v>
      </c>
      <c r="BF37" s="59">
        <v>0</v>
      </c>
      <c r="BG37" s="59">
        <v>6051843.54</v>
      </c>
      <c r="BH37" s="59">
        <v>6051843.54</v>
      </c>
      <c r="BI37" s="59">
        <v>-437.72999999999593</v>
      </c>
      <c r="BJ37" s="59">
        <v>-711.49</v>
      </c>
      <c r="BK37" s="59">
        <v>0</v>
      </c>
      <c r="BL37" s="59">
        <v>6050694.3200000003</v>
      </c>
      <c r="BM37" s="59">
        <f t="shared" si="41"/>
        <v>6050694.3200000003</v>
      </c>
      <c r="BN37" s="59">
        <v>290.79000000000002</v>
      </c>
      <c r="BO37" s="59">
        <v>-1594.6200000000001</v>
      </c>
      <c r="BP37" s="59">
        <v>0</v>
      </c>
      <c r="BQ37" s="59">
        <f t="shared" si="103"/>
        <v>6049390.4900000002</v>
      </c>
      <c r="BR37" s="59">
        <f t="shared" si="43"/>
        <v>6049390.4900000002</v>
      </c>
      <c r="BS37" s="59">
        <v>4375.3100000000004</v>
      </c>
      <c r="BT37" s="59">
        <v>-7787.51</v>
      </c>
      <c r="BU37" s="59">
        <v>0</v>
      </c>
      <c r="BV37" s="59">
        <f t="shared" si="104"/>
        <v>6045978.29</v>
      </c>
      <c r="BW37" s="59">
        <f t="shared" si="45"/>
        <v>6045978.29</v>
      </c>
      <c r="BX37" s="59">
        <v>3589.679999999993</v>
      </c>
      <c r="BY37" s="59">
        <v>-4365.5200000000004</v>
      </c>
      <c r="BZ37" s="59">
        <v>0</v>
      </c>
      <c r="CA37" s="59">
        <f t="shared" si="105"/>
        <v>6045202.4500000002</v>
      </c>
      <c r="CD37" s="59">
        <f t="shared" si="47"/>
        <v>6045978.29</v>
      </c>
      <c r="CE37" s="60">
        <v>32042.94</v>
      </c>
      <c r="CF37" s="60">
        <v>-105.07000000000016</v>
      </c>
      <c r="CG37" s="60">
        <v>0</v>
      </c>
      <c r="CH37" s="59">
        <f t="shared" si="62"/>
        <v>6077916.1600000001</v>
      </c>
      <c r="CI37" s="59">
        <f t="shared" si="48"/>
        <v>6077916.1600000001</v>
      </c>
      <c r="CJ37" s="60">
        <v>76236.7</v>
      </c>
      <c r="CK37" s="60">
        <v>-6233.75</v>
      </c>
      <c r="CL37" s="60">
        <v>0</v>
      </c>
      <c r="CM37" s="59">
        <f t="shared" si="63"/>
        <v>6147919.1100000003</v>
      </c>
      <c r="CN37" s="59">
        <f t="shared" si="49"/>
        <v>6147919.1100000003</v>
      </c>
      <c r="CO37" s="60">
        <v>2985.97</v>
      </c>
      <c r="CP37" s="60">
        <v>-2143.0100000000002</v>
      </c>
      <c r="CQ37" s="60">
        <v>0</v>
      </c>
      <c r="CR37" s="59">
        <f t="shared" si="64"/>
        <v>6148762.0700000003</v>
      </c>
      <c r="CS37" s="59">
        <f t="shared" si="65"/>
        <v>6148762.0700000003</v>
      </c>
      <c r="CT37" s="60">
        <v>19168.09</v>
      </c>
      <c r="CU37" s="60">
        <v>-12167.91</v>
      </c>
      <c r="CV37" s="60">
        <v>0</v>
      </c>
      <c r="CW37" s="59">
        <f t="shared" si="66"/>
        <v>6155762.25</v>
      </c>
      <c r="CX37" s="59">
        <f t="shared" si="67"/>
        <v>6155762.25</v>
      </c>
      <c r="CY37" s="60">
        <v>8012.76</v>
      </c>
      <c r="CZ37" s="60">
        <v>-13380.56</v>
      </c>
      <c r="DA37" s="60">
        <v>0</v>
      </c>
      <c r="DB37" s="59">
        <f t="shared" si="68"/>
        <v>6150394.4500000002</v>
      </c>
      <c r="DC37" s="59">
        <f t="shared" si="69"/>
        <v>6150394.4500000002</v>
      </c>
      <c r="DD37" s="60">
        <v>63737.21</v>
      </c>
      <c r="DE37" s="60">
        <v>-9663.3700000000008</v>
      </c>
      <c r="DF37" s="60">
        <v>0</v>
      </c>
      <c r="DG37" s="59">
        <f t="shared" si="70"/>
        <v>6204468.29</v>
      </c>
      <c r="DH37" s="59">
        <f t="shared" si="71"/>
        <v>6204468.29</v>
      </c>
      <c r="DI37" s="60">
        <v>6164.91</v>
      </c>
      <c r="DJ37" s="60">
        <v>-3267.33</v>
      </c>
      <c r="DK37" s="60">
        <v>0</v>
      </c>
      <c r="DL37" s="59">
        <f t="shared" si="72"/>
        <v>6207365.8700000001</v>
      </c>
      <c r="DM37" s="59">
        <f t="shared" si="73"/>
        <v>6207365.8700000001</v>
      </c>
      <c r="DN37" s="60">
        <v>20690.72</v>
      </c>
      <c r="DO37" s="60">
        <v>-22095.13</v>
      </c>
      <c r="DP37" s="60">
        <v>0</v>
      </c>
      <c r="DQ37" s="59">
        <f t="shared" si="74"/>
        <v>6205961.46</v>
      </c>
      <c r="DR37" s="59">
        <f t="shared" si="75"/>
        <v>6205961.46</v>
      </c>
      <c r="DS37" s="60">
        <v>9553.02</v>
      </c>
      <c r="DT37" s="60">
        <v>-7470.63</v>
      </c>
      <c r="DU37" s="60">
        <v>0</v>
      </c>
      <c r="DV37" s="59">
        <f t="shared" si="76"/>
        <v>6208043.8499999996</v>
      </c>
      <c r="DW37" s="59">
        <f t="shared" si="77"/>
        <v>6208043.8499999996</v>
      </c>
      <c r="DX37" s="60">
        <v>44544.46</v>
      </c>
      <c r="DY37" s="60">
        <v>-3943.17</v>
      </c>
      <c r="DZ37" s="60">
        <v>0</v>
      </c>
      <c r="EA37" s="59">
        <f t="shared" si="78"/>
        <v>6248645.1399999997</v>
      </c>
      <c r="EB37" s="59">
        <f t="shared" si="79"/>
        <v>6248645.1399999997</v>
      </c>
      <c r="EC37" s="60">
        <v>3827.63</v>
      </c>
      <c r="ED37" s="60">
        <v>-6837.04</v>
      </c>
      <c r="EE37" s="60">
        <v>0</v>
      </c>
      <c r="EF37" s="59">
        <f t="shared" si="80"/>
        <v>6245635.7299999995</v>
      </c>
      <c r="EG37" s="59">
        <f t="shared" si="81"/>
        <v>6245635.7299999995</v>
      </c>
      <c r="EH37" s="60">
        <v>4422.6000000000004</v>
      </c>
      <c r="EI37" s="60">
        <v>-1917.38</v>
      </c>
      <c r="EJ37" s="60">
        <v>0</v>
      </c>
      <c r="EK37" s="59">
        <f t="shared" si="82"/>
        <v>6248140.9499999993</v>
      </c>
      <c r="EL37" s="59">
        <f t="shared" si="83"/>
        <v>6248140.9499999993</v>
      </c>
      <c r="EM37" s="60">
        <v>35690.61</v>
      </c>
      <c r="EN37" s="60">
        <v>-2601.8000000000002</v>
      </c>
      <c r="EO37" s="60">
        <v>0</v>
      </c>
      <c r="EP37" s="59">
        <f t="shared" si="84"/>
        <v>6281229.7599999998</v>
      </c>
      <c r="EQ37" s="59">
        <f t="shared" si="85"/>
        <v>6281229.7599999998</v>
      </c>
      <c r="ER37" s="60">
        <v>91255.58</v>
      </c>
      <c r="ES37" s="60">
        <v>-7461.82</v>
      </c>
      <c r="ET37" s="60">
        <v>0</v>
      </c>
      <c r="EU37" s="59">
        <f t="shared" si="86"/>
        <v>6365023.5199999996</v>
      </c>
      <c r="EV37" s="59">
        <f t="shared" si="87"/>
        <v>6365023.5199999996</v>
      </c>
      <c r="EW37" s="60">
        <v>3574.21</v>
      </c>
      <c r="EX37" s="60">
        <v>-2565.19</v>
      </c>
      <c r="EY37" s="60">
        <v>0</v>
      </c>
      <c r="EZ37" s="59">
        <f t="shared" si="88"/>
        <v>6366032.5399999991</v>
      </c>
      <c r="FA37" s="59">
        <f t="shared" si="89"/>
        <v>6366032.5399999991</v>
      </c>
      <c r="FB37" s="60">
        <v>22944.27</v>
      </c>
      <c r="FC37" s="60">
        <v>-14565.02</v>
      </c>
      <c r="FD37" s="60">
        <v>0</v>
      </c>
      <c r="FE37" s="59">
        <f t="shared" si="90"/>
        <v>6374411.7899999991</v>
      </c>
      <c r="FF37" s="59">
        <f t="shared" si="91"/>
        <v>6374411.7899999991</v>
      </c>
      <c r="FG37" s="60">
        <v>9591.2999999999993</v>
      </c>
      <c r="FH37" s="60">
        <v>-16016.57</v>
      </c>
      <c r="FI37" s="60">
        <v>0</v>
      </c>
      <c r="FJ37" s="59">
        <f t="shared" si="92"/>
        <v>6367986.5199999986</v>
      </c>
      <c r="FK37" s="59">
        <f t="shared" si="93"/>
        <v>6367986.5199999986</v>
      </c>
      <c r="FL37" s="60">
        <v>76293.649999999994</v>
      </c>
      <c r="FM37" s="60">
        <v>-11567.08</v>
      </c>
      <c r="FN37" s="60">
        <v>0</v>
      </c>
      <c r="FO37" s="59">
        <f t="shared" si="94"/>
        <v>6432713.0899999989</v>
      </c>
      <c r="FP37" s="59">
        <f t="shared" si="95"/>
        <v>6432713.0899999989</v>
      </c>
      <c r="FQ37" s="60">
        <v>7379.42</v>
      </c>
      <c r="FR37" s="60">
        <v>-3911</v>
      </c>
      <c r="FS37" s="60">
        <v>0</v>
      </c>
      <c r="FT37" s="59">
        <f t="shared" si="96"/>
        <v>6436181.5099999988</v>
      </c>
      <c r="FU37" s="59">
        <f t="shared" si="97"/>
        <v>6436181.5099999988</v>
      </c>
      <c r="FV37" s="60">
        <v>24766.86</v>
      </c>
      <c r="FW37" s="60">
        <v>-26447.94</v>
      </c>
      <c r="FX37" s="60">
        <v>0</v>
      </c>
      <c r="FY37" s="59">
        <f t="shared" si="98"/>
        <v>6434500.4299999988</v>
      </c>
      <c r="FZ37" s="59">
        <f t="shared" si="99"/>
        <v>6434500.4299999988</v>
      </c>
      <c r="GA37" s="60">
        <v>11435</v>
      </c>
      <c r="GB37" s="60">
        <v>-8942.3700000000008</v>
      </c>
      <c r="GC37" s="60">
        <v>0</v>
      </c>
      <c r="GD37" s="59">
        <f t="shared" si="100"/>
        <v>6436993.0599999987</v>
      </c>
      <c r="GE37" s="59">
        <f t="shared" si="101"/>
        <v>6436993.0599999987</v>
      </c>
      <c r="GF37" s="60">
        <v>53319.87</v>
      </c>
      <c r="GG37" s="60">
        <v>-4719.99</v>
      </c>
      <c r="GH37" s="60">
        <v>0</v>
      </c>
      <c r="GI37" s="59">
        <f t="shared" si="102"/>
        <v>6485592.9399999985</v>
      </c>
      <c r="GJ37" s="59"/>
    </row>
    <row r="38" spans="1:192">
      <c r="B38" s="58">
        <v>387.2</v>
      </c>
      <c r="C38" s="57" t="s">
        <v>404</v>
      </c>
      <c r="D38" s="59">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0</v>
      </c>
      <c r="AJ38" s="59">
        <v>0</v>
      </c>
      <c r="AK38" s="59">
        <v>0</v>
      </c>
      <c r="AL38" s="59">
        <v>0</v>
      </c>
      <c r="AM38" s="59">
        <v>0</v>
      </c>
      <c r="AN38" s="59">
        <v>0</v>
      </c>
      <c r="AO38" s="59">
        <v>0</v>
      </c>
      <c r="AP38" s="59">
        <v>0</v>
      </c>
      <c r="AQ38" s="59">
        <v>0</v>
      </c>
      <c r="AR38" s="59">
        <v>0</v>
      </c>
      <c r="AS38" s="59">
        <v>0</v>
      </c>
      <c r="AT38" s="59">
        <v>0</v>
      </c>
      <c r="AU38" s="59">
        <v>0</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f t="shared" si="41"/>
        <v>0</v>
      </c>
      <c r="BN38" s="59">
        <v>0</v>
      </c>
      <c r="BO38" s="59">
        <v>0</v>
      </c>
      <c r="BP38" s="59">
        <v>0</v>
      </c>
      <c r="BQ38" s="59">
        <f t="shared" si="103"/>
        <v>0</v>
      </c>
      <c r="BR38" s="59">
        <f t="shared" si="43"/>
        <v>0</v>
      </c>
      <c r="BS38" s="59">
        <v>0</v>
      </c>
      <c r="BT38" s="59">
        <v>0</v>
      </c>
      <c r="BU38" s="59">
        <v>0</v>
      </c>
      <c r="BV38" s="59">
        <f t="shared" si="104"/>
        <v>0</v>
      </c>
      <c r="BW38" s="59">
        <f t="shared" si="45"/>
        <v>0</v>
      </c>
      <c r="BX38" s="59">
        <v>0</v>
      </c>
      <c r="BY38" s="59">
        <v>0</v>
      </c>
      <c r="BZ38" s="59">
        <v>0</v>
      </c>
      <c r="CA38" s="59">
        <f t="shared" si="105"/>
        <v>0</v>
      </c>
      <c r="CD38" s="59">
        <f t="shared" si="47"/>
        <v>0</v>
      </c>
      <c r="CE38" s="60">
        <v>0</v>
      </c>
      <c r="CF38" s="60">
        <v>0</v>
      </c>
      <c r="CG38" s="60">
        <v>0</v>
      </c>
      <c r="CH38" s="59">
        <f t="shared" si="62"/>
        <v>0</v>
      </c>
      <c r="CI38" s="59">
        <f t="shared" si="48"/>
        <v>0</v>
      </c>
      <c r="CJ38" s="60">
        <v>0</v>
      </c>
      <c r="CK38" s="60">
        <v>0</v>
      </c>
      <c r="CL38" s="60">
        <v>0</v>
      </c>
      <c r="CM38" s="59">
        <f t="shared" si="63"/>
        <v>0</v>
      </c>
      <c r="CN38" s="59">
        <f t="shared" si="49"/>
        <v>0</v>
      </c>
      <c r="CO38" s="60">
        <v>0</v>
      </c>
      <c r="CP38" s="60">
        <v>0</v>
      </c>
      <c r="CQ38" s="60">
        <v>0</v>
      </c>
      <c r="CR38" s="59">
        <f t="shared" si="64"/>
        <v>0</v>
      </c>
      <c r="CS38" s="59">
        <f t="shared" si="65"/>
        <v>0</v>
      </c>
      <c r="CT38" s="60">
        <v>0</v>
      </c>
      <c r="CU38" s="60">
        <v>0</v>
      </c>
      <c r="CV38" s="60">
        <v>0</v>
      </c>
      <c r="CW38" s="59">
        <f t="shared" si="66"/>
        <v>0</v>
      </c>
      <c r="CX38" s="59">
        <f t="shared" si="67"/>
        <v>0</v>
      </c>
      <c r="CY38" s="60">
        <v>0</v>
      </c>
      <c r="CZ38" s="60">
        <v>0</v>
      </c>
      <c r="DA38" s="60">
        <v>0</v>
      </c>
      <c r="DB38" s="59">
        <f t="shared" si="68"/>
        <v>0</v>
      </c>
      <c r="DC38" s="59">
        <f t="shared" si="69"/>
        <v>0</v>
      </c>
      <c r="DD38" s="60">
        <v>0</v>
      </c>
      <c r="DE38" s="60">
        <v>0</v>
      </c>
      <c r="DF38" s="60">
        <v>0</v>
      </c>
      <c r="DG38" s="59">
        <f t="shared" si="70"/>
        <v>0</v>
      </c>
      <c r="DH38" s="59">
        <f t="shared" si="71"/>
        <v>0</v>
      </c>
      <c r="DI38" s="60">
        <v>0</v>
      </c>
      <c r="DJ38" s="60">
        <v>0</v>
      </c>
      <c r="DK38" s="60">
        <v>0</v>
      </c>
      <c r="DL38" s="59">
        <f t="shared" si="72"/>
        <v>0</v>
      </c>
      <c r="DM38" s="59">
        <f t="shared" si="73"/>
        <v>0</v>
      </c>
      <c r="DN38" s="60">
        <v>0</v>
      </c>
      <c r="DO38" s="60">
        <v>0</v>
      </c>
      <c r="DP38" s="60">
        <v>0</v>
      </c>
      <c r="DQ38" s="59">
        <f t="shared" si="74"/>
        <v>0</v>
      </c>
      <c r="DR38" s="59">
        <f t="shared" si="75"/>
        <v>0</v>
      </c>
      <c r="DS38" s="60">
        <v>0</v>
      </c>
      <c r="DT38" s="60">
        <v>0</v>
      </c>
      <c r="DU38" s="60">
        <v>0</v>
      </c>
      <c r="DV38" s="59">
        <f t="shared" si="76"/>
        <v>0</v>
      </c>
      <c r="DW38" s="59">
        <f t="shared" si="77"/>
        <v>0</v>
      </c>
      <c r="DX38" s="60">
        <v>0</v>
      </c>
      <c r="DY38" s="60">
        <v>0</v>
      </c>
      <c r="DZ38" s="60">
        <v>0</v>
      </c>
      <c r="EA38" s="59">
        <f t="shared" si="78"/>
        <v>0</v>
      </c>
      <c r="EB38" s="59">
        <f t="shared" si="79"/>
        <v>0</v>
      </c>
      <c r="EC38" s="60">
        <v>0</v>
      </c>
      <c r="ED38" s="60">
        <v>0</v>
      </c>
      <c r="EE38" s="60">
        <v>0</v>
      </c>
      <c r="EF38" s="59">
        <f t="shared" si="80"/>
        <v>0</v>
      </c>
      <c r="EG38" s="59">
        <f t="shared" si="81"/>
        <v>0</v>
      </c>
      <c r="EH38" s="60">
        <v>0</v>
      </c>
      <c r="EI38" s="60">
        <v>0</v>
      </c>
      <c r="EJ38" s="60">
        <v>0</v>
      </c>
      <c r="EK38" s="59">
        <f t="shared" si="82"/>
        <v>0</v>
      </c>
      <c r="EL38" s="59">
        <f t="shared" si="83"/>
        <v>0</v>
      </c>
      <c r="EM38" s="60">
        <v>0</v>
      </c>
      <c r="EN38" s="60">
        <v>0</v>
      </c>
      <c r="EO38" s="60">
        <v>0</v>
      </c>
      <c r="EP38" s="59">
        <f t="shared" si="84"/>
        <v>0</v>
      </c>
      <c r="EQ38" s="59">
        <f t="shared" si="85"/>
        <v>0</v>
      </c>
      <c r="ER38" s="60">
        <v>0</v>
      </c>
      <c r="ES38" s="60">
        <v>0</v>
      </c>
      <c r="ET38" s="60">
        <v>0</v>
      </c>
      <c r="EU38" s="59">
        <f t="shared" si="86"/>
        <v>0</v>
      </c>
      <c r="EV38" s="59">
        <f t="shared" si="87"/>
        <v>0</v>
      </c>
      <c r="EW38" s="60">
        <v>0</v>
      </c>
      <c r="EX38" s="60">
        <v>0</v>
      </c>
      <c r="EY38" s="60">
        <v>0</v>
      </c>
      <c r="EZ38" s="59">
        <f t="shared" si="88"/>
        <v>0</v>
      </c>
      <c r="FA38" s="59">
        <f t="shared" si="89"/>
        <v>0</v>
      </c>
      <c r="FB38" s="60">
        <v>0</v>
      </c>
      <c r="FC38" s="60">
        <v>0</v>
      </c>
      <c r="FD38" s="60">
        <v>0</v>
      </c>
      <c r="FE38" s="59">
        <f t="shared" si="90"/>
        <v>0</v>
      </c>
      <c r="FF38" s="59">
        <f t="shared" si="91"/>
        <v>0</v>
      </c>
      <c r="FG38" s="60">
        <v>0</v>
      </c>
      <c r="FH38" s="60">
        <v>0</v>
      </c>
      <c r="FI38" s="60">
        <v>0</v>
      </c>
      <c r="FJ38" s="59">
        <f t="shared" si="92"/>
        <v>0</v>
      </c>
      <c r="FK38" s="59">
        <f t="shared" si="93"/>
        <v>0</v>
      </c>
      <c r="FL38" s="60">
        <v>0</v>
      </c>
      <c r="FM38" s="60">
        <v>0</v>
      </c>
      <c r="FN38" s="60">
        <v>0</v>
      </c>
      <c r="FO38" s="59">
        <f t="shared" si="94"/>
        <v>0</v>
      </c>
      <c r="FP38" s="59">
        <f t="shared" si="95"/>
        <v>0</v>
      </c>
      <c r="FQ38" s="60">
        <v>0</v>
      </c>
      <c r="FR38" s="60">
        <v>0</v>
      </c>
      <c r="FS38" s="60">
        <v>0</v>
      </c>
      <c r="FT38" s="59">
        <f t="shared" si="96"/>
        <v>0</v>
      </c>
      <c r="FU38" s="59">
        <f t="shared" si="97"/>
        <v>0</v>
      </c>
      <c r="FV38" s="60">
        <v>0</v>
      </c>
      <c r="FW38" s="60">
        <v>0</v>
      </c>
      <c r="FX38" s="60">
        <v>0</v>
      </c>
      <c r="FY38" s="59">
        <f t="shared" si="98"/>
        <v>0</v>
      </c>
      <c r="FZ38" s="59">
        <f t="shared" si="99"/>
        <v>0</v>
      </c>
      <c r="GA38" s="60">
        <v>0</v>
      </c>
      <c r="GB38" s="60">
        <v>0</v>
      </c>
      <c r="GC38" s="60">
        <v>0</v>
      </c>
      <c r="GD38" s="59">
        <f t="shared" si="100"/>
        <v>0</v>
      </c>
      <c r="GE38" s="59">
        <f t="shared" si="101"/>
        <v>0</v>
      </c>
      <c r="GF38" s="60">
        <v>0</v>
      </c>
      <c r="GG38" s="60">
        <v>0</v>
      </c>
      <c r="GH38" s="60">
        <v>0</v>
      </c>
      <c r="GI38" s="59">
        <f t="shared" si="102"/>
        <v>0</v>
      </c>
      <c r="GJ38" s="59"/>
    </row>
    <row r="39" spans="1:192">
      <c r="B39" s="58">
        <v>387.41</v>
      </c>
      <c r="C39" s="57" t="s">
        <v>405</v>
      </c>
      <c r="D39" s="59">
        <v>735015.32000000007</v>
      </c>
      <c r="E39" s="59">
        <v>735015.32000000007</v>
      </c>
      <c r="F39" s="59">
        <v>0</v>
      </c>
      <c r="G39" s="59">
        <v>0</v>
      </c>
      <c r="H39" s="59">
        <v>0</v>
      </c>
      <c r="I39" s="59">
        <v>735015.32000000007</v>
      </c>
      <c r="J39" s="59">
        <v>735015.32000000007</v>
      </c>
      <c r="K39" s="59">
        <v>0</v>
      </c>
      <c r="L39" s="59">
        <v>0</v>
      </c>
      <c r="M39" s="59">
        <v>0</v>
      </c>
      <c r="N39" s="59">
        <v>735015.32000000007</v>
      </c>
      <c r="O39" s="59">
        <v>735015.32000000007</v>
      </c>
      <c r="P39" s="59">
        <v>0</v>
      </c>
      <c r="Q39" s="59">
        <v>0</v>
      </c>
      <c r="R39" s="59">
        <v>0</v>
      </c>
      <c r="S39" s="59">
        <v>735015.32000000007</v>
      </c>
      <c r="T39" s="59">
        <v>735015.32000000007</v>
      </c>
      <c r="U39" s="59">
        <v>0</v>
      </c>
      <c r="V39" s="59">
        <v>-474476.86</v>
      </c>
      <c r="W39" s="59">
        <v>0</v>
      </c>
      <c r="X39" s="59">
        <v>260538.46</v>
      </c>
      <c r="Y39" s="59">
        <v>260538.46</v>
      </c>
      <c r="Z39" s="59">
        <v>0</v>
      </c>
      <c r="AA39" s="59">
        <v>0</v>
      </c>
      <c r="AB39" s="59">
        <v>0</v>
      </c>
      <c r="AC39" s="59">
        <v>260538.46</v>
      </c>
      <c r="AD39" s="59">
        <v>260538.46</v>
      </c>
      <c r="AE39" s="59">
        <v>0</v>
      </c>
      <c r="AF39" s="59">
        <v>0</v>
      </c>
      <c r="AG39" s="59">
        <v>0</v>
      </c>
      <c r="AH39" s="59">
        <v>260538.46</v>
      </c>
      <c r="AI39" s="59">
        <v>260538.46</v>
      </c>
      <c r="AJ39" s="59">
        <v>0</v>
      </c>
      <c r="AK39" s="59">
        <v>0</v>
      </c>
      <c r="AL39" s="59">
        <v>0</v>
      </c>
      <c r="AM39" s="59">
        <v>260538.46</v>
      </c>
      <c r="AN39" s="59">
        <v>260538.46</v>
      </c>
      <c r="AO39" s="59">
        <v>0</v>
      </c>
      <c r="AP39" s="59">
        <v>0</v>
      </c>
      <c r="AQ39" s="59">
        <v>0</v>
      </c>
      <c r="AR39" s="59">
        <v>260538.46</v>
      </c>
      <c r="AS39" s="59">
        <v>260538.46</v>
      </c>
      <c r="AT39" s="59">
        <v>0</v>
      </c>
      <c r="AU39" s="59">
        <v>0</v>
      </c>
      <c r="AV39" s="59">
        <v>0</v>
      </c>
      <c r="AW39" s="59">
        <v>260538.46</v>
      </c>
      <c r="AX39" s="59">
        <v>260538.46</v>
      </c>
      <c r="AY39" s="59">
        <v>0</v>
      </c>
      <c r="AZ39" s="59">
        <v>0</v>
      </c>
      <c r="BA39" s="59">
        <v>0</v>
      </c>
      <c r="BB39" s="59">
        <v>260538.46</v>
      </c>
      <c r="BC39" s="59">
        <v>260538.46</v>
      </c>
      <c r="BD39" s="59">
        <v>0</v>
      </c>
      <c r="BE39" s="59">
        <v>0</v>
      </c>
      <c r="BF39" s="59">
        <v>0</v>
      </c>
      <c r="BG39" s="59">
        <v>260538.46</v>
      </c>
      <c r="BH39" s="59">
        <v>260538.46</v>
      </c>
      <c r="BI39" s="59">
        <v>0</v>
      </c>
      <c r="BJ39" s="59">
        <v>0</v>
      </c>
      <c r="BK39" s="59">
        <v>0</v>
      </c>
      <c r="BL39" s="59">
        <v>260538.46</v>
      </c>
      <c r="BM39" s="59">
        <f t="shared" si="41"/>
        <v>260538.46</v>
      </c>
      <c r="BN39" s="59">
        <v>0</v>
      </c>
      <c r="BO39" s="59">
        <v>0</v>
      </c>
      <c r="BP39" s="59">
        <v>0</v>
      </c>
      <c r="BQ39" s="59">
        <f t="shared" si="103"/>
        <v>260538.46</v>
      </c>
      <c r="BR39" s="59">
        <f t="shared" si="43"/>
        <v>260538.46</v>
      </c>
      <c r="BS39" s="59">
        <v>0</v>
      </c>
      <c r="BT39" s="59">
        <v>0</v>
      </c>
      <c r="BU39" s="59">
        <v>0</v>
      </c>
      <c r="BV39" s="59">
        <f t="shared" si="104"/>
        <v>260538.46</v>
      </c>
      <c r="BW39" s="59">
        <f t="shared" si="45"/>
        <v>260538.46</v>
      </c>
      <c r="BX39" s="59">
        <v>0</v>
      </c>
      <c r="BY39" s="59">
        <v>0</v>
      </c>
      <c r="BZ39" s="59">
        <v>0</v>
      </c>
      <c r="CA39" s="59">
        <f t="shared" si="105"/>
        <v>260538.46</v>
      </c>
      <c r="CD39" s="59">
        <f t="shared" si="47"/>
        <v>260538.46</v>
      </c>
      <c r="CE39" s="60">
        <v>0</v>
      </c>
      <c r="CF39" s="60">
        <v>0</v>
      </c>
      <c r="CG39" s="60">
        <v>0</v>
      </c>
      <c r="CH39" s="59">
        <f t="shared" si="62"/>
        <v>260538.46</v>
      </c>
      <c r="CI39" s="59">
        <f t="shared" si="48"/>
        <v>260538.46</v>
      </c>
      <c r="CJ39" s="60">
        <v>0</v>
      </c>
      <c r="CK39" s="60">
        <v>0</v>
      </c>
      <c r="CL39" s="60">
        <v>0</v>
      </c>
      <c r="CM39" s="59">
        <f t="shared" si="63"/>
        <v>260538.46</v>
      </c>
      <c r="CN39" s="59">
        <f t="shared" si="49"/>
        <v>260538.46</v>
      </c>
      <c r="CO39" s="60">
        <v>0</v>
      </c>
      <c r="CP39" s="60">
        <v>0</v>
      </c>
      <c r="CQ39" s="60">
        <v>0</v>
      </c>
      <c r="CR39" s="59">
        <f t="shared" si="64"/>
        <v>260538.46</v>
      </c>
      <c r="CS39" s="59">
        <f t="shared" si="65"/>
        <v>260538.46</v>
      </c>
      <c r="CT39" s="60">
        <v>0</v>
      </c>
      <c r="CU39" s="60">
        <v>0</v>
      </c>
      <c r="CV39" s="60">
        <v>0</v>
      </c>
      <c r="CW39" s="59">
        <f t="shared" si="66"/>
        <v>260538.46</v>
      </c>
      <c r="CX39" s="59">
        <f t="shared" si="67"/>
        <v>260538.46</v>
      </c>
      <c r="CY39" s="60">
        <v>0</v>
      </c>
      <c r="CZ39" s="60">
        <v>0</v>
      </c>
      <c r="DA39" s="60">
        <v>0</v>
      </c>
      <c r="DB39" s="59">
        <f t="shared" si="68"/>
        <v>260538.46</v>
      </c>
      <c r="DC39" s="59">
        <f t="shared" si="69"/>
        <v>260538.46</v>
      </c>
      <c r="DD39" s="60">
        <v>0</v>
      </c>
      <c r="DE39" s="60">
        <v>0</v>
      </c>
      <c r="DF39" s="60">
        <v>0</v>
      </c>
      <c r="DG39" s="59">
        <f t="shared" si="70"/>
        <v>260538.46</v>
      </c>
      <c r="DH39" s="59">
        <f t="shared" si="71"/>
        <v>260538.46</v>
      </c>
      <c r="DI39" s="60">
        <v>0</v>
      </c>
      <c r="DJ39" s="60">
        <v>0</v>
      </c>
      <c r="DK39" s="60">
        <v>0</v>
      </c>
      <c r="DL39" s="59">
        <f t="shared" si="72"/>
        <v>260538.46</v>
      </c>
      <c r="DM39" s="59">
        <f t="shared" si="73"/>
        <v>260538.46</v>
      </c>
      <c r="DN39" s="60">
        <v>0</v>
      </c>
      <c r="DO39" s="60">
        <v>0</v>
      </c>
      <c r="DP39" s="60">
        <v>0</v>
      </c>
      <c r="DQ39" s="59">
        <f t="shared" si="74"/>
        <v>260538.46</v>
      </c>
      <c r="DR39" s="59">
        <f t="shared" si="75"/>
        <v>260538.46</v>
      </c>
      <c r="DS39" s="60">
        <v>0</v>
      </c>
      <c r="DT39" s="60">
        <v>0</v>
      </c>
      <c r="DU39" s="60">
        <v>0</v>
      </c>
      <c r="DV39" s="59">
        <f t="shared" si="76"/>
        <v>260538.46</v>
      </c>
      <c r="DW39" s="59">
        <f t="shared" si="77"/>
        <v>260538.46</v>
      </c>
      <c r="DX39" s="60">
        <v>0</v>
      </c>
      <c r="DY39" s="60">
        <v>0</v>
      </c>
      <c r="DZ39" s="60">
        <v>0</v>
      </c>
      <c r="EA39" s="59">
        <f t="shared" si="78"/>
        <v>260538.46</v>
      </c>
      <c r="EB39" s="59">
        <f t="shared" si="79"/>
        <v>260538.46</v>
      </c>
      <c r="EC39" s="60">
        <v>0</v>
      </c>
      <c r="ED39" s="60">
        <v>0</v>
      </c>
      <c r="EE39" s="60">
        <v>0</v>
      </c>
      <c r="EF39" s="59">
        <f t="shared" si="80"/>
        <v>260538.46</v>
      </c>
      <c r="EG39" s="59">
        <f t="shared" si="81"/>
        <v>260538.46</v>
      </c>
      <c r="EH39" s="60">
        <v>0</v>
      </c>
      <c r="EI39" s="60">
        <v>0</v>
      </c>
      <c r="EJ39" s="60">
        <v>0</v>
      </c>
      <c r="EK39" s="59">
        <f t="shared" si="82"/>
        <v>260538.46</v>
      </c>
      <c r="EL39" s="59">
        <f t="shared" si="83"/>
        <v>260538.46</v>
      </c>
      <c r="EM39" s="60">
        <v>0</v>
      </c>
      <c r="EN39" s="60">
        <v>0</v>
      </c>
      <c r="EO39" s="60">
        <v>0</v>
      </c>
      <c r="EP39" s="59">
        <f t="shared" si="84"/>
        <v>260538.46</v>
      </c>
      <c r="EQ39" s="59">
        <f t="shared" si="85"/>
        <v>260538.46</v>
      </c>
      <c r="ER39" s="60">
        <v>0</v>
      </c>
      <c r="ES39" s="60">
        <v>0</v>
      </c>
      <c r="ET39" s="60">
        <v>0</v>
      </c>
      <c r="EU39" s="59">
        <f t="shared" si="86"/>
        <v>260538.46</v>
      </c>
      <c r="EV39" s="59">
        <f t="shared" si="87"/>
        <v>260538.46</v>
      </c>
      <c r="EW39" s="60">
        <v>0</v>
      </c>
      <c r="EX39" s="60">
        <v>0</v>
      </c>
      <c r="EY39" s="60">
        <v>0</v>
      </c>
      <c r="EZ39" s="59">
        <f t="shared" si="88"/>
        <v>260538.46</v>
      </c>
      <c r="FA39" s="59">
        <f t="shared" si="89"/>
        <v>260538.46</v>
      </c>
      <c r="FB39" s="60">
        <v>0</v>
      </c>
      <c r="FC39" s="60">
        <v>0</v>
      </c>
      <c r="FD39" s="60">
        <v>0</v>
      </c>
      <c r="FE39" s="59">
        <f t="shared" si="90"/>
        <v>260538.46</v>
      </c>
      <c r="FF39" s="59">
        <f t="shared" si="91"/>
        <v>260538.46</v>
      </c>
      <c r="FG39" s="60">
        <v>0</v>
      </c>
      <c r="FH39" s="60">
        <v>0</v>
      </c>
      <c r="FI39" s="60">
        <v>0</v>
      </c>
      <c r="FJ39" s="59">
        <f t="shared" si="92"/>
        <v>260538.46</v>
      </c>
      <c r="FK39" s="59">
        <f t="shared" si="93"/>
        <v>260538.46</v>
      </c>
      <c r="FL39" s="60">
        <v>0</v>
      </c>
      <c r="FM39" s="60">
        <v>0</v>
      </c>
      <c r="FN39" s="60">
        <v>0</v>
      </c>
      <c r="FO39" s="59">
        <f t="shared" si="94"/>
        <v>260538.46</v>
      </c>
      <c r="FP39" s="59">
        <f t="shared" si="95"/>
        <v>260538.46</v>
      </c>
      <c r="FQ39" s="60">
        <v>0</v>
      </c>
      <c r="FR39" s="60">
        <v>0</v>
      </c>
      <c r="FS39" s="60">
        <v>0</v>
      </c>
      <c r="FT39" s="59">
        <f t="shared" si="96"/>
        <v>260538.46</v>
      </c>
      <c r="FU39" s="59">
        <f t="shared" si="97"/>
        <v>260538.46</v>
      </c>
      <c r="FV39" s="60">
        <v>0</v>
      </c>
      <c r="FW39" s="60">
        <v>0</v>
      </c>
      <c r="FX39" s="60">
        <v>0</v>
      </c>
      <c r="FY39" s="59">
        <f t="shared" si="98"/>
        <v>260538.46</v>
      </c>
      <c r="FZ39" s="59">
        <f t="shared" si="99"/>
        <v>260538.46</v>
      </c>
      <c r="GA39" s="60">
        <v>0</v>
      </c>
      <c r="GB39" s="60">
        <v>0</v>
      </c>
      <c r="GC39" s="60">
        <v>0</v>
      </c>
      <c r="GD39" s="59">
        <f t="shared" si="100"/>
        <v>260538.46</v>
      </c>
      <c r="GE39" s="59">
        <f t="shared" si="101"/>
        <v>260538.46</v>
      </c>
      <c r="GF39" s="60">
        <v>0</v>
      </c>
      <c r="GG39" s="60">
        <v>0</v>
      </c>
      <c r="GH39" s="60">
        <v>0</v>
      </c>
      <c r="GI39" s="59">
        <f t="shared" si="102"/>
        <v>260538.46</v>
      </c>
      <c r="GJ39" s="59"/>
    </row>
    <row r="40" spans="1:192">
      <c r="B40" s="58">
        <v>387.42</v>
      </c>
      <c r="C40" s="57" t="s">
        <v>406</v>
      </c>
      <c r="D40" s="59">
        <v>786896.82000000007</v>
      </c>
      <c r="E40" s="59">
        <v>786896.82000000007</v>
      </c>
      <c r="F40" s="59">
        <v>0</v>
      </c>
      <c r="G40" s="59">
        <v>0</v>
      </c>
      <c r="H40" s="59">
        <v>0</v>
      </c>
      <c r="I40" s="59">
        <v>786896.82000000007</v>
      </c>
      <c r="J40" s="59">
        <v>786896.82000000007</v>
      </c>
      <c r="K40" s="59">
        <v>0</v>
      </c>
      <c r="L40" s="59">
        <v>0</v>
      </c>
      <c r="M40" s="59">
        <v>0</v>
      </c>
      <c r="N40" s="59">
        <v>786896.82000000007</v>
      </c>
      <c r="O40" s="59">
        <v>786896.82000000007</v>
      </c>
      <c r="P40" s="59">
        <v>0</v>
      </c>
      <c r="Q40" s="59">
        <v>0</v>
      </c>
      <c r="R40" s="59">
        <v>0</v>
      </c>
      <c r="S40" s="59">
        <v>786896.82000000007</v>
      </c>
      <c r="T40" s="59">
        <v>786896.82000000007</v>
      </c>
      <c r="U40" s="59">
        <v>0</v>
      </c>
      <c r="V40" s="59">
        <v>-367529.42</v>
      </c>
      <c r="W40" s="59">
        <v>0</v>
      </c>
      <c r="X40" s="59">
        <v>419367.4</v>
      </c>
      <c r="Y40" s="59">
        <v>419367.4</v>
      </c>
      <c r="Z40" s="59">
        <v>0</v>
      </c>
      <c r="AA40" s="59">
        <v>0</v>
      </c>
      <c r="AB40" s="59">
        <v>0</v>
      </c>
      <c r="AC40" s="59">
        <v>419367.4</v>
      </c>
      <c r="AD40" s="59">
        <v>419367.4</v>
      </c>
      <c r="AE40" s="59">
        <v>0</v>
      </c>
      <c r="AF40" s="59">
        <v>0</v>
      </c>
      <c r="AG40" s="59">
        <v>0</v>
      </c>
      <c r="AH40" s="59">
        <v>419367.4</v>
      </c>
      <c r="AI40" s="59">
        <v>419367.4</v>
      </c>
      <c r="AJ40" s="59">
        <v>0</v>
      </c>
      <c r="AK40" s="59">
        <v>0</v>
      </c>
      <c r="AL40" s="59">
        <v>0</v>
      </c>
      <c r="AM40" s="59">
        <v>419367.4</v>
      </c>
      <c r="AN40" s="59">
        <v>419367.4</v>
      </c>
      <c r="AO40" s="59">
        <v>0</v>
      </c>
      <c r="AP40" s="59">
        <v>0</v>
      </c>
      <c r="AQ40" s="59">
        <v>0</v>
      </c>
      <c r="AR40" s="59">
        <v>419367.4</v>
      </c>
      <c r="AS40" s="59">
        <v>419367.4</v>
      </c>
      <c r="AT40" s="59">
        <v>0</v>
      </c>
      <c r="AU40" s="59">
        <v>0</v>
      </c>
      <c r="AV40" s="59">
        <v>0</v>
      </c>
      <c r="AW40" s="59">
        <v>419367.4</v>
      </c>
      <c r="AX40" s="59">
        <v>419367.4</v>
      </c>
      <c r="AY40" s="59">
        <v>0</v>
      </c>
      <c r="AZ40" s="59">
        <v>0</v>
      </c>
      <c r="BA40" s="59">
        <v>0</v>
      </c>
      <c r="BB40" s="59">
        <v>419367.4</v>
      </c>
      <c r="BC40" s="59">
        <v>419367.4</v>
      </c>
      <c r="BD40" s="59">
        <v>0</v>
      </c>
      <c r="BE40" s="59">
        <v>0</v>
      </c>
      <c r="BF40" s="59">
        <v>0</v>
      </c>
      <c r="BG40" s="59">
        <v>419367.4</v>
      </c>
      <c r="BH40" s="59">
        <v>419367.4</v>
      </c>
      <c r="BI40" s="59">
        <v>0</v>
      </c>
      <c r="BJ40" s="59">
        <v>0</v>
      </c>
      <c r="BK40" s="59">
        <v>0</v>
      </c>
      <c r="BL40" s="59">
        <v>419367.4</v>
      </c>
      <c r="BM40" s="59">
        <f t="shared" si="41"/>
        <v>419367.4</v>
      </c>
      <c r="BN40" s="59">
        <v>0</v>
      </c>
      <c r="BO40" s="59">
        <v>0</v>
      </c>
      <c r="BP40" s="59">
        <v>0</v>
      </c>
      <c r="BQ40" s="59">
        <f t="shared" si="103"/>
        <v>419367.4</v>
      </c>
      <c r="BR40" s="59">
        <f t="shared" si="43"/>
        <v>419367.4</v>
      </c>
      <c r="BS40" s="59">
        <v>0</v>
      </c>
      <c r="BT40" s="59">
        <v>0</v>
      </c>
      <c r="BU40" s="59">
        <v>0</v>
      </c>
      <c r="BV40" s="59">
        <f t="shared" si="104"/>
        <v>419367.4</v>
      </c>
      <c r="BW40" s="59">
        <f t="shared" si="45"/>
        <v>419367.4</v>
      </c>
      <c r="BX40" s="59">
        <v>0</v>
      </c>
      <c r="BY40" s="59">
        <v>0</v>
      </c>
      <c r="BZ40" s="59">
        <v>0</v>
      </c>
      <c r="CA40" s="59">
        <f t="shared" si="105"/>
        <v>419367.4</v>
      </c>
      <c r="CD40" s="59">
        <f t="shared" si="47"/>
        <v>419367.4</v>
      </c>
      <c r="CE40" s="60">
        <v>0</v>
      </c>
      <c r="CF40" s="60">
        <v>0</v>
      </c>
      <c r="CG40" s="60">
        <v>0</v>
      </c>
      <c r="CH40" s="59">
        <f t="shared" si="62"/>
        <v>419367.4</v>
      </c>
      <c r="CI40" s="59">
        <f t="shared" si="48"/>
        <v>419367.4</v>
      </c>
      <c r="CJ40" s="60">
        <v>0</v>
      </c>
      <c r="CK40" s="60">
        <v>0</v>
      </c>
      <c r="CL40" s="60">
        <v>0</v>
      </c>
      <c r="CM40" s="59">
        <f t="shared" si="63"/>
        <v>419367.4</v>
      </c>
      <c r="CN40" s="59">
        <f t="shared" si="49"/>
        <v>419367.4</v>
      </c>
      <c r="CO40" s="60">
        <v>0</v>
      </c>
      <c r="CP40" s="60">
        <v>0</v>
      </c>
      <c r="CQ40" s="60">
        <v>0</v>
      </c>
      <c r="CR40" s="59">
        <f t="shared" si="64"/>
        <v>419367.4</v>
      </c>
      <c r="CS40" s="59">
        <f t="shared" si="65"/>
        <v>419367.4</v>
      </c>
      <c r="CT40" s="60">
        <v>0</v>
      </c>
      <c r="CU40" s="60">
        <v>0</v>
      </c>
      <c r="CV40" s="60">
        <v>0</v>
      </c>
      <c r="CW40" s="59">
        <f t="shared" si="66"/>
        <v>419367.4</v>
      </c>
      <c r="CX40" s="59">
        <f t="shared" si="67"/>
        <v>419367.4</v>
      </c>
      <c r="CY40" s="60">
        <v>0</v>
      </c>
      <c r="CZ40" s="60">
        <v>0</v>
      </c>
      <c r="DA40" s="60">
        <v>0</v>
      </c>
      <c r="DB40" s="59">
        <f t="shared" si="68"/>
        <v>419367.4</v>
      </c>
      <c r="DC40" s="59">
        <f t="shared" si="69"/>
        <v>419367.4</v>
      </c>
      <c r="DD40" s="60">
        <v>0</v>
      </c>
      <c r="DE40" s="60">
        <v>0</v>
      </c>
      <c r="DF40" s="60">
        <v>0</v>
      </c>
      <c r="DG40" s="59">
        <f t="shared" si="70"/>
        <v>419367.4</v>
      </c>
      <c r="DH40" s="59">
        <f t="shared" si="71"/>
        <v>419367.4</v>
      </c>
      <c r="DI40" s="60">
        <v>0</v>
      </c>
      <c r="DJ40" s="60">
        <v>0</v>
      </c>
      <c r="DK40" s="60">
        <v>0</v>
      </c>
      <c r="DL40" s="59">
        <f t="shared" si="72"/>
        <v>419367.4</v>
      </c>
      <c r="DM40" s="59">
        <f t="shared" si="73"/>
        <v>419367.4</v>
      </c>
      <c r="DN40" s="60">
        <v>0</v>
      </c>
      <c r="DO40" s="60">
        <v>0</v>
      </c>
      <c r="DP40" s="60">
        <v>0</v>
      </c>
      <c r="DQ40" s="59">
        <f t="shared" si="74"/>
        <v>419367.4</v>
      </c>
      <c r="DR40" s="59">
        <f t="shared" si="75"/>
        <v>419367.4</v>
      </c>
      <c r="DS40" s="60">
        <v>0</v>
      </c>
      <c r="DT40" s="60">
        <v>0</v>
      </c>
      <c r="DU40" s="60">
        <v>0</v>
      </c>
      <c r="DV40" s="59">
        <f t="shared" si="76"/>
        <v>419367.4</v>
      </c>
      <c r="DW40" s="59">
        <f t="shared" si="77"/>
        <v>419367.4</v>
      </c>
      <c r="DX40" s="60">
        <v>0</v>
      </c>
      <c r="DY40" s="60">
        <v>0</v>
      </c>
      <c r="DZ40" s="60">
        <v>0</v>
      </c>
      <c r="EA40" s="59">
        <f t="shared" si="78"/>
        <v>419367.4</v>
      </c>
      <c r="EB40" s="59">
        <f t="shared" si="79"/>
        <v>419367.4</v>
      </c>
      <c r="EC40" s="60">
        <v>0</v>
      </c>
      <c r="ED40" s="60">
        <v>0</v>
      </c>
      <c r="EE40" s="60">
        <v>0</v>
      </c>
      <c r="EF40" s="59">
        <f t="shared" si="80"/>
        <v>419367.4</v>
      </c>
      <c r="EG40" s="59">
        <f t="shared" si="81"/>
        <v>419367.4</v>
      </c>
      <c r="EH40" s="60">
        <v>0</v>
      </c>
      <c r="EI40" s="60">
        <v>0</v>
      </c>
      <c r="EJ40" s="60">
        <v>0</v>
      </c>
      <c r="EK40" s="59">
        <f t="shared" si="82"/>
        <v>419367.4</v>
      </c>
      <c r="EL40" s="59">
        <f t="shared" si="83"/>
        <v>419367.4</v>
      </c>
      <c r="EM40" s="60">
        <v>0</v>
      </c>
      <c r="EN40" s="60">
        <v>0</v>
      </c>
      <c r="EO40" s="60">
        <v>0</v>
      </c>
      <c r="EP40" s="59">
        <f t="shared" si="84"/>
        <v>419367.4</v>
      </c>
      <c r="EQ40" s="59">
        <f t="shared" si="85"/>
        <v>419367.4</v>
      </c>
      <c r="ER40" s="60">
        <v>0</v>
      </c>
      <c r="ES40" s="60">
        <v>0</v>
      </c>
      <c r="ET40" s="60">
        <v>0</v>
      </c>
      <c r="EU40" s="59">
        <f t="shared" si="86"/>
        <v>419367.4</v>
      </c>
      <c r="EV40" s="59">
        <f t="shared" si="87"/>
        <v>419367.4</v>
      </c>
      <c r="EW40" s="60">
        <v>0</v>
      </c>
      <c r="EX40" s="60">
        <v>0</v>
      </c>
      <c r="EY40" s="60">
        <v>0</v>
      </c>
      <c r="EZ40" s="59">
        <f t="shared" si="88"/>
        <v>419367.4</v>
      </c>
      <c r="FA40" s="59">
        <f t="shared" si="89"/>
        <v>419367.4</v>
      </c>
      <c r="FB40" s="60">
        <v>0</v>
      </c>
      <c r="FC40" s="60">
        <v>0</v>
      </c>
      <c r="FD40" s="60">
        <v>0</v>
      </c>
      <c r="FE40" s="59">
        <f t="shared" si="90"/>
        <v>419367.4</v>
      </c>
      <c r="FF40" s="59">
        <f t="shared" si="91"/>
        <v>419367.4</v>
      </c>
      <c r="FG40" s="60">
        <v>0</v>
      </c>
      <c r="FH40" s="60">
        <v>0</v>
      </c>
      <c r="FI40" s="60">
        <v>0</v>
      </c>
      <c r="FJ40" s="59">
        <f t="shared" si="92"/>
        <v>419367.4</v>
      </c>
      <c r="FK40" s="59">
        <f t="shared" si="93"/>
        <v>419367.4</v>
      </c>
      <c r="FL40" s="60">
        <v>0</v>
      </c>
      <c r="FM40" s="60">
        <v>0</v>
      </c>
      <c r="FN40" s="60">
        <v>0</v>
      </c>
      <c r="FO40" s="59">
        <f t="shared" si="94"/>
        <v>419367.4</v>
      </c>
      <c r="FP40" s="59">
        <f t="shared" si="95"/>
        <v>419367.4</v>
      </c>
      <c r="FQ40" s="60">
        <v>0</v>
      </c>
      <c r="FR40" s="60">
        <v>0</v>
      </c>
      <c r="FS40" s="60">
        <v>0</v>
      </c>
      <c r="FT40" s="59">
        <f t="shared" si="96"/>
        <v>419367.4</v>
      </c>
      <c r="FU40" s="59">
        <f t="shared" si="97"/>
        <v>419367.4</v>
      </c>
      <c r="FV40" s="60">
        <v>0</v>
      </c>
      <c r="FW40" s="60">
        <v>0</v>
      </c>
      <c r="FX40" s="60">
        <v>0</v>
      </c>
      <c r="FY40" s="59">
        <f t="shared" si="98"/>
        <v>419367.4</v>
      </c>
      <c r="FZ40" s="59">
        <f t="shared" si="99"/>
        <v>419367.4</v>
      </c>
      <c r="GA40" s="60">
        <v>0</v>
      </c>
      <c r="GB40" s="60">
        <v>0</v>
      </c>
      <c r="GC40" s="60">
        <v>0</v>
      </c>
      <c r="GD40" s="59">
        <f t="shared" si="100"/>
        <v>419367.4</v>
      </c>
      <c r="GE40" s="59">
        <f t="shared" si="101"/>
        <v>419367.4</v>
      </c>
      <c r="GF40" s="60">
        <v>0</v>
      </c>
      <c r="GG40" s="60">
        <v>0</v>
      </c>
      <c r="GH40" s="60">
        <v>0</v>
      </c>
      <c r="GI40" s="59">
        <f t="shared" si="102"/>
        <v>419367.4</v>
      </c>
      <c r="GJ40" s="59"/>
    </row>
    <row r="41" spans="1:192">
      <c r="B41" s="58">
        <v>387.44</v>
      </c>
      <c r="C41" s="57" t="s">
        <v>407</v>
      </c>
      <c r="D41" s="59">
        <v>125206.49</v>
      </c>
      <c r="E41" s="59">
        <v>125206.49</v>
      </c>
      <c r="F41" s="59">
        <v>0</v>
      </c>
      <c r="G41" s="59">
        <v>-527.73</v>
      </c>
      <c r="H41" s="59">
        <v>0</v>
      </c>
      <c r="I41" s="59">
        <v>124678.76000000001</v>
      </c>
      <c r="J41" s="59">
        <v>124678.76000000001</v>
      </c>
      <c r="K41" s="59">
        <v>0</v>
      </c>
      <c r="L41" s="59">
        <v>0</v>
      </c>
      <c r="M41" s="59">
        <v>0</v>
      </c>
      <c r="N41" s="59">
        <v>124678.76000000001</v>
      </c>
      <c r="O41" s="59">
        <v>124678.76000000001</v>
      </c>
      <c r="P41" s="59">
        <v>0</v>
      </c>
      <c r="Q41" s="59">
        <v>0</v>
      </c>
      <c r="R41" s="59">
        <v>0</v>
      </c>
      <c r="S41" s="59">
        <v>124678.76000000001</v>
      </c>
      <c r="T41" s="59">
        <v>124678.76000000001</v>
      </c>
      <c r="U41" s="59">
        <v>0</v>
      </c>
      <c r="V41" s="59">
        <v>0</v>
      </c>
      <c r="W41" s="59">
        <v>0</v>
      </c>
      <c r="X41" s="59">
        <v>124678.76000000001</v>
      </c>
      <c r="Y41" s="59">
        <v>124678.76000000001</v>
      </c>
      <c r="Z41" s="59">
        <v>0</v>
      </c>
      <c r="AA41" s="59">
        <v>0</v>
      </c>
      <c r="AB41" s="59">
        <v>0</v>
      </c>
      <c r="AC41" s="59">
        <v>124678.76000000001</v>
      </c>
      <c r="AD41" s="59">
        <v>124678.76000000001</v>
      </c>
      <c r="AE41" s="59">
        <v>0</v>
      </c>
      <c r="AF41" s="59">
        <v>0</v>
      </c>
      <c r="AG41" s="59">
        <v>0</v>
      </c>
      <c r="AH41" s="59">
        <v>124678.76000000001</v>
      </c>
      <c r="AI41" s="59">
        <v>124678.76000000001</v>
      </c>
      <c r="AJ41" s="59">
        <v>0</v>
      </c>
      <c r="AK41" s="59">
        <v>0</v>
      </c>
      <c r="AL41" s="59">
        <v>0</v>
      </c>
      <c r="AM41" s="59">
        <v>124678.76000000001</v>
      </c>
      <c r="AN41" s="59">
        <v>124678.76000000001</v>
      </c>
      <c r="AO41" s="59">
        <v>0</v>
      </c>
      <c r="AP41" s="59">
        <v>0</v>
      </c>
      <c r="AQ41" s="59">
        <v>0</v>
      </c>
      <c r="AR41" s="59">
        <v>124678.76000000001</v>
      </c>
      <c r="AS41" s="59">
        <v>124678.76000000001</v>
      </c>
      <c r="AT41" s="59">
        <v>0</v>
      </c>
      <c r="AU41" s="59">
        <v>0</v>
      </c>
      <c r="AV41" s="59">
        <v>0</v>
      </c>
      <c r="AW41" s="59">
        <v>124678.76000000001</v>
      </c>
      <c r="AX41" s="59">
        <v>124678.76000000001</v>
      </c>
      <c r="AY41" s="59">
        <v>0</v>
      </c>
      <c r="AZ41" s="59">
        <v>0</v>
      </c>
      <c r="BA41" s="59">
        <v>0</v>
      </c>
      <c r="BB41" s="59">
        <v>124678.76000000001</v>
      </c>
      <c r="BC41" s="59">
        <v>124678.76000000001</v>
      </c>
      <c r="BD41" s="59">
        <v>0</v>
      </c>
      <c r="BE41" s="59">
        <v>0</v>
      </c>
      <c r="BF41" s="59">
        <v>0</v>
      </c>
      <c r="BG41" s="59">
        <v>124678.76000000001</v>
      </c>
      <c r="BH41" s="59">
        <v>124678.76000000001</v>
      </c>
      <c r="BI41" s="59">
        <v>0</v>
      </c>
      <c r="BJ41" s="59">
        <v>0</v>
      </c>
      <c r="BK41" s="59">
        <v>0</v>
      </c>
      <c r="BL41" s="59">
        <v>124678.76000000001</v>
      </c>
      <c r="BM41" s="59">
        <f t="shared" si="41"/>
        <v>124678.76000000001</v>
      </c>
      <c r="BN41" s="59">
        <v>0</v>
      </c>
      <c r="BO41" s="59">
        <v>0</v>
      </c>
      <c r="BP41" s="59">
        <v>0</v>
      </c>
      <c r="BQ41" s="59">
        <f t="shared" si="103"/>
        <v>124678.76000000001</v>
      </c>
      <c r="BR41" s="59">
        <f t="shared" si="43"/>
        <v>124678.76000000001</v>
      </c>
      <c r="BS41" s="59">
        <v>0</v>
      </c>
      <c r="BT41" s="59">
        <v>0</v>
      </c>
      <c r="BU41" s="59">
        <v>0</v>
      </c>
      <c r="BV41" s="59">
        <f t="shared" si="104"/>
        <v>124678.76000000001</v>
      </c>
      <c r="BW41" s="59">
        <f t="shared" si="45"/>
        <v>124678.76000000001</v>
      </c>
      <c r="BX41" s="59">
        <v>0</v>
      </c>
      <c r="BY41" s="59">
        <v>0</v>
      </c>
      <c r="BZ41" s="59">
        <v>0</v>
      </c>
      <c r="CA41" s="59">
        <f t="shared" si="105"/>
        <v>124678.76000000001</v>
      </c>
      <c r="CD41" s="59">
        <f t="shared" si="47"/>
        <v>124678.76000000001</v>
      </c>
      <c r="CE41" s="60">
        <v>0</v>
      </c>
      <c r="CF41" s="60">
        <v>0</v>
      </c>
      <c r="CG41" s="60">
        <v>0</v>
      </c>
      <c r="CH41" s="59">
        <f t="shared" si="62"/>
        <v>124678.76000000001</v>
      </c>
      <c r="CI41" s="59">
        <f t="shared" si="48"/>
        <v>124678.76000000001</v>
      </c>
      <c r="CJ41" s="60">
        <v>0</v>
      </c>
      <c r="CK41" s="60">
        <v>0</v>
      </c>
      <c r="CL41" s="60">
        <v>0</v>
      </c>
      <c r="CM41" s="59">
        <f t="shared" si="63"/>
        <v>124678.76000000001</v>
      </c>
      <c r="CN41" s="59">
        <f t="shared" si="49"/>
        <v>124678.76000000001</v>
      </c>
      <c r="CO41" s="60">
        <v>0</v>
      </c>
      <c r="CP41" s="60">
        <v>0</v>
      </c>
      <c r="CQ41" s="60">
        <v>0</v>
      </c>
      <c r="CR41" s="59">
        <f t="shared" si="64"/>
        <v>124678.76000000001</v>
      </c>
      <c r="CS41" s="59">
        <f t="shared" si="65"/>
        <v>124678.76000000001</v>
      </c>
      <c r="CT41" s="60">
        <v>0</v>
      </c>
      <c r="CU41" s="60">
        <v>0</v>
      </c>
      <c r="CV41" s="60">
        <v>0</v>
      </c>
      <c r="CW41" s="59">
        <f t="shared" si="66"/>
        <v>124678.76000000001</v>
      </c>
      <c r="CX41" s="59">
        <f t="shared" si="67"/>
        <v>124678.76000000001</v>
      </c>
      <c r="CY41" s="60">
        <v>0</v>
      </c>
      <c r="CZ41" s="60">
        <v>0</v>
      </c>
      <c r="DA41" s="60">
        <v>0</v>
      </c>
      <c r="DB41" s="59">
        <f t="shared" si="68"/>
        <v>124678.76000000001</v>
      </c>
      <c r="DC41" s="59">
        <f t="shared" si="69"/>
        <v>124678.76000000001</v>
      </c>
      <c r="DD41" s="60">
        <v>0</v>
      </c>
      <c r="DE41" s="60">
        <v>0</v>
      </c>
      <c r="DF41" s="60">
        <v>0</v>
      </c>
      <c r="DG41" s="59">
        <f t="shared" si="70"/>
        <v>124678.76000000001</v>
      </c>
      <c r="DH41" s="59">
        <f t="shared" si="71"/>
        <v>124678.76000000001</v>
      </c>
      <c r="DI41" s="60">
        <v>0</v>
      </c>
      <c r="DJ41" s="60">
        <v>0</v>
      </c>
      <c r="DK41" s="60">
        <v>0</v>
      </c>
      <c r="DL41" s="59">
        <f t="shared" si="72"/>
        <v>124678.76000000001</v>
      </c>
      <c r="DM41" s="59">
        <f t="shared" si="73"/>
        <v>124678.76000000001</v>
      </c>
      <c r="DN41" s="60">
        <v>0</v>
      </c>
      <c r="DO41" s="60">
        <v>0</v>
      </c>
      <c r="DP41" s="60">
        <v>0</v>
      </c>
      <c r="DQ41" s="59">
        <f t="shared" si="74"/>
        <v>124678.76000000001</v>
      </c>
      <c r="DR41" s="59">
        <f t="shared" si="75"/>
        <v>124678.76000000001</v>
      </c>
      <c r="DS41" s="60">
        <v>0</v>
      </c>
      <c r="DT41" s="60">
        <v>0</v>
      </c>
      <c r="DU41" s="60">
        <v>0</v>
      </c>
      <c r="DV41" s="59">
        <f t="shared" si="76"/>
        <v>124678.76000000001</v>
      </c>
      <c r="DW41" s="59">
        <f t="shared" si="77"/>
        <v>124678.76000000001</v>
      </c>
      <c r="DX41" s="60">
        <v>0</v>
      </c>
      <c r="DY41" s="60">
        <v>0</v>
      </c>
      <c r="DZ41" s="60">
        <v>0</v>
      </c>
      <c r="EA41" s="59">
        <f t="shared" si="78"/>
        <v>124678.76000000001</v>
      </c>
      <c r="EB41" s="59">
        <f t="shared" si="79"/>
        <v>124678.76000000001</v>
      </c>
      <c r="EC41" s="60">
        <v>0</v>
      </c>
      <c r="ED41" s="60">
        <v>0</v>
      </c>
      <c r="EE41" s="60">
        <v>0</v>
      </c>
      <c r="EF41" s="59">
        <f t="shared" si="80"/>
        <v>124678.76000000001</v>
      </c>
      <c r="EG41" s="59">
        <f t="shared" si="81"/>
        <v>124678.76000000001</v>
      </c>
      <c r="EH41" s="60">
        <v>0</v>
      </c>
      <c r="EI41" s="60">
        <v>0</v>
      </c>
      <c r="EJ41" s="60">
        <v>0</v>
      </c>
      <c r="EK41" s="59">
        <f t="shared" si="82"/>
        <v>124678.76000000001</v>
      </c>
      <c r="EL41" s="59">
        <f t="shared" si="83"/>
        <v>124678.76000000001</v>
      </c>
      <c r="EM41" s="60">
        <v>0</v>
      </c>
      <c r="EN41" s="60">
        <v>0</v>
      </c>
      <c r="EO41" s="60">
        <v>0</v>
      </c>
      <c r="EP41" s="59">
        <f t="shared" si="84"/>
        <v>124678.76000000001</v>
      </c>
      <c r="EQ41" s="59">
        <f t="shared" si="85"/>
        <v>124678.76000000001</v>
      </c>
      <c r="ER41" s="60">
        <v>0</v>
      </c>
      <c r="ES41" s="60">
        <v>0</v>
      </c>
      <c r="ET41" s="60">
        <v>0</v>
      </c>
      <c r="EU41" s="59">
        <f t="shared" si="86"/>
        <v>124678.76000000001</v>
      </c>
      <c r="EV41" s="59">
        <f t="shared" si="87"/>
        <v>124678.76000000001</v>
      </c>
      <c r="EW41" s="60">
        <v>0</v>
      </c>
      <c r="EX41" s="60">
        <v>0</v>
      </c>
      <c r="EY41" s="60">
        <v>0</v>
      </c>
      <c r="EZ41" s="59">
        <f t="shared" si="88"/>
        <v>124678.76000000001</v>
      </c>
      <c r="FA41" s="59">
        <f t="shared" si="89"/>
        <v>124678.76000000001</v>
      </c>
      <c r="FB41" s="60">
        <v>0</v>
      </c>
      <c r="FC41" s="60">
        <v>0</v>
      </c>
      <c r="FD41" s="60">
        <v>0</v>
      </c>
      <c r="FE41" s="59">
        <f t="shared" si="90"/>
        <v>124678.76000000001</v>
      </c>
      <c r="FF41" s="59">
        <f t="shared" si="91"/>
        <v>124678.76000000001</v>
      </c>
      <c r="FG41" s="60">
        <v>0</v>
      </c>
      <c r="FH41" s="60">
        <v>0</v>
      </c>
      <c r="FI41" s="60">
        <v>0</v>
      </c>
      <c r="FJ41" s="59">
        <f t="shared" si="92"/>
        <v>124678.76000000001</v>
      </c>
      <c r="FK41" s="59">
        <f t="shared" si="93"/>
        <v>124678.76000000001</v>
      </c>
      <c r="FL41" s="60">
        <v>0</v>
      </c>
      <c r="FM41" s="60">
        <v>0</v>
      </c>
      <c r="FN41" s="60">
        <v>0</v>
      </c>
      <c r="FO41" s="59">
        <f t="shared" si="94"/>
        <v>124678.76000000001</v>
      </c>
      <c r="FP41" s="59">
        <f t="shared" si="95"/>
        <v>124678.76000000001</v>
      </c>
      <c r="FQ41" s="60">
        <v>0</v>
      </c>
      <c r="FR41" s="60">
        <v>0</v>
      </c>
      <c r="FS41" s="60">
        <v>0</v>
      </c>
      <c r="FT41" s="59">
        <f t="shared" si="96"/>
        <v>124678.76000000001</v>
      </c>
      <c r="FU41" s="59">
        <f t="shared" si="97"/>
        <v>124678.76000000001</v>
      </c>
      <c r="FV41" s="60">
        <v>0</v>
      </c>
      <c r="FW41" s="60">
        <v>0</v>
      </c>
      <c r="FX41" s="60">
        <v>0</v>
      </c>
      <c r="FY41" s="59">
        <f t="shared" si="98"/>
        <v>124678.76000000001</v>
      </c>
      <c r="FZ41" s="59">
        <f t="shared" si="99"/>
        <v>124678.76000000001</v>
      </c>
      <c r="GA41" s="60">
        <v>0</v>
      </c>
      <c r="GB41" s="60">
        <v>0</v>
      </c>
      <c r="GC41" s="60">
        <v>0</v>
      </c>
      <c r="GD41" s="59">
        <f t="shared" si="100"/>
        <v>124678.76000000001</v>
      </c>
      <c r="GE41" s="59">
        <f t="shared" si="101"/>
        <v>124678.76000000001</v>
      </c>
      <c r="GF41" s="60">
        <v>0</v>
      </c>
      <c r="GG41" s="60">
        <v>0</v>
      </c>
      <c r="GH41" s="60">
        <v>0</v>
      </c>
      <c r="GI41" s="59">
        <f t="shared" si="102"/>
        <v>124678.76000000001</v>
      </c>
      <c r="GJ41" s="59"/>
    </row>
    <row r="42" spans="1:192">
      <c r="B42" s="58">
        <v>387.45</v>
      </c>
      <c r="C42" s="57" t="s">
        <v>408</v>
      </c>
      <c r="D42" s="59">
        <v>5805293.3799999999</v>
      </c>
      <c r="E42" s="59">
        <v>5805293.3799999999</v>
      </c>
      <c r="F42" s="59">
        <v>0</v>
      </c>
      <c r="G42" s="59">
        <v>-45168.39</v>
      </c>
      <c r="H42" s="59">
        <v>0</v>
      </c>
      <c r="I42" s="59">
        <v>5760124.9900000002</v>
      </c>
      <c r="J42" s="59">
        <v>5760124.9900000002</v>
      </c>
      <c r="K42" s="59">
        <v>0</v>
      </c>
      <c r="L42" s="59">
        <v>-21511.84</v>
      </c>
      <c r="M42" s="59">
        <v>0</v>
      </c>
      <c r="N42" s="59">
        <v>5738613.1500000004</v>
      </c>
      <c r="O42" s="59">
        <v>5738613.1500000004</v>
      </c>
      <c r="P42" s="59">
        <v>30161.420000000002</v>
      </c>
      <c r="Q42" s="59">
        <v>0</v>
      </c>
      <c r="R42" s="59">
        <v>0</v>
      </c>
      <c r="S42" s="59">
        <v>5768774.5700000003</v>
      </c>
      <c r="T42" s="59">
        <v>5768774.5700000003</v>
      </c>
      <c r="U42" s="59">
        <v>171484.96000000002</v>
      </c>
      <c r="V42" s="59">
        <v>-410499.4</v>
      </c>
      <c r="W42" s="59">
        <v>0</v>
      </c>
      <c r="X42" s="59">
        <v>5529760.1299999999</v>
      </c>
      <c r="Y42" s="59">
        <v>5529760.1299999999</v>
      </c>
      <c r="Z42" s="59">
        <v>94210.3</v>
      </c>
      <c r="AA42" s="59">
        <v>-201258.4</v>
      </c>
      <c r="AB42" s="59">
        <v>0</v>
      </c>
      <c r="AC42" s="59">
        <v>5422712.0300000003</v>
      </c>
      <c r="AD42" s="59">
        <v>5422712.0300000003</v>
      </c>
      <c r="AE42" s="59">
        <v>0</v>
      </c>
      <c r="AF42" s="59">
        <v>-11630.09</v>
      </c>
      <c r="AG42" s="59">
        <v>0</v>
      </c>
      <c r="AH42" s="59">
        <v>5411081.9399999995</v>
      </c>
      <c r="AI42" s="59">
        <v>5411081.9399999995</v>
      </c>
      <c r="AJ42" s="59">
        <v>31830.879999999997</v>
      </c>
      <c r="AK42" s="59">
        <v>0</v>
      </c>
      <c r="AL42" s="59">
        <v>0</v>
      </c>
      <c r="AM42" s="59">
        <v>5442912.8200000003</v>
      </c>
      <c r="AN42" s="59">
        <v>5442912.8200000003</v>
      </c>
      <c r="AO42" s="59">
        <v>383310.94</v>
      </c>
      <c r="AP42" s="59">
        <v>-31043.38</v>
      </c>
      <c r="AQ42" s="59">
        <v>0</v>
      </c>
      <c r="AR42" s="59">
        <v>5795180.3800000008</v>
      </c>
      <c r="AS42" s="59">
        <v>5795180.3800000008</v>
      </c>
      <c r="AT42" s="59">
        <v>6542.4800000000005</v>
      </c>
      <c r="AU42" s="59">
        <v>0</v>
      </c>
      <c r="AV42" s="59">
        <v>0</v>
      </c>
      <c r="AW42" s="59">
        <v>5801722.8600000003</v>
      </c>
      <c r="AX42" s="59">
        <v>5801722.8600000003</v>
      </c>
      <c r="AY42" s="59">
        <v>1484.02</v>
      </c>
      <c r="AZ42" s="59">
        <v>0</v>
      </c>
      <c r="BA42" s="59">
        <v>0</v>
      </c>
      <c r="BB42" s="59">
        <v>5803206.8800000008</v>
      </c>
      <c r="BC42" s="59">
        <v>5803206.8800000008</v>
      </c>
      <c r="BD42" s="59">
        <v>6187.9400000000023</v>
      </c>
      <c r="BE42" s="59">
        <v>-20718.34</v>
      </c>
      <c r="BF42" s="59">
        <v>0</v>
      </c>
      <c r="BG42" s="59">
        <v>5788676.4800000004</v>
      </c>
      <c r="BH42" s="59">
        <v>5788676.4800000004</v>
      </c>
      <c r="BI42" s="59">
        <v>226051.48</v>
      </c>
      <c r="BJ42" s="59">
        <v>-4355.4800000000005</v>
      </c>
      <c r="BK42" s="59">
        <v>0</v>
      </c>
      <c r="BL42" s="59">
        <v>6010372.4800000004</v>
      </c>
      <c r="BM42" s="59">
        <f t="shared" si="41"/>
        <v>6010372.4800000004</v>
      </c>
      <c r="BN42" s="59">
        <v>844.73999999999978</v>
      </c>
      <c r="BO42" s="59">
        <v>-2403.5</v>
      </c>
      <c r="BP42" s="59">
        <v>0</v>
      </c>
      <c r="BQ42" s="59">
        <f t="shared" si="103"/>
        <v>6008813.7200000007</v>
      </c>
      <c r="BR42" s="59">
        <f t="shared" si="43"/>
        <v>6008813.7200000007</v>
      </c>
      <c r="BS42" s="59">
        <v>54748.58</v>
      </c>
      <c r="BT42" s="59">
        <v>-1635.05</v>
      </c>
      <c r="BU42" s="59">
        <v>0</v>
      </c>
      <c r="BV42" s="59">
        <f t="shared" si="104"/>
        <v>6061927.2500000009</v>
      </c>
      <c r="BW42" s="59">
        <f t="shared" si="45"/>
        <v>6061927.2500000009</v>
      </c>
      <c r="BX42" s="59">
        <v>0</v>
      </c>
      <c r="BY42" s="59">
        <v>0</v>
      </c>
      <c r="BZ42" s="59">
        <v>0</v>
      </c>
      <c r="CA42" s="59">
        <f t="shared" si="105"/>
        <v>6061927.2500000009</v>
      </c>
      <c r="CD42" s="59">
        <f t="shared" si="47"/>
        <v>6061927.2500000009</v>
      </c>
      <c r="CE42" s="60">
        <v>6409.15</v>
      </c>
      <c r="CF42" s="60">
        <v>-17301.36</v>
      </c>
      <c r="CG42" s="60">
        <v>0</v>
      </c>
      <c r="CH42" s="59">
        <f t="shared" si="62"/>
        <v>6051035.040000001</v>
      </c>
      <c r="CI42" s="59">
        <f t="shared" si="48"/>
        <v>6051035.040000001</v>
      </c>
      <c r="CJ42" s="60">
        <v>36591.78</v>
      </c>
      <c r="CK42" s="60">
        <v>-87618.7</v>
      </c>
      <c r="CL42" s="60">
        <v>0</v>
      </c>
      <c r="CM42" s="59">
        <f t="shared" si="63"/>
        <v>6000008.120000001</v>
      </c>
      <c r="CN42" s="59">
        <f t="shared" si="49"/>
        <v>6000008.120000001</v>
      </c>
      <c r="CO42" s="60">
        <v>57235.199999999997</v>
      </c>
      <c r="CP42" s="60">
        <v>-47238.82</v>
      </c>
      <c r="CQ42" s="60">
        <v>0</v>
      </c>
      <c r="CR42" s="59">
        <f t="shared" si="64"/>
        <v>6010004.5000000009</v>
      </c>
      <c r="CS42" s="59">
        <f t="shared" si="65"/>
        <v>6010004.5000000009</v>
      </c>
      <c r="CT42" s="60">
        <v>7676.08</v>
      </c>
      <c r="CU42" s="60">
        <v>-16296.73</v>
      </c>
      <c r="CV42" s="60">
        <v>0</v>
      </c>
      <c r="CW42" s="59">
        <f t="shared" si="66"/>
        <v>6001383.8500000006</v>
      </c>
      <c r="CX42" s="59">
        <f t="shared" si="67"/>
        <v>6001383.8500000006</v>
      </c>
      <c r="CY42" s="60">
        <v>71695.38</v>
      </c>
      <c r="CZ42" s="60">
        <v>0</v>
      </c>
      <c r="DA42" s="60">
        <v>0</v>
      </c>
      <c r="DB42" s="59">
        <f t="shared" si="68"/>
        <v>6073079.2300000004</v>
      </c>
      <c r="DC42" s="59">
        <f t="shared" si="69"/>
        <v>6073079.2300000004</v>
      </c>
      <c r="DD42" s="60">
        <v>98223.95</v>
      </c>
      <c r="DE42" s="60">
        <v>-52277.25</v>
      </c>
      <c r="DF42" s="60">
        <v>0</v>
      </c>
      <c r="DG42" s="59">
        <f t="shared" si="70"/>
        <v>6119025.9300000006</v>
      </c>
      <c r="DH42" s="59">
        <f t="shared" si="71"/>
        <v>6119025.9300000006</v>
      </c>
      <c r="DI42" s="60">
        <v>71469.48</v>
      </c>
      <c r="DJ42" s="60">
        <v>-41824.660000000003</v>
      </c>
      <c r="DK42" s="60">
        <v>0</v>
      </c>
      <c r="DL42" s="59">
        <f t="shared" si="72"/>
        <v>6148670.7500000009</v>
      </c>
      <c r="DM42" s="59">
        <f t="shared" si="73"/>
        <v>6148670.7500000009</v>
      </c>
      <c r="DN42" s="60">
        <v>46801.7</v>
      </c>
      <c r="DO42" s="60">
        <v>-18077.13</v>
      </c>
      <c r="DP42" s="60">
        <v>0</v>
      </c>
      <c r="DQ42" s="59">
        <f t="shared" si="74"/>
        <v>6177395.3200000012</v>
      </c>
      <c r="DR42" s="59">
        <f t="shared" si="75"/>
        <v>6177395.3200000012</v>
      </c>
      <c r="DS42" s="60">
        <v>41435.9</v>
      </c>
      <c r="DT42" s="60">
        <v>-18898.060000000001</v>
      </c>
      <c r="DU42" s="60">
        <v>0</v>
      </c>
      <c r="DV42" s="59">
        <f t="shared" si="76"/>
        <v>6199933.160000002</v>
      </c>
      <c r="DW42" s="59">
        <f t="shared" si="77"/>
        <v>6199933.160000002</v>
      </c>
      <c r="DX42" s="60">
        <v>252118.08</v>
      </c>
      <c r="DY42" s="60">
        <v>-20739.13</v>
      </c>
      <c r="DZ42" s="60">
        <v>0</v>
      </c>
      <c r="EA42" s="59">
        <f t="shared" si="78"/>
        <v>6431312.1100000022</v>
      </c>
      <c r="EB42" s="59">
        <f t="shared" si="79"/>
        <v>6431312.1100000022</v>
      </c>
      <c r="EC42" s="60">
        <v>7085.4</v>
      </c>
      <c r="ED42" s="60">
        <v>0</v>
      </c>
      <c r="EE42" s="60">
        <v>0</v>
      </c>
      <c r="EF42" s="59">
        <f t="shared" si="80"/>
        <v>6438397.5100000026</v>
      </c>
      <c r="EG42" s="59">
        <f t="shared" si="81"/>
        <v>6438397.5100000026</v>
      </c>
      <c r="EH42" s="60">
        <v>0</v>
      </c>
      <c r="EI42" s="60">
        <v>-34340.839999999997</v>
      </c>
      <c r="EJ42" s="60">
        <v>0</v>
      </c>
      <c r="EK42" s="59">
        <f t="shared" si="82"/>
        <v>6404056.6700000027</v>
      </c>
      <c r="EL42" s="59">
        <f t="shared" si="83"/>
        <v>6404056.6700000027</v>
      </c>
      <c r="EM42" s="60">
        <v>10881.15</v>
      </c>
      <c r="EN42" s="60">
        <v>-1512.12</v>
      </c>
      <c r="EO42" s="60">
        <v>0</v>
      </c>
      <c r="EP42" s="59">
        <f t="shared" si="84"/>
        <v>6413425.700000003</v>
      </c>
      <c r="EQ42" s="59">
        <f t="shared" si="85"/>
        <v>6413425.700000003</v>
      </c>
      <c r="ER42" s="60">
        <v>62123.78</v>
      </c>
      <c r="ES42" s="60">
        <v>-157503.25</v>
      </c>
      <c r="ET42" s="60">
        <v>0</v>
      </c>
      <c r="EU42" s="59">
        <f t="shared" si="86"/>
        <v>6318046.2300000032</v>
      </c>
      <c r="EV42" s="59">
        <f t="shared" si="87"/>
        <v>6318046.2300000032</v>
      </c>
      <c r="EW42" s="60">
        <v>97171.199999999997</v>
      </c>
      <c r="EX42" s="60">
        <v>-170271.24</v>
      </c>
      <c r="EY42" s="60">
        <v>0</v>
      </c>
      <c r="EZ42" s="59">
        <f t="shared" si="88"/>
        <v>6244946.1900000032</v>
      </c>
      <c r="FA42" s="59">
        <f t="shared" si="89"/>
        <v>6244946.1900000032</v>
      </c>
      <c r="FB42" s="60">
        <v>13032.08</v>
      </c>
      <c r="FC42" s="60">
        <v>-10419.39</v>
      </c>
      <c r="FD42" s="60">
        <v>0</v>
      </c>
      <c r="FE42" s="59">
        <f t="shared" si="90"/>
        <v>6247558.8800000036</v>
      </c>
      <c r="FF42" s="59">
        <f t="shared" si="91"/>
        <v>6247558.8800000036</v>
      </c>
      <c r="FG42" s="60">
        <v>209019.3</v>
      </c>
      <c r="FH42" s="60">
        <v>0</v>
      </c>
      <c r="FI42" s="60">
        <v>0</v>
      </c>
      <c r="FJ42" s="59">
        <f t="shared" si="92"/>
        <v>6456578.1800000034</v>
      </c>
      <c r="FK42" s="59">
        <f t="shared" si="93"/>
        <v>6456578.1800000034</v>
      </c>
      <c r="FL42" s="60">
        <v>166759.95000000001</v>
      </c>
      <c r="FM42" s="60">
        <v>0</v>
      </c>
      <c r="FN42" s="60">
        <v>0</v>
      </c>
      <c r="FO42" s="59">
        <f t="shared" si="94"/>
        <v>6623338.1300000036</v>
      </c>
      <c r="FP42" s="59">
        <f t="shared" si="95"/>
        <v>6623338.1300000036</v>
      </c>
      <c r="FQ42" s="60">
        <v>121337.48</v>
      </c>
      <c r="FR42" s="60">
        <v>0</v>
      </c>
      <c r="FS42" s="60">
        <v>0</v>
      </c>
      <c r="FT42" s="59">
        <f t="shared" si="96"/>
        <v>6744675.6100000041</v>
      </c>
      <c r="FU42" s="59">
        <f t="shared" si="97"/>
        <v>6744675.6100000041</v>
      </c>
      <c r="FV42" s="60">
        <v>79457.7</v>
      </c>
      <c r="FW42" s="60">
        <v>-115245.55</v>
      </c>
      <c r="FX42" s="60">
        <v>0</v>
      </c>
      <c r="FY42" s="59">
        <f t="shared" si="98"/>
        <v>6708887.7600000044</v>
      </c>
      <c r="FZ42" s="59">
        <f t="shared" si="99"/>
        <v>6708887.7600000044</v>
      </c>
      <c r="GA42" s="60">
        <v>70347.899999999994</v>
      </c>
      <c r="GB42" s="60">
        <v>-15629.44</v>
      </c>
      <c r="GC42" s="60">
        <v>0</v>
      </c>
      <c r="GD42" s="59">
        <f t="shared" si="100"/>
        <v>6763606.2200000044</v>
      </c>
      <c r="GE42" s="59">
        <f t="shared" si="101"/>
        <v>6763606.2200000044</v>
      </c>
      <c r="GF42" s="60">
        <v>428034.08</v>
      </c>
      <c r="GG42" s="60">
        <v>-69248.63</v>
      </c>
      <c r="GH42" s="60">
        <v>0</v>
      </c>
      <c r="GI42" s="59">
        <f t="shared" si="102"/>
        <v>7122391.6700000046</v>
      </c>
      <c r="GJ42" s="59"/>
    </row>
    <row r="43" spans="1:192">
      <c r="B43" s="58">
        <v>387.46</v>
      </c>
      <c r="C43" s="57" t="s">
        <v>409</v>
      </c>
      <c r="D43" s="59">
        <v>113644.47</v>
      </c>
      <c r="E43" s="59">
        <v>113644.47</v>
      </c>
      <c r="F43" s="59">
        <v>0</v>
      </c>
      <c r="G43" s="59">
        <v>0</v>
      </c>
      <c r="H43" s="59">
        <v>0</v>
      </c>
      <c r="I43" s="59">
        <v>113644.47</v>
      </c>
      <c r="J43" s="59">
        <v>113644.47</v>
      </c>
      <c r="K43" s="59">
        <v>0</v>
      </c>
      <c r="L43" s="59">
        <v>0</v>
      </c>
      <c r="M43" s="59">
        <v>0</v>
      </c>
      <c r="N43" s="59">
        <v>113644.47</v>
      </c>
      <c r="O43" s="59">
        <v>113644.47</v>
      </c>
      <c r="P43" s="59">
        <v>0</v>
      </c>
      <c r="Q43" s="59">
        <v>0</v>
      </c>
      <c r="R43" s="59">
        <v>0</v>
      </c>
      <c r="S43" s="59">
        <v>113644.47</v>
      </c>
      <c r="T43" s="59">
        <v>113644.47</v>
      </c>
      <c r="U43" s="59">
        <v>0</v>
      </c>
      <c r="V43" s="59">
        <v>0</v>
      </c>
      <c r="W43" s="59">
        <v>0</v>
      </c>
      <c r="X43" s="59">
        <v>113644.47</v>
      </c>
      <c r="Y43" s="59">
        <v>113644.47</v>
      </c>
      <c r="Z43" s="59">
        <v>0</v>
      </c>
      <c r="AA43" s="59">
        <v>0</v>
      </c>
      <c r="AB43" s="59">
        <v>0</v>
      </c>
      <c r="AC43" s="59">
        <v>113644.47</v>
      </c>
      <c r="AD43" s="59">
        <v>113644.47</v>
      </c>
      <c r="AE43" s="59">
        <v>0</v>
      </c>
      <c r="AF43" s="59">
        <v>0</v>
      </c>
      <c r="AG43" s="59">
        <v>0</v>
      </c>
      <c r="AH43" s="59">
        <v>113644.47</v>
      </c>
      <c r="AI43" s="59">
        <v>113644.47</v>
      </c>
      <c r="AJ43" s="59">
        <v>0</v>
      </c>
      <c r="AK43" s="59">
        <v>0</v>
      </c>
      <c r="AL43" s="59">
        <v>0</v>
      </c>
      <c r="AM43" s="59">
        <v>113644.47</v>
      </c>
      <c r="AN43" s="59">
        <v>113644.47</v>
      </c>
      <c r="AO43" s="59">
        <v>0</v>
      </c>
      <c r="AP43" s="59">
        <v>0</v>
      </c>
      <c r="AQ43" s="59">
        <v>0</v>
      </c>
      <c r="AR43" s="59">
        <v>113644.47</v>
      </c>
      <c r="AS43" s="59">
        <v>113644.47</v>
      </c>
      <c r="AT43" s="59">
        <v>0</v>
      </c>
      <c r="AU43" s="59">
        <v>0</v>
      </c>
      <c r="AV43" s="59">
        <v>0</v>
      </c>
      <c r="AW43" s="59">
        <v>113644.47</v>
      </c>
      <c r="AX43" s="59">
        <v>113644.47</v>
      </c>
      <c r="AY43" s="59">
        <v>0</v>
      </c>
      <c r="AZ43" s="59">
        <v>0</v>
      </c>
      <c r="BA43" s="59">
        <v>0</v>
      </c>
      <c r="BB43" s="59">
        <v>113644.47</v>
      </c>
      <c r="BC43" s="59">
        <v>113644.47</v>
      </c>
      <c r="BD43" s="59">
        <v>0</v>
      </c>
      <c r="BE43" s="59">
        <v>0</v>
      </c>
      <c r="BF43" s="59">
        <v>0</v>
      </c>
      <c r="BG43" s="59">
        <v>113644.47</v>
      </c>
      <c r="BH43" s="59">
        <v>113644.47</v>
      </c>
      <c r="BI43" s="59">
        <v>0</v>
      </c>
      <c r="BJ43" s="59">
        <v>0</v>
      </c>
      <c r="BK43" s="59">
        <v>0</v>
      </c>
      <c r="BL43" s="59">
        <v>113644.47</v>
      </c>
      <c r="BM43" s="59">
        <f t="shared" si="41"/>
        <v>113644.47</v>
      </c>
      <c r="BN43" s="59">
        <v>0</v>
      </c>
      <c r="BO43" s="59">
        <v>0</v>
      </c>
      <c r="BP43" s="59">
        <v>0</v>
      </c>
      <c r="BQ43" s="59">
        <f t="shared" si="103"/>
        <v>113644.47</v>
      </c>
      <c r="BR43" s="59">
        <f t="shared" si="43"/>
        <v>113644.47</v>
      </c>
      <c r="BS43" s="59">
        <v>0</v>
      </c>
      <c r="BT43" s="59">
        <v>0</v>
      </c>
      <c r="BU43" s="59">
        <v>0</v>
      </c>
      <c r="BV43" s="59">
        <f t="shared" si="104"/>
        <v>113644.47</v>
      </c>
      <c r="BW43" s="59">
        <f t="shared" si="45"/>
        <v>113644.47</v>
      </c>
      <c r="BX43" s="59">
        <v>0</v>
      </c>
      <c r="BY43" s="59">
        <v>0</v>
      </c>
      <c r="BZ43" s="59">
        <v>0</v>
      </c>
      <c r="CA43" s="59">
        <f t="shared" si="105"/>
        <v>113644.47</v>
      </c>
      <c r="CD43" s="59">
        <f t="shared" si="47"/>
        <v>113644.47</v>
      </c>
      <c r="CE43" s="60">
        <v>0</v>
      </c>
      <c r="CF43" s="60">
        <v>0</v>
      </c>
      <c r="CG43" s="60">
        <v>0</v>
      </c>
      <c r="CH43" s="59">
        <f t="shared" si="62"/>
        <v>113644.47</v>
      </c>
      <c r="CI43" s="59">
        <f t="shared" si="48"/>
        <v>113644.47</v>
      </c>
      <c r="CJ43" s="60">
        <v>0</v>
      </c>
      <c r="CK43" s="60">
        <v>0</v>
      </c>
      <c r="CL43" s="60">
        <v>0</v>
      </c>
      <c r="CM43" s="59">
        <f t="shared" si="63"/>
        <v>113644.47</v>
      </c>
      <c r="CN43" s="59">
        <f t="shared" si="49"/>
        <v>113644.47</v>
      </c>
      <c r="CO43" s="60">
        <v>0</v>
      </c>
      <c r="CP43" s="60">
        <v>0</v>
      </c>
      <c r="CQ43" s="60">
        <v>0</v>
      </c>
      <c r="CR43" s="59">
        <f t="shared" si="64"/>
        <v>113644.47</v>
      </c>
      <c r="CS43" s="59">
        <f t="shared" si="65"/>
        <v>113644.47</v>
      </c>
      <c r="CT43" s="60">
        <v>0</v>
      </c>
      <c r="CU43" s="60">
        <v>0</v>
      </c>
      <c r="CV43" s="60">
        <v>0</v>
      </c>
      <c r="CW43" s="59">
        <f t="shared" si="66"/>
        <v>113644.47</v>
      </c>
      <c r="CX43" s="59">
        <f t="shared" si="67"/>
        <v>113644.47</v>
      </c>
      <c r="CY43" s="60">
        <v>0</v>
      </c>
      <c r="CZ43" s="60">
        <v>0</v>
      </c>
      <c r="DA43" s="60">
        <v>0</v>
      </c>
      <c r="DB43" s="59">
        <f t="shared" si="68"/>
        <v>113644.47</v>
      </c>
      <c r="DC43" s="59">
        <f t="shared" si="69"/>
        <v>113644.47</v>
      </c>
      <c r="DD43" s="60">
        <v>0</v>
      </c>
      <c r="DE43" s="60">
        <v>0</v>
      </c>
      <c r="DF43" s="60">
        <v>0</v>
      </c>
      <c r="DG43" s="59">
        <f t="shared" si="70"/>
        <v>113644.47</v>
      </c>
      <c r="DH43" s="59">
        <f t="shared" si="71"/>
        <v>113644.47</v>
      </c>
      <c r="DI43" s="60">
        <v>0</v>
      </c>
      <c r="DJ43" s="60">
        <v>0</v>
      </c>
      <c r="DK43" s="60">
        <v>0</v>
      </c>
      <c r="DL43" s="59">
        <f t="shared" si="72"/>
        <v>113644.47</v>
      </c>
      <c r="DM43" s="59">
        <f t="shared" si="73"/>
        <v>113644.47</v>
      </c>
      <c r="DN43" s="60">
        <v>0</v>
      </c>
      <c r="DO43" s="60">
        <v>0</v>
      </c>
      <c r="DP43" s="60">
        <v>0</v>
      </c>
      <c r="DQ43" s="59">
        <f t="shared" si="74"/>
        <v>113644.47</v>
      </c>
      <c r="DR43" s="59">
        <f t="shared" si="75"/>
        <v>113644.47</v>
      </c>
      <c r="DS43" s="60">
        <v>0</v>
      </c>
      <c r="DT43" s="60">
        <v>0</v>
      </c>
      <c r="DU43" s="60">
        <v>0</v>
      </c>
      <c r="DV43" s="59">
        <f t="shared" si="76"/>
        <v>113644.47</v>
      </c>
      <c r="DW43" s="59">
        <f t="shared" si="77"/>
        <v>113644.47</v>
      </c>
      <c r="DX43" s="60">
        <v>0</v>
      </c>
      <c r="DY43" s="60">
        <v>0</v>
      </c>
      <c r="DZ43" s="60">
        <v>0</v>
      </c>
      <c r="EA43" s="59">
        <f t="shared" si="78"/>
        <v>113644.47</v>
      </c>
      <c r="EB43" s="59">
        <f t="shared" si="79"/>
        <v>113644.47</v>
      </c>
      <c r="EC43" s="60">
        <v>0</v>
      </c>
      <c r="ED43" s="60">
        <v>0</v>
      </c>
      <c r="EE43" s="60">
        <v>0</v>
      </c>
      <c r="EF43" s="59">
        <f t="shared" si="80"/>
        <v>113644.47</v>
      </c>
      <c r="EG43" s="59">
        <f t="shared" si="81"/>
        <v>113644.47</v>
      </c>
      <c r="EH43" s="60">
        <v>0</v>
      </c>
      <c r="EI43" s="60">
        <v>0</v>
      </c>
      <c r="EJ43" s="60">
        <v>0</v>
      </c>
      <c r="EK43" s="59">
        <f t="shared" si="82"/>
        <v>113644.47</v>
      </c>
      <c r="EL43" s="59">
        <f t="shared" si="83"/>
        <v>113644.47</v>
      </c>
      <c r="EM43" s="60">
        <v>0</v>
      </c>
      <c r="EN43" s="60">
        <v>0</v>
      </c>
      <c r="EO43" s="60">
        <v>0</v>
      </c>
      <c r="EP43" s="59">
        <f t="shared" si="84"/>
        <v>113644.47</v>
      </c>
      <c r="EQ43" s="59">
        <f t="shared" si="85"/>
        <v>113644.47</v>
      </c>
      <c r="ER43" s="60">
        <v>0</v>
      </c>
      <c r="ES43" s="60">
        <v>0</v>
      </c>
      <c r="ET43" s="60">
        <v>0</v>
      </c>
      <c r="EU43" s="59">
        <f t="shared" si="86"/>
        <v>113644.47</v>
      </c>
      <c r="EV43" s="59">
        <f t="shared" si="87"/>
        <v>113644.47</v>
      </c>
      <c r="EW43" s="60">
        <v>0</v>
      </c>
      <c r="EX43" s="60">
        <v>0</v>
      </c>
      <c r="EY43" s="60">
        <v>0</v>
      </c>
      <c r="EZ43" s="59">
        <f t="shared" si="88"/>
        <v>113644.47</v>
      </c>
      <c r="FA43" s="59">
        <f t="shared" si="89"/>
        <v>113644.47</v>
      </c>
      <c r="FB43" s="60">
        <v>0</v>
      </c>
      <c r="FC43" s="60">
        <v>0</v>
      </c>
      <c r="FD43" s="60">
        <v>0</v>
      </c>
      <c r="FE43" s="59">
        <f t="shared" si="90"/>
        <v>113644.47</v>
      </c>
      <c r="FF43" s="59">
        <f t="shared" si="91"/>
        <v>113644.47</v>
      </c>
      <c r="FG43" s="60">
        <v>0</v>
      </c>
      <c r="FH43" s="60">
        <v>0</v>
      </c>
      <c r="FI43" s="60">
        <v>0</v>
      </c>
      <c r="FJ43" s="59">
        <f t="shared" si="92"/>
        <v>113644.47</v>
      </c>
      <c r="FK43" s="59">
        <f t="shared" si="93"/>
        <v>113644.47</v>
      </c>
      <c r="FL43" s="60">
        <v>0</v>
      </c>
      <c r="FM43" s="60">
        <v>0</v>
      </c>
      <c r="FN43" s="60">
        <v>0</v>
      </c>
      <c r="FO43" s="59">
        <f t="shared" si="94"/>
        <v>113644.47</v>
      </c>
      <c r="FP43" s="59">
        <f t="shared" si="95"/>
        <v>113644.47</v>
      </c>
      <c r="FQ43" s="60">
        <v>0</v>
      </c>
      <c r="FR43" s="60">
        <v>0</v>
      </c>
      <c r="FS43" s="60">
        <v>0</v>
      </c>
      <c r="FT43" s="59">
        <f t="shared" si="96"/>
        <v>113644.47</v>
      </c>
      <c r="FU43" s="59">
        <f t="shared" si="97"/>
        <v>113644.47</v>
      </c>
      <c r="FV43" s="60">
        <v>0</v>
      </c>
      <c r="FW43" s="60">
        <v>0</v>
      </c>
      <c r="FX43" s="60">
        <v>0</v>
      </c>
      <c r="FY43" s="59">
        <f t="shared" si="98"/>
        <v>113644.47</v>
      </c>
      <c r="FZ43" s="59">
        <f t="shared" si="99"/>
        <v>113644.47</v>
      </c>
      <c r="GA43" s="60">
        <v>0</v>
      </c>
      <c r="GB43" s="60">
        <v>0</v>
      </c>
      <c r="GC43" s="60">
        <v>0</v>
      </c>
      <c r="GD43" s="59">
        <f t="shared" si="100"/>
        <v>113644.47</v>
      </c>
      <c r="GE43" s="59">
        <f t="shared" si="101"/>
        <v>113644.47</v>
      </c>
      <c r="GF43" s="60">
        <v>0</v>
      </c>
      <c r="GG43" s="60">
        <v>0</v>
      </c>
      <c r="GH43" s="60">
        <v>0</v>
      </c>
      <c r="GI43" s="59">
        <f t="shared" si="102"/>
        <v>113644.47</v>
      </c>
      <c r="GJ43" s="59"/>
    </row>
    <row r="44" spans="1:192">
      <c r="B44" s="58">
        <v>387.5</v>
      </c>
      <c r="C44" s="57" t="s">
        <v>1075</v>
      </c>
      <c r="D44" s="59">
        <v>235051.94</v>
      </c>
      <c r="E44" s="59">
        <v>235051.94</v>
      </c>
      <c r="F44" s="59">
        <v>0</v>
      </c>
      <c r="G44" s="59">
        <v>0</v>
      </c>
      <c r="H44" s="59">
        <v>0</v>
      </c>
      <c r="I44" s="59">
        <v>235051.94</v>
      </c>
      <c r="J44" s="59">
        <v>235051.94</v>
      </c>
      <c r="K44" s="59">
        <v>0</v>
      </c>
      <c r="L44" s="59">
        <v>0</v>
      </c>
      <c r="M44" s="59">
        <v>0</v>
      </c>
      <c r="N44" s="59">
        <v>235051.94</v>
      </c>
      <c r="O44" s="59">
        <v>235051.94</v>
      </c>
      <c r="P44" s="59">
        <v>0</v>
      </c>
      <c r="Q44" s="59">
        <v>0</v>
      </c>
      <c r="R44" s="59">
        <v>0</v>
      </c>
      <c r="S44" s="59">
        <v>235051.94</v>
      </c>
      <c r="T44" s="59">
        <v>235051.94</v>
      </c>
      <c r="U44" s="59">
        <v>0</v>
      </c>
      <c r="V44" s="59">
        <v>0</v>
      </c>
      <c r="W44" s="59">
        <v>0</v>
      </c>
      <c r="X44" s="59">
        <v>235051.94</v>
      </c>
      <c r="Y44" s="59">
        <v>235051.94</v>
      </c>
      <c r="Z44" s="59">
        <v>0</v>
      </c>
      <c r="AA44" s="59">
        <v>0</v>
      </c>
      <c r="AB44" s="59">
        <v>0</v>
      </c>
      <c r="AC44" s="59">
        <v>235051.94</v>
      </c>
      <c r="AD44" s="59">
        <v>235051.94</v>
      </c>
      <c r="AE44" s="59">
        <v>0</v>
      </c>
      <c r="AF44" s="59">
        <v>0</v>
      </c>
      <c r="AG44" s="59">
        <v>0</v>
      </c>
      <c r="AH44" s="59">
        <v>235051.94</v>
      </c>
      <c r="AI44" s="59">
        <v>235051.94</v>
      </c>
      <c r="AJ44" s="59">
        <v>0</v>
      </c>
      <c r="AK44" s="59">
        <v>0</v>
      </c>
      <c r="AL44" s="59">
        <v>0</v>
      </c>
      <c r="AM44" s="59">
        <v>235051.94</v>
      </c>
      <c r="AN44" s="59">
        <v>235051.94</v>
      </c>
      <c r="AO44" s="59">
        <v>3020.75</v>
      </c>
      <c r="AP44" s="59">
        <v>0</v>
      </c>
      <c r="AQ44" s="59">
        <v>0</v>
      </c>
      <c r="AR44" s="59">
        <v>238072.69</v>
      </c>
      <c r="AS44" s="59">
        <v>238072.69</v>
      </c>
      <c r="AT44" s="59">
        <v>-3020.75</v>
      </c>
      <c r="AU44" s="59">
        <v>0</v>
      </c>
      <c r="AV44" s="59">
        <v>0</v>
      </c>
      <c r="AW44" s="59">
        <v>235051.94</v>
      </c>
      <c r="AX44" s="59">
        <v>235051.94</v>
      </c>
      <c r="AY44" s="59">
        <v>0</v>
      </c>
      <c r="AZ44" s="59">
        <v>0</v>
      </c>
      <c r="BA44" s="59">
        <v>0</v>
      </c>
      <c r="BB44" s="59">
        <v>235051.94</v>
      </c>
      <c r="BC44" s="59">
        <v>235051.94</v>
      </c>
      <c r="BD44" s="59">
        <v>3020.75</v>
      </c>
      <c r="BE44" s="59">
        <v>0</v>
      </c>
      <c r="BF44" s="59">
        <v>0</v>
      </c>
      <c r="BG44" s="59">
        <v>238072.69</v>
      </c>
      <c r="BH44" s="59">
        <v>238072.69</v>
      </c>
      <c r="BI44" s="59">
        <v>0</v>
      </c>
      <c r="BJ44" s="59">
        <v>0</v>
      </c>
      <c r="BK44" s="59">
        <v>0</v>
      </c>
      <c r="BL44" s="59">
        <v>238072.69</v>
      </c>
      <c r="BM44" s="59">
        <f t="shared" si="41"/>
        <v>238072.69</v>
      </c>
      <c r="BN44" s="59">
        <v>0</v>
      </c>
      <c r="BO44" s="59">
        <v>0</v>
      </c>
      <c r="BP44" s="59">
        <v>0</v>
      </c>
      <c r="BQ44" s="59">
        <f t="shared" si="103"/>
        <v>238072.69</v>
      </c>
      <c r="BR44" s="59">
        <f t="shared" si="43"/>
        <v>238072.69</v>
      </c>
      <c r="BS44" s="59">
        <v>0</v>
      </c>
      <c r="BT44" s="59">
        <v>0</v>
      </c>
      <c r="BU44" s="59">
        <v>0</v>
      </c>
      <c r="BV44" s="59">
        <f t="shared" si="104"/>
        <v>238072.69</v>
      </c>
      <c r="BW44" s="59">
        <f t="shared" si="45"/>
        <v>238072.69</v>
      </c>
      <c r="BX44" s="59">
        <v>0</v>
      </c>
      <c r="BY44" s="59">
        <v>0</v>
      </c>
      <c r="BZ44" s="59">
        <v>0</v>
      </c>
      <c r="CA44" s="59">
        <f t="shared" si="105"/>
        <v>238072.69</v>
      </c>
      <c r="CD44" s="59">
        <f t="shared" si="47"/>
        <v>238072.69</v>
      </c>
      <c r="CE44" s="60">
        <v>0</v>
      </c>
      <c r="CF44" s="60">
        <v>0</v>
      </c>
      <c r="CG44" s="60">
        <v>0</v>
      </c>
      <c r="CH44" s="59">
        <f t="shared" si="62"/>
        <v>238072.69</v>
      </c>
      <c r="CI44" s="59">
        <f t="shared" si="48"/>
        <v>238072.69</v>
      </c>
      <c r="CJ44" s="60">
        <v>0</v>
      </c>
      <c r="CK44" s="60">
        <v>0</v>
      </c>
      <c r="CL44" s="60">
        <v>0</v>
      </c>
      <c r="CM44" s="59">
        <f t="shared" si="63"/>
        <v>238072.69</v>
      </c>
      <c r="CN44" s="59">
        <f t="shared" si="49"/>
        <v>238072.69</v>
      </c>
      <c r="CO44" s="60">
        <v>0</v>
      </c>
      <c r="CP44" s="60">
        <v>0</v>
      </c>
      <c r="CQ44" s="60">
        <v>0</v>
      </c>
      <c r="CR44" s="59">
        <f t="shared" si="64"/>
        <v>238072.69</v>
      </c>
      <c r="CS44" s="59">
        <f t="shared" si="65"/>
        <v>238072.69</v>
      </c>
      <c r="CT44" s="60">
        <v>0</v>
      </c>
      <c r="CU44" s="60">
        <v>0</v>
      </c>
      <c r="CV44" s="60">
        <v>0</v>
      </c>
      <c r="CW44" s="59">
        <f t="shared" si="66"/>
        <v>238072.69</v>
      </c>
      <c r="CX44" s="59">
        <f t="shared" si="67"/>
        <v>238072.69</v>
      </c>
      <c r="CY44" s="60">
        <v>0</v>
      </c>
      <c r="CZ44" s="60">
        <v>0</v>
      </c>
      <c r="DA44" s="60">
        <v>0</v>
      </c>
      <c r="DB44" s="59">
        <f t="shared" si="68"/>
        <v>238072.69</v>
      </c>
      <c r="DC44" s="59">
        <f t="shared" si="69"/>
        <v>238072.69</v>
      </c>
      <c r="DD44" s="60">
        <v>0</v>
      </c>
      <c r="DE44" s="60">
        <v>0</v>
      </c>
      <c r="DF44" s="60">
        <v>0</v>
      </c>
      <c r="DG44" s="59">
        <f t="shared" si="70"/>
        <v>238072.69</v>
      </c>
      <c r="DH44" s="59">
        <f t="shared" si="71"/>
        <v>238072.69</v>
      </c>
      <c r="DI44" s="60">
        <v>0</v>
      </c>
      <c r="DJ44" s="60">
        <v>0</v>
      </c>
      <c r="DK44" s="60">
        <v>0</v>
      </c>
      <c r="DL44" s="59">
        <f t="shared" si="72"/>
        <v>238072.69</v>
      </c>
      <c r="DM44" s="59">
        <f t="shared" si="73"/>
        <v>238072.69</v>
      </c>
      <c r="DN44" s="60">
        <v>0</v>
      </c>
      <c r="DO44" s="60">
        <v>0</v>
      </c>
      <c r="DP44" s="60">
        <v>0</v>
      </c>
      <c r="DQ44" s="59">
        <f t="shared" si="74"/>
        <v>238072.69</v>
      </c>
      <c r="DR44" s="59">
        <f t="shared" si="75"/>
        <v>238072.69</v>
      </c>
      <c r="DS44" s="60">
        <v>0</v>
      </c>
      <c r="DT44" s="60">
        <v>0</v>
      </c>
      <c r="DU44" s="60">
        <v>0</v>
      </c>
      <c r="DV44" s="59">
        <f t="shared" si="76"/>
        <v>238072.69</v>
      </c>
      <c r="DW44" s="59">
        <f t="shared" si="77"/>
        <v>238072.69</v>
      </c>
      <c r="DX44" s="60">
        <v>0</v>
      </c>
      <c r="DY44" s="60">
        <v>0</v>
      </c>
      <c r="DZ44" s="60">
        <v>0</v>
      </c>
      <c r="EA44" s="59">
        <f t="shared" si="78"/>
        <v>238072.69</v>
      </c>
      <c r="EB44" s="59">
        <f t="shared" si="79"/>
        <v>238072.69</v>
      </c>
      <c r="EC44" s="60">
        <v>0</v>
      </c>
      <c r="ED44" s="60">
        <v>0</v>
      </c>
      <c r="EE44" s="60">
        <v>0</v>
      </c>
      <c r="EF44" s="59">
        <f t="shared" si="80"/>
        <v>238072.69</v>
      </c>
      <c r="EG44" s="59">
        <f t="shared" si="81"/>
        <v>238072.69</v>
      </c>
      <c r="EH44" s="60">
        <v>0</v>
      </c>
      <c r="EI44" s="60">
        <v>0</v>
      </c>
      <c r="EJ44" s="60">
        <v>0</v>
      </c>
      <c r="EK44" s="59">
        <f t="shared" si="82"/>
        <v>238072.69</v>
      </c>
      <c r="EL44" s="59">
        <f t="shared" si="83"/>
        <v>238072.69</v>
      </c>
      <c r="EM44" s="60">
        <v>0</v>
      </c>
      <c r="EN44" s="60">
        <v>0</v>
      </c>
      <c r="EO44" s="60">
        <v>0</v>
      </c>
      <c r="EP44" s="59">
        <f t="shared" si="84"/>
        <v>238072.69</v>
      </c>
      <c r="EQ44" s="59">
        <f t="shared" si="85"/>
        <v>238072.69</v>
      </c>
      <c r="ER44" s="60">
        <v>0</v>
      </c>
      <c r="ES44" s="60">
        <v>0</v>
      </c>
      <c r="ET44" s="60">
        <v>0</v>
      </c>
      <c r="EU44" s="59">
        <f t="shared" si="86"/>
        <v>238072.69</v>
      </c>
      <c r="EV44" s="59">
        <f t="shared" si="87"/>
        <v>238072.69</v>
      </c>
      <c r="EW44" s="60">
        <v>0</v>
      </c>
      <c r="EX44" s="60">
        <v>0</v>
      </c>
      <c r="EY44" s="60">
        <v>0</v>
      </c>
      <c r="EZ44" s="59">
        <f t="shared" si="88"/>
        <v>238072.69</v>
      </c>
      <c r="FA44" s="59">
        <f t="shared" si="89"/>
        <v>238072.69</v>
      </c>
      <c r="FB44" s="60">
        <v>0</v>
      </c>
      <c r="FC44" s="60">
        <v>0</v>
      </c>
      <c r="FD44" s="60">
        <v>0</v>
      </c>
      <c r="FE44" s="59">
        <f t="shared" si="90"/>
        <v>238072.69</v>
      </c>
      <c r="FF44" s="59">
        <f t="shared" si="91"/>
        <v>238072.69</v>
      </c>
      <c r="FG44" s="60">
        <v>0</v>
      </c>
      <c r="FH44" s="60">
        <v>0</v>
      </c>
      <c r="FI44" s="60">
        <v>0</v>
      </c>
      <c r="FJ44" s="59">
        <f t="shared" si="92"/>
        <v>238072.69</v>
      </c>
      <c r="FK44" s="59">
        <f t="shared" si="93"/>
        <v>238072.69</v>
      </c>
      <c r="FL44" s="60">
        <v>0</v>
      </c>
      <c r="FM44" s="60">
        <v>0</v>
      </c>
      <c r="FN44" s="60">
        <v>0</v>
      </c>
      <c r="FO44" s="59">
        <f t="shared" si="94"/>
        <v>238072.69</v>
      </c>
      <c r="FP44" s="59">
        <f t="shared" si="95"/>
        <v>238072.69</v>
      </c>
      <c r="FQ44" s="60">
        <v>0</v>
      </c>
      <c r="FR44" s="60">
        <v>0</v>
      </c>
      <c r="FS44" s="60">
        <v>0</v>
      </c>
      <c r="FT44" s="59">
        <f t="shared" si="96"/>
        <v>238072.69</v>
      </c>
      <c r="FU44" s="59">
        <f t="shared" si="97"/>
        <v>238072.69</v>
      </c>
      <c r="FV44" s="60">
        <v>0</v>
      </c>
      <c r="FW44" s="60">
        <v>0</v>
      </c>
      <c r="FX44" s="60">
        <v>0</v>
      </c>
      <c r="FY44" s="59">
        <f t="shared" si="98"/>
        <v>238072.69</v>
      </c>
      <c r="FZ44" s="59">
        <f t="shared" si="99"/>
        <v>238072.69</v>
      </c>
      <c r="GA44" s="60">
        <v>0</v>
      </c>
      <c r="GB44" s="60">
        <v>0</v>
      </c>
      <c r="GC44" s="60">
        <v>0</v>
      </c>
      <c r="GD44" s="59">
        <f t="shared" si="100"/>
        <v>238072.69</v>
      </c>
      <c r="GE44" s="59">
        <f t="shared" si="101"/>
        <v>238072.69</v>
      </c>
      <c r="GF44" s="60">
        <v>0</v>
      </c>
      <c r="GG44" s="60">
        <v>0</v>
      </c>
      <c r="GH44" s="60">
        <v>0</v>
      </c>
      <c r="GI44" s="59">
        <f t="shared" si="102"/>
        <v>238072.69</v>
      </c>
      <c r="GJ44" s="59"/>
    </row>
    <row r="45" spans="1:192" s="41" customFormat="1">
      <c r="A45" s="61" t="s">
        <v>1685</v>
      </c>
      <c r="B45" s="62"/>
      <c r="C45" s="61"/>
      <c r="D45" s="63">
        <f>SUM(D15:D44)</f>
        <v>700564696.3900001</v>
      </c>
      <c r="E45" s="63">
        <f>SUM(E15:E44)</f>
        <v>700564696.3900001</v>
      </c>
      <c r="F45" s="63">
        <f t="shared" ref="F45:BQ45" si="106">SUM(F15:F44)</f>
        <v>2684489.8300000005</v>
      </c>
      <c r="G45" s="63">
        <f t="shared" si="106"/>
        <v>-475423.41000000003</v>
      </c>
      <c r="H45" s="63">
        <f t="shared" si="106"/>
        <v>0</v>
      </c>
      <c r="I45" s="63">
        <f t="shared" si="106"/>
        <v>702773762.81000006</v>
      </c>
      <c r="J45" s="63">
        <f t="shared" si="106"/>
        <v>702773762.81000006</v>
      </c>
      <c r="K45" s="63">
        <f t="shared" si="106"/>
        <v>4354955.32</v>
      </c>
      <c r="L45" s="63">
        <f t="shared" si="106"/>
        <v>-246035.58000000005</v>
      </c>
      <c r="M45" s="63">
        <f t="shared" si="106"/>
        <v>0</v>
      </c>
      <c r="N45" s="63">
        <f t="shared" si="106"/>
        <v>706882682.55000031</v>
      </c>
      <c r="O45" s="63">
        <f t="shared" si="106"/>
        <v>706882682.55000031</v>
      </c>
      <c r="P45" s="63">
        <f t="shared" si="106"/>
        <v>6496462.8199999994</v>
      </c>
      <c r="Q45" s="63">
        <f t="shared" si="106"/>
        <v>-478067.01999999996</v>
      </c>
      <c r="R45" s="63">
        <f t="shared" si="106"/>
        <v>0</v>
      </c>
      <c r="S45" s="63">
        <f t="shared" si="106"/>
        <v>712901078.35000014</v>
      </c>
      <c r="T45" s="63">
        <f t="shared" si="106"/>
        <v>712901078.35000014</v>
      </c>
      <c r="U45" s="63">
        <f t="shared" si="106"/>
        <v>3309091.4000000008</v>
      </c>
      <c r="V45" s="63">
        <f t="shared" si="106"/>
        <v>-3777396.38</v>
      </c>
      <c r="W45" s="63">
        <f t="shared" si="106"/>
        <v>0</v>
      </c>
      <c r="X45" s="63">
        <f t="shared" si="106"/>
        <v>712427584.19000018</v>
      </c>
      <c r="Y45" s="63">
        <f t="shared" si="106"/>
        <v>712427584.19000018</v>
      </c>
      <c r="Z45" s="63">
        <f t="shared" si="106"/>
        <v>8118724.8499999996</v>
      </c>
      <c r="AA45" s="63">
        <f t="shared" si="106"/>
        <v>-844740.51</v>
      </c>
      <c r="AB45" s="63">
        <f t="shared" si="106"/>
        <v>0</v>
      </c>
      <c r="AC45" s="63">
        <f t="shared" si="106"/>
        <v>719701568.52999985</v>
      </c>
      <c r="AD45" s="63">
        <f t="shared" si="106"/>
        <v>719701568.52999985</v>
      </c>
      <c r="AE45" s="63">
        <f t="shared" si="106"/>
        <v>6380003.1400000006</v>
      </c>
      <c r="AF45" s="63">
        <f t="shared" si="106"/>
        <v>-841224.1</v>
      </c>
      <c r="AG45" s="63">
        <f t="shared" si="106"/>
        <v>0</v>
      </c>
      <c r="AH45" s="63">
        <f t="shared" si="106"/>
        <v>725240347.57000017</v>
      </c>
      <c r="AI45" s="63">
        <f t="shared" si="106"/>
        <v>725240347.57000017</v>
      </c>
      <c r="AJ45" s="63">
        <f t="shared" si="106"/>
        <v>5424283.6400000006</v>
      </c>
      <c r="AK45" s="63">
        <f t="shared" si="106"/>
        <v>-637118.44000000006</v>
      </c>
      <c r="AL45" s="63">
        <f t="shared" si="106"/>
        <v>0</v>
      </c>
      <c r="AM45" s="63">
        <f t="shared" si="106"/>
        <v>730027512.76999998</v>
      </c>
      <c r="AN45" s="63">
        <f t="shared" si="106"/>
        <v>730027512.76999998</v>
      </c>
      <c r="AO45" s="63">
        <f t="shared" si="106"/>
        <v>4827573.1400000006</v>
      </c>
      <c r="AP45" s="63">
        <f t="shared" si="106"/>
        <v>-392640.00000000006</v>
      </c>
      <c r="AQ45" s="63">
        <f t="shared" si="106"/>
        <v>0</v>
      </c>
      <c r="AR45" s="63">
        <f t="shared" si="106"/>
        <v>734462445.91000009</v>
      </c>
      <c r="AS45" s="63">
        <f t="shared" si="106"/>
        <v>734462445.91000009</v>
      </c>
      <c r="AT45" s="63">
        <f t="shared" si="106"/>
        <v>9505790.9700000025</v>
      </c>
      <c r="AU45" s="63">
        <f t="shared" si="106"/>
        <v>-890185.46000000008</v>
      </c>
      <c r="AV45" s="63">
        <f t="shared" si="106"/>
        <v>0</v>
      </c>
      <c r="AW45" s="63">
        <f t="shared" si="106"/>
        <v>743078051.42000008</v>
      </c>
      <c r="AX45" s="63">
        <f t="shared" si="106"/>
        <v>743078051.42000008</v>
      </c>
      <c r="AY45" s="63">
        <f t="shared" si="106"/>
        <v>7645636.2799999993</v>
      </c>
      <c r="AZ45" s="63">
        <f t="shared" si="106"/>
        <v>-284570.02999999997</v>
      </c>
      <c r="BA45" s="63">
        <f t="shared" si="106"/>
        <v>0</v>
      </c>
      <c r="BB45" s="63">
        <f t="shared" si="106"/>
        <v>750439117.66999996</v>
      </c>
      <c r="BC45" s="63">
        <f t="shared" si="106"/>
        <v>750439117.66999996</v>
      </c>
      <c r="BD45" s="63">
        <f t="shared" si="106"/>
        <v>6718364.29</v>
      </c>
      <c r="BE45" s="63">
        <f t="shared" si="106"/>
        <v>-611262.11</v>
      </c>
      <c r="BF45" s="63">
        <f t="shared" si="106"/>
        <v>0</v>
      </c>
      <c r="BG45" s="63">
        <f t="shared" si="106"/>
        <v>756546219.85000002</v>
      </c>
      <c r="BH45" s="63">
        <f t="shared" si="106"/>
        <v>756546219.85000002</v>
      </c>
      <c r="BI45" s="63">
        <f t="shared" si="106"/>
        <v>8488632.8899999987</v>
      </c>
      <c r="BJ45" s="63">
        <f t="shared" si="106"/>
        <v>-1097559.49</v>
      </c>
      <c r="BK45" s="63">
        <f t="shared" si="106"/>
        <v>0</v>
      </c>
      <c r="BL45" s="63">
        <f t="shared" si="106"/>
        <v>763937293.25000012</v>
      </c>
      <c r="BM45" s="63">
        <f t="shared" si="106"/>
        <v>763937293.25000012</v>
      </c>
      <c r="BN45" s="63">
        <f t="shared" si="106"/>
        <v>2428469.4600000009</v>
      </c>
      <c r="BO45" s="63">
        <f t="shared" si="106"/>
        <v>-232548.23</v>
      </c>
      <c r="BP45" s="63">
        <f t="shared" si="106"/>
        <v>0</v>
      </c>
      <c r="BQ45" s="63">
        <f t="shared" si="106"/>
        <v>766133214.48000014</v>
      </c>
      <c r="BR45" s="63">
        <f t="shared" ref="BR45:CA45" si="107">SUM(BR15:BR44)</f>
        <v>766133214.48000014</v>
      </c>
      <c r="BS45" s="63">
        <f t="shared" si="107"/>
        <v>3390819.0499999993</v>
      </c>
      <c r="BT45" s="63">
        <f t="shared" si="107"/>
        <v>-291324.2</v>
      </c>
      <c r="BU45" s="63">
        <f t="shared" si="107"/>
        <v>0</v>
      </c>
      <c r="BV45" s="63">
        <f t="shared" si="107"/>
        <v>769232709.32999992</v>
      </c>
      <c r="BW45" s="63">
        <f t="shared" si="107"/>
        <v>769232709.32999992</v>
      </c>
      <c r="BX45" s="63">
        <f t="shared" si="107"/>
        <v>4270188.0099999988</v>
      </c>
      <c r="BY45" s="63">
        <f t="shared" si="107"/>
        <v>-593361.95000000007</v>
      </c>
      <c r="BZ45" s="63">
        <f t="shared" si="107"/>
        <v>0</v>
      </c>
      <c r="CA45" s="63">
        <f t="shared" si="107"/>
        <v>772909535.3900001</v>
      </c>
      <c r="CD45" s="63">
        <f t="shared" ref="CD45:DI45" si="108">SUM(CD15:CD44)</f>
        <v>769232709.32999992</v>
      </c>
      <c r="CE45" s="65">
        <f t="shared" si="108"/>
        <v>5820417.1000000015</v>
      </c>
      <c r="CF45" s="65">
        <f t="shared" si="108"/>
        <v>-1124660.8900000001</v>
      </c>
      <c r="CG45" s="65">
        <f t="shared" si="108"/>
        <v>0</v>
      </c>
      <c r="CH45" s="65">
        <f t="shared" si="108"/>
        <v>773928465.53999984</v>
      </c>
      <c r="CI45" s="65">
        <f t="shared" si="108"/>
        <v>773928465.53999984</v>
      </c>
      <c r="CJ45" s="65">
        <f t="shared" si="108"/>
        <v>3942028.5900000003</v>
      </c>
      <c r="CK45" s="65">
        <f t="shared" si="108"/>
        <v>-1360532.8599999999</v>
      </c>
      <c r="CL45" s="65">
        <f t="shared" si="108"/>
        <v>0</v>
      </c>
      <c r="CM45" s="65">
        <f t="shared" si="108"/>
        <v>776509961.2700001</v>
      </c>
      <c r="CN45" s="65">
        <f t="shared" si="108"/>
        <v>776509961.2700001</v>
      </c>
      <c r="CO45" s="65">
        <f t="shared" si="108"/>
        <v>5957964.1099999994</v>
      </c>
      <c r="CP45" s="65">
        <f t="shared" si="108"/>
        <v>-707286.45</v>
      </c>
      <c r="CQ45" s="65">
        <f t="shared" si="108"/>
        <v>0</v>
      </c>
      <c r="CR45" s="65">
        <f t="shared" si="108"/>
        <v>781760638.93000019</v>
      </c>
      <c r="CS45" s="65">
        <f t="shared" si="108"/>
        <v>781760638.93000019</v>
      </c>
      <c r="CT45" s="65">
        <f t="shared" si="108"/>
        <v>4572300.6300000008</v>
      </c>
      <c r="CU45" s="65">
        <f t="shared" si="108"/>
        <v>-738762.64</v>
      </c>
      <c r="CV45" s="65">
        <f t="shared" si="108"/>
        <v>0</v>
      </c>
      <c r="CW45" s="65">
        <f t="shared" si="108"/>
        <v>785594176.91999996</v>
      </c>
      <c r="CX45" s="65">
        <f t="shared" si="108"/>
        <v>785594176.91999996</v>
      </c>
      <c r="CY45" s="65">
        <f t="shared" si="108"/>
        <v>4273132.25</v>
      </c>
      <c r="CZ45" s="65">
        <f t="shared" si="108"/>
        <v>-619988.9800000001</v>
      </c>
      <c r="DA45" s="65">
        <f t="shared" si="108"/>
        <v>0</v>
      </c>
      <c r="DB45" s="65">
        <f t="shared" si="108"/>
        <v>789247320.19000018</v>
      </c>
      <c r="DC45" s="65">
        <f t="shared" si="108"/>
        <v>789247320.19000018</v>
      </c>
      <c r="DD45" s="65">
        <f t="shared" si="108"/>
        <v>4031635.8700000006</v>
      </c>
      <c r="DE45" s="65">
        <f t="shared" si="108"/>
        <v>-522120.23000000004</v>
      </c>
      <c r="DF45" s="65">
        <f t="shared" si="108"/>
        <v>0</v>
      </c>
      <c r="DG45" s="65">
        <f t="shared" si="108"/>
        <v>792756835.82999992</v>
      </c>
      <c r="DH45" s="65">
        <f t="shared" si="108"/>
        <v>792756835.82999992</v>
      </c>
      <c r="DI45" s="65">
        <f t="shared" si="108"/>
        <v>6243338.2299999995</v>
      </c>
      <c r="DJ45" s="65">
        <f t="shared" ref="DJ45:EO45" si="109">SUM(DJ15:DJ44)</f>
        <v>-720701.61</v>
      </c>
      <c r="DK45" s="65">
        <f t="shared" si="109"/>
        <v>0</v>
      </c>
      <c r="DL45" s="65">
        <f t="shared" si="109"/>
        <v>798279472.44999993</v>
      </c>
      <c r="DM45" s="65">
        <f t="shared" si="109"/>
        <v>798279472.44999993</v>
      </c>
      <c r="DN45" s="65">
        <f t="shared" si="109"/>
        <v>7039291.379999999</v>
      </c>
      <c r="DO45" s="65">
        <f t="shared" si="109"/>
        <v>-720610.2</v>
      </c>
      <c r="DP45" s="65">
        <f t="shared" si="109"/>
        <v>0</v>
      </c>
      <c r="DQ45" s="65">
        <f t="shared" si="109"/>
        <v>804598153.63000011</v>
      </c>
      <c r="DR45" s="65">
        <f t="shared" si="109"/>
        <v>804598153.63000011</v>
      </c>
      <c r="DS45" s="65">
        <f t="shared" si="109"/>
        <v>5033347.17</v>
      </c>
      <c r="DT45" s="65">
        <f t="shared" si="109"/>
        <v>-1142490.1599999997</v>
      </c>
      <c r="DU45" s="65">
        <f t="shared" si="109"/>
        <v>0</v>
      </c>
      <c r="DV45" s="65">
        <f t="shared" si="109"/>
        <v>808489010.63999999</v>
      </c>
      <c r="DW45" s="65">
        <f t="shared" si="109"/>
        <v>808489010.63999999</v>
      </c>
      <c r="DX45" s="65">
        <f t="shared" si="109"/>
        <v>8479541.8500000015</v>
      </c>
      <c r="DY45" s="65">
        <f t="shared" si="109"/>
        <v>-996516.59</v>
      </c>
      <c r="DZ45" s="65">
        <f t="shared" si="109"/>
        <v>0</v>
      </c>
      <c r="EA45" s="65">
        <f t="shared" si="109"/>
        <v>815972035.9000001</v>
      </c>
      <c r="EB45" s="65">
        <f t="shared" si="109"/>
        <v>815972035.9000001</v>
      </c>
      <c r="EC45" s="65">
        <f t="shared" si="109"/>
        <v>3058450.8200000003</v>
      </c>
      <c r="ED45" s="65">
        <f t="shared" si="109"/>
        <v>-860947.04000000015</v>
      </c>
      <c r="EE45" s="65">
        <f t="shared" si="109"/>
        <v>0</v>
      </c>
      <c r="EF45" s="65">
        <f t="shared" si="109"/>
        <v>818169539.67999995</v>
      </c>
      <c r="EG45" s="65">
        <f t="shared" si="109"/>
        <v>818169539.67999995</v>
      </c>
      <c r="EH45" s="65">
        <f t="shared" si="109"/>
        <v>2473069.48</v>
      </c>
      <c r="EI45" s="65">
        <f t="shared" si="109"/>
        <v>-399311.56000000006</v>
      </c>
      <c r="EJ45" s="65">
        <f t="shared" si="109"/>
        <v>0</v>
      </c>
      <c r="EK45" s="65">
        <f t="shared" si="109"/>
        <v>820243297.60000002</v>
      </c>
      <c r="EL45" s="65">
        <f t="shared" si="109"/>
        <v>820243297.60000002</v>
      </c>
      <c r="EM45" s="65">
        <f t="shared" si="109"/>
        <v>3793621.6300000004</v>
      </c>
      <c r="EN45" s="65">
        <f t="shared" si="109"/>
        <v>-609841.99000000011</v>
      </c>
      <c r="EO45" s="65">
        <f t="shared" si="109"/>
        <v>0</v>
      </c>
      <c r="EP45" s="65">
        <f t="shared" ref="EP45:FU45" si="110">SUM(EP15:EP44)</f>
        <v>823427077.24000013</v>
      </c>
      <c r="EQ45" s="65">
        <f t="shared" si="110"/>
        <v>823427077.24000013</v>
      </c>
      <c r="ER45" s="65">
        <f t="shared" si="110"/>
        <v>3484052.18</v>
      </c>
      <c r="ES45" s="65">
        <f t="shared" si="110"/>
        <v>-1095840.79</v>
      </c>
      <c r="ET45" s="65">
        <f t="shared" si="110"/>
        <v>0</v>
      </c>
      <c r="EU45" s="65">
        <f t="shared" si="110"/>
        <v>825815288.63</v>
      </c>
      <c r="EV45" s="65">
        <f t="shared" si="110"/>
        <v>825815288.63</v>
      </c>
      <c r="EW45" s="65">
        <f t="shared" si="110"/>
        <v>6257624.9400000013</v>
      </c>
      <c r="EX45" s="65">
        <f t="shared" si="110"/>
        <v>-808767.78999999992</v>
      </c>
      <c r="EY45" s="65">
        <f t="shared" si="110"/>
        <v>0</v>
      </c>
      <c r="EZ45" s="65">
        <f t="shared" si="110"/>
        <v>831264145.77999985</v>
      </c>
      <c r="FA45" s="65">
        <f t="shared" si="110"/>
        <v>831264145.77999985</v>
      </c>
      <c r="FB45" s="65">
        <f t="shared" si="110"/>
        <v>3867914.5000000005</v>
      </c>
      <c r="FC45" s="65">
        <f t="shared" si="110"/>
        <v>-679270.12000000011</v>
      </c>
      <c r="FD45" s="65">
        <f t="shared" si="110"/>
        <v>0</v>
      </c>
      <c r="FE45" s="65">
        <f t="shared" si="110"/>
        <v>834452790.15999997</v>
      </c>
      <c r="FF45" s="65">
        <f t="shared" si="110"/>
        <v>834452790.15999997</v>
      </c>
      <c r="FG45" s="65">
        <f t="shared" si="110"/>
        <v>4227806.6900000004</v>
      </c>
      <c r="FH45" s="65">
        <f t="shared" si="110"/>
        <v>-547613.82999999996</v>
      </c>
      <c r="FI45" s="65">
        <f t="shared" si="110"/>
        <v>0</v>
      </c>
      <c r="FJ45" s="65">
        <f t="shared" si="110"/>
        <v>838132983.01999986</v>
      </c>
      <c r="FK45" s="65">
        <f t="shared" si="110"/>
        <v>838132983.01999986</v>
      </c>
      <c r="FL45" s="65">
        <f t="shared" si="110"/>
        <v>3405087.810000001</v>
      </c>
      <c r="FM45" s="65">
        <f t="shared" si="110"/>
        <v>-466207.19000000006</v>
      </c>
      <c r="FN45" s="65">
        <f t="shared" si="110"/>
        <v>0</v>
      </c>
      <c r="FO45" s="65">
        <f t="shared" si="110"/>
        <v>841071863.6400001</v>
      </c>
      <c r="FP45" s="65">
        <f t="shared" si="110"/>
        <v>841071863.6400001</v>
      </c>
      <c r="FQ45" s="65">
        <f t="shared" si="110"/>
        <v>5522686.6499999994</v>
      </c>
      <c r="FR45" s="65">
        <f t="shared" si="110"/>
        <v>-635100.15</v>
      </c>
      <c r="FS45" s="65">
        <f t="shared" si="110"/>
        <v>0</v>
      </c>
      <c r="FT45" s="65">
        <f t="shared" si="110"/>
        <v>845959450.13999987</v>
      </c>
      <c r="FU45" s="65">
        <f t="shared" si="110"/>
        <v>845959450.13999987</v>
      </c>
      <c r="FV45" s="65">
        <f t="shared" ref="FV45:GI45" si="111">SUM(FV15:FV44)</f>
        <v>5752106.2500000009</v>
      </c>
      <c r="FW45" s="65">
        <f t="shared" si="111"/>
        <v>-753458.47</v>
      </c>
      <c r="FX45" s="65">
        <f t="shared" si="111"/>
        <v>0</v>
      </c>
      <c r="FY45" s="65">
        <f t="shared" si="111"/>
        <v>850958097.91999972</v>
      </c>
      <c r="FZ45" s="65">
        <f t="shared" si="111"/>
        <v>850958097.91999972</v>
      </c>
      <c r="GA45" s="65">
        <f t="shared" si="111"/>
        <v>4583863.34</v>
      </c>
      <c r="GB45" s="65">
        <f t="shared" si="111"/>
        <v>-1513493.1300000001</v>
      </c>
      <c r="GC45" s="65">
        <f t="shared" si="111"/>
        <v>0</v>
      </c>
      <c r="GD45" s="65">
        <f t="shared" si="111"/>
        <v>854028468.13</v>
      </c>
      <c r="GE45" s="65">
        <f t="shared" si="111"/>
        <v>854028468.13</v>
      </c>
      <c r="GF45" s="65">
        <f t="shared" si="111"/>
        <v>11733701.669999998</v>
      </c>
      <c r="GG45" s="65">
        <f t="shared" si="111"/>
        <v>-1562474.2999999998</v>
      </c>
      <c r="GH45" s="65">
        <f t="shared" si="111"/>
        <v>0</v>
      </c>
      <c r="GI45" s="65">
        <f t="shared" si="111"/>
        <v>864199695.50000012</v>
      </c>
      <c r="GJ45" s="66"/>
    </row>
    <row r="46" spans="1:192">
      <c r="A46" s="57" t="s">
        <v>1686</v>
      </c>
      <c r="B46" s="58">
        <v>391.1</v>
      </c>
      <c r="C46" s="57" t="s">
        <v>412</v>
      </c>
      <c r="D46" s="59">
        <v>735526.56</v>
      </c>
      <c r="E46" s="59">
        <v>735526.56</v>
      </c>
      <c r="F46" s="59">
        <v>0</v>
      </c>
      <c r="G46" s="59">
        <v>0</v>
      </c>
      <c r="H46" s="59">
        <v>0</v>
      </c>
      <c r="I46" s="59">
        <v>735526.56</v>
      </c>
      <c r="J46" s="59">
        <v>735526.56</v>
      </c>
      <c r="K46" s="59">
        <v>84840.1</v>
      </c>
      <c r="L46" s="59">
        <v>0</v>
      </c>
      <c r="M46" s="59">
        <v>0</v>
      </c>
      <c r="N46" s="59">
        <v>820366.66</v>
      </c>
      <c r="O46" s="59">
        <v>820366.66</v>
      </c>
      <c r="P46" s="59">
        <v>0</v>
      </c>
      <c r="Q46" s="59">
        <v>0</v>
      </c>
      <c r="R46" s="59">
        <v>0</v>
      </c>
      <c r="S46" s="59">
        <v>820366.66</v>
      </c>
      <c r="T46" s="59">
        <v>820366.66</v>
      </c>
      <c r="U46" s="59">
        <v>0</v>
      </c>
      <c r="V46" s="59">
        <v>0</v>
      </c>
      <c r="W46" s="59">
        <v>0</v>
      </c>
      <c r="X46" s="59">
        <v>820366.66</v>
      </c>
      <c r="Y46" s="59">
        <v>820366.66</v>
      </c>
      <c r="Z46" s="59">
        <v>0</v>
      </c>
      <c r="AA46" s="59">
        <v>0</v>
      </c>
      <c r="AB46" s="59">
        <v>0</v>
      </c>
      <c r="AC46" s="59">
        <v>820366.66</v>
      </c>
      <c r="AD46" s="59">
        <v>820366.66</v>
      </c>
      <c r="AE46" s="59">
        <v>0</v>
      </c>
      <c r="AF46" s="59">
        <v>0</v>
      </c>
      <c r="AG46" s="59">
        <v>0</v>
      </c>
      <c r="AH46" s="59">
        <v>820366.66</v>
      </c>
      <c r="AI46" s="59">
        <v>820366.66</v>
      </c>
      <c r="AJ46" s="59">
        <v>0</v>
      </c>
      <c r="AK46" s="59">
        <v>0</v>
      </c>
      <c r="AL46" s="59">
        <v>0</v>
      </c>
      <c r="AM46" s="59">
        <v>820366.66</v>
      </c>
      <c r="AN46" s="59">
        <v>820366.66</v>
      </c>
      <c r="AO46" s="59">
        <v>0</v>
      </c>
      <c r="AP46" s="59">
        <v>0</v>
      </c>
      <c r="AQ46" s="59">
        <v>0</v>
      </c>
      <c r="AR46" s="59">
        <v>820366.66</v>
      </c>
      <c r="AS46" s="59">
        <v>820366.66</v>
      </c>
      <c r="AT46" s="59">
        <v>0</v>
      </c>
      <c r="AU46" s="59">
        <v>0</v>
      </c>
      <c r="AV46" s="59">
        <v>0</v>
      </c>
      <c r="AW46" s="59">
        <v>820366.66</v>
      </c>
      <c r="AX46" s="59">
        <v>820366.66</v>
      </c>
      <c r="AY46" s="59">
        <v>0</v>
      </c>
      <c r="AZ46" s="59">
        <v>0</v>
      </c>
      <c r="BA46" s="59">
        <v>0</v>
      </c>
      <c r="BB46" s="59">
        <v>820366.66</v>
      </c>
      <c r="BC46" s="59">
        <v>820366.66</v>
      </c>
      <c r="BD46" s="59">
        <v>0</v>
      </c>
      <c r="BE46" s="59">
        <v>0</v>
      </c>
      <c r="BF46" s="59">
        <v>0</v>
      </c>
      <c r="BG46" s="59">
        <v>820366.66</v>
      </c>
      <c r="BH46" s="59">
        <v>820366.66</v>
      </c>
      <c r="BI46" s="59">
        <v>103149.67</v>
      </c>
      <c r="BJ46" s="59">
        <v>0</v>
      </c>
      <c r="BK46" s="59">
        <v>0</v>
      </c>
      <c r="BL46" s="59">
        <v>923516.33000000007</v>
      </c>
      <c r="BM46" s="59">
        <f t="shared" si="41"/>
        <v>923516.33000000007</v>
      </c>
      <c r="BN46" s="59">
        <v>0</v>
      </c>
      <c r="BO46" s="59">
        <v>-1775</v>
      </c>
      <c r="BP46" s="59">
        <v>0</v>
      </c>
      <c r="BQ46" s="59">
        <f t="shared" si="103"/>
        <v>921741.33000000007</v>
      </c>
      <c r="BR46" s="59">
        <f t="shared" si="43"/>
        <v>921741.33000000007</v>
      </c>
      <c r="BS46" s="59">
        <v>0</v>
      </c>
      <c r="BT46" s="59">
        <v>0</v>
      </c>
      <c r="BU46" s="59">
        <v>0</v>
      </c>
      <c r="BV46" s="59">
        <f t="shared" si="104"/>
        <v>921741.33000000007</v>
      </c>
      <c r="BW46" s="59">
        <f t="shared" si="45"/>
        <v>921741.33000000007</v>
      </c>
      <c r="BX46" s="59">
        <v>0</v>
      </c>
      <c r="BY46" s="59">
        <v>0</v>
      </c>
      <c r="BZ46" s="59">
        <v>0</v>
      </c>
      <c r="CA46" s="59">
        <f t="shared" si="105"/>
        <v>921741.33000000007</v>
      </c>
      <c r="CD46" s="59">
        <f t="shared" si="47"/>
        <v>921741.33000000007</v>
      </c>
      <c r="CE46" s="60">
        <v>0</v>
      </c>
      <c r="CF46" s="60">
        <v>0</v>
      </c>
      <c r="CG46" s="60">
        <v>0</v>
      </c>
      <c r="CH46" s="59">
        <f t="shared" si="62"/>
        <v>921741.33000000007</v>
      </c>
      <c r="CI46" s="59">
        <f t="shared" si="48"/>
        <v>921741.33000000007</v>
      </c>
      <c r="CJ46" s="60">
        <v>0</v>
      </c>
      <c r="CK46" s="60">
        <v>0</v>
      </c>
      <c r="CL46" s="60">
        <v>0</v>
      </c>
      <c r="CM46" s="59">
        <f t="shared" ref="CM46:CM59" si="112">SUM(CI46:CL46)</f>
        <v>921741.33000000007</v>
      </c>
      <c r="CN46" s="59">
        <f t="shared" si="49"/>
        <v>921741.33000000007</v>
      </c>
      <c r="CO46" s="60">
        <v>0</v>
      </c>
      <c r="CP46" s="60">
        <v>0</v>
      </c>
      <c r="CQ46" s="60">
        <v>0</v>
      </c>
      <c r="CR46" s="59">
        <f t="shared" ref="CR46:CR59" si="113">SUM(CN46:CQ46)</f>
        <v>921741.33000000007</v>
      </c>
      <c r="CS46" s="59">
        <f t="shared" ref="CS46:CS59" si="114">CR46</f>
        <v>921741.33000000007</v>
      </c>
      <c r="CT46" s="60">
        <v>0</v>
      </c>
      <c r="CU46" s="60">
        <v>0</v>
      </c>
      <c r="CV46" s="60">
        <v>0</v>
      </c>
      <c r="CW46" s="59">
        <f t="shared" ref="CW46:CW59" si="115">SUM(CS46:CV46)</f>
        <v>921741.33000000007</v>
      </c>
      <c r="CX46" s="59">
        <f t="shared" ref="CX46:CX59" si="116">CW46</f>
        <v>921741.33000000007</v>
      </c>
      <c r="CY46" s="60">
        <v>0</v>
      </c>
      <c r="CZ46" s="60">
        <v>0</v>
      </c>
      <c r="DA46" s="60">
        <v>0</v>
      </c>
      <c r="DB46" s="59">
        <f t="shared" ref="DB46:DB59" si="117">SUM(CX46:DA46)</f>
        <v>921741.33000000007</v>
      </c>
      <c r="DC46" s="59">
        <f t="shared" ref="DC46:DC59" si="118">DB46</f>
        <v>921741.33000000007</v>
      </c>
      <c r="DD46" s="60">
        <v>0</v>
      </c>
      <c r="DE46" s="60">
        <v>0</v>
      </c>
      <c r="DF46" s="60">
        <v>0</v>
      </c>
      <c r="DG46" s="59">
        <f t="shared" ref="DG46:DG59" si="119">SUM(DC46:DF46)</f>
        <v>921741.33000000007</v>
      </c>
      <c r="DH46" s="59">
        <f t="shared" ref="DH46:DH59" si="120">DG46</f>
        <v>921741.33000000007</v>
      </c>
      <c r="DI46" s="60">
        <v>0</v>
      </c>
      <c r="DJ46" s="60">
        <v>0</v>
      </c>
      <c r="DK46" s="60">
        <v>0</v>
      </c>
      <c r="DL46" s="59">
        <f t="shared" ref="DL46:DL59" si="121">SUM(DH46:DK46)</f>
        <v>921741.33000000007</v>
      </c>
      <c r="DM46" s="59">
        <f t="shared" ref="DM46:DM59" si="122">DL46</f>
        <v>921741.33000000007</v>
      </c>
      <c r="DN46" s="60">
        <v>0</v>
      </c>
      <c r="DO46" s="60">
        <v>0</v>
      </c>
      <c r="DP46" s="60">
        <v>0</v>
      </c>
      <c r="DQ46" s="59">
        <f t="shared" ref="DQ46:DQ59" si="123">SUM(DM46:DP46)</f>
        <v>921741.33000000007</v>
      </c>
      <c r="DR46" s="59">
        <f t="shared" ref="DR46:DR59" si="124">DQ46</f>
        <v>921741.33000000007</v>
      </c>
      <c r="DS46" s="60">
        <v>0</v>
      </c>
      <c r="DT46" s="60">
        <v>0</v>
      </c>
      <c r="DU46" s="60">
        <v>0</v>
      </c>
      <c r="DV46" s="59">
        <f t="shared" ref="DV46:DV59" si="125">SUM(DR46:DU46)</f>
        <v>921741.33000000007</v>
      </c>
      <c r="DW46" s="59">
        <f t="shared" ref="DW46:DW59" si="126">DV46</f>
        <v>921741.33000000007</v>
      </c>
      <c r="DX46" s="60">
        <v>0</v>
      </c>
      <c r="DY46" s="60">
        <v>0</v>
      </c>
      <c r="DZ46" s="60">
        <v>0</v>
      </c>
      <c r="EA46" s="59">
        <f t="shared" ref="EA46:EA59" si="127">SUM(DW46:DZ46)</f>
        <v>921741.33000000007</v>
      </c>
      <c r="EB46" s="59">
        <f t="shared" ref="EB46:EB59" si="128">EA46</f>
        <v>921741.33000000007</v>
      </c>
      <c r="EC46" s="60">
        <v>0</v>
      </c>
      <c r="ED46" s="60">
        <v>0</v>
      </c>
      <c r="EE46" s="60">
        <v>0</v>
      </c>
      <c r="EF46" s="59">
        <f t="shared" ref="EF46:EF59" si="129">SUM(EB46:EE46)</f>
        <v>921741.33000000007</v>
      </c>
      <c r="EG46" s="59">
        <f t="shared" ref="EG46:EG59" si="130">EF46</f>
        <v>921741.33000000007</v>
      </c>
      <c r="EH46" s="60">
        <v>0</v>
      </c>
      <c r="EI46" s="60">
        <v>0</v>
      </c>
      <c r="EJ46" s="60">
        <v>0</v>
      </c>
      <c r="EK46" s="59">
        <f t="shared" ref="EK46:EK59" si="131">SUM(EG46:EJ46)</f>
        <v>921741.33000000007</v>
      </c>
      <c r="EL46" s="59">
        <f t="shared" ref="EL46:EL59" si="132">EK46</f>
        <v>921741.33000000007</v>
      </c>
      <c r="EM46" s="60">
        <v>0</v>
      </c>
      <c r="EN46" s="60">
        <v>0</v>
      </c>
      <c r="EO46" s="60">
        <v>0</v>
      </c>
      <c r="EP46" s="59">
        <f t="shared" ref="EP46:EP59" si="133">SUM(EL46:EO46)</f>
        <v>921741.33000000007</v>
      </c>
      <c r="EQ46" s="59">
        <f t="shared" ref="EQ46:EQ59" si="134">EP46</f>
        <v>921741.33000000007</v>
      </c>
      <c r="ER46" s="60">
        <v>0</v>
      </c>
      <c r="ES46" s="60">
        <v>0</v>
      </c>
      <c r="ET46" s="60">
        <v>0</v>
      </c>
      <c r="EU46" s="59">
        <f t="shared" ref="EU46:EU59" si="135">SUM(EQ46:ET46)</f>
        <v>921741.33000000007</v>
      </c>
      <c r="EV46" s="59">
        <f t="shared" ref="EV46:EV59" si="136">EU46</f>
        <v>921741.33000000007</v>
      </c>
      <c r="EW46" s="60">
        <v>0</v>
      </c>
      <c r="EX46" s="60">
        <v>0</v>
      </c>
      <c r="EY46" s="60">
        <v>0</v>
      </c>
      <c r="EZ46" s="59">
        <f t="shared" ref="EZ46:EZ59" si="137">SUM(EV46:EY46)</f>
        <v>921741.33000000007</v>
      </c>
      <c r="FA46" s="59">
        <f t="shared" ref="FA46:FA59" si="138">EZ46</f>
        <v>921741.33000000007</v>
      </c>
      <c r="FB46" s="60">
        <v>0</v>
      </c>
      <c r="FC46" s="60">
        <v>0</v>
      </c>
      <c r="FD46" s="60">
        <v>0</v>
      </c>
      <c r="FE46" s="59">
        <f t="shared" ref="FE46:FE59" si="139">SUM(FA46:FD46)</f>
        <v>921741.33000000007</v>
      </c>
      <c r="FF46" s="59">
        <f t="shared" ref="FF46:FF59" si="140">FE46</f>
        <v>921741.33000000007</v>
      </c>
      <c r="FG46" s="60">
        <v>0</v>
      </c>
      <c r="FH46" s="60">
        <v>0</v>
      </c>
      <c r="FI46" s="60">
        <v>0</v>
      </c>
      <c r="FJ46" s="59">
        <f t="shared" ref="FJ46:FJ59" si="141">SUM(FF46:FI46)</f>
        <v>921741.33000000007</v>
      </c>
      <c r="FK46" s="59">
        <f t="shared" ref="FK46:FK59" si="142">FJ46</f>
        <v>921741.33000000007</v>
      </c>
      <c r="FL46" s="60">
        <v>0</v>
      </c>
      <c r="FM46" s="60">
        <v>0</v>
      </c>
      <c r="FN46" s="60">
        <v>0</v>
      </c>
      <c r="FO46" s="59">
        <f t="shared" ref="FO46:FO59" si="143">SUM(FK46:FN46)</f>
        <v>921741.33000000007</v>
      </c>
      <c r="FP46" s="59">
        <f t="shared" ref="FP46:FP59" si="144">FO46</f>
        <v>921741.33000000007</v>
      </c>
      <c r="FQ46" s="60">
        <v>0</v>
      </c>
      <c r="FR46" s="60">
        <v>0</v>
      </c>
      <c r="FS46" s="60">
        <v>0</v>
      </c>
      <c r="FT46" s="59">
        <f t="shared" ref="FT46:FT59" si="145">SUM(FP46:FS46)</f>
        <v>921741.33000000007</v>
      </c>
      <c r="FU46" s="59">
        <f t="shared" ref="FU46:FU59" si="146">FT46</f>
        <v>921741.33000000007</v>
      </c>
      <c r="FV46" s="60">
        <v>0</v>
      </c>
      <c r="FW46" s="60">
        <v>0</v>
      </c>
      <c r="FX46" s="60">
        <v>0</v>
      </c>
      <c r="FY46" s="59">
        <f t="shared" ref="FY46:FY59" si="147">SUM(FU46:FX46)</f>
        <v>921741.33000000007</v>
      </c>
      <c r="FZ46" s="59">
        <f t="shared" ref="FZ46:FZ59" si="148">FY46</f>
        <v>921741.33000000007</v>
      </c>
      <c r="GA46" s="60">
        <v>0</v>
      </c>
      <c r="GB46" s="60">
        <v>0</v>
      </c>
      <c r="GC46" s="60">
        <v>0</v>
      </c>
      <c r="GD46" s="59">
        <f t="shared" ref="GD46:GD59" si="149">SUM(FZ46:GC46)</f>
        <v>921741.33000000007</v>
      </c>
      <c r="GE46" s="59">
        <f t="shared" ref="GE46:GE59" si="150">GD46</f>
        <v>921741.33000000007</v>
      </c>
      <c r="GF46" s="60">
        <v>0</v>
      </c>
      <c r="GG46" s="60">
        <v>0</v>
      </c>
      <c r="GH46" s="60">
        <v>0</v>
      </c>
      <c r="GI46" s="59">
        <f t="shared" ref="GI46:GI59" si="151">SUM(GE46:GH46)</f>
        <v>921741.33000000007</v>
      </c>
      <c r="GJ46" s="59"/>
    </row>
    <row r="47" spans="1:192">
      <c r="B47" s="58">
        <v>391.11</v>
      </c>
      <c r="C47" s="57" t="s">
        <v>413</v>
      </c>
      <c r="D47" s="59">
        <v>0</v>
      </c>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59">
        <v>0</v>
      </c>
      <c r="AI47" s="59">
        <v>0</v>
      </c>
      <c r="AJ47" s="59">
        <v>0</v>
      </c>
      <c r="AK47" s="59">
        <v>0</v>
      </c>
      <c r="AL47" s="59">
        <v>0</v>
      </c>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f t="shared" si="41"/>
        <v>0</v>
      </c>
      <c r="BN47" s="59">
        <v>0</v>
      </c>
      <c r="BO47" s="59">
        <v>0</v>
      </c>
      <c r="BP47" s="59">
        <v>0</v>
      </c>
      <c r="BQ47" s="59">
        <f t="shared" si="103"/>
        <v>0</v>
      </c>
      <c r="BR47" s="59">
        <f t="shared" si="43"/>
        <v>0</v>
      </c>
      <c r="BS47" s="59">
        <v>0</v>
      </c>
      <c r="BT47" s="59">
        <v>0</v>
      </c>
      <c r="BU47" s="59">
        <v>0</v>
      </c>
      <c r="BV47" s="59">
        <f t="shared" si="104"/>
        <v>0</v>
      </c>
      <c r="BW47" s="59">
        <f t="shared" si="45"/>
        <v>0</v>
      </c>
      <c r="BX47" s="59">
        <v>0</v>
      </c>
      <c r="BY47" s="59">
        <v>0</v>
      </c>
      <c r="BZ47" s="59">
        <v>0</v>
      </c>
      <c r="CA47" s="59">
        <f t="shared" si="105"/>
        <v>0</v>
      </c>
      <c r="CD47" s="59">
        <f t="shared" si="47"/>
        <v>0</v>
      </c>
      <c r="CE47" s="60">
        <v>0</v>
      </c>
      <c r="CF47" s="60">
        <v>0</v>
      </c>
      <c r="CG47" s="60">
        <v>0</v>
      </c>
      <c r="CH47" s="59">
        <f t="shared" si="62"/>
        <v>0</v>
      </c>
      <c r="CI47" s="59">
        <f t="shared" si="48"/>
        <v>0</v>
      </c>
      <c r="CJ47" s="60">
        <v>0</v>
      </c>
      <c r="CK47" s="60">
        <v>0</v>
      </c>
      <c r="CL47" s="60">
        <v>0</v>
      </c>
      <c r="CM47" s="59">
        <f t="shared" si="112"/>
        <v>0</v>
      </c>
      <c r="CN47" s="59">
        <f t="shared" si="49"/>
        <v>0</v>
      </c>
      <c r="CO47" s="60">
        <v>0</v>
      </c>
      <c r="CP47" s="60">
        <v>0</v>
      </c>
      <c r="CQ47" s="60">
        <v>0</v>
      </c>
      <c r="CR47" s="59">
        <f t="shared" si="113"/>
        <v>0</v>
      </c>
      <c r="CS47" s="59">
        <f t="shared" si="114"/>
        <v>0</v>
      </c>
      <c r="CT47" s="60">
        <v>0</v>
      </c>
      <c r="CU47" s="60">
        <v>0</v>
      </c>
      <c r="CV47" s="60">
        <v>0</v>
      </c>
      <c r="CW47" s="59">
        <f t="shared" si="115"/>
        <v>0</v>
      </c>
      <c r="CX47" s="59">
        <f t="shared" si="116"/>
        <v>0</v>
      </c>
      <c r="CY47" s="60">
        <v>0</v>
      </c>
      <c r="CZ47" s="60">
        <v>0</v>
      </c>
      <c r="DA47" s="60">
        <v>0</v>
      </c>
      <c r="DB47" s="59">
        <f t="shared" si="117"/>
        <v>0</v>
      </c>
      <c r="DC47" s="59">
        <f t="shared" si="118"/>
        <v>0</v>
      </c>
      <c r="DD47" s="60">
        <v>0</v>
      </c>
      <c r="DE47" s="60">
        <v>0</v>
      </c>
      <c r="DF47" s="60">
        <v>0</v>
      </c>
      <c r="DG47" s="59">
        <f t="shared" si="119"/>
        <v>0</v>
      </c>
      <c r="DH47" s="59">
        <f t="shared" si="120"/>
        <v>0</v>
      </c>
      <c r="DI47" s="60">
        <v>0</v>
      </c>
      <c r="DJ47" s="60">
        <v>0</v>
      </c>
      <c r="DK47" s="60">
        <v>0</v>
      </c>
      <c r="DL47" s="59">
        <f t="shared" si="121"/>
        <v>0</v>
      </c>
      <c r="DM47" s="59">
        <f t="shared" si="122"/>
        <v>0</v>
      </c>
      <c r="DN47" s="60">
        <v>0</v>
      </c>
      <c r="DO47" s="60">
        <v>0</v>
      </c>
      <c r="DP47" s="60">
        <v>0</v>
      </c>
      <c r="DQ47" s="59">
        <f t="shared" si="123"/>
        <v>0</v>
      </c>
      <c r="DR47" s="59">
        <f t="shared" si="124"/>
        <v>0</v>
      </c>
      <c r="DS47" s="60">
        <v>0</v>
      </c>
      <c r="DT47" s="60">
        <v>0</v>
      </c>
      <c r="DU47" s="60">
        <v>0</v>
      </c>
      <c r="DV47" s="59">
        <f t="shared" si="125"/>
        <v>0</v>
      </c>
      <c r="DW47" s="59">
        <f t="shared" si="126"/>
        <v>0</v>
      </c>
      <c r="DX47" s="60">
        <v>0</v>
      </c>
      <c r="DY47" s="60">
        <v>0</v>
      </c>
      <c r="DZ47" s="60">
        <v>0</v>
      </c>
      <c r="EA47" s="59">
        <f t="shared" si="127"/>
        <v>0</v>
      </c>
      <c r="EB47" s="59">
        <f t="shared" si="128"/>
        <v>0</v>
      </c>
      <c r="EC47" s="60">
        <v>0</v>
      </c>
      <c r="ED47" s="60">
        <v>0</v>
      </c>
      <c r="EE47" s="60">
        <v>0</v>
      </c>
      <c r="EF47" s="59">
        <f t="shared" si="129"/>
        <v>0</v>
      </c>
      <c r="EG47" s="59">
        <f t="shared" si="130"/>
        <v>0</v>
      </c>
      <c r="EH47" s="60">
        <v>0</v>
      </c>
      <c r="EI47" s="60">
        <v>0</v>
      </c>
      <c r="EJ47" s="60">
        <v>0</v>
      </c>
      <c r="EK47" s="59">
        <f t="shared" si="131"/>
        <v>0</v>
      </c>
      <c r="EL47" s="59">
        <f t="shared" si="132"/>
        <v>0</v>
      </c>
      <c r="EM47" s="60">
        <v>0</v>
      </c>
      <c r="EN47" s="60">
        <v>0</v>
      </c>
      <c r="EO47" s="60">
        <v>0</v>
      </c>
      <c r="EP47" s="59">
        <f t="shared" si="133"/>
        <v>0</v>
      </c>
      <c r="EQ47" s="59">
        <f t="shared" si="134"/>
        <v>0</v>
      </c>
      <c r="ER47" s="60">
        <v>0</v>
      </c>
      <c r="ES47" s="60">
        <v>0</v>
      </c>
      <c r="ET47" s="60">
        <v>0</v>
      </c>
      <c r="EU47" s="59">
        <f t="shared" si="135"/>
        <v>0</v>
      </c>
      <c r="EV47" s="59">
        <f t="shared" si="136"/>
        <v>0</v>
      </c>
      <c r="EW47" s="60">
        <v>0</v>
      </c>
      <c r="EX47" s="60">
        <v>0</v>
      </c>
      <c r="EY47" s="60">
        <v>0</v>
      </c>
      <c r="EZ47" s="59">
        <f t="shared" si="137"/>
        <v>0</v>
      </c>
      <c r="FA47" s="59">
        <f t="shared" si="138"/>
        <v>0</v>
      </c>
      <c r="FB47" s="60">
        <v>0</v>
      </c>
      <c r="FC47" s="60">
        <v>0</v>
      </c>
      <c r="FD47" s="60">
        <v>0</v>
      </c>
      <c r="FE47" s="59">
        <f t="shared" si="139"/>
        <v>0</v>
      </c>
      <c r="FF47" s="59">
        <f t="shared" si="140"/>
        <v>0</v>
      </c>
      <c r="FG47" s="60">
        <v>0</v>
      </c>
      <c r="FH47" s="60">
        <v>0</v>
      </c>
      <c r="FI47" s="60">
        <v>0</v>
      </c>
      <c r="FJ47" s="59">
        <f t="shared" si="141"/>
        <v>0</v>
      </c>
      <c r="FK47" s="59">
        <f t="shared" si="142"/>
        <v>0</v>
      </c>
      <c r="FL47" s="60">
        <v>0</v>
      </c>
      <c r="FM47" s="60">
        <v>0</v>
      </c>
      <c r="FN47" s="60">
        <v>0</v>
      </c>
      <c r="FO47" s="59">
        <f t="shared" si="143"/>
        <v>0</v>
      </c>
      <c r="FP47" s="59">
        <f t="shared" si="144"/>
        <v>0</v>
      </c>
      <c r="FQ47" s="60">
        <v>0</v>
      </c>
      <c r="FR47" s="60">
        <v>0</v>
      </c>
      <c r="FS47" s="60">
        <v>0</v>
      </c>
      <c r="FT47" s="59">
        <f t="shared" si="145"/>
        <v>0</v>
      </c>
      <c r="FU47" s="59">
        <f t="shared" si="146"/>
        <v>0</v>
      </c>
      <c r="FV47" s="60">
        <v>0</v>
      </c>
      <c r="FW47" s="60">
        <v>0</v>
      </c>
      <c r="FX47" s="60">
        <v>0</v>
      </c>
      <c r="FY47" s="59">
        <f t="shared" si="147"/>
        <v>0</v>
      </c>
      <c r="FZ47" s="59">
        <f t="shared" si="148"/>
        <v>0</v>
      </c>
      <c r="GA47" s="60">
        <v>0</v>
      </c>
      <c r="GB47" s="60">
        <v>0</v>
      </c>
      <c r="GC47" s="60">
        <v>0</v>
      </c>
      <c r="GD47" s="59">
        <f t="shared" si="149"/>
        <v>0</v>
      </c>
      <c r="GE47" s="59">
        <f t="shared" si="150"/>
        <v>0</v>
      </c>
      <c r="GF47" s="60">
        <v>0</v>
      </c>
      <c r="GG47" s="60">
        <v>0</v>
      </c>
      <c r="GH47" s="60">
        <v>0</v>
      </c>
      <c r="GI47" s="59">
        <f t="shared" si="151"/>
        <v>0</v>
      </c>
      <c r="GJ47" s="59"/>
    </row>
    <row r="48" spans="1:192">
      <c r="B48" s="58">
        <v>391.12</v>
      </c>
      <c r="C48" s="57" t="s">
        <v>414</v>
      </c>
      <c r="D48" s="59">
        <v>115834.19</v>
      </c>
      <c r="E48" s="59">
        <v>115834.19</v>
      </c>
      <c r="F48" s="59">
        <v>0</v>
      </c>
      <c r="G48" s="59">
        <v>0</v>
      </c>
      <c r="H48" s="59">
        <v>0</v>
      </c>
      <c r="I48" s="59">
        <v>115834.19</v>
      </c>
      <c r="J48" s="59">
        <v>115834.19</v>
      </c>
      <c r="K48" s="59">
        <v>0</v>
      </c>
      <c r="L48" s="59">
        <v>-24700.93</v>
      </c>
      <c r="M48" s="59">
        <v>0</v>
      </c>
      <c r="N48" s="59">
        <v>91133.26</v>
      </c>
      <c r="O48" s="59">
        <v>91133.26</v>
      </c>
      <c r="P48" s="59">
        <v>0</v>
      </c>
      <c r="Q48" s="59">
        <v>0</v>
      </c>
      <c r="R48" s="59">
        <v>0</v>
      </c>
      <c r="S48" s="59">
        <v>91133.26</v>
      </c>
      <c r="T48" s="59">
        <v>91133.26</v>
      </c>
      <c r="U48" s="59">
        <v>0</v>
      </c>
      <c r="V48" s="59">
        <v>0</v>
      </c>
      <c r="W48" s="59">
        <v>0</v>
      </c>
      <c r="X48" s="59">
        <v>91133.26</v>
      </c>
      <c r="Y48" s="59">
        <v>91133.26</v>
      </c>
      <c r="Z48" s="59">
        <v>0</v>
      </c>
      <c r="AA48" s="59">
        <v>0</v>
      </c>
      <c r="AB48" s="59">
        <v>0</v>
      </c>
      <c r="AC48" s="59">
        <v>91133.26</v>
      </c>
      <c r="AD48" s="59">
        <v>91133.26</v>
      </c>
      <c r="AE48" s="59">
        <v>0</v>
      </c>
      <c r="AF48" s="59">
        <v>0</v>
      </c>
      <c r="AG48" s="59">
        <v>0</v>
      </c>
      <c r="AH48" s="59">
        <v>91133.26</v>
      </c>
      <c r="AI48" s="59">
        <v>91133.26</v>
      </c>
      <c r="AJ48" s="59">
        <v>0</v>
      </c>
      <c r="AK48" s="59">
        <v>0</v>
      </c>
      <c r="AL48" s="59">
        <v>0</v>
      </c>
      <c r="AM48" s="59">
        <v>91133.26</v>
      </c>
      <c r="AN48" s="59">
        <v>91133.26</v>
      </c>
      <c r="AO48" s="59">
        <v>0</v>
      </c>
      <c r="AP48" s="59">
        <v>0</v>
      </c>
      <c r="AQ48" s="59">
        <v>0</v>
      </c>
      <c r="AR48" s="59">
        <v>91133.26</v>
      </c>
      <c r="AS48" s="59">
        <v>91133.26</v>
      </c>
      <c r="AT48" s="59">
        <v>0</v>
      </c>
      <c r="AU48" s="59">
        <v>-54003.68</v>
      </c>
      <c r="AV48" s="59">
        <v>0</v>
      </c>
      <c r="AW48" s="59">
        <v>37129.58</v>
      </c>
      <c r="AX48" s="59">
        <v>37129.58</v>
      </c>
      <c r="AY48" s="59">
        <v>0</v>
      </c>
      <c r="AZ48" s="59">
        <v>0</v>
      </c>
      <c r="BA48" s="59">
        <v>0</v>
      </c>
      <c r="BB48" s="59">
        <v>37129.58</v>
      </c>
      <c r="BC48" s="59">
        <v>37129.58</v>
      </c>
      <c r="BD48" s="59">
        <v>0</v>
      </c>
      <c r="BE48" s="59">
        <v>0</v>
      </c>
      <c r="BF48" s="59">
        <v>0</v>
      </c>
      <c r="BG48" s="59">
        <v>37129.58</v>
      </c>
      <c r="BH48" s="59">
        <v>37129.58</v>
      </c>
      <c r="BI48" s="59">
        <v>0</v>
      </c>
      <c r="BJ48" s="59">
        <v>0</v>
      </c>
      <c r="BK48" s="59">
        <v>0</v>
      </c>
      <c r="BL48" s="59">
        <v>37129.58</v>
      </c>
      <c r="BM48" s="59">
        <f t="shared" si="41"/>
        <v>37129.58</v>
      </c>
      <c r="BN48" s="59">
        <v>0</v>
      </c>
      <c r="BO48" s="59">
        <v>0</v>
      </c>
      <c r="BP48" s="59">
        <v>0</v>
      </c>
      <c r="BQ48" s="59">
        <f t="shared" si="103"/>
        <v>37129.58</v>
      </c>
      <c r="BR48" s="59">
        <f t="shared" si="43"/>
        <v>37129.58</v>
      </c>
      <c r="BS48" s="59">
        <v>0</v>
      </c>
      <c r="BT48" s="59">
        <v>0</v>
      </c>
      <c r="BU48" s="59">
        <v>0</v>
      </c>
      <c r="BV48" s="59">
        <f t="shared" si="104"/>
        <v>37129.58</v>
      </c>
      <c r="BW48" s="59">
        <f t="shared" si="45"/>
        <v>37129.58</v>
      </c>
      <c r="BX48" s="59">
        <v>0</v>
      </c>
      <c r="BY48" s="59">
        <v>0</v>
      </c>
      <c r="BZ48" s="59">
        <v>0</v>
      </c>
      <c r="CA48" s="59">
        <f t="shared" si="105"/>
        <v>37129.58</v>
      </c>
      <c r="CD48" s="59">
        <f t="shared" si="47"/>
        <v>37129.58</v>
      </c>
      <c r="CE48" s="60">
        <v>0</v>
      </c>
      <c r="CF48" s="60">
        <v>0</v>
      </c>
      <c r="CG48" s="60">
        <v>0</v>
      </c>
      <c r="CH48" s="59">
        <f t="shared" si="62"/>
        <v>37129.58</v>
      </c>
      <c r="CI48" s="59">
        <f t="shared" si="48"/>
        <v>37129.58</v>
      </c>
      <c r="CJ48" s="60">
        <v>0</v>
      </c>
      <c r="CK48" s="60">
        <v>0</v>
      </c>
      <c r="CL48" s="60">
        <v>0</v>
      </c>
      <c r="CM48" s="59">
        <f t="shared" si="112"/>
        <v>37129.58</v>
      </c>
      <c r="CN48" s="59">
        <f t="shared" si="49"/>
        <v>37129.58</v>
      </c>
      <c r="CO48" s="60">
        <v>0</v>
      </c>
      <c r="CP48" s="60">
        <v>0</v>
      </c>
      <c r="CQ48" s="60">
        <v>0</v>
      </c>
      <c r="CR48" s="59">
        <f t="shared" si="113"/>
        <v>37129.58</v>
      </c>
      <c r="CS48" s="59">
        <f t="shared" si="114"/>
        <v>37129.58</v>
      </c>
      <c r="CT48" s="60">
        <v>0</v>
      </c>
      <c r="CU48" s="60">
        <v>0</v>
      </c>
      <c r="CV48" s="60">
        <v>0</v>
      </c>
      <c r="CW48" s="59">
        <f t="shared" si="115"/>
        <v>37129.58</v>
      </c>
      <c r="CX48" s="59">
        <f t="shared" si="116"/>
        <v>37129.58</v>
      </c>
      <c r="CY48" s="60">
        <v>0</v>
      </c>
      <c r="CZ48" s="60">
        <v>0</v>
      </c>
      <c r="DA48" s="60">
        <v>0</v>
      </c>
      <c r="DB48" s="59">
        <f t="shared" si="117"/>
        <v>37129.58</v>
      </c>
      <c r="DC48" s="59">
        <f t="shared" si="118"/>
        <v>37129.58</v>
      </c>
      <c r="DD48" s="60">
        <v>0</v>
      </c>
      <c r="DE48" s="60">
        <v>0</v>
      </c>
      <c r="DF48" s="60">
        <v>0</v>
      </c>
      <c r="DG48" s="59">
        <f t="shared" si="119"/>
        <v>37129.58</v>
      </c>
      <c r="DH48" s="59">
        <f t="shared" si="120"/>
        <v>37129.58</v>
      </c>
      <c r="DI48" s="60">
        <v>0</v>
      </c>
      <c r="DJ48" s="60">
        <v>0</v>
      </c>
      <c r="DK48" s="60">
        <v>0</v>
      </c>
      <c r="DL48" s="59">
        <f t="shared" si="121"/>
        <v>37129.58</v>
      </c>
      <c r="DM48" s="59">
        <f t="shared" si="122"/>
        <v>37129.58</v>
      </c>
      <c r="DN48" s="60">
        <v>0</v>
      </c>
      <c r="DO48" s="60">
        <v>0</v>
      </c>
      <c r="DP48" s="60">
        <v>0</v>
      </c>
      <c r="DQ48" s="59">
        <f t="shared" si="123"/>
        <v>37129.58</v>
      </c>
      <c r="DR48" s="59">
        <f t="shared" si="124"/>
        <v>37129.58</v>
      </c>
      <c r="DS48" s="60">
        <v>0</v>
      </c>
      <c r="DT48" s="60">
        <v>0</v>
      </c>
      <c r="DU48" s="60">
        <v>0</v>
      </c>
      <c r="DV48" s="59">
        <f t="shared" si="125"/>
        <v>37129.58</v>
      </c>
      <c r="DW48" s="59">
        <f t="shared" si="126"/>
        <v>37129.58</v>
      </c>
      <c r="DX48" s="60">
        <v>0</v>
      </c>
      <c r="DY48" s="60">
        <v>0</v>
      </c>
      <c r="DZ48" s="60">
        <v>0</v>
      </c>
      <c r="EA48" s="59">
        <f t="shared" si="127"/>
        <v>37129.58</v>
      </c>
      <c r="EB48" s="59">
        <f t="shared" si="128"/>
        <v>37129.58</v>
      </c>
      <c r="EC48" s="60">
        <v>0</v>
      </c>
      <c r="ED48" s="60">
        <v>0</v>
      </c>
      <c r="EE48" s="60">
        <v>0</v>
      </c>
      <c r="EF48" s="59">
        <f t="shared" si="129"/>
        <v>37129.58</v>
      </c>
      <c r="EG48" s="59">
        <f t="shared" si="130"/>
        <v>37129.58</v>
      </c>
      <c r="EH48" s="60">
        <v>0</v>
      </c>
      <c r="EI48" s="60">
        <v>0</v>
      </c>
      <c r="EJ48" s="60">
        <v>0</v>
      </c>
      <c r="EK48" s="59">
        <f t="shared" si="131"/>
        <v>37129.58</v>
      </c>
      <c r="EL48" s="59">
        <f t="shared" si="132"/>
        <v>37129.58</v>
      </c>
      <c r="EM48" s="60">
        <v>0</v>
      </c>
      <c r="EN48" s="60">
        <v>0</v>
      </c>
      <c r="EO48" s="60">
        <v>0</v>
      </c>
      <c r="EP48" s="59">
        <f t="shared" si="133"/>
        <v>37129.58</v>
      </c>
      <c r="EQ48" s="59">
        <f t="shared" si="134"/>
        <v>37129.58</v>
      </c>
      <c r="ER48" s="60">
        <v>0</v>
      </c>
      <c r="ES48" s="60">
        <v>0</v>
      </c>
      <c r="ET48" s="60">
        <v>0</v>
      </c>
      <c r="EU48" s="59">
        <f t="shared" si="135"/>
        <v>37129.58</v>
      </c>
      <c r="EV48" s="59">
        <f t="shared" si="136"/>
        <v>37129.58</v>
      </c>
      <c r="EW48" s="60">
        <v>0</v>
      </c>
      <c r="EX48" s="60">
        <v>0</v>
      </c>
      <c r="EY48" s="60">
        <v>0</v>
      </c>
      <c r="EZ48" s="59">
        <f t="shared" si="137"/>
        <v>37129.58</v>
      </c>
      <c r="FA48" s="59">
        <f t="shared" si="138"/>
        <v>37129.58</v>
      </c>
      <c r="FB48" s="60">
        <v>0</v>
      </c>
      <c r="FC48" s="60">
        <v>0</v>
      </c>
      <c r="FD48" s="60">
        <v>0</v>
      </c>
      <c r="FE48" s="59">
        <f t="shared" si="139"/>
        <v>37129.58</v>
      </c>
      <c r="FF48" s="59">
        <f t="shared" si="140"/>
        <v>37129.58</v>
      </c>
      <c r="FG48" s="60">
        <v>0</v>
      </c>
      <c r="FH48" s="60">
        <v>0</v>
      </c>
      <c r="FI48" s="60">
        <v>0</v>
      </c>
      <c r="FJ48" s="59">
        <f t="shared" si="141"/>
        <v>37129.58</v>
      </c>
      <c r="FK48" s="59">
        <f t="shared" si="142"/>
        <v>37129.58</v>
      </c>
      <c r="FL48" s="60">
        <v>0</v>
      </c>
      <c r="FM48" s="60">
        <v>0</v>
      </c>
      <c r="FN48" s="60">
        <v>0</v>
      </c>
      <c r="FO48" s="59">
        <f t="shared" si="143"/>
        <v>37129.58</v>
      </c>
      <c r="FP48" s="59">
        <f t="shared" si="144"/>
        <v>37129.58</v>
      </c>
      <c r="FQ48" s="60">
        <v>0</v>
      </c>
      <c r="FR48" s="60">
        <v>0</v>
      </c>
      <c r="FS48" s="60">
        <v>0</v>
      </c>
      <c r="FT48" s="59">
        <f t="shared" si="145"/>
        <v>37129.58</v>
      </c>
      <c r="FU48" s="59">
        <f t="shared" si="146"/>
        <v>37129.58</v>
      </c>
      <c r="FV48" s="60">
        <v>0</v>
      </c>
      <c r="FW48" s="60">
        <v>0</v>
      </c>
      <c r="FX48" s="60">
        <v>0</v>
      </c>
      <c r="FY48" s="59">
        <f t="shared" si="147"/>
        <v>37129.58</v>
      </c>
      <c r="FZ48" s="59">
        <f t="shared" si="148"/>
        <v>37129.58</v>
      </c>
      <c r="GA48" s="60">
        <v>0</v>
      </c>
      <c r="GB48" s="60">
        <v>0</v>
      </c>
      <c r="GC48" s="60">
        <v>0</v>
      </c>
      <c r="GD48" s="59">
        <f t="shared" si="149"/>
        <v>37129.58</v>
      </c>
      <c r="GE48" s="59">
        <f t="shared" si="150"/>
        <v>37129.58</v>
      </c>
      <c r="GF48" s="60">
        <v>0</v>
      </c>
      <c r="GG48" s="60">
        <v>0</v>
      </c>
      <c r="GH48" s="60">
        <v>0</v>
      </c>
      <c r="GI48" s="59">
        <f t="shared" si="151"/>
        <v>37129.58</v>
      </c>
      <c r="GJ48" s="59"/>
    </row>
    <row r="49" spans="1:192">
      <c r="B49" s="58">
        <v>392.2</v>
      </c>
      <c r="C49" s="57" t="s">
        <v>524</v>
      </c>
      <c r="D49" s="59">
        <v>95778</v>
      </c>
      <c r="E49" s="59">
        <v>95778</v>
      </c>
      <c r="F49" s="59">
        <v>0</v>
      </c>
      <c r="G49" s="59">
        <v>0</v>
      </c>
      <c r="H49" s="59">
        <v>0</v>
      </c>
      <c r="I49" s="59">
        <v>95778</v>
      </c>
      <c r="J49" s="59">
        <v>95778</v>
      </c>
      <c r="K49" s="59">
        <v>0</v>
      </c>
      <c r="L49" s="59">
        <v>0</v>
      </c>
      <c r="M49" s="59">
        <v>0</v>
      </c>
      <c r="N49" s="59">
        <v>95778</v>
      </c>
      <c r="O49" s="59">
        <v>95778</v>
      </c>
      <c r="P49" s="59">
        <v>0</v>
      </c>
      <c r="Q49" s="59">
        <v>0</v>
      </c>
      <c r="R49" s="59">
        <v>0</v>
      </c>
      <c r="S49" s="59">
        <v>95778</v>
      </c>
      <c r="T49" s="59">
        <v>95778</v>
      </c>
      <c r="U49" s="59">
        <v>0</v>
      </c>
      <c r="V49" s="59">
        <v>0</v>
      </c>
      <c r="W49" s="59">
        <v>0</v>
      </c>
      <c r="X49" s="59">
        <v>95778</v>
      </c>
      <c r="Y49" s="59">
        <v>95778</v>
      </c>
      <c r="Z49" s="59">
        <v>0</v>
      </c>
      <c r="AA49" s="59">
        <v>0</v>
      </c>
      <c r="AB49" s="59">
        <v>0</v>
      </c>
      <c r="AC49" s="59">
        <v>95778</v>
      </c>
      <c r="AD49" s="59">
        <v>95778</v>
      </c>
      <c r="AE49" s="59">
        <v>0</v>
      </c>
      <c r="AF49" s="59">
        <v>0</v>
      </c>
      <c r="AG49" s="59">
        <v>0</v>
      </c>
      <c r="AH49" s="59">
        <v>95778</v>
      </c>
      <c r="AI49" s="59">
        <v>95778</v>
      </c>
      <c r="AJ49" s="59">
        <v>0</v>
      </c>
      <c r="AK49" s="59">
        <v>0</v>
      </c>
      <c r="AL49" s="59">
        <v>0</v>
      </c>
      <c r="AM49" s="59">
        <v>95778</v>
      </c>
      <c r="AN49" s="59">
        <v>95778</v>
      </c>
      <c r="AO49" s="59">
        <v>0</v>
      </c>
      <c r="AP49" s="59">
        <v>0</v>
      </c>
      <c r="AQ49" s="59">
        <v>0</v>
      </c>
      <c r="AR49" s="59">
        <v>95778</v>
      </c>
      <c r="AS49" s="59">
        <v>95778</v>
      </c>
      <c r="AT49" s="59">
        <v>0</v>
      </c>
      <c r="AU49" s="59">
        <v>0</v>
      </c>
      <c r="AV49" s="59">
        <v>0</v>
      </c>
      <c r="AW49" s="59">
        <v>95778</v>
      </c>
      <c r="AX49" s="59">
        <v>95778</v>
      </c>
      <c r="AY49" s="59">
        <v>0</v>
      </c>
      <c r="AZ49" s="59">
        <v>0</v>
      </c>
      <c r="BA49" s="59">
        <v>0</v>
      </c>
      <c r="BB49" s="59">
        <v>95778</v>
      </c>
      <c r="BC49" s="59">
        <v>95778</v>
      </c>
      <c r="BD49" s="59">
        <v>0</v>
      </c>
      <c r="BE49" s="59">
        <v>0</v>
      </c>
      <c r="BF49" s="59">
        <v>0</v>
      </c>
      <c r="BG49" s="59">
        <v>95778</v>
      </c>
      <c r="BH49" s="59">
        <v>95778</v>
      </c>
      <c r="BI49" s="59">
        <v>0</v>
      </c>
      <c r="BJ49" s="59">
        <v>0</v>
      </c>
      <c r="BK49" s="59">
        <v>0</v>
      </c>
      <c r="BL49" s="59">
        <v>95778</v>
      </c>
      <c r="BM49" s="59">
        <f t="shared" si="41"/>
        <v>95778</v>
      </c>
      <c r="BN49" s="59">
        <v>0</v>
      </c>
      <c r="BO49" s="59">
        <v>-46853.599999999999</v>
      </c>
      <c r="BP49" s="59">
        <v>0</v>
      </c>
      <c r="BQ49" s="59">
        <f t="shared" si="103"/>
        <v>48924.4</v>
      </c>
      <c r="BR49" s="59">
        <f t="shared" si="43"/>
        <v>48924.4</v>
      </c>
      <c r="BS49" s="59">
        <v>0</v>
      </c>
      <c r="BT49" s="59">
        <v>0</v>
      </c>
      <c r="BU49" s="59">
        <v>0</v>
      </c>
      <c r="BV49" s="59">
        <f t="shared" si="104"/>
        <v>48924.4</v>
      </c>
      <c r="BW49" s="59">
        <f t="shared" si="45"/>
        <v>48924.4</v>
      </c>
      <c r="BX49" s="59">
        <v>0</v>
      </c>
      <c r="BY49" s="59">
        <v>0</v>
      </c>
      <c r="BZ49" s="59">
        <v>0</v>
      </c>
      <c r="CA49" s="59">
        <f t="shared" si="105"/>
        <v>48924.4</v>
      </c>
      <c r="CD49" s="59">
        <f t="shared" si="47"/>
        <v>48924.4</v>
      </c>
      <c r="CE49" s="60">
        <v>0</v>
      </c>
      <c r="CF49" s="60">
        <v>0</v>
      </c>
      <c r="CG49" s="60">
        <v>0</v>
      </c>
      <c r="CH49" s="59">
        <f t="shared" si="62"/>
        <v>48924.4</v>
      </c>
      <c r="CI49" s="59">
        <f t="shared" si="48"/>
        <v>48924.4</v>
      </c>
      <c r="CJ49" s="60">
        <v>0</v>
      </c>
      <c r="CK49" s="60">
        <v>0</v>
      </c>
      <c r="CL49" s="60">
        <v>0</v>
      </c>
      <c r="CM49" s="59">
        <f t="shared" si="112"/>
        <v>48924.4</v>
      </c>
      <c r="CN49" s="59">
        <f t="shared" si="49"/>
        <v>48924.4</v>
      </c>
      <c r="CO49" s="60">
        <v>0</v>
      </c>
      <c r="CP49" s="60">
        <v>0</v>
      </c>
      <c r="CQ49" s="60">
        <v>0</v>
      </c>
      <c r="CR49" s="59">
        <f t="shared" si="113"/>
        <v>48924.4</v>
      </c>
      <c r="CS49" s="59">
        <f t="shared" si="114"/>
        <v>48924.4</v>
      </c>
      <c r="CT49" s="60">
        <v>0</v>
      </c>
      <c r="CU49" s="60">
        <v>0</v>
      </c>
      <c r="CV49" s="60">
        <v>0</v>
      </c>
      <c r="CW49" s="59">
        <f t="shared" si="115"/>
        <v>48924.4</v>
      </c>
      <c r="CX49" s="59">
        <f t="shared" si="116"/>
        <v>48924.4</v>
      </c>
      <c r="CY49" s="60">
        <v>0</v>
      </c>
      <c r="CZ49" s="60">
        <v>0</v>
      </c>
      <c r="DA49" s="60">
        <v>0</v>
      </c>
      <c r="DB49" s="59">
        <f t="shared" si="117"/>
        <v>48924.4</v>
      </c>
      <c r="DC49" s="59">
        <f t="shared" si="118"/>
        <v>48924.4</v>
      </c>
      <c r="DD49" s="60">
        <v>0</v>
      </c>
      <c r="DE49" s="60">
        <v>0</v>
      </c>
      <c r="DF49" s="60">
        <v>0</v>
      </c>
      <c r="DG49" s="59">
        <f t="shared" si="119"/>
        <v>48924.4</v>
      </c>
      <c r="DH49" s="59">
        <f t="shared" si="120"/>
        <v>48924.4</v>
      </c>
      <c r="DI49" s="60">
        <v>0</v>
      </c>
      <c r="DJ49" s="60">
        <v>0</v>
      </c>
      <c r="DK49" s="60">
        <v>0</v>
      </c>
      <c r="DL49" s="59">
        <f t="shared" si="121"/>
        <v>48924.4</v>
      </c>
      <c r="DM49" s="59">
        <f t="shared" si="122"/>
        <v>48924.4</v>
      </c>
      <c r="DN49" s="60">
        <v>0</v>
      </c>
      <c r="DO49" s="60">
        <v>0</v>
      </c>
      <c r="DP49" s="60">
        <v>0</v>
      </c>
      <c r="DQ49" s="59">
        <f t="shared" si="123"/>
        <v>48924.4</v>
      </c>
      <c r="DR49" s="59">
        <f t="shared" si="124"/>
        <v>48924.4</v>
      </c>
      <c r="DS49" s="60">
        <v>0</v>
      </c>
      <c r="DT49" s="60">
        <v>0</v>
      </c>
      <c r="DU49" s="60">
        <v>0</v>
      </c>
      <c r="DV49" s="59">
        <f t="shared" si="125"/>
        <v>48924.4</v>
      </c>
      <c r="DW49" s="59">
        <f t="shared" si="126"/>
        <v>48924.4</v>
      </c>
      <c r="DX49" s="60">
        <v>0</v>
      </c>
      <c r="DY49" s="60">
        <v>0</v>
      </c>
      <c r="DZ49" s="60">
        <v>0</v>
      </c>
      <c r="EA49" s="59">
        <f t="shared" si="127"/>
        <v>48924.4</v>
      </c>
      <c r="EB49" s="59">
        <f t="shared" si="128"/>
        <v>48924.4</v>
      </c>
      <c r="EC49" s="60">
        <v>0</v>
      </c>
      <c r="ED49" s="60">
        <v>0</v>
      </c>
      <c r="EE49" s="60">
        <v>0</v>
      </c>
      <c r="EF49" s="59">
        <f t="shared" si="129"/>
        <v>48924.4</v>
      </c>
      <c r="EG49" s="59">
        <f t="shared" si="130"/>
        <v>48924.4</v>
      </c>
      <c r="EH49" s="60">
        <v>0</v>
      </c>
      <c r="EI49" s="60">
        <v>0</v>
      </c>
      <c r="EJ49" s="60">
        <v>0</v>
      </c>
      <c r="EK49" s="59">
        <f t="shared" si="131"/>
        <v>48924.4</v>
      </c>
      <c r="EL49" s="59">
        <f t="shared" si="132"/>
        <v>48924.4</v>
      </c>
      <c r="EM49" s="60">
        <v>0</v>
      </c>
      <c r="EN49" s="60">
        <v>0</v>
      </c>
      <c r="EO49" s="60">
        <v>0</v>
      </c>
      <c r="EP49" s="59">
        <f t="shared" si="133"/>
        <v>48924.4</v>
      </c>
      <c r="EQ49" s="59">
        <f t="shared" si="134"/>
        <v>48924.4</v>
      </c>
      <c r="ER49" s="60">
        <v>0</v>
      </c>
      <c r="ES49" s="60">
        <v>0</v>
      </c>
      <c r="ET49" s="60">
        <v>0</v>
      </c>
      <c r="EU49" s="59">
        <f t="shared" si="135"/>
        <v>48924.4</v>
      </c>
      <c r="EV49" s="59">
        <f t="shared" si="136"/>
        <v>48924.4</v>
      </c>
      <c r="EW49" s="60">
        <v>0</v>
      </c>
      <c r="EX49" s="60">
        <v>0</v>
      </c>
      <c r="EY49" s="60">
        <v>0</v>
      </c>
      <c r="EZ49" s="59">
        <f t="shared" si="137"/>
        <v>48924.4</v>
      </c>
      <c r="FA49" s="59">
        <f t="shared" si="138"/>
        <v>48924.4</v>
      </c>
      <c r="FB49" s="60">
        <v>0</v>
      </c>
      <c r="FC49" s="60">
        <v>0</v>
      </c>
      <c r="FD49" s="60">
        <v>0</v>
      </c>
      <c r="FE49" s="59">
        <f t="shared" si="139"/>
        <v>48924.4</v>
      </c>
      <c r="FF49" s="59">
        <f t="shared" si="140"/>
        <v>48924.4</v>
      </c>
      <c r="FG49" s="60">
        <v>0</v>
      </c>
      <c r="FH49" s="60">
        <v>0</v>
      </c>
      <c r="FI49" s="60">
        <v>0</v>
      </c>
      <c r="FJ49" s="59">
        <f t="shared" si="141"/>
        <v>48924.4</v>
      </c>
      <c r="FK49" s="59">
        <f t="shared" si="142"/>
        <v>48924.4</v>
      </c>
      <c r="FL49" s="60">
        <v>0</v>
      </c>
      <c r="FM49" s="60">
        <v>0</v>
      </c>
      <c r="FN49" s="60">
        <v>0</v>
      </c>
      <c r="FO49" s="59">
        <f t="shared" si="143"/>
        <v>48924.4</v>
      </c>
      <c r="FP49" s="59">
        <f t="shared" si="144"/>
        <v>48924.4</v>
      </c>
      <c r="FQ49" s="60">
        <v>0</v>
      </c>
      <c r="FR49" s="60">
        <v>0</v>
      </c>
      <c r="FS49" s="60">
        <v>0</v>
      </c>
      <c r="FT49" s="59">
        <f t="shared" si="145"/>
        <v>48924.4</v>
      </c>
      <c r="FU49" s="59">
        <f t="shared" si="146"/>
        <v>48924.4</v>
      </c>
      <c r="FV49" s="60">
        <v>0</v>
      </c>
      <c r="FW49" s="60">
        <v>0</v>
      </c>
      <c r="FX49" s="60">
        <v>0</v>
      </c>
      <c r="FY49" s="59">
        <f t="shared" si="147"/>
        <v>48924.4</v>
      </c>
      <c r="FZ49" s="59">
        <f t="shared" si="148"/>
        <v>48924.4</v>
      </c>
      <c r="GA49" s="60">
        <v>0</v>
      </c>
      <c r="GB49" s="60">
        <v>0</v>
      </c>
      <c r="GC49" s="60">
        <v>0</v>
      </c>
      <c r="GD49" s="59">
        <f t="shared" si="149"/>
        <v>48924.4</v>
      </c>
      <c r="GE49" s="59">
        <f t="shared" si="150"/>
        <v>48924.4</v>
      </c>
      <c r="GF49" s="60">
        <v>0</v>
      </c>
      <c r="GG49" s="60">
        <v>0</v>
      </c>
      <c r="GH49" s="60">
        <v>0</v>
      </c>
      <c r="GI49" s="59">
        <f t="shared" si="151"/>
        <v>48924.4</v>
      </c>
      <c r="GJ49" s="59"/>
    </row>
    <row r="50" spans="1:192">
      <c r="B50" s="58">
        <v>392.21</v>
      </c>
      <c r="C50" s="57" t="s">
        <v>415</v>
      </c>
      <c r="D50" s="59">
        <v>24462.2</v>
      </c>
      <c r="E50" s="59">
        <v>24462.2</v>
      </c>
      <c r="F50" s="59">
        <v>0</v>
      </c>
      <c r="G50" s="59">
        <v>0</v>
      </c>
      <c r="H50" s="59">
        <v>0</v>
      </c>
      <c r="I50" s="59">
        <v>24462.2</v>
      </c>
      <c r="J50" s="59">
        <v>24462.2</v>
      </c>
      <c r="K50" s="59">
        <v>0</v>
      </c>
      <c r="L50" s="59">
        <v>0</v>
      </c>
      <c r="M50" s="59">
        <v>0</v>
      </c>
      <c r="N50" s="59">
        <v>24462.2</v>
      </c>
      <c r="O50" s="59">
        <v>24462.2</v>
      </c>
      <c r="P50" s="59">
        <v>0</v>
      </c>
      <c r="Q50" s="59">
        <v>0</v>
      </c>
      <c r="R50" s="59">
        <v>0</v>
      </c>
      <c r="S50" s="59">
        <v>24462.2</v>
      </c>
      <c r="T50" s="59">
        <v>24462.2</v>
      </c>
      <c r="U50" s="59">
        <v>0</v>
      </c>
      <c r="V50" s="59">
        <v>0</v>
      </c>
      <c r="W50" s="59">
        <v>0</v>
      </c>
      <c r="X50" s="59">
        <v>24462.2</v>
      </c>
      <c r="Y50" s="59">
        <v>24462.2</v>
      </c>
      <c r="Z50" s="59">
        <v>0</v>
      </c>
      <c r="AA50" s="59">
        <v>0</v>
      </c>
      <c r="AB50" s="59">
        <v>0</v>
      </c>
      <c r="AC50" s="59">
        <v>24462.2</v>
      </c>
      <c r="AD50" s="59">
        <v>24462.2</v>
      </c>
      <c r="AE50" s="59">
        <v>0</v>
      </c>
      <c r="AF50" s="59">
        <v>0</v>
      </c>
      <c r="AG50" s="59">
        <v>0</v>
      </c>
      <c r="AH50" s="59">
        <v>24462.2</v>
      </c>
      <c r="AI50" s="59">
        <v>24462.2</v>
      </c>
      <c r="AJ50" s="59">
        <v>0</v>
      </c>
      <c r="AK50" s="59">
        <v>0</v>
      </c>
      <c r="AL50" s="59">
        <v>0</v>
      </c>
      <c r="AM50" s="59">
        <v>24462.2</v>
      </c>
      <c r="AN50" s="59">
        <v>24462.2</v>
      </c>
      <c r="AO50" s="59">
        <v>0</v>
      </c>
      <c r="AP50" s="59">
        <v>0</v>
      </c>
      <c r="AQ50" s="59">
        <v>0</v>
      </c>
      <c r="AR50" s="59">
        <v>24462.2</v>
      </c>
      <c r="AS50" s="59">
        <v>24462.2</v>
      </c>
      <c r="AT50" s="59">
        <v>0</v>
      </c>
      <c r="AU50" s="59">
        <v>0</v>
      </c>
      <c r="AV50" s="59">
        <v>0</v>
      </c>
      <c r="AW50" s="59">
        <v>24462.2</v>
      </c>
      <c r="AX50" s="59">
        <v>24462.2</v>
      </c>
      <c r="AY50" s="59">
        <v>0</v>
      </c>
      <c r="AZ50" s="59">
        <v>0</v>
      </c>
      <c r="BA50" s="59">
        <v>0</v>
      </c>
      <c r="BB50" s="59">
        <v>24462.2</v>
      </c>
      <c r="BC50" s="59">
        <v>24462.2</v>
      </c>
      <c r="BD50" s="59">
        <v>0</v>
      </c>
      <c r="BE50" s="59">
        <v>0</v>
      </c>
      <c r="BF50" s="59">
        <v>0</v>
      </c>
      <c r="BG50" s="59">
        <v>24462.2</v>
      </c>
      <c r="BH50" s="59">
        <v>24462.2</v>
      </c>
      <c r="BI50" s="59">
        <v>0</v>
      </c>
      <c r="BJ50" s="59">
        <v>0</v>
      </c>
      <c r="BK50" s="59">
        <v>0</v>
      </c>
      <c r="BL50" s="59">
        <v>24462.2</v>
      </c>
      <c r="BM50" s="59">
        <f t="shared" si="41"/>
        <v>24462.2</v>
      </c>
      <c r="BN50" s="59">
        <v>0</v>
      </c>
      <c r="BO50" s="59">
        <v>0</v>
      </c>
      <c r="BP50" s="59">
        <v>0</v>
      </c>
      <c r="BQ50" s="59">
        <f t="shared" si="103"/>
        <v>24462.2</v>
      </c>
      <c r="BR50" s="59">
        <f t="shared" si="43"/>
        <v>24462.2</v>
      </c>
      <c r="BS50" s="59">
        <v>0</v>
      </c>
      <c r="BT50" s="59">
        <v>0</v>
      </c>
      <c r="BU50" s="59">
        <v>0</v>
      </c>
      <c r="BV50" s="59">
        <f t="shared" si="104"/>
        <v>24462.2</v>
      </c>
      <c r="BW50" s="59">
        <f t="shared" si="45"/>
        <v>24462.2</v>
      </c>
      <c r="BX50" s="59">
        <v>0</v>
      </c>
      <c r="BY50" s="59">
        <v>0</v>
      </c>
      <c r="BZ50" s="59">
        <v>0</v>
      </c>
      <c r="CA50" s="59">
        <f t="shared" si="105"/>
        <v>24462.2</v>
      </c>
      <c r="CD50" s="59">
        <f t="shared" si="47"/>
        <v>24462.2</v>
      </c>
      <c r="CE50" s="60">
        <v>0</v>
      </c>
      <c r="CF50" s="60">
        <v>0</v>
      </c>
      <c r="CG50" s="60">
        <v>0</v>
      </c>
      <c r="CH50" s="59">
        <f t="shared" si="62"/>
        <v>24462.2</v>
      </c>
      <c r="CI50" s="59">
        <f t="shared" si="48"/>
        <v>24462.2</v>
      </c>
      <c r="CJ50" s="60">
        <v>0</v>
      </c>
      <c r="CK50" s="60">
        <v>0</v>
      </c>
      <c r="CL50" s="60">
        <v>0</v>
      </c>
      <c r="CM50" s="59">
        <f t="shared" si="112"/>
        <v>24462.2</v>
      </c>
      <c r="CN50" s="59">
        <f t="shared" si="49"/>
        <v>24462.2</v>
      </c>
      <c r="CO50" s="60">
        <v>0</v>
      </c>
      <c r="CP50" s="60">
        <v>0</v>
      </c>
      <c r="CQ50" s="60">
        <v>0</v>
      </c>
      <c r="CR50" s="59">
        <f t="shared" si="113"/>
        <v>24462.2</v>
      </c>
      <c r="CS50" s="59">
        <f t="shared" si="114"/>
        <v>24462.2</v>
      </c>
      <c r="CT50" s="60">
        <v>0</v>
      </c>
      <c r="CU50" s="60">
        <v>0</v>
      </c>
      <c r="CV50" s="60">
        <v>0</v>
      </c>
      <c r="CW50" s="59">
        <f t="shared" si="115"/>
        <v>24462.2</v>
      </c>
      <c r="CX50" s="59">
        <f t="shared" si="116"/>
        <v>24462.2</v>
      </c>
      <c r="CY50" s="60">
        <v>0</v>
      </c>
      <c r="CZ50" s="60">
        <v>0</v>
      </c>
      <c r="DA50" s="60">
        <v>0</v>
      </c>
      <c r="DB50" s="59">
        <f t="shared" si="117"/>
        <v>24462.2</v>
      </c>
      <c r="DC50" s="59">
        <f t="shared" si="118"/>
        <v>24462.2</v>
      </c>
      <c r="DD50" s="60">
        <v>0</v>
      </c>
      <c r="DE50" s="60">
        <v>0</v>
      </c>
      <c r="DF50" s="60">
        <v>0</v>
      </c>
      <c r="DG50" s="59">
        <f t="shared" si="119"/>
        <v>24462.2</v>
      </c>
      <c r="DH50" s="59">
        <f t="shared" si="120"/>
        <v>24462.2</v>
      </c>
      <c r="DI50" s="60">
        <v>0</v>
      </c>
      <c r="DJ50" s="60">
        <v>0</v>
      </c>
      <c r="DK50" s="60">
        <v>0</v>
      </c>
      <c r="DL50" s="59">
        <f t="shared" si="121"/>
        <v>24462.2</v>
      </c>
      <c r="DM50" s="59">
        <f t="shared" si="122"/>
        <v>24462.2</v>
      </c>
      <c r="DN50" s="60">
        <v>0</v>
      </c>
      <c r="DO50" s="60">
        <v>0</v>
      </c>
      <c r="DP50" s="60">
        <v>0</v>
      </c>
      <c r="DQ50" s="59">
        <f t="shared" si="123"/>
        <v>24462.2</v>
      </c>
      <c r="DR50" s="59">
        <f t="shared" si="124"/>
        <v>24462.2</v>
      </c>
      <c r="DS50" s="60">
        <v>0</v>
      </c>
      <c r="DT50" s="60">
        <v>0</v>
      </c>
      <c r="DU50" s="60">
        <v>0</v>
      </c>
      <c r="DV50" s="59">
        <f t="shared" si="125"/>
        <v>24462.2</v>
      </c>
      <c r="DW50" s="59">
        <f t="shared" si="126"/>
        <v>24462.2</v>
      </c>
      <c r="DX50" s="60">
        <v>0</v>
      </c>
      <c r="DY50" s="60">
        <v>0</v>
      </c>
      <c r="DZ50" s="60">
        <v>0</v>
      </c>
      <c r="EA50" s="59">
        <f t="shared" si="127"/>
        <v>24462.2</v>
      </c>
      <c r="EB50" s="59">
        <f t="shared" si="128"/>
        <v>24462.2</v>
      </c>
      <c r="EC50" s="60">
        <v>0</v>
      </c>
      <c r="ED50" s="60">
        <v>0</v>
      </c>
      <c r="EE50" s="60">
        <v>0</v>
      </c>
      <c r="EF50" s="59">
        <f t="shared" si="129"/>
        <v>24462.2</v>
      </c>
      <c r="EG50" s="59">
        <f t="shared" si="130"/>
        <v>24462.2</v>
      </c>
      <c r="EH50" s="60">
        <v>0</v>
      </c>
      <c r="EI50" s="60">
        <v>0</v>
      </c>
      <c r="EJ50" s="60">
        <v>0</v>
      </c>
      <c r="EK50" s="59">
        <f t="shared" si="131"/>
        <v>24462.2</v>
      </c>
      <c r="EL50" s="59">
        <f t="shared" si="132"/>
        <v>24462.2</v>
      </c>
      <c r="EM50" s="60">
        <v>0</v>
      </c>
      <c r="EN50" s="60">
        <v>0</v>
      </c>
      <c r="EO50" s="60">
        <v>0</v>
      </c>
      <c r="EP50" s="59">
        <f t="shared" si="133"/>
        <v>24462.2</v>
      </c>
      <c r="EQ50" s="59">
        <f t="shared" si="134"/>
        <v>24462.2</v>
      </c>
      <c r="ER50" s="60">
        <v>0</v>
      </c>
      <c r="ES50" s="60">
        <v>0</v>
      </c>
      <c r="ET50" s="60">
        <v>0</v>
      </c>
      <c r="EU50" s="59">
        <f t="shared" si="135"/>
        <v>24462.2</v>
      </c>
      <c r="EV50" s="59">
        <f t="shared" si="136"/>
        <v>24462.2</v>
      </c>
      <c r="EW50" s="60">
        <v>0</v>
      </c>
      <c r="EX50" s="60">
        <v>0</v>
      </c>
      <c r="EY50" s="60">
        <v>0</v>
      </c>
      <c r="EZ50" s="59">
        <f t="shared" si="137"/>
        <v>24462.2</v>
      </c>
      <c r="FA50" s="59">
        <f t="shared" si="138"/>
        <v>24462.2</v>
      </c>
      <c r="FB50" s="60">
        <v>0</v>
      </c>
      <c r="FC50" s="60">
        <v>0</v>
      </c>
      <c r="FD50" s="60">
        <v>0</v>
      </c>
      <c r="FE50" s="59">
        <f t="shared" si="139"/>
        <v>24462.2</v>
      </c>
      <c r="FF50" s="59">
        <f t="shared" si="140"/>
        <v>24462.2</v>
      </c>
      <c r="FG50" s="60">
        <v>0</v>
      </c>
      <c r="FH50" s="60">
        <v>0</v>
      </c>
      <c r="FI50" s="60">
        <v>0</v>
      </c>
      <c r="FJ50" s="59">
        <f t="shared" si="141"/>
        <v>24462.2</v>
      </c>
      <c r="FK50" s="59">
        <f t="shared" si="142"/>
        <v>24462.2</v>
      </c>
      <c r="FL50" s="60">
        <v>0</v>
      </c>
      <c r="FM50" s="60">
        <v>0</v>
      </c>
      <c r="FN50" s="60">
        <v>0</v>
      </c>
      <c r="FO50" s="59">
        <f t="shared" si="143"/>
        <v>24462.2</v>
      </c>
      <c r="FP50" s="59">
        <f t="shared" si="144"/>
        <v>24462.2</v>
      </c>
      <c r="FQ50" s="60">
        <v>0</v>
      </c>
      <c r="FR50" s="60">
        <v>0</v>
      </c>
      <c r="FS50" s="60">
        <v>0</v>
      </c>
      <c r="FT50" s="59">
        <f t="shared" si="145"/>
        <v>24462.2</v>
      </c>
      <c r="FU50" s="59">
        <f t="shared" si="146"/>
        <v>24462.2</v>
      </c>
      <c r="FV50" s="60">
        <v>0</v>
      </c>
      <c r="FW50" s="60">
        <v>0</v>
      </c>
      <c r="FX50" s="60">
        <v>0</v>
      </c>
      <c r="FY50" s="59">
        <f t="shared" si="147"/>
        <v>24462.2</v>
      </c>
      <c r="FZ50" s="59">
        <f t="shared" si="148"/>
        <v>24462.2</v>
      </c>
      <c r="GA50" s="60">
        <v>0</v>
      </c>
      <c r="GB50" s="60">
        <v>0</v>
      </c>
      <c r="GC50" s="60">
        <v>0</v>
      </c>
      <c r="GD50" s="59">
        <f t="shared" si="149"/>
        <v>24462.2</v>
      </c>
      <c r="GE50" s="59">
        <f t="shared" si="150"/>
        <v>24462.2</v>
      </c>
      <c r="GF50" s="60">
        <v>0</v>
      </c>
      <c r="GG50" s="60">
        <v>0</v>
      </c>
      <c r="GH50" s="60">
        <v>0</v>
      </c>
      <c r="GI50" s="59">
        <f t="shared" si="151"/>
        <v>24462.2</v>
      </c>
      <c r="GJ50" s="59"/>
    </row>
    <row r="51" spans="1:192">
      <c r="B51" s="58">
        <v>393</v>
      </c>
      <c r="C51" s="57" t="s">
        <v>416</v>
      </c>
      <c r="D51" s="59">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59">
        <v>0</v>
      </c>
      <c r="AI51" s="59">
        <v>0</v>
      </c>
      <c r="AJ51" s="59">
        <v>0</v>
      </c>
      <c r="AK51" s="59">
        <v>0</v>
      </c>
      <c r="AL51" s="59">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f t="shared" si="41"/>
        <v>0</v>
      </c>
      <c r="BN51" s="59">
        <v>0</v>
      </c>
      <c r="BO51" s="59">
        <v>0</v>
      </c>
      <c r="BP51" s="59">
        <v>0</v>
      </c>
      <c r="BQ51" s="59">
        <f t="shared" si="103"/>
        <v>0</v>
      </c>
      <c r="BR51" s="59">
        <f t="shared" si="43"/>
        <v>0</v>
      </c>
      <c r="BS51" s="59">
        <v>0</v>
      </c>
      <c r="BT51" s="59">
        <v>0</v>
      </c>
      <c r="BU51" s="59">
        <v>0</v>
      </c>
      <c r="BV51" s="59">
        <f t="shared" si="104"/>
        <v>0</v>
      </c>
      <c r="BW51" s="59">
        <f t="shared" si="45"/>
        <v>0</v>
      </c>
      <c r="BX51" s="59">
        <v>0</v>
      </c>
      <c r="BY51" s="59">
        <v>0</v>
      </c>
      <c r="BZ51" s="59">
        <v>0</v>
      </c>
      <c r="CA51" s="59">
        <f t="shared" si="105"/>
        <v>0</v>
      </c>
      <c r="CD51" s="59">
        <f t="shared" si="47"/>
        <v>0</v>
      </c>
      <c r="CE51" s="60">
        <v>0</v>
      </c>
      <c r="CF51" s="60">
        <v>0</v>
      </c>
      <c r="CG51" s="60">
        <v>0</v>
      </c>
      <c r="CH51" s="59">
        <f t="shared" si="62"/>
        <v>0</v>
      </c>
      <c r="CI51" s="59">
        <f t="shared" si="48"/>
        <v>0</v>
      </c>
      <c r="CJ51" s="60">
        <v>0</v>
      </c>
      <c r="CK51" s="60">
        <v>0</v>
      </c>
      <c r="CL51" s="60">
        <v>0</v>
      </c>
      <c r="CM51" s="59">
        <f t="shared" si="112"/>
        <v>0</v>
      </c>
      <c r="CN51" s="59">
        <f t="shared" si="49"/>
        <v>0</v>
      </c>
      <c r="CO51" s="60">
        <v>0</v>
      </c>
      <c r="CP51" s="60">
        <v>0</v>
      </c>
      <c r="CQ51" s="60">
        <v>0</v>
      </c>
      <c r="CR51" s="59">
        <f t="shared" si="113"/>
        <v>0</v>
      </c>
      <c r="CS51" s="59">
        <f t="shared" si="114"/>
        <v>0</v>
      </c>
      <c r="CT51" s="60">
        <v>0</v>
      </c>
      <c r="CU51" s="60">
        <v>0</v>
      </c>
      <c r="CV51" s="60">
        <v>0</v>
      </c>
      <c r="CW51" s="59">
        <f t="shared" si="115"/>
        <v>0</v>
      </c>
      <c r="CX51" s="59">
        <f t="shared" si="116"/>
        <v>0</v>
      </c>
      <c r="CY51" s="60">
        <v>0</v>
      </c>
      <c r="CZ51" s="60">
        <v>0</v>
      </c>
      <c r="DA51" s="60">
        <v>0</v>
      </c>
      <c r="DB51" s="59">
        <f t="shared" si="117"/>
        <v>0</v>
      </c>
      <c r="DC51" s="59">
        <f t="shared" si="118"/>
        <v>0</v>
      </c>
      <c r="DD51" s="60">
        <v>0</v>
      </c>
      <c r="DE51" s="60">
        <v>0</v>
      </c>
      <c r="DF51" s="60">
        <v>0</v>
      </c>
      <c r="DG51" s="59">
        <f t="shared" si="119"/>
        <v>0</v>
      </c>
      <c r="DH51" s="59">
        <f t="shared" si="120"/>
        <v>0</v>
      </c>
      <c r="DI51" s="60">
        <v>0</v>
      </c>
      <c r="DJ51" s="60">
        <v>0</v>
      </c>
      <c r="DK51" s="60">
        <v>0</v>
      </c>
      <c r="DL51" s="59">
        <f t="shared" si="121"/>
        <v>0</v>
      </c>
      <c r="DM51" s="59">
        <f t="shared" si="122"/>
        <v>0</v>
      </c>
      <c r="DN51" s="60">
        <v>0</v>
      </c>
      <c r="DO51" s="60">
        <v>0</v>
      </c>
      <c r="DP51" s="60">
        <v>0</v>
      </c>
      <c r="DQ51" s="59">
        <f t="shared" si="123"/>
        <v>0</v>
      </c>
      <c r="DR51" s="59">
        <f t="shared" si="124"/>
        <v>0</v>
      </c>
      <c r="DS51" s="60">
        <v>0</v>
      </c>
      <c r="DT51" s="60">
        <v>0</v>
      </c>
      <c r="DU51" s="60">
        <v>0</v>
      </c>
      <c r="DV51" s="59">
        <f t="shared" si="125"/>
        <v>0</v>
      </c>
      <c r="DW51" s="59">
        <f t="shared" si="126"/>
        <v>0</v>
      </c>
      <c r="DX51" s="60">
        <v>0</v>
      </c>
      <c r="DY51" s="60">
        <v>0</v>
      </c>
      <c r="DZ51" s="60">
        <v>0</v>
      </c>
      <c r="EA51" s="59">
        <f t="shared" si="127"/>
        <v>0</v>
      </c>
      <c r="EB51" s="59">
        <f t="shared" si="128"/>
        <v>0</v>
      </c>
      <c r="EC51" s="60">
        <v>0</v>
      </c>
      <c r="ED51" s="60">
        <v>0</v>
      </c>
      <c r="EE51" s="60">
        <v>0</v>
      </c>
      <c r="EF51" s="59">
        <f t="shared" si="129"/>
        <v>0</v>
      </c>
      <c r="EG51" s="59">
        <f t="shared" si="130"/>
        <v>0</v>
      </c>
      <c r="EH51" s="60">
        <v>0</v>
      </c>
      <c r="EI51" s="60">
        <v>0</v>
      </c>
      <c r="EJ51" s="60">
        <v>0</v>
      </c>
      <c r="EK51" s="59">
        <f t="shared" si="131"/>
        <v>0</v>
      </c>
      <c r="EL51" s="59">
        <f t="shared" si="132"/>
        <v>0</v>
      </c>
      <c r="EM51" s="60">
        <v>0</v>
      </c>
      <c r="EN51" s="60">
        <v>0</v>
      </c>
      <c r="EO51" s="60">
        <v>0</v>
      </c>
      <c r="EP51" s="59">
        <f t="shared" si="133"/>
        <v>0</v>
      </c>
      <c r="EQ51" s="59">
        <f t="shared" si="134"/>
        <v>0</v>
      </c>
      <c r="ER51" s="60">
        <v>0</v>
      </c>
      <c r="ES51" s="60">
        <v>0</v>
      </c>
      <c r="ET51" s="60">
        <v>0</v>
      </c>
      <c r="EU51" s="59">
        <f t="shared" si="135"/>
        <v>0</v>
      </c>
      <c r="EV51" s="59">
        <f t="shared" si="136"/>
        <v>0</v>
      </c>
      <c r="EW51" s="60">
        <v>0</v>
      </c>
      <c r="EX51" s="60">
        <v>0</v>
      </c>
      <c r="EY51" s="60">
        <v>0</v>
      </c>
      <c r="EZ51" s="59">
        <f t="shared" si="137"/>
        <v>0</v>
      </c>
      <c r="FA51" s="59">
        <f t="shared" si="138"/>
        <v>0</v>
      </c>
      <c r="FB51" s="60">
        <v>0</v>
      </c>
      <c r="FC51" s="60">
        <v>0</v>
      </c>
      <c r="FD51" s="60">
        <v>0</v>
      </c>
      <c r="FE51" s="59">
        <f t="shared" si="139"/>
        <v>0</v>
      </c>
      <c r="FF51" s="59">
        <f t="shared" si="140"/>
        <v>0</v>
      </c>
      <c r="FG51" s="60">
        <v>0</v>
      </c>
      <c r="FH51" s="60">
        <v>0</v>
      </c>
      <c r="FI51" s="60">
        <v>0</v>
      </c>
      <c r="FJ51" s="59">
        <f t="shared" si="141"/>
        <v>0</v>
      </c>
      <c r="FK51" s="59">
        <f t="shared" si="142"/>
        <v>0</v>
      </c>
      <c r="FL51" s="60">
        <v>0</v>
      </c>
      <c r="FM51" s="60">
        <v>0</v>
      </c>
      <c r="FN51" s="60">
        <v>0</v>
      </c>
      <c r="FO51" s="59">
        <f t="shared" si="143"/>
        <v>0</v>
      </c>
      <c r="FP51" s="59">
        <f t="shared" si="144"/>
        <v>0</v>
      </c>
      <c r="FQ51" s="60">
        <v>0</v>
      </c>
      <c r="FR51" s="60">
        <v>0</v>
      </c>
      <c r="FS51" s="60">
        <v>0</v>
      </c>
      <c r="FT51" s="59">
        <f t="shared" si="145"/>
        <v>0</v>
      </c>
      <c r="FU51" s="59">
        <f t="shared" si="146"/>
        <v>0</v>
      </c>
      <c r="FV51" s="60">
        <v>0</v>
      </c>
      <c r="FW51" s="60">
        <v>0</v>
      </c>
      <c r="FX51" s="60">
        <v>0</v>
      </c>
      <c r="FY51" s="59">
        <f t="shared" si="147"/>
        <v>0</v>
      </c>
      <c r="FZ51" s="59">
        <f t="shared" si="148"/>
        <v>0</v>
      </c>
      <c r="GA51" s="60">
        <v>0</v>
      </c>
      <c r="GB51" s="60">
        <v>0</v>
      </c>
      <c r="GC51" s="60">
        <v>0</v>
      </c>
      <c r="GD51" s="59">
        <f t="shared" si="149"/>
        <v>0</v>
      </c>
      <c r="GE51" s="59">
        <f t="shared" si="150"/>
        <v>0</v>
      </c>
      <c r="GF51" s="60">
        <v>0</v>
      </c>
      <c r="GG51" s="60">
        <v>0</v>
      </c>
      <c r="GH51" s="60">
        <v>0</v>
      </c>
      <c r="GI51" s="59">
        <f t="shared" si="151"/>
        <v>0</v>
      </c>
      <c r="GJ51" s="59"/>
    </row>
    <row r="52" spans="1:192">
      <c r="B52" s="58">
        <v>394.1</v>
      </c>
      <c r="C52" s="57" t="s">
        <v>417</v>
      </c>
      <c r="D52" s="59">
        <v>9739</v>
      </c>
      <c r="E52" s="59">
        <v>9739</v>
      </c>
      <c r="F52" s="59">
        <v>0</v>
      </c>
      <c r="G52" s="59">
        <v>0</v>
      </c>
      <c r="H52" s="59">
        <v>0</v>
      </c>
      <c r="I52" s="59">
        <v>9739</v>
      </c>
      <c r="J52" s="59">
        <v>9739</v>
      </c>
      <c r="K52" s="59">
        <v>0</v>
      </c>
      <c r="L52" s="59">
        <v>0</v>
      </c>
      <c r="M52" s="59">
        <v>0</v>
      </c>
      <c r="N52" s="59">
        <v>9739</v>
      </c>
      <c r="O52" s="59">
        <v>9739</v>
      </c>
      <c r="P52" s="59">
        <v>0</v>
      </c>
      <c r="Q52" s="59">
        <v>0</v>
      </c>
      <c r="R52" s="59">
        <v>0</v>
      </c>
      <c r="S52" s="59">
        <v>9739</v>
      </c>
      <c r="T52" s="59">
        <v>9739</v>
      </c>
      <c r="U52" s="59">
        <v>0</v>
      </c>
      <c r="V52" s="59">
        <v>0</v>
      </c>
      <c r="W52" s="59">
        <v>0</v>
      </c>
      <c r="X52" s="59">
        <v>9739</v>
      </c>
      <c r="Y52" s="59">
        <v>9739</v>
      </c>
      <c r="Z52" s="59">
        <v>0</v>
      </c>
      <c r="AA52" s="59">
        <v>0</v>
      </c>
      <c r="AB52" s="59">
        <v>0</v>
      </c>
      <c r="AC52" s="59">
        <v>9739</v>
      </c>
      <c r="AD52" s="59">
        <v>9739</v>
      </c>
      <c r="AE52" s="59">
        <v>0</v>
      </c>
      <c r="AF52" s="59">
        <v>0</v>
      </c>
      <c r="AG52" s="59">
        <v>0</v>
      </c>
      <c r="AH52" s="59">
        <v>9739</v>
      </c>
      <c r="AI52" s="59">
        <v>9739</v>
      </c>
      <c r="AJ52" s="59">
        <v>0</v>
      </c>
      <c r="AK52" s="59">
        <v>0</v>
      </c>
      <c r="AL52" s="59">
        <v>0</v>
      </c>
      <c r="AM52" s="59">
        <v>9739</v>
      </c>
      <c r="AN52" s="59">
        <v>9739</v>
      </c>
      <c r="AO52" s="59">
        <v>0</v>
      </c>
      <c r="AP52" s="59">
        <v>0</v>
      </c>
      <c r="AQ52" s="59">
        <v>0</v>
      </c>
      <c r="AR52" s="59">
        <v>9739</v>
      </c>
      <c r="AS52" s="59">
        <v>9739</v>
      </c>
      <c r="AT52" s="59">
        <v>0</v>
      </c>
      <c r="AU52" s="59">
        <v>0</v>
      </c>
      <c r="AV52" s="59">
        <v>0</v>
      </c>
      <c r="AW52" s="59">
        <v>9739</v>
      </c>
      <c r="AX52" s="59">
        <v>9739</v>
      </c>
      <c r="AY52" s="59">
        <v>0</v>
      </c>
      <c r="AZ52" s="59">
        <v>0</v>
      </c>
      <c r="BA52" s="59">
        <v>0</v>
      </c>
      <c r="BB52" s="59">
        <v>9739</v>
      </c>
      <c r="BC52" s="59">
        <v>9739</v>
      </c>
      <c r="BD52" s="59">
        <v>0</v>
      </c>
      <c r="BE52" s="59">
        <v>0</v>
      </c>
      <c r="BF52" s="59">
        <v>0</v>
      </c>
      <c r="BG52" s="59">
        <v>9739</v>
      </c>
      <c r="BH52" s="59">
        <v>9739</v>
      </c>
      <c r="BI52" s="59">
        <v>0</v>
      </c>
      <c r="BJ52" s="59">
        <v>0</v>
      </c>
      <c r="BK52" s="59">
        <v>0</v>
      </c>
      <c r="BL52" s="59">
        <v>9739</v>
      </c>
      <c r="BM52" s="59">
        <f t="shared" si="41"/>
        <v>9739</v>
      </c>
      <c r="BN52" s="59">
        <v>0</v>
      </c>
      <c r="BO52" s="59">
        <v>0</v>
      </c>
      <c r="BP52" s="59">
        <v>0</v>
      </c>
      <c r="BQ52" s="59">
        <f t="shared" si="103"/>
        <v>9739</v>
      </c>
      <c r="BR52" s="59">
        <f t="shared" si="43"/>
        <v>9739</v>
      </c>
      <c r="BS52" s="59">
        <v>0</v>
      </c>
      <c r="BT52" s="59">
        <v>0</v>
      </c>
      <c r="BU52" s="59">
        <v>0</v>
      </c>
      <c r="BV52" s="59">
        <f t="shared" si="104"/>
        <v>9739</v>
      </c>
      <c r="BW52" s="59">
        <f t="shared" si="45"/>
        <v>9739</v>
      </c>
      <c r="BX52" s="59">
        <v>0</v>
      </c>
      <c r="BY52" s="59">
        <v>0</v>
      </c>
      <c r="BZ52" s="59">
        <v>0</v>
      </c>
      <c r="CA52" s="59">
        <f t="shared" si="105"/>
        <v>9739</v>
      </c>
      <c r="CD52" s="59">
        <f t="shared" si="47"/>
        <v>9739</v>
      </c>
      <c r="CE52" s="60">
        <v>0</v>
      </c>
      <c r="CF52" s="60">
        <v>0</v>
      </c>
      <c r="CG52" s="60">
        <v>0</v>
      </c>
      <c r="CH52" s="59">
        <f t="shared" si="62"/>
        <v>9739</v>
      </c>
      <c r="CI52" s="59">
        <f t="shared" si="48"/>
        <v>9739</v>
      </c>
      <c r="CJ52" s="60">
        <v>0</v>
      </c>
      <c r="CK52" s="60">
        <v>0</v>
      </c>
      <c r="CL52" s="60">
        <v>0</v>
      </c>
      <c r="CM52" s="59">
        <f t="shared" si="112"/>
        <v>9739</v>
      </c>
      <c r="CN52" s="59">
        <f t="shared" si="49"/>
        <v>9739</v>
      </c>
      <c r="CO52" s="60">
        <v>0</v>
      </c>
      <c r="CP52" s="60">
        <v>0</v>
      </c>
      <c r="CQ52" s="60">
        <v>0</v>
      </c>
      <c r="CR52" s="59">
        <f t="shared" si="113"/>
        <v>9739</v>
      </c>
      <c r="CS52" s="59">
        <f t="shared" si="114"/>
        <v>9739</v>
      </c>
      <c r="CT52" s="60">
        <v>0</v>
      </c>
      <c r="CU52" s="60">
        <v>0</v>
      </c>
      <c r="CV52" s="60">
        <v>0</v>
      </c>
      <c r="CW52" s="59">
        <f t="shared" si="115"/>
        <v>9739</v>
      </c>
      <c r="CX52" s="59">
        <f t="shared" si="116"/>
        <v>9739</v>
      </c>
      <c r="CY52" s="60">
        <v>0</v>
      </c>
      <c r="CZ52" s="60">
        <v>0</v>
      </c>
      <c r="DA52" s="60">
        <v>0</v>
      </c>
      <c r="DB52" s="59">
        <f t="shared" si="117"/>
        <v>9739</v>
      </c>
      <c r="DC52" s="59">
        <f t="shared" si="118"/>
        <v>9739</v>
      </c>
      <c r="DD52" s="60">
        <v>0</v>
      </c>
      <c r="DE52" s="60">
        <v>0</v>
      </c>
      <c r="DF52" s="60">
        <v>0</v>
      </c>
      <c r="DG52" s="59">
        <f t="shared" si="119"/>
        <v>9739</v>
      </c>
      <c r="DH52" s="59">
        <f t="shared" si="120"/>
        <v>9739</v>
      </c>
      <c r="DI52" s="60">
        <v>0</v>
      </c>
      <c r="DJ52" s="60">
        <v>0</v>
      </c>
      <c r="DK52" s="60">
        <v>0</v>
      </c>
      <c r="DL52" s="59">
        <f t="shared" si="121"/>
        <v>9739</v>
      </c>
      <c r="DM52" s="59">
        <f t="shared" si="122"/>
        <v>9739</v>
      </c>
      <c r="DN52" s="60">
        <v>0</v>
      </c>
      <c r="DO52" s="60">
        <v>0</v>
      </c>
      <c r="DP52" s="60">
        <v>0</v>
      </c>
      <c r="DQ52" s="59">
        <f t="shared" si="123"/>
        <v>9739</v>
      </c>
      <c r="DR52" s="59">
        <f t="shared" si="124"/>
        <v>9739</v>
      </c>
      <c r="DS52" s="60">
        <v>0</v>
      </c>
      <c r="DT52" s="60">
        <v>0</v>
      </c>
      <c r="DU52" s="60">
        <v>0</v>
      </c>
      <c r="DV52" s="59">
        <f t="shared" si="125"/>
        <v>9739</v>
      </c>
      <c r="DW52" s="59">
        <f t="shared" si="126"/>
        <v>9739</v>
      </c>
      <c r="DX52" s="60">
        <v>0</v>
      </c>
      <c r="DY52" s="60">
        <v>0</v>
      </c>
      <c r="DZ52" s="60">
        <v>0</v>
      </c>
      <c r="EA52" s="59">
        <f t="shared" si="127"/>
        <v>9739</v>
      </c>
      <c r="EB52" s="59">
        <f t="shared" si="128"/>
        <v>9739</v>
      </c>
      <c r="EC52" s="60">
        <v>0</v>
      </c>
      <c r="ED52" s="60">
        <v>0</v>
      </c>
      <c r="EE52" s="60">
        <v>0</v>
      </c>
      <c r="EF52" s="59">
        <f t="shared" si="129"/>
        <v>9739</v>
      </c>
      <c r="EG52" s="59">
        <f t="shared" si="130"/>
        <v>9739</v>
      </c>
      <c r="EH52" s="60">
        <v>0</v>
      </c>
      <c r="EI52" s="60">
        <v>0</v>
      </c>
      <c r="EJ52" s="60">
        <v>0</v>
      </c>
      <c r="EK52" s="59">
        <f t="shared" si="131"/>
        <v>9739</v>
      </c>
      <c r="EL52" s="59">
        <f t="shared" si="132"/>
        <v>9739</v>
      </c>
      <c r="EM52" s="60">
        <v>0</v>
      </c>
      <c r="EN52" s="60">
        <v>0</v>
      </c>
      <c r="EO52" s="60">
        <v>0</v>
      </c>
      <c r="EP52" s="59">
        <f t="shared" si="133"/>
        <v>9739</v>
      </c>
      <c r="EQ52" s="59">
        <f t="shared" si="134"/>
        <v>9739</v>
      </c>
      <c r="ER52" s="60">
        <v>0</v>
      </c>
      <c r="ES52" s="60">
        <v>0</v>
      </c>
      <c r="ET52" s="60">
        <v>0</v>
      </c>
      <c r="EU52" s="59">
        <f t="shared" si="135"/>
        <v>9739</v>
      </c>
      <c r="EV52" s="59">
        <f t="shared" si="136"/>
        <v>9739</v>
      </c>
      <c r="EW52" s="60">
        <v>0</v>
      </c>
      <c r="EX52" s="60">
        <v>0</v>
      </c>
      <c r="EY52" s="60">
        <v>0</v>
      </c>
      <c r="EZ52" s="59">
        <f t="shared" si="137"/>
        <v>9739</v>
      </c>
      <c r="FA52" s="59">
        <f t="shared" si="138"/>
        <v>9739</v>
      </c>
      <c r="FB52" s="60">
        <v>0</v>
      </c>
      <c r="FC52" s="60">
        <v>0</v>
      </c>
      <c r="FD52" s="60">
        <v>0</v>
      </c>
      <c r="FE52" s="59">
        <f t="shared" si="139"/>
        <v>9739</v>
      </c>
      <c r="FF52" s="59">
        <f t="shared" si="140"/>
        <v>9739</v>
      </c>
      <c r="FG52" s="60">
        <v>0</v>
      </c>
      <c r="FH52" s="60">
        <v>0</v>
      </c>
      <c r="FI52" s="60">
        <v>0</v>
      </c>
      <c r="FJ52" s="59">
        <f t="shared" si="141"/>
        <v>9739</v>
      </c>
      <c r="FK52" s="59">
        <f t="shared" si="142"/>
        <v>9739</v>
      </c>
      <c r="FL52" s="60">
        <v>0</v>
      </c>
      <c r="FM52" s="60">
        <v>0</v>
      </c>
      <c r="FN52" s="60">
        <v>0</v>
      </c>
      <c r="FO52" s="59">
        <f t="shared" si="143"/>
        <v>9739</v>
      </c>
      <c r="FP52" s="59">
        <f t="shared" si="144"/>
        <v>9739</v>
      </c>
      <c r="FQ52" s="60">
        <v>0</v>
      </c>
      <c r="FR52" s="60">
        <v>0</v>
      </c>
      <c r="FS52" s="60">
        <v>0</v>
      </c>
      <c r="FT52" s="59">
        <f t="shared" si="145"/>
        <v>9739</v>
      </c>
      <c r="FU52" s="59">
        <f t="shared" si="146"/>
        <v>9739</v>
      </c>
      <c r="FV52" s="60">
        <v>0</v>
      </c>
      <c r="FW52" s="60">
        <v>0</v>
      </c>
      <c r="FX52" s="60">
        <v>0</v>
      </c>
      <c r="FY52" s="59">
        <f t="shared" si="147"/>
        <v>9739</v>
      </c>
      <c r="FZ52" s="59">
        <f t="shared" si="148"/>
        <v>9739</v>
      </c>
      <c r="GA52" s="60">
        <v>0</v>
      </c>
      <c r="GB52" s="60">
        <v>0</v>
      </c>
      <c r="GC52" s="60">
        <v>0</v>
      </c>
      <c r="GD52" s="59">
        <f t="shared" si="149"/>
        <v>9739</v>
      </c>
      <c r="GE52" s="59">
        <f t="shared" si="150"/>
        <v>9739</v>
      </c>
      <c r="GF52" s="60">
        <v>0</v>
      </c>
      <c r="GG52" s="60">
        <v>0</v>
      </c>
      <c r="GH52" s="60">
        <v>0</v>
      </c>
      <c r="GI52" s="59">
        <f t="shared" si="151"/>
        <v>9739</v>
      </c>
      <c r="GJ52" s="59"/>
    </row>
    <row r="53" spans="1:192">
      <c r="B53" s="58">
        <v>394.11</v>
      </c>
      <c r="C53" s="57" t="s">
        <v>418</v>
      </c>
      <c r="D53" s="59">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59">
        <v>0</v>
      </c>
      <c r="AI53" s="59">
        <v>0</v>
      </c>
      <c r="AJ53" s="59">
        <v>0</v>
      </c>
      <c r="AK53" s="59">
        <v>0</v>
      </c>
      <c r="AL53" s="59">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f t="shared" si="41"/>
        <v>0</v>
      </c>
      <c r="BN53" s="59">
        <v>0</v>
      </c>
      <c r="BO53" s="59">
        <v>0</v>
      </c>
      <c r="BP53" s="59">
        <v>0</v>
      </c>
      <c r="BQ53" s="59">
        <f t="shared" si="103"/>
        <v>0</v>
      </c>
      <c r="BR53" s="59">
        <f t="shared" si="43"/>
        <v>0</v>
      </c>
      <c r="BS53" s="59">
        <v>0</v>
      </c>
      <c r="BT53" s="59">
        <v>0</v>
      </c>
      <c r="BU53" s="59">
        <v>0</v>
      </c>
      <c r="BV53" s="59">
        <f t="shared" si="104"/>
        <v>0</v>
      </c>
      <c r="BW53" s="59">
        <f t="shared" si="45"/>
        <v>0</v>
      </c>
      <c r="BX53" s="59">
        <v>0</v>
      </c>
      <c r="BY53" s="59">
        <v>0</v>
      </c>
      <c r="BZ53" s="59">
        <v>0</v>
      </c>
      <c r="CA53" s="59">
        <f t="shared" si="105"/>
        <v>0</v>
      </c>
      <c r="CD53" s="59">
        <f t="shared" si="47"/>
        <v>0</v>
      </c>
      <c r="CE53" s="60">
        <v>0</v>
      </c>
      <c r="CF53" s="60">
        <v>0</v>
      </c>
      <c r="CG53" s="60">
        <v>0</v>
      </c>
      <c r="CH53" s="59">
        <f t="shared" si="62"/>
        <v>0</v>
      </c>
      <c r="CI53" s="59">
        <f t="shared" si="48"/>
        <v>0</v>
      </c>
      <c r="CJ53" s="60">
        <v>0</v>
      </c>
      <c r="CK53" s="60">
        <v>0</v>
      </c>
      <c r="CL53" s="60">
        <v>0</v>
      </c>
      <c r="CM53" s="59">
        <f t="shared" si="112"/>
        <v>0</v>
      </c>
      <c r="CN53" s="59">
        <f t="shared" si="49"/>
        <v>0</v>
      </c>
      <c r="CO53" s="60">
        <v>0</v>
      </c>
      <c r="CP53" s="60">
        <v>0</v>
      </c>
      <c r="CQ53" s="60">
        <v>0</v>
      </c>
      <c r="CR53" s="59">
        <f t="shared" si="113"/>
        <v>0</v>
      </c>
      <c r="CS53" s="59">
        <f t="shared" si="114"/>
        <v>0</v>
      </c>
      <c r="CT53" s="60">
        <v>0</v>
      </c>
      <c r="CU53" s="60">
        <v>0</v>
      </c>
      <c r="CV53" s="60">
        <v>0</v>
      </c>
      <c r="CW53" s="59">
        <f t="shared" si="115"/>
        <v>0</v>
      </c>
      <c r="CX53" s="59">
        <f t="shared" si="116"/>
        <v>0</v>
      </c>
      <c r="CY53" s="60">
        <v>0</v>
      </c>
      <c r="CZ53" s="60">
        <v>0</v>
      </c>
      <c r="DA53" s="60">
        <v>0</v>
      </c>
      <c r="DB53" s="59">
        <f t="shared" si="117"/>
        <v>0</v>
      </c>
      <c r="DC53" s="59">
        <f t="shared" si="118"/>
        <v>0</v>
      </c>
      <c r="DD53" s="60">
        <v>0</v>
      </c>
      <c r="DE53" s="60">
        <v>0</v>
      </c>
      <c r="DF53" s="60">
        <v>0</v>
      </c>
      <c r="DG53" s="59">
        <f t="shared" si="119"/>
        <v>0</v>
      </c>
      <c r="DH53" s="59">
        <f t="shared" si="120"/>
        <v>0</v>
      </c>
      <c r="DI53" s="60">
        <v>0</v>
      </c>
      <c r="DJ53" s="60">
        <v>0</v>
      </c>
      <c r="DK53" s="60">
        <v>0</v>
      </c>
      <c r="DL53" s="59">
        <f t="shared" si="121"/>
        <v>0</v>
      </c>
      <c r="DM53" s="59">
        <f t="shared" si="122"/>
        <v>0</v>
      </c>
      <c r="DN53" s="60">
        <v>0</v>
      </c>
      <c r="DO53" s="60">
        <v>0</v>
      </c>
      <c r="DP53" s="60">
        <v>0</v>
      </c>
      <c r="DQ53" s="59">
        <f t="shared" si="123"/>
        <v>0</v>
      </c>
      <c r="DR53" s="59">
        <f t="shared" si="124"/>
        <v>0</v>
      </c>
      <c r="DS53" s="60">
        <v>0</v>
      </c>
      <c r="DT53" s="60">
        <v>0</v>
      </c>
      <c r="DU53" s="60">
        <v>0</v>
      </c>
      <c r="DV53" s="59">
        <f t="shared" si="125"/>
        <v>0</v>
      </c>
      <c r="DW53" s="59">
        <f t="shared" si="126"/>
        <v>0</v>
      </c>
      <c r="DX53" s="60">
        <v>0</v>
      </c>
      <c r="DY53" s="60">
        <v>0</v>
      </c>
      <c r="DZ53" s="60">
        <v>0</v>
      </c>
      <c r="EA53" s="59">
        <f t="shared" si="127"/>
        <v>0</v>
      </c>
      <c r="EB53" s="59">
        <f t="shared" si="128"/>
        <v>0</v>
      </c>
      <c r="EC53" s="60">
        <v>0</v>
      </c>
      <c r="ED53" s="60">
        <v>0</v>
      </c>
      <c r="EE53" s="60">
        <v>0</v>
      </c>
      <c r="EF53" s="59">
        <f t="shared" si="129"/>
        <v>0</v>
      </c>
      <c r="EG53" s="59">
        <f t="shared" si="130"/>
        <v>0</v>
      </c>
      <c r="EH53" s="60">
        <v>0</v>
      </c>
      <c r="EI53" s="60">
        <v>0</v>
      </c>
      <c r="EJ53" s="60">
        <v>0</v>
      </c>
      <c r="EK53" s="59">
        <f t="shared" si="131"/>
        <v>0</v>
      </c>
      <c r="EL53" s="59">
        <f t="shared" si="132"/>
        <v>0</v>
      </c>
      <c r="EM53" s="60">
        <v>0</v>
      </c>
      <c r="EN53" s="60">
        <v>0</v>
      </c>
      <c r="EO53" s="60">
        <v>0</v>
      </c>
      <c r="EP53" s="59">
        <f t="shared" si="133"/>
        <v>0</v>
      </c>
      <c r="EQ53" s="59">
        <f t="shared" si="134"/>
        <v>0</v>
      </c>
      <c r="ER53" s="60">
        <v>0</v>
      </c>
      <c r="ES53" s="60">
        <v>0</v>
      </c>
      <c r="ET53" s="60">
        <v>0</v>
      </c>
      <c r="EU53" s="59">
        <f t="shared" si="135"/>
        <v>0</v>
      </c>
      <c r="EV53" s="59">
        <f t="shared" si="136"/>
        <v>0</v>
      </c>
      <c r="EW53" s="60">
        <v>0</v>
      </c>
      <c r="EX53" s="60">
        <v>0</v>
      </c>
      <c r="EY53" s="60">
        <v>0</v>
      </c>
      <c r="EZ53" s="59">
        <f t="shared" si="137"/>
        <v>0</v>
      </c>
      <c r="FA53" s="59">
        <f t="shared" si="138"/>
        <v>0</v>
      </c>
      <c r="FB53" s="60">
        <v>0</v>
      </c>
      <c r="FC53" s="60">
        <v>0</v>
      </c>
      <c r="FD53" s="60">
        <v>0</v>
      </c>
      <c r="FE53" s="59">
        <f t="shared" si="139"/>
        <v>0</v>
      </c>
      <c r="FF53" s="59">
        <f t="shared" si="140"/>
        <v>0</v>
      </c>
      <c r="FG53" s="60">
        <v>0</v>
      </c>
      <c r="FH53" s="60">
        <v>0</v>
      </c>
      <c r="FI53" s="60">
        <v>0</v>
      </c>
      <c r="FJ53" s="59">
        <f t="shared" si="141"/>
        <v>0</v>
      </c>
      <c r="FK53" s="59">
        <f t="shared" si="142"/>
        <v>0</v>
      </c>
      <c r="FL53" s="60">
        <v>0</v>
      </c>
      <c r="FM53" s="60">
        <v>0</v>
      </c>
      <c r="FN53" s="60">
        <v>0</v>
      </c>
      <c r="FO53" s="59">
        <f t="shared" si="143"/>
        <v>0</v>
      </c>
      <c r="FP53" s="59">
        <f t="shared" si="144"/>
        <v>0</v>
      </c>
      <c r="FQ53" s="60">
        <v>0</v>
      </c>
      <c r="FR53" s="60">
        <v>0</v>
      </c>
      <c r="FS53" s="60">
        <v>0</v>
      </c>
      <c r="FT53" s="59">
        <f t="shared" si="145"/>
        <v>0</v>
      </c>
      <c r="FU53" s="59">
        <f t="shared" si="146"/>
        <v>0</v>
      </c>
      <c r="FV53" s="60">
        <v>0</v>
      </c>
      <c r="FW53" s="60">
        <v>0</v>
      </c>
      <c r="FX53" s="60">
        <v>0</v>
      </c>
      <c r="FY53" s="59">
        <f t="shared" si="147"/>
        <v>0</v>
      </c>
      <c r="FZ53" s="59">
        <f t="shared" si="148"/>
        <v>0</v>
      </c>
      <c r="GA53" s="60">
        <v>0</v>
      </c>
      <c r="GB53" s="60">
        <v>0</v>
      </c>
      <c r="GC53" s="60">
        <v>0</v>
      </c>
      <c r="GD53" s="59">
        <f t="shared" si="149"/>
        <v>0</v>
      </c>
      <c r="GE53" s="59">
        <f t="shared" si="150"/>
        <v>0</v>
      </c>
      <c r="GF53" s="60">
        <v>0</v>
      </c>
      <c r="GG53" s="60">
        <v>0</v>
      </c>
      <c r="GH53" s="60">
        <v>0</v>
      </c>
      <c r="GI53" s="59">
        <f t="shared" si="151"/>
        <v>0</v>
      </c>
      <c r="GJ53" s="59"/>
    </row>
    <row r="54" spans="1:192">
      <c r="B54" s="75">
        <v>394.13</v>
      </c>
      <c r="C54" s="76" t="s">
        <v>515</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59"/>
      <c r="BX54" s="59"/>
      <c r="BY54" s="59"/>
      <c r="BZ54" s="59"/>
      <c r="CA54" s="59">
        <f t="shared" si="105"/>
        <v>0</v>
      </c>
      <c r="CD54" s="77">
        <f t="shared" si="47"/>
        <v>0</v>
      </c>
      <c r="CE54" s="78">
        <v>0</v>
      </c>
      <c r="CF54" s="78">
        <v>0</v>
      </c>
      <c r="CG54" s="78">
        <v>0</v>
      </c>
      <c r="CH54" s="77">
        <f t="shared" si="62"/>
        <v>0</v>
      </c>
      <c r="CI54" s="77">
        <f t="shared" si="48"/>
        <v>0</v>
      </c>
      <c r="CJ54" s="78">
        <v>0</v>
      </c>
      <c r="CK54" s="78">
        <v>0</v>
      </c>
      <c r="CL54" s="78">
        <v>0</v>
      </c>
      <c r="CM54" s="77">
        <f t="shared" si="112"/>
        <v>0</v>
      </c>
      <c r="CN54" s="77">
        <f t="shared" si="49"/>
        <v>0</v>
      </c>
      <c r="CO54" s="78">
        <v>0</v>
      </c>
      <c r="CP54" s="78">
        <v>0</v>
      </c>
      <c r="CQ54" s="78">
        <v>0</v>
      </c>
      <c r="CR54" s="77">
        <f t="shared" si="113"/>
        <v>0</v>
      </c>
      <c r="CS54" s="77">
        <f t="shared" si="114"/>
        <v>0</v>
      </c>
      <c r="CT54" s="78">
        <v>0</v>
      </c>
      <c r="CU54" s="78">
        <v>0</v>
      </c>
      <c r="CV54" s="78">
        <v>0</v>
      </c>
      <c r="CW54" s="77">
        <f t="shared" si="115"/>
        <v>0</v>
      </c>
      <c r="CX54" s="77">
        <f t="shared" si="116"/>
        <v>0</v>
      </c>
      <c r="CY54" s="78">
        <v>0</v>
      </c>
      <c r="CZ54" s="78">
        <v>0</v>
      </c>
      <c r="DA54" s="78">
        <v>0</v>
      </c>
      <c r="DB54" s="77">
        <f t="shared" si="117"/>
        <v>0</v>
      </c>
      <c r="DC54" s="77">
        <f t="shared" si="118"/>
        <v>0</v>
      </c>
      <c r="DD54" s="78">
        <v>0</v>
      </c>
      <c r="DE54" s="78">
        <v>0</v>
      </c>
      <c r="DF54" s="78">
        <v>0</v>
      </c>
      <c r="DG54" s="77">
        <f t="shared" si="119"/>
        <v>0</v>
      </c>
      <c r="DH54" s="77">
        <f t="shared" si="120"/>
        <v>0</v>
      </c>
      <c r="DI54" s="78">
        <v>0</v>
      </c>
      <c r="DJ54" s="78">
        <v>0</v>
      </c>
      <c r="DK54" s="78">
        <v>0</v>
      </c>
      <c r="DL54" s="77">
        <f t="shared" si="121"/>
        <v>0</v>
      </c>
      <c r="DM54" s="77">
        <f t="shared" si="122"/>
        <v>0</v>
      </c>
      <c r="DN54" s="78">
        <v>0</v>
      </c>
      <c r="DO54" s="78">
        <v>0</v>
      </c>
      <c r="DP54" s="78">
        <v>0</v>
      </c>
      <c r="DQ54" s="77">
        <f t="shared" si="123"/>
        <v>0</v>
      </c>
      <c r="DR54" s="77">
        <f t="shared" si="124"/>
        <v>0</v>
      </c>
      <c r="DS54" s="78">
        <v>0</v>
      </c>
      <c r="DT54" s="78">
        <v>0</v>
      </c>
      <c r="DU54" s="78">
        <v>0</v>
      </c>
      <c r="DV54" s="77">
        <f t="shared" si="125"/>
        <v>0</v>
      </c>
      <c r="DW54" s="77">
        <f t="shared" si="126"/>
        <v>0</v>
      </c>
      <c r="DX54" s="78">
        <v>0</v>
      </c>
      <c r="DY54" s="78">
        <v>0</v>
      </c>
      <c r="DZ54" s="78">
        <v>0</v>
      </c>
      <c r="EA54" s="77">
        <f t="shared" si="127"/>
        <v>0</v>
      </c>
      <c r="EB54" s="77">
        <f t="shared" si="128"/>
        <v>0</v>
      </c>
      <c r="EC54" s="78">
        <v>0</v>
      </c>
      <c r="ED54" s="78">
        <v>0</v>
      </c>
      <c r="EE54" s="78">
        <v>0</v>
      </c>
      <c r="EF54" s="77">
        <f t="shared" si="129"/>
        <v>0</v>
      </c>
      <c r="EG54" s="77">
        <f t="shared" si="130"/>
        <v>0</v>
      </c>
      <c r="EH54" s="78">
        <v>0</v>
      </c>
      <c r="EI54" s="78">
        <v>0</v>
      </c>
      <c r="EJ54" s="78">
        <v>0</v>
      </c>
      <c r="EK54" s="77">
        <f t="shared" si="131"/>
        <v>0</v>
      </c>
      <c r="EL54" s="77">
        <f t="shared" si="132"/>
        <v>0</v>
      </c>
      <c r="EM54" s="78">
        <v>0</v>
      </c>
      <c r="EN54" s="78">
        <v>0</v>
      </c>
      <c r="EO54" s="78">
        <v>0</v>
      </c>
      <c r="EP54" s="77">
        <f t="shared" si="133"/>
        <v>0</v>
      </c>
      <c r="EQ54" s="77">
        <f t="shared" si="134"/>
        <v>0</v>
      </c>
      <c r="ER54" s="78">
        <v>0</v>
      </c>
      <c r="ES54" s="78">
        <v>0</v>
      </c>
      <c r="ET54" s="78">
        <v>0</v>
      </c>
      <c r="EU54" s="77">
        <f t="shared" si="135"/>
        <v>0</v>
      </c>
      <c r="EV54" s="77">
        <f t="shared" si="136"/>
        <v>0</v>
      </c>
      <c r="EW54" s="78">
        <v>0</v>
      </c>
      <c r="EX54" s="78">
        <v>0</v>
      </c>
      <c r="EY54" s="78">
        <v>0</v>
      </c>
      <c r="EZ54" s="77">
        <f t="shared" si="137"/>
        <v>0</v>
      </c>
      <c r="FA54" s="77">
        <f t="shared" si="138"/>
        <v>0</v>
      </c>
      <c r="FB54" s="78">
        <v>0</v>
      </c>
      <c r="FC54" s="78">
        <v>0</v>
      </c>
      <c r="FD54" s="78">
        <v>0</v>
      </c>
      <c r="FE54" s="77">
        <f t="shared" si="139"/>
        <v>0</v>
      </c>
      <c r="FF54" s="77">
        <f t="shared" si="140"/>
        <v>0</v>
      </c>
      <c r="FG54" s="78">
        <v>0</v>
      </c>
      <c r="FH54" s="78">
        <v>0</v>
      </c>
      <c r="FI54" s="78">
        <v>0</v>
      </c>
      <c r="FJ54" s="77">
        <f t="shared" si="141"/>
        <v>0</v>
      </c>
      <c r="FK54" s="77">
        <f t="shared" si="142"/>
        <v>0</v>
      </c>
      <c r="FL54" s="78">
        <v>0</v>
      </c>
      <c r="FM54" s="78">
        <v>0</v>
      </c>
      <c r="FN54" s="78">
        <v>0</v>
      </c>
      <c r="FO54" s="77">
        <f t="shared" si="143"/>
        <v>0</v>
      </c>
      <c r="FP54" s="77">
        <f t="shared" si="144"/>
        <v>0</v>
      </c>
      <c r="FQ54" s="78">
        <v>0</v>
      </c>
      <c r="FR54" s="78">
        <v>0</v>
      </c>
      <c r="FS54" s="78">
        <v>0</v>
      </c>
      <c r="FT54" s="77">
        <f t="shared" si="145"/>
        <v>0</v>
      </c>
      <c r="FU54" s="77">
        <f t="shared" si="146"/>
        <v>0</v>
      </c>
      <c r="FV54" s="78">
        <v>0</v>
      </c>
      <c r="FW54" s="78">
        <v>0</v>
      </c>
      <c r="FX54" s="78">
        <v>0</v>
      </c>
      <c r="FY54" s="77">
        <f t="shared" si="147"/>
        <v>0</v>
      </c>
      <c r="FZ54" s="77">
        <f t="shared" si="148"/>
        <v>0</v>
      </c>
      <c r="GA54" s="78">
        <v>0</v>
      </c>
      <c r="GB54" s="78">
        <v>0</v>
      </c>
      <c r="GC54" s="78">
        <v>0</v>
      </c>
      <c r="GD54" s="77">
        <f t="shared" si="149"/>
        <v>0</v>
      </c>
      <c r="GE54" s="77">
        <f t="shared" si="150"/>
        <v>0</v>
      </c>
      <c r="GF54" s="78">
        <v>0</v>
      </c>
      <c r="GG54" s="78">
        <v>0</v>
      </c>
      <c r="GH54" s="78">
        <v>0</v>
      </c>
      <c r="GI54" s="77">
        <f t="shared" si="151"/>
        <v>0</v>
      </c>
      <c r="GJ54" s="59"/>
    </row>
    <row r="55" spans="1:192">
      <c r="B55" s="58">
        <v>394.2</v>
      </c>
      <c r="C55" s="57" t="s">
        <v>420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59">
        <v>0</v>
      </c>
      <c r="AI55" s="59">
        <v>0</v>
      </c>
      <c r="AJ55" s="59">
        <v>0</v>
      </c>
      <c r="AK55" s="59">
        <v>0</v>
      </c>
      <c r="AL55" s="59">
        <v>0</v>
      </c>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f t="shared" si="41"/>
        <v>0</v>
      </c>
      <c r="BN55" s="59">
        <v>0</v>
      </c>
      <c r="BO55" s="59">
        <v>0</v>
      </c>
      <c r="BP55" s="59">
        <v>0</v>
      </c>
      <c r="BQ55" s="59">
        <f t="shared" si="103"/>
        <v>0</v>
      </c>
      <c r="BR55" s="59">
        <f t="shared" si="43"/>
        <v>0</v>
      </c>
      <c r="BS55" s="59">
        <v>0</v>
      </c>
      <c r="BT55" s="59">
        <v>0</v>
      </c>
      <c r="BU55" s="59">
        <v>0</v>
      </c>
      <c r="BV55" s="59">
        <f t="shared" si="104"/>
        <v>0</v>
      </c>
      <c r="BW55" s="59">
        <f t="shared" si="45"/>
        <v>0</v>
      </c>
      <c r="BX55" s="59">
        <v>0</v>
      </c>
      <c r="BY55" s="59">
        <v>0</v>
      </c>
      <c r="BZ55" s="59">
        <v>0</v>
      </c>
      <c r="CA55" s="59">
        <f t="shared" si="105"/>
        <v>0</v>
      </c>
      <c r="CD55" s="59">
        <f t="shared" si="47"/>
        <v>0</v>
      </c>
      <c r="CE55" s="60">
        <v>0</v>
      </c>
      <c r="CF55" s="60">
        <v>0</v>
      </c>
      <c r="CG55" s="60">
        <v>0</v>
      </c>
      <c r="CH55" s="59">
        <f t="shared" si="62"/>
        <v>0</v>
      </c>
      <c r="CI55" s="59">
        <f t="shared" si="48"/>
        <v>0</v>
      </c>
      <c r="CJ55" s="60">
        <v>0</v>
      </c>
      <c r="CK55" s="60">
        <v>0</v>
      </c>
      <c r="CL55" s="60">
        <v>0</v>
      </c>
      <c r="CM55" s="59">
        <f t="shared" si="112"/>
        <v>0</v>
      </c>
      <c r="CN55" s="59">
        <f t="shared" si="49"/>
        <v>0</v>
      </c>
      <c r="CO55" s="60">
        <v>0</v>
      </c>
      <c r="CP55" s="60">
        <v>0</v>
      </c>
      <c r="CQ55" s="60">
        <v>0</v>
      </c>
      <c r="CR55" s="59">
        <f t="shared" si="113"/>
        <v>0</v>
      </c>
      <c r="CS55" s="59">
        <f t="shared" si="114"/>
        <v>0</v>
      </c>
      <c r="CT55" s="60">
        <v>0</v>
      </c>
      <c r="CU55" s="60">
        <v>0</v>
      </c>
      <c r="CV55" s="60">
        <v>0</v>
      </c>
      <c r="CW55" s="59">
        <f t="shared" si="115"/>
        <v>0</v>
      </c>
      <c r="CX55" s="59">
        <f t="shared" si="116"/>
        <v>0</v>
      </c>
      <c r="CY55" s="60">
        <v>0</v>
      </c>
      <c r="CZ55" s="60">
        <v>0</v>
      </c>
      <c r="DA55" s="60">
        <v>0</v>
      </c>
      <c r="DB55" s="59">
        <f t="shared" si="117"/>
        <v>0</v>
      </c>
      <c r="DC55" s="59">
        <f t="shared" si="118"/>
        <v>0</v>
      </c>
      <c r="DD55" s="60">
        <v>0</v>
      </c>
      <c r="DE55" s="60">
        <v>0</v>
      </c>
      <c r="DF55" s="60">
        <v>0</v>
      </c>
      <c r="DG55" s="59">
        <f t="shared" si="119"/>
        <v>0</v>
      </c>
      <c r="DH55" s="59">
        <f t="shared" si="120"/>
        <v>0</v>
      </c>
      <c r="DI55" s="60">
        <v>0</v>
      </c>
      <c r="DJ55" s="60">
        <v>0</v>
      </c>
      <c r="DK55" s="60">
        <v>0</v>
      </c>
      <c r="DL55" s="59">
        <f t="shared" si="121"/>
        <v>0</v>
      </c>
      <c r="DM55" s="59">
        <f t="shared" si="122"/>
        <v>0</v>
      </c>
      <c r="DN55" s="60">
        <v>0</v>
      </c>
      <c r="DO55" s="60">
        <v>0</v>
      </c>
      <c r="DP55" s="60">
        <v>0</v>
      </c>
      <c r="DQ55" s="59">
        <f t="shared" si="123"/>
        <v>0</v>
      </c>
      <c r="DR55" s="59">
        <f t="shared" si="124"/>
        <v>0</v>
      </c>
      <c r="DS55" s="60">
        <v>0</v>
      </c>
      <c r="DT55" s="60">
        <v>0</v>
      </c>
      <c r="DU55" s="60">
        <v>0</v>
      </c>
      <c r="DV55" s="59">
        <f t="shared" si="125"/>
        <v>0</v>
      </c>
      <c r="DW55" s="59">
        <f t="shared" si="126"/>
        <v>0</v>
      </c>
      <c r="DX55" s="60">
        <v>0</v>
      </c>
      <c r="DY55" s="60">
        <v>0</v>
      </c>
      <c r="DZ55" s="60">
        <v>0</v>
      </c>
      <c r="EA55" s="59">
        <f t="shared" si="127"/>
        <v>0</v>
      </c>
      <c r="EB55" s="59">
        <f t="shared" si="128"/>
        <v>0</v>
      </c>
      <c r="EC55" s="60">
        <v>0</v>
      </c>
      <c r="ED55" s="60">
        <v>0</v>
      </c>
      <c r="EE55" s="60">
        <v>0</v>
      </c>
      <c r="EF55" s="59">
        <f t="shared" si="129"/>
        <v>0</v>
      </c>
      <c r="EG55" s="59">
        <f t="shared" si="130"/>
        <v>0</v>
      </c>
      <c r="EH55" s="60">
        <v>0</v>
      </c>
      <c r="EI55" s="60">
        <v>0</v>
      </c>
      <c r="EJ55" s="60">
        <v>0</v>
      </c>
      <c r="EK55" s="59">
        <f t="shared" si="131"/>
        <v>0</v>
      </c>
      <c r="EL55" s="59">
        <f t="shared" si="132"/>
        <v>0</v>
      </c>
      <c r="EM55" s="60">
        <v>0</v>
      </c>
      <c r="EN55" s="60">
        <v>0</v>
      </c>
      <c r="EO55" s="60">
        <v>0</v>
      </c>
      <c r="EP55" s="59">
        <f t="shared" si="133"/>
        <v>0</v>
      </c>
      <c r="EQ55" s="59">
        <f t="shared" si="134"/>
        <v>0</v>
      </c>
      <c r="ER55" s="60">
        <v>0</v>
      </c>
      <c r="ES55" s="60">
        <v>0</v>
      </c>
      <c r="ET55" s="60">
        <v>0</v>
      </c>
      <c r="EU55" s="59">
        <f t="shared" si="135"/>
        <v>0</v>
      </c>
      <c r="EV55" s="59">
        <f t="shared" si="136"/>
        <v>0</v>
      </c>
      <c r="EW55" s="60">
        <v>0</v>
      </c>
      <c r="EX55" s="60">
        <v>0</v>
      </c>
      <c r="EY55" s="60">
        <v>0</v>
      </c>
      <c r="EZ55" s="59">
        <f t="shared" si="137"/>
        <v>0</v>
      </c>
      <c r="FA55" s="59">
        <f t="shared" si="138"/>
        <v>0</v>
      </c>
      <c r="FB55" s="60">
        <v>0</v>
      </c>
      <c r="FC55" s="60">
        <v>0</v>
      </c>
      <c r="FD55" s="60">
        <v>0</v>
      </c>
      <c r="FE55" s="59">
        <f t="shared" si="139"/>
        <v>0</v>
      </c>
      <c r="FF55" s="59">
        <f t="shared" si="140"/>
        <v>0</v>
      </c>
      <c r="FG55" s="60">
        <v>0</v>
      </c>
      <c r="FH55" s="60">
        <v>0</v>
      </c>
      <c r="FI55" s="60">
        <v>0</v>
      </c>
      <c r="FJ55" s="59">
        <f t="shared" si="141"/>
        <v>0</v>
      </c>
      <c r="FK55" s="59">
        <f t="shared" si="142"/>
        <v>0</v>
      </c>
      <c r="FL55" s="60">
        <v>0</v>
      </c>
      <c r="FM55" s="60">
        <v>0</v>
      </c>
      <c r="FN55" s="60">
        <v>0</v>
      </c>
      <c r="FO55" s="59">
        <f t="shared" si="143"/>
        <v>0</v>
      </c>
      <c r="FP55" s="59">
        <f t="shared" si="144"/>
        <v>0</v>
      </c>
      <c r="FQ55" s="60">
        <v>0</v>
      </c>
      <c r="FR55" s="60">
        <v>0</v>
      </c>
      <c r="FS55" s="60">
        <v>0</v>
      </c>
      <c r="FT55" s="59">
        <f t="shared" si="145"/>
        <v>0</v>
      </c>
      <c r="FU55" s="59">
        <f t="shared" si="146"/>
        <v>0</v>
      </c>
      <c r="FV55" s="60">
        <v>0</v>
      </c>
      <c r="FW55" s="60">
        <v>0</v>
      </c>
      <c r="FX55" s="60">
        <v>0</v>
      </c>
      <c r="FY55" s="59">
        <f t="shared" si="147"/>
        <v>0</v>
      </c>
      <c r="FZ55" s="59">
        <f t="shared" si="148"/>
        <v>0</v>
      </c>
      <c r="GA55" s="60">
        <v>0</v>
      </c>
      <c r="GB55" s="60">
        <v>0</v>
      </c>
      <c r="GC55" s="60">
        <v>0</v>
      </c>
      <c r="GD55" s="59">
        <f t="shared" si="149"/>
        <v>0</v>
      </c>
      <c r="GE55" s="59">
        <f t="shared" si="150"/>
        <v>0</v>
      </c>
      <c r="GF55" s="60">
        <v>0</v>
      </c>
      <c r="GG55" s="60">
        <v>0</v>
      </c>
      <c r="GH55" s="60">
        <v>0</v>
      </c>
      <c r="GI55" s="59">
        <f t="shared" si="151"/>
        <v>0</v>
      </c>
      <c r="GJ55" s="59"/>
    </row>
    <row r="56" spans="1:192">
      <c r="B56" s="58">
        <v>394.3</v>
      </c>
      <c r="C56" s="57" t="s">
        <v>1602</v>
      </c>
      <c r="D56" s="59">
        <v>4683300.95</v>
      </c>
      <c r="E56" s="59">
        <v>4683300.95</v>
      </c>
      <c r="F56" s="59">
        <v>44799.16</v>
      </c>
      <c r="G56" s="59">
        <v>0</v>
      </c>
      <c r="H56" s="59">
        <v>0</v>
      </c>
      <c r="I56" s="59">
        <v>4728100.1100000003</v>
      </c>
      <c r="J56" s="59">
        <v>4728100.1100000003</v>
      </c>
      <c r="K56" s="59">
        <v>55534.99</v>
      </c>
      <c r="L56" s="59">
        <v>0</v>
      </c>
      <c r="M56" s="59">
        <v>0</v>
      </c>
      <c r="N56" s="59">
        <v>4783635.0999999996</v>
      </c>
      <c r="O56" s="59">
        <v>4783635.0999999996</v>
      </c>
      <c r="P56" s="59">
        <v>58099.340000000004</v>
      </c>
      <c r="Q56" s="59">
        <v>0</v>
      </c>
      <c r="R56" s="59">
        <v>0</v>
      </c>
      <c r="S56" s="59">
        <v>4841734.4400000004</v>
      </c>
      <c r="T56" s="59">
        <v>4841734.4400000004</v>
      </c>
      <c r="U56" s="59">
        <v>30363.75</v>
      </c>
      <c r="V56" s="59">
        <v>-7066.68</v>
      </c>
      <c r="W56" s="59">
        <v>0</v>
      </c>
      <c r="X56" s="59">
        <v>4865031.51</v>
      </c>
      <c r="Y56" s="59">
        <v>4865031.51</v>
      </c>
      <c r="Z56" s="59">
        <v>132426.78</v>
      </c>
      <c r="AA56" s="59">
        <v>-92223.41</v>
      </c>
      <c r="AB56" s="59">
        <v>0</v>
      </c>
      <c r="AC56" s="59">
        <v>4905234.88</v>
      </c>
      <c r="AD56" s="59">
        <v>4905234.88</v>
      </c>
      <c r="AE56" s="59">
        <v>15262.68</v>
      </c>
      <c r="AF56" s="59">
        <v>0</v>
      </c>
      <c r="AG56" s="59">
        <v>0</v>
      </c>
      <c r="AH56" s="59">
        <v>4920497.5600000005</v>
      </c>
      <c r="AI56" s="59">
        <v>4920497.5600000005</v>
      </c>
      <c r="AJ56" s="59">
        <v>23221.91</v>
      </c>
      <c r="AK56" s="59">
        <v>0</v>
      </c>
      <c r="AL56" s="59">
        <v>0</v>
      </c>
      <c r="AM56" s="59">
        <v>4943719.47</v>
      </c>
      <c r="AN56" s="59">
        <v>4943719.47</v>
      </c>
      <c r="AO56" s="59">
        <v>4598.84</v>
      </c>
      <c r="AP56" s="59">
        <v>0</v>
      </c>
      <c r="AQ56" s="59">
        <v>0</v>
      </c>
      <c r="AR56" s="59">
        <v>4948318.3100000005</v>
      </c>
      <c r="AS56" s="59">
        <v>4948318.3100000005</v>
      </c>
      <c r="AT56" s="59">
        <v>6925.14</v>
      </c>
      <c r="AU56" s="59">
        <v>0</v>
      </c>
      <c r="AV56" s="59">
        <v>0</v>
      </c>
      <c r="AW56" s="59">
        <v>4955243.45</v>
      </c>
      <c r="AX56" s="59">
        <v>4955243.45</v>
      </c>
      <c r="AY56" s="59">
        <v>0</v>
      </c>
      <c r="AZ56" s="59">
        <v>-26126.89</v>
      </c>
      <c r="BA56" s="59">
        <v>0</v>
      </c>
      <c r="BB56" s="59">
        <v>4929116.5600000005</v>
      </c>
      <c r="BC56" s="59">
        <v>4929116.5600000005</v>
      </c>
      <c r="BD56" s="59">
        <v>86519.71</v>
      </c>
      <c r="BE56" s="59">
        <v>-4119.87</v>
      </c>
      <c r="BF56" s="59">
        <v>0</v>
      </c>
      <c r="BG56" s="59">
        <v>5011516.4000000004</v>
      </c>
      <c r="BH56" s="59">
        <v>5011516.4000000004</v>
      </c>
      <c r="BI56" s="59">
        <v>105704.21</v>
      </c>
      <c r="BJ56" s="59">
        <v>-13086.16</v>
      </c>
      <c r="BK56" s="59">
        <v>0</v>
      </c>
      <c r="BL56" s="59">
        <v>5104134.45</v>
      </c>
      <c r="BM56" s="59">
        <f t="shared" si="41"/>
        <v>5104134.45</v>
      </c>
      <c r="BN56" s="59">
        <v>68003.259999999995</v>
      </c>
      <c r="BO56" s="59">
        <v>-15857.65</v>
      </c>
      <c r="BP56" s="59">
        <v>0</v>
      </c>
      <c r="BQ56" s="59">
        <f t="shared" si="103"/>
        <v>5156280.0599999996</v>
      </c>
      <c r="BR56" s="59">
        <f t="shared" si="43"/>
        <v>5156280.0599999996</v>
      </c>
      <c r="BS56" s="59">
        <v>25767.83</v>
      </c>
      <c r="BT56" s="59">
        <v>0</v>
      </c>
      <c r="BU56" s="59">
        <v>0</v>
      </c>
      <c r="BV56" s="59">
        <f t="shared" si="104"/>
        <v>5182047.8899999997</v>
      </c>
      <c r="BW56" s="59">
        <f t="shared" si="45"/>
        <v>5182047.8899999997</v>
      </c>
      <c r="BX56" s="59">
        <v>0</v>
      </c>
      <c r="BY56" s="59">
        <v>-1064.2</v>
      </c>
      <c r="BZ56" s="59">
        <v>0</v>
      </c>
      <c r="CA56" s="59">
        <f t="shared" si="105"/>
        <v>5180983.6899999995</v>
      </c>
      <c r="CD56" s="59">
        <f t="shared" si="47"/>
        <v>5182047.8899999997</v>
      </c>
      <c r="CE56" s="60">
        <v>11688.67</v>
      </c>
      <c r="CF56" s="60">
        <v>-214.11</v>
      </c>
      <c r="CG56" s="60">
        <v>0</v>
      </c>
      <c r="CH56" s="59">
        <f t="shared" si="62"/>
        <v>5193522.4499999993</v>
      </c>
      <c r="CI56" s="59">
        <f t="shared" si="48"/>
        <v>5193522.4499999993</v>
      </c>
      <c r="CJ56" s="60">
        <v>10284.73</v>
      </c>
      <c r="CK56" s="60">
        <v>-11306.619999999999</v>
      </c>
      <c r="CL56" s="60">
        <v>0</v>
      </c>
      <c r="CM56" s="59">
        <f t="shared" si="112"/>
        <v>5192500.5599999996</v>
      </c>
      <c r="CN56" s="59">
        <f t="shared" si="49"/>
        <v>5192500.5599999996</v>
      </c>
      <c r="CO56" s="60">
        <v>9938.61</v>
      </c>
      <c r="CP56" s="60">
        <v>-24109.65</v>
      </c>
      <c r="CQ56" s="60">
        <v>0</v>
      </c>
      <c r="CR56" s="59">
        <f t="shared" si="113"/>
        <v>5178329.5199999996</v>
      </c>
      <c r="CS56" s="59">
        <f t="shared" si="114"/>
        <v>5178329.5199999996</v>
      </c>
      <c r="CT56" s="60">
        <v>4978.6000000000004</v>
      </c>
      <c r="CU56" s="60">
        <v>-1475.34</v>
      </c>
      <c r="CV56" s="60">
        <v>0</v>
      </c>
      <c r="CW56" s="59">
        <f t="shared" si="115"/>
        <v>5181832.7799999993</v>
      </c>
      <c r="CX56" s="59">
        <f t="shared" si="116"/>
        <v>5181832.7799999993</v>
      </c>
      <c r="CY56" s="60">
        <v>50661.56</v>
      </c>
      <c r="CZ56" s="60">
        <v>-13884.05</v>
      </c>
      <c r="DA56" s="60">
        <v>0</v>
      </c>
      <c r="DB56" s="59">
        <f t="shared" si="117"/>
        <v>5218610.2899999991</v>
      </c>
      <c r="DC56" s="59">
        <f t="shared" si="118"/>
        <v>5218610.2899999991</v>
      </c>
      <c r="DD56" s="60">
        <v>26063.37</v>
      </c>
      <c r="DE56" s="60">
        <v>0</v>
      </c>
      <c r="DF56" s="60">
        <v>0</v>
      </c>
      <c r="DG56" s="59">
        <f t="shared" si="119"/>
        <v>5244673.6599999992</v>
      </c>
      <c r="DH56" s="59">
        <f t="shared" si="120"/>
        <v>5244673.6599999992</v>
      </c>
      <c r="DI56" s="60">
        <v>42923.83</v>
      </c>
      <c r="DJ56" s="60">
        <v>0</v>
      </c>
      <c r="DK56" s="60">
        <v>0</v>
      </c>
      <c r="DL56" s="59">
        <f t="shared" si="121"/>
        <v>5287597.4899999993</v>
      </c>
      <c r="DM56" s="59">
        <f t="shared" si="122"/>
        <v>5287597.4899999993</v>
      </c>
      <c r="DN56" s="60">
        <v>4876.1899999999996</v>
      </c>
      <c r="DO56" s="60">
        <v>-16318.26</v>
      </c>
      <c r="DP56" s="60">
        <v>0</v>
      </c>
      <c r="DQ56" s="59">
        <f t="shared" si="123"/>
        <v>5276155.42</v>
      </c>
      <c r="DR56" s="59">
        <f t="shared" si="124"/>
        <v>5276155.42</v>
      </c>
      <c r="DS56" s="60">
        <v>22499.19</v>
      </c>
      <c r="DT56" s="60">
        <v>-2213.06</v>
      </c>
      <c r="DU56" s="60">
        <v>0</v>
      </c>
      <c r="DV56" s="59">
        <f t="shared" si="125"/>
        <v>5296441.5500000007</v>
      </c>
      <c r="DW56" s="59">
        <f t="shared" si="126"/>
        <v>5296441.5500000007</v>
      </c>
      <c r="DX56" s="60">
        <v>22314.16</v>
      </c>
      <c r="DY56" s="60">
        <v>-9805.2999999999993</v>
      </c>
      <c r="DZ56" s="60">
        <v>0</v>
      </c>
      <c r="EA56" s="59">
        <f t="shared" si="127"/>
        <v>5308950.4100000011</v>
      </c>
      <c r="EB56" s="59">
        <f t="shared" si="128"/>
        <v>5308950.4100000011</v>
      </c>
      <c r="EC56" s="60">
        <v>196116.62</v>
      </c>
      <c r="ED56" s="60">
        <v>-32293.46</v>
      </c>
      <c r="EE56" s="60">
        <v>0</v>
      </c>
      <c r="EF56" s="59">
        <f t="shared" si="129"/>
        <v>5472773.5700000012</v>
      </c>
      <c r="EG56" s="59">
        <f t="shared" si="130"/>
        <v>5472773.5700000012</v>
      </c>
      <c r="EH56" s="60">
        <v>89614.78</v>
      </c>
      <c r="EI56" s="60">
        <v>-8853.2900000000009</v>
      </c>
      <c r="EJ56" s="60">
        <v>0</v>
      </c>
      <c r="EK56" s="59">
        <f t="shared" si="131"/>
        <v>5553535.0600000015</v>
      </c>
      <c r="EL56" s="59">
        <f t="shared" si="132"/>
        <v>5553535.0600000015</v>
      </c>
      <c r="EM56" s="60">
        <v>93752.77</v>
      </c>
      <c r="EN56" s="60">
        <v>0</v>
      </c>
      <c r="EO56" s="60">
        <v>0</v>
      </c>
      <c r="EP56" s="59">
        <f t="shared" si="133"/>
        <v>5647287.830000001</v>
      </c>
      <c r="EQ56" s="59">
        <f t="shared" si="134"/>
        <v>5647287.830000001</v>
      </c>
      <c r="ER56" s="60">
        <v>82492.02</v>
      </c>
      <c r="ES56" s="60">
        <v>-168942.86</v>
      </c>
      <c r="ET56" s="60">
        <v>0</v>
      </c>
      <c r="EU56" s="59">
        <f t="shared" si="135"/>
        <v>5560836.9900000002</v>
      </c>
      <c r="EV56" s="59">
        <f t="shared" si="136"/>
        <v>5560836.9900000002</v>
      </c>
      <c r="EW56" s="60">
        <v>546105.78</v>
      </c>
      <c r="EX56" s="60">
        <v>-91083.99</v>
      </c>
      <c r="EY56" s="60">
        <v>0</v>
      </c>
      <c r="EZ56" s="59">
        <f t="shared" si="137"/>
        <v>6015858.7800000003</v>
      </c>
      <c r="FA56" s="59">
        <f t="shared" si="138"/>
        <v>6015858.7800000003</v>
      </c>
      <c r="FB56" s="60">
        <v>39932.44</v>
      </c>
      <c r="FC56" s="60">
        <v>-31422.69</v>
      </c>
      <c r="FD56" s="60">
        <v>0</v>
      </c>
      <c r="FE56" s="59">
        <f t="shared" si="139"/>
        <v>6024368.5300000003</v>
      </c>
      <c r="FF56" s="59">
        <f t="shared" si="140"/>
        <v>6024368.5300000003</v>
      </c>
      <c r="FG56" s="60">
        <v>406347.45</v>
      </c>
      <c r="FH56" s="60">
        <v>-26770.67</v>
      </c>
      <c r="FI56" s="60">
        <v>0</v>
      </c>
      <c r="FJ56" s="59">
        <f t="shared" si="141"/>
        <v>6403945.3100000005</v>
      </c>
      <c r="FK56" s="59">
        <f t="shared" si="142"/>
        <v>6403945.3100000005</v>
      </c>
      <c r="FL56" s="60">
        <v>209049.66</v>
      </c>
      <c r="FM56" s="60">
        <v>-100798.9</v>
      </c>
      <c r="FN56" s="60">
        <v>0</v>
      </c>
      <c r="FO56" s="59">
        <f t="shared" si="143"/>
        <v>6512196.0700000003</v>
      </c>
      <c r="FP56" s="59">
        <f t="shared" si="144"/>
        <v>6512196.0700000003</v>
      </c>
      <c r="FQ56" s="60">
        <v>344284.49</v>
      </c>
      <c r="FR56" s="60">
        <v>-80644.62</v>
      </c>
      <c r="FS56" s="60">
        <v>0</v>
      </c>
      <c r="FT56" s="59">
        <f t="shared" si="145"/>
        <v>6775835.9400000004</v>
      </c>
      <c r="FU56" s="59">
        <f t="shared" si="146"/>
        <v>6775835.9400000004</v>
      </c>
      <c r="FV56" s="60">
        <v>39111.040000000001</v>
      </c>
      <c r="FW56" s="60">
        <v>-34855.599999999999</v>
      </c>
      <c r="FX56" s="60">
        <v>0</v>
      </c>
      <c r="FY56" s="59">
        <f t="shared" si="147"/>
        <v>6780091.3800000008</v>
      </c>
      <c r="FZ56" s="59">
        <f t="shared" si="148"/>
        <v>6780091.3800000008</v>
      </c>
      <c r="GA56" s="60">
        <v>180462.03</v>
      </c>
      <c r="GB56" s="60">
        <v>-36438.49</v>
      </c>
      <c r="GC56" s="60">
        <v>0</v>
      </c>
      <c r="GD56" s="59">
        <f t="shared" si="149"/>
        <v>6924114.9200000009</v>
      </c>
      <c r="GE56" s="59">
        <f t="shared" si="150"/>
        <v>6924114.9200000009</v>
      </c>
      <c r="GF56" s="60">
        <v>178977.93</v>
      </c>
      <c r="GG56" s="60">
        <v>-39988.36</v>
      </c>
      <c r="GH56" s="60">
        <v>0</v>
      </c>
      <c r="GI56" s="59">
        <f t="shared" si="151"/>
        <v>7063104.4900000002</v>
      </c>
      <c r="GJ56" s="59"/>
    </row>
    <row r="57" spans="1:192">
      <c r="B57" s="58">
        <v>395</v>
      </c>
      <c r="C57" s="57" t="s">
        <v>422</v>
      </c>
      <c r="D57" s="59">
        <v>4162.05</v>
      </c>
      <c r="E57" s="59">
        <v>4162.05</v>
      </c>
      <c r="F57" s="59">
        <v>0</v>
      </c>
      <c r="G57" s="59">
        <v>0</v>
      </c>
      <c r="H57" s="59">
        <v>0</v>
      </c>
      <c r="I57" s="59">
        <v>4162.05</v>
      </c>
      <c r="J57" s="59">
        <v>4162.05</v>
      </c>
      <c r="K57" s="59">
        <v>0</v>
      </c>
      <c r="L57" s="59">
        <v>0</v>
      </c>
      <c r="M57" s="59">
        <v>0</v>
      </c>
      <c r="N57" s="59">
        <v>4162.05</v>
      </c>
      <c r="O57" s="59">
        <v>4162.05</v>
      </c>
      <c r="P57" s="59">
        <v>0</v>
      </c>
      <c r="Q57" s="59">
        <v>0</v>
      </c>
      <c r="R57" s="59">
        <v>0</v>
      </c>
      <c r="S57" s="59">
        <v>4162.05</v>
      </c>
      <c r="T57" s="59">
        <v>4162.05</v>
      </c>
      <c r="U57" s="59">
        <v>0</v>
      </c>
      <c r="V57" s="59">
        <v>0</v>
      </c>
      <c r="W57" s="59">
        <v>0</v>
      </c>
      <c r="X57" s="59">
        <v>4162.05</v>
      </c>
      <c r="Y57" s="59">
        <v>4162.05</v>
      </c>
      <c r="Z57" s="59">
        <v>0</v>
      </c>
      <c r="AA57" s="59">
        <v>0</v>
      </c>
      <c r="AB57" s="59">
        <v>0</v>
      </c>
      <c r="AC57" s="59">
        <v>4162.05</v>
      </c>
      <c r="AD57" s="59">
        <v>4162.05</v>
      </c>
      <c r="AE57" s="59">
        <v>0</v>
      </c>
      <c r="AF57" s="59">
        <v>0</v>
      </c>
      <c r="AG57" s="59">
        <v>0</v>
      </c>
      <c r="AH57" s="59">
        <v>4162.05</v>
      </c>
      <c r="AI57" s="59">
        <v>4162.05</v>
      </c>
      <c r="AJ57" s="59">
        <v>0</v>
      </c>
      <c r="AK57" s="59">
        <v>0</v>
      </c>
      <c r="AL57" s="59">
        <v>0</v>
      </c>
      <c r="AM57" s="59">
        <v>4162.05</v>
      </c>
      <c r="AN57" s="59">
        <v>4162.05</v>
      </c>
      <c r="AO57" s="59">
        <v>0</v>
      </c>
      <c r="AP57" s="59">
        <v>0</v>
      </c>
      <c r="AQ57" s="59">
        <v>0</v>
      </c>
      <c r="AR57" s="59">
        <v>4162.05</v>
      </c>
      <c r="AS57" s="59">
        <v>4162.05</v>
      </c>
      <c r="AT57" s="59">
        <v>0</v>
      </c>
      <c r="AU57" s="59">
        <v>0</v>
      </c>
      <c r="AV57" s="59">
        <v>0</v>
      </c>
      <c r="AW57" s="59">
        <v>4162.05</v>
      </c>
      <c r="AX57" s="59">
        <v>4162.05</v>
      </c>
      <c r="AY57" s="59">
        <v>0</v>
      </c>
      <c r="AZ57" s="59">
        <v>0</v>
      </c>
      <c r="BA57" s="59">
        <v>0</v>
      </c>
      <c r="BB57" s="59">
        <v>4162.05</v>
      </c>
      <c r="BC57" s="59">
        <v>4162.05</v>
      </c>
      <c r="BD57" s="59">
        <v>0</v>
      </c>
      <c r="BE57" s="59">
        <v>0</v>
      </c>
      <c r="BF57" s="59">
        <v>0</v>
      </c>
      <c r="BG57" s="59">
        <v>4162.05</v>
      </c>
      <c r="BH57" s="59">
        <v>4162.05</v>
      </c>
      <c r="BI57" s="59">
        <v>0</v>
      </c>
      <c r="BJ57" s="59">
        <v>0</v>
      </c>
      <c r="BK57" s="59">
        <v>0</v>
      </c>
      <c r="BL57" s="59">
        <v>4162.05</v>
      </c>
      <c r="BM57" s="59">
        <f t="shared" si="41"/>
        <v>4162.05</v>
      </c>
      <c r="BN57" s="59">
        <v>0</v>
      </c>
      <c r="BO57" s="59">
        <v>-4162.05</v>
      </c>
      <c r="BP57" s="59">
        <v>0</v>
      </c>
      <c r="BQ57" s="59">
        <f t="shared" si="103"/>
        <v>0</v>
      </c>
      <c r="BR57" s="59">
        <f t="shared" si="43"/>
        <v>0</v>
      </c>
      <c r="BS57" s="59">
        <v>0</v>
      </c>
      <c r="BT57" s="59">
        <v>0</v>
      </c>
      <c r="BU57" s="59">
        <v>0</v>
      </c>
      <c r="BV57" s="59">
        <f t="shared" si="104"/>
        <v>0</v>
      </c>
      <c r="BW57" s="59">
        <f t="shared" si="45"/>
        <v>0</v>
      </c>
      <c r="BX57" s="59">
        <v>0</v>
      </c>
      <c r="BY57" s="59">
        <v>0</v>
      </c>
      <c r="BZ57" s="59">
        <v>0</v>
      </c>
      <c r="CA57" s="59">
        <f t="shared" si="105"/>
        <v>0</v>
      </c>
      <c r="CD57" s="59">
        <f t="shared" si="47"/>
        <v>0</v>
      </c>
      <c r="CE57" s="60">
        <v>0</v>
      </c>
      <c r="CF57" s="60">
        <v>0</v>
      </c>
      <c r="CG57" s="60">
        <v>0</v>
      </c>
      <c r="CH57" s="59">
        <f t="shared" si="62"/>
        <v>0</v>
      </c>
      <c r="CI57" s="59">
        <f t="shared" si="48"/>
        <v>0</v>
      </c>
      <c r="CJ57" s="60">
        <v>0</v>
      </c>
      <c r="CK57" s="60">
        <v>0</v>
      </c>
      <c r="CL57" s="60">
        <v>0</v>
      </c>
      <c r="CM57" s="59">
        <f t="shared" si="112"/>
        <v>0</v>
      </c>
      <c r="CN57" s="59">
        <f t="shared" si="49"/>
        <v>0</v>
      </c>
      <c r="CO57" s="60">
        <v>0</v>
      </c>
      <c r="CP57" s="60">
        <v>0</v>
      </c>
      <c r="CQ57" s="60">
        <v>0</v>
      </c>
      <c r="CR57" s="59">
        <f t="shared" si="113"/>
        <v>0</v>
      </c>
      <c r="CS57" s="59">
        <f t="shared" si="114"/>
        <v>0</v>
      </c>
      <c r="CT57" s="60">
        <v>0</v>
      </c>
      <c r="CU57" s="60">
        <v>0</v>
      </c>
      <c r="CV57" s="60">
        <v>0</v>
      </c>
      <c r="CW57" s="59">
        <f t="shared" si="115"/>
        <v>0</v>
      </c>
      <c r="CX57" s="59">
        <f t="shared" si="116"/>
        <v>0</v>
      </c>
      <c r="CY57" s="60">
        <v>0</v>
      </c>
      <c r="CZ57" s="60">
        <v>0</v>
      </c>
      <c r="DA57" s="60">
        <v>0</v>
      </c>
      <c r="DB57" s="59">
        <f t="shared" si="117"/>
        <v>0</v>
      </c>
      <c r="DC57" s="59">
        <f t="shared" si="118"/>
        <v>0</v>
      </c>
      <c r="DD57" s="60">
        <v>0</v>
      </c>
      <c r="DE57" s="60">
        <v>0</v>
      </c>
      <c r="DF57" s="60">
        <v>0</v>
      </c>
      <c r="DG57" s="59">
        <f t="shared" si="119"/>
        <v>0</v>
      </c>
      <c r="DH57" s="59">
        <f t="shared" si="120"/>
        <v>0</v>
      </c>
      <c r="DI57" s="60">
        <v>0</v>
      </c>
      <c r="DJ57" s="60">
        <v>0</v>
      </c>
      <c r="DK57" s="60">
        <v>0</v>
      </c>
      <c r="DL57" s="59">
        <f t="shared" si="121"/>
        <v>0</v>
      </c>
      <c r="DM57" s="59">
        <f t="shared" si="122"/>
        <v>0</v>
      </c>
      <c r="DN57" s="60">
        <v>0</v>
      </c>
      <c r="DO57" s="60">
        <v>0</v>
      </c>
      <c r="DP57" s="60">
        <v>0</v>
      </c>
      <c r="DQ57" s="59">
        <f t="shared" si="123"/>
        <v>0</v>
      </c>
      <c r="DR57" s="59">
        <f t="shared" si="124"/>
        <v>0</v>
      </c>
      <c r="DS57" s="60">
        <v>0</v>
      </c>
      <c r="DT57" s="60">
        <v>0</v>
      </c>
      <c r="DU57" s="60">
        <v>0</v>
      </c>
      <c r="DV57" s="59">
        <f t="shared" si="125"/>
        <v>0</v>
      </c>
      <c r="DW57" s="59">
        <f t="shared" si="126"/>
        <v>0</v>
      </c>
      <c r="DX57" s="60">
        <v>0</v>
      </c>
      <c r="DY57" s="60">
        <v>0</v>
      </c>
      <c r="DZ57" s="60">
        <v>0</v>
      </c>
      <c r="EA57" s="59">
        <f t="shared" si="127"/>
        <v>0</v>
      </c>
      <c r="EB57" s="59">
        <f t="shared" si="128"/>
        <v>0</v>
      </c>
      <c r="EC57" s="60">
        <v>0</v>
      </c>
      <c r="ED57" s="60">
        <v>0</v>
      </c>
      <c r="EE57" s="60">
        <v>0</v>
      </c>
      <c r="EF57" s="59">
        <f t="shared" si="129"/>
        <v>0</v>
      </c>
      <c r="EG57" s="59">
        <f t="shared" si="130"/>
        <v>0</v>
      </c>
      <c r="EH57" s="60">
        <v>0</v>
      </c>
      <c r="EI57" s="60">
        <v>0</v>
      </c>
      <c r="EJ57" s="60">
        <v>0</v>
      </c>
      <c r="EK57" s="59">
        <f t="shared" si="131"/>
        <v>0</v>
      </c>
      <c r="EL57" s="59">
        <f t="shared" si="132"/>
        <v>0</v>
      </c>
      <c r="EM57" s="60">
        <v>0</v>
      </c>
      <c r="EN57" s="60">
        <v>0</v>
      </c>
      <c r="EO57" s="60">
        <v>0</v>
      </c>
      <c r="EP57" s="59">
        <f t="shared" si="133"/>
        <v>0</v>
      </c>
      <c r="EQ57" s="59">
        <f t="shared" si="134"/>
        <v>0</v>
      </c>
      <c r="ER57" s="60">
        <v>0</v>
      </c>
      <c r="ES57" s="60">
        <v>0</v>
      </c>
      <c r="ET57" s="60">
        <v>0</v>
      </c>
      <c r="EU57" s="59">
        <f t="shared" si="135"/>
        <v>0</v>
      </c>
      <c r="EV57" s="59">
        <f t="shared" si="136"/>
        <v>0</v>
      </c>
      <c r="EW57" s="60">
        <v>0</v>
      </c>
      <c r="EX57" s="60">
        <v>0</v>
      </c>
      <c r="EY57" s="60">
        <v>0</v>
      </c>
      <c r="EZ57" s="59">
        <f t="shared" si="137"/>
        <v>0</v>
      </c>
      <c r="FA57" s="59">
        <f t="shared" si="138"/>
        <v>0</v>
      </c>
      <c r="FB57" s="60">
        <v>0</v>
      </c>
      <c r="FC57" s="60">
        <v>0</v>
      </c>
      <c r="FD57" s="60">
        <v>0</v>
      </c>
      <c r="FE57" s="59">
        <f t="shared" si="139"/>
        <v>0</v>
      </c>
      <c r="FF57" s="59">
        <f t="shared" si="140"/>
        <v>0</v>
      </c>
      <c r="FG57" s="60">
        <v>0</v>
      </c>
      <c r="FH57" s="60">
        <v>0</v>
      </c>
      <c r="FI57" s="60">
        <v>0</v>
      </c>
      <c r="FJ57" s="59">
        <f t="shared" si="141"/>
        <v>0</v>
      </c>
      <c r="FK57" s="59">
        <f t="shared" si="142"/>
        <v>0</v>
      </c>
      <c r="FL57" s="60">
        <v>0</v>
      </c>
      <c r="FM57" s="60">
        <v>0</v>
      </c>
      <c r="FN57" s="60">
        <v>0</v>
      </c>
      <c r="FO57" s="59">
        <f t="shared" si="143"/>
        <v>0</v>
      </c>
      <c r="FP57" s="59">
        <f t="shared" si="144"/>
        <v>0</v>
      </c>
      <c r="FQ57" s="60">
        <v>0</v>
      </c>
      <c r="FR57" s="60">
        <v>0</v>
      </c>
      <c r="FS57" s="60">
        <v>0</v>
      </c>
      <c r="FT57" s="59">
        <f t="shared" si="145"/>
        <v>0</v>
      </c>
      <c r="FU57" s="59">
        <f t="shared" si="146"/>
        <v>0</v>
      </c>
      <c r="FV57" s="60">
        <v>0</v>
      </c>
      <c r="FW57" s="60">
        <v>0</v>
      </c>
      <c r="FX57" s="60">
        <v>0</v>
      </c>
      <c r="FY57" s="59">
        <f t="shared" si="147"/>
        <v>0</v>
      </c>
      <c r="FZ57" s="59">
        <f t="shared" si="148"/>
        <v>0</v>
      </c>
      <c r="GA57" s="60">
        <v>0</v>
      </c>
      <c r="GB57" s="60">
        <v>0</v>
      </c>
      <c r="GC57" s="60">
        <v>0</v>
      </c>
      <c r="GD57" s="59">
        <f t="shared" si="149"/>
        <v>0</v>
      </c>
      <c r="GE57" s="59">
        <f t="shared" si="150"/>
        <v>0</v>
      </c>
      <c r="GF57" s="60">
        <v>0</v>
      </c>
      <c r="GG57" s="60">
        <v>0</v>
      </c>
      <c r="GH57" s="60">
        <v>0</v>
      </c>
      <c r="GI57" s="59">
        <f t="shared" si="151"/>
        <v>0</v>
      </c>
      <c r="GJ57" s="59"/>
    </row>
    <row r="58" spans="1:192">
      <c r="B58" s="58">
        <v>396</v>
      </c>
      <c r="C58" s="57" t="s">
        <v>423</v>
      </c>
      <c r="D58" s="59">
        <v>185547</v>
      </c>
      <c r="E58" s="59">
        <v>185547</v>
      </c>
      <c r="F58" s="59">
        <v>0</v>
      </c>
      <c r="G58" s="59">
        <v>0</v>
      </c>
      <c r="H58" s="59">
        <v>0</v>
      </c>
      <c r="I58" s="59">
        <v>185547</v>
      </c>
      <c r="J58" s="59">
        <v>185547</v>
      </c>
      <c r="K58" s="59">
        <v>0</v>
      </c>
      <c r="L58" s="59">
        <v>0</v>
      </c>
      <c r="M58" s="59">
        <v>0</v>
      </c>
      <c r="N58" s="59">
        <v>185547</v>
      </c>
      <c r="O58" s="59">
        <v>185547</v>
      </c>
      <c r="P58" s="59">
        <v>0</v>
      </c>
      <c r="Q58" s="59">
        <v>0</v>
      </c>
      <c r="R58" s="59">
        <v>0</v>
      </c>
      <c r="S58" s="59">
        <v>185547</v>
      </c>
      <c r="T58" s="59">
        <v>185547</v>
      </c>
      <c r="U58" s="59">
        <v>0</v>
      </c>
      <c r="V58" s="59">
        <v>0</v>
      </c>
      <c r="W58" s="59">
        <v>0</v>
      </c>
      <c r="X58" s="59">
        <v>185547</v>
      </c>
      <c r="Y58" s="59">
        <v>185547</v>
      </c>
      <c r="Z58" s="59">
        <v>0</v>
      </c>
      <c r="AA58" s="59">
        <v>0</v>
      </c>
      <c r="AB58" s="59">
        <v>0</v>
      </c>
      <c r="AC58" s="59">
        <v>185547</v>
      </c>
      <c r="AD58" s="59">
        <v>185547</v>
      </c>
      <c r="AE58" s="59">
        <v>0</v>
      </c>
      <c r="AF58" s="59">
        <v>0</v>
      </c>
      <c r="AG58" s="59">
        <v>0</v>
      </c>
      <c r="AH58" s="59">
        <v>185547</v>
      </c>
      <c r="AI58" s="59">
        <v>185547</v>
      </c>
      <c r="AJ58" s="59">
        <v>0</v>
      </c>
      <c r="AK58" s="59">
        <v>0</v>
      </c>
      <c r="AL58" s="59">
        <v>0</v>
      </c>
      <c r="AM58" s="59">
        <v>185547</v>
      </c>
      <c r="AN58" s="59">
        <v>185547</v>
      </c>
      <c r="AO58" s="59">
        <v>0</v>
      </c>
      <c r="AP58" s="59">
        <v>0</v>
      </c>
      <c r="AQ58" s="59">
        <v>0</v>
      </c>
      <c r="AR58" s="59">
        <v>185547</v>
      </c>
      <c r="AS58" s="59">
        <v>185547</v>
      </c>
      <c r="AT58" s="59">
        <v>0</v>
      </c>
      <c r="AU58" s="59">
        <v>0</v>
      </c>
      <c r="AV58" s="59">
        <v>0</v>
      </c>
      <c r="AW58" s="59">
        <v>185547</v>
      </c>
      <c r="AX58" s="59">
        <v>185547</v>
      </c>
      <c r="AY58" s="59">
        <v>0</v>
      </c>
      <c r="AZ58" s="59">
        <v>0</v>
      </c>
      <c r="BA58" s="59">
        <v>0</v>
      </c>
      <c r="BB58" s="59">
        <v>185547</v>
      </c>
      <c r="BC58" s="59">
        <v>185547</v>
      </c>
      <c r="BD58" s="59">
        <v>0</v>
      </c>
      <c r="BE58" s="59">
        <v>0</v>
      </c>
      <c r="BF58" s="59">
        <v>0</v>
      </c>
      <c r="BG58" s="59">
        <v>185547</v>
      </c>
      <c r="BH58" s="59">
        <v>185547</v>
      </c>
      <c r="BI58" s="59">
        <v>0</v>
      </c>
      <c r="BJ58" s="59">
        <v>0</v>
      </c>
      <c r="BK58" s="59">
        <v>0</v>
      </c>
      <c r="BL58" s="59">
        <v>185547</v>
      </c>
      <c r="BM58" s="59">
        <f t="shared" si="41"/>
        <v>185547</v>
      </c>
      <c r="BN58" s="59">
        <v>0</v>
      </c>
      <c r="BO58" s="59">
        <v>0</v>
      </c>
      <c r="BP58" s="59">
        <v>0</v>
      </c>
      <c r="BQ58" s="59">
        <f t="shared" si="103"/>
        <v>185547</v>
      </c>
      <c r="BR58" s="59">
        <f t="shared" si="43"/>
        <v>185547</v>
      </c>
      <c r="BS58" s="59">
        <v>0</v>
      </c>
      <c r="BT58" s="59">
        <v>0</v>
      </c>
      <c r="BU58" s="59">
        <v>0</v>
      </c>
      <c r="BV58" s="59">
        <f t="shared" si="104"/>
        <v>185547</v>
      </c>
      <c r="BW58" s="59">
        <f t="shared" si="45"/>
        <v>185547</v>
      </c>
      <c r="BX58" s="59">
        <v>0</v>
      </c>
      <c r="BY58" s="59">
        <v>0</v>
      </c>
      <c r="BZ58" s="59">
        <v>0</v>
      </c>
      <c r="CA58" s="59">
        <f t="shared" si="105"/>
        <v>185547</v>
      </c>
      <c r="CD58" s="59">
        <f t="shared" si="47"/>
        <v>185547</v>
      </c>
      <c r="CE58" s="60">
        <v>0</v>
      </c>
      <c r="CF58" s="60">
        <v>0</v>
      </c>
      <c r="CG58" s="60">
        <v>0</v>
      </c>
      <c r="CH58" s="59">
        <f t="shared" si="62"/>
        <v>185547</v>
      </c>
      <c r="CI58" s="59">
        <f t="shared" si="48"/>
        <v>185547</v>
      </c>
      <c r="CJ58" s="60">
        <v>0</v>
      </c>
      <c r="CK58" s="60">
        <v>0</v>
      </c>
      <c r="CL58" s="60">
        <v>0</v>
      </c>
      <c r="CM58" s="59">
        <f t="shared" si="112"/>
        <v>185547</v>
      </c>
      <c r="CN58" s="59">
        <f t="shared" si="49"/>
        <v>185547</v>
      </c>
      <c r="CO58" s="60">
        <v>0</v>
      </c>
      <c r="CP58" s="60">
        <v>0</v>
      </c>
      <c r="CQ58" s="60">
        <v>0</v>
      </c>
      <c r="CR58" s="59">
        <f t="shared" si="113"/>
        <v>185547</v>
      </c>
      <c r="CS58" s="59">
        <f t="shared" si="114"/>
        <v>185547</v>
      </c>
      <c r="CT58" s="60">
        <v>0</v>
      </c>
      <c r="CU58" s="60">
        <v>0</v>
      </c>
      <c r="CV58" s="60">
        <v>0</v>
      </c>
      <c r="CW58" s="59">
        <f t="shared" si="115"/>
        <v>185547</v>
      </c>
      <c r="CX58" s="59">
        <f t="shared" si="116"/>
        <v>185547</v>
      </c>
      <c r="CY58" s="60">
        <v>0</v>
      </c>
      <c r="CZ58" s="60">
        <v>0</v>
      </c>
      <c r="DA58" s="60">
        <v>0</v>
      </c>
      <c r="DB58" s="59">
        <f t="shared" si="117"/>
        <v>185547</v>
      </c>
      <c r="DC58" s="59">
        <f t="shared" si="118"/>
        <v>185547</v>
      </c>
      <c r="DD58" s="60">
        <v>0</v>
      </c>
      <c r="DE58" s="60">
        <v>0</v>
      </c>
      <c r="DF58" s="60">
        <v>0</v>
      </c>
      <c r="DG58" s="59">
        <f t="shared" si="119"/>
        <v>185547</v>
      </c>
      <c r="DH58" s="59">
        <f t="shared" si="120"/>
        <v>185547</v>
      </c>
      <c r="DI58" s="60">
        <v>0</v>
      </c>
      <c r="DJ58" s="60">
        <v>0</v>
      </c>
      <c r="DK58" s="60">
        <v>0</v>
      </c>
      <c r="DL58" s="59">
        <f t="shared" si="121"/>
        <v>185547</v>
      </c>
      <c r="DM58" s="59">
        <f t="shared" si="122"/>
        <v>185547</v>
      </c>
      <c r="DN58" s="60">
        <v>0</v>
      </c>
      <c r="DO58" s="60">
        <v>0</v>
      </c>
      <c r="DP58" s="60">
        <v>0</v>
      </c>
      <c r="DQ58" s="59">
        <f t="shared" si="123"/>
        <v>185547</v>
      </c>
      <c r="DR58" s="59">
        <f t="shared" si="124"/>
        <v>185547</v>
      </c>
      <c r="DS58" s="60">
        <v>0</v>
      </c>
      <c r="DT58" s="60">
        <v>0</v>
      </c>
      <c r="DU58" s="60">
        <v>0</v>
      </c>
      <c r="DV58" s="59">
        <f t="shared" si="125"/>
        <v>185547</v>
      </c>
      <c r="DW58" s="59">
        <f t="shared" si="126"/>
        <v>185547</v>
      </c>
      <c r="DX58" s="60">
        <v>0</v>
      </c>
      <c r="DY58" s="60">
        <v>0</v>
      </c>
      <c r="DZ58" s="60">
        <v>0</v>
      </c>
      <c r="EA58" s="59">
        <f t="shared" si="127"/>
        <v>185547</v>
      </c>
      <c r="EB58" s="59">
        <f t="shared" si="128"/>
        <v>185547</v>
      </c>
      <c r="EC58" s="60">
        <v>0</v>
      </c>
      <c r="ED58" s="60">
        <v>0</v>
      </c>
      <c r="EE58" s="60">
        <v>0</v>
      </c>
      <c r="EF58" s="59">
        <f t="shared" si="129"/>
        <v>185547</v>
      </c>
      <c r="EG58" s="59">
        <f t="shared" si="130"/>
        <v>185547</v>
      </c>
      <c r="EH58" s="60">
        <v>0</v>
      </c>
      <c r="EI58" s="60">
        <v>0</v>
      </c>
      <c r="EJ58" s="60">
        <v>0</v>
      </c>
      <c r="EK58" s="59">
        <f t="shared" si="131"/>
        <v>185547</v>
      </c>
      <c r="EL58" s="59">
        <f t="shared" si="132"/>
        <v>185547</v>
      </c>
      <c r="EM58" s="60">
        <v>0</v>
      </c>
      <c r="EN58" s="60">
        <v>0</v>
      </c>
      <c r="EO58" s="60">
        <v>0</v>
      </c>
      <c r="EP58" s="59">
        <f t="shared" si="133"/>
        <v>185547</v>
      </c>
      <c r="EQ58" s="59">
        <f t="shared" si="134"/>
        <v>185547</v>
      </c>
      <c r="ER58" s="60">
        <v>0</v>
      </c>
      <c r="ES58" s="60">
        <v>0</v>
      </c>
      <c r="ET58" s="60">
        <v>0</v>
      </c>
      <c r="EU58" s="59">
        <f t="shared" si="135"/>
        <v>185547</v>
      </c>
      <c r="EV58" s="59">
        <f t="shared" si="136"/>
        <v>185547</v>
      </c>
      <c r="EW58" s="60">
        <v>0</v>
      </c>
      <c r="EX58" s="60">
        <v>0</v>
      </c>
      <c r="EY58" s="60">
        <v>0</v>
      </c>
      <c r="EZ58" s="59">
        <f t="shared" si="137"/>
        <v>185547</v>
      </c>
      <c r="FA58" s="59">
        <f t="shared" si="138"/>
        <v>185547</v>
      </c>
      <c r="FB58" s="60">
        <v>0</v>
      </c>
      <c r="FC58" s="60">
        <v>0</v>
      </c>
      <c r="FD58" s="60">
        <v>0</v>
      </c>
      <c r="FE58" s="59">
        <f t="shared" si="139"/>
        <v>185547</v>
      </c>
      <c r="FF58" s="59">
        <f t="shared" si="140"/>
        <v>185547</v>
      </c>
      <c r="FG58" s="60">
        <v>0</v>
      </c>
      <c r="FH58" s="60">
        <v>0</v>
      </c>
      <c r="FI58" s="60">
        <v>0</v>
      </c>
      <c r="FJ58" s="59">
        <f t="shared" si="141"/>
        <v>185547</v>
      </c>
      <c r="FK58" s="59">
        <f t="shared" si="142"/>
        <v>185547</v>
      </c>
      <c r="FL58" s="60">
        <v>0</v>
      </c>
      <c r="FM58" s="60">
        <v>0</v>
      </c>
      <c r="FN58" s="60">
        <v>0</v>
      </c>
      <c r="FO58" s="59">
        <f t="shared" si="143"/>
        <v>185547</v>
      </c>
      <c r="FP58" s="59">
        <f t="shared" si="144"/>
        <v>185547</v>
      </c>
      <c r="FQ58" s="60">
        <v>0</v>
      </c>
      <c r="FR58" s="60">
        <v>0</v>
      </c>
      <c r="FS58" s="60">
        <v>0</v>
      </c>
      <c r="FT58" s="59">
        <f t="shared" si="145"/>
        <v>185547</v>
      </c>
      <c r="FU58" s="59">
        <f t="shared" si="146"/>
        <v>185547</v>
      </c>
      <c r="FV58" s="60">
        <v>0</v>
      </c>
      <c r="FW58" s="60">
        <v>0</v>
      </c>
      <c r="FX58" s="60">
        <v>0</v>
      </c>
      <c r="FY58" s="59">
        <f t="shared" si="147"/>
        <v>185547</v>
      </c>
      <c r="FZ58" s="59">
        <f t="shared" si="148"/>
        <v>185547</v>
      </c>
      <c r="GA58" s="60">
        <v>0</v>
      </c>
      <c r="GB58" s="60">
        <v>0</v>
      </c>
      <c r="GC58" s="60">
        <v>0</v>
      </c>
      <c r="GD58" s="59">
        <f t="shared" si="149"/>
        <v>185547</v>
      </c>
      <c r="GE58" s="59">
        <f t="shared" si="150"/>
        <v>185547</v>
      </c>
      <c r="GF58" s="60">
        <v>0</v>
      </c>
      <c r="GG58" s="60">
        <v>0</v>
      </c>
      <c r="GH58" s="60">
        <v>0</v>
      </c>
      <c r="GI58" s="59">
        <f t="shared" si="151"/>
        <v>185547</v>
      </c>
      <c r="GJ58" s="59"/>
    </row>
    <row r="59" spans="1:192">
      <c r="B59" s="58">
        <v>398</v>
      </c>
      <c r="C59" s="57" t="s">
        <v>424</v>
      </c>
      <c r="D59" s="59">
        <v>101687.15000000001</v>
      </c>
      <c r="E59" s="59">
        <v>101687.15000000001</v>
      </c>
      <c r="F59" s="59">
        <v>0</v>
      </c>
      <c r="G59" s="59">
        <v>0</v>
      </c>
      <c r="H59" s="59">
        <v>0</v>
      </c>
      <c r="I59" s="59">
        <v>101687.15000000001</v>
      </c>
      <c r="J59" s="59">
        <v>101687.15000000001</v>
      </c>
      <c r="K59" s="59">
        <v>10386.68</v>
      </c>
      <c r="L59" s="59">
        <v>0</v>
      </c>
      <c r="M59" s="59">
        <v>0</v>
      </c>
      <c r="N59" s="59">
        <v>112073.83</v>
      </c>
      <c r="O59" s="59">
        <v>112073.83</v>
      </c>
      <c r="P59" s="59">
        <v>0</v>
      </c>
      <c r="Q59" s="59">
        <v>0</v>
      </c>
      <c r="R59" s="59">
        <v>0</v>
      </c>
      <c r="S59" s="59">
        <v>112073.83</v>
      </c>
      <c r="T59" s="59">
        <v>112073.83</v>
      </c>
      <c r="U59" s="59">
        <v>11315.49</v>
      </c>
      <c r="V59" s="59">
        <v>0</v>
      </c>
      <c r="W59" s="59">
        <v>0</v>
      </c>
      <c r="X59" s="59">
        <v>123389.32</v>
      </c>
      <c r="Y59" s="59">
        <v>123389.32</v>
      </c>
      <c r="Z59" s="59">
        <v>0</v>
      </c>
      <c r="AA59" s="59">
        <v>0</v>
      </c>
      <c r="AB59" s="59">
        <v>0</v>
      </c>
      <c r="AC59" s="59">
        <v>123389.32</v>
      </c>
      <c r="AD59" s="59">
        <v>123389.32</v>
      </c>
      <c r="AE59" s="59">
        <v>0</v>
      </c>
      <c r="AF59" s="59">
        <v>0</v>
      </c>
      <c r="AG59" s="59">
        <v>0</v>
      </c>
      <c r="AH59" s="59">
        <v>123389.32</v>
      </c>
      <c r="AI59" s="59">
        <v>123389.32</v>
      </c>
      <c r="AJ59" s="59">
        <v>24638.880000000001</v>
      </c>
      <c r="AK59" s="59">
        <v>0</v>
      </c>
      <c r="AL59" s="59">
        <v>0</v>
      </c>
      <c r="AM59" s="59">
        <v>148028.20000000001</v>
      </c>
      <c r="AN59" s="59">
        <v>148028.20000000001</v>
      </c>
      <c r="AO59" s="59">
        <v>0</v>
      </c>
      <c r="AP59" s="59">
        <v>0</v>
      </c>
      <c r="AQ59" s="59">
        <v>0</v>
      </c>
      <c r="AR59" s="59">
        <v>148028.20000000001</v>
      </c>
      <c r="AS59" s="59">
        <v>148028.20000000001</v>
      </c>
      <c r="AT59" s="59">
        <v>0</v>
      </c>
      <c r="AU59" s="59">
        <v>0</v>
      </c>
      <c r="AV59" s="59">
        <v>0</v>
      </c>
      <c r="AW59" s="59">
        <v>148028.20000000001</v>
      </c>
      <c r="AX59" s="59">
        <v>148028.20000000001</v>
      </c>
      <c r="AY59" s="59">
        <v>0</v>
      </c>
      <c r="AZ59" s="59">
        <v>0</v>
      </c>
      <c r="BA59" s="59">
        <v>0</v>
      </c>
      <c r="BB59" s="59">
        <v>148028.20000000001</v>
      </c>
      <c r="BC59" s="59">
        <v>148028.20000000001</v>
      </c>
      <c r="BD59" s="59">
        <v>0</v>
      </c>
      <c r="BE59" s="59">
        <v>0</v>
      </c>
      <c r="BF59" s="59">
        <v>0</v>
      </c>
      <c r="BG59" s="59">
        <v>148028.20000000001</v>
      </c>
      <c r="BH59" s="59">
        <v>148028.20000000001</v>
      </c>
      <c r="BI59" s="59">
        <v>0</v>
      </c>
      <c r="BJ59" s="59">
        <v>0</v>
      </c>
      <c r="BK59" s="59">
        <v>0</v>
      </c>
      <c r="BL59" s="59">
        <v>148028.20000000001</v>
      </c>
      <c r="BM59" s="59">
        <f t="shared" si="41"/>
        <v>148028.20000000001</v>
      </c>
      <c r="BN59" s="59">
        <v>0</v>
      </c>
      <c r="BO59" s="59">
        <v>0</v>
      </c>
      <c r="BP59" s="59">
        <v>0</v>
      </c>
      <c r="BQ59" s="59">
        <f t="shared" si="103"/>
        <v>148028.20000000001</v>
      </c>
      <c r="BR59" s="59">
        <f t="shared" si="43"/>
        <v>148028.20000000001</v>
      </c>
      <c r="BS59" s="59">
        <v>0</v>
      </c>
      <c r="BT59" s="59">
        <v>0</v>
      </c>
      <c r="BU59" s="59">
        <v>0</v>
      </c>
      <c r="BV59" s="59">
        <f t="shared" si="104"/>
        <v>148028.20000000001</v>
      </c>
      <c r="BW59" s="59">
        <f t="shared" si="45"/>
        <v>148028.20000000001</v>
      </c>
      <c r="BX59" s="59">
        <v>0</v>
      </c>
      <c r="BY59" s="59">
        <v>0</v>
      </c>
      <c r="BZ59" s="59">
        <v>0</v>
      </c>
      <c r="CA59" s="59">
        <f t="shared" si="105"/>
        <v>148028.20000000001</v>
      </c>
      <c r="CD59" s="59">
        <f t="shared" si="47"/>
        <v>148028.20000000001</v>
      </c>
      <c r="CE59" s="60">
        <v>0</v>
      </c>
      <c r="CF59" s="60">
        <v>0</v>
      </c>
      <c r="CG59" s="60">
        <v>0</v>
      </c>
      <c r="CH59" s="59">
        <f t="shared" si="62"/>
        <v>148028.20000000001</v>
      </c>
      <c r="CI59" s="59">
        <f t="shared" si="48"/>
        <v>148028.20000000001</v>
      </c>
      <c r="CJ59" s="60">
        <v>0</v>
      </c>
      <c r="CK59" s="60">
        <v>0</v>
      </c>
      <c r="CL59" s="60">
        <v>0</v>
      </c>
      <c r="CM59" s="59">
        <f t="shared" si="112"/>
        <v>148028.20000000001</v>
      </c>
      <c r="CN59" s="59">
        <f t="shared" si="49"/>
        <v>148028.20000000001</v>
      </c>
      <c r="CO59" s="60">
        <v>0</v>
      </c>
      <c r="CP59" s="60">
        <v>0</v>
      </c>
      <c r="CQ59" s="60">
        <v>0</v>
      </c>
      <c r="CR59" s="59">
        <f t="shared" si="113"/>
        <v>148028.20000000001</v>
      </c>
      <c r="CS59" s="59">
        <f t="shared" si="114"/>
        <v>148028.20000000001</v>
      </c>
      <c r="CT59" s="60">
        <v>0</v>
      </c>
      <c r="CU59" s="60">
        <v>0</v>
      </c>
      <c r="CV59" s="60">
        <v>0</v>
      </c>
      <c r="CW59" s="59">
        <f t="shared" si="115"/>
        <v>148028.20000000001</v>
      </c>
      <c r="CX59" s="59">
        <f t="shared" si="116"/>
        <v>148028.20000000001</v>
      </c>
      <c r="CY59" s="60">
        <v>0</v>
      </c>
      <c r="CZ59" s="60">
        <v>0</v>
      </c>
      <c r="DA59" s="60">
        <v>0</v>
      </c>
      <c r="DB59" s="59">
        <f t="shared" si="117"/>
        <v>148028.20000000001</v>
      </c>
      <c r="DC59" s="59">
        <f t="shared" si="118"/>
        <v>148028.20000000001</v>
      </c>
      <c r="DD59" s="60">
        <v>0</v>
      </c>
      <c r="DE59" s="60">
        <v>0</v>
      </c>
      <c r="DF59" s="60">
        <v>0</v>
      </c>
      <c r="DG59" s="59">
        <f t="shared" si="119"/>
        <v>148028.20000000001</v>
      </c>
      <c r="DH59" s="59">
        <f t="shared" si="120"/>
        <v>148028.20000000001</v>
      </c>
      <c r="DI59" s="60">
        <v>0</v>
      </c>
      <c r="DJ59" s="60">
        <v>0</v>
      </c>
      <c r="DK59" s="60">
        <v>0</v>
      </c>
      <c r="DL59" s="59">
        <f t="shared" si="121"/>
        <v>148028.20000000001</v>
      </c>
      <c r="DM59" s="59">
        <f t="shared" si="122"/>
        <v>148028.20000000001</v>
      </c>
      <c r="DN59" s="60">
        <v>0</v>
      </c>
      <c r="DO59" s="60">
        <v>0</v>
      </c>
      <c r="DP59" s="60">
        <v>0</v>
      </c>
      <c r="DQ59" s="59">
        <f t="shared" si="123"/>
        <v>148028.20000000001</v>
      </c>
      <c r="DR59" s="59">
        <f t="shared" si="124"/>
        <v>148028.20000000001</v>
      </c>
      <c r="DS59" s="60">
        <v>0</v>
      </c>
      <c r="DT59" s="60">
        <v>0</v>
      </c>
      <c r="DU59" s="60">
        <v>0</v>
      </c>
      <c r="DV59" s="59">
        <f t="shared" si="125"/>
        <v>148028.20000000001</v>
      </c>
      <c r="DW59" s="59">
        <f t="shared" si="126"/>
        <v>148028.20000000001</v>
      </c>
      <c r="DX59" s="60">
        <v>0</v>
      </c>
      <c r="DY59" s="60">
        <v>0</v>
      </c>
      <c r="DZ59" s="60">
        <v>0</v>
      </c>
      <c r="EA59" s="59">
        <f t="shared" si="127"/>
        <v>148028.20000000001</v>
      </c>
      <c r="EB59" s="59">
        <f t="shared" si="128"/>
        <v>148028.20000000001</v>
      </c>
      <c r="EC59" s="60">
        <v>0</v>
      </c>
      <c r="ED59" s="60">
        <v>0</v>
      </c>
      <c r="EE59" s="60">
        <v>0</v>
      </c>
      <c r="EF59" s="59">
        <f t="shared" si="129"/>
        <v>148028.20000000001</v>
      </c>
      <c r="EG59" s="59">
        <f t="shared" si="130"/>
        <v>148028.20000000001</v>
      </c>
      <c r="EH59" s="60">
        <v>0</v>
      </c>
      <c r="EI59" s="60">
        <v>0</v>
      </c>
      <c r="EJ59" s="60">
        <v>0</v>
      </c>
      <c r="EK59" s="59">
        <f t="shared" si="131"/>
        <v>148028.20000000001</v>
      </c>
      <c r="EL59" s="59">
        <f t="shared" si="132"/>
        <v>148028.20000000001</v>
      </c>
      <c r="EM59" s="60">
        <v>0</v>
      </c>
      <c r="EN59" s="60">
        <v>0</v>
      </c>
      <c r="EO59" s="60">
        <v>0</v>
      </c>
      <c r="EP59" s="59">
        <f t="shared" si="133"/>
        <v>148028.20000000001</v>
      </c>
      <c r="EQ59" s="59">
        <f t="shared" si="134"/>
        <v>148028.20000000001</v>
      </c>
      <c r="ER59" s="60">
        <v>0</v>
      </c>
      <c r="ES59" s="60">
        <v>0</v>
      </c>
      <c r="ET59" s="60">
        <v>0</v>
      </c>
      <c r="EU59" s="59">
        <f t="shared" si="135"/>
        <v>148028.20000000001</v>
      </c>
      <c r="EV59" s="59">
        <f t="shared" si="136"/>
        <v>148028.20000000001</v>
      </c>
      <c r="EW59" s="60">
        <v>0</v>
      </c>
      <c r="EX59" s="60">
        <v>0</v>
      </c>
      <c r="EY59" s="60">
        <v>0</v>
      </c>
      <c r="EZ59" s="59">
        <f t="shared" si="137"/>
        <v>148028.20000000001</v>
      </c>
      <c r="FA59" s="59">
        <f t="shared" si="138"/>
        <v>148028.20000000001</v>
      </c>
      <c r="FB59" s="60">
        <v>0</v>
      </c>
      <c r="FC59" s="60">
        <v>0</v>
      </c>
      <c r="FD59" s="60">
        <v>0</v>
      </c>
      <c r="FE59" s="59">
        <f t="shared" si="139"/>
        <v>148028.20000000001</v>
      </c>
      <c r="FF59" s="59">
        <f t="shared" si="140"/>
        <v>148028.20000000001</v>
      </c>
      <c r="FG59" s="60">
        <v>0</v>
      </c>
      <c r="FH59" s="60">
        <v>0</v>
      </c>
      <c r="FI59" s="60">
        <v>0</v>
      </c>
      <c r="FJ59" s="59">
        <f t="shared" si="141"/>
        <v>148028.20000000001</v>
      </c>
      <c r="FK59" s="59">
        <f t="shared" si="142"/>
        <v>148028.20000000001</v>
      </c>
      <c r="FL59" s="60">
        <v>0</v>
      </c>
      <c r="FM59" s="60">
        <v>0</v>
      </c>
      <c r="FN59" s="60">
        <v>0</v>
      </c>
      <c r="FO59" s="59">
        <f t="shared" si="143"/>
        <v>148028.20000000001</v>
      </c>
      <c r="FP59" s="59">
        <f t="shared" si="144"/>
        <v>148028.20000000001</v>
      </c>
      <c r="FQ59" s="60">
        <v>0</v>
      </c>
      <c r="FR59" s="60">
        <v>0</v>
      </c>
      <c r="FS59" s="60">
        <v>0</v>
      </c>
      <c r="FT59" s="59">
        <f t="shared" si="145"/>
        <v>148028.20000000001</v>
      </c>
      <c r="FU59" s="59">
        <f t="shared" si="146"/>
        <v>148028.20000000001</v>
      </c>
      <c r="FV59" s="60">
        <v>0</v>
      </c>
      <c r="FW59" s="60">
        <v>0</v>
      </c>
      <c r="FX59" s="60">
        <v>0</v>
      </c>
      <c r="FY59" s="59">
        <f t="shared" si="147"/>
        <v>148028.20000000001</v>
      </c>
      <c r="FZ59" s="59">
        <f t="shared" si="148"/>
        <v>148028.20000000001</v>
      </c>
      <c r="GA59" s="60">
        <v>0</v>
      </c>
      <c r="GB59" s="60">
        <v>0</v>
      </c>
      <c r="GC59" s="60">
        <v>0</v>
      </c>
      <c r="GD59" s="59">
        <f t="shared" si="149"/>
        <v>148028.20000000001</v>
      </c>
      <c r="GE59" s="59">
        <f t="shared" si="150"/>
        <v>148028.20000000001</v>
      </c>
      <c r="GF59" s="60">
        <v>0</v>
      </c>
      <c r="GG59" s="60">
        <v>0</v>
      </c>
      <c r="GH59" s="60">
        <v>0</v>
      </c>
      <c r="GI59" s="59">
        <f t="shared" si="151"/>
        <v>148028.20000000001</v>
      </c>
      <c r="GJ59" s="59"/>
    </row>
    <row r="60" spans="1:192" s="41" customFormat="1">
      <c r="A60" s="61" t="s">
        <v>1687</v>
      </c>
      <c r="B60" s="62"/>
      <c r="C60" s="61"/>
      <c r="D60" s="63">
        <f>SUM(D46:D59)</f>
        <v>5956037.1000000006</v>
      </c>
      <c r="E60" s="63">
        <f>SUM(E46:E59)</f>
        <v>5956037.1000000006</v>
      </c>
      <c r="F60" s="63">
        <f t="shared" ref="F60:BQ60" si="152">SUM(F46:F59)</f>
        <v>44799.16</v>
      </c>
      <c r="G60" s="63">
        <f t="shared" si="152"/>
        <v>0</v>
      </c>
      <c r="H60" s="63">
        <f t="shared" si="152"/>
        <v>0</v>
      </c>
      <c r="I60" s="63">
        <f t="shared" si="152"/>
        <v>6000836.2600000007</v>
      </c>
      <c r="J60" s="63">
        <f t="shared" si="152"/>
        <v>6000836.2600000007</v>
      </c>
      <c r="K60" s="63">
        <f t="shared" si="152"/>
        <v>150761.76999999999</v>
      </c>
      <c r="L60" s="63">
        <f t="shared" si="152"/>
        <v>-24700.93</v>
      </c>
      <c r="M60" s="63">
        <f t="shared" si="152"/>
        <v>0</v>
      </c>
      <c r="N60" s="63">
        <f t="shared" si="152"/>
        <v>6126897.0999999996</v>
      </c>
      <c r="O60" s="63">
        <f t="shared" si="152"/>
        <v>6126897.0999999996</v>
      </c>
      <c r="P60" s="63">
        <f t="shared" si="152"/>
        <v>58099.340000000004</v>
      </c>
      <c r="Q60" s="63">
        <f t="shared" si="152"/>
        <v>0</v>
      </c>
      <c r="R60" s="63">
        <f t="shared" si="152"/>
        <v>0</v>
      </c>
      <c r="S60" s="63">
        <f t="shared" si="152"/>
        <v>6184996.4400000004</v>
      </c>
      <c r="T60" s="63">
        <f t="shared" si="152"/>
        <v>6184996.4400000004</v>
      </c>
      <c r="U60" s="63">
        <f t="shared" si="152"/>
        <v>41679.24</v>
      </c>
      <c r="V60" s="63">
        <f t="shared" si="152"/>
        <v>-7066.68</v>
      </c>
      <c r="W60" s="63">
        <f t="shared" si="152"/>
        <v>0</v>
      </c>
      <c r="X60" s="63">
        <f t="shared" si="152"/>
        <v>6219609</v>
      </c>
      <c r="Y60" s="63">
        <f t="shared" si="152"/>
        <v>6219609</v>
      </c>
      <c r="Z60" s="63">
        <f t="shared" si="152"/>
        <v>132426.78</v>
      </c>
      <c r="AA60" s="63">
        <f t="shared" si="152"/>
        <v>-92223.41</v>
      </c>
      <c r="AB60" s="63">
        <f t="shared" si="152"/>
        <v>0</v>
      </c>
      <c r="AC60" s="63">
        <f t="shared" si="152"/>
        <v>6259812.3700000001</v>
      </c>
      <c r="AD60" s="63">
        <f t="shared" si="152"/>
        <v>6259812.3700000001</v>
      </c>
      <c r="AE60" s="63">
        <f t="shared" si="152"/>
        <v>15262.68</v>
      </c>
      <c r="AF60" s="63">
        <f t="shared" si="152"/>
        <v>0</v>
      </c>
      <c r="AG60" s="63">
        <f t="shared" si="152"/>
        <v>0</v>
      </c>
      <c r="AH60" s="63">
        <f t="shared" si="152"/>
        <v>6275075.0500000007</v>
      </c>
      <c r="AI60" s="63">
        <f t="shared" si="152"/>
        <v>6275075.0500000007</v>
      </c>
      <c r="AJ60" s="63">
        <f t="shared" si="152"/>
        <v>47860.79</v>
      </c>
      <c r="AK60" s="63">
        <f t="shared" si="152"/>
        <v>0</v>
      </c>
      <c r="AL60" s="63">
        <f t="shared" si="152"/>
        <v>0</v>
      </c>
      <c r="AM60" s="63">
        <f t="shared" si="152"/>
        <v>6322935.8399999999</v>
      </c>
      <c r="AN60" s="63">
        <f t="shared" si="152"/>
        <v>6322935.8399999999</v>
      </c>
      <c r="AO60" s="63">
        <f t="shared" si="152"/>
        <v>4598.84</v>
      </c>
      <c r="AP60" s="63">
        <f t="shared" si="152"/>
        <v>0</v>
      </c>
      <c r="AQ60" s="63">
        <f t="shared" si="152"/>
        <v>0</v>
      </c>
      <c r="AR60" s="63">
        <f t="shared" si="152"/>
        <v>6327534.6800000006</v>
      </c>
      <c r="AS60" s="63">
        <f t="shared" si="152"/>
        <v>6327534.6800000006</v>
      </c>
      <c r="AT60" s="63">
        <f t="shared" si="152"/>
        <v>6925.14</v>
      </c>
      <c r="AU60" s="63">
        <f t="shared" si="152"/>
        <v>-54003.68</v>
      </c>
      <c r="AV60" s="63">
        <f t="shared" si="152"/>
        <v>0</v>
      </c>
      <c r="AW60" s="63">
        <f t="shared" si="152"/>
        <v>6280456.1400000006</v>
      </c>
      <c r="AX60" s="63">
        <f t="shared" si="152"/>
        <v>6280456.1400000006</v>
      </c>
      <c r="AY60" s="63">
        <f t="shared" si="152"/>
        <v>0</v>
      </c>
      <c r="AZ60" s="63">
        <f t="shared" si="152"/>
        <v>-26126.89</v>
      </c>
      <c r="BA60" s="63">
        <f t="shared" si="152"/>
        <v>0</v>
      </c>
      <c r="BB60" s="63">
        <f t="shared" si="152"/>
        <v>6254329.25</v>
      </c>
      <c r="BC60" s="63">
        <f t="shared" si="152"/>
        <v>6254329.25</v>
      </c>
      <c r="BD60" s="63">
        <f t="shared" si="152"/>
        <v>86519.71</v>
      </c>
      <c r="BE60" s="63">
        <f t="shared" si="152"/>
        <v>-4119.87</v>
      </c>
      <c r="BF60" s="63">
        <f t="shared" si="152"/>
        <v>0</v>
      </c>
      <c r="BG60" s="63">
        <f t="shared" si="152"/>
        <v>6336729.0899999999</v>
      </c>
      <c r="BH60" s="63">
        <f t="shared" si="152"/>
        <v>6336729.0899999999</v>
      </c>
      <c r="BI60" s="63">
        <f t="shared" si="152"/>
        <v>208853.88</v>
      </c>
      <c r="BJ60" s="63">
        <f t="shared" si="152"/>
        <v>-13086.16</v>
      </c>
      <c r="BK60" s="63">
        <f t="shared" si="152"/>
        <v>0</v>
      </c>
      <c r="BL60" s="63">
        <f t="shared" si="152"/>
        <v>6532496.8100000005</v>
      </c>
      <c r="BM60" s="63">
        <f t="shared" si="152"/>
        <v>6532496.8100000005</v>
      </c>
      <c r="BN60" s="63">
        <f t="shared" si="152"/>
        <v>68003.259999999995</v>
      </c>
      <c r="BO60" s="63">
        <f t="shared" si="152"/>
        <v>-68648.3</v>
      </c>
      <c r="BP60" s="63">
        <f t="shared" si="152"/>
        <v>0</v>
      </c>
      <c r="BQ60" s="63">
        <f t="shared" si="152"/>
        <v>6531851.7699999996</v>
      </c>
      <c r="BR60" s="63">
        <f t="shared" ref="BR60:CA60" si="153">SUM(BR46:BR59)</f>
        <v>6531851.7699999996</v>
      </c>
      <c r="BS60" s="63">
        <f t="shared" si="153"/>
        <v>25767.83</v>
      </c>
      <c r="BT60" s="63">
        <f t="shared" si="153"/>
        <v>0</v>
      </c>
      <c r="BU60" s="63">
        <f t="shared" si="153"/>
        <v>0</v>
      </c>
      <c r="BV60" s="63">
        <f t="shared" si="153"/>
        <v>6557619.5999999996</v>
      </c>
      <c r="BW60" s="63">
        <f t="shared" si="153"/>
        <v>6557619.5999999996</v>
      </c>
      <c r="BX60" s="63">
        <f t="shared" si="153"/>
        <v>0</v>
      </c>
      <c r="BY60" s="63">
        <f t="shared" si="153"/>
        <v>-1064.2</v>
      </c>
      <c r="BZ60" s="63">
        <f t="shared" si="153"/>
        <v>0</v>
      </c>
      <c r="CA60" s="63">
        <f t="shared" si="153"/>
        <v>6556555.3999999994</v>
      </c>
      <c r="CD60" s="63">
        <f t="shared" ref="CD60:DI60" si="154">SUM(CD46:CD59)</f>
        <v>6557619.5999999996</v>
      </c>
      <c r="CE60" s="65">
        <f t="shared" si="154"/>
        <v>11688.67</v>
      </c>
      <c r="CF60" s="65">
        <f t="shared" si="154"/>
        <v>-214.11</v>
      </c>
      <c r="CG60" s="65">
        <f t="shared" si="154"/>
        <v>0</v>
      </c>
      <c r="CH60" s="65">
        <f t="shared" si="154"/>
        <v>6569094.1599999992</v>
      </c>
      <c r="CI60" s="65">
        <f t="shared" si="154"/>
        <v>6569094.1599999992</v>
      </c>
      <c r="CJ60" s="65">
        <f t="shared" si="154"/>
        <v>10284.73</v>
      </c>
      <c r="CK60" s="65">
        <f t="shared" si="154"/>
        <v>-11306.619999999999</v>
      </c>
      <c r="CL60" s="65">
        <f t="shared" si="154"/>
        <v>0</v>
      </c>
      <c r="CM60" s="65">
        <f t="shared" si="154"/>
        <v>6568072.2699999996</v>
      </c>
      <c r="CN60" s="65">
        <f t="shared" si="154"/>
        <v>6568072.2699999996</v>
      </c>
      <c r="CO60" s="65">
        <f t="shared" si="154"/>
        <v>9938.61</v>
      </c>
      <c r="CP60" s="65">
        <f t="shared" si="154"/>
        <v>-24109.65</v>
      </c>
      <c r="CQ60" s="65">
        <f t="shared" si="154"/>
        <v>0</v>
      </c>
      <c r="CR60" s="65">
        <f t="shared" si="154"/>
        <v>6553901.2299999995</v>
      </c>
      <c r="CS60" s="65">
        <f t="shared" si="154"/>
        <v>6553901.2299999995</v>
      </c>
      <c r="CT60" s="65">
        <f t="shared" si="154"/>
        <v>4978.6000000000004</v>
      </c>
      <c r="CU60" s="65">
        <f t="shared" si="154"/>
        <v>-1475.34</v>
      </c>
      <c r="CV60" s="65">
        <f t="shared" si="154"/>
        <v>0</v>
      </c>
      <c r="CW60" s="65">
        <f t="shared" si="154"/>
        <v>6557404.4899999993</v>
      </c>
      <c r="CX60" s="65">
        <f t="shared" si="154"/>
        <v>6557404.4899999993</v>
      </c>
      <c r="CY60" s="65">
        <f t="shared" si="154"/>
        <v>50661.56</v>
      </c>
      <c r="CZ60" s="65">
        <f t="shared" si="154"/>
        <v>-13884.05</v>
      </c>
      <c r="DA60" s="65">
        <f t="shared" si="154"/>
        <v>0</v>
      </c>
      <c r="DB60" s="65">
        <f t="shared" si="154"/>
        <v>6594181.9999999991</v>
      </c>
      <c r="DC60" s="65">
        <f t="shared" si="154"/>
        <v>6594181.9999999991</v>
      </c>
      <c r="DD60" s="65">
        <f t="shared" si="154"/>
        <v>26063.37</v>
      </c>
      <c r="DE60" s="65">
        <f t="shared" si="154"/>
        <v>0</v>
      </c>
      <c r="DF60" s="65">
        <f t="shared" si="154"/>
        <v>0</v>
      </c>
      <c r="DG60" s="65">
        <f t="shared" si="154"/>
        <v>6620245.3699999992</v>
      </c>
      <c r="DH60" s="65">
        <f t="shared" si="154"/>
        <v>6620245.3699999992</v>
      </c>
      <c r="DI60" s="65">
        <f t="shared" si="154"/>
        <v>42923.83</v>
      </c>
      <c r="DJ60" s="65">
        <f t="shared" ref="DJ60:EO60" si="155">SUM(DJ46:DJ59)</f>
        <v>0</v>
      </c>
      <c r="DK60" s="65">
        <f t="shared" si="155"/>
        <v>0</v>
      </c>
      <c r="DL60" s="65">
        <f t="shared" si="155"/>
        <v>6663169.1999999993</v>
      </c>
      <c r="DM60" s="65">
        <f t="shared" si="155"/>
        <v>6663169.1999999993</v>
      </c>
      <c r="DN60" s="65">
        <f t="shared" si="155"/>
        <v>4876.1899999999996</v>
      </c>
      <c r="DO60" s="65">
        <f t="shared" si="155"/>
        <v>-16318.26</v>
      </c>
      <c r="DP60" s="65">
        <f t="shared" si="155"/>
        <v>0</v>
      </c>
      <c r="DQ60" s="65">
        <f t="shared" si="155"/>
        <v>6651727.1299999999</v>
      </c>
      <c r="DR60" s="65">
        <f t="shared" si="155"/>
        <v>6651727.1299999999</v>
      </c>
      <c r="DS60" s="65">
        <f t="shared" si="155"/>
        <v>22499.19</v>
      </c>
      <c r="DT60" s="65">
        <f t="shared" si="155"/>
        <v>-2213.06</v>
      </c>
      <c r="DU60" s="65">
        <f t="shared" si="155"/>
        <v>0</v>
      </c>
      <c r="DV60" s="65">
        <f t="shared" si="155"/>
        <v>6672013.2600000007</v>
      </c>
      <c r="DW60" s="65">
        <f t="shared" si="155"/>
        <v>6672013.2600000007</v>
      </c>
      <c r="DX60" s="65">
        <f t="shared" si="155"/>
        <v>22314.16</v>
      </c>
      <c r="DY60" s="65">
        <f t="shared" si="155"/>
        <v>-9805.2999999999993</v>
      </c>
      <c r="DZ60" s="65">
        <f t="shared" si="155"/>
        <v>0</v>
      </c>
      <c r="EA60" s="65">
        <f t="shared" si="155"/>
        <v>6684522.120000001</v>
      </c>
      <c r="EB60" s="65">
        <f t="shared" si="155"/>
        <v>6684522.120000001</v>
      </c>
      <c r="EC60" s="65">
        <f t="shared" si="155"/>
        <v>196116.62</v>
      </c>
      <c r="ED60" s="65">
        <f t="shared" si="155"/>
        <v>-32293.46</v>
      </c>
      <c r="EE60" s="65">
        <f t="shared" si="155"/>
        <v>0</v>
      </c>
      <c r="EF60" s="65">
        <f t="shared" si="155"/>
        <v>6848345.2800000012</v>
      </c>
      <c r="EG60" s="65">
        <f t="shared" si="155"/>
        <v>6848345.2800000012</v>
      </c>
      <c r="EH60" s="65">
        <f t="shared" si="155"/>
        <v>89614.78</v>
      </c>
      <c r="EI60" s="65">
        <f t="shared" si="155"/>
        <v>-8853.2900000000009</v>
      </c>
      <c r="EJ60" s="65">
        <f t="shared" si="155"/>
        <v>0</v>
      </c>
      <c r="EK60" s="65">
        <f t="shared" si="155"/>
        <v>6929106.7700000014</v>
      </c>
      <c r="EL60" s="65">
        <f t="shared" si="155"/>
        <v>6929106.7700000014</v>
      </c>
      <c r="EM60" s="65">
        <f t="shared" si="155"/>
        <v>93752.77</v>
      </c>
      <c r="EN60" s="65">
        <f t="shared" si="155"/>
        <v>0</v>
      </c>
      <c r="EO60" s="65">
        <f t="shared" si="155"/>
        <v>0</v>
      </c>
      <c r="EP60" s="65">
        <f t="shared" ref="EP60:FU60" si="156">SUM(EP46:EP59)</f>
        <v>7022859.540000001</v>
      </c>
      <c r="EQ60" s="65">
        <f t="shared" si="156"/>
        <v>7022859.540000001</v>
      </c>
      <c r="ER60" s="65">
        <f t="shared" si="156"/>
        <v>82492.02</v>
      </c>
      <c r="ES60" s="65">
        <f t="shared" si="156"/>
        <v>-168942.86</v>
      </c>
      <c r="ET60" s="65">
        <f t="shared" si="156"/>
        <v>0</v>
      </c>
      <c r="EU60" s="65">
        <f t="shared" si="156"/>
        <v>6936408.7000000002</v>
      </c>
      <c r="EV60" s="65">
        <f t="shared" si="156"/>
        <v>6936408.7000000002</v>
      </c>
      <c r="EW60" s="65">
        <f t="shared" si="156"/>
        <v>546105.78</v>
      </c>
      <c r="EX60" s="65">
        <f t="shared" si="156"/>
        <v>-91083.99</v>
      </c>
      <c r="EY60" s="65">
        <f t="shared" si="156"/>
        <v>0</v>
      </c>
      <c r="EZ60" s="65">
        <f t="shared" si="156"/>
        <v>7391430.4900000002</v>
      </c>
      <c r="FA60" s="65">
        <f t="shared" si="156"/>
        <v>7391430.4900000002</v>
      </c>
      <c r="FB60" s="65">
        <f t="shared" si="156"/>
        <v>39932.44</v>
      </c>
      <c r="FC60" s="65">
        <f t="shared" si="156"/>
        <v>-31422.69</v>
      </c>
      <c r="FD60" s="65">
        <f t="shared" si="156"/>
        <v>0</v>
      </c>
      <c r="FE60" s="65">
        <f t="shared" si="156"/>
        <v>7399940.2400000002</v>
      </c>
      <c r="FF60" s="65">
        <f t="shared" si="156"/>
        <v>7399940.2400000002</v>
      </c>
      <c r="FG60" s="65">
        <f t="shared" si="156"/>
        <v>406347.45</v>
      </c>
      <c r="FH60" s="65">
        <f t="shared" si="156"/>
        <v>-26770.67</v>
      </c>
      <c r="FI60" s="65">
        <f t="shared" si="156"/>
        <v>0</v>
      </c>
      <c r="FJ60" s="65">
        <f t="shared" si="156"/>
        <v>7779517.0200000005</v>
      </c>
      <c r="FK60" s="65">
        <f t="shared" si="156"/>
        <v>7779517.0200000005</v>
      </c>
      <c r="FL60" s="65">
        <f t="shared" si="156"/>
        <v>209049.66</v>
      </c>
      <c r="FM60" s="65">
        <f t="shared" si="156"/>
        <v>-100798.9</v>
      </c>
      <c r="FN60" s="65">
        <f t="shared" si="156"/>
        <v>0</v>
      </c>
      <c r="FO60" s="65">
        <f t="shared" si="156"/>
        <v>7887767.7800000003</v>
      </c>
      <c r="FP60" s="65">
        <f t="shared" si="156"/>
        <v>7887767.7800000003</v>
      </c>
      <c r="FQ60" s="65">
        <f t="shared" si="156"/>
        <v>344284.49</v>
      </c>
      <c r="FR60" s="65">
        <f t="shared" si="156"/>
        <v>-80644.62</v>
      </c>
      <c r="FS60" s="65">
        <f t="shared" si="156"/>
        <v>0</v>
      </c>
      <c r="FT60" s="65">
        <f t="shared" si="156"/>
        <v>8151407.6500000004</v>
      </c>
      <c r="FU60" s="65">
        <f t="shared" si="156"/>
        <v>8151407.6500000004</v>
      </c>
      <c r="FV60" s="65">
        <f t="shared" ref="FV60:GI60" si="157">SUM(FV46:FV59)</f>
        <v>39111.040000000001</v>
      </c>
      <c r="FW60" s="65">
        <f t="shared" si="157"/>
        <v>-34855.599999999999</v>
      </c>
      <c r="FX60" s="65">
        <f t="shared" si="157"/>
        <v>0</v>
      </c>
      <c r="FY60" s="65">
        <f t="shared" si="157"/>
        <v>8155663.0900000008</v>
      </c>
      <c r="FZ60" s="65">
        <f t="shared" si="157"/>
        <v>8155663.0900000008</v>
      </c>
      <c r="GA60" s="65">
        <f t="shared" si="157"/>
        <v>180462.03</v>
      </c>
      <c r="GB60" s="65">
        <f t="shared" si="157"/>
        <v>-36438.49</v>
      </c>
      <c r="GC60" s="65">
        <f t="shared" si="157"/>
        <v>0</v>
      </c>
      <c r="GD60" s="65">
        <f t="shared" si="157"/>
        <v>8299686.6300000008</v>
      </c>
      <c r="GE60" s="65">
        <f t="shared" si="157"/>
        <v>8299686.6300000008</v>
      </c>
      <c r="GF60" s="65">
        <f t="shared" si="157"/>
        <v>178977.93</v>
      </c>
      <c r="GG60" s="65">
        <f t="shared" si="157"/>
        <v>-39988.36</v>
      </c>
      <c r="GH60" s="65">
        <f t="shared" si="157"/>
        <v>0</v>
      </c>
      <c r="GI60" s="65">
        <f t="shared" si="157"/>
        <v>8438676.1999999993</v>
      </c>
      <c r="GJ60" s="66"/>
    </row>
    <row r="61" spans="1:192">
      <c r="A61" s="57" t="s">
        <v>1688</v>
      </c>
      <c r="B61" s="58">
        <v>378.21</v>
      </c>
      <c r="C61" s="57" t="s">
        <v>1037</v>
      </c>
      <c r="D61" s="59">
        <v>-777092</v>
      </c>
      <c r="E61" s="59">
        <v>-777092</v>
      </c>
      <c r="F61" s="59">
        <v>0</v>
      </c>
      <c r="G61" s="59">
        <v>0</v>
      </c>
      <c r="H61" s="59">
        <v>0</v>
      </c>
      <c r="I61" s="59">
        <v>-777092</v>
      </c>
      <c r="J61" s="59">
        <v>-777092</v>
      </c>
      <c r="K61" s="59">
        <v>0</v>
      </c>
      <c r="L61" s="59">
        <v>0</v>
      </c>
      <c r="M61" s="59">
        <v>0</v>
      </c>
      <c r="N61" s="59">
        <v>-777092</v>
      </c>
      <c r="O61" s="59">
        <v>-777092</v>
      </c>
      <c r="P61" s="59">
        <v>0</v>
      </c>
      <c r="Q61" s="59">
        <v>0</v>
      </c>
      <c r="R61" s="59">
        <v>0</v>
      </c>
      <c r="S61" s="59">
        <v>-777092</v>
      </c>
      <c r="T61" s="59">
        <v>-777092</v>
      </c>
      <c r="U61" s="59">
        <v>0</v>
      </c>
      <c r="V61" s="79">
        <f>5189.18-5189.18</f>
        <v>0</v>
      </c>
      <c r="W61" s="59">
        <v>0</v>
      </c>
      <c r="X61" s="59">
        <v>-771902.82000000007</v>
      </c>
      <c r="Y61" s="59">
        <v>-771902.82000000007</v>
      </c>
      <c r="Z61" s="59">
        <v>0</v>
      </c>
      <c r="AA61" s="59">
        <v>0</v>
      </c>
      <c r="AB61" s="59">
        <v>0</v>
      </c>
      <c r="AC61" s="59">
        <v>-771902.82000000007</v>
      </c>
      <c r="AD61" s="59">
        <v>-771902.82000000007</v>
      </c>
      <c r="AE61" s="59">
        <v>0</v>
      </c>
      <c r="AF61" s="59">
        <v>0</v>
      </c>
      <c r="AG61" s="59">
        <v>0</v>
      </c>
      <c r="AH61" s="59">
        <v>-771902.82000000007</v>
      </c>
      <c r="AI61" s="59">
        <v>-771902.82000000007</v>
      </c>
      <c r="AJ61" s="59">
        <v>0</v>
      </c>
      <c r="AK61" s="59">
        <v>0</v>
      </c>
      <c r="AL61" s="59">
        <v>0</v>
      </c>
      <c r="AM61" s="59">
        <v>-771902.82000000007</v>
      </c>
      <c r="AN61" s="59">
        <v>-771902.82000000007</v>
      </c>
      <c r="AO61" s="59">
        <v>0</v>
      </c>
      <c r="AP61" s="59">
        <v>0</v>
      </c>
      <c r="AQ61" s="59">
        <v>0</v>
      </c>
      <c r="AR61" s="59">
        <v>-771902.82000000007</v>
      </c>
      <c r="AS61" s="59">
        <v>-771902.82000000007</v>
      </c>
      <c r="AT61" s="59">
        <v>0</v>
      </c>
      <c r="AU61" s="59">
        <v>0</v>
      </c>
      <c r="AV61" s="59">
        <v>0</v>
      </c>
      <c r="AW61" s="59">
        <v>-771902.82000000007</v>
      </c>
      <c r="AX61" s="59">
        <v>-771902.82000000007</v>
      </c>
      <c r="AY61" s="59">
        <v>0</v>
      </c>
      <c r="AZ61" s="59">
        <v>0</v>
      </c>
      <c r="BA61" s="59">
        <v>0</v>
      </c>
      <c r="BB61" s="59">
        <v>-771902.82000000007</v>
      </c>
      <c r="BC61" s="59">
        <v>-771902.82000000007</v>
      </c>
      <c r="BD61" s="59">
        <v>0</v>
      </c>
      <c r="BE61" s="59">
        <v>0</v>
      </c>
      <c r="BF61" s="59">
        <v>0</v>
      </c>
      <c r="BG61" s="59">
        <v>-771902.82000000007</v>
      </c>
      <c r="BH61" s="59">
        <v>-771902.82000000007</v>
      </c>
      <c r="BI61" s="59">
        <v>0</v>
      </c>
      <c r="BJ61" s="59">
        <v>0</v>
      </c>
      <c r="BK61" s="59">
        <v>0</v>
      </c>
      <c r="BL61" s="59">
        <v>-771902.82000000007</v>
      </c>
      <c r="BM61" s="59">
        <f t="shared" si="41"/>
        <v>-771902.82000000007</v>
      </c>
      <c r="BN61" s="59">
        <v>0</v>
      </c>
      <c r="BO61" s="59">
        <v>0</v>
      </c>
      <c r="BP61" s="59">
        <v>0</v>
      </c>
      <c r="BQ61" s="59">
        <f t="shared" si="103"/>
        <v>-771902.82000000007</v>
      </c>
      <c r="BR61" s="59">
        <f t="shared" si="43"/>
        <v>-771902.82000000007</v>
      </c>
      <c r="BS61" s="59">
        <v>0</v>
      </c>
      <c r="BT61" s="59">
        <v>0</v>
      </c>
      <c r="BU61" s="59">
        <v>0</v>
      </c>
      <c r="BV61" s="59">
        <f t="shared" si="104"/>
        <v>-771902.82000000007</v>
      </c>
      <c r="BW61" s="59">
        <f t="shared" si="45"/>
        <v>-771902.82000000007</v>
      </c>
      <c r="BX61" s="59">
        <v>0</v>
      </c>
      <c r="BY61" s="59">
        <v>0</v>
      </c>
      <c r="BZ61" s="59">
        <v>0</v>
      </c>
      <c r="CA61" s="59">
        <f t="shared" si="105"/>
        <v>-771902.82000000007</v>
      </c>
      <c r="CD61" s="59">
        <f t="shared" si="47"/>
        <v>-771902.82000000007</v>
      </c>
      <c r="CE61" s="60">
        <v>0</v>
      </c>
      <c r="CF61" s="60">
        <v>0</v>
      </c>
      <c r="CG61" s="60">
        <v>0</v>
      </c>
      <c r="CH61" s="59">
        <f t="shared" si="62"/>
        <v>-771902.82000000007</v>
      </c>
      <c r="CI61" s="59">
        <f t="shared" si="48"/>
        <v>-771902.82000000007</v>
      </c>
      <c r="CJ61" s="60">
        <v>0</v>
      </c>
      <c r="CK61" s="60">
        <v>0</v>
      </c>
      <c r="CL61" s="60">
        <v>0</v>
      </c>
      <c r="CM61" s="59">
        <f>SUM(CI61:CL61)</f>
        <v>-771902.82000000007</v>
      </c>
      <c r="CN61" s="59">
        <f t="shared" si="49"/>
        <v>-771902.82000000007</v>
      </c>
      <c r="CO61" s="60">
        <v>0</v>
      </c>
      <c r="CP61" s="60">
        <v>0</v>
      </c>
      <c r="CQ61" s="60">
        <v>0</v>
      </c>
      <c r="CR61" s="59">
        <f>SUM(CN61:CQ61)</f>
        <v>-771902.82000000007</v>
      </c>
      <c r="CS61" s="59">
        <f>CR61</f>
        <v>-771902.82000000007</v>
      </c>
      <c r="CT61" s="60">
        <v>0</v>
      </c>
      <c r="CU61" s="60">
        <v>0</v>
      </c>
      <c r="CV61" s="60">
        <v>0</v>
      </c>
      <c r="CW61" s="59">
        <f>SUM(CS61:CV61)</f>
        <v>-771902.82000000007</v>
      </c>
      <c r="CX61" s="59">
        <f>CW61</f>
        <v>-771902.82000000007</v>
      </c>
      <c r="CY61" s="60">
        <v>0</v>
      </c>
      <c r="CZ61" s="60">
        <v>0</v>
      </c>
      <c r="DA61" s="60">
        <v>0</v>
      </c>
      <c r="DB61" s="59">
        <f>SUM(CX61:DA61)</f>
        <v>-771902.82000000007</v>
      </c>
      <c r="DC61" s="59">
        <f>DB61</f>
        <v>-771902.82000000007</v>
      </c>
      <c r="DD61" s="60">
        <v>0</v>
      </c>
      <c r="DE61" s="60">
        <v>0</v>
      </c>
      <c r="DF61" s="60">
        <v>0</v>
      </c>
      <c r="DG61" s="59">
        <f>SUM(DC61:DF61)</f>
        <v>-771902.82000000007</v>
      </c>
      <c r="DH61" s="59">
        <f>DG61</f>
        <v>-771902.82000000007</v>
      </c>
      <c r="DI61" s="60">
        <v>0</v>
      </c>
      <c r="DJ61" s="60">
        <v>0</v>
      </c>
      <c r="DK61" s="60">
        <v>0</v>
      </c>
      <c r="DL61" s="59">
        <f>SUM(DH61:DK61)</f>
        <v>-771902.82000000007</v>
      </c>
      <c r="DM61" s="59">
        <f>DL61</f>
        <v>-771902.82000000007</v>
      </c>
      <c r="DN61" s="60">
        <v>0</v>
      </c>
      <c r="DO61" s="60">
        <v>0</v>
      </c>
      <c r="DP61" s="60">
        <v>0</v>
      </c>
      <c r="DQ61" s="59">
        <f>SUM(DM61:DP61)</f>
        <v>-771902.82000000007</v>
      </c>
      <c r="DR61" s="59">
        <f>DQ61</f>
        <v>-771902.82000000007</v>
      </c>
      <c r="DS61" s="60">
        <v>0</v>
      </c>
      <c r="DT61" s="60">
        <v>0</v>
      </c>
      <c r="DU61" s="60">
        <v>0</v>
      </c>
      <c r="DV61" s="59">
        <f>SUM(DR61:DU61)</f>
        <v>-771902.82000000007</v>
      </c>
      <c r="DW61" s="59">
        <f>DV61</f>
        <v>-771902.82000000007</v>
      </c>
      <c r="DX61" s="60">
        <v>0</v>
      </c>
      <c r="DY61" s="60">
        <v>0</v>
      </c>
      <c r="DZ61" s="60">
        <v>0</v>
      </c>
      <c r="EA61" s="59">
        <f>SUM(DW61:DZ61)</f>
        <v>-771902.82000000007</v>
      </c>
      <c r="EB61" s="59">
        <f>EA61</f>
        <v>-771902.82000000007</v>
      </c>
      <c r="EC61" s="60">
        <v>0</v>
      </c>
      <c r="ED61" s="60">
        <v>0</v>
      </c>
      <c r="EE61" s="60">
        <v>0</v>
      </c>
      <c r="EF61" s="59">
        <f>SUM(EB61:EE61)</f>
        <v>-771902.82000000007</v>
      </c>
      <c r="EG61" s="59">
        <f>EF61</f>
        <v>-771902.82000000007</v>
      </c>
      <c r="EH61" s="60">
        <v>0</v>
      </c>
      <c r="EI61" s="60">
        <v>0</v>
      </c>
      <c r="EJ61" s="60">
        <v>0</v>
      </c>
      <c r="EK61" s="59">
        <f>SUM(EG61:EJ61)</f>
        <v>-771902.82000000007</v>
      </c>
      <c r="EL61" s="59">
        <f>EK61</f>
        <v>-771902.82000000007</v>
      </c>
      <c r="EM61" s="60">
        <v>0</v>
      </c>
      <c r="EN61" s="60">
        <v>0</v>
      </c>
      <c r="EO61" s="60">
        <v>0</v>
      </c>
      <c r="EP61" s="59">
        <f>SUM(EL61:EO61)</f>
        <v>-771902.82000000007</v>
      </c>
      <c r="EQ61" s="59">
        <f>EP61</f>
        <v>-771902.82000000007</v>
      </c>
      <c r="ER61" s="60">
        <v>0</v>
      </c>
      <c r="ES61" s="60">
        <v>0</v>
      </c>
      <c r="ET61" s="60">
        <v>0</v>
      </c>
      <c r="EU61" s="59">
        <f>SUM(EQ61:ET61)</f>
        <v>-771902.82000000007</v>
      </c>
      <c r="EV61" s="59">
        <f>EU61</f>
        <v>-771902.82000000007</v>
      </c>
      <c r="EW61" s="60">
        <v>0</v>
      </c>
      <c r="EX61" s="60">
        <v>0</v>
      </c>
      <c r="EY61" s="60">
        <v>0</v>
      </c>
      <c r="EZ61" s="59">
        <f>SUM(EV61:EY61)</f>
        <v>-771902.82000000007</v>
      </c>
      <c r="FA61" s="59">
        <f>EZ61</f>
        <v>-771902.82000000007</v>
      </c>
      <c r="FB61" s="60">
        <v>0</v>
      </c>
      <c r="FC61" s="60">
        <v>0</v>
      </c>
      <c r="FD61" s="60">
        <v>0</v>
      </c>
      <c r="FE61" s="59">
        <f>SUM(FA61:FD61)</f>
        <v>-771902.82000000007</v>
      </c>
      <c r="FF61" s="59">
        <f>FE61</f>
        <v>-771902.82000000007</v>
      </c>
      <c r="FG61" s="60">
        <v>0</v>
      </c>
      <c r="FH61" s="60">
        <v>0</v>
      </c>
      <c r="FI61" s="60">
        <v>0</v>
      </c>
      <c r="FJ61" s="59">
        <f>SUM(FF61:FI61)</f>
        <v>-771902.82000000007</v>
      </c>
      <c r="FK61" s="59">
        <f>FJ61</f>
        <v>-771902.82000000007</v>
      </c>
      <c r="FL61" s="60">
        <v>0</v>
      </c>
      <c r="FM61" s="60">
        <v>0</v>
      </c>
      <c r="FN61" s="60">
        <v>0</v>
      </c>
      <c r="FO61" s="59">
        <f>SUM(FK61:FN61)</f>
        <v>-771902.82000000007</v>
      </c>
      <c r="FP61" s="59">
        <f>FO61</f>
        <v>-771902.82000000007</v>
      </c>
      <c r="FQ61" s="60">
        <v>0</v>
      </c>
      <c r="FR61" s="60">
        <v>0</v>
      </c>
      <c r="FS61" s="60">
        <v>0</v>
      </c>
      <c r="FT61" s="59">
        <f>SUM(FP61:FS61)</f>
        <v>-771902.82000000007</v>
      </c>
      <c r="FU61" s="59">
        <f>FT61</f>
        <v>-771902.82000000007</v>
      </c>
      <c r="FV61" s="60">
        <v>0</v>
      </c>
      <c r="FW61" s="60">
        <v>0</v>
      </c>
      <c r="FX61" s="60">
        <v>0</v>
      </c>
      <c r="FY61" s="59">
        <f>SUM(FU61:FX61)</f>
        <v>-771902.82000000007</v>
      </c>
      <c r="FZ61" s="59">
        <f>FY61</f>
        <v>-771902.82000000007</v>
      </c>
      <c r="GA61" s="60">
        <v>0</v>
      </c>
      <c r="GB61" s="60">
        <v>0</v>
      </c>
      <c r="GC61" s="60">
        <v>0</v>
      </c>
      <c r="GD61" s="59">
        <f>SUM(FZ61:GC61)</f>
        <v>-771902.82000000007</v>
      </c>
      <c r="GE61" s="59">
        <f>GD61</f>
        <v>-771902.82000000007</v>
      </c>
      <c r="GF61" s="60">
        <v>0</v>
      </c>
      <c r="GG61" s="60">
        <v>0</v>
      </c>
      <c r="GH61" s="60">
        <v>0</v>
      </c>
      <c r="GI61" s="59">
        <f>SUM(GE61:GH61)</f>
        <v>-771902.82000000007</v>
      </c>
      <c r="GJ61" s="59"/>
    </row>
    <row r="62" spans="1:192" s="41" customFormat="1">
      <c r="A62" s="61" t="s">
        <v>1689</v>
      </c>
      <c r="B62" s="62"/>
      <c r="C62" s="61"/>
      <c r="D62" s="63">
        <f>SUM(D61)</f>
        <v>-777092</v>
      </c>
      <c r="E62" s="63">
        <f>SUM(E61)</f>
        <v>-777092</v>
      </c>
      <c r="F62" s="63">
        <f t="shared" ref="F62:BQ62" si="158">SUM(F61)</f>
        <v>0</v>
      </c>
      <c r="G62" s="63">
        <f t="shared" si="158"/>
        <v>0</v>
      </c>
      <c r="H62" s="63">
        <f t="shared" si="158"/>
        <v>0</v>
      </c>
      <c r="I62" s="63">
        <f t="shared" si="158"/>
        <v>-777092</v>
      </c>
      <c r="J62" s="63">
        <f t="shared" si="158"/>
        <v>-777092</v>
      </c>
      <c r="K62" s="63">
        <f t="shared" si="158"/>
        <v>0</v>
      </c>
      <c r="L62" s="63">
        <f t="shared" si="158"/>
        <v>0</v>
      </c>
      <c r="M62" s="63">
        <f t="shared" si="158"/>
        <v>0</v>
      </c>
      <c r="N62" s="63">
        <f t="shared" si="158"/>
        <v>-777092</v>
      </c>
      <c r="O62" s="63">
        <f t="shared" si="158"/>
        <v>-777092</v>
      </c>
      <c r="P62" s="63">
        <f t="shared" si="158"/>
        <v>0</v>
      </c>
      <c r="Q62" s="63">
        <f t="shared" si="158"/>
        <v>0</v>
      </c>
      <c r="R62" s="63">
        <f t="shared" si="158"/>
        <v>0</v>
      </c>
      <c r="S62" s="63">
        <f t="shared" si="158"/>
        <v>-777092</v>
      </c>
      <c r="T62" s="63">
        <f t="shared" si="158"/>
        <v>-777092</v>
      </c>
      <c r="U62" s="63">
        <f t="shared" si="158"/>
        <v>0</v>
      </c>
      <c r="V62" s="63">
        <f t="shared" si="158"/>
        <v>0</v>
      </c>
      <c r="W62" s="63">
        <f t="shared" si="158"/>
        <v>0</v>
      </c>
      <c r="X62" s="63">
        <f t="shared" si="158"/>
        <v>-771902.82000000007</v>
      </c>
      <c r="Y62" s="63">
        <f t="shared" si="158"/>
        <v>-771902.82000000007</v>
      </c>
      <c r="Z62" s="63">
        <f t="shared" si="158"/>
        <v>0</v>
      </c>
      <c r="AA62" s="63">
        <f t="shared" si="158"/>
        <v>0</v>
      </c>
      <c r="AB62" s="63">
        <f t="shared" si="158"/>
        <v>0</v>
      </c>
      <c r="AC62" s="63">
        <f t="shared" si="158"/>
        <v>-771902.82000000007</v>
      </c>
      <c r="AD62" s="63">
        <f t="shared" si="158"/>
        <v>-771902.82000000007</v>
      </c>
      <c r="AE62" s="63">
        <f t="shared" si="158"/>
        <v>0</v>
      </c>
      <c r="AF62" s="63">
        <f t="shared" si="158"/>
        <v>0</v>
      </c>
      <c r="AG62" s="63">
        <f t="shared" si="158"/>
        <v>0</v>
      </c>
      <c r="AH62" s="63">
        <f t="shared" si="158"/>
        <v>-771902.82000000007</v>
      </c>
      <c r="AI62" s="63">
        <f t="shared" si="158"/>
        <v>-771902.82000000007</v>
      </c>
      <c r="AJ62" s="63">
        <f t="shared" si="158"/>
        <v>0</v>
      </c>
      <c r="AK62" s="63">
        <f t="shared" si="158"/>
        <v>0</v>
      </c>
      <c r="AL62" s="63">
        <f t="shared" si="158"/>
        <v>0</v>
      </c>
      <c r="AM62" s="63">
        <f t="shared" si="158"/>
        <v>-771902.82000000007</v>
      </c>
      <c r="AN62" s="63">
        <f t="shared" si="158"/>
        <v>-771902.82000000007</v>
      </c>
      <c r="AO62" s="63">
        <f t="shared" si="158"/>
        <v>0</v>
      </c>
      <c r="AP62" s="63">
        <f t="shared" si="158"/>
        <v>0</v>
      </c>
      <c r="AQ62" s="63">
        <f t="shared" si="158"/>
        <v>0</v>
      </c>
      <c r="AR62" s="63">
        <f t="shared" si="158"/>
        <v>-771902.82000000007</v>
      </c>
      <c r="AS62" s="63">
        <f t="shared" si="158"/>
        <v>-771902.82000000007</v>
      </c>
      <c r="AT62" s="63">
        <f t="shared" si="158"/>
        <v>0</v>
      </c>
      <c r="AU62" s="63">
        <f t="shared" si="158"/>
        <v>0</v>
      </c>
      <c r="AV62" s="63">
        <f t="shared" si="158"/>
        <v>0</v>
      </c>
      <c r="AW62" s="63">
        <f t="shared" si="158"/>
        <v>-771902.82000000007</v>
      </c>
      <c r="AX62" s="63">
        <f t="shared" si="158"/>
        <v>-771902.82000000007</v>
      </c>
      <c r="AY62" s="63">
        <f t="shared" si="158"/>
        <v>0</v>
      </c>
      <c r="AZ62" s="63">
        <f t="shared" si="158"/>
        <v>0</v>
      </c>
      <c r="BA62" s="63">
        <f t="shared" si="158"/>
        <v>0</v>
      </c>
      <c r="BB62" s="63">
        <f t="shared" si="158"/>
        <v>-771902.82000000007</v>
      </c>
      <c r="BC62" s="63">
        <f t="shared" si="158"/>
        <v>-771902.82000000007</v>
      </c>
      <c r="BD62" s="63">
        <f t="shared" si="158"/>
        <v>0</v>
      </c>
      <c r="BE62" s="63">
        <f t="shared" si="158"/>
        <v>0</v>
      </c>
      <c r="BF62" s="63">
        <f t="shared" si="158"/>
        <v>0</v>
      </c>
      <c r="BG62" s="63">
        <f t="shared" si="158"/>
        <v>-771902.82000000007</v>
      </c>
      <c r="BH62" s="63">
        <f t="shared" si="158"/>
        <v>-771902.82000000007</v>
      </c>
      <c r="BI62" s="63">
        <f t="shared" si="158"/>
        <v>0</v>
      </c>
      <c r="BJ62" s="63">
        <f t="shared" si="158"/>
        <v>0</v>
      </c>
      <c r="BK62" s="63">
        <f t="shared" si="158"/>
        <v>0</v>
      </c>
      <c r="BL62" s="63">
        <f t="shared" si="158"/>
        <v>-771902.82000000007</v>
      </c>
      <c r="BM62" s="63">
        <f t="shared" si="158"/>
        <v>-771902.82000000007</v>
      </c>
      <c r="BN62" s="63">
        <f t="shared" si="158"/>
        <v>0</v>
      </c>
      <c r="BO62" s="63">
        <f t="shared" si="158"/>
        <v>0</v>
      </c>
      <c r="BP62" s="63">
        <f t="shared" si="158"/>
        <v>0</v>
      </c>
      <c r="BQ62" s="63">
        <f t="shared" si="158"/>
        <v>-771902.82000000007</v>
      </c>
      <c r="BR62" s="63">
        <f t="shared" ref="BR62:CA62" si="159">SUM(BR61)</f>
        <v>-771902.82000000007</v>
      </c>
      <c r="BS62" s="63">
        <f t="shared" si="159"/>
        <v>0</v>
      </c>
      <c r="BT62" s="63">
        <f t="shared" si="159"/>
        <v>0</v>
      </c>
      <c r="BU62" s="63">
        <f t="shared" si="159"/>
        <v>0</v>
      </c>
      <c r="BV62" s="63">
        <f t="shared" si="159"/>
        <v>-771902.82000000007</v>
      </c>
      <c r="BW62" s="63">
        <f t="shared" si="159"/>
        <v>-771902.82000000007</v>
      </c>
      <c r="BX62" s="63">
        <f t="shared" si="159"/>
        <v>0</v>
      </c>
      <c r="BY62" s="63">
        <f t="shared" si="159"/>
        <v>0</v>
      </c>
      <c r="BZ62" s="63">
        <f t="shared" si="159"/>
        <v>0</v>
      </c>
      <c r="CA62" s="63">
        <f t="shared" si="159"/>
        <v>-771902.82000000007</v>
      </c>
      <c r="CD62" s="63">
        <f t="shared" ref="CD62:DI62" si="160">SUM(CD61)</f>
        <v>-771902.82000000007</v>
      </c>
      <c r="CE62" s="65">
        <f t="shared" si="160"/>
        <v>0</v>
      </c>
      <c r="CF62" s="65">
        <f t="shared" si="160"/>
        <v>0</v>
      </c>
      <c r="CG62" s="65">
        <f t="shared" si="160"/>
        <v>0</v>
      </c>
      <c r="CH62" s="65">
        <f t="shared" si="160"/>
        <v>-771902.82000000007</v>
      </c>
      <c r="CI62" s="65">
        <f t="shared" si="160"/>
        <v>-771902.82000000007</v>
      </c>
      <c r="CJ62" s="65">
        <f t="shared" si="160"/>
        <v>0</v>
      </c>
      <c r="CK62" s="65">
        <f t="shared" si="160"/>
        <v>0</v>
      </c>
      <c r="CL62" s="65">
        <f t="shared" si="160"/>
        <v>0</v>
      </c>
      <c r="CM62" s="65">
        <f t="shared" si="160"/>
        <v>-771902.82000000007</v>
      </c>
      <c r="CN62" s="65">
        <f t="shared" si="160"/>
        <v>-771902.82000000007</v>
      </c>
      <c r="CO62" s="65">
        <f t="shared" si="160"/>
        <v>0</v>
      </c>
      <c r="CP62" s="65">
        <f t="shared" si="160"/>
        <v>0</v>
      </c>
      <c r="CQ62" s="65">
        <f t="shared" si="160"/>
        <v>0</v>
      </c>
      <c r="CR62" s="65">
        <f t="shared" si="160"/>
        <v>-771902.82000000007</v>
      </c>
      <c r="CS62" s="65">
        <f t="shared" si="160"/>
        <v>-771902.82000000007</v>
      </c>
      <c r="CT62" s="65">
        <f t="shared" si="160"/>
        <v>0</v>
      </c>
      <c r="CU62" s="65">
        <f t="shared" si="160"/>
        <v>0</v>
      </c>
      <c r="CV62" s="65">
        <f t="shared" si="160"/>
        <v>0</v>
      </c>
      <c r="CW62" s="65">
        <f t="shared" si="160"/>
        <v>-771902.82000000007</v>
      </c>
      <c r="CX62" s="65">
        <f t="shared" si="160"/>
        <v>-771902.82000000007</v>
      </c>
      <c r="CY62" s="65">
        <f t="shared" si="160"/>
        <v>0</v>
      </c>
      <c r="CZ62" s="65">
        <f t="shared" si="160"/>
        <v>0</v>
      </c>
      <c r="DA62" s="65">
        <f t="shared" si="160"/>
        <v>0</v>
      </c>
      <c r="DB62" s="65">
        <f t="shared" si="160"/>
        <v>-771902.82000000007</v>
      </c>
      <c r="DC62" s="65">
        <f t="shared" si="160"/>
        <v>-771902.82000000007</v>
      </c>
      <c r="DD62" s="65">
        <f t="shared" si="160"/>
        <v>0</v>
      </c>
      <c r="DE62" s="65">
        <f t="shared" si="160"/>
        <v>0</v>
      </c>
      <c r="DF62" s="65">
        <f t="shared" si="160"/>
        <v>0</v>
      </c>
      <c r="DG62" s="65">
        <f t="shared" si="160"/>
        <v>-771902.82000000007</v>
      </c>
      <c r="DH62" s="65">
        <f t="shared" si="160"/>
        <v>-771902.82000000007</v>
      </c>
      <c r="DI62" s="65">
        <f t="shared" si="160"/>
        <v>0</v>
      </c>
      <c r="DJ62" s="65">
        <f t="shared" ref="DJ62:EO62" si="161">SUM(DJ61)</f>
        <v>0</v>
      </c>
      <c r="DK62" s="65">
        <f t="shared" si="161"/>
        <v>0</v>
      </c>
      <c r="DL62" s="65">
        <f t="shared" si="161"/>
        <v>-771902.82000000007</v>
      </c>
      <c r="DM62" s="65">
        <f t="shared" si="161"/>
        <v>-771902.82000000007</v>
      </c>
      <c r="DN62" s="65">
        <f t="shared" si="161"/>
        <v>0</v>
      </c>
      <c r="DO62" s="65">
        <f t="shared" si="161"/>
        <v>0</v>
      </c>
      <c r="DP62" s="65">
        <f t="shared" si="161"/>
        <v>0</v>
      </c>
      <c r="DQ62" s="65">
        <f t="shared" si="161"/>
        <v>-771902.82000000007</v>
      </c>
      <c r="DR62" s="65">
        <f t="shared" si="161"/>
        <v>-771902.82000000007</v>
      </c>
      <c r="DS62" s="65">
        <f t="shared" si="161"/>
        <v>0</v>
      </c>
      <c r="DT62" s="65">
        <f t="shared" si="161"/>
        <v>0</v>
      </c>
      <c r="DU62" s="65">
        <f t="shared" si="161"/>
        <v>0</v>
      </c>
      <c r="DV62" s="65">
        <f t="shared" si="161"/>
        <v>-771902.82000000007</v>
      </c>
      <c r="DW62" s="65">
        <f t="shared" si="161"/>
        <v>-771902.82000000007</v>
      </c>
      <c r="DX62" s="65">
        <f t="shared" si="161"/>
        <v>0</v>
      </c>
      <c r="DY62" s="65">
        <f t="shared" si="161"/>
        <v>0</v>
      </c>
      <c r="DZ62" s="65">
        <f t="shared" si="161"/>
        <v>0</v>
      </c>
      <c r="EA62" s="65">
        <f t="shared" si="161"/>
        <v>-771902.82000000007</v>
      </c>
      <c r="EB62" s="65">
        <f t="shared" si="161"/>
        <v>-771902.82000000007</v>
      </c>
      <c r="EC62" s="65">
        <f t="shared" si="161"/>
        <v>0</v>
      </c>
      <c r="ED62" s="65">
        <f t="shared" si="161"/>
        <v>0</v>
      </c>
      <c r="EE62" s="65">
        <f t="shared" si="161"/>
        <v>0</v>
      </c>
      <c r="EF62" s="65">
        <f t="shared" si="161"/>
        <v>-771902.82000000007</v>
      </c>
      <c r="EG62" s="65">
        <f t="shared" si="161"/>
        <v>-771902.82000000007</v>
      </c>
      <c r="EH62" s="65">
        <f t="shared" si="161"/>
        <v>0</v>
      </c>
      <c r="EI62" s="65">
        <f t="shared" si="161"/>
        <v>0</v>
      </c>
      <c r="EJ62" s="65">
        <f t="shared" si="161"/>
        <v>0</v>
      </c>
      <c r="EK62" s="65">
        <f t="shared" si="161"/>
        <v>-771902.82000000007</v>
      </c>
      <c r="EL62" s="65">
        <f t="shared" si="161"/>
        <v>-771902.82000000007</v>
      </c>
      <c r="EM62" s="65">
        <f t="shared" si="161"/>
        <v>0</v>
      </c>
      <c r="EN62" s="65">
        <f t="shared" si="161"/>
        <v>0</v>
      </c>
      <c r="EO62" s="65">
        <f t="shared" si="161"/>
        <v>0</v>
      </c>
      <c r="EP62" s="65">
        <f t="shared" ref="EP62:FU62" si="162">SUM(EP61)</f>
        <v>-771902.82000000007</v>
      </c>
      <c r="EQ62" s="65">
        <f t="shared" si="162"/>
        <v>-771902.82000000007</v>
      </c>
      <c r="ER62" s="65">
        <f t="shared" si="162"/>
        <v>0</v>
      </c>
      <c r="ES62" s="65">
        <f t="shared" si="162"/>
        <v>0</v>
      </c>
      <c r="ET62" s="65">
        <f t="shared" si="162"/>
        <v>0</v>
      </c>
      <c r="EU62" s="65">
        <f t="shared" si="162"/>
        <v>-771902.82000000007</v>
      </c>
      <c r="EV62" s="65">
        <f t="shared" si="162"/>
        <v>-771902.82000000007</v>
      </c>
      <c r="EW62" s="65">
        <f t="shared" si="162"/>
        <v>0</v>
      </c>
      <c r="EX62" s="65">
        <f t="shared" si="162"/>
        <v>0</v>
      </c>
      <c r="EY62" s="65">
        <f t="shared" si="162"/>
        <v>0</v>
      </c>
      <c r="EZ62" s="65">
        <f t="shared" si="162"/>
        <v>-771902.82000000007</v>
      </c>
      <c r="FA62" s="65">
        <f t="shared" si="162"/>
        <v>-771902.82000000007</v>
      </c>
      <c r="FB62" s="65">
        <f t="shared" si="162"/>
        <v>0</v>
      </c>
      <c r="FC62" s="65">
        <f t="shared" si="162"/>
        <v>0</v>
      </c>
      <c r="FD62" s="65">
        <f t="shared" si="162"/>
        <v>0</v>
      </c>
      <c r="FE62" s="65">
        <f t="shared" si="162"/>
        <v>-771902.82000000007</v>
      </c>
      <c r="FF62" s="65">
        <f t="shared" si="162"/>
        <v>-771902.82000000007</v>
      </c>
      <c r="FG62" s="65">
        <f t="shared" si="162"/>
        <v>0</v>
      </c>
      <c r="FH62" s="65">
        <f t="shared" si="162"/>
        <v>0</v>
      </c>
      <c r="FI62" s="65">
        <f t="shared" si="162"/>
        <v>0</v>
      </c>
      <c r="FJ62" s="65">
        <f t="shared" si="162"/>
        <v>-771902.82000000007</v>
      </c>
      <c r="FK62" s="65">
        <f t="shared" si="162"/>
        <v>-771902.82000000007</v>
      </c>
      <c r="FL62" s="65">
        <f t="shared" si="162"/>
        <v>0</v>
      </c>
      <c r="FM62" s="65">
        <f t="shared" si="162"/>
        <v>0</v>
      </c>
      <c r="FN62" s="65">
        <f t="shared" si="162"/>
        <v>0</v>
      </c>
      <c r="FO62" s="65">
        <f t="shared" si="162"/>
        <v>-771902.82000000007</v>
      </c>
      <c r="FP62" s="65">
        <f t="shared" si="162"/>
        <v>-771902.82000000007</v>
      </c>
      <c r="FQ62" s="65">
        <f t="shared" si="162"/>
        <v>0</v>
      </c>
      <c r="FR62" s="65">
        <f t="shared" si="162"/>
        <v>0</v>
      </c>
      <c r="FS62" s="65">
        <f t="shared" si="162"/>
        <v>0</v>
      </c>
      <c r="FT62" s="65">
        <f t="shared" si="162"/>
        <v>-771902.82000000007</v>
      </c>
      <c r="FU62" s="65">
        <f t="shared" si="162"/>
        <v>-771902.82000000007</v>
      </c>
      <c r="FV62" s="65">
        <f t="shared" ref="FV62:GI62" si="163">SUM(FV61)</f>
        <v>0</v>
      </c>
      <c r="FW62" s="65">
        <f t="shared" si="163"/>
        <v>0</v>
      </c>
      <c r="FX62" s="65">
        <f t="shared" si="163"/>
        <v>0</v>
      </c>
      <c r="FY62" s="65">
        <f t="shared" si="163"/>
        <v>-771902.82000000007</v>
      </c>
      <c r="FZ62" s="65">
        <f t="shared" si="163"/>
        <v>-771902.82000000007</v>
      </c>
      <c r="GA62" s="65">
        <f t="shared" si="163"/>
        <v>0</v>
      </c>
      <c r="GB62" s="65">
        <f t="shared" si="163"/>
        <v>0</v>
      </c>
      <c r="GC62" s="65">
        <f t="shared" si="163"/>
        <v>0</v>
      </c>
      <c r="GD62" s="65">
        <f t="shared" si="163"/>
        <v>-771902.82000000007</v>
      </c>
      <c r="GE62" s="65">
        <f t="shared" si="163"/>
        <v>-771902.82000000007</v>
      </c>
      <c r="GF62" s="65">
        <f t="shared" si="163"/>
        <v>0</v>
      </c>
      <c r="GG62" s="65">
        <f t="shared" si="163"/>
        <v>0</v>
      </c>
      <c r="GH62" s="65">
        <f t="shared" si="163"/>
        <v>0</v>
      </c>
      <c r="GI62" s="65">
        <f t="shared" si="163"/>
        <v>-771902.82000000007</v>
      </c>
      <c r="GJ62" s="66"/>
    </row>
    <row r="63" spans="1:192" s="41" customFormat="1">
      <c r="A63" s="80" t="s">
        <v>1690</v>
      </c>
      <c r="B63" s="81"/>
      <c r="C63" s="80"/>
      <c r="D63" s="82">
        <f>D12+D14+D45+D60+D62</f>
        <v>718244952.80000007</v>
      </c>
      <c r="E63" s="82">
        <f>E12+E14+E45+E60+E62</f>
        <v>718244952.80000007</v>
      </c>
      <c r="F63" s="82">
        <f t="shared" ref="F63:BQ63" si="164">F12+F14+F45+F60+F62</f>
        <v>2825328.2100000009</v>
      </c>
      <c r="G63" s="82">
        <f t="shared" si="164"/>
        <v>-616579.65</v>
      </c>
      <c r="H63" s="82">
        <f t="shared" si="164"/>
        <v>0</v>
      </c>
      <c r="I63" s="82">
        <f t="shared" si="164"/>
        <v>720453701.36000001</v>
      </c>
      <c r="J63" s="82">
        <f t="shared" si="164"/>
        <v>720453701.36000001</v>
      </c>
      <c r="K63" s="82">
        <f t="shared" si="164"/>
        <v>5473399.0599999996</v>
      </c>
      <c r="L63" s="82">
        <f t="shared" si="164"/>
        <v>-314943.48000000004</v>
      </c>
      <c r="M63" s="82">
        <f t="shared" si="164"/>
        <v>0</v>
      </c>
      <c r="N63" s="82">
        <f t="shared" si="164"/>
        <v>725612156.9400003</v>
      </c>
      <c r="O63" s="82">
        <f t="shared" si="164"/>
        <v>725612156.9400003</v>
      </c>
      <c r="P63" s="82">
        <f t="shared" si="164"/>
        <v>6602310.2999999989</v>
      </c>
      <c r="Q63" s="82">
        <f t="shared" si="164"/>
        <v>-501294.91</v>
      </c>
      <c r="R63" s="82">
        <f t="shared" si="164"/>
        <v>0</v>
      </c>
      <c r="S63" s="82">
        <f t="shared" si="164"/>
        <v>731713172.33000016</v>
      </c>
      <c r="T63" s="82">
        <f t="shared" si="164"/>
        <v>731713172.33000016</v>
      </c>
      <c r="U63" s="82">
        <f t="shared" si="164"/>
        <v>3451379.0100000012</v>
      </c>
      <c r="V63" s="82">
        <f t="shared" si="164"/>
        <v>-3796085.83</v>
      </c>
      <c r="W63" s="82">
        <f t="shared" si="164"/>
        <v>0</v>
      </c>
      <c r="X63" s="82">
        <f t="shared" si="164"/>
        <v>731368465.51000011</v>
      </c>
      <c r="Y63" s="82">
        <f t="shared" si="164"/>
        <v>731368465.51000011</v>
      </c>
      <c r="Z63" s="82">
        <f t="shared" si="164"/>
        <v>8813436.3299999982</v>
      </c>
      <c r="AA63" s="82">
        <f t="shared" si="164"/>
        <v>-936963.92</v>
      </c>
      <c r="AB63" s="82">
        <f t="shared" si="164"/>
        <v>0</v>
      </c>
      <c r="AC63" s="82">
        <f t="shared" si="164"/>
        <v>739244937.91999984</v>
      </c>
      <c r="AD63" s="82">
        <f t="shared" si="164"/>
        <v>739244937.91999984</v>
      </c>
      <c r="AE63" s="82">
        <f t="shared" si="164"/>
        <v>6442198.7700000005</v>
      </c>
      <c r="AF63" s="82">
        <f t="shared" si="164"/>
        <v>-841224.1</v>
      </c>
      <c r="AG63" s="82">
        <f t="shared" si="164"/>
        <v>0</v>
      </c>
      <c r="AH63" s="82">
        <f t="shared" si="164"/>
        <v>744845912.59000003</v>
      </c>
      <c r="AI63" s="82">
        <f t="shared" si="164"/>
        <v>744845912.59000003</v>
      </c>
      <c r="AJ63" s="82">
        <f t="shared" si="164"/>
        <v>5539110.2800000003</v>
      </c>
      <c r="AK63" s="82">
        <f t="shared" si="164"/>
        <v>-637118.44000000006</v>
      </c>
      <c r="AL63" s="82">
        <f t="shared" si="164"/>
        <v>0</v>
      </c>
      <c r="AM63" s="82">
        <f t="shared" si="164"/>
        <v>749747904.42999995</v>
      </c>
      <c r="AN63" s="82">
        <f t="shared" si="164"/>
        <v>749747904.42999995</v>
      </c>
      <c r="AO63" s="82">
        <f t="shared" si="164"/>
        <v>5294405.5600000005</v>
      </c>
      <c r="AP63" s="82">
        <f t="shared" si="164"/>
        <v>-392640.00000000006</v>
      </c>
      <c r="AQ63" s="82">
        <f t="shared" si="164"/>
        <v>0</v>
      </c>
      <c r="AR63" s="82">
        <f t="shared" si="164"/>
        <v>754649669.99000001</v>
      </c>
      <c r="AS63" s="82">
        <f t="shared" si="164"/>
        <v>754649669.99000001</v>
      </c>
      <c r="AT63" s="82">
        <f t="shared" si="164"/>
        <v>9596644.9400000032</v>
      </c>
      <c r="AU63" s="82">
        <f t="shared" si="164"/>
        <v>-992493.44000000018</v>
      </c>
      <c r="AV63" s="82">
        <f t="shared" si="164"/>
        <v>0</v>
      </c>
      <c r="AW63" s="82">
        <f t="shared" si="164"/>
        <v>763253821.49000001</v>
      </c>
      <c r="AX63" s="82">
        <f t="shared" si="164"/>
        <v>763253821.49000001</v>
      </c>
      <c r="AY63" s="82">
        <f t="shared" si="164"/>
        <v>7694245.5099999998</v>
      </c>
      <c r="AZ63" s="82">
        <f t="shared" si="164"/>
        <v>-364906.89999999997</v>
      </c>
      <c r="BA63" s="82">
        <f t="shared" si="164"/>
        <v>0</v>
      </c>
      <c r="BB63" s="82">
        <f t="shared" si="164"/>
        <v>770583160.0999999</v>
      </c>
      <c r="BC63" s="82">
        <f t="shared" si="164"/>
        <v>770583160.0999999</v>
      </c>
      <c r="BD63" s="82">
        <f t="shared" si="164"/>
        <v>7000382.1600000001</v>
      </c>
      <c r="BE63" s="82">
        <f t="shared" si="164"/>
        <v>-710779.49</v>
      </c>
      <c r="BF63" s="82">
        <f t="shared" si="164"/>
        <v>0</v>
      </c>
      <c r="BG63" s="82">
        <f t="shared" si="164"/>
        <v>776872762.76999998</v>
      </c>
      <c r="BH63" s="82">
        <f t="shared" si="164"/>
        <v>776872762.76999998</v>
      </c>
      <c r="BI63" s="82">
        <f t="shared" si="164"/>
        <v>9301917.8100000005</v>
      </c>
      <c r="BJ63" s="82">
        <f t="shared" si="164"/>
        <v>-1216347.5599999998</v>
      </c>
      <c r="BK63" s="82">
        <f t="shared" si="164"/>
        <v>0</v>
      </c>
      <c r="BL63" s="82">
        <f t="shared" si="164"/>
        <v>784958333.01999998</v>
      </c>
      <c r="BM63" s="82">
        <f t="shared" si="164"/>
        <v>784958333.01999998</v>
      </c>
      <c r="BN63" s="82">
        <f t="shared" si="164"/>
        <v>2567082.5000000005</v>
      </c>
      <c r="BO63" s="82">
        <f t="shared" si="164"/>
        <v>-696638.12</v>
      </c>
      <c r="BP63" s="82">
        <f t="shared" si="164"/>
        <v>0</v>
      </c>
      <c r="BQ63" s="82">
        <f t="shared" si="164"/>
        <v>786828777.4000001</v>
      </c>
      <c r="BR63" s="82">
        <f t="shared" ref="BR63:CA63" si="165">BR12+BR14+BR45+BR60+BR62</f>
        <v>786828777.4000001</v>
      </c>
      <c r="BS63" s="82">
        <f t="shared" si="165"/>
        <v>3462412.8199999994</v>
      </c>
      <c r="BT63" s="82">
        <f t="shared" si="165"/>
        <v>-325505.97000000003</v>
      </c>
      <c r="BU63" s="82">
        <f t="shared" si="165"/>
        <v>0</v>
      </c>
      <c r="BV63" s="82">
        <f t="shared" si="165"/>
        <v>789965684.24999988</v>
      </c>
      <c r="BW63" s="82">
        <f t="shared" si="165"/>
        <v>789965684.24999988</v>
      </c>
      <c r="BX63" s="82">
        <f t="shared" si="165"/>
        <v>5044253.7699999986</v>
      </c>
      <c r="BY63" s="82">
        <f t="shared" si="165"/>
        <v>-607877.47</v>
      </c>
      <c r="BZ63" s="82">
        <f t="shared" si="165"/>
        <v>0</v>
      </c>
      <c r="CA63" s="82">
        <f t="shared" si="165"/>
        <v>794402060.55000007</v>
      </c>
      <c r="CD63" s="82">
        <f t="shared" ref="CD63:DI63" si="166">CD12+CD14+CD45+CD60+CD62</f>
        <v>789965684.24999988</v>
      </c>
      <c r="CE63" s="83">
        <f t="shared" si="166"/>
        <v>5968967.2679451182</v>
      </c>
      <c r="CF63" s="83">
        <f t="shared" si="166"/>
        <v>-1129135.6600000001</v>
      </c>
      <c r="CG63" s="83">
        <f t="shared" si="166"/>
        <v>0</v>
      </c>
      <c r="CH63" s="83">
        <f t="shared" si="166"/>
        <v>794805515.85794485</v>
      </c>
      <c r="CI63" s="83">
        <f t="shared" si="166"/>
        <v>794805515.85794485</v>
      </c>
      <c r="CJ63" s="83">
        <f t="shared" si="166"/>
        <v>4141296.4873746643</v>
      </c>
      <c r="CK63" s="83">
        <f t="shared" si="166"/>
        <v>-3130864.38</v>
      </c>
      <c r="CL63" s="83">
        <f t="shared" si="166"/>
        <v>0</v>
      </c>
      <c r="CM63" s="83">
        <f t="shared" si="166"/>
        <v>795815947.96531975</v>
      </c>
      <c r="CN63" s="83">
        <f t="shared" si="166"/>
        <v>795815947.96531975</v>
      </c>
      <c r="CO63" s="83">
        <f t="shared" si="166"/>
        <v>6053971.7388111101</v>
      </c>
      <c r="CP63" s="83">
        <f t="shared" si="166"/>
        <v>-760769.54999999993</v>
      </c>
      <c r="CQ63" s="83">
        <f t="shared" si="166"/>
        <v>0</v>
      </c>
      <c r="CR63" s="83">
        <f t="shared" si="166"/>
        <v>801109150.15413105</v>
      </c>
      <c r="CS63" s="83">
        <f t="shared" si="166"/>
        <v>801109150.15413105</v>
      </c>
      <c r="CT63" s="83">
        <f t="shared" si="166"/>
        <v>5202887.6971743107</v>
      </c>
      <c r="CU63" s="83">
        <f t="shared" si="166"/>
        <v>-962988.67999999993</v>
      </c>
      <c r="CV63" s="83">
        <f t="shared" si="166"/>
        <v>0</v>
      </c>
      <c r="CW63" s="83">
        <f t="shared" si="166"/>
        <v>805349049.17130506</v>
      </c>
      <c r="CX63" s="83">
        <f t="shared" si="166"/>
        <v>805349049.17130506</v>
      </c>
      <c r="CY63" s="83">
        <f t="shared" si="166"/>
        <v>5418277.445302031</v>
      </c>
      <c r="CZ63" s="83">
        <f t="shared" si="166"/>
        <v>-1045958.7300000002</v>
      </c>
      <c r="DA63" s="83">
        <f t="shared" si="166"/>
        <v>0</v>
      </c>
      <c r="DB63" s="83">
        <f t="shared" si="166"/>
        <v>809721367.88660741</v>
      </c>
      <c r="DC63" s="83">
        <f t="shared" si="166"/>
        <v>809721367.88660741</v>
      </c>
      <c r="DD63" s="83">
        <f t="shared" si="166"/>
        <v>4206718.3602031386</v>
      </c>
      <c r="DE63" s="83">
        <f t="shared" si="166"/>
        <v>-564768.85000000009</v>
      </c>
      <c r="DF63" s="83">
        <f t="shared" si="166"/>
        <v>0</v>
      </c>
      <c r="DG63" s="83">
        <f t="shared" si="166"/>
        <v>813363317.39681029</v>
      </c>
      <c r="DH63" s="83">
        <f t="shared" si="166"/>
        <v>813363317.39681029</v>
      </c>
      <c r="DI63" s="83">
        <f t="shared" si="166"/>
        <v>6300056.0255192956</v>
      </c>
      <c r="DJ63" s="83">
        <f t="shared" ref="DJ63:EO63" si="167">DJ12+DJ14+DJ45+DJ60+DJ62</f>
        <v>-731883.30999999994</v>
      </c>
      <c r="DK63" s="83">
        <f t="shared" si="167"/>
        <v>0</v>
      </c>
      <c r="DL63" s="83">
        <f t="shared" si="167"/>
        <v>818931490.1123296</v>
      </c>
      <c r="DM63" s="83">
        <f t="shared" si="167"/>
        <v>818931490.1123296</v>
      </c>
      <c r="DN63" s="83">
        <f t="shared" si="167"/>
        <v>7257582.8822039049</v>
      </c>
      <c r="DO63" s="83">
        <f t="shared" si="167"/>
        <v>-777488.78</v>
      </c>
      <c r="DP63" s="83">
        <f t="shared" si="167"/>
        <v>0</v>
      </c>
      <c r="DQ63" s="83">
        <f t="shared" si="167"/>
        <v>825411584.21453369</v>
      </c>
      <c r="DR63" s="83">
        <f t="shared" si="167"/>
        <v>825411584.21453369</v>
      </c>
      <c r="DS63" s="83">
        <f t="shared" si="167"/>
        <v>5843871.2104320908</v>
      </c>
      <c r="DT63" s="83">
        <f t="shared" si="167"/>
        <v>-1634321.0399999996</v>
      </c>
      <c r="DU63" s="83">
        <f t="shared" si="167"/>
        <v>0</v>
      </c>
      <c r="DV63" s="83">
        <f t="shared" si="167"/>
        <v>829621134.38496554</v>
      </c>
      <c r="DW63" s="83">
        <f t="shared" si="167"/>
        <v>829621134.38496554</v>
      </c>
      <c r="DX63" s="83">
        <f t="shared" si="167"/>
        <v>9242121.7875845265</v>
      </c>
      <c r="DY63" s="83">
        <f t="shared" si="167"/>
        <v>-1155854.21</v>
      </c>
      <c r="DZ63" s="83">
        <f t="shared" si="167"/>
        <v>0</v>
      </c>
      <c r="EA63" s="83">
        <f t="shared" si="167"/>
        <v>837707401.96255028</v>
      </c>
      <c r="EB63" s="83">
        <f t="shared" si="167"/>
        <v>837707401.96255028</v>
      </c>
      <c r="EC63" s="83">
        <f t="shared" si="167"/>
        <v>3715988.3099658741</v>
      </c>
      <c r="ED63" s="83">
        <f t="shared" si="167"/>
        <v>-1187190.0300000003</v>
      </c>
      <c r="EE63" s="83">
        <f t="shared" si="167"/>
        <v>0</v>
      </c>
      <c r="EF63" s="83">
        <f t="shared" si="167"/>
        <v>840236200.24251592</v>
      </c>
      <c r="EG63" s="83">
        <f t="shared" si="167"/>
        <v>840236200.24251592</v>
      </c>
      <c r="EH63" s="83">
        <f t="shared" si="167"/>
        <v>2668437.1192533723</v>
      </c>
      <c r="EI63" s="83">
        <f t="shared" si="167"/>
        <v>-497809.51000000007</v>
      </c>
      <c r="EJ63" s="83">
        <f t="shared" si="167"/>
        <v>0</v>
      </c>
      <c r="EK63" s="83">
        <f t="shared" si="167"/>
        <v>842406827.85176945</v>
      </c>
      <c r="EL63" s="83">
        <f t="shared" si="167"/>
        <v>842406827.85176945</v>
      </c>
      <c r="EM63" s="83">
        <f t="shared" si="167"/>
        <v>4034593.5004285811</v>
      </c>
      <c r="EN63" s="83">
        <f t="shared" si="167"/>
        <v>-694103.42000000016</v>
      </c>
      <c r="EO63" s="83">
        <f t="shared" si="167"/>
        <v>0</v>
      </c>
      <c r="EP63" s="83">
        <f t="shared" ref="EP63:FU63" si="168">EP12+EP14+EP45+EP60+EP62</f>
        <v>845747317.93219805</v>
      </c>
      <c r="EQ63" s="83">
        <f t="shared" si="168"/>
        <v>845747317.93219805</v>
      </c>
      <c r="ER63" s="83">
        <f t="shared" si="168"/>
        <v>7934945.1871722806</v>
      </c>
      <c r="ES63" s="83">
        <f t="shared" si="168"/>
        <v>-1289645.9700000002</v>
      </c>
      <c r="ET63" s="83">
        <f t="shared" si="168"/>
        <v>0</v>
      </c>
      <c r="EU63" s="83">
        <f t="shared" si="168"/>
        <v>852392617.14937031</v>
      </c>
      <c r="EV63" s="83">
        <f t="shared" si="168"/>
        <v>852392617.14937031</v>
      </c>
      <c r="EW63" s="83">
        <f t="shared" si="168"/>
        <v>7019948.0441558985</v>
      </c>
      <c r="EX63" s="83">
        <f t="shared" si="168"/>
        <v>-1118817.26</v>
      </c>
      <c r="EY63" s="83">
        <f t="shared" si="168"/>
        <v>0</v>
      </c>
      <c r="EZ63" s="83">
        <f t="shared" si="168"/>
        <v>858293747.93352604</v>
      </c>
      <c r="FA63" s="83">
        <f t="shared" si="168"/>
        <v>858293747.93352604</v>
      </c>
      <c r="FB63" s="83">
        <f t="shared" si="168"/>
        <v>5095119.2771869963</v>
      </c>
      <c r="FC63" s="83">
        <f t="shared" si="168"/>
        <v>-774349.74000000011</v>
      </c>
      <c r="FD63" s="83">
        <f t="shared" si="168"/>
        <v>0</v>
      </c>
      <c r="FE63" s="83">
        <f t="shared" si="168"/>
        <v>862614517.47071314</v>
      </c>
      <c r="FF63" s="83">
        <f t="shared" si="168"/>
        <v>862614517.47071314</v>
      </c>
      <c r="FG63" s="83">
        <f t="shared" si="168"/>
        <v>4947765.5363032734</v>
      </c>
      <c r="FH63" s="83">
        <f t="shared" si="168"/>
        <v>-694139.13</v>
      </c>
      <c r="FI63" s="83">
        <f t="shared" si="168"/>
        <v>0</v>
      </c>
      <c r="FJ63" s="83">
        <f t="shared" si="168"/>
        <v>866868143.87701631</v>
      </c>
      <c r="FK63" s="83">
        <f t="shared" si="168"/>
        <v>866868143.87701631</v>
      </c>
      <c r="FL63" s="83">
        <f t="shared" si="168"/>
        <v>3753700.9367152834</v>
      </c>
      <c r="FM63" s="83">
        <f t="shared" si="168"/>
        <v>-654280.75000000012</v>
      </c>
      <c r="FN63" s="83">
        <f t="shared" si="168"/>
        <v>0</v>
      </c>
      <c r="FO63" s="83">
        <f t="shared" si="168"/>
        <v>869967564.06373179</v>
      </c>
      <c r="FP63" s="83">
        <f t="shared" si="168"/>
        <v>869967564.06373179</v>
      </c>
      <c r="FQ63" s="83">
        <f t="shared" si="168"/>
        <v>5902867.8446671432</v>
      </c>
      <c r="FR63" s="83">
        <f t="shared" si="168"/>
        <v>-860700.68</v>
      </c>
      <c r="FS63" s="83">
        <f t="shared" si="168"/>
        <v>0</v>
      </c>
      <c r="FT63" s="83">
        <f t="shared" si="168"/>
        <v>875009731.22839868</v>
      </c>
      <c r="FU63" s="83">
        <f t="shared" si="168"/>
        <v>875009731.22839868</v>
      </c>
      <c r="FV63" s="83">
        <f t="shared" ref="FV63:GI63" si="169">FV12+FV14+FV45+FV60+FV62</f>
        <v>6237094.3364691408</v>
      </c>
      <c r="FW63" s="83">
        <f t="shared" si="169"/>
        <v>-828867.54999999993</v>
      </c>
      <c r="FX63" s="83">
        <f t="shared" si="169"/>
        <v>0</v>
      </c>
      <c r="FY63" s="83">
        <f t="shared" si="169"/>
        <v>880417958.01486778</v>
      </c>
      <c r="FZ63" s="83">
        <f t="shared" si="169"/>
        <v>880417958.01486778</v>
      </c>
      <c r="GA63" s="83">
        <f t="shared" si="169"/>
        <v>5368030.9194391472</v>
      </c>
      <c r="GB63" s="83">
        <f t="shared" si="169"/>
        <v>-1592548.4000000001</v>
      </c>
      <c r="GC63" s="83">
        <f t="shared" si="169"/>
        <v>0</v>
      </c>
      <c r="GD63" s="83">
        <f t="shared" si="169"/>
        <v>884193440.53430712</v>
      </c>
      <c r="GE63" s="83">
        <f t="shared" si="169"/>
        <v>884193440.53430712</v>
      </c>
      <c r="GF63" s="83">
        <f t="shared" si="169"/>
        <v>12114724.829819785</v>
      </c>
      <c r="GG63" s="83">
        <f t="shared" si="169"/>
        <v>-1723842.15</v>
      </c>
      <c r="GH63" s="83">
        <f t="shared" si="169"/>
        <v>0</v>
      </c>
      <c r="GI63" s="83">
        <f t="shared" si="169"/>
        <v>894584323.21412706</v>
      </c>
      <c r="GJ63" s="66"/>
    </row>
    <row r="65" spans="2:191">
      <c r="B65" s="41" t="s">
        <v>1691</v>
      </c>
      <c r="CK65" s="59"/>
      <c r="ED65" s="59"/>
      <c r="EW65" s="59"/>
      <c r="EX65" s="59"/>
    </row>
    <row r="66" spans="2:191">
      <c r="B66" s="41" t="s">
        <v>659</v>
      </c>
      <c r="C66" s="41" t="s">
        <v>885</v>
      </c>
      <c r="EC66" s="59">
        <f>EC63</f>
        <v>3715988.3099658741</v>
      </c>
      <c r="ED66" s="59">
        <f>ED63</f>
        <v>-1187190.0300000003</v>
      </c>
      <c r="EH66" s="59">
        <f>EH63</f>
        <v>2668437.1192533723</v>
      </c>
      <c r="EI66" s="59">
        <f>EI63</f>
        <v>-497809.51000000007</v>
      </c>
      <c r="EM66" s="59">
        <f>EM63</f>
        <v>4034593.5004285811</v>
      </c>
      <c r="EN66" s="59">
        <f>EN63</f>
        <v>-694103.42000000016</v>
      </c>
      <c r="ER66" s="59">
        <f>ER63</f>
        <v>7934945.1871722806</v>
      </c>
      <c r="ES66" s="59">
        <f>ES63</f>
        <v>-1289645.9700000002</v>
      </c>
      <c r="EW66" s="59">
        <f>EW63</f>
        <v>7019948.0441558985</v>
      </c>
      <c r="EX66" s="59">
        <f>EX63</f>
        <v>-1118817.26</v>
      </c>
      <c r="FB66" s="59">
        <f>FB63</f>
        <v>5095119.2771869963</v>
      </c>
      <c r="FC66" s="59">
        <f>FC63</f>
        <v>-774349.74000000011</v>
      </c>
      <c r="FG66" s="59">
        <f>FG63</f>
        <v>4947765.5363032734</v>
      </c>
      <c r="FH66" s="59">
        <f>FH63</f>
        <v>-694139.13</v>
      </c>
      <c r="FL66" s="59">
        <f>FL63</f>
        <v>3753700.9367152834</v>
      </c>
      <c r="FM66" s="59">
        <f>FM63</f>
        <v>-654280.75000000012</v>
      </c>
      <c r="FQ66" s="59">
        <f>FQ63</f>
        <v>5902867.8446671432</v>
      </c>
      <c r="FR66" s="59">
        <f>FR63</f>
        <v>-860700.68</v>
      </c>
      <c r="FV66" s="59">
        <f>FV63</f>
        <v>6237094.3364691408</v>
      </c>
      <c r="FW66" s="59">
        <f>FW63</f>
        <v>-828867.54999999993</v>
      </c>
      <c r="GA66" s="59">
        <f>GA63</f>
        <v>5368030.9194391472</v>
      </c>
      <c r="GB66" s="59">
        <f>GB63</f>
        <v>-1592548.4000000001</v>
      </c>
      <c r="GF66" s="59">
        <f>GF63</f>
        <v>12114724.829819785</v>
      </c>
      <c r="GG66" s="59">
        <f>GG63</f>
        <v>-1723842.15</v>
      </c>
      <c r="GI66" s="59">
        <f>SUM(EC66:GG66)</f>
        <v>56876921.251576781</v>
      </c>
    </row>
    <row r="67" spans="2:191">
      <c r="B67" s="41" t="s">
        <v>1692</v>
      </c>
      <c r="C67" s="41" t="s">
        <v>1693</v>
      </c>
      <c r="D67" s="84">
        <v>623970195.91999996</v>
      </c>
      <c r="E67" s="64">
        <v>672131246.13999999</v>
      </c>
      <c r="I67" s="84">
        <f t="shared" ref="I67:I72" si="170">SUM(E67:H67)</f>
        <v>672131246.13999999</v>
      </c>
      <c r="J67" s="64">
        <f t="shared" ref="J67:J72" si="171">I67</f>
        <v>672131246.13999999</v>
      </c>
      <c r="K67" s="64"/>
      <c r="L67" s="64"/>
      <c r="M67" s="64"/>
      <c r="N67" s="84">
        <f t="shared" ref="N67:N72" si="172">SUM(J67:M67)</f>
        <v>672131246.13999999</v>
      </c>
      <c r="O67" s="64">
        <f t="shared" ref="O67:O72" si="173">N67</f>
        <v>672131246.13999999</v>
      </c>
      <c r="P67" s="64"/>
      <c r="Q67" s="64"/>
      <c r="R67" s="64"/>
      <c r="S67" s="84">
        <f t="shared" ref="S67:S72" si="174">SUM(O67:R67)</f>
        <v>672131246.13999999</v>
      </c>
      <c r="T67" s="64">
        <f t="shared" ref="T67:T72" si="175">S67</f>
        <v>672131246.13999999</v>
      </c>
      <c r="U67" s="64"/>
      <c r="V67" s="64"/>
      <c r="W67" s="64"/>
      <c r="X67" s="84">
        <f t="shared" ref="X67:X72" si="176">SUM(T67:W67)</f>
        <v>672131246.13999999</v>
      </c>
      <c r="Y67" s="64">
        <f t="shared" ref="Y67:Y72" si="177">X67</f>
        <v>672131246.13999999</v>
      </c>
      <c r="Z67" s="64"/>
      <c r="AA67" s="64"/>
      <c r="AB67" s="64"/>
      <c r="AC67" s="84">
        <f t="shared" ref="AC67:AC72" si="178">SUM(Y67:AB67)</f>
        <v>672131246.13999999</v>
      </c>
      <c r="AD67" s="64">
        <f t="shared" ref="AD67:AD72" si="179">AC67</f>
        <v>672131246.13999999</v>
      </c>
      <c r="AE67" s="64"/>
      <c r="AF67" s="64"/>
      <c r="AG67" s="64"/>
      <c r="AH67" s="84">
        <f t="shared" ref="AH67:AH72" si="180">SUM(AD67:AG67)</f>
        <v>672131246.13999999</v>
      </c>
      <c r="AI67" s="64">
        <f t="shared" ref="AI67:AI72" si="181">AH67</f>
        <v>672131246.13999999</v>
      </c>
      <c r="AJ67" s="64"/>
      <c r="AK67" s="64"/>
      <c r="AL67" s="64"/>
      <c r="AM67" s="84">
        <f t="shared" ref="AM67:AM72" si="182">SUM(AI67:AL67)</f>
        <v>672131246.13999999</v>
      </c>
      <c r="AN67" s="64">
        <f t="shared" ref="AN67:AN72" si="183">AM67</f>
        <v>672131246.13999999</v>
      </c>
      <c r="AO67" s="64"/>
      <c r="AP67" s="64"/>
      <c r="AQ67" s="64"/>
      <c r="AR67" s="84">
        <f t="shared" ref="AR67:AR72" si="184">SUM(AN67:AQ67)</f>
        <v>672131246.13999999</v>
      </c>
      <c r="AS67" s="64">
        <f t="shared" ref="AS67:AS72" si="185">AR67</f>
        <v>672131246.13999999</v>
      </c>
      <c r="AT67" s="64"/>
      <c r="AU67" s="64"/>
      <c r="AV67" s="64"/>
      <c r="AW67" s="84">
        <f t="shared" ref="AW67:AW72" si="186">SUM(AS67:AV67)</f>
        <v>672131246.13999999</v>
      </c>
      <c r="AX67" s="64">
        <f>AW67</f>
        <v>672131246.13999999</v>
      </c>
      <c r="BB67" s="84">
        <f t="shared" ref="BB67:BB72" si="187">SUM(AX67:BA67)</f>
        <v>672131246.13999999</v>
      </c>
      <c r="BC67" s="64">
        <f t="shared" ref="BC67:BC72" si="188">BB67</f>
        <v>672131246.13999999</v>
      </c>
      <c r="BG67" s="84">
        <f t="shared" ref="BG67:BG72" si="189">SUM(BC67:BF67)</f>
        <v>672131246.13999999</v>
      </c>
      <c r="BH67" s="64">
        <f t="shared" ref="BH67:BH72" si="190">BG67</f>
        <v>672131246.13999999</v>
      </c>
      <c r="BL67" s="84">
        <f t="shared" ref="BL67:BL72" si="191">SUM(BH67:BK67)</f>
        <v>672131246.13999999</v>
      </c>
      <c r="BM67" s="64">
        <f t="shared" ref="BM67:BM72" si="192">BL67</f>
        <v>672131246.13999999</v>
      </c>
      <c r="BQ67" s="84">
        <f t="shared" ref="BQ67:BQ72" si="193">SUM(BM67:BP67)</f>
        <v>672131246.13999999</v>
      </c>
      <c r="BR67" s="64">
        <f t="shared" ref="BR67:BR72" si="194">BQ67</f>
        <v>672131246.13999999</v>
      </c>
      <c r="BV67" s="84">
        <f t="shared" ref="BV67:BV72" si="195">SUM(BR67:BU67)</f>
        <v>672131246.13999999</v>
      </c>
      <c r="BW67" s="64">
        <f t="shared" ref="BW67:BW72" si="196">BV67</f>
        <v>672131246.13999999</v>
      </c>
      <c r="CA67" s="84">
        <f t="shared" ref="CA67:CA72" si="197">SUM(BW67:BZ67)</f>
        <v>672131246.13999999</v>
      </c>
      <c r="CD67" s="84">
        <f t="shared" ref="CD67:CD72" si="198">BV67</f>
        <v>672131246.13999999</v>
      </c>
    </row>
    <row r="68" spans="2:191">
      <c r="B68" s="41" t="s">
        <v>1694</v>
      </c>
      <c r="C68" s="41" t="s">
        <v>1695</v>
      </c>
      <c r="D68" s="84">
        <v>62216664.779999994</v>
      </c>
      <c r="E68" s="64">
        <v>0</v>
      </c>
      <c r="F68" s="64">
        <v>3268918.22</v>
      </c>
      <c r="G68" s="64"/>
      <c r="H68" s="64"/>
      <c r="I68" s="84">
        <f t="shared" si="170"/>
        <v>3268918.22</v>
      </c>
      <c r="J68" s="64">
        <f t="shared" si="171"/>
        <v>3268918.22</v>
      </c>
      <c r="K68" s="64">
        <v>9434318.9399999995</v>
      </c>
      <c r="L68" s="64"/>
      <c r="M68" s="64"/>
      <c r="N68" s="84">
        <f t="shared" si="172"/>
        <v>12703237.16</v>
      </c>
      <c r="O68" s="64">
        <f t="shared" si="173"/>
        <v>12703237.16</v>
      </c>
      <c r="P68" s="64">
        <v>8796044.8399999999</v>
      </c>
      <c r="Q68" s="64"/>
      <c r="R68" s="64"/>
      <c r="S68" s="84">
        <f t="shared" si="174"/>
        <v>21499282</v>
      </c>
      <c r="T68" s="64">
        <f t="shared" si="175"/>
        <v>21499282</v>
      </c>
      <c r="U68" s="64">
        <v>8809185.0500000007</v>
      </c>
      <c r="V68" s="64"/>
      <c r="W68" s="64"/>
      <c r="X68" s="84">
        <f t="shared" si="176"/>
        <v>30308467.050000001</v>
      </c>
      <c r="Y68" s="64">
        <f t="shared" si="177"/>
        <v>30308467.050000001</v>
      </c>
      <c r="Z68" s="64">
        <v>10198706.800000001</v>
      </c>
      <c r="AA68" s="64"/>
      <c r="AB68" s="64"/>
      <c r="AC68" s="84">
        <f t="shared" si="178"/>
        <v>40507173.850000001</v>
      </c>
      <c r="AD68" s="64">
        <f t="shared" si="179"/>
        <v>40507173.850000001</v>
      </c>
      <c r="AE68" s="64">
        <v>2622056.88</v>
      </c>
      <c r="AF68" s="64"/>
      <c r="AG68" s="64"/>
      <c r="AH68" s="84">
        <f t="shared" si="180"/>
        <v>43129230.730000004</v>
      </c>
      <c r="AI68" s="64">
        <f t="shared" si="181"/>
        <v>43129230.730000004</v>
      </c>
      <c r="AJ68" s="64">
        <v>3427857.27</v>
      </c>
      <c r="AK68" s="64"/>
      <c r="AL68" s="64"/>
      <c r="AM68" s="84">
        <f t="shared" si="182"/>
        <v>46557088.000000007</v>
      </c>
      <c r="AN68" s="64">
        <f t="shared" si="183"/>
        <v>46557088.000000007</v>
      </c>
      <c r="AO68" s="64">
        <v>4861169.71</v>
      </c>
      <c r="AP68" s="64"/>
      <c r="AQ68" s="64"/>
      <c r="AR68" s="84">
        <f t="shared" si="184"/>
        <v>51418257.710000008</v>
      </c>
      <c r="AS68" s="64">
        <f t="shared" si="185"/>
        <v>51418257.710000008</v>
      </c>
      <c r="AT68" s="64">
        <v>3777320.97</v>
      </c>
      <c r="AU68" s="64"/>
      <c r="AV68" s="64"/>
      <c r="AW68" s="84">
        <f t="shared" si="186"/>
        <v>55195578.680000007</v>
      </c>
      <c r="AX68" s="64">
        <f>AW68</f>
        <v>55195578.680000007</v>
      </c>
      <c r="AY68" s="64">
        <v>6855085.3899999997</v>
      </c>
      <c r="AZ68" s="64"/>
      <c r="BA68" s="64"/>
      <c r="BB68" s="84">
        <f t="shared" si="187"/>
        <v>62050664.070000008</v>
      </c>
      <c r="BC68" s="64">
        <f t="shared" si="188"/>
        <v>62050664.070000008</v>
      </c>
      <c r="BD68" s="64">
        <v>5576024.8600000003</v>
      </c>
      <c r="BE68" s="64"/>
      <c r="BF68" s="64"/>
      <c r="BG68" s="84">
        <f t="shared" si="189"/>
        <v>67626688.930000007</v>
      </c>
      <c r="BH68" s="64">
        <f t="shared" si="190"/>
        <v>67626688.930000007</v>
      </c>
      <c r="BI68" s="64">
        <v>5827090.2800000003</v>
      </c>
      <c r="BJ68" s="64"/>
      <c r="BK68" s="64"/>
      <c r="BL68" s="84">
        <f t="shared" si="191"/>
        <v>73453779.210000008</v>
      </c>
      <c r="BM68" s="64">
        <f t="shared" si="192"/>
        <v>73453779.210000008</v>
      </c>
      <c r="BN68" s="64"/>
      <c r="BO68" s="64"/>
      <c r="BP68" s="64"/>
      <c r="BQ68" s="84">
        <f t="shared" si="193"/>
        <v>73453779.210000008</v>
      </c>
      <c r="BR68" s="64">
        <f t="shared" si="194"/>
        <v>73453779.210000008</v>
      </c>
      <c r="BS68" s="64"/>
      <c r="BT68" s="64"/>
      <c r="BU68" s="64"/>
      <c r="BV68" s="84">
        <f t="shared" si="195"/>
        <v>73453779.210000008</v>
      </c>
      <c r="BW68" s="64">
        <f t="shared" si="196"/>
        <v>73453779.210000008</v>
      </c>
      <c r="BX68" s="64"/>
      <c r="BY68" s="64"/>
      <c r="BZ68" s="64"/>
      <c r="CA68" s="84">
        <f t="shared" si="197"/>
        <v>73453779.210000008</v>
      </c>
      <c r="CD68" s="84">
        <f t="shared" si="198"/>
        <v>73453779.210000008</v>
      </c>
    </row>
    <row r="69" spans="2:191">
      <c r="B69" s="41" t="s">
        <v>1696</v>
      </c>
      <c r="C69" s="41" t="s">
        <v>1697</v>
      </c>
      <c r="D69" s="84">
        <v>-14055614.559999999</v>
      </c>
      <c r="E69" s="64">
        <v>0</v>
      </c>
      <c r="F69" s="64"/>
      <c r="G69" s="64">
        <v>-616579.65</v>
      </c>
      <c r="H69" s="64"/>
      <c r="I69" s="84">
        <f t="shared" si="170"/>
        <v>-616579.65</v>
      </c>
      <c r="J69" s="64">
        <f t="shared" si="171"/>
        <v>-616579.65</v>
      </c>
      <c r="K69" s="64"/>
      <c r="L69" s="64">
        <v>-314943.48</v>
      </c>
      <c r="M69" s="64"/>
      <c r="N69" s="84">
        <f t="shared" si="172"/>
        <v>-931523.13</v>
      </c>
      <c r="O69" s="64">
        <f t="shared" si="173"/>
        <v>-931523.13</v>
      </c>
      <c r="P69" s="64"/>
      <c r="Q69" s="64">
        <v>-501294.91</v>
      </c>
      <c r="R69" s="64"/>
      <c r="S69" s="84">
        <f t="shared" si="174"/>
        <v>-1432818.04</v>
      </c>
      <c r="T69" s="64">
        <f t="shared" si="175"/>
        <v>-1432818.04</v>
      </c>
      <c r="U69" s="64"/>
      <c r="V69" s="64">
        <v>-3796085.83</v>
      </c>
      <c r="W69" s="64"/>
      <c r="X69" s="84">
        <f t="shared" si="176"/>
        <v>-5228903.87</v>
      </c>
      <c r="Y69" s="64">
        <f t="shared" si="177"/>
        <v>-5228903.87</v>
      </c>
      <c r="Z69" s="64"/>
      <c r="AA69" s="64">
        <v>-936963.92</v>
      </c>
      <c r="AB69" s="64"/>
      <c r="AC69" s="84">
        <f t="shared" si="178"/>
        <v>-6165867.79</v>
      </c>
      <c r="AD69" s="64">
        <f t="shared" si="179"/>
        <v>-6165867.79</v>
      </c>
      <c r="AE69" s="64"/>
      <c r="AF69" s="64">
        <v>-841224.1</v>
      </c>
      <c r="AG69" s="64"/>
      <c r="AH69" s="84">
        <f t="shared" si="180"/>
        <v>-7007091.8899999997</v>
      </c>
      <c r="AI69" s="64">
        <f t="shared" si="181"/>
        <v>-7007091.8899999997</v>
      </c>
      <c r="AJ69" s="64"/>
      <c r="AK69" s="64">
        <v>-637118.43999999994</v>
      </c>
      <c r="AL69" s="64"/>
      <c r="AM69" s="84">
        <f t="shared" si="182"/>
        <v>-7644210.3300000001</v>
      </c>
      <c r="AN69" s="64">
        <f t="shared" si="183"/>
        <v>-7644210.3300000001</v>
      </c>
      <c r="AO69" s="64"/>
      <c r="AP69" s="64">
        <v>-392640</v>
      </c>
      <c r="AQ69" s="64"/>
      <c r="AR69" s="84">
        <f t="shared" si="184"/>
        <v>-8036850.3300000001</v>
      </c>
      <c r="AS69" s="64">
        <f t="shared" si="185"/>
        <v>-8036850.3300000001</v>
      </c>
      <c r="AT69" s="64"/>
      <c r="AU69" s="64">
        <v>-968532.03</v>
      </c>
      <c r="AV69" s="64"/>
      <c r="AW69" s="84">
        <f t="shared" si="186"/>
        <v>-9005382.3599999994</v>
      </c>
      <c r="AX69" s="64">
        <f>AW69</f>
        <v>-9005382.3599999994</v>
      </c>
      <c r="AY69" s="64"/>
      <c r="AZ69" s="64">
        <v>-364906.9</v>
      </c>
      <c r="BA69" s="64"/>
      <c r="BB69" s="84">
        <f t="shared" si="187"/>
        <v>-9370289.2599999998</v>
      </c>
      <c r="BC69" s="64">
        <f t="shared" si="188"/>
        <v>-9370289.2599999998</v>
      </c>
      <c r="BD69" s="64"/>
      <c r="BE69" s="64">
        <v>-682536.49</v>
      </c>
      <c r="BF69" s="64"/>
      <c r="BG69" s="84">
        <f t="shared" si="189"/>
        <v>-10052825.75</v>
      </c>
      <c r="BH69" s="64">
        <f t="shared" si="190"/>
        <v>-10052825.75</v>
      </c>
      <c r="BI69" s="64"/>
      <c r="BJ69" s="64">
        <v>-1216347.56</v>
      </c>
      <c r="BK69" s="64"/>
      <c r="BL69" s="84">
        <f t="shared" si="191"/>
        <v>-11269173.310000001</v>
      </c>
      <c r="BM69" s="64">
        <f t="shared" si="192"/>
        <v>-11269173.310000001</v>
      </c>
      <c r="BN69" s="64"/>
      <c r="BO69" s="64"/>
      <c r="BP69" s="64"/>
      <c r="BQ69" s="84">
        <f t="shared" si="193"/>
        <v>-11269173.310000001</v>
      </c>
      <c r="BR69" s="64">
        <f t="shared" si="194"/>
        <v>-11269173.310000001</v>
      </c>
      <c r="BS69" s="64"/>
      <c r="BT69" s="64"/>
      <c r="BU69" s="64"/>
      <c r="BV69" s="84">
        <f t="shared" si="195"/>
        <v>-11269173.310000001</v>
      </c>
      <c r="BW69" s="64">
        <f t="shared" si="196"/>
        <v>-11269173.310000001</v>
      </c>
      <c r="BX69" s="64"/>
      <c r="BY69" s="64"/>
      <c r="BZ69" s="64"/>
      <c r="CA69" s="84">
        <f t="shared" si="197"/>
        <v>-11269173.310000001</v>
      </c>
      <c r="CD69" s="84">
        <f t="shared" si="198"/>
        <v>-11269173.310000001</v>
      </c>
    </row>
    <row r="70" spans="2:191">
      <c r="B70" s="41" t="s">
        <v>1698</v>
      </c>
      <c r="C70" s="41" t="s">
        <v>1699</v>
      </c>
      <c r="D70" s="84">
        <v>1654282.04</v>
      </c>
      <c r="E70" s="64">
        <v>1804218.16</v>
      </c>
      <c r="F70" s="64"/>
      <c r="G70" s="64"/>
      <c r="H70" s="64"/>
      <c r="I70" s="84">
        <f t="shared" si="170"/>
        <v>1804218.16</v>
      </c>
      <c r="J70" s="64">
        <f t="shared" si="171"/>
        <v>1804218.16</v>
      </c>
      <c r="K70" s="64"/>
      <c r="L70" s="64"/>
      <c r="M70" s="64"/>
      <c r="N70" s="84">
        <f t="shared" si="172"/>
        <v>1804218.16</v>
      </c>
      <c r="O70" s="64">
        <f t="shared" si="173"/>
        <v>1804218.16</v>
      </c>
      <c r="P70" s="64"/>
      <c r="Q70" s="64"/>
      <c r="R70" s="64"/>
      <c r="S70" s="84">
        <f t="shared" si="174"/>
        <v>1804218.16</v>
      </c>
      <c r="T70" s="64">
        <f t="shared" si="175"/>
        <v>1804218.16</v>
      </c>
      <c r="U70" s="64"/>
      <c r="V70" s="64"/>
      <c r="W70" s="64"/>
      <c r="X70" s="84">
        <f t="shared" si="176"/>
        <v>1804218.16</v>
      </c>
      <c r="Y70" s="64">
        <f t="shared" si="177"/>
        <v>1804218.16</v>
      </c>
      <c r="Z70" s="64"/>
      <c r="AA70" s="64"/>
      <c r="AB70" s="64"/>
      <c r="AC70" s="84">
        <f t="shared" si="178"/>
        <v>1804218.16</v>
      </c>
      <c r="AD70" s="64">
        <f t="shared" si="179"/>
        <v>1804218.16</v>
      </c>
      <c r="AE70" s="64"/>
      <c r="AF70" s="64"/>
      <c r="AG70" s="64"/>
      <c r="AH70" s="84">
        <f t="shared" si="180"/>
        <v>1804218.16</v>
      </c>
      <c r="AI70" s="64">
        <f t="shared" si="181"/>
        <v>1804218.16</v>
      </c>
      <c r="AJ70" s="64"/>
      <c r="AK70" s="64"/>
      <c r="AL70" s="64"/>
      <c r="AM70" s="84">
        <f t="shared" si="182"/>
        <v>1804218.16</v>
      </c>
      <c r="AN70" s="64">
        <f t="shared" si="183"/>
        <v>1804218.16</v>
      </c>
      <c r="AO70" s="64"/>
      <c r="AP70" s="64"/>
      <c r="AQ70" s="64"/>
      <c r="AR70" s="84">
        <f t="shared" si="184"/>
        <v>1804218.16</v>
      </c>
      <c r="AS70" s="64">
        <f t="shared" si="185"/>
        <v>1804218.16</v>
      </c>
      <c r="AT70" s="64"/>
      <c r="AU70" s="64"/>
      <c r="AV70" s="64"/>
      <c r="AW70" s="84">
        <f t="shared" si="186"/>
        <v>1804218.16</v>
      </c>
      <c r="AX70" s="64">
        <f>AW70</f>
        <v>1804218.16</v>
      </c>
      <c r="AY70" s="64"/>
      <c r="AZ70" s="64"/>
      <c r="BA70" s="64"/>
      <c r="BB70" s="84">
        <f t="shared" si="187"/>
        <v>1804218.16</v>
      </c>
      <c r="BC70" s="64">
        <f t="shared" si="188"/>
        <v>1804218.16</v>
      </c>
      <c r="BD70" s="64"/>
      <c r="BE70" s="64"/>
      <c r="BF70" s="64"/>
      <c r="BG70" s="84">
        <f t="shared" si="189"/>
        <v>1804218.16</v>
      </c>
      <c r="BH70" s="64">
        <f t="shared" si="190"/>
        <v>1804218.16</v>
      </c>
      <c r="BI70" s="64"/>
      <c r="BJ70" s="64"/>
      <c r="BK70" s="64"/>
      <c r="BL70" s="84">
        <f t="shared" si="191"/>
        <v>1804218.16</v>
      </c>
      <c r="BM70" s="64">
        <f t="shared" si="192"/>
        <v>1804218.16</v>
      </c>
      <c r="BN70" s="64"/>
      <c r="BO70" s="64"/>
      <c r="BP70" s="64"/>
      <c r="BQ70" s="84">
        <f t="shared" si="193"/>
        <v>1804218.16</v>
      </c>
      <c r="BR70" s="64">
        <f t="shared" si="194"/>
        <v>1804218.16</v>
      </c>
      <c r="BS70" s="64"/>
      <c r="BT70" s="64"/>
      <c r="BU70" s="64"/>
      <c r="BV70" s="84">
        <f t="shared" si="195"/>
        <v>1804218.16</v>
      </c>
      <c r="BW70" s="64">
        <f t="shared" si="196"/>
        <v>1804218.16</v>
      </c>
      <c r="BX70" s="64"/>
      <c r="BY70" s="64"/>
      <c r="BZ70" s="64"/>
      <c r="CA70" s="84">
        <f t="shared" si="197"/>
        <v>1804218.16</v>
      </c>
      <c r="CD70" s="84">
        <f t="shared" si="198"/>
        <v>1804218.16</v>
      </c>
    </row>
    <row r="71" spans="2:191">
      <c r="B71" s="41" t="s">
        <v>1700</v>
      </c>
      <c r="C71" s="41" t="s">
        <v>1701</v>
      </c>
      <c r="D71" s="84">
        <v>149936.12</v>
      </c>
      <c r="E71" s="64">
        <v>0</v>
      </c>
      <c r="F71" s="64">
        <v>5760.57</v>
      </c>
      <c r="G71" s="64"/>
      <c r="H71" s="64"/>
      <c r="I71" s="85">
        <f t="shared" si="170"/>
        <v>5760.57</v>
      </c>
      <c r="J71" s="64">
        <f t="shared" si="171"/>
        <v>5760.57</v>
      </c>
      <c r="K71" s="64">
        <v>30874.05</v>
      </c>
      <c r="L71" s="64"/>
      <c r="M71" s="64"/>
      <c r="N71" s="85">
        <f t="shared" si="172"/>
        <v>36634.619999999995</v>
      </c>
      <c r="O71" s="64">
        <f t="shared" si="173"/>
        <v>36634.619999999995</v>
      </c>
      <c r="P71" s="64">
        <v>42472.65</v>
      </c>
      <c r="Q71" s="64"/>
      <c r="R71" s="64"/>
      <c r="S71" s="85">
        <f t="shared" si="174"/>
        <v>79107.26999999999</v>
      </c>
      <c r="T71" s="64">
        <f t="shared" si="175"/>
        <v>79107.26999999999</v>
      </c>
      <c r="U71" s="64">
        <v>-726.27</v>
      </c>
      <c r="V71" s="64"/>
      <c r="W71" s="64"/>
      <c r="X71" s="85">
        <f t="shared" si="176"/>
        <v>78380.999999999985</v>
      </c>
      <c r="Y71" s="64">
        <f t="shared" si="177"/>
        <v>78380.999999999985</v>
      </c>
      <c r="Z71" s="64">
        <v>-527.27</v>
      </c>
      <c r="AA71" s="64"/>
      <c r="AB71" s="64"/>
      <c r="AC71" s="85">
        <f t="shared" si="178"/>
        <v>77853.729999999981</v>
      </c>
      <c r="AD71" s="64">
        <f t="shared" si="179"/>
        <v>77853.729999999981</v>
      </c>
      <c r="AE71" s="64">
        <v>59.81</v>
      </c>
      <c r="AF71" s="64"/>
      <c r="AG71" s="64"/>
      <c r="AH71" s="85">
        <f t="shared" si="180"/>
        <v>77913.539999999979</v>
      </c>
      <c r="AI71" s="64">
        <f t="shared" si="181"/>
        <v>77913.539999999979</v>
      </c>
      <c r="AJ71" s="64">
        <v>11246.94</v>
      </c>
      <c r="AK71" s="64"/>
      <c r="AL71" s="64"/>
      <c r="AM71" s="85">
        <f t="shared" si="182"/>
        <v>89160.479999999981</v>
      </c>
      <c r="AN71" s="64">
        <f t="shared" si="183"/>
        <v>89160.479999999981</v>
      </c>
      <c r="AO71" s="64">
        <v>63187.07</v>
      </c>
      <c r="AP71" s="64"/>
      <c r="AQ71" s="64"/>
      <c r="AR71" s="85">
        <f t="shared" si="184"/>
        <v>152347.54999999999</v>
      </c>
      <c r="AS71" s="64">
        <f t="shared" si="185"/>
        <v>152347.54999999999</v>
      </c>
      <c r="AT71" s="64">
        <v>913.93</v>
      </c>
      <c r="AU71" s="64"/>
      <c r="AV71" s="64"/>
      <c r="AW71" s="85">
        <f t="shared" si="186"/>
        <v>153261.47999999998</v>
      </c>
      <c r="AX71" s="84">
        <v>153261.47999999998</v>
      </c>
      <c r="AY71" s="64">
        <v>16587.93</v>
      </c>
      <c r="AZ71" s="64"/>
      <c r="BA71" s="64"/>
      <c r="BB71" s="84">
        <f t="shared" si="187"/>
        <v>169849.40999999997</v>
      </c>
      <c r="BC71" s="64">
        <f t="shared" si="188"/>
        <v>169849.40999999997</v>
      </c>
      <c r="BD71" s="64">
        <v>33439.410000000003</v>
      </c>
      <c r="BE71" s="64"/>
      <c r="BF71" s="64"/>
      <c r="BG71" s="84">
        <f t="shared" si="189"/>
        <v>203288.81999999998</v>
      </c>
      <c r="BH71" s="64">
        <f t="shared" si="190"/>
        <v>203288.81999999998</v>
      </c>
      <c r="BI71" s="64">
        <v>104723.39</v>
      </c>
      <c r="BJ71" s="64"/>
      <c r="BK71" s="64"/>
      <c r="BL71" s="84">
        <f t="shared" si="191"/>
        <v>308012.20999999996</v>
      </c>
      <c r="BM71" s="64">
        <f t="shared" si="192"/>
        <v>308012.20999999996</v>
      </c>
      <c r="BN71" s="64"/>
      <c r="BO71" s="64"/>
      <c r="BP71" s="64"/>
      <c r="BQ71" s="84">
        <f t="shared" si="193"/>
        <v>308012.20999999996</v>
      </c>
      <c r="BR71" s="64">
        <f t="shared" si="194"/>
        <v>308012.20999999996</v>
      </c>
      <c r="BS71" s="64"/>
      <c r="BT71" s="64"/>
      <c r="BU71" s="64"/>
      <c r="BV71" s="84">
        <f t="shared" si="195"/>
        <v>308012.20999999996</v>
      </c>
      <c r="BW71" s="64">
        <f t="shared" si="196"/>
        <v>308012.20999999996</v>
      </c>
      <c r="BX71" s="64"/>
      <c r="BY71" s="64"/>
      <c r="BZ71" s="64"/>
      <c r="CA71" s="84">
        <f t="shared" si="197"/>
        <v>308012.20999999996</v>
      </c>
      <c r="CD71" s="84">
        <f t="shared" si="198"/>
        <v>308012.20999999996</v>
      </c>
    </row>
    <row r="72" spans="2:191">
      <c r="B72" s="42">
        <v>10140002</v>
      </c>
      <c r="C72" s="41" t="s">
        <v>1702</v>
      </c>
      <c r="D72" s="928">
        <v>0</v>
      </c>
      <c r="E72" s="929">
        <v>0</v>
      </c>
      <c r="F72" s="929">
        <v>0</v>
      </c>
      <c r="G72" s="929"/>
      <c r="H72" s="929"/>
      <c r="I72" s="928">
        <f t="shared" si="170"/>
        <v>0</v>
      </c>
      <c r="J72" s="929">
        <f t="shared" si="171"/>
        <v>0</v>
      </c>
      <c r="K72" s="929">
        <v>0</v>
      </c>
      <c r="L72" s="929"/>
      <c r="M72" s="929"/>
      <c r="N72" s="928">
        <f t="shared" si="172"/>
        <v>0</v>
      </c>
      <c r="O72" s="929">
        <f t="shared" si="173"/>
        <v>0</v>
      </c>
      <c r="P72" s="929">
        <v>0</v>
      </c>
      <c r="Q72" s="929"/>
      <c r="R72" s="929"/>
      <c r="S72" s="928">
        <f t="shared" si="174"/>
        <v>0</v>
      </c>
      <c r="T72" s="929">
        <f t="shared" si="175"/>
        <v>0</v>
      </c>
      <c r="U72" s="929">
        <v>0</v>
      </c>
      <c r="V72" s="929"/>
      <c r="W72" s="929"/>
      <c r="X72" s="928">
        <f t="shared" si="176"/>
        <v>0</v>
      </c>
      <c r="Y72" s="929">
        <f t="shared" si="177"/>
        <v>0</v>
      </c>
      <c r="Z72" s="929">
        <v>0</v>
      </c>
      <c r="AA72" s="929"/>
      <c r="AB72" s="929"/>
      <c r="AC72" s="928">
        <f t="shared" si="178"/>
        <v>0</v>
      </c>
      <c r="AD72" s="929">
        <f t="shared" si="179"/>
        <v>0</v>
      </c>
      <c r="AE72" s="929">
        <v>0</v>
      </c>
      <c r="AF72" s="929"/>
      <c r="AG72" s="929"/>
      <c r="AH72" s="928">
        <f t="shared" si="180"/>
        <v>0</v>
      </c>
      <c r="AI72" s="929">
        <f t="shared" si="181"/>
        <v>0</v>
      </c>
      <c r="AJ72" s="929">
        <v>0</v>
      </c>
      <c r="AK72" s="929"/>
      <c r="AL72" s="929"/>
      <c r="AM72" s="928">
        <f t="shared" si="182"/>
        <v>0</v>
      </c>
      <c r="AN72" s="929">
        <f t="shared" si="183"/>
        <v>0</v>
      </c>
      <c r="AO72" s="929">
        <v>0</v>
      </c>
      <c r="AP72" s="929"/>
      <c r="AQ72" s="929"/>
      <c r="AR72" s="928">
        <f t="shared" si="184"/>
        <v>0</v>
      </c>
      <c r="AS72" s="929">
        <f t="shared" si="185"/>
        <v>0</v>
      </c>
      <c r="AT72" s="929">
        <v>0</v>
      </c>
      <c r="AU72" s="929">
        <v>-23961.41</v>
      </c>
      <c r="AV72" s="929"/>
      <c r="AW72" s="928">
        <f t="shared" si="186"/>
        <v>-23961.41</v>
      </c>
      <c r="AX72" s="929">
        <f>AW72</f>
        <v>-23961.41</v>
      </c>
      <c r="AY72" s="929"/>
      <c r="AZ72" s="929"/>
      <c r="BA72" s="929"/>
      <c r="BB72" s="928">
        <f t="shared" si="187"/>
        <v>-23961.41</v>
      </c>
      <c r="BC72" s="929">
        <f t="shared" si="188"/>
        <v>-23961.41</v>
      </c>
      <c r="BD72" s="929"/>
      <c r="BE72" s="929">
        <v>-28243</v>
      </c>
      <c r="BF72" s="929"/>
      <c r="BG72" s="928">
        <f t="shared" si="189"/>
        <v>-52204.41</v>
      </c>
      <c r="BH72" s="929">
        <f t="shared" si="190"/>
        <v>-52204.41</v>
      </c>
      <c r="BI72" s="929">
        <v>0</v>
      </c>
      <c r="BJ72" s="929"/>
      <c r="BK72" s="929"/>
      <c r="BL72" s="928">
        <f t="shared" si="191"/>
        <v>-52204.41</v>
      </c>
      <c r="BM72" s="929">
        <f t="shared" si="192"/>
        <v>-52204.41</v>
      </c>
      <c r="BN72" s="929"/>
      <c r="BO72" s="929"/>
      <c r="BP72" s="929"/>
      <c r="BQ72" s="928">
        <f t="shared" si="193"/>
        <v>-52204.41</v>
      </c>
      <c r="BR72" s="929">
        <f t="shared" si="194"/>
        <v>-52204.41</v>
      </c>
      <c r="BS72" s="929"/>
      <c r="BT72" s="929"/>
      <c r="BU72" s="929"/>
      <c r="BV72" s="928">
        <f t="shared" si="195"/>
        <v>-52204.41</v>
      </c>
      <c r="BW72" s="929">
        <f t="shared" si="196"/>
        <v>-52204.41</v>
      </c>
      <c r="BX72" s="929"/>
      <c r="BY72" s="929"/>
      <c r="BZ72" s="929"/>
      <c r="CA72" s="928">
        <f t="shared" si="197"/>
        <v>-52204.41</v>
      </c>
      <c r="CD72" s="928">
        <f t="shared" si="198"/>
        <v>-52204.41</v>
      </c>
    </row>
    <row r="73" spans="2:191">
      <c r="B73" s="41">
        <v>101</v>
      </c>
      <c r="C73" s="41"/>
      <c r="D73" s="84">
        <f t="shared" ref="D73:I73" si="199">SUM(D67:D72)</f>
        <v>673935464.29999995</v>
      </c>
      <c r="E73" s="84">
        <f t="shared" si="199"/>
        <v>673935464.29999995</v>
      </c>
      <c r="F73" s="84">
        <f t="shared" si="199"/>
        <v>3274678.79</v>
      </c>
      <c r="G73" s="84">
        <f t="shared" si="199"/>
        <v>-616579.65</v>
      </c>
      <c r="H73" s="84">
        <f t="shared" si="199"/>
        <v>0</v>
      </c>
      <c r="I73" s="84">
        <f t="shared" si="199"/>
        <v>676593563.44000006</v>
      </c>
      <c r="J73" s="64">
        <f t="shared" ref="J73:AS73" si="200">SUM(J67:J72)</f>
        <v>676593563.44000006</v>
      </c>
      <c r="K73" s="64">
        <f t="shared" si="200"/>
        <v>9465192.9900000002</v>
      </c>
      <c r="L73" s="64">
        <f t="shared" si="200"/>
        <v>-314943.48</v>
      </c>
      <c r="M73" s="64">
        <f t="shared" si="200"/>
        <v>0</v>
      </c>
      <c r="N73" s="84">
        <f t="shared" si="200"/>
        <v>685743812.94999993</v>
      </c>
      <c r="O73" s="64">
        <f t="shared" si="200"/>
        <v>685743812.94999993</v>
      </c>
      <c r="P73" s="64">
        <f t="shared" si="200"/>
        <v>8838517.4900000002</v>
      </c>
      <c r="Q73" s="64">
        <f t="shared" si="200"/>
        <v>-501294.91</v>
      </c>
      <c r="R73" s="64">
        <f t="shared" si="200"/>
        <v>0</v>
      </c>
      <c r="S73" s="84">
        <f t="shared" si="200"/>
        <v>694081035.52999997</v>
      </c>
      <c r="T73" s="64">
        <f t="shared" si="200"/>
        <v>694081035.52999997</v>
      </c>
      <c r="U73" s="64">
        <f t="shared" si="200"/>
        <v>8808458.7800000012</v>
      </c>
      <c r="V73" s="64">
        <f t="shared" si="200"/>
        <v>-3796085.83</v>
      </c>
      <c r="W73" s="64">
        <f t="shared" si="200"/>
        <v>0</v>
      </c>
      <c r="X73" s="84">
        <f t="shared" si="200"/>
        <v>699093408.4799999</v>
      </c>
      <c r="Y73" s="64">
        <f t="shared" si="200"/>
        <v>699093408.4799999</v>
      </c>
      <c r="Z73" s="64">
        <f t="shared" si="200"/>
        <v>10198179.530000001</v>
      </c>
      <c r="AA73" s="64">
        <f t="shared" si="200"/>
        <v>-936963.92</v>
      </c>
      <c r="AB73" s="64">
        <f t="shared" si="200"/>
        <v>0</v>
      </c>
      <c r="AC73" s="84">
        <f t="shared" si="200"/>
        <v>708354624.09000003</v>
      </c>
      <c r="AD73" s="64">
        <f t="shared" si="200"/>
        <v>708354624.09000003</v>
      </c>
      <c r="AE73" s="64">
        <f t="shared" si="200"/>
        <v>2622116.69</v>
      </c>
      <c r="AF73" s="64">
        <f t="shared" si="200"/>
        <v>-841224.1</v>
      </c>
      <c r="AG73" s="64">
        <f t="shared" si="200"/>
        <v>0</v>
      </c>
      <c r="AH73" s="84">
        <f t="shared" si="200"/>
        <v>710135516.67999995</v>
      </c>
      <c r="AI73" s="64">
        <f t="shared" si="200"/>
        <v>710135516.67999995</v>
      </c>
      <c r="AJ73" s="64">
        <f t="shared" si="200"/>
        <v>3439104.21</v>
      </c>
      <c r="AK73" s="64">
        <f t="shared" si="200"/>
        <v>-637118.43999999994</v>
      </c>
      <c r="AL73" s="64">
        <f t="shared" si="200"/>
        <v>0</v>
      </c>
      <c r="AM73" s="84">
        <f t="shared" si="200"/>
        <v>712937502.44999993</v>
      </c>
      <c r="AN73" s="64">
        <f t="shared" si="200"/>
        <v>712937502.44999993</v>
      </c>
      <c r="AO73" s="64">
        <f t="shared" si="200"/>
        <v>4924356.78</v>
      </c>
      <c r="AP73" s="64">
        <f t="shared" si="200"/>
        <v>-392640</v>
      </c>
      <c r="AQ73" s="64">
        <f t="shared" si="200"/>
        <v>0</v>
      </c>
      <c r="AR73" s="84">
        <f t="shared" si="200"/>
        <v>717469219.2299999</v>
      </c>
      <c r="AS73" s="64">
        <f t="shared" si="200"/>
        <v>717469219.2299999</v>
      </c>
      <c r="AT73" s="64">
        <f t="shared" ref="AT73:CA73" si="201">SUM(AT67:AT72)</f>
        <v>3778234.9000000004</v>
      </c>
      <c r="AU73" s="64">
        <f t="shared" si="201"/>
        <v>-992493.44000000006</v>
      </c>
      <c r="AV73" s="64">
        <f t="shared" si="201"/>
        <v>0</v>
      </c>
      <c r="AW73" s="84">
        <f t="shared" si="201"/>
        <v>720254960.68999994</v>
      </c>
      <c r="AX73" s="84">
        <f t="shared" si="201"/>
        <v>720254960.68999994</v>
      </c>
      <c r="AY73" s="84">
        <f t="shared" si="201"/>
        <v>6871673.3199999994</v>
      </c>
      <c r="AZ73" s="84">
        <f t="shared" si="201"/>
        <v>-364906.9</v>
      </c>
      <c r="BA73" s="84">
        <f t="shared" si="201"/>
        <v>0</v>
      </c>
      <c r="BB73" s="84">
        <f t="shared" si="201"/>
        <v>726761727.11000001</v>
      </c>
      <c r="BC73" s="84">
        <f t="shared" si="201"/>
        <v>726761727.11000001</v>
      </c>
      <c r="BD73" s="84">
        <f t="shared" si="201"/>
        <v>5609464.2700000005</v>
      </c>
      <c r="BE73" s="84">
        <f t="shared" si="201"/>
        <v>-710779.49</v>
      </c>
      <c r="BF73" s="84">
        <f t="shared" si="201"/>
        <v>0</v>
      </c>
      <c r="BG73" s="84">
        <f t="shared" si="201"/>
        <v>731660411.88999999</v>
      </c>
      <c r="BH73" s="84">
        <f t="shared" si="201"/>
        <v>731660411.88999999</v>
      </c>
      <c r="BI73" s="84">
        <f t="shared" si="201"/>
        <v>5931813.6699999999</v>
      </c>
      <c r="BJ73" s="84">
        <f t="shared" si="201"/>
        <v>-1216347.56</v>
      </c>
      <c r="BK73" s="84">
        <f t="shared" si="201"/>
        <v>0</v>
      </c>
      <c r="BL73" s="84">
        <f t="shared" si="201"/>
        <v>736375878.00000012</v>
      </c>
      <c r="BM73" s="84">
        <f t="shared" si="201"/>
        <v>736375878.00000012</v>
      </c>
      <c r="BN73" s="84">
        <f t="shared" si="201"/>
        <v>0</v>
      </c>
      <c r="BO73" s="84">
        <f t="shared" si="201"/>
        <v>0</v>
      </c>
      <c r="BP73" s="84">
        <f t="shared" si="201"/>
        <v>0</v>
      </c>
      <c r="BQ73" s="84">
        <f t="shared" si="201"/>
        <v>736375878.00000012</v>
      </c>
      <c r="BR73" s="84">
        <f t="shared" si="201"/>
        <v>736375878.00000012</v>
      </c>
      <c r="BS73" s="84">
        <f t="shared" si="201"/>
        <v>0</v>
      </c>
      <c r="BT73" s="84">
        <f t="shared" si="201"/>
        <v>0</v>
      </c>
      <c r="BU73" s="84">
        <f t="shared" si="201"/>
        <v>0</v>
      </c>
      <c r="BV73" s="84">
        <f t="shared" si="201"/>
        <v>736375878.00000012</v>
      </c>
      <c r="BW73" s="84">
        <f t="shared" si="201"/>
        <v>736375878.00000012</v>
      </c>
      <c r="BX73" s="84">
        <f t="shared" si="201"/>
        <v>0</v>
      </c>
      <c r="BY73" s="84">
        <f t="shared" si="201"/>
        <v>0</v>
      </c>
      <c r="BZ73" s="84">
        <f t="shared" si="201"/>
        <v>0</v>
      </c>
      <c r="CA73" s="84">
        <f t="shared" si="201"/>
        <v>736375878.00000012</v>
      </c>
      <c r="CD73" s="84">
        <f>SUM(CD67:CD72)</f>
        <v>736375878.00000012</v>
      </c>
    </row>
    <row r="74" spans="2:191">
      <c r="B74" s="41"/>
      <c r="C74" s="41"/>
      <c r="D74" s="64"/>
      <c r="E74" s="64"/>
      <c r="F74" s="64"/>
      <c r="G74" s="64"/>
      <c r="H74" s="64"/>
      <c r="I74" s="64"/>
      <c r="J74" s="41"/>
      <c r="K74" s="64"/>
      <c r="L74" s="64"/>
      <c r="M74" s="64"/>
      <c r="N74" s="64"/>
      <c r="O74" s="41"/>
      <c r="P74" s="64"/>
      <c r="Q74" s="64"/>
      <c r="R74" s="64"/>
      <c r="S74" s="64"/>
      <c r="T74" s="41"/>
      <c r="U74" s="64"/>
      <c r="V74" s="64"/>
      <c r="W74" s="64"/>
      <c r="X74" s="64"/>
      <c r="Y74" s="41"/>
      <c r="Z74" s="64"/>
      <c r="AA74" s="64"/>
      <c r="AB74" s="64"/>
      <c r="AC74" s="64"/>
      <c r="AD74" s="41"/>
      <c r="AE74" s="64"/>
      <c r="AF74" s="64"/>
      <c r="AG74" s="64"/>
      <c r="AH74" s="64"/>
      <c r="AI74" s="41"/>
      <c r="AJ74" s="64"/>
      <c r="AK74" s="64"/>
      <c r="AL74" s="64"/>
      <c r="AM74" s="64"/>
      <c r="AN74" s="41"/>
      <c r="AO74" s="64"/>
      <c r="AP74" s="64"/>
      <c r="AQ74" s="64"/>
      <c r="AR74" s="64"/>
      <c r="AS74" s="41"/>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D74" s="64"/>
    </row>
    <row r="75" spans="2:191">
      <c r="B75" s="41" t="s">
        <v>1703</v>
      </c>
      <c r="C75" s="41" t="s">
        <v>1704</v>
      </c>
      <c r="D75" s="84">
        <v>29697192.390000001</v>
      </c>
      <c r="E75" s="64">
        <v>45086580.5</v>
      </c>
      <c r="F75" s="64"/>
      <c r="G75" s="64"/>
      <c r="H75" s="64"/>
      <c r="I75" s="84">
        <f>SUM(E75:H75)</f>
        <v>45086580.5</v>
      </c>
      <c r="J75" s="64">
        <f>I75</f>
        <v>45086580.5</v>
      </c>
      <c r="K75" s="64"/>
      <c r="L75" s="64"/>
      <c r="M75" s="64"/>
      <c r="N75" s="84">
        <f>SUM(J75:M75)</f>
        <v>45086580.5</v>
      </c>
      <c r="O75" s="64">
        <f>N75</f>
        <v>45086580.5</v>
      </c>
      <c r="P75" s="64"/>
      <c r="Q75" s="64"/>
      <c r="R75" s="64"/>
      <c r="S75" s="84">
        <f>SUM(O75:R75)</f>
        <v>45086580.5</v>
      </c>
      <c r="T75" s="64">
        <f>S75</f>
        <v>45086580.5</v>
      </c>
      <c r="U75" s="64"/>
      <c r="V75" s="64"/>
      <c r="W75" s="64"/>
      <c r="X75" s="84">
        <f>SUM(T75:W75)</f>
        <v>45086580.5</v>
      </c>
      <c r="Y75" s="64">
        <f>X75</f>
        <v>45086580.5</v>
      </c>
      <c r="Z75" s="64"/>
      <c r="AA75" s="64"/>
      <c r="AB75" s="64"/>
      <c r="AC75" s="84">
        <f>SUM(Y75:AB75)</f>
        <v>45086580.5</v>
      </c>
      <c r="AD75" s="64">
        <f>AC75</f>
        <v>45086580.5</v>
      </c>
      <c r="AE75" s="64"/>
      <c r="AF75" s="64"/>
      <c r="AG75" s="64"/>
      <c r="AH75" s="84">
        <f>SUM(AD75:AG75)</f>
        <v>45086580.5</v>
      </c>
      <c r="AI75" s="64">
        <f>AH75</f>
        <v>45086580.5</v>
      </c>
      <c r="AJ75" s="64"/>
      <c r="AK75" s="64"/>
      <c r="AL75" s="64"/>
      <c r="AM75" s="84">
        <f>SUM(AI75:AL75)</f>
        <v>45086580.5</v>
      </c>
      <c r="AN75" s="64">
        <f>AM75</f>
        <v>45086580.5</v>
      </c>
      <c r="AO75" s="64"/>
      <c r="AP75" s="64"/>
      <c r="AQ75" s="64"/>
      <c r="AR75" s="84">
        <f>SUM(AN75:AQ75)</f>
        <v>45086580.5</v>
      </c>
      <c r="AS75" s="64">
        <f>AR75</f>
        <v>45086580.5</v>
      </c>
      <c r="AT75" s="64"/>
      <c r="AU75" s="64"/>
      <c r="AV75" s="64"/>
      <c r="AW75" s="84">
        <f>SUM(AS75:AV75)</f>
        <v>45086580.5</v>
      </c>
      <c r="AX75" s="64">
        <f>AW75</f>
        <v>45086580.5</v>
      </c>
      <c r="AY75" s="64"/>
      <c r="AZ75" s="64"/>
      <c r="BA75" s="64"/>
      <c r="BB75" s="84">
        <f>SUM(AX75:BA75)</f>
        <v>45086580.5</v>
      </c>
      <c r="BC75" s="64">
        <f>BB75</f>
        <v>45086580.5</v>
      </c>
      <c r="BD75" s="64"/>
      <c r="BE75" s="64"/>
      <c r="BF75" s="64"/>
      <c r="BG75" s="84">
        <f>SUM(BC75:BF75)</f>
        <v>45086580.5</v>
      </c>
      <c r="BH75" s="64">
        <f>BG75</f>
        <v>45086580.5</v>
      </c>
      <c r="BI75" s="64"/>
      <c r="BJ75" s="64"/>
      <c r="BK75" s="64"/>
      <c r="BL75" s="84">
        <f>SUM(BH75:BK75)</f>
        <v>45086580.5</v>
      </c>
      <c r="BM75" s="64">
        <f>BL75</f>
        <v>45086580.5</v>
      </c>
      <c r="BN75" s="64"/>
      <c r="BO75" s="64"/>
      <c r="BP75" s="64"/>
      <c r="BQ75" s="84">
        <f>SUM(BM75:BP75)</f>
        <v>45086580.5</v>
      </c>
      <c r="BR75" s="64">
        <f>BQ75</f>
        <v>45086580.5</v>
      </c>
      <c r="BS75" s="64"/>
      <c r="BT75" s="64"/>
      <c r="BU75" s="64"/>
      <c r="BV75" s="84">
        <f>SUM(BR75:BU75)</f>
        <v>45086580.5</v>
      </c>
      <c r="BW75" s="64">
        <f>BV75</f>
        <v>45086580.5</v>
      </c>
      <c r="BX75" s="64"/>
      <c r="BY75" s="64"/>
      <c r="BZ75" s="64"/>
      <c r="CA75" s="84">
        <f>SUM(BW75:BZ75)</f>
        <v>45086580.5</v>
      </c>
      <c r="CD75" s="84">
        <f>BV75</f>
        <v>45086580.5</v>
      </c>
    </row>
    <row r="76" spans="2:191">
      <c r="B76" s="41" t="s">
        <v>1705</v>
      </c>
      <c r="C76" s="41" t="s">
        <v>1706</v>
      </c>
      <c r="D76" s="928">
        <v>15389388.109999999</v>
      </c>
      <c r="E76" s="929">
        <v>0</v>
      </c>
      <c r="F76" s="929">
        <v>-449350.58</v>
      </c>
      <c r="G76" s="929"/>
      <c r="H76" s="929"/>
      <c r="I76" s="928">
        <f>SUM(E76:H76)</f>
        <v>-449350.58</v>
      </c>
      <c r="J76" s="929">
        <f>I76</f>
        <v>-449350.58</v>
      </c>
      <c r="K76" s="929">
        <v>-3991793.93</v>
      </c>
      <c r="L76" s="929"/>
      <c r="M76" s="929"/>
      <c r="N76" s="928">
        <f>SUM(J76:M76)</f>
        <v>-4441144.51</v>
      </c>
      <c r="O76" s="929">
        <f>N76</f>
        <v>-4441144.51</v>
      </c>
      <c r="P76" s="929">
        <v>-2236207.19</v>
      </c>
      <c r="Q76" s="929"/>
      <c r="R76" s="929"/>
      <c r="S76" s="928">
        <f>SUM(O76:R76)</f>
        <v>-6677351.6999999993</v>
      </c>
      <c r="T76" s="929">
        <f>S76</f>
        <v>-6677351.6999999993</v>
      </c>
      <c r="U76" s="929">
        <v>-5357079.7699999996</v>
      </c>
      <c r="V76" s="929"/>
      <c r="W76" s="929"/>
      <c r="X76" s="928">
        <f>SUM(T76:W76)</f>
        <v>-12034431.469999999</v>
      </c>
      <c r="Y76" s="929">
        <f>X76</f>
        <v>-12034431.469999999</v>
      </c>
      <c r="Z76" s="929">
        <v>-1384743.2</v>
      </c>
      <c r="AA76" s="929"/>
      <c r="AB76" s="929"/>
      <c r="AC76" s="928">
        <f>SUM(Y76:AB76)</f>
        <v>-13419174.669999998</v>
      </c>
      <c r="AD76" s="929">
        <f>AC76</f>
        <v>-13419174.669999998</v>
      </c>
      <c r="AE76" s="929">
        <v>3820082.08</v>
      </c>
      <c r="AF76" s="929"/>
      <c r="AG76" s="929"/>
      <c r="AH76" s="928">
        <f>SUM(AD76:AG76)</f>
        <v>-9599092.589999998</v>
      </c>
      <c r="AI76" s="929">
        <f>AH76</f>
        <v>-9599092.589999998</v>
      </c>
      <c r="AJ76" s="929">
        <v>2100006.0699999998</v>
      </c>
      <c r="AK76" s="929"/>
      <c r="AL76" s="929"/>
      <c r="AM76" s="928">
        <f>SUM(AI76:AL76)</f>
        <v>-7499086.5199999977</v>
      </c>
      <c r="AN76" s="929">
        <f>AM76</f>
        <v>-7499086.5199999977</v>
      </c>
      <c r="AO76" s="929">
        <v>370048.78</v>
      </c>
      <c r="AP76" s="929"/>
      <c r="AQ76" s="929"/>
      <c r="AR76" s="928">
        <f>SUM(AN76:AQ76)</f>
        <v>-7129037.7399999974</v>
      </c>
      <c r="AS76" s="929">
        <f>AR76</f>
        <v>-7129037.7399999974</v>
      </c>
      <c r="AT76" s="929">
        <v>5818410.04</v>
      </c>
      <c r="AU76" s="929"/>
      <c r="AV76" s="929"/>
      <c r="AW76" s="928">
        <f>SUM(AS76:AV76)</f>
        <v>-1310627.6999999974</v>
      </c>
      <c r="AX76" s="929">
        <f>AW76</f>
        <v>-1310627.6999999974</v>
      </c>
      <c r="AY76" s="929">
        <v>822572.19</v>
      </c>
      <c r="AZ76" s="929"/>
      <c r="BA76" s="929"/>
      <c r="BB76" s="928">
        <f>SUM(AX76:BA76)</f>
        <v>-488055.50999999745</v>
      </c>
      <c r="BC76" s="929">
        <f>BB76</f>
        <v>-488055.50999999745</v>
      </c>
      <c r="BD76" s="929">
        <v>1390917.89</v>
      </c>
      <c r="BE76" s="929"/>
      <c r="BF76" s="929"/>
      <c r="BG76" s="928">
        <f>SUM(BC76:BF76)</f>
        <v>902862.38000000245</v>
      </c>
      <c r="BH76" s="929">
        <f>BG76</f>
        <v>902862.38000000245</v>
      </c>
      <c r="BI76" s="929">
        <v>3370104.14</v>
      </c>
      <c r="BJ76" s="929"/>
      <c r="BK76" s="929"/>
      <c r="BL76" s="928">
        <f>SUM(BH76:BK76)</f>
        <v>4272966.5200000023</v>
      </c>
      <c r="BM76" s="929">
        <f>BL76</f>
        <v>4272966.5200000023</v>
      </c>
      <c r="BN76" s="929"/>
      <c r="BO76" s="929"/>
      <c r="BP76" s="929"/>
      <c r="BQ76" s="928">
        <f>SUM(BM76:BP76)</f>
        <v>4272966.5200000023</v>
      </c>
      <c r="BR76" s="929">
        <f>BQ76</f>
        <v>4272966.5200000023</v>
      </c>
      <c r="BS76" s="929"/>
      <c r="BT76" s="929"/>
      <c r="BU76" s="929"/>
      <c r="BV76" s="928">
        <f>SUM(BR76:BU76)</f>
        <v>4272966.5200000023</v>
      </c>
      <c r="BW76" s="929">
        <f>BV76</f>
        <v>4272966.5200000023</v>
      </c>
      <c r="BX76" s="929"/>
      <c r="BY76" s="929"/>
      <c r="BZ76" s="929"/>
      <c r="CA76" s="928">
        <f>SUM(BW76:BZ76)</f>
        <v>4272966.5200000023</v>
      </c>
      <c r="CD76" s="928">
        <f>BV76</f>
        <v>4272966.5200000023</v>
      </c>
    </row>
    <row r="77" spans="2:191">
      <c r="B77" s="41">
        <v>106</v>
      </c>
      <c r="C77" s="41"/>
      <c r="D77" s="84">
        <f t="shared" ref="D77:I77" si="202">SUM(D75:D76)</f>
        <v>45086580.5</v>
      </c>
      <c r="E77" s="84">
        <f t="shared" si="202"/>
        <v>45086580.5</v>
      </c>
      <c r="F77" s="84">
        <f t="shared" si="202"/>
        <v>-449350.58</v>
      </c>
      <c r="G77" s="84">
        <f t="shared" si="202"/>
        <v>0</v>
      </c>
      <c r="H77" s="84">
        <f t="shared" si="202"/>
        <v>0</v>
      </c>
      <c r="I77" s="84">
        <f t="shared" si="202"/>
        <v>44637229.920000002</v>
      </c>
      <c r="J77" s="64">
        <f t="shared" ref="J77:AS77" si="203">SUM(J75:J76)</f>
        <v>44637229.920000002</v>
      </c>
      <c r="K77" s="64">
        <f t="shared" si="203"/>
        <v>-3991793.93</v>
      </c>
      <c r="L77" s="64">
        <f t="shared" si="203"/>
        <v>0</v>
      </c>
      <c r="M77" s="64">
        <f t="shared" si="203"/>
        <v>0</v>
      </c>
      <c r="N77" s="84">
        <f t="shared" si="203"/>
        <v>40645435.990000002</v>
      </c>
      <c r="O77" s="64">
        <f t="shared" si="203"/>
        <v>40645435.990000002</v>
      </c>
      <c r="P77" s="64">
        <f t="shared" si="203"/>
        <v>-2236207.19</v>
      </c>
      <c r="Q77" s="64">
        <f t="shared" si="203"/>
        <v>0</v>
      </c>
      <c r="R77" s="64">
        <f t="shared" si="203"/>
        <v>0</v>
      </c>
      <c r="S77" s="84">
        <f t="shared" si="203"/>
        <v>38409228.799999997</v>
      </c>
      <c r="T77" s="64">
        <f t="shared" si="203"/>
        <v>38409228.799999997</v>
      </c>
      <c r="U77" s="64">
        <f t="shared" si="203"/>
        <v>-5357079.7699999996</v>
      </c>
      <c r="V77" s="64">
        <f t="shared" si="203"/>
        <v>0</v>
      </c>
      <c r="W77" s="64">
        <f t="shared" si="203"/>
        <v>0</v>
      </c>
      <c r="X77" s="84">
        <f t="shared" si="203"/>
        <v>33052149.030000001</v>
      </c>
      <c r="Y77" s="64">
        <f t="shared" si="203"/>
        <v>33052149.030000001</v>
      </c>
      <c r="Z77" s="64">
        <f t="shared" si="203"/>
        <v>-1384743.2</v>
      </c>
      <c r="AA77" s="64">
        <f t="shared" si="203"/>
        <v>0</v>
      </c>
      <c r="AB77" s="64">
        <f t="shared" si="203"/>
        <v>0</v>
      </c>
      <c r="AC77" s="84">
        <f t="shared" si="203"/>
        <v>31667405.830000002</v>
      </c>
      <c r="AD77" s="64">
        <f t="shared" si="203"/>
        <v>31667405.830000002</v>
      </c>
      <c r="AE77" s="64">
        <f t="shared" si="203"/>
        <v>3820082.08</v>
      </c>
      <c r="AF77" s="64">
        <f t="shared" si="203"/>
        <v>0</v>
      </c>
      <c r="AG77" s="64">
        <f t="shared" si="203"/>
        <v>0</v>
      </c>
      <c r="AH77" s="84">
        <f t="shared" si="203"/>
        <v>35487487.910000004</v>
      </c>
      <c r="AI77" s="64">
        <f t="shared" si="203"/>
        <v>35487487.910000004</v>
      </c>
      <c r="AJ77" s="64">
        <f t="shared" si="203"/>
        <v>2100006.0699999998</v>
      </c>
      <c r="AK77" s="64">
        <f t="shared" si="203"/>
        <v>0</v>
      </c>
      <c r="AL77" s="64">
        <f t="shared" si="203"/>
        <v>0</v>
      </c>
      <c r="AM77" s="84">
        <f t="shared" si="203"/>
        <v>37587493.980000004</v>
      </c>
      <c r="AN77" s="64">
        <f t="shared" si="203"/>
        <v>37587493.980000004</v>
      </c>
      <c r="AO77" s="64">
        <f t="shared" si="203"/>
        <v>370048.78</v>
      </c>
      <c r="AP77" s="64">
        <f t="shared" si="203"/>
        <v>0</v>
      </c>
      <c r="AQ77" s="64">
        <f t="shared" si="203"/>
        <v>0</v>
      </c>
      <c r="AR77" s="84">
        <f t="shared" si="203"/>
        <v>37957542.760000005</v>
      </c>
      <c r="AS77" s="64">
        <f t="shared" si="203"/>
        <v>37957542.760000005</v>
      </c>
      <c r="AT77" s="64">
        <f t="shared" ref="AT77:CA77" si="204">SUM(AT75:AT76)</f>
        <v>5818410.04</v>
      </c>
      <c r="AU77" s="64">
        <f t="shared" si="204"/>
        <v>0</v>
      </c>
      <c r="AV77" s="64">
        <f t="shared" si="204"/>
        <v>0</v>
      </c>
      <c r="AW77" s="84">
        <f t="shared" si="204"/>
        <v>43775952.800000004</v>
      </c>
      <c r="AX77" s="84">
        <f t="shared" si="204"/>
        <v>43775952.800000004</v>
      </c>
      <c r="AY77" s="84">
        <f t="shared" si="204"/>
        <v>822572.19</v>
      </c>
      <c r="AZ77" s="84">
        <f t="shared" si="204"/>
        <v>0</v>
      </c>
      <c r="BA77" s="84">
        <f t="shared" si="204"/>
        <v>0</v>
      </c>
      <c r="BB77" s="84">
        <f t="shared" si="204"/>
        <v>44598524.990000002</v>
      </c>
      <c r="BC77" s="84">
        <f t="shared" si="204"/>
        <v>44598524.990000002</v>
      </c>
      <c r="BD77" s="84">
        <f t="shared" si="204"/>
        <v>1390917.89</v>
      </c>
      <c r="BE77" s="84">
        <f t="shared" si="204"/>
        <v>0</v>
      </c>
      <c r="BF77" s="84">
        <f t="shared" si="204"/>
        <v>0</v>
      </c>
      <c r="BG77" s="84">
        <f t="shared" si="204"/>
        <v>45989442.880000003</v>
      </c>
      <c r="BH77" s="84">
        <f t="shared" si="204"/>
        <v>45989442.880000003</v>
      </c>
      <c r="BI77" s="84">
        <f t="shared" si="204"/>
        <v>3370104.14</v>
      </c>
      <c r="BJ77" s="84">
        <f t="shared" si="204"/>
        <v>0</v>
      </c>
      <c r="BK77" s="84">
        <f t="shared" si="204"/>
        <v>0</v>
      </c>
      <c r="BL77" s="84">
        <f t="shared" si="204"/>
        <v>49359547.020000003</v>
      </c>
      <c r="BM77" s="84">
        <f t="shared" si="204"/>
        <v>49359547.020000003</v>
      </c>
      <c r="BN77" s="84">
        <f t="shared" si="204"/>
        <v>0</v>
      </c>
      <c r="BO77" s="84">
        <f t="shared" si="204"/>
        <v>0</v>
      </c>
      <c r="BP77" s="84">
        <f t="shared" si="204"/>
        <v>0</v>
      </c>
      <c r="BQ77" s="84">
        <f t="shared" si="204"/>
        <v>49359547.020000003</v>
      </c>
      <c r="BR77" s="84">
        <f t="shared" si="204"/>
        <v>49359547.020000003</v>
      </c>
      <c r="BS77" s="84">
        <f t="shared" si="204"/>
        <v>0</v>
      </c>
      <c r="BT77" s="84">
        <f t="shared" si="204"/>
        <v>0</v>
      </c>
      <c r="BU77" s="84">
        <f t="shared" si="204"/>
        <v>0</v>
      </c>
      <c r="BV77" s="84">
        <f t="shared" si="204"/>
        <v>49359547.020000003</v>
      </c>
      <c r="BW77" s="84">
        <f t="shared" si="204"/>
        <v>49359547.020000003</v>
      </c>
      <c r="BX77" s="84">
        <f t="shared" si="204"/>
        <v>0</v>
      </c>
      <c r="BY77" s="84">
        <f t="shared" si="204"/>
        <v>0</v>
      </c>
      <c r="BZ77" s="84">
        <f t="shared" si="204"/>
        <v>0</v>
      </c>
      <c r="CA77" s="84">
        <f t="shared" si="204"/>
        <v>49359547.020000003</v>
      </c>
      <c r="CD77" s="84">
        <f>SUM(CD75:CD76)</f>
        <v>49359547.020000003</v>
      </c>
    </row>
    <row r="78" spans="2:191">
      <c r="B78" s="41"/>
      <c r="C78" s="41"/>
      <c r="D78" s="64"/>
      <c r="E78" s="64"/>
      <c r="F78" s="64"/>
      <c r="G78" s="64"/>
      <c r="H78" s="64"/>
      <c r="I78" s="64"/>
      <c r="J78" s="41"/>
      <c r="K78" s="64"/>
      <c r="L78" s="64"/>
      <c r="M78" s="64"/>
      <c r="N78" s="64"/>
      <c r="O78" s="41"/>
      <c r="P78" s="64"/>
      <c r="Q78" s="64"/>
      <c r="R78" s="64"/>
      <c r="S78" s="64"/>
      <c r="T78" s="41"/>
      <c r="U78" s="64"/>
      <c r="V78" s="64"/>
      <c r="W78" s="64"/>
      <c r="X78" s="64"/>
      <c r="Y78" s="41"/>
      <c r="Z78" s="64"/>
      <c r="AA78" s="64"/>
      <c r="AB78" s="64"/>
      <c r="AC78" s="64"/>
      <c r="AD78" s="41"/>
      <c r="AE78" s="64"/>
      <c r="AF78" s="64"/>
      <c r="AG78" s="64"/>
      <c r="AH78" s="64"/>
      <c r="AI78" s="41"/>
      <c r="AJ78" s="64"/>
      <c r="AK78" s="64"/>
      <c r="AL78" s="64"/>
      <c r="AM78" s="64"/>
      <c r="AN78" s="41"/>
      <c r="AO78" s="64"/>
      <c r="AP78" s="64"/>
      <c r="AQ78" s="64"/>
      <c r="AR78" s="64"/>
      <c r="AS78" s="41"/>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D78" s="64"/>
    </row>
    <row r="79" spans="2:191">
      <c r="B79" s="41" t="s">
        <v>1707</v>
      </c>
      <c r="C79" s="41" t="s">
        <v>1708</v>
      </c>
      <c r="D79" s="928">
        <v>-777092</v>
      </c>
      <c r="E79" s="929">
        <f>D79</f>
        <v>-777092</v>
      </c>
      <c r="F79" s="929"/>
      <c r="G79" s="929"/>
      <c r="H79" s="929"/>
      <c r="I79" s="928">
        <f>SUM(E79:H79)</f>
        <v>-777092</v>
      </c>
      <c r="J79" s="929">
        <f>I79</f>
        <v>-777092</v>
      </c>
      <c r="K79" s="929"/>
      <c r="L79" s="929"/>
      <c r="M79" s="929"/>
      <c r="N79" s="928">
        <f>SUM(J79:M79)</f>
        <v>-777092</v>
      </c>
      <c r="O79" s="929">
        <f>N79</f>
        <v>-777092</v>
      </c>
      <c r="P79" s="929"/>
      <c r="Q79" s="929"/>
      <c r="R79" s="929"/>
      <c r="S79" s="928">
        <f>SUM(O79:R79)</f>
        <v>-777092</v>
      </c>
      <c r="T79" s="929">
        <f>S79</f>
        <v>-777092</v>
      </c>
      <c r="U79" s="929"/>
      <c r="V79" s="929"/>
      <c r="W79" s="929"/>
      <c r="X79" s="928">
        <f>SUM(T79:W79)</f>
        <v>-777092</v>
      </c>
      <c r="Y79" s="929">
        <f>X79</f>
        <v>-777092</v>
      </c>
      <c r="Z79" s="929"/>
      <c r="AA79" s="929"/>
      <c r="AB79" s="929"/>
      <c r="AC79" s="928">
        <f>SUM(Y79:AB79)</f>
        <v>-777092</v>
      </c>
      <c r="AD79" s="929">
        <f>AC79</f>
        <v>-777092</v>
      </c>
      <c r="AE79" s="929"/>
      <c r="AF79" s="929"/>
      <c r="AG79" s="929"/>
      <c r="AH79" s="928">
        <f>SUM(AD79:AG79)</f>
        <v>-777092</v>
      </c>
      <c r="AI79" s="929">
        <f>AH79</f>
        <v>-777092</v>
      </c>
      <c r="AJ79" s="929"/>
      <c r="AK79" s="929"/>
      <c r="AL79" s="929"/>
      <c r="AM79" s="928">
        <f>SUM(AI79:AL79)</f>
        <v>-777092</v>
      </c>
      <c r="AN79" s="929">
        <f>AM79</f>
        <v>-777092</v>
      </c>
      <c r="AO79" s="929"/>
      <c r="AP79" s="929"/>
      <c r="AQ79" s="929"/>
      <c r="AR79" s="928">
        <f>SUM(AN79:AQ79)</f>
        <v>-777092</v>
      </c>
      <c r="AS79" s="929">
        <f>AR79</f>
        <v>-777092</v>
      </c>
      <c r="AT79" s="929"/>
      <c r="AU79" s="929"/>
      <c r="AV79" s="929"/>
      <c r="AW79" s="928">
        <f>SUM(AS79:AV79)</f>
        <v>-777092</v>
      </c>
      <c r="AX79" s="929">
        <f>AW79</f>
        <v>-777092</v>
      </c>
      <c r="AY79" s="929"/>
      <c r="AZ79" s="929"/>
      <c r="BA79" s="929"/>
      <c r="BB79" s="928">
        <f>SUM(AX79:BA79)</f>
        <v>-777092</v>
      </c>
      <c r="BC79" s="929">
        <f>BB79</f>
        <v>-777092</v>
      </c>
      <c r="BD79" s="929"/>
      <c r="BE79" s="929"/>
      <c r="BF79" s="929"/>
      <c r="BG79" s="928">
        <f>SUM(BC79:BF79)</f>
        <v>-777092</v>
      </c>
      <c r="BH79" s="929">
        <f>BG79</f>
        <v>-777092</v>
      </c>
      <c r="BI79" s="929"/>
      <c r="BJ79" s="929"/>
      <c r="BK79" s="929"/>
      <c r="BL79" s="928">
        <f>SUM(BH79:BK79)</f>
        <v>-777092</v>
      </c>
      <c r="BM79" s="929">
        <f>BL79</f>
        <v>-777092</v>
      </c>
      <c r="BN79" s="929"/>
      <c r="BO79" s="929"/>
      <c r="BP79" s="929"/>
      <c r="BQ79" s="928">
        <f>SUM(BM79:BP79)</f>
        <v>-777092</v>
      </c>
      <c r="BR79" s="929">
        <f>BQ79</f>
        <v>-777092</v>
      </c>
      <c r="BS79" s="929"/>
      <c r="BT79" s="929"/>
      <c r="BU79" s="929"/>
      <c r="BV79" s="928">
        <f>SUM(BR79:BU79)</f>
        <v>-777092</v>
      </c>
      <c r="BW79" s="929">
        <f>BV79</f>
        <v>-777092</v>
      </c>
      <c r="BX79" s="929"/>
      <c r="BY79" s="929"/>
      <c r="BZ79" s="929"/>
      <c r="CA79" s="928">
        <f>SUM(BW79:BZ79)</f>
        <v>-777092</v>
      </c>
      <c r="CD79" s="928">
        <f>BV79</f>
        <v>-777092</v>
      </c>
    </row>
    <row r="80" spans="2:191">
      <c r="B80" s="41">
        <v>114</v>
      </c>
      <c r="C80" s="41"/>
      <c r="D80" s="84">
        <f>SUM(D79)</f>
        <v>-777092</v>
      </c>
      <c r="E80" s="84">
        <f>SUM(E78:E79)</f>
        <v>-777092</v>
      </c>
      <c r="F80" s="84">
        <f t="shared" ref="F80:AW80" si="205">SUM(F79)</f>
        <v>0</v>
      </c>
      <c r="G80" s="84">
        <f t="shared" si="205"/>
        <v>0</v>
      </c>
      <c r="H80" s="84">
        <f t="shared" si="205"/>
        <v>0</v>
      </c>
      <c r="I80" s="84">
        <f t="shared" si="205"/>
        <v>-777092</v>
      </c>
      <c r="J80" s="64">
        <f t="shared" si="205"/>
        <v>-777092</v>
      </c>
      <c r="K80" s="64">
        <f t="shared" si="205"/>
        <v>0</v>
      </c>
      <c r="L80" s="64">
        <f t="shared" si="205"/>
        <v>0</v>
      </c>
      <c r="M80" s="64">
        <f t="shared" si="205"/>
        <v>0</v>
      </c>
      <c r="N80" s="84">
        <f t="shared" si="205"/>
        <v>-777092</v>
      </c>
      <c r="O80" s="64">
        <f t="shared" si="205"/>
        <v>-777092</v>
      </c>
      <c r="P80" s="64">
        <f t="shared" si="205"/>
        <v>0</v>
      </c>
      <c r="Q80" s="64">
        <f t="shared" si="205"/>
        <v>0</v>
      </c>
      <c r="R80" s="64">
        <f t="shared" si="205"/>
        <v>0</v>
      </c>
      <c r="S80" s="84">
        <f t="shared" si="205"/>
        <v>-777092</v>
      </c>
      <c r="T80" s="64">
        <f t="shared" si="205"/>
        <v>-777092</v>
      </c>
      <c r="U80" s="64">
        <f t="shared" si="205"/>
        <v>0</v>
      </c>
      <c r="V80" s="64">
        <f t="shared" si="205"/>
        <v>0</v>
      </c>
      <c r="W80" s="64">
        <f t="shared" si="205"/>
        <v>0</v>
      </c>
      <c r="X80" s="84">
        <f t="shared" si="205"/>
        <v>-777092</v>
      </c>
      <c r="Y80" s="64">
        <f t="shared" si="205"/>
        <v>-777092</v>
      </c>
      <c r="Z80" s="64">
        <f t="shared" si="205"/>
        <v>0</v>
      </c>
      <c r="AA80" s="64">
        <f t="shared" si="205"/>
        <v>0</v>
      </c>
      <c r="AB80" s="64">
        <f t="shared" si="205"/>
        <v>0</v>
      </c>
      <c r="AC80" s="84">
        <f t="shared" si="205"/>
        <v>-777092</v>
      </c>
      <c r="AD80" s="64">
        <f t="shared" si="205"/>
        <v>-777092</v>
      </c>
      <c r="AE80" s="64">
        <f t="shared" si="205"/>
        <v>0</v>
      </c>
      <c r="AF80" s="64">
        <f t="shared" si="205"/>
        <v>0</v>
      </c>
      <c r="AG80" s="64">
        <f t="shared" si="205"/>
        <v>0</v>
      </c>
      <c r="AH80" s="84">
        <f t="shared" si="205"/>
        <v>-777092</v>
      </c>
      <c r="AI80" s="64">
        <f t="shared" si="205"/>
        <v>-777092</v>
      </c>
      <c r="AJ80" s="64">
        <f t="shared" si="205"/>
        <v>0</v>
      </c>
      <c r="AK80" s="64">
        <f t="shared" si="205"/>
        <v>0</v>
      </c>
      <c r="AL80" s="64">
        <f t="shared" si="205"/>
        <v>0</v>
      </c>
      <c r="AM80" s="84">
        <f t="shared" si="205"/>
        <v>-777092</v>
      </c>
      <c r="AN80" s="64">
        <f t="shared" si="205"/>
        <v>-777092</v>
      </c>
      <c r="AO80" s="64">
        <f t="shared" si="205"/>
        <v>0</v>
      </c>
      <c r="AP80" s="64">
        <f t="shared" si="205"/>
        <v>0</v>
      </c>
      <c r="AQ80" s="64">
        <f t="shared" si="205"/>
        <v>0</v>
      </c>
      <c r="AR80" s="84">
        <f t="shared" si="205"/>
        <v>-777092</v>
      </c>
      <c r="AS80" s="64">
        <f t="shared" si="205"/>
        <v>-777092</v>
      </c>
      <c r="AT80" s="64">
        <f t="shared" si="205"/>
        <v>0</v>
      </c>
      <c r="AU80" s="64">
        <f t="shared" si="205"/>
        <v>0</v>
      </c>
      <c r="AV80" s="64">
        <f t="shared" si="205"/>
        <v>0</v>
      </c>
      <c r="AW80" s="84">
        <f t="shared" si="205"/>
        <v>-777092</v>
      </c>
      <c r="AX80" s="84">
        <f>SUM(AX78:AX79)</f>
        <v>-777092</v>
      </c>
      <c r="AY80" s="84">
        <f>SUM(AY79)</f>
        <v>0</v>
      </c>
      <c r="AZ80" s="84">
        <f>SUM(AZ79)</f>
        <v>0</v>
      </c>
      <c r="BA80" s="84">
        <f>SUM(BA79)</f>
        <v>0</v>
      </c>
      <c r="BB80" s="84">
        <f>SUM(BB79)</f>
        <v>-777092</v>
      </c>
      <c r="BC80" s="84">
        <f>SUM(BC78:BC79)</f>
        <v>-777092</v>
      </c>
      <c r="BD80" s="84">
        <f>SUM(BD79)</f>
        <v>0</v>
      </c>
      <c r="BE80" s="84">
        <f>SUM(BE79)</f>
        <v>0</v>
      </c>
      <c r="BF80" s="84">
        <f>SUM(BF79)</f>
        <v>0</v>
      </c>
      <c r="BG80" s="84">
        <f>SUM(BG79)</f>
        <v>-777092</v>
      </c>
      <c r="BH80" s="84">
        <f>SUM(BH78:BH79)</f>
        <v>-777092</v>
      </c>
      <c r="BI80" s="84">
        <f>SUM(BI79)</f>
        <v>0</v>
      </c>
      <c r="BJ80" s="84">
        <f>SUM(BJ79)</f>
        <v>0</v>
      </c>
      <c r="BK80" s="84">
        <f>SUM(BK79)</f>
        <v>0</v>
      </c>
      <c r="BL80" s="84">
        <f>SUM(BL79)</f>
        <v>-777092</v>
      </c>
      <c r="BM80" s="84">
        <f>SUM(BM78:BM79)</f>
        <v>-777092</v>
      </c>
      <c r="BN80" s="84">
        <f>SUM(BN79)</f>
        <v>0</v>
      </c>
      <c r="BO80" s="84">
        <f>SUM(BO79)</f>
        <v>0</v>
      </c>
      <c r="BP80" s="84">
        <f>SUM(BP79)</f>
        <v>0</v>
      </c>
      <c r="BQ80" s="84">
        <f>SUM(BQ79)</f>
        <v>-777092</v>
      </c>
      <c r="BR80" s="84">
        <f>SUM(BR78:BR79)</f>
        <v>-777092</v>
      </c>
      <c r="BS80" s="84">
        <f>SUM(BS79)</f>
        <v>0</v>
      </c>
      <c r="BT80" s="84">
        <f>SUM(BT79)</f>
        <v>0</v>
      </c>
      <c r="BU80" s="84">
        <f>SUM(BU79)</f>
        <v>0</v>
      </c>
      <c r="BV80" s="84">
        <f>SUM(BV79)</f>
        <v>-777092</v>
      </c>
      <c r="BW80" s="84">
        <f>SUM(BW78:BW79)</f>
        <v>-777092</v>
      </c>
      <c r="BX80" s="84">
        <f>SUM(BX79)</f>
        <v>0</v>
      </c>
      <c r="BY80" s="84">
        <f>SUM(BY79)</f>
        <v>0</v>
      </c>
      <c r="BZ80" s="84">
        <f>SUM(BZ79)</f>
        <v>0</v>
      </c>
      <c r="CA80" s="84">
        <f>SUM(CA79)</f>
        <v>-777092</v>
      </c>
      <c r="CD80" s="84">
        <f>SUM(CD79)</f>
        <v>-777092</v>
      </c>
    </row>
    <row r="81" spans="2:191">
      <c r="B81" s="57"/>
      <c r="D81" s="64"/>
      <c r="E81" s="64"/>
      <c r="F81" s="64"/>
      <c r="G81" s="64"/>
      <c r="H81" s="64"/>
      <c r="I81" s="64"/>
      <c r="J81" s="41"/>
      <c r="K81" s="64"/>
      <c r="L81" s="64"/>
      <c r="M81" s="64"/>
      <c r="N81" s="64"/>
      <c r="O81" s="41"/>
      <c r="P81" s="64"/>
      <c r="Q81" s="64"/>
      <c r="R81" s="64"/>
      <c r="S81" s="64"/>
      <c r="T81" s="41"/>
      <c r="U81" s="64"/>
      <c r="V81" s="64"/>
      <c r="W81" s="64"/>
      <c r="X81" s="64"/>
      <c r="Y81" s="41"/>
      <c r="Z81" s="64"/>
      <c r="AA81" s="64"/>
      <c r="AB81" s="64"/>
      <c r="AC81" s="64"/>
      <c r="AD81" s="41"/>
      <c r="AE81" s="64"/>
      <c r="AF81" s="64"/>
      <c r="AG81" s="64"/>
      <c r="AH81" s="64"/>
      <c r="AI81" s="41"/>
      <c r="AJ81" s="64"/>
      <c r="AK81" s="64"/>
      <c r="AL81" s="64"/>
      <c r="AM81" s="64"/>
      <c r="AN81" s="41"/>
      <c r="AO81" s="64"/>
      <c r="AP81" s="64"/>
      <c r="AQ81" s="64"/>
      <c r="AR81" s="64"/>
      <c r="AS81" s="41"/>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D81" s="64"/>
    </row>
    <row r="82" spans="2:191">
      <c r="B82" s="57"/>
      <c r="C82" s="41" t="s">
        <v>1709</v>
      </c>
      <c r="D82" s="86">
        <f t="shared" ref="D82:AI82" si="206">D73+D77+D80</f>
        <v>718244952.79999995</v>
      </c>
      <c r="E82" s="86">
        <f t="shared" si="206"/>
        <v>718244952.79999995</v>
      </c>
      <c r="F82" s="86">
        <f t="shared" si="206"/>
        <v>2825328.21</v>
      </c>
      <c r="G82" s="86">
        <f t="shared" si="206"/>
        <v>-616579.65</v>
      </c>
      <c r="H82" s="86">
        <f t="shared" si="206"/>
        <v>0</v>
      </c>
      <c r="I82" s="86">
        <f t="shared" si="206"/>
        <v>720453701.36000001</v>
      </c>
      <c r="J82" s="86">
        <f t="shared" si="206"/>
        <v>720453701.36000001</v>
      </c>
      <c r="K82" s="86">
        <f t="shared" si="206"/>
        <v>5473399.0600000005</v>
      </c>
      <c r="L82" s="86">
        <f t="shared" si="206"/>
        <v>-314943.48</v>
      </c>
      <c r="M82" s="86">
        <f t="shared" si="206"/>
        <v>0</v>
      </c>
      <c r="N82" s="86">
        <f t="shared" si="206"/>
        <v>725612156.93999994</v>
      </c>
      <c r="O82" s="86">
        <f t="shared" si="206"/>
        <v>725612156.93999994</v>
      </c>
      <c r="P82" s="86">
        <f t="shared" si="206"/>
        <v>6602310.3000000007</v>
      </c>
      <c r="Q82" s="86">
        <f t="shared" si="206"/>
        <v>-501294.91</v>
      </c>
      <c r="R82" s="86">
        <f t="shared" si="206"/>
        <v>0</v>
      </c>
      <c r="S82" s="86">
        <f t="shared" si="206"/>
        <v>731713172.32999992</v>
      </c>
      <c r="T82" s="86">
        <f t="shared" si="206"/>
        <v>731713172.32999992</v>
      </c>
      <c r="U82" s="86">
        <f t="shared" si="206"/>
        <v>3451379.0100000016</v>
      </c>
      <c r="V82" s="86">
        <f t="shared" si="206"/>
        <v>-3796085.83</v>
      </c>
      <c r="W82" s="86">
        <f t="shared" si="206"/>
        <v>0</v>
      </c>
      <c r="X82" s="86">
        <f t="shared" si="206"/>
        <v>731368465.50999987</v>
      </c>
      <c r="Y82" s="86">
        <f t="shared" si="206"/>
        <v>731368465.50999987</v>
      </c>
      <c r="Z82" s="86">
        <f t="shared" si="206"/>
        <v>8813436.3300000019</v>
      </c>
      <c r="AA82" s="86">
        <f t="shared" si="206"/>
        <v>-936963.92</v>
      </c>
      <c r="AB82" s="86">
        <f t="shared" si="206"/>
        <v>0</v>
      </c>
      <c r="AC82" s="86">
        <f t="shared" si="206"/>
        <v>739244937.92000008</v>
      </c>
      <c r="AD82" s="86">
        <f t="shared" si="206"/>
        <v>739244937.92000008</v>
      </c>
      <c r="AE82" s="86">
        <f t="shared" si="206"/>
        <v>6442198.7699999996</v>
      </c>
      <c r="AF82" s="86">
        <f t="shared" si="206"/>
        <v>-841224.1</v>
      </c>
      <c r="AG82" s="86">
        <f t="shared" si="206"/>
        <v>0</v>
      </c>
      <c r="AH82" s="86">
        <f t="shared" si="206"/>
        <v>744845912.58999991</v>
      </c>
      <c r="AI82" s="86">
        <f t="shared" si="206"/>
        <v>744845912.58999991</v>
      </c>
      <c r="AJ82" s="86">
        <f t="shared" ref="AJ82:BO82" si="207">AJ73+AJ77+AJ80</f>
        <v>5539110.2799999993</v>
      </c>
      <c r="AK82" s="86">
        <f t="shared" si="207"/>
        <v>-637118.43999999994</v>
      </c>
      <c r="AL82" s="86">
        <f t="shared" si="207"/>
        <v>0</v>
      </c>
      <c r="AM82" s="86">
        <f t="shared" si="207"/>
        <v>749747904.42999995</v>
      </c>
      <c r="AN82" s="86">
        <f t="shared" si="207"/>
        <v>749747904.42999995</v>
      </c>
      <c r="AO82" s="86">
        <f t="shared" si="207"/>
        <v>5294405.5600000005</v>
      </c>
      <c r="AP82" s="86">
        <f t="shared" si="207"/>
        <v>-392640</v>
      </c>
      <c r="AQ82" s="86">
        <f t="shared" si="207"/>
        <v>0</v>
      </c>
      <c r="AR82" s="86">
        <f t="shared" si="207"/>
        <v>754649669.98999989</v>
      </c>
      <c r="AS82" s="86">
        <f t="shared" si="207"/>
        <v>754649669.98999989</v>
      </c>
      <c r="AT82" s="86">
        <f t="shared" si="207"/>
        <v>9596644.9400000013</v>
      </c>
      <c r="AU82" s="86">
        <f t="shared" si="207"/>
        <v>-992493.44000000006</v>
      </c>
      <c r="AV82" s="86">
        <f t="shared" si="207"/>
        <v>0</v>
      </c>
      <c r="AW82" s="86">
        <f t="shared" si="207"/>
        <v>763253821.48999989</v>
      </c>
      <c r="AX82" s="86">
        <f t="shared" si="207"/>
        <v>763253821.48999989</v>
      </c>
      <c r="AY82" s="86">
        <f t="shared" si="207"/>
        <v>7694245.5099999998</v>
      </c>
      <c r="AZ82" s="86">
        <f t="shared" si="207"/>
        <v>-364906.9</v>
      </c>
      <c r="BA82" s="86">
        <f t="shared" si="207"/>
        <v>0</v>
      </c>
      <c r="BB82" s="86">
        <f t="shared" si="207"/>
        <v>770583160.10000002</v>
      </c>
      <c r="BC82" s="86">
        <f t="shared" si="207"/>
        <v>770583160.10000002</v>
      </c>
      <c r="BD82" s="86">
        <f t="shared" si="207"/>
        <v>7000382.1600000001</v>
      </c>
      <c r="BE82" s="86">
        <f t="shared" si="207"/>
        <v>-710779.49</v>
      </c>
      <c r="BF82" s="86">
        <f t="shared" si="207"/>
        <v>0</v>
      </c>
      <c r="BG82" s="86">
        <f t="shared" si="207"/>
        <v>776872762.76999998</v>
      </c>
      <c r="BH82" s="86">
        <f t="shared" si="207"/>
        <v>776872762.76999998</v>
      </c>
      <c r="BI82" s="86">
        <f t="shared" si="207"/>
        <v>9301917.8100000005</v>
      </c>
      <c r="BJ82" s="86">
        <f t="shared" si="207"/>
        <v>-1216347.56</v>
      </c>
      <c r="BK82" s="86">
        <f t="shared" si="207"/>
        <v>0</v>
      </c>
      <c r="BL82" s="86">
        <f t="shared" si="207"/>
        <v>784958333.0200001</v>
      </c>
      <c r="BM82" s="86">
        <f t="shared" si="207"/>
        <v>784958333.0200001</v>
      </c>
      <c r="BN82" s="86">
        <f t="shared" si="207"/>
        <v>0</v>
      </c>
      <c r="BO82" s="86">
        <f t="shared" si="207"/>
        <v>0</v>
      </c>
      <c r="BP82" s="86">
        <f t="shared" ref="BP82:CA82" si="208">BP73+BP77+BP80</f>
        <v>0</v>
      </c>
      <c r="BQ82" s="86">
        <f t="shared" si="208"/>
        <v>784958333.0200001</v>
      </c>
      <c r="BR82" s="86">
        <f t="shared" si="208"/>
        <v>784958333.0200001</v>
      </c>
      <c r="BS82" s="86">
        <f t="shared" si="208"/>
        <v>0</v>
      </c>
      <c r="BT82" s="86">
        <f t="shared" si="208"/>
        <v>0</v>
      </c>
      <c r="BU82" s="86">
        <f t="shared" si="208"/>
        <v>0</v>
      </c>
      <c r="BV82" s="86">
        <f t="shared" si="208"/>
        <v>784958333.0200001</v>
      </c>
      <c r="BW82" s="86">
        <f t="shared" si="208"/>
        <v>784958333.0200001</v>
      </c>
      <c r="BX82" s="86">
        <f t="shared" si="208"/>
        <v>0</v>
      </c>
      <c r="BY82" s="86">
        <f t="shared" si="208"/>
        <v>0</v>
      </c>
      <c r="BZ82" s="86">
        <f t="shared" si="208"/>
        <v>0</v>
      </c>
      <c r="CA82" s="86">
        <f t="shared" si="208"/>
        <v>784958333.0200001</v>
      </c>
      <c r="CD82" s="86">
        <f>CD73+CD77+CD80</f>
        <v>784958333.0200001</v>
      </c>
    </row>
    <row r="83" spans="2:191">
      <c r="B83" s="57"/>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D83" s="64"/>
    </row>
    <row r="84" spans="2:191">
      <c r="B84" s="57"/>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D84" s="64"/>
      <c r="DZ84" s="87" t="s">
        <v>1710</v>
      </c>
      <c r="EA84" s="59">
        <f>$BL$63</f>
        <v>784958333.01999998</v>
      </c>
      <c r="GH84" s="87" t="s">
        <v>1710</v>
      </c>
      <c r="GI84" s="59">
        <f>$BL$63</f>
        <v>784958333.01999998</v>
      </c>
    </row>
    <row r="85" spans="2:191">
      <c r="B85" s="57"/>
      <c r="C85" s="41" t="s">
        <v>678</v>
      </c>
      <c r="D85" s="64">
        <f t="shared" ref="D85:BO85" si="209">D63-D82</f>
        <v>0</v>
      </c>
      <c r="E85" s="64">
        <f t="shared" si="209"/>
        <v>0</v>
      </c>
      <c r="F85" s="64">
        <f t="shared" si="209"/>
        <v>0</v>
      </c>
      <c r="G85" s="64">
        <f t="shared" si="209"/>
        <v>0</v>
      </c>
      <c r="H85" s="64">
        <f t="shared" si="209"/>
        <v>0</v>
      </c>
      <c r="I85" s="64">
        <f t="shared" si="209"/>
        <v>0</v>
      </c>
      <c r="J85" s="64">
        <f t="shared" si="209"/>
        <v>0</v>
      </c>
      <c r="K85" s="64">
        <f t="shared" si="209"/>
        <v>0</v>
      </c>
      <c r="L85" s="64">
        <f t="shared" si="209"/>
        <v>0</v>
      </c>
      <c r="M85" s="64">
        <f t="shared" si="209"/>
        <v>0</v>
      </c>
      <c r="N85" s="64">
        <f t="shared" si="209"/>
        <v>0</v>
      </c>
      <c r="O85" s="64">
        <f t="shared" si="209"/>
        <v>0</v>
      </c>
      <c r="P85" s="64">
        <f t="shared" si="209"/>
        <v>0</v>
      </c>
      <c r="Q85" s="64">
        <f t="shared" si="209"/>
        <v>0</v>
      </c>
      <c r="R85" s="64">
        <f t="shared" si="209"/>
        <v>0</v>
      </c>
      <c r="S85" s="64">
        <f t="shared" si="209"/>
        <v>0</v>
      </c>
      <c r="T85" s="64">
        <f t="shared" si="209"/>
        <v>0</v>
      </c>
      <c r="U85" s="64">
        <f t="shared" si="209"/>
        <v>0</v>
      </c>
      <c r="V85" s="64">
        <f t="shared" si="209"/>
        <v>0</v>
      </c>
      <c r="W85" s="64">
        <f t="shared" si="209"/>
        <v>0</v>
      </c>
      <c r="X85" s="64">
        <f t="shared" si="209"/>
        <v>0</v>
      </c>
      <c r="Y85" s="64">
        <f t="shared" si="209"/>
        <v>0</v>
      </c>
      <c r="Z85" s="64">
        <f t="shared" si="209"/>
        <v>0</v>
      </c>
      <c r="AA85" s="64">
        <f t="shared" si="209"/>
        <v>0</v>
      </c>
      <c r="AB85" s="64">
        <f t="shared" si="209"/>
        <v>0</v>
      </c>
      <c r="AC85" s="64">
        <f t="shared" si="209"/>
        <v>0</v>
      </c>
      <c r="AD85" s="64">
        <f t="shared" si="209"/>
        <v>0</v>
      </c>
      <c r="AE85" s="64">
        <f t="shared" si="209"/>
        <v>0</v>
      </c>
      <c r="AF85" s="64">
        <f t="shared" si="209"/>
        <v>0</v>
      </c>
      <c r="AG85" s="64">
        <f t="shared" si="209"/>
        <v>0</v>
      </c>
      <c r="AH85" s="64">
        <f t="shared" si="209"/>
        <v>0</v>
      </c>
      <c r="AI85" s="64">
        <f t="shared" si="209"/>
        <v>0</v>
      </c>
      <c r="AJ85" s="64">
        <f t="shared" si="209"/>
        <v>0</v>
      </c>
      <c r="AK85" s="64">
        <f t="shared" si="209"/>
        <v>0</v>
      </c>
      <c r="AL85" s="64">
        <f t="shared" si="209"/>
        <v>0</v>
      </c>
      <c r="AM85" s="64">
        <f t="shared" si="209"/>
        <v>0</v>
      </c>
      <c r="AN85" s="64">
        <f t="shared" si="209"/>
        <v>0</v>
      </c>
      <c r="AO85" s="64">
        <f t="shared" si="209"/>
        <v>0</v>
      </c>
      <c r="AP85" s="64">
        <f t="shared" si="209"/>
        <v>0</v>
      </c>
      <c r="AQ85" s="64">
        <f t="shared" si="209"/>
        <v>0</v>
      </c>
      <c r="AR85" s="64">
        <f t="shared" si="209"/>
        <v>0</v>
      </c>
      <c r="AS85" s="64">
        <f t="shared" si="209"/>
        <v>0</v>
      </c>
      <c r="AT85" s="64">
        <f t="shared" si="209"/>
        <v>0</v>
      </c>
      <c r="AU85" s="64">
        <f t="shared" si="209"/>
        <v>0</v>
      </c>
      <c r="AV85" s="64">
        <f t="shared" si="209"/>
        <v>0</v>
      </c>
      <c r="AW85" s="64">
        <f t="shared" si="209"/>
        <v>0</v>
      </c>
      <c r="AX85" s="64">
        <f t="shared" si="209"/>
        <v>0</v>
      </c>
      <c r="AY85" s="64">
        <f t="shared" si="209"/>
        <v>0</v>
      </c>
      <c r="AZ85" s="64">
        <f t="shared" si="209"/>
        <v>0</v>
      </c>
      <c r="BA85" s="64">
        <f t="shared" si="209"/>
        <v>0</v>
      </c>
      <c r="BB85" s="64">
        <f t="shared" si="209"/>
        <v>0</v>
      </c>
      <c r="BC85" s="64">
        <f t="shared" si="209"/>
        <v>0</v>
      </c>
      <c r="BD85" s="64">
        <f t="shared" si="209"/>
        <v>0</v>
      </c>
      <c r="BE85" s="64">
        <f t="shared" si="209"/>
        <v>0</v>
      </c>
      <c r="BF85" s="64">
        <f t="shared" si="209"/>
        <v>0</v>
      </c>
      <c r="BG85" s="64">
        <f t="shared" si="209"/>
        <v>0</v>
      </c>
      <c r="BH85" s="64">
        <f t="shared" si="209"/>
        <v>0</v>
      </c>
      <c r="BI85" s="64">
        <f t="shared" si="209"/>
        <v>0</v>
      </c>
      <c r="BJ85" s="64">
        <f t="shared" si="209"/>
        <v>0</v>
      </c>
      <c r="BK85" s="64">
        <f t="shared" si="209"/>
        <v>0</v>
      </c>
      <c r="BL85" s="64">
        <f t="shared" si="209"/>
        <v>0</v>
      </c>
      <c r="BM85" s="64">
        <f t="shared" si="209"/>
        <v>0</v>
      </c>
      <c r="BN85" s="64">
        <f t="shared" si="209"/>
        <v>2567082.5000000005</v>
      </c>
      <c r="BO85" s="64">
        <f t="shared" si="209"/>
        <v>-696638.12</v>
      </c>
      <c r="BP85" s="64">
        <f t="shared" ref="BP85:CA85" si="210">BP63-BP82</f>
        <v>0</v>
      </c>
      <c r="BQ85" s="64">
        <f t="shared" si="210"/>
        <v>1870444.3799999952</v>
      </c>
      <c r="BR85" s="64">
        <f t="shared" si="210"/>
        <v>1870444.3799999952</v>
      </c>
      <c r="BS85" s="64">
        <f t="shared" si="210"/>
        <v>3462412.8199999994</v>
      </c>
      <c r="BT85" s="64">
        <f t="shared" si="210"/>
        <v>-325505.97000000003</v>
      </c>
      <c r="BU85" s="64">
        <f t="shared" si="210"/>
        <v>0</v>
      </c>
      <c r="BV85" s="64">
        <f t="shared" si="210"/>
        <v>5007351.2299997807</v>
      </c>
      <c r="BW85" s="64">
        <f t="shared" si="210"/>
        <v>5007351.2299997807</v>
      </c>
      <c r="BX85" s="64">
        <f t="shared" si="210"/>
        <v>5044253.7699999986</v>
      </c>
      <c r="BY85" s="64">
        <f t="shared" si="210"/>
        <v>-607877.47</v>
      </c>
      <c r="BZ85" s="64">
        <f t="shared" si="210"/>
        <v>0</v>
      </c>
      <c r="CA85" s="64">
        <f t="shared" si="210"/>
        <v>9443727.5299999714</v>
      </c>
      <c r="CD85" s="64">
        <f>CD63-CD82</f>
        <v>5007351.2299997807</v>
      </c>
      <c r="DZ85" s="87" t="s">
        <v>1711</v>
      </c>
      <c r="EA85" s="59">
        <v>60999242.020000003</v>
      </c>
      <c r="GH85" s="87" t="s">
        <v>1711</v>
      </c>
      <c r="GI85" s="59">
        <v>60999242.020000003</v>
      </c>
    </row>
    <row r="86" spans="2:191">
      <c r="B86" s="57"/>
      <c r="DZ86" s="87" t="s">
        <v>1712</v>
      </c>
      <c r="EA86" s="59">
        <v>-9182482.5700000003</v>
      </c>
      <c r="GH86" s="87" t="s">
        <v>1713</v>
      </c>
      <c r="GI86" s="59">
        <v>59152939.299999997</v>
      </c>
    </row>
    <row r="87" spans="2:191">
      <c r="B87" s="57"/>
      <c r="DZ87" s="87" t="s">
        <v>1714</v>
      </c>
      <c r="EA87" s="59">
        <v>513043.7</v>
      </c>
      <c r="GH87" s="87" t="s">
        <v>1712</v>
      </c>
      <c r="GI87" s="59">
        <v>-9182482.5700000003</v>
      </c>
    </row>
    <row r="88" spans="2:191">
      <c r="B88" s="57"/>
      <c r="DZ88" s="87" t="s">
        <v>1715</v>
      </c>
      <c r="EA88" s="59">
        <v>-90244.36</v>
      </c>
      <c r="GH88" s="87" t="s">
        <v>1716</v>
      </c>
      <c r="GI88" s="59">
        <v>-6427056.5899999999</v>
      </c>
    </row>
    <row r="89" spans="2:191">
      <c r="B89" s="52" t="s">
        <v>1717</v>
      </c>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DZ89" s="87" t="s">
        <v>1718</v>
      </c>
      <c r="EA89" s="59">
        <v>3490302.53</v>
      </c>
      <c r="GH89" s="87" t="s">
        <v>1714</v>
      </c>
      <c r="GI89" s="59">
        <v>513043.7</v>
      </c>
    </row>
    <row r="90" spans="2:191">
      <c r="B90" s="57" t="s">
        <v>1719</v>
      </c>
      <c r="D90" s="59">
        <v>8764035.1500000004</v>
      </c>
      <c r="I90" s="59">
        <v>8713157.5600000005</v>
      </c>
      <c r="N90" s="59">
        <v>9605758.5099999998</v>
      </c>
      <c r="S90" s="59">
        <v>9587806.1099999994</v>
      </c>
      <c r="X90" s="59">
        <v>9677517.9800000004</v>
      </c>
      <c r="AC90" s="59">
        <v>10240329.949999999</v>
      </c>
      <c r="AH90" s="59">
        <v>10287203.09</v>
      </c>
      <c r="AM90" s="59">
        <v>10342922</v>
      </c>
      <c r="AR90" s="59">
        <v>10741968.51</v>
      </c>
      <c r="AW90" s="59">
        <v>10800640.52</v>
      </c>
      <c r="BC90" s="59">
        <v>10778451.84</v>
      </c>
      <c r="BG90" s="59">
        <v>10873356.08</v>
      </c>
      <c r="BL90" s="59">
        <v>11267361.82</v>
      </c>
      <c r="DZ90" s="87" t="s">
        <v>1720</v>
      </c>
      <c r="EA90" s="930">
        <v>-3590659.55</v>
      </c>
      <c r="GH90" s="87" t="s">
        <v>1721</v>
      </c>
      <c r="GI90" s="59">
        <v>1413293.7</v>
      </c>
    </row>
    <row r="91" spans="2:191">
      <c r="B91" s="57" t="s">
        <v>1722</v>
      </c>
      <c r="D91" s="931">
        <v>1835259.02</v>
      </c>
      <c r="I91" s="931">
        <v>1835259.02</v>
      </c>
      <c r="N91" s="931">
        <v>1835259.02</v>
      </c>
      <c r="S91" s="931">
        <v>1835259.02</v>
      </c>
      <c r="X91" s="931">
        <v>1835259.02</v>
      </c>
      <c r="AC91" s="931">
        <v>1836202.29</v>
      </c>
      <c r="AH91" s="931">
        <v>1836202.29</v>
      </c>
      <c r="AM91" s="931">
        <v>1836202.29</v>
      </c>
      <c r="AR91" s="931">
        <v>1836202.29</v>
      </c>
      <c r="AW91" s="931">
        <v>1836202.29</v>
      </c>
      <c r="BC91" s="931">
        <v>1836202.29</v>
      </c>
      <c r="BG91" s="931">
        <v>1836202.29</v>
      </c>
      <c r="BL91" s="931">
        <v>1836202.29</v>
      </c>
      <c r="EA91" s="59">
        <f>SUM(EA84:EA90)</f>
        <v>837097534.78999996</v>
      </c>
      <c r="GH91" s="87" t="s">
        <v>1715</v>
      </c>
      <c r="GI91" s="59">
        <v>-90244.39</v>
      </c>
    </row>
    <row r="92" spans="2:191">
      <c r="B92" s="57"/>
      <c r="D92" s="59">
        <f>SUM(D90:D91)</f>
        <v>10599294.17</v>
      </c>
      <c r="I92" s="59">
        <f>SUM(I90:I91)</f>
        <v>10548416.58</v>
      </c>
      <c r="N92" s="59">
        <f>SUM(N90:N91)</f>
        <v>11441017.529999999</v>
      </c>
      <c r="S92" s="59">
        <f>SUM(S90:S91)</f>
        <v>11423065.129999999</v>
      </c>
      <c r="X92" s="59">
        <f>SUM(X90:X91)</f>
        <v>11512777</v>
      </c>
      <c r="AC92" s="59">
        <f>SUM(AC90:AC91)</f>
        <v>12076532.239999998</v>
      </c>
      <c r="AH92" s="59">
        <f>SUM(AH90:AH91)</f>
        <v>12123405.379999999</v>
      </c>
      <c r="AM92" s="59">
        <f>SUM(AM90:AM91)</f>
        <v>12179124.289999999</v>
      </c>
      <c r="AR92" s="59">
        <f>SUM(AR90:AR91)</f>
        <v>12578170.800000001</v>
      </c>
      <c r="AW92" s="59">
        <f>SUM(AW90:AW91)</f>
        <v>12636842.809999999</v>
      </c>
      <c r="BC92" s="59">
        <f>SUM(BC90:BC91)</f>
        <v>12614654.129999999</v>
      </c>
      <c r="BG92" s="59">
        <f>SUM(BG90:BG91)</f>
        <v>12709558.370000001</v>
      </c>
      <c r="BL92" s="59">
        <f>SUM(BL90:BL91)</f>
        <v>13103564.109999999</v>
      </c>
      <c r="EA92" s="59"/>
      <c r="GH92" s="87" t="s">
        <v>1723</v>
      </c>
      <c r="GI92" s="59">
        <v>-248598.36</v>
      </c>
    </row>
    <row r="93" spans="2:191">
      <c r="B93" s="57" t="s">
        <v>40</v>
      </c>
      <c r="D93" s="89">
        <f>D92-D10</f>
        <v>0</v>
      </c>
      <c r="I93" s="89">
        <f>I92-I10</f>
        <v>0</v>
      </c>
      <c r="N93" s="89">
        <f>N92-N10</f>
        <v>0</v>
      </c>
      <c r="S93" s="89">
        <f>S92-S10</f>
        <v>0</v>
      </c>
      <c r="X93" s="89">
        <f>X92-X10</f>
        <v>0</v>
      </c>
      <c r="AC93" s="89">
        <f>AC92-AC10</f>
        <v>0</v>
      </c>
      <c r="AH93" s="89">
        <f>AH92-AH10</f>
        <v>0</v>
      </c>
      <c r="AM93" s="89">
        <f>AM92-AM10</f>
        <v>0</v>
      </c>
      <c r="AR93" s="89">
        <f>AR92-AR10</f>
        <v>0</v>
      </c>
      <c r="AW93" s="89">
        <f>AW92-AW10</f>
        <v>0</v>
      </c>
      <c r="BC93" s="89">
        <f>BC92-BC10</f>
        <v>0</v>
      </c>
      <c r="BG93" s="89">
        <f>BG92-BG10</f>
        <v>0</v>
      </c>
      <c r="BL93" s="89">
        <f>BL92-BL10</f>
        <v>0</v>
      </c>
      <c r="DZ93" s="87" t="s">
        <v>1724</v>
      </c>
      <c r="EA93" s="59">
        <f>EA63-EA91</f>
        <v>609867.17255032063</v>
      </c>
      <c r="GH93" s="87" t="s">
        <v>1718</v>
      </c>
      <c r="GI93" s="59">
        <v>3490302.53</v>
      </c>
    </row>
    <row r="94" spans="2:191">
      <c r="GH94" s="87" t="s">
        <v>1725</v>
      </c>
      <c r="GI94" s="59">
        <v>8226982.8700000001</v>
      </c>
    </row>
    <row r="95" spans="2:191">
      <c r="GH95" s="87" t="s">
        <v>1720</v>
      </c>
      <c r="GI95" s="59">
        <v>-3590659.55</v>
      </c>
    </row>
    <row r="96" spans="2:191">
      <c r="GH96" s="87" t="s">
        <v>1726</v>
      </c>
      <c r="GI96" s="930">
        <v>-1331875.3</v>
      </c>
    </row>
    <row r="97" spans="2:191">
      <c r="GI97" s="59">
        <f>SUM(GI84:GI96)</f>
        <v>897883220.38</v>
      </c>
    </row>
    <row r="98" spans="2:191">
      <c r="GI98" s="59"/>
    </row>
    <row r="99" spans="2:191">
      <c r="B99" s="42">
        <v>376</v>
      </c>
      <c r="C99" s="41" t="s">
        <v>576</v>
      </c>
      <c r="D99" s="64">
        <f t="shared" ref="D99:AW99" si="211">D26</f>
        <v>399913803.00999999</v>
      </c>
      <c r="E99" s="64">
        <f t="shared" si="211"/>
        <v>399913803.00999999</v>
      </c>
      <c r="F99" s="64">
        <f t="shared" si="211"/>
        <v>771626.61999999988</v>
      </c>
      <c r="G99" s="64">
        <f t="shared" si="211"/>
        <v>-7748.31</v>
      </c>
      <c r="H99" s="64">
        <f t="shared" si="211"/>
        <v>0</v>
      </c>
      <c r="I99" s="64">
        <f t="shared" si="211"/>
        <v>400677681.31999999</v>
      </c>
      <c r="J99" s="64">
        <f t="shared" si="211"/>
        <v>400677681.31999999</v>
      </c>
      <c r="K99" s="64">
        <f t="shared" si="211"/>
        <v>2115302.58</v>
      </c>
      <c r="L99" s="64">
        <f t="shared" si="211"/>
        <v>-67615.86</v>
      </c>
      <c r="M99" s="64">
        <f t="shared" si="211"/>
        <v>0</v>
      </c>
      <c r="N99" s="64">
        <f t="shared" si="211"/>
        <v>402725368.04000008</v>
      </c>
      <c r="O99" s="64">
        <f t="shared" si="211"/>
        <v>402725368.04000008</v>
      </c>
      <c r="P99" s="64">
        <f t="shared" si="211"/>
        <v>4227677.8699999992</v>
      </c>
      <c r="Q99" s="64">
        <f t="shared" si="211"/>
        <v>-126444.81</v>
      </c>
      <c r="R99" s="64">
        <f t="shared" si="211"/>
        <v>0</v>
      </c>
      <c r="S99" s="64">
        <f t="shared" si="211"/>
        <v>406826601.10000002</v>
      </c>
      <c r="T99" s="64">
        <f t="shared" si="211"/>
        <v>406826601.10000002</v>
      </c>
      <c r="U99" s="64">
        <f t="shared" si="211"/>
        <v>1087572.4700000007</v>
      </c>
      <c r="V99" s="64">
        <f t="shared" si="211"/>
        <v>-286844.15000000002</v>
      </c>
      <c r="W99" s="64">
        <f t="shared" si="211"/>
        <v>0</v>
      </c>
      <c r="X99" s="64">
        <f t="shared" si="211"/>
        <v>407627329.42000002</v>
      </c>
      <c r="Y99" s="64">
        <f t="shared" si="211"/>
        <v>407627329.42000002</v>
      </c>
      <c r="Z99" s="64">
        <f t="shared" si="211"/>
        <v>5034456.46</v>
      </c>
      <c r="AA99" s="64">
        <f t="shared" si="211"/>
        <v>-135584.66999999998</v>
      </c>
      <c r="AB99" s="64">
        <f t="shared" si="211"/>
        <v>0</v>
      </c>
      <c r="AC99" s="64">
        <f t="shared" si="211"/>
        <v>412526201.20999998</v>
      </c>
      <c r="AD99" s="64">
        <f t="shared" si="211"/>
        <v>412526201.20999998</v>
      </c>
      <c r="AE99" s="64">
        <f t="shared" si="211"/>
        <v>4380523.63</v>
      </c>
      <c r="AF99" s="64">
        <f t="shared" si="211"/>
        <v>-141091.80000000002</v>
      </c>
      <c r="AG99" s="64">
        <f t="shared" si="211"/>
        <v>0</v>
      </c>
      <c r="AH99" s="64">
        <f t="shared" si="211"/>
        <v>416765633.04000002</v>
      </c>
      <c r="AI99" s="64">
        <f t="shared" si="211"/>
        <v>416765633.04000002</v>
      </c>
      <c r="AJ99" s="64">
        <f t="shared" si="211"/>
        <v>3545220.2199999997</v>
      </c>
      <c r="AK99" s="64">
        <f t="shared" si="211"/>
        <v>-149359.89000000001</v>
      </c>
      <c r="AL99" s="64">
        <f t="shared" si="211"/>
        <v>0</v>
      </c>
      <c r="AM99" s="64">
        <f t="shared" si="211"/>
        <v>420161493.36999995</v>
      </c>
      <c r="AN99" s="64">
        <f t="shared" si="211"/>
        <v>420161493.36999995</v>
      </c>
      <c r="AO99" s="64">
        <f t="shared" si="211"/>
        <v>1732880.47</v>
      </c>
      <c r="AP99" s="64">
        <f t="shared" si="211"/>
        <v>-18845.41</v>
      </c>
      <c r="AQ99" s="64">
        <f t="shared" si="211"/>
        <v>0</v>
      </c>
      <c r="AR99" s="64">
        <f t="shared" si="211"/>
        <v>421875528.43000001</v>
      </c>
      <c r="AS99" s="64">
        <f t="shared" si="211"/>
        <v>421875528.43000001</v>
      </c>
      <c r="AT99" s="64">
        <f t="shared" si="211"/>
        <v>7087186.6900000004</v>
      </c>
      <c r="AU99" s="64">
        <f t="shared" si="211"/>
        <v>-451617.27</v>
      </c>
      <c r="AV99" s="64">
        <f t="shared" si="211"/>
        <v>0</v>
      </c>
      <c r="AW99" s="64">
        <f t="shared" si="211"/>
        <v>428511097.84999996</v>
      </c>
      <c r="GH99" s="87" t="s">
        <v>1724</v>
      </c>
      <c r="GI99" s="59">
        <f>GI63-GI97</f>
        <v>-3298897.1658729315</v>
      </c>
    </row>
    <row r="100" spans="2:191">
      <c r="B100" s="42">
        <v>378.2</v>
      </c>
      <c r="C100" s="41" t="s">
        <v>395</v>
      </c>
      <c r="D100" s="64">
        <f t="shared" ref="D100:AW100" si="212">D28</f>
        <v>24969814.460000001</v>
      </c>
      <c r="E100" s="64">
        <f t="shared" si="212"/>
        <v>24969814.460000001</v>
      </c>
      <c r="F100" s="64">
        <f t="shared" si="212"/>
        <v>0</v>
      </c>
      <c r="G100" s="64">
        <f t="shared" si="212"/>
        <v>-32849.590000000004</v>
      </c>
      <c r="H100" s="64">
        <f t="shared" si="212"/>
        <v>0</v>
      </c>
      <c r="I100" s="64">
        <f t="shared" si="212"/>
        <v>24936964.870000001</v>
      </c>
      <c r="J100" s="64">
        <f t="shared" si="212"/>
        <v>24936964.870000001</v>
      </c>
      <c r="K100" s="64">
        <f t="shared" si="212"/>
        <v>161.93</v>
      </c>
      <c r="L100" s="64">
        <f t="shared" si="212"/>
        <v>-6092.8</v>
      </c>
      <c r="M100" s="64">
        <f t="shared" si="212"/>
        <v>0</v>
      </c>
      <c r="N100" s="64">
        <f t="shared" si="212"/>
        <v>24931034</v>
      </c>
      <c r="O100" s="64">
        <f t="shared" si="212"/>
        <v>24931034</v>
      </c>
      <c r="P100" s="64">
        <f t="shared" si="212"/>
        <v>0</v>
      </c>
      <c r="Q100" s="64">
        <f t="shared" si="212"/>
        <v>-17244.22</v>
      </c>
      <c r="R100" s="64">
        <f t="shared" si="212"/>
        <v>0</v>
      </c>
      <c r="S100" s="64">
        <f t="shared" si="212"/>
        <v>24913789.780000001</v>
      </c>
      <c r="T100" s="64">
        <f t="shared" si="212"/>
        <v>24913789.780000001</v>
      </c>
      <c r="U100" s="64">
        <f t="shared" si="212"/>
        <v>0</v>
      </c>
      <c r="V100" s="64">
        <f t="shared" si="212"/>
        <v>-28848.57</v>
      </c>
      <c r="W100" s="64">
        <f t="shared" si="212"/>
        <v>0</v>
      </c>
      <c r="X100" s="64">
        <f t="shared" si="212"/>
        <v>24879752.030000001</v>
      </c>
      <c r="Y100" s="64">
        <f t="shared" si="212"/>
        <v>24879752.030000001</v>
      </c>
      <c r="Z100" s="64">
        <f t="shared" si="212"/>
        <v>324846.16000000003</v>
      </c>
      <c r="AA100" s="64">
        <f t="shared" si="212"/>
        <v>-10457.33</v>
      </c>
      <c r="AB100" s="64">
        <f t="shared" si="212"/>
        <v>0</v>
      </c>
      <c r="AC100" s="64">
        <f t="shared" si="212"/>
        <v>25274131.690000001</v>
      </c>
      <c r="AD100" s="64">
        <f t="shared" si="212"/>
        <v>25274131.690000001</v>
      </c>
      <c r="AE100" s="64">
        <f t="shared" si="212"/>
        <v>10172.579999999987</v>
      </c>
      <c r="AF100" s="64">
        <f t="shared" si="212"/>
        <v>-98607.48</v>
      </c>
      <c r="AG100" s="64">
        <f t="shared" si="212"/>
        <v>0</v>
      </c>
      <c r="AH100" s="64">
        <f t="shared" si="212"/>
        <v>25185696.790000003</v>
      </c>
      <c r="AI100" s="64">
        <f t="shared" si="212"/>
        <v>25185696.790000003</v>
      </c>
      <c r="AJ100" s="64">
        <f t="shared" si="212"/>
        <v>30584.920000000002</v>
      </c>
      <c r="AK100" s="64">
        <f t="shared" si="212"/>
        <v>-90900.479999999996</v>
      </c>
      <c r="AL100" s="64">
        <f t="shared" si="212"/>
        <v>0</v>
      </c>
      <c r="AM100" s="64">
        <f t="shared" si="212"/>
        <v>25125381.23</v>
      </c>
      <c r="AN100" s="64">
        <f t="shared" si="212"/>
        <v>25125381.23</v>
      </c>
      <c r="AO100" s="64">
        <f t="shared" si="212"/>
        <v>-7189.3600000000006</v>
      </c>
      <c r="AP100" s="64">
        <f t="shared" si="212"/>
        <v>-73755.900000000009</v>
      </c>
      <c r="AQ100" s="64">
        <f t="shared" si="212"/>
        <v>0</v>
      </c>
      <c r="AR100" s="64">
        <f t="shared" si="212"/>
        <v>25044435.970000003</v>
      </c>
      <c r="AS100" s="64">
        <f t="shared" si="212"/>
        <v>25044435.970000003</v>
      </c>
      <c r="AT100" s="64">
        <f t="shared" si="212"/>
        <v>76624.100000000006</v>
      </c>
      <c r="AU100" s="64">
        <f t="shared" si="212"/>
        <v>-42418.090000000004</v>
      </c>
      <c r="AV100" s="64">
        <f t="shared" si="212"/>
        <v>0</v>
      </c>
      <c r="AW100" s="64">
        <f t="shared" si="212"/>
        <v>25078641.98</v>
      </c>
    </row>
    <row r="101" spans="2:191">
      <c r="B101" s="42">
        <v>380</v>
      </c>
      <c r="C101" s="41" t="s">
        <v>398</v>
      </c>
      <c r="D101" s="64">
        <f t="shared" ref="D101:AW101" si="213">D31</f>
        <v>192516615.68999997</v>
      </c>
      <c r="E101" s="64">
        <f t="shared" si="213"/>
        <v>192516615.68999997</v>
      </c>
      <c r="F101" s="64">
        <f t="shared" si="213"/>
        <v>1664903.0700000003</v>
      </c>
      <c r="G101" s="64">
        <f t="shared" si="213"/>
        <v>-332499.81000000006</v>
      </c>
      <c r="H101" s="64">
        <f t="shared" si="213"/>
        <v>0</v>
      </c>
      <c r="I101" s="64">
        <f t="shared" si="213"/>
        <v>193849018.94999999</v>
      </c>
      <c r="J101" s="64">
        <f t="shared" si="213"/>
        <v>193849018.94999999</v>
      </c>
      <c r="K101" s="64">
        <f t="shared" si="213"/>
        <v>1642537.02</v>
      </c>
      <c r="L101" s="64">
        <f t="shared" si="213"/>
        <v>-139753.89000000001</v>
      </c>
      <c r="M101" s="64">
        <f t="shared" si="213"/>
        <v>0</v>
      </c>
      <c r="N101" s="64">
        <f t="shared" si="213"/>
        <v>195351802.07999998</v>
      </c>
      <c r="O101" s="64">
        <f t="shared" si="213"/>
        <v>195351802.07999998</v>
      </c>
      <c r="P101" s="64">
        <f t="shared" si="213"/>
        <v>1833806.04</v>
      </c>
      <c r="Q101" s="64">
        <f t="shared" si="213"/>
        <v>-230236.78</v>
      </c>
      <c r="R101" s="64">
        <f t="shared" si="213"/>
        <v>0</v>
      </c>
      <c r="S101" s="64">
        <f t="shared" si="213"/>
        <v>196955371.34</v>
      </c>
      <c r="T101" s="64">
        <f t="shared" si="213"/>
        <v>196955371.34</v>
      </c>
      <c r="U101" s="64">
        <f t="shared" si="213"/>
        <v>1869327.07</v>
      </c>
      <c r="V101" s="64">
        <f t="shared" si="213"/>
        <v>-226669.43</v>
      </c>
      <c r="W101" s="64">
        <f t="shared" si="213"/>
        <v>0</v>
      </c>
      <c r="X101" s="64">
        <f t="shared" si="213"/>
        <v>198598028.97999999</v>
      </c>
      <c r="Y101" s="64">
        <f t="shared" si="213"/>
        <v>198598028.97999999</v>
      </c>
      <c r="Z101" s="64">
        <f t="shared" si="213"/>
        <v>2059813.0699999998</v>
      </c>
      <c r="AA101" s="64">
        <f t="shared" si="213"/>
        <v>-350302.36</v>
      </c>
      <c r="AB101" s="64">
        <f t="shared" si="213"/>
        <v>0</v>
      </c>
      <c r="AC101" s="64">
        <f t="shared" si="213"/>
        <v>200307539.68999997</v>
      </c>
      <c r="AD101" s="64">
        <f t="shared" si="213"/>
        <v>200307539.68999997</v>
      </c>
      <c r="AE101" s="64">
        <f t="shared" si="213"/>
        <v>1874281.29</v>
      </c>
      <c r="AF101" s="64">
        <f t="shared" si="213"/>
        <v>-430000.63</v>
      </c>
      <c r="AG101" s="64">
        <f t="shared" si="213"/>
        <v>0</v>
      </c>
      <c r="AH101" s="64">
        <f t="shared" si="213"/>
        <v>201751820.35000002</v>
      </c>
      <c r="AI101" s="64">
        <f t="shared" si="213"/>
        <v>201751820.35000002</v>
      </c>
      <c r="AJ101" s="64">
        <f t="shared" si="213"/>
        <v>1501296.13</v>
      </c>
      <c r="AK101" s="64">
        <f t="shared" si="213"/>
        <v>-277094.53999999998</v>
      </c>
      <c r="AL101" s="64">
        <f t="shared" si="213"/>
        <v>0</v>
      </c>
      <c r="AM101" s="64">
        <f t="shared" si="213"/>
        <v>202976021.94</v>
      </c>
      <c r="AN101" s="64">
        <f t="shared" si="213"/>
        <v>202976021.94</v>
      </c>
      <c r="AO101" s="64">
        <f t="shared" si="213"/>
        <v>2168160.11</v>
      </c>
      <c r="AP101" s="64">
        <f t="shared" si="213"/>
        <v>-202457.88</v>
      </c>
      <c r="AQ101" s="64">
        <f t="shared" si="213"/>
        <v>0</v>
      </c>
      <c r="AR101" s="64">
        <f t="shared" si="213"/>
        <v>204941724.17000002</v>
      </c>
      <c r="AS101" s="64">
        <f t="shared" si="213"/>
        <v>204941724.17000002</v>
      </c>
      <c r="AT101" s="64">
        <f t="shared" si="213"/>
        <v>1998270.21</v>
      </c>
      <c r="AU101" s="64">
        <f t="shared" si="213"/>
        <v>-327519.94</v>
      </c>
      <c r="AV101" s="64">
        <f t="shared" si="213"/>
        <v>0</v>
      </c>
      <c r="AW101" s="64">
        <f t="shared" si="213"/>
        <v>206612474.44</v>
      </c>
    </row>
    <row r="102" spans="2:191">
      <c r="B102" s="42">
        <v>382</v>
      </c>
      <c r="C102" s="41" t="s">
        <v>400</v>
      </c>
      <c r="D102" s="64">
        <f t="shared" ref="D102:AW103" si="214">D34</f>
        <v>10073731.52</v>
      </c>
      <c r="E102" s="64">
        <f t="shared" si="214"/>
        <v>10073731.52</v>
      </c>
      <c r="F102" s="64">
        <f t="shared" si="214"/>
        <v>26752.97</v>
      </c>
      <c r="G102" s="64">
        <f t="shared" si="214"/>
        <v>-489.15000000000003</v>
      </c>
      <c r="H102" s="64">
        <f t="shared" si="214"/>
        <v>0</v>
      </c>
      <c r="I102" s="64">
        <f t="shared" si="214"/>
        <v>10099995.34</v>
      </c>
      <c r="J102" s="64">
        <f t="shared" si="214"/>
        <v>10099995.34</v>
      </c>
      <c r="K102" s="64">
        <f t="shared" si="214"/>
        <v>26242.959999999999</v>
      </c>
      <c r="L102" s="64">
        <f t="shared" si="214"/>
        <v>-1574.73</v>
      </c>
      <c r="M102" s="64">
        <f t="shared" si="214"/>
        <v>0</v>
      </c>
      <c r="N102" s="64">
        <f t="shared" si="214"/>
        <v>10124663.57</v>
      </c>
      <c r="O102" s="64">
        <f t="shared" si="214"/>
        <v>10124663.57</v>
      </c>
      <c r="P102" s="64">
        <f t="shared" si="214"/>
        <v>18370.330000000002</v>
      </c>
      <c r="Q102" s="64">
        <f t="shared" si="214"/>
        <v>-2045.79</v>
      </c>
      <c r="R102" s="64">
        <f t="shared" si="214"/>
        <v>0</v>
      </c>
      <c r="S102" s="64">
        <f t="shared" si="214"/>
        <v>10140988.109999999</v>
      </c>
      <c r="T102" s="64">
        <f t="shared" si="214"/>
        <v>10140988.109999999</v>
      </c>
      <c r="U102" s="64">
        <f t="shared" si="214"/>
        <v>14991.23</v>
      </c>
      <c r="V102" s="64">
        <f t="shared" si="214"/>
        <v>-5647.45</v>
      </c>
      <c r="W102" s="64">
        <f t="shared" si="214"/>
        <v>0</v>
      </c>
      <c r="X102" s="64">
        <f t="shared" si="214"/>
        <v>10150331.890000001</v>
      </c>
      <c r="Y102" s="64">
        <f t="shared" si="214"/>
        <v>10150331.890000001</v>
      </c>
      <c r="Z102" s="64">
        <f t="shared" si="214"/>
        <v>14838.52</v>
      </c>
      <c r="AA102" s="64">
        <f t="shared" si="214"/>
        <v>-3453.44</v>
      </c>
      <c r="AB102" s="64">
        <f t="shared" si="214"/>
        <v>0</v>
      </c>
      <c r="AC102" s="64">
        <f t="shared" si="214"/>
        <v>10161716.970000001</v>
      </c>
      <c r="AD102" s="64">
        <f t="shared" si="214"/>
        <v>10161716.970000001</v>
      </c>
      <c r="AE102" s="64">
        <f t="shared" si="214"/>
        <v>22237.46</v>
      </c>
      <c r="AF102" s="64">
        <f t="shared" si="214"/>
        <v>-3705.51</v>
      </c>
      <c r="AG102" s="64">
        <f t="shared" si="214"/>
        <v>0</v>
      </c>
      <c r="AH102" s="64">
        <f t="shared" si="214"/>
        <v>10180248.92</v>
      </c>
      <c r="AI102" s="64">
        <f t="shared" si="214"/>
        <v>10180248.92</v>
      </c>
      <c r="AJ102" s="64">
        <f t="shared" si="214"/>
        <v>23700.99</v>
      </c>
      <c r="AK102" s="64">
        <f t="shared" si="214"/>
        <v>-5252.36</v>
      </c>
      <c r="AL102" s="64">
        <f t="shared" si="214"/>
        <v>0</v>
      </c>
      <c r="AM102" s="64">
        <f t="shared" si="214"/>
        <v>10198697.550000001</v>
      </c>
      <c r="AN102" s="64">
        <f t="shared" si="214"/>
        <v>10198697.550000001</v>
      </c>
      <c r="AO102" s="64">
        <f t="shared" si="214"/>
        <v>62217.94</v>
      </c>
      <c r="AP102" s="64">
        <f t="shared" si="214"/>
        <v>-9322.32</v>
      </c>
      <c r="AQ102" s="64">
        <f t="shared" si="214"/>
        <v>0</v>
      </c>
      <c r="AR102" s="64">
        <f t="shared" si="214"/>
        <v>10251593.17</v>
      </c>
      <c r="AS102" s="64">
        <f t="shared" si="214"/>
        <v>10251593.17</v>
      </c>
      <c r="AT102" s="64">
        <f t="shared" si="214"/>
        <v>63128.630000000005</v>
      </c>
      <c r="AU102" s="64">
        <f t="shared" si="214"/>
        <v>-4705.1099999999997</v>
      </c>
      <c r="AV102" s="64">
        <f t="shared" si="214"/>
        <v>0</v>
      </c>
      <c r="AW102" s="64">
        <f t="shared" si="214"/>
        <v>10310016.689999999</v>
      </c>
    </row>
    <row r="103" spans="2:191">
      <c r="B103" s="42">
        <v>383</v>
      </c>
      <c r="C103" s="41" t="s">
        <v>401</v>
      </c>
      <c r="D103" s="929">
        <f t="shared" si="214"/>
        <v>7131728.5199999996</v>
      </c>
      <c r="E103" s="929">
        <f t="shared" si="214"/>
        <v>7131728.5199999996</v>
      </c>
      <c r="F103" s="929">
        <f t="shared" si="214"/>
        <v>18412.32</v>
      </c>
      <c r="G103" s="929">
        <f t="shared" si="214"/>
        <v>-188.66</v>
      </c>
      <c r="H103" s="929">
        <f t="shared" si="214"/>
        <v>0</v>
      </c>
      <c r="I103" s="929">
        <f t="shared" si="214"/>
        <v>7149952.1799999997</v>
      </c>
      <c r="J103" s="929">
        <f t="shared" si="214"/>
        <v>7149952.1799999997</v>
      </c>
      <c r="K103" s="929">
        <f t="shared" si="214"/>
        <v>11751.6</v>
      </c>
      <c r="L103" s="929">
        <f t="shared" si="214"/>
        <v>-230.70000000000002</v>
      </c>
      <c r="M103" s="929">
        <f t="shared" si="214"/>
        <v>0</v>
      </c>
      <c r="N103" s="929">
        <f t="shared" si="214"/>
        <v>7161473.0800000001</v>
      </c>
      <c r="O103" s="929">
        <f t="shared" si="214"/>
        <v>7161473.0800000001</v>
      </c>
      <c r="P103" s="929">
        <f t="shared" si="214"/>
        <v>17539.78</v>
      </c>
      <c r="Q103" s="929">
        <f t="shared" si="214"/>
        <v>-156.80000000000001</v>
      </c>
      <c r="R103" s="929">
        <f t="shared" si="214"/>
        <v>0</v>
      </c>
      <c r="S103" s="929">
        <f t="shared" si="214"/>
        <v>7178856.0599999996</v>
      </c>
      <c r="T103" s="929">
        <f t="shared" si="214"/>
        <v>7178856.0599999996</v>
      </c>
      <c r="U103" s="929">
        <f t="shared" si="214"/>
        <v>3370.27</v>
      </c>
      <c r="V103" s="929">
        <f t="shared" si="214"/>
        <v>-171.39000000000001</v>
      </c>
      <c r="W103" s="929">
        <f t="shared" si="214"/>
        <v>0</v>
      </c>
      <c r="X103" s="929">
        <f t="shared" si="214"/>
        <v>7182054.9399999995</v>
      </c>
      <c r="Y103" s="929">
        <f t="shared" si="214"/>
        <v>7182054.9399999995</v>
      </c>
      <c r="Z103" s="929">
        <f t="shared" si="214"/>
        <v>5712.37</v>
      </c>
      <c r="AA103" s="929">
        <f t="shared" si="214"/>
        <v>-348.81</v>
      </c>
      <c r="AB103" s="929">
        <f t="shared" si="214"/>
        <v>0</v>
      </c>
      <c r="AC103" s="929">
        <f t="shared" si="214"/>
        <v>7187418.5</v>
      </c>
      <c r="AD103" s="929">
        <f t="shared" si="214"/>
        <v>7187418.5</v>
      </c>
      <c r="AE103" s="929">
        <f t="shared" si="214"/>
        <v>20823.150000000001</v>
      </c>
      <c r="AF103" s="929">
        <f t="shared" si="214"/>
        <v>-226.33</v>
      </c>
      <c r="AG103" s="929">
        <f t="shared" si="214"/>
        <v>0</v>
      </c>
      <c r="AH103" s="929">
        <f t="shared" si="214"/>
        <v>7208015.3199999994</v>
      </c>
      <c r="AI103" s="929">
        <f t="shared" si="214"/>
        <v>7208015.3199999994</v>
      </c>
      <c r="AJ103" s="929">
        <f t="shared" si="214"/>
        <v>3311.4900000000002</v>
      </c>
      <c r="AK103" s="929">
        <f t="shared" si="214"/>
        <v>-3043.3</v>
      </c>
      <c r="AL103" s="929">
        <f t="shared" si="214"/>
        <v>0</v>
      </c>
      <c r="AM103" s="929">
        <f t="shared" si="214"/>
        <v>7208283.5099999998</v>
      </c>
      <c r="AN103" s="929">
        <f t="shared" si="214"/>
        <v>7208283.5099999998</v>
      </c>
      <c r="AO103" s="929">
        <f t="shared" si="214"/>
        <v>9621.92</v>
      </c>
      <c r="AP103" s="929">
        <f t="shared" si="214"/>
        <v>-197.14000000000001</v>
      </c>
      <c r="AQ103" s="929">
        <f t="shared" si="214"/>
        <v>0</v>
      </c>
      <c r="AR103" s="929">
        <f t="shared" si="214"/>
        <v>7217708.29</v>
      </c>
      <c r="AS103" s="929">
        <f t="shared" si="214"/>
        <v>7217708.29</v>
      </c>
      <c r="AT103" s="929">
        <f t="shared" si="214"/>
        <v>30958.080000000002</v>
      </c>
      <c r="AU103" s="929">
        <f t="shared" si="214"/>
        <v>-575.59</v>
      </c>
      <c r="AV103" s="929">
        <f t="shared" si="214"/>
        <v>0</v>
      </c>
      <c r="AW103" s="929">
        <f t="shared" si="214"/>
        <v>7248090.7799999993</v>
      </c>
    </row>
    <row r="104" spans="2:191">
      <c r="B104" s="42" t="s">
        <v>1727</v>
      </c>
      <c r="C104" s="41"/>
      <c r="D104" s="64">
        <f t="shared" ref="D104:AW104" si="215">SUM(D99:D103)</f>
        <v>634605693.19999993</v>
      </c>
      <c r="E104" s="64">
        <f t="shared" si="215"/>
        <v>634605693.19999993</v>
      </c>
      <c r="F104" s="64">
        <f t="shared" si="215"/>
        <v>2481694.9800000004</v>
      </c>
      <c r="G104" s="64">
        <f t="shared" si="215"/>
        <v>-373775.52000000008</v>
      </c>
      <c r="H104" s="64">
        <f t="shared" si="215"/>
        <v>0</v>
      </c>
      <c r="I104" s="64">
        <f t="shared" si="215"/>
        <v>636713612.65999997</v>
      </c>
      <c r="J104" s="64">
        <f t="shared" si="215"/>
        <v>636713612.65999997</v>
      </c>
      <c r="K104" s="64">
        <f t="shared" si="215"/>
        <v>3795996.0900000003</v>
      </c>
      <c r="L104" s="64">
        <f t="shared" si="215"/>
        <v>-215267.98000000004</v>
      </c>
      <c r="M104" s="64">
        <f t="shared" si="215"/>
        <v>0</v>
      </c>
      <c r="N104" s="64">
        <f t="shared" si="215"/>
        <v>640294340.77000022</v>
      </c>
      <c r="O104" s="64">
        <f t="shared" si="215"/>
        <v>640294340.77000022</v>
      </c>
      <c r="P104" s="64">
        <f t="shared" si="215"/>
        <v>6097394.0199999996</v>
      </c>
      <c r="Q104" s="64">
        <f t="shared" si="215"/>
        <v>-376128.39999999997</v>
      </c>
      <c r="R104" s="64">
        <f t="shared" si="215"/>
        <v>0</v>
      </c>
      <c r="S104" s="64">
        <f t="shared" si="215"/>
        <v>646015606.38999999</v>
      </c>
      <c r="T104" s="64">
        <f t="shared" si="215"/>
        <v>646015606.38999999</v>
      </c>
      <c r="U104" s="64">
        <f t="shared" si="215"/>
        <v>2975261.040000001</v>
      </c>
      <c r="V104" s="64">
        <f t="shared" si="215"/>
        <v>-548180.99</v>
      </c>
      <c r="W104" s="64">
        <f t="shared" si="215"/>
        <v>0</v>
      </c>
      <c r="X104" s="64">
        <f t="shared" si="215"/>
        <v>648437497.26000011</v>
      </c>
      <c r="Y104" s="64">
        <f t="shared" si="215"/>
        <v>648437497.26000011</v>
      </c>
      <c r="Z104" s="64">
        <f t="shared" si="215"/>
        <v>7439666.5799999991</v>
      </c>
      <c r="AA104" s="64">
        <f t="shared" si="215"/>
        <v>-500146.61</v>
      </c>
      <c r="AB104" s="64">
        <f t="shared" si="215"/>
        <v>0</v>
      </c>
      <c r="AC104" s="64">
        <f t="shared" si="215"/>
        <v>655457008.05999994</v>
      </c>
      <c r="AD104" s="64">
        <f t="shared" si="215"/>
        <v>655457008.05999994</v>
      </c>
      <c r="AE104" s="64">
        <f t="shared" si="215"/>
        <v>6308038.1100000003</v>
      </c>
      <c r="AF104" s="64">
        <f t="shared" si="215"/>
        <v>-673631.75</v>
      </c>
      <c r="AG104" s="64">
        <f t="shared" si="215"/>
        <v>0</v>
      </c>
      <c r="AH104" s="64">
        <f t="shared" si="215"/>
        <v>661091414.42000008</v>
      </c>
      <c r="AI104" s="64">
        <f t="shared" si="215"/>
        <v>661091414.42000008</v>
      </c>
      <c r="AJ104" s="64">
        <f t="shared" si="215"/>
        <v>5104113.75</v>
      </c>
      <c r="AK104" s="64">
        <f t="shared" si="215"/>
        <v>-525650.56999999995</v>
      </c>
      <c r="AL104" s="64">
        <f t="shared" si="215"/>
        <v>0</v>
      </c>
      <c r="AM104" s="64">
        <f t="shared" si="215"/>
        <v>665669877.5999999</v>
      </c>
      <c r="AN104" s="64">
        <f t="shared" si="215"/>
        <v>665669877.5999999</v>
      </c>
      <c r="AO104" s="64">
        <f t="shared" si="215"/>
        <v>3965691.0799999996</v>
      </c>
      <c r="AP104" s="64">
        <f t="shared" si="215"/>
        <v>-304578.65000000002</v>
      </c>
      <c r="AQ104" s="64">
        <f t="shared" si="215"/>
        <v>0</v>
      </c>
      <c r="AR104" s="64">
        <f t="shared" si="215"/>
        <v>669330990.02999997</v>
      </c>
      <c r="AS104" s="64">
        <f t="shared" si="215"/>
        <v>669330990.02999997</v>
      </c>
      <c r="AT104" s="64">
        <f t="shared" si="215"/>
        <v>9256167.7100000009</v>
      </c>
      <c r="AU104" s="64">
        <f t="shared" si="215"/>
        <v>-826836</v>
      </c>
      <c r="AV104" s="64">
        <f t="shared" si="215"/>
        <v>0</v>
      </c>
      <c r="AW104" s="64">
        <f t="shared" si="215"/>
        <v>677760321.74000001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01"/>
  <sheetViews>
    <sheetView topLeftCell="A73" zoomScaleNormal="100" zoomScaleSheetLayoutView="98" workbookViewId="0">
      <selection activeCell="L103" sqref="L103"/>
    </sheetView>
  </sheetViews>
  <sheetFormatPr defaultColWidth="12.5" defaultRowHeight="12.75"/>
  <cols>
    <col min="1" max="1" width="5.6640625" style="291" customWidth="1"/>
    <col min="2" max="2" width="8.33203125" style="293" customWidth="1"/>
    <col min="3" max="3" width="63.1640625" style="291" customWidth="1"/>
    <col min="4" max="15" width="18.6640625" style="291" customWidth="1"/>
    <col min="16" max="16" width="14.1640625" style="291" customWidth="1"/>
    <col min="17" max="16384" width="12.5" style="291"/>
  </cols>
  <sheetData>
    <row r="1" spans="1:16">
      <c r="A1" s="1308" t="str">
        <f>'General Headers Index'!B4</f>
        <v>COLUMBIA GAS OF KENTUCKY, INC.</v>
      </c>
      <c r="B1" s="1308"/>
      <c r="C1" s="1308"/>
      <c r="D1" s="1308"/>
      <c r="E1" s="1308"/>
      <c r="F1" s="1308"/>
      <c r="G1" s="1308"/>
      <c r="H1" s="1308"/>
      <c r="I1" s="1308"/>
      <c r="J1" s="1308"/>
      <c r="K1" s="1308"/>
      <c r="L1" s="1308"/>
      <c r="M1" s="1308"/>
      <c r="N1" s="1308"/>
      <c r="O1" s="1308"/>
      <c r="P1" s="290"/>
    </row>
    <row r="2" spans="1:16">
      <c r="A2" s="1308" t="str">
        <f>'General Headers Index'!B6</f>
        <v>CASE NO. 2024 - 00092</v>
      </c>
      <c r="B2" s="1308"/>
      <c r="C2" s="1308"/>
      <c r="D2" s="1308"/>
      <c r="E2" s="1308"/>
      <c r="F2" s="1308"/>
      <c r="G2" s="1308"/>
      <c r="H2" s="1308"/>
      <c r="I2" s="1308"/>
      <c r="J2" s="1308"/>
      <c r="K2" s="1308"/>
      <c r="L2" s="1308"/>
      <c r="M2" s="1308"/>
      <c r="N2" s="1308"/>
      <c r="O2" s="1308"/>
      <c r="P2" s="290"/>
    </row>
    <row r="3" spans="1:16">
      <c r="A3" s="1308" t="s">
        <v>1035</v>
      </c>
      <c r="B3" s="1308"/>
      <c r="C3" s="1308"/>
      <c r="D3" s="1308"/>
      <c r="E3" s="1308"/>
      <c r="F3" s="1308"/>
      <c r="G3" s="1308"/>
      <c r="H3" s="1308"/>
      <c r="I3" s="1308"/>
      <c r="J3" s="1308"/>
      <c r="K3" s="1308"/>
      <c r="L3" s="1308"/>
      <c r="M3" s="1308"/>
      <c r="N3" s="1308"/>
      <c r="O3" s="1308"/>
      <c r="P3" s="290"/>
    </row>
    <row r="4" spans="1:16">
      <c r="A4" s="1309" t="str">
        <f>'General Headers Index'!B11</f>
        <v>BASE PERIOD 09/30/2023 TO 08/31/2024</v>
      </c>
      <c r="B4" s="1308"/>
      <c r="C4" s="1308"/>
      <c r="D4" s="1308"/>
      <c r="E4" s="1308"/>
      <c r="F4" s="1308"/>
      <c r="G4" s="1308"/>
      <c r="H4" s="1308"/>
      <c r="I4" s="1308"/>
      <c r="J4" s="1308"/>
      <c r="K4" s="1308"/>
      <c r="L4" s="1308"/>
      <c r="M4" s="1308"/>
      <c r="N4" s="1308"/>
      <c r="O4" s="1308"/>
      <c r="P4" s="290"/>
    </row>
    <row r="5" spans="1:16">
      <c r="E5" s="290"/>
    </row>
    <row r="6" spans="1:16">
      <c r="O6" s="312" t="s">
        <v>2464</v>
      </c>
      <c r="P6" s="312"/>
    </row>
    <row r="7" spans="1:16">
      <c r="A7" s="297" t="s">
        <v>2790</v>
      </c>
      <c r="O7" s="312" t="s">
        <v>536</v>
      </c>
      <c r="P7" s="312"/>
    </row>
    <row r="8" spans="1:16">
      <c r="A8" s="297" t="str">
        <f>'General Headers Index'!B37</f>
        <v>TYPE OF FILING:___X___ORIGINAL______UPDATED</v>
      </c>
      <c r="O8" s="312" t="str">
        <f>"WITNESS: "&amp;'General Headers Index'!B42</f>
        <v>WITNESS: GORE</v>
      </c>
      <c r="P8" s="312"/>
    </row>
    <row r="9" spans="1:16">
      <c r="A9" s="899"/>
      <c r="B9" s="900"/>
      <c r="C9" s="901"/>
      <c r="D9" s="902"/>
      <c r="E9" s="902"/>
      <c r="F9" s="902"/>
      <c r="G9" s="902"/>
      <c r="H9" s="902"/>
      <c r="I9" s="902"/>
      <c r="J9" s="902"/>
      <c r="K9" s="902"/>
      <c r="L9" s="902"/>
      <c r="M9" s="902"/>
      <c r="N9" s="902"/>
      <c r="O9" s="902"/>
    </row>
    <row r="10" spans="1:16">
      <c r="A10" s="290" t="s">
        <v>313</v>
      </c>
      <c r="B10" s="298" t="s">
        <v>368</v>
      </c>
      <c r="C10" s="290"/>
      <c r="E10" s="290"/>
      <c r="G10" s="290"/>
      <c r="K10" s="290"/>
      <c r="M10" s="290"/>
    </row>
    <row r="11" spans="1:16">
      <c r="A11" s="903" t="s">
        <v>316</v>
      </c>
      <c r="B11" s="904" t="s">
        <v>316</v>
      </c>
      <c r="C11" s="903" t="s">
        <v>451</v>
      </c>
      <c r="D11" s="905" t="s">
        <v>1588</v>
      </c>
      <c r="E11" s="905" t="s">
        <v>1589</v>
      </c>
      <c r="F11" s="905" t="s">
        <v>1590</v>
      </c>
      <c r="G11" s="905" t="s">
        <v>1591</v>
      </c>
      <c r="H11" s="905" t="s">
        <v>1592</v>
      </c>
      <c r="I11" s="905" t="s">
        <v>1593</v>
      </c>
      <c r="J11" s="905" t="s">
        <v>1594</v>
      </c>
      <c r="K11" s="905" t="s">
        <v>1595</v>
      </c>
      <c r="L11" s="905" t="s">
        <v>1596</v>
      </c>
      <c r="M11" s="905" t="s">
        <v>1597</v>
      </c>
      <c r="N11" s="905" t="s">
        <v>1598</v>
      </c>
      <c r="O11" s="905" t="s">
        <v>1599</v>
      </c>
      <c r="P11" s="292"/>
    </row>
    <row r="12" spans="1:16">
      <c r="A12" s="290"/>
      <c r="B12" s="298"/>
      <c r="C12" s="290"/>
      <c r="D12" s="300" t="s">
        <v>532</v>
      </c>
      <c r="E12" s="300" t="s">
        <v>541</v>
      </c>
      <c r="F12" s="300" t="s">
        <v>542</v>
      </c>
      <c r="G12" s="300" t="s">
        <v>668</v>
      </c>
      <c r="H12" s="300" t="s">
        <v>669</v>
      </c>
      <c r="I12" s="300" t="s">
        <v>670</v>
      </c>
      <c r="J12" s="300" t="s">
        <v>984</v>
      </c>
      <c r="K12" s="300" t="s">
        <v>985</v>
      </c>
      <c r="L12" s="300" t="s">
        <v>986</v>
      </c>
      <c r="M12" s="300" t="s">
        <v>987</v>
      </c>
      <c r="N12" s="300" t="s">
        <v>988</v>
      </c>
      <c r="O12" s="300" t="s">
        <v>989</v>
      </c>
      <c r="P12" s="292"/>
    </row>
    <row r="13" spans="1:16">
      <c r="D13" s="290" t="s">
        <v>320</v>
      </c>
      <c r="E13" s="290" t="s">
        <v>320</v>
      </c>
      <c r="F13" s="290" t="s">
        <v>320</v>
      </c>
      <c r="G13" s="290" t="s">
        <v>320</v>
      </c>
      <c r="H13" s="290" t="s">
        <v>320</v>
      </c>
      <c r="I13" s="290" t="s">
        <v>320</v>
      </c>
      <c r="J13" s="290" t="s">
        <v>320</v>
      </c>
      <c r="K13" s="290" t="s">
        <v>320</v>
      </c>
      <c r="L13" s="290" t="s">
        <v>320</v>
      </c>
      <c r="M13" s="290" t="s">
        <v>320</v>
      </c>
      <c r="N13" s="290" t="s">
        <v>320</v>
      </c>
      <c r="O13" s="290" t="s">
        <v>320</v>
      </c>
      <c r="P13" s="290"/>
    </row>
    <row r="14" spans="1:16">
      <c r="C14" s="302"/>
      <c r="D14" s="313"/>
      <c r="F14" s="313"/>
      <c r="H14" s="313"/>
      <c r="I14" s="313"/>
      <c r="J14" s="313"/>
      <c r="K14" s="313"/>
      <c r="L14" s="313"/>
      <c r="M14" s="313"/>
    </row>
    <row r="15" spans="1:16">
      <c r="A15" s="290">
        <f>IF(ISBLANK($B15),"",COUNTA($B$15:B15))</f>
        <v>1</v>
      </c>
      <c r="B15" s="301" t="s">
        <v>373</v>
      </c>
      <c r="C15" s="302"/>
      <c r="D15" s="313"/>
      <c r="F15" s="313"/>
      <c r="H15" s="313"/>
      <c r="I15" s="313"/>
      <c r="J15" s="313"/>
      <c r="K15" s="313"/>
      <c r="L15" s="313"/>
      <c r="M15" s="313"/>
    </row>
    <row r="16" spans="1:16">
      <c r="A16" s="290">
        <f>IF(ISBLANK($B16),"",COUNTA($B$15:B16))</f>
        <v>2</v>
      </c>
      <c r="B16" s="293">
        <v>301</v>
      </c>
      <c r="C16" s="220" t="s">
        <v>374</v>
      </c>
      <c r="D16" s="294">
        <f>'WPB-2.1.C Plant Detail'!G930</f>
        <v>521.20000000000005</v>
      </c>
      <c r="E16" s="294">
        <f>'WPB-2.1.C Plant Detail'!G1044</f>
        <v>521.20000000000005</v>
      </c>
      <c r="F16" s="294">
        <f>'WPB-2.1.C Plant Detail'!G1158</f>
        <v>521.20000000000005</v>
      </c>
      <c r="G16" s="294">
        <f>'WPB-2.1.C Plant Detail'!G1272</f>
        <v>521.20000000000005</v>
      </c>
      <c r="H16" s="294">
        <f>'WPB-2.1.C Plant Detail'!G1386</f>
        <v>521.20000000000005</v>
      </c>
      <c r="I16" s="294">
        <f>'WPB-2.1.C Plant Detail'!G1500</f>
        <v>521.20000000000005</v>
      </c>
      <c r="J16" s="294">
        <f>'WPB-2.1.C Plant Detail'!G1614</f>
        <v>521.20000000000005</v>
      </c>
      <c r="K16" s="294">
        <f>'WPB-2.1.C Plant Detail'!G1728</f>
        <v>521.20000000000005</v>
      </c>
      <c r="L16" s="294">
        <f>'WPB-2.1.C Plant Detail'!G1842</f>
        <v>521.20000000000005</v>
      </c>
      <c r="M16" s="294">
        <f>'WPB-2.1.C Plant Detail'!G1956</f>
        <v>521.20000000000005</v>
      </c>
      <c r="N16" s="294">
        <f>'WPB-2.1.C Plant Detail'!G2070</f>
        <v>521.20000000000005</v>
      </c>
      <c r="O16" s="294">
        <f>'WPB-2.1.C Plant Detail'!G2184</f>
        <v>521.20000000000005</v>
      </c>
      <c r="P16" s="313"/>
    </row>
    <row r="17" spans="1:16">
      <c r="A17" s="290">
        <f>IF(ISBLANK($B17),"",COUNTA($B$15:B17))</f>
        <v>3</v>
      </c>
      <c r="B17" s="293">
        <v>303</v>
      </c>
      <c r="C17" s="220" t="s">
        <v>375</v>
      </c>
      <c r="D17" s="294">
        <f>'WPB-2.1.C Plant Detail'!G931</f>
        <v>96334.51</v>
      </c>
      <c r="E17" s="294">
        <f>'WPB-2.1.C Plant Detail'!G1045</f>
        <v>96334.51</v>
      </c>
      <c r="F17" s="294">
        <f>'WPB-2.1.C Plant Detail'!G1159</f>
        <v>96334.51</v>
      </c>
      <c r="G17" s="294">
        <f>'WPB-2.1.C Plant Detail'!G1273</f>
        <v>96334.51</v>
      </c>
      <c r="H17" s="294">
        <f>'WPB-2.1.C Plant Detail'!G1387</f>
        <v>96334.51</v>
      </c>
      <c r="I17" s="294">
        <f>'WPB-2.1.C Plant Detail'!G1501</f>
        <v>96334.51</v>
      </c>
      <c r="J17" s="294">
        <f>'WPB-2.1.C Plant Detail'!G1615</f>
        <v>96334.51</v>
      </c>
      <c r="K17" s="294">
        <f>'WPB-2.1.C Plant Detail'!G1729</f>
        <v>96334.51</v>
      </c>
      <c r="L17" s="294">
        <f>'WPB-2.1.C Plant Detail'!G1843</f>
        <v>96334.51</v>
      </c>
      <c r="M17" s="294">
        <f>'WPB-2.1.C Plant Detail'!G1957</f>
        <v>96334.51</v>
      </c>
      <c r="N17" s="294">
        <f>'WPB-2.1.C Plant Detail'!G2071</f>
        <v>96334.51</v>
      </c>
      <c r="O17" s="294">
        <f>'WPB-2.1.C Plant Detail'!G2185</f>
        <v>96334.51</v>
      </c>
      <c r="P17" s="313"/>
    </row>
    <row r="18" spans="1:16">
      <c r="A18" s="290">
        <f>IF(ISBLANK($B18),"",COUNTA($B$15:B18))</f>
        <v>4</v>
      </c>
      <c r="B18" s="293">
        <v>303.10000000000002</v>
      </c>
      <c r="C18" s="220" t="s">
        <v>376</v>
      </c>
      <c r="D18" s="294">
        <f>'WPB-2.1.C Plant Detail'!G932</f>
        <v>943.27</v>
      </c>
      <c r="E18" s="294">
        <f>'WPB-2.1.C Plant Detail'!G1046</f>
        <v>943.27</v>
      </c>
      <c r="F18" s="294">
        <f>'WPB-2.1.C Plant Detail'!G1160</f>
        <v>943.27</v>
      </c>
      <c r="G18" s="294">
        <f>'WPB-2.1.C Plant Detail'!G1274</f>
        <v>943.27</v>
      </c>
      <c r="H18" s="294">
        <f>'WPB-2.1.C Plant Detail'!G1388</f>
        <v>943.27</v>
      </c>
      <c r="I18" s="294">
        <f>'WPB-2.1.C Plant Detail'!G1502</f>
        <v>943.27</v>
      </c>
      <c r="J18" s="294">
        <f>'WPB-2.1.C Plant Detail'!G1616</f>
        <v>943.27</v>
      </c>
      <c r="K18" s="294">
        <f>'WPB-2.1.C Plant Detail'!G1730</f>
        <v>943.27</v>
      </c>
      <c r="L18" s="294">
        <f>'WPB-2.1.C Plant Detail'!G1844</f>
        <v>943.27</v>
      </c>
      <c r="M18" s="294">
        <f>'WPB-2.1.C Plant Detail'!G1958</f>
        <v>943.27</v>
      </c>
      <c r="N18" s="294">
        <f>'WPB-2.1.C Plant Detail'!G2072</f>
        <v>943.27</v>
      </c>
      <c r="O18" s="294">
        <f>'WPB-2.1.C Plant Detail'!G2186</f>
        <v>943.27</v>
      </c>
      <c r="P18" s="313"/>
    </row>
    <row r="19" spans="1:16">
      <c r="A19" s="290">
        <f>IF(ISBLANK($B19),"",COUNTA($B$15:B19))</f>
        <v>5</v>
      </c>
      <c r="B19" s="293">
        <v>303.2</v>
      </c>
      <c r="C19" s="220" t="s">
        <v>377</v>
      </c>
      <c r="D19" s="294">
        <f>'WPB-2.1.C Plant Detail'!G933</f>
        <v>0</v>
      </c>
      <c r="E19" s="294">
        <f>'WPB-2.1.C Plant Detail'!G1047</f>
        <v>0</v>
      </c>
      <c r="F19" s="294">
        <f>'WPB-2.1.C Plant Detail'!G1161</f>
        <v>0</v>
      </c>
      <c r="G19" s="294">
        <f>'WPB-2.1.C Plant Detail'!G1275</f>
        <v>0</v>
      </c>
      <c r="H19" s="294">
        <f>'WPB-2.1.C Plant Detail'!G1389</f>
        <v>0</v>
      </c>
      <c r="I19" s="294">
        <f>'WPB-2.1.C Plant Detail'!G1503</f>
        <v>0</v>
      </c>
      <c r="J19" s="294">
        <f>'WPB-2.1.C Plant Detail'!G1617</f>
        <v>0</v>
      </c>
      <c r="K19" s="294">
        <f>'WPB-2.1.C Plant Detail'!G1731</f>
        <v>0</v>
      </c>
      <c r="L19" s="294">
        <f>'WPB-2.1.C Plant Detail'!G1845</f>
        <v>0</v>
      </c>
      <c r="M19" s="294">
        <f>'WPB-2.1.C Plant Detail'!G1959</f>
        <v>0</v>
      </c>
      <c r="N19" s="294">
        <f>'WPB-2.1.C Plant Detail'!G2073</f>
        <v>0</v>
      </c>
      <c r="O19" s="294">
        <f>'WPB-2.1.C Plant Detail'!G2187</f>
        <v>0</v>
      </c>
      <c r="P19" s="313"/>
    </row>
    <row r="20" spans="1:16">
      <c r="A20" s="290">
        <f>IF(ISBLANK($B20),"",COUNTA($B$15:B20))</f>
        <v>6</v>
      </c>
      <c r="B20" s="293">
        <v>303.3</v>
      </c>
      <c r="C20" s="220" t="s">
        <v>378</v>
      </c>
      <c r="D20" s="294">
        <f>'WPB-2.1.C Plant Detail'!G934</f>
        <v>12635899.540000001</v>
      </c>
      <c r="E20" s="294">
        <f>'WPB-2.1.C Plant Detail'!G1048</f>
        <v>12613710.860000001</v>
      </c>
      <c r="F20" s="294">
        <f>'WPB-2.1.C Plant Detail'!G1162</f>
        <v>12708615.100000001</v>
      </c>
      <c r="G20" s="294">
        <f>'WPB-2.1.C Plant Detail'!G1276</f>
        <v>13102620.840000002</v>
      </c>
      <c r="H20" s="294">
        <f>'WPB-2.1.C Plant Detail'!G1390</f>
        <v>12777441.790000003</v>
      </c>
      <c r="I20" s="294">
        <f>'WPB-2.1.C Plant Detail'!G1504</f>
        <v>12802440.210000003</v>
      </c>
      <c r="J20" s="294">
        <f>'WPB-2.1.C Plant Detail'!G1618</f>
        <v>12924422.790000003</v>
      </c>
      <c r="K20" s="294">
        <f>'WPB-2.1.C Plant Detail'!G1732</f>
        <v>11349474.890000002</v>
      </c>
      <c r="L20" s="294">
        <f>'WPB-2.1.C Plant Detail'!G1846</f>
        <v>11399998.650000002</v>
      </c>
      <c r="M20" s="294">
        <f>'WPB-2.1.C Plant Detail'!G1960</f>
        <v>11765857.390000002</v>
      </c>
      <c r="N20" s="294">
        <f>'WPB-2.1.C Plant Detail'!G2074</f>
        <v>12470214.330000002</v>
      </c>
      <c r="O20" s="294">
        <f>'WPB-2.1.C Plant Detail'!G2188</f>
        <v>12565749.710000003</v>
      </c>
      <c r="P20" s="313"/>
    </row>
    <row r="21" spans="1:16">
      <c r="A21" s="290">
        <f>IF(ISBLANK($B21),"",COUNTA($B$15:B21))</f>
        <v>7</v>
      </c>
      <c r="B21" s="293">
        <v>303.99</v>
      </c>
      <c r="C21" s="220" t="s">
        <v>1129</v>
      </c>
      <c r="D21" s="906">
        <f>'WPB-2.1.C Plant Detail'!G935</f>
        <v>1933518.2300000002</v>
      </c>
      <c r="E21" s="906">
        <f>'WPB-2.1.C Plant Detail'!G1049</f>
        <v>1950106.1600000001</v>
      </c>
      <c r="F21" s="906">
        <f>'WPB-2.1.C Plant Detail'!G1163</f>
        <v>1955302.57</v>
      </c>
      <c r="G21" s="906">
        <f>'WPB-2.1.C Plant Detail'!G1277</f>
        <v>2060025.96</v>
      </c>
      <c r="H21" s="906">
        <f>'WPB-2.1.C Plant Detail'!G1391</f>
        <v>2060373.2</v>
      </c>
      <c r="I21" s="906">
        <f>'WPB-2.1.C Plant Detail'!G1505</f>
        <v>2047018.95</v>
      </c>
      <c r="J21" s="906">
        <f>'WPB-2.1.C Plant Detail'!G1619</f>
        <v>2057637.2079451173</v>
      </c>
      <c r="K21" s="906">
        <f>'WPB-2.1.C Plant Detail'!G1733</f>
        <v>2062543.375319781</v>
      </c>
      <c r="L21" s="906">
        <f>'WPB-2.1.C Plant Detail'!G1847</f>
        <v>2068715.1841308917</v>
      </c>
      <c r="M21" s="906">
        <f>'WPB-2.1.C Plant Detail'!G1961</f>
        <v>2105714.2113052025</v>
      </c>
      <c r="N21" s="906">
        <f>'WPB-2.1.C Plant Detail'!G2075</f>
        <v>2083755.2066072344</v>
      </c>
      <c r="O21" s="906">
        <f>'WPB-2.1.C Plant Detail'!G2189</f>
        <v>2094590.3268103721</v>
      </c>
      <c r="P21" s="313"/>
    </row>
    <row r="22" spans="1:16">
      <c r="A22" s="290">
        <f>IF(ISBLANK($B22),"",COUNTA($B$15:B22))</f>
        <v>8</v>
      </c>
      <c r="B22" s="303" t="s">
        <v>379</v>
      </c>
      <c r="D22" s="294">
        <f t="shared" ref="D22:O22" si="0">SUM(D16:D21)</f>
        <v>14667216.750000002</v>
      </c>
      <c r="E22" s="294">
        <f t="shared" si="0"/>
        <v>14661616.000000002</v>
      </c>
      <c r="F22" s="294">
        <f t="shared" si="0"/>
        <v>14761716.650000002</v>
      </c>
      <c r="G22" s="294">
        <f t="shared" si="0"/>
        <v>15260445.780000001</v>
      </c>
      <c r="H22" s="294">
        <f t="shared" si="0"/>
        <v>14935613.970000003</v>
      </c>
      <c r="I22" s="294">
        <f t="shared" si="0"/>
        <v>14947258.140000002</v>
      </c>
      <c r="J22" s="294">
        <f t="shared" si="0"/>
        <v>15079858.977945121</v>
      </c>
      <c r="K22" s="294">
        <f t="shared" si="0"/>
        <v>13509817.245319784</v>
      </c>
      <c r="L22" s="294">
        <f t="shared" si="0"/>
        <v>13566512.814130895</v>
      </c>
      <c r="M22" s="294">
        <f t="shared" si="0"/>
        <v>13969370.581305206</v>
      </c>
      <c r="N22" s="294">
        <f t="shared" si="0"/>
        <v>14651768.516607236</v>
      </c>
      <c r="O22" s="294">
        <f t="shared" si="0"/>
        <v>14758139.016810376</v>
      </c>
      <c r="P22" s="313"/>
    </row>
    <row r="23" spans="1:16">
      <c r="A23" s="290" t="str">
        <f>IF(ISBLANK($B23),"",COUNTA($B$15:B23))</f>
        <v/>
      </c>
      <c r="C23" s="294"/>
      <c r="D23" s="294"/>
      <c r="E23" s="294"/>
      <c r="F23" s="294"/>
      <c r="G23" s="304"/>
      <c r="H23" s="294"/>
      <c r="I23" s="294"/>
      <c r="J23" s="294"/>
      <c r="K23" s="304"/>
      <c r="L23" s="294"/>
      <c r="M23" s="294"/>
      <c r="N23" s="294"/>
      <c r="O23" s="294"/>
    </row>
    <row r="24" spans="1:16">
      <c r="A24" s="290">
        <f>IF(ISBLANK($B24),"",COUNTA($B$15:B24))</f>
        <v>9</v>
      </c>
      <c r="B24" s="301" t="s">
        <v>1600</v>
      </c>
      <c r="C24" s="294"/>
      <c r="D24" s="294"/>
      <c r="E24" s="294"/>
      <c r="F24" s="294"/>
      <c r="G24" s="304"/>
      <c r="H24" s="294"/>
      <c r="I24" s="294"/>
      <c r="J24" s="294"/>
      <c r="K24" s="304"/>
      <c r="L24" s="294"/>
      <c r="M24" s="294"/>
      <c r="N24" s="294"/>
      <c r="O24" s="294"/>
    </row>
    <row r="25" spans="1:16">
      <c r="A25" s="290">
        <f>IF(ISBLANK($B25),"",COUNTA($B$15:B25))</f>
        <v>10</v>
      </c>
      <c r="B25" s="293">
        <v>374.1</v>
      </c>
      <c r="C25" s="220" t="s">
        <v>382</v>
      </c>
      <c r="D25" s="294">
        <f>'WPB-2.1.C Plant Detail'!G939</f>
        <v>206</v>
      </c>
      <c r="E25" s="294">
        <f>'WPB-2.1.C Plant Detail'!G1053</f>
        <v>206</v>
      </c>
      <c r="F25" s="294">
        <f>'WPB-2.1.C Plant Detail'!G1167</f>
        <v>206</v>
      </c>
      <c r="G25" s="294">
        <f>'WPB-2.1.C Plant Detail'!G1281</f>
        <v>205.4</v>
      </c>
      <c r="H25" s="294">
        <f>'WPB-2.1.C Plant Detail'!G1395</f>
        <v>205.4</v>
      </c>
      <c r="I25" s="294">
        <f>'WPB-2.1.C Plant Detail'!G1509</f>
        <v>205.4</v>
      </c>
      <c r="J25" s="294">
        <f>'WPB-2.1.C Plant Detail'!G1623</f>
        <v>205.4</v>
      </c>
      <c r="K25" s="294">
        <f>'WPB-2.1.C Plant Detail'!G1737</f>
        <v>205.4</v>
      </c>
      <c r="L25" s="294">
        <f>'WPB-2.1.C Plant Detail'!G1851</f>
        <v>205.4</v>
      </c>
      <c r="M25" s="294">
        <f>'WPB-2.1.C Plant Detail'!G1965</f>
        <v>205.4</v>
      </c>
      <c r="N25" s="294">
        <f>'WPB-2.1.C Plant Detail'!G2079</f>
        <v>205.4</v>
      </c>
      <c r="O25" s="294">
        <f>'WPB-2.1.C Plant Detail'!G2193</f>
        <v>205.4</v>
      </c>
      <c r="P25" s="313"/>
    </row>
    <row r="26" spans="1:16">
      <c r="A26" s="290">
        <f>IF(ISBLANK($B26),"",COUNTA($B$15:B26))</f>
        <v>11</v>
      </c>
      <c r="B26" s="293">
        <v>374.2</v>
      </c>
      <c r="C26" s="220" t="s">
        <v>383</v>
      </c>
      <c r="D26" s="294">
        <f>'WPB-2.1.C Plant Detail'!G940</f>
        <v>876986.66</v>
      </c>
      <c r="E26" s="294">
        <f>'WPB-2.1.C Plant Detail'!G1054</f>
        <v>876986.66</v>
      </c>
      <c r="F26" s="294">
        <f>'WPB-2.1.C Plant Detail'!G1168</f>
        <v>876986.66</v>
      </c>
      <c r="G26" s="294">
        <f>'WPB-2.1.C Plant Detail'!G1282</f>
        <v>876986.66</v>
      </c>
      <c r="H26" s="294">
        <f>'WPB-2.1.C Plant Detail'!G1396</f>
        <v>876986.66</v>
      </c>
      <c r="I26" s="294">
        <f>'WPB-2.1.C Plant Detail'!G1510</f>
        <v>876986.66</v>
      </c>
      <c r="J26" s="294">
        <f>'WPB-2.1.C Plant Detail'!G1624</f>
        <v>876986.66</v>
      </c>
      <c r="K26" s="294">
        <f>'WPB-2.1.C Plant Detail'!G1738</f>
        <v>876986.66</v>
      </c>
      <c r="L26" s="294">
        <f>'WPB-2.1.C Plant Detail'!G1852</f>
        <v>876986.66</v>
      </c>
      <c r="M26" s="294">
        <f>'WPB-2.1.C Plant Detail'!G1966</f>
        <v>876986.66</v>
      </c>
      <c r="N26" s="294">
        <f>'WPB-2.1.C Plant Detail'!G2080</f>
        <v>876986.66</v>
      </c>
      <c r="O26" s="294">
        <f>'WPB-2.1.C Plant Detail'!G2194</f>
        <v>876986.66</v>
      </c>
      <c r="P26" s="313"/>
    </row>
    <row r="27" spans="1:16">
      <c r="A27" s="290">
        <f>IF(ISBLANK($B27),"",COUNTA($B$15:B27))</f>
        <v>12</v>
      </c>
      <c r="B27" s="293">
        <v>374.4</v>
      </c>
      <c r="C27" s="220" t="s">
        <v>384</v>
      </c>
      <c r="D27" s="294">
        <f>'WPB-2.1.C Plant Detail'!G941</f>
        <v>2893030.2</v>
      </c>
      <c r="E27" s="294">
        <f>'WPB-2.1.C Plant Detail'!G1055</f>
        <v>2895248.2</v>
      </c>
      <c r="F27" s="294">
        <f>'WPB-2.1.C Plant Detail'!G1169</f>
        <v>2895472.72</v>
      </c>
      <c r="G27" s="294">
        <f>'WPB-2.1.C Plant Detail'!G1283</f>
        <v>2957826.1500000004</v>
      </c>
      <c r="H27" s="294">
        <f>'WPB-2.1.C Plant Detail'!G1397</f>
        <v>2957825.99</v>
      </c>
      <c r="I27" s="294">
        <f>'WPB-2.1.C Plant Detail'!G1511</f>
        <v>2972581.25</v>
      </c>
      <c r="J27" s="294">
        <f>'WPB-2.1.C Plant Detail'!G1625</f>
        <v>2977335.91</v>
      </c>
      <c r="K27" s="294">
        <f>'WPB-2.1.C Plant Detail'!G1739</f>
        <v>2978181.6100000003</v>
      </c>
      <c r="L27" s="294">
        <f>'WPB-2.1.C Plant Detail'!G1853</f>
        <v>2979476.5400000005</v>
      </c>
      <c r="M27" s="294">
        <f>'WPB-2.1.C Plant Detail'!G1967</f>
        <v>2979477.5100000007</v>
      </c>
      <c r="N27" s="294">
        <f>'WPB-2.1.C Plant Detail'!G2081</f>
        <v>3103712.8100000005</v>
      </c>
      <c r="O27" s="294">
        <f>'WPB-2.1.C Plant Detail'!G2195</f>
        <v>3105701.2200000007</v>
      </c>
      <c r="P27" s="313"/>
    </row>
    <row r="28" spans="1:16">
      <c r="A28" s="290">
        <f>IF(ISBLANK($B28),"",COUNTA($B$15:B28))</f>
        <v>13</v>
      </c>
      <c r="B28" s="293">
        <v>374.5</v>
      </c>
      <c r="C28" s="220" t="s">
        <v>385</v>
      </c>
      <c r="D28" s="294">
        <f>'WPB-2.1.C Plant Detail'!G942</f>
        <v>2666577.16</v>
      </c>
      <c r="E28" s="294">
        <f>'WPB-2.1.C Plant Detail'!G1056</f>
        <v>2666577.16</v>
      </c>
      <c r="F28" s="294">
        <f>'WPB-2.1.C Plant Detail'!G1170</f>
        <v>2666577.16</v>
      </c>
      <c r="G28" s="294">
        <f>'WPB-2.1.C Plant Detail'!G1284</f>
        <v>2666577.16</v>
      </c>
      <c r="H28" s="294">
        <f>'WPB-2.1.C Plant Detail'!G1398</f>
        <v>2666577.16</v>
      </c>
      <c r="I28" s="294">
        <f>'WPB-2.1.C Plant Detail'!G1512</f>
        <v>2666577.16</v>
      </c>
      <c r="J28" s="294">
        <f>'WPB-2.1.C Plant Detail'!G1626</f>
        <v>2666577.16</v>
      </c>
      <c r="K28" s="294">
        <f>'WPB-2.1.C Plant Detail'!G1740</f>
        <v>2666577.16</v>
      </c>
      <c r="L28" s="294">
        <f>'WPB-2.1.C Plant Detail'!G1854</f>
        <v>2666577.16</v>
      </c>
      <c r="M28" s="294">
        <f>'WPB-2.1.C Plant Detail'!G1968</f>
        <v>2666577.16</v>
      </c>
      <c r="N28" s="294">
        <f>'WPB-2.1.C Plant Detail'!G2082</f>
        <v>2666577.16</v>
      </c>
      <c r="O28" s="294">
        <f>'WPB-2.1.C Plant Detail'!G2196</f>
        <v>2666577.16</v>
      </c>
      <c r="P28" s="313"/>
    </row>
    <row r="29" spans="1:16">
      <c r="A29" s="290">
        <f>IF(ISBLANK($B29),"",COUNTA($B$15:B29))</f>
        <v>14</v>
      </c>
      <c r="B29" s="293">
        <v>375.2</v>
      </c>
      <c r="C29" s="220" t="s">
        <v>386</v>
      </c>
      <c r="D29" s="294">
        <f>'WPB-2.1.C Plant Detail'!G943</f>
        <v>2124.98</v>
      </c>
      <c r="E29" s="294">
        <f>'WPB-2.1.C Plant Detail'!G1057</f>
        <v>2124.98</v>
      </c>
      <c r="F29" s="294">
        <f>'WPB-2.1.C Plant Detail'!G1171</f>
        <v>2124.98</v>
      </c>
      <c r="G29" s="294">
        <f>'WPB-2.1.C Plant Detail'!G1285</f>
        <v>2124.98</v>
      </c>
      <c r="H29" s="294">
        <f>'WPB-2.1.C Plant Detail'!G1399</f>
        <v>2124.98</v>
      </c>
      <c r="I29" s="294">
        <f>'WPB-2.1.C Plant Detail'!G1513</f>
        <v>2124.98</v>
      </c>
      <c r="J29" s="294">
        <f>'WPB-2.1.C Plant Detail'!G1627</f>
        <v>2124.98</v>
      </c>
      <c r="K29" s="294">
        <f>'WPB-2.1.C Plant Detail'!G1741</f>
        <v>2124.98</v>
      </c>
      <c r="L29" s="294">
        <f>'WPB-2.1.C Plant Detail'!G1855</f>
        <v>2124.98</v>
      </c>
      <c r="M29" s="294">
        <f>'WPB-2.1.C Plant Detail'!G1969</f>
        <v>2124.98</v>
      </c>
      <c r="N29" s="294">
        <f>'WPB-2.1.C Plant Detail'!G2083</f>
        <v>2124.98</v>
      </c>
      <c r="O29" s="294">
        <f>'WPB-2.1.C Plant Detail'!G2197</f>
        <v>2124.98</v>
      </c>
      <c r="P29" s="313"/>
    </row>
    <row r="30" spans="1:16">
      <c r="A30" s="290">
        <f>IF(ISBLANK($B30),"",COUNTA($B$15:B30))</f>
        <v>15</v>
      </c>
      <c r="B30" s="293">
        <v>375.3</v>
      </c>
      <c r="C30" s="220" t="s">
        <v>387</v>
      </c>
      <c r="D30" s="294">
        <f>'WPB-2.1.C Plant Detail'!G944</f>
        <v>0</v>
      </c>
      <c r="E30" s="294">
        <f>'WPB-2.1.C Plant Detail'!G1058</f>
        <v>0</v>
      </c>
      <c r="F30" s="294">
        <f>'WPB-2.1.C Plant Detail'!G1172</f>
        <v>0</v>
      </c>
      <c r="G30" s="294">
        <f>'WPB-2.1.C Plant Detail'!G1286</f>
        <v>0</v>
      </c>
      <c r="H30" s="294">
        <f>'WPB-2.1.C Plant Detail'!G1400</f>
        <v>0</v>
      </c>
      <c r="I30" s="294">
        <f>'WPB-2.1.C Plant Detail'!G1514</f>
        <v>0</v>
      </c>
      <c r="J30" s="294">
        <f>'WPB-2.1.C Plant Detail'!G1628</f>
        <v>0</v>
      </c>
      <c r="K30" s="294">
        <f>'WPB-2.1.C Plant Detail'!G1742</f>
        <v>0</v>
      </c>
      <c r="L30" s="294">
        <f>'WPB-2.1.C Plant Detail'!G1856</f>
        <v>0</v>
      </c>
      <c r="M30" s="294">
        <f>'WPB-2.1.C Plant Detail'!G1970</f>
        <v>0</v>
      </c>
      <c r="N30" s="294">
        <f>'WPB-2.1.C Plant Detail'!G2084</f>
        <v>0</v>
      </c>
      <c r="O30" s="294">
        <f>'WPB-2.1.C Plant Detail'!G2198</f>
        <v>0</v>
      </c>
      <c r="P30" s="313"/>
    </row>
    <row r="31" spans="1:16">
      <c r="A31" s="290">
        <f>IF(ISBLANK($B31),"",COUNTA($B$15:B31))</f>
        <v>16</v>
      </c>
      <c r="B31" s="293">
        <v>375.4</v>
      </c>
      <c r="C31" s="220" t="s">
        <v>388</v>
      </c>
      <c r="D31" s="294">
        <f>'WPB-2.1.C Plant Detail'!G945</f>
        <v>2986653.8399999994</v>
      </c>
      <c r="E31" s="294">
        <f>'WPB-2.1.C Plant Detail'!G1059</f>
        <v>2990266.8199999994</v>
      </c>
      <c r="F31" s="294">
        <f>'WPB-2.1.C Plant Detail'!G1173</f>
        <v>3003360.8599999994</v>
      </c>
      <c r="G31" s="294">
        <f>'WPB-2.1.C Plant Detail'!G1287</f>
        <v>2996990.5299999993</v>
      </c>
      <c r="H31" s="294">
        <f>'WPB-2.1.C Plant Detail'!G1401</f>
        <v>3075068.6899999995</v>
      </c>
      <c r="I31" s="294">
        <f>'WPB-2.1.C Plant Detail'!G1515</f>
        <v>3073733.6499999994</v>
      </c>
      <c r="J31" s="294">
        <f>'WPB-2.1.C Plant Detail'!G1629</f>
        <v>3081129.2599999993</v>
      </c>
      <c r="K31" s="294">
        <f>'WPB-2.1.C Plant Detail'!G1743</f>
        <v>3081440.7199999993</v>
      </c>
      <c r="L31" s="294">
        <f>'WPB-2.1.C Plant Detail'!G1857</f>
        <v>3239248.8899999992</v>
      </c>
      <c r="M31" s="294">
        <f>'WPB-2.1.C Plant Detail'!G1971</f>
        <v>3262025.2499999991</v>
      </c>
      <c r="N31" s="294">
        <f>'WPB-2.1.C Plant Detail'!G2085</f>
        <v>3310648.2599999988</v>
      </c>
      <c r="O31" s="294">
        <f>'WPB-2.1.C Plant Detail'!G2199</f>
        <v>3310648.2599999988</v>
      </c>
      <c r="P31" s="313"/>
    </row>
    <row r="32" spans="1:16">
      <c r="A32" s="290">
        <f>IF(ISBLANK($B32),"",COUNTA($B$15:B32))</f>
        <v>17</v>
      </c>
      <c r="B32" s="293">
        <v>375.6</v>
      </c>
      <c r="C32" s="220" t="s">
        <v>389</v>
      </c>
      <c r="D32" s="294">
        <f>'WPB-2.1.C Plant Detail'!G946</f>
        <v>0</v>
      </c>
      <c r="E32" s="294">
        <f>'WPB-2.1.C Plant Detail'!G1060</f>
        <v>0</v>
      </c>
      <c r="F32" s="294">
        <f>'WPB-2.1.C Plant Detail'!G1174</f>
        <v>0</v>
      </c>
      <c r="G32" s="294">
        <f>'WPB-2.1.C Plant Detail'!G1288</f>
        <v>0</v>
      </c>
      <c r="H32" s="294">
        <f>'WPB-2.1.C Plant Detail'!G1402</f>
        <v>0</v>
      </c>
      <c r="I32" s="294">
        <f>'WPB-2.1.C Plant Detail'!G1516</f>
        <v>0</v>
      </c>
      <c r="J32" s="294">
        <f>'WPB-2.1.C Plant Detail'!G1630</f>
        <v>0</v>
      </c>
      <c r="K32" s="294">
        <f>'WPB-2.1.C Plant Detail'!G1744</f>
        <v>0</v>
      </c>
      <c r="L32" s="294">
        <f>'WPB-2.1.C Plant Detail'!G1858</f>
        <v>0</v>
      </c>
      <c r="M32" s="294">
        <f>'WPB-2.1.C Plant Detail'!G1972</f>
        <v>0</v>
      </c>
      <c r="N32" s="294">
        <f>'WPB-2.1.C Plant Detail'!G2086</f>
        <v>0</v>
      </c>
      <c r="O32" s="294">
        <f>'WPB-2.1.C Plant Detail'!G2200</f>
        <v>0</v>
      </c>
      <c r="P32" s="313"/>
    </row>
    <row r="33" spans="1:16">
      <c r="A33" s="290">
        <f>IF(ISBLANK($B33),"",COUNTA($B$15:B33))</f>
        <v>18</v>
      </c>
      <c r="B33" s="293">
        <v>375.7</v>
      </c>
      <c r="C33" s="220" t="s">
        <v>390</v>
      </c>
      <c r="D33" s="294">
        <f>'WPB-2.1.C Plant Detail'!G947</f>
        <v>9524432.0700000003</v>
      </c>
      <c r="E33" s="294">
        <f>'WPB-2.1.C Plant Detail'!G1061</f>
        <v>9589777.290000001</v>
      </c>
      <c r="F33" s="294">
        <f>'WPB-2.1.C Plant Detail'!G1175</f>
        <v>9545197.1300000008</v>
      </c>
      <c r="G33" s="294">
        <f>'WPB-2.1.C Plant Detail'!G1289</f>
        <v>9572619.4600000009</v>
      </c>
      <c r="H33" s="294">
        <f>'WPB-2.1.C Plant Detail'!G1403</f>
        <v>9575079.7200000007</v>
      </c>
      <c r="I33" s="294">
        <f>'WPB-2.1.C Plant Detail'!G1517</f>
        <v>9573035.7200000007</v>
      </c>
      <c r="J33" s="294">
        <f>'WPB-2.1.C Plant Detail'!G1631</f>
        <v>9587092.5600000005</v>
      </c>
      <c r="K33" s="294">
        <f>'WPB-2.1.C Plant Detail'!G1745</f>
        <v>9587092.5600000005</v>
      </c>
      <c r="L33" s="294">
        <f>'WPB-2.1.C Plant Detail'!G1859</f>
        <v>9587092.5600000005</v>
      </c>
      <c r="M33" s="294">
        <f>'WPB-2.1.C Plant Detail'!G1973</f>
        <v>9587092.5600000005</v>
      </c>
      <c r="N33" s="294">
        <f>'WPB-2.1.C Plant Detail'!G2087</f>
        <v>9588487.5</v>
      </c>
      <c r="O33" s="294">
        <f>'WPB-2.1.C Plant Detail'!G2201</f>
        <v>9653355.5099999998</v>
      </c>
      <c r="P33" s="313"/>
    </row>
    <row r="34" spans="1:16">
      <c r="A34" s="290">
        <f>IF(ISBLANK($B34),"",COUNTA($B$15:B34))</f>
        <v>19</v>
      </c>
      <c r="B34" s="293">
        <v>375.71</v>
      </c>
      <c r="C34" s="220" t="s">
        <v>391</v>
      </c>
      <c r="D34" s="294">
        <f>'WPB-2.1.C Plant Detail'!G948</f>
        <v>880994.59</v>
      </c>
      <c r="E34" s="294">
        <f>'WPB-2.1.C Plant Detail'!G1062</f>
        <v>880994.59</v>
      </c>
      <c r="F34" s="294">
        <f>'WPB-2.1.C Plant Detail'!G1176</f>
        <v>880994.59</v>
      </c>
      <c r="G34" s="294">
        <f>'WPB-2.1.C Plant Detail'!G1290</f>
        <v>880994.59</v>
      </c>
      <c r="H34" s="294">
        <f>'WPB-2.1.C Plant Detail'!G1404</f>
        <v>880994.59</v>
      </c>
      <c r="I34" s="294">
        <f>'WPB-2.1.C Plant Detail'!G1518</f>
        <v>880994.59</v>
      </c>
      <c r="J34" s="294">
        <f>'WPB-2.1.C Plant Detail'!G1632</f>
        <v>880994.59</v>
      </c>
      <c r="K34" s="294">
        <f>'WPB-2.1.C Plant Detail'!G1746</f>
        <v>880994.59</v>
      </c>
      <c r="L34" s="294">
        <f>'WPB-2.1.C Plant Detail'!G1860</f>
        <v>880994.59</v>
      </c>
      <c r="M34" s="294">
        <f>'WPB-2.1.C Plant Detail'!G1974</f>
        <v>880994.59</v>
      </c>
      <c r="N34" s="294">
        <f>'WPB-2.1.C Plant Detail'!G2088</f>
        <v>880994.59</v>
      </c>
      <c r="O34" s="294">
        <f>'WPB-2.1.C Plant Detail'!G2202</f>
        <v>880994.59</v>
      </c>
      <c r="P34" s="313"/>
    </row>
    <row r="35" spans="1:16">
      <c r="A35" s="290">
        <f>IF(ISBLANK($B35),"",COUNTA($B$15:B35))</f>
        <v>20</v>
      </c>
      <c r="B35" s="293">
        <v>375.8</v>
      </c>
      <c r="C35" s="220" t="s">
        <v>392</v>
      </c>
      <c r="D35" s="294">
        <f>'WPB-2.1.C Plant Detail'!G949</f>
        <v>132125.04</v>
      </c>
      <c r="E35" s="294">
        <f>'WPB-2.1.C Plant Detail'!G1063</f>
        <v>132125.04</v>
      </c>
      <c r="F35" s="294">
        <f>'WPB-2.1.C Plant Detail'!G1177</f>
        <v>132125.04</v>
      </c>
      <c r="G35" s="294">
        <f>'WPB-2.1.C Plant Detail'!G1291</f>
        <v>132125.04</v>
      </c>
      <c r="H35" s="294">
        <f>'WPB-2.1.C Plant Detail'!G1405</f>
        <v>132125.04</v>
      </c>
      <c r="I35" s="294">
        <f>'WPB-2.1.C Plant Detail'!G1519</f>
        <v>132125.04</v>
      </c>
      <c r="J35" s="294">
        <f>'WPB-2.1.C Plant Detail'!G1633</f>
        <v>132125.04</v>
      </c>
      <c r="K35" s="294">
        <f>'WPB-2.1.C Plant Detail'!G1747</f>
        <v>132125.04</v>
      </c>
      <c r="L35" s="294">
        <f>'WPB-2.1.C Plant Detail'!G1861</f>
        <v>132125.04</v>
      </c>
      <c r="M35" s="294">
        <f>'WPB-2.1.C Plant Detail'!G1975</f>
        <v>132125.04</v>
      </c>
      <c r="N35" s="294">
        <f>'WPB-2.1.C Plant Detail'!G2089</f>
        <v>132125.04</v>
      </c>
      <c r="O35" s="294">
        <f>'WPB-2.1.C Plant Detail'!G2203</f>
        <v>132125.04</v>
      </c>
      <c r="P35" s="313"/>
    </row>
    <row r="36" spans="1:16">
      <c r="A36" s="290">
        <f>IF(ISBLANK($B36),"",COUNTA($B$15:B36))</f>
        <v>21</v>
      </c>
      <c r="B36" s="293">
        <v>376</v>
      </c>
      <c r="C36" s="220" t="s">
        <v>1621</v>
      </c>
      <c r="D36" s="294">
        <f>'WPB-2.1.C Plant Detail'!G950</f>
        <v>406772223.84999996</v>
      </c>
      <c r="E36" s="294">
        <f>'WPB-2.1.C Plant Detail'!G1064</f>
        <v>408989043.14999998</v>
      </c>
      <c r="F36" s="294">
        <f>'WPB-2.1.C Plant Detail'!G1178</f>
        <v>410150106.06999999</v>
      </c>
      <c r="G36" s="294">
        <f>'WPB-2.1.C Plant Detail'!G1292</f>
        <v>411291577.66000003</v>
      </c>
      <c r="H36" s="294">
        <f>'WPB-2.1.C Plant Detail'!G1406</f>
        <v>411481640.11000007</v>
      </c>
      <c r="I36" s="294">
        <f>'WPB-2.1.C Plant Detail'!G1520</f>
        <v>412100528.3900001</v>
      </c>
      <c r="J36" s="294">
        <f>'WPB-2.1.C Plant Detail'!G1634</f>
        <v>412757087.3435027</v>
      </c>
      <c r="K36" s="294">
        <f>'WPB-2.1.C Plant Detail'!G1748</f>
        <v>413180540.84086829</v>
      </c>
      <c r="L36" s="294">
        <f>'WPB-2.1.C Plant Detail'!G1862</f>
        <v>413949651.31677526</v>
      </c>
      <c r="M36" s="294">
        <f>'WPB-2.1.C Plant Detail'!G1976</f>
        <v>414705237.01649886</v>
      </c>
      <c r="N36" s="294">
        <f>'WPB-2.1.C Plant Detail'!G2090</f>
        <v>415168259.93944097</v>
      </c>
      <c r="O36" s="294">
        <f>'WPB-2.1.C Plant Detail'!G2204</f>
        <v>415609477.43140608</v>
      </c>
      <c r="P36" s="313"/>
    </row>
    <row r="37" spans="1:16">
      <c r="A37" s="290">
        <f>IF(ISBLANK($B37),"",COUNTA($B$15:B37))</f>
        <v>22</v>
      </c>
      <c r="B37" s="293">
        <v>378.1</v>
      </c>
      <c r="C37" s="220" t="s">
        <v>394</v>
      </c>
      <c r="D37" s="294">
        <f>'WPB-2.1.C Plant Detail'!G951</f>
        <v>571573.2300000001</v>
      </c>
      <c r="E37" s="294">
        <f>'WPB-2.1.C Plant Detail'!G1065</f>
        <v>571573.2300000001</v>
      </c>
      <c r="F37" s="294">
        <f>'WPB-2.1.C Plant Detail'!G1179</f>
        <v>571573.2300000001</v>
      </c>
      <c r="G37" s="294">
        <f>'WPB-2.1.C Plant Detail'!G1293</f>
        <v>571379.56000000006</v>
      </c>
      <c r="H37" s="294">
        <f>'WPB-2.1.C Plant Detail'!G1407</f>
        <v>571288.02</v>
      </c>
      <c r="I37" s="294">
        <f>'WPB-2.1.C Plant Detail'!G1521</f>
        <v>571288.02</v>
      </c>
      <c r="J37" s="294">
        <f>'WPB-2.1.C Plant Detail'!G1635</f>
        <v>204192.69</v>
      </c>
      <c r="K37" s="294">
        <f>'WPB-2.1.C Plant Detail'!G1749</f>
        <v>167304.12</v>
      </c>
      <c r="L37" s="294">
        <f>'WPB-2.1.C Plant Detail'!G1863</f>
        <v>167304.12</v>
      </c>
      <c r="M37" s="294">
        <f>'WPB-2.1.C Plant Detail'!G1977</f>
        <v>167304.12</v>
      </c>
      <c r="N37" s="294">
        <f>'WPB-2.1.C Plant Detail'!G2091</f>
        <v>167304.12</v>
      </c>
      <c r="O37" s="294">
        <f>'WPB-2.1.C Plant Detail'!G2205</f>
        <v>126600.13999999998</v>
      </c>
      <c r="P37" s="313"/>
    </row>
    <row r="38" spans="1:16">
      <c r="A38" s="290">
        <f>IF(ISBLANK($B38),"",COUNTA($B$15:B38))</f>
        <v>23</v>
      </c>
      <c r="B38" s="293">
        <v>378.2</v>
      </c>
      <c r="C38" s="220" t="s">
        <v>1583</v>
      </c>
      <c r="D38" s="294">
        <f>'WPB-2.1.C Plant Detail'!G952</f>
        <v>25351623.770000003</v>
      </c>
      <c r="E38" s="294">
        <f>'WPB-2.1.C Plant Detail'!G1066</f>
        <v>25364240.560000002</v>
      </c>
      <c r="F38" s="294">
        <f>'WPB-2.1.C Plant Detail'!G1180</f>
        <v>25341907.280000001</v>
      </c>
      <c r="G38" s="294">
        <f>'WPB-2.1.C Plant Detail'!G1294</f>
        <v>25341221.630000003</v>
      </c>
      <c r="H38" s="294">
        <f>'WPB-2.1.C Plant Detail'!G1408</f>
        <v>25353384.650000002</v>
      </c>
      <c r="I38" s="294">
        <f>'WPB-2.1.C Plant Detail'!G1522</f>
        <v>25350573.110000003</v>
      </c>
      <c r="J38" s="294">
        <f>'WPB-2.1.C Plant Detail'!G1636</f>
        <v>25833137.27</v>
      </c>
      <c r="K38" s="294">
        <f>'WPB-2.1.C Plant Detail'!G1750</f>
        <v>26041004.602746785</v>
      </c>
      <c r="L38" s="294">
        <f>'WPB-2.1.C Plant Detail'!G1864</f>
        <v>26780211.885248285</v>
      </c>
      <c r="M38" s="294">
        <f>'WPB-2.1.C Plant Detail'!G1978</f>
        <v>26810871.454025183</v>
      </c>
      <c r="N38" s="294">
        <f>'WPB-2.1.C Plant Detail'!G2092</f>
        <v>27367923.424483981</v>
      </c>
      <c r="O38" s="294">
        <f>'WPB-2.1.C Plant Detail'!G2206</f>
        <v>27404157.581906334</v>
      </c>
      <c r="P38" s="313"/>
    </row>
    <row r="39" spans="1:16">
      <c r="A39" s="290">
        <f>IF(ISBLANK($B39),"",COUNTA($B$15:B39))</f>
        <v>24</v>
      </c>
      <c r="B39" s="293">
        <v>378.3</v>
      </c>
      <c r="C39" s="220" t="s">
        <v>396</v>
      </c>
      <c r="D39" s="294">
        <f>'WPB-2.1.C Plant Detail'!G953</f>
        <v>45443.08</v>
      </c>
      <c r="E39" s="294">
        <f>'WPB-2.1.C Plant Detail'!G1067</f>
        <v>45443.08</v>
      </c>
      <c r="F39" s="294">
        <f>'WPB-2.1.C Plant Detail'!G1181</f>
        <v>45443.08</v>
      </c>
      <c r="G39" s="294">
        <f>'WPB-2.1.C Plant Detail'!G1295</f>
        <v>45443.08</v>
      </c>
      <c r="H39" s="294">
        <f>'WPB-2.1.C Plant Detail'!G1409</f>
        <v>45443.08</v>
      </c>
      <c r="I39" s="294">
        <f>'WPB-2.1.C Plant Detail'!G1523</f>
        <v>45443.08</v>
      </c>
      <c r="J39" s="294">
        <f>'WPB-2.1.C Plant Detail'!G1637</f>
        <v>45443.08</v>
      </c>
      <c r="K39" s="294">
        <f>'WPB-2.1.C Plant Detail'!G1751</f>
        <v>45443.08</v>
      </c>
      <c r="L39" s="294">
        <f>'WPB-2.1.C Plant Detail'!G1865</f>
        <v>45443.08</v>
      </c>
      <c r="M39" s="294">
        <f>'WPB-2.1.C Plant Detail'!G1979</f>
        <v>45443.08</v>
      </c>
      <c r="N39" s="294">
        <f>'WPB-2.1.C Plant Detail'!G2093</f>
        <v>45443.08</v>
      </c>
      <c r="O39" s="294">
        <f>'WPB-2.1.C Plant Detail'!G2207</f>
        <v>45443.08</v>
      </c>
      <c r="P39" s="313"/>
    </row>
    <row r="40" spans="1:16">
      <c r="A40" s="290">
        <f>IF(ISBLANK($B40),"",COUNTA($B$15:B40))</f>
        <v>25</v>
      </c>
      <c r="B40" s="293">
        <v>379.1</v>
      </c>
      <c r="C40" s="220" t="s">
        <v>397</v>
      </c>
      <c r="D40" s="294">
        <f>'WPB-2.1.C Plant Detail'!G954</f>
        <v>1554144.06</v>
      </c>
      <c r="E40" s="294">
        <f>'WPB-2.1.C Plant Detail'!G1068</f>
        <v>1554144.06</v>
      </c>
      <c r="F40" s="294">
        <f>'WPB-2.1.C Plant Detail'!G1182</f>
        <v>1554144.06</v>
      </c>
      <c r="G40" s="294">
        <f>'WPB-2.1.C Plant Detail'!G1296</f>
        <v>1554144.06</v>
      </c>
      <c r="H40" s="294">
        <f>'WPB-2.1.C Plant Detail'!G1410</f>
        <v>1554144.06</v>
      </c>
      <c r="I40" s="294">
        <f>'WPB-2.1.C Plant Detail'!G1524</f>
        <v>1554144.06</v>
      </c>
      <c r="J40" s="294">
        <f>'WPB-2.1.C Plant Detail'!G1638</f>
        <v>1554144.06</v>
      </c>
      <c r="K40" s="294">
        <f>'WPB-2.1.C Plant Detail'!G1752</f>
        <v>1554144.06</v>
      </c>
      <c r="L40" s="294">
        <f>'WPB-2.1.C Plant Detail'!G1866</f>
        <v>1554144.06</v>
      </c>
      <c r="M40" s="294">
        <f>'WPB-2.1.C Plant Detail'!G1980</f>
        <v>1554144.06</v>
      </c>
      <c r="N40" s="294">
        <f>'WPB-2.1.C Plant Detail'!G2094</f>
        <v>1554144.06</v>
      </c>
      <c r="O40" s="294">
        <f>'WPB-2.1.C Plant Detail'!G2208</f>
        <v>1554144.06</v>
      </c>
      <c r="P40" s="313"/>
    </row>
    <row r="41" spans="1:16">
      <c r="A41" s="290">
        <f>IF(ISBLANK($B41),"",COUNTA($B$15:B41))</f>
        <v>26</v>
      </c>
      <c r="B41" s="293">
        <v>380</v>
      </c>
      <c r="C41" s="220" t="s">
        <v>1623</v>
      </c>
      <c r="D41" s="294">
        <f>'WPB-2.1.C Plant Detail'!G955</f>
        <v>198991449.31649062</v>
      </c>
      <c r="E41" s="294">
        <f>'WPB-2.1.C Plant Detail'!G1069</f>
        <v>200145802.17672706</v>
      </c>
      <c r="F41" s="294">
        <f>'WPB-2.1.C Plant Detail'!G1183</f>
        <v>200913073.45287967</v>
      </c>
      <c r="G41" s="294">
        <f>'WPB-2.1.C Plant Detail'!G1297</f>
        <v>201989330.3594296</v>
      </c>
      <c r="H41" s="294">
        <f>'WPB-2.1.C Plant Detail'!G1411</f>
        <v>202788841.64942962</v>
      </c>
      <c r="I41" s="294">
        <f>'WPB-2.1.C Plant Detail'!G1525</f>
        <v>203685829.21942961</v>
      </c>
      <c r="J41" s="294">
        <f>'WPB-2.1.C Plant Detail'!G1639</f>
        <v>203683170.40942961</v>
      </c>
      <c r="K41" s="294">
        <f>'WPB-2.1.C Plant Detail'!G1753</f>
        <v>203720647.66631791</v>
      </c>
      <c r="L41" s="294">
        <f>'WPB-2.1.C Plant Detail'!G1867</f>
        <v>203775826.2610403</v>
      </c>
      <c r="M41" s="294">
        <f>'WPB-2.1.C Plant Detail'!G1981</f>
        <v>203793923.60834214</v>
      </c>
      <c r="N41" s="294">
        <f>'WPB-2.1.C Plant Detail'!G2095</f>
        <v>203780649.53685194</v>
      </c>
      <c r="O41" s="294">
        <f>'WPB-2.1.C Plant Detail'!G2209</f>
        <v>203858319.938647</v>
      </c>
      <c r="P41" s="313"/>
    </row>
    <row r="42" spans="1:16">
      <c r="A42" s="290">
        <f>IF(ISBLANK($B42),"",COUNTA($B$15:B42))</f>
        <v>27</v>
      </c>
      <c r="B42" s="293">
        <v>381</v>
      </c>
      <c r="C42" s="220" t="s">
        <v>399</v>
      </c>
      <c r="D42" s="294">
        <f>'WPB-2.1.C Plant Detail'!G956</f>
        <v>18190693.460000001</v>
      </c>
      <c r="E42" s="294">
        <f>'WPB-2.1.C Plant Detail'!G1070</f>
        <v>19337392.540000003</v>
      </c>
      <c r="F42" s="294">
        <f>'WPB-2.1.C Plant Detail'!G1184</f>
        <v>19383716.710000001</v>
      </c>
      <c r="G42" s="294">
        <f>'WPB-2.1.C Plant Detail'!G1298</f>
        <v>19455628.810000002</v>
      </c>
      <c r="H42" s="294">
        <f>'WPB-2.1.C Plant Detail'!G1412</f>
        <v>19483165.740000002</v>
      </c>
      <c r="I42" s="294">
        <f>'WPB-2.1.C Plant Detail'!G1526</f>
        <v>19506245.870000001</v>
      </c>
      <c r="J42" s="294">
        <f>'WPB-2.1.C Plant Detail'!G1640</f>
        <v>19773017.760000002</v>
      </c>
      <c r="K42" s="294">
        <f>'WPB-2.1.C Plant Detail'!G1754</f>
        <v>19293220.320000004</v>
      </c>
      <c r="L42" s="294">
        <f>'WPB-2.1.C Plant Detail'!G1868</f>
        <v>19392731.440000005</v>
      </c>
      <c r="M42" s="294">
        <f>'WPB-2.1.C Plant Detail'!G1982</f>
        <v>19382533.990000006</v>
      </c>
      <c r="N42" s="294">
        <f>'WPB-2.1.C Plant Detail'!G2096</f>
        <v>19428542.250000004</v>
      </c>
      <c r="O42" s="294">
        <f>'WPB-2.1.C Plant Detail'!G2210</f>
        <v>19637901.430000007</v>
      </c>
      <c r="P42" s="313"/>
    </row>
    <row r="43" spans="1:16">
      <c r="A43" s="290">
        <f>IF(ISBLANK($B43),"",COUNTA($B$15:B43))</f>
        <v>28</v>
      </c>
      <c r="B43" s="293">
        <v>381.1</v>
      </c>
      <c r="C43" s="220" t="s">
        <v>2366</v>
      </c>
      <c r="D43" s="294">
        <f>'WPB-2.1.C Plant Detail'!G957</f>
        <v>9980854.4800000004</v>
      </c>
      <c r="E43" s="294">
        <f>'WPB-2.1.C Plant Detail'!G1071</f>
        <v>9980854.4800000004</v>
      </c>
      <c r="F43" s="294">
        <f>'WPB-2.1.C Plant Detail'!G1185</f>
        <v>9980854.4800000004</v>
      </c>
      <c r="G43" s="294">
        <f>'WPB-2.1.C Plant Detail'!G1299</f>
        <v>9980854.4800000004</v>
      </c>
      <c r="H43" s="294">
        <f>'WPB-2.1.C Plant Detail'!G1413</f>
        <v>9980854.4800000004</v>
      </c>
      <c r="I43" s="294">
        <f>'WPB-2.1.C Plant Detail'!G1527</f>
        <v>9980854.4800000004</v>
      </c>
      <c r="J43" s="294">
        <f>'WPB-2.1.C Plant Detail'!G1641</f>
        <v>9980854.4800000004</v>
      </c>
      <c r="K43" s="294">
        <f>'WPB-2.1.C Plant Detail'!G1755</f>
        <v>9980854.4800000004</v>
      </c>
      <c r="L43" s="294">
        <f>'WPB-2.1.C Plant Detail'!G1869</f>
        <v>9980854.4800000004</v>
      </c>
      <c r="M43" s="294">
        <f>'WPB-2.1.C Plant Detail'!G1983</f>
        <v>9980854.4800000004</v>
      </c>
      <c r="N43" s="294">
        <f>'WPB-2.1.C Plant Detail'!G2097</f>
        <v>9980854.4800000004</v>
      </c>
      <c r="O43" s="294">
        <f>'WPB-2.1.C Plant Detail'!G2211</f>
        <v>9980854.4800000004</v>
      </c>
      <c r="P43" s="313"/>
    </row>
    <row r="44" spans="1:16">
      <c r="A44" s="290">
        <f>IF(ISBLANK($B44),"",COUNTA($B$15:B44))</f>
        <v>29</v>
      </c>
      <c r="B44" s="293">
        <v>382</v>
      </c>
      <c r="C44" s="220" t="s">
        <v>1624</v>
      </c>
      <c r="D44" s="294">
        <f>'WPB-2.1.C Plant Detail'!G958</f>
        <v>10303126.359999999</v>
      </c>
      <c r="E44" s="294">
        <f>'WPB-2.1.C Plant Detail'!G1072</f>
        <v>10393363.639999999</v>
      </c>
      <c r="F44" s="294">
        <f>'WPB-2.1.C Plant Detail'!G1186</f>
        <v>10468577.359999999</v>
      </c>
      <c r="G44" s="294">
        <f>'WPB-2.1.C Plant Detail'!G1300</f>
        <v>10565313.149999999</v>
      </c>
      <c r="H44" s="294">
        <f>'WPB-2.1.C Plant Detail'!G1414</f>
        <v>10574151.059999999</v>
      </c>
      <c r="I44" s="294">
        <f>'WPB-2.1.C Plant Detail'!G1528</f>
        <v>10584867.059999999</v>
      </c>
      <c r="J44" s="294">
        <f>'WPB-2.1.C Plant Detail'!G1642</f>
        <v>10589970.802835057</v>
      </c>
      <c r="K44" s="294">
        <f>'WPB-2.1.C Plant Detail'!G1756</f>
        <v>10586815.722835058</v>
      </c>
      <c r="L44" s="294">
        <f>'WPB-2.1.C Plant Detail'!G1870</f>
        <v>10585676.411640527</v>
      </c>
      <c r="M44" s="294">
        <f>'WPB-2.1.C Plant Detail'!G1984</f>
        <v>10589868.255317178</v>
      </c>
      <c r="N44" s="294">
        <f>'WPB-2.1.C Plant Detail'!G2098</f>
        <v>10595728.397790814</v>
      </c>
      <c r="O44" s="294">
        <f>'WPB-2.1.C Plant Detail'!G2212</f>
        <v>10605504.892643822</v>
      </c>
      <c r="P44" s="313"/>
    </row>
    <row r="45" spans="1:16">
      <c r="A45" s="290">
        <f>IF(ISBLANK($B45),"",COUNTA($B$15:B45))</f>
        <v>30</v>
      </c>
      <c r="B45" s="293">
        <v>383</v>
      </c>
      <c r="C45" s="220" t="s">
        <v>1625</v>
      </c>
      <c r="D45" s="294">
        <f>'WPB-2.1.C Plant Detail'!G959</f>
        <v>7253229.5</v>
      </c>
      <c r="E45" s="294">
        <f>'WPB-2.1.C Plant Detail'!G1073</f>
        <v>7279256.3799999999</v>
      </c>
      <c r="F45" s="294">
        <f>'WPB-2.1.C Plant Detail'!G1187</f>
        <v>7308100.7299999995</v>
      </c>
      <c r="G45" s="294">
        <f>'WPB-2.1.C Plant Detail'!G1301</f>
        <v>7334559.7299999995</v>
      </c>
      <c r="H45" s="294">
        <f>'WPB-2.1.C Plant Detail'!G1415</f>
        <v>7368278.1399999997</v>
      </c>
      <c r="I45" s="294">
        <f>'WPB-2.1.C Plant Detail'!G1529</f>
        <v>7387201.2399999993</v>
      </c>
      <c r="J45" s="294">
        <f>'WPB-2.1.C Plant Detail'!G1643</f>
        <v>7411634.8922356106</v>
      </c>
      <c r="K45" s="294">
        <f>'WPB-2.1.C Plant Detail'!G1757</f>
        <v>7426322.2493878705</v>
      </c>
      <c r="L45" s="294">
        <f>'WPB-2.1.C Plant Detail'!G1871</f>
        <v>7434451.4812477725</v>
      </c>
      <c r="M45" s="294">
        <f>'WPB-2.1.C Plant Detail'!G1985</f>
        <v>7448234.5653826492</v>
      </c>
      <c r="N45" s="294">
        <f>'WPB-2.1.C Plant Detail'!G2099</f>
        <v>7455648.8058603331</v>
      </c>
      <c r="O45" s="294">
        <f>'WPB-2.1.C Plant Detail'!G2213</f>
        <v>7467481.8413111707</v>
      </c>
      <c r="P45" s="313"/>
    </row>
    <row r="46" spans="1:16">
      <c r="A46" s="290">
        <f>IF(ISBLANK($B46),"",COUNTA($B$15:B46))</f>
        <v>31</v>
      </c>
      <c r="B46" s="293">
        <v>384</v>
      </c>
      <c r="C46" s="220" t="s">
        <v>402</v>
      </c>
      <c r="D46" s="294">
        <f>'WPB-2.1.C Plant Detail'!G960</f>
        <v>2085058.65</v>
      </c>
      <c r="E46" s="294">
        <f>'WPB-2.1.C Plant Detail'!G1074</f>
        <v>2085058.65</v>
      </c>
      <c r="F46" s="294">
        <f>'WPB-2.1.C Plant Detail'!G1188</f>
        <v>2085058.65</v>
      </c>
      <c r="G46" s="294">
        <f>'WPB-2.1.C Plant Detail'!G1302</f>
        <v>2085058.65</v>
      </c>
      <c r="H46" s="294">
        <f>'WPB-2.1.C Plant Detail'!G1416</f>
        <v>2085058.65</v>
      </c>
      <c r="I46" s="294">
        <f>'WPB-2.1.C Plant Detail'!G1530</f>
        <v>2085058.65</v>
      </c>
      <c r="J46" s="294">
        <f>'WPB-2.1.C Plant Detail'!G1644</f>
        <v>2085098.38</v>
      </c>
      <c r="K46" s="294">
        <f>'WPB-2.1.C Plant Detail'!G1758</f>
        <v>2085111.6199999999</v>
      </c>
      <c r="L46" s="294">
        <f>'WPB-2.1.C Plant Detail'!G1872</f>
        <v>2085124.8599999999</v>
      </c>
      <c r="M46" s="294">
        <f>'WPB-2.1.C Plant Detail'!G1986</f>
        <v>2085138.0999999999</v>
      </c>
      <c r="N46" s="294">
        <f>'WPB-2.1.C Plant Detail'!G2100</f>
        <v>2085151.3399999999</v>
      </c>
      <c r="O46" s="294">
        <f>'WPB-2.1.C Plant Detail'!G2214</f>
        <v>2085164.5799999998</v>
      </c>
      <c r="P46" s="313"/>
    </row>
    <row r="47" spans="1:16">
      <c r="A47" s="290">
        <f>IF(ISBLANK($B47),"",COUNTA($B$15:B47))</f>
        <v>32</v>
      </c>
      <c r="B47" s="293">
        <v>385</v>
      </c>
      <c r="C47" s="220" t="s">
        <v>403</v>
      </c>
      <c r="D47" s="294">
        <f>'WPB-2.1.C Plant Detail'!G961</f>
        <v>6051819.120000001</v>
      </c>
      <c r="E47" s="294">
        <f>'WPB-2.1.C Plant Detail'!G1075</f>
        <v>6053865.2800000012</v>
      </c>
      <c r="F47" s="294">
        <f>'WPB-2.1.C Plant Detail'!G1189</f>
        <v>6051843.540000001</v>
      </c>
      <c r="G47" s="294">
        <f>'WPB-2.1.C Plant Detail'!G1303</f>
        <v>6050694.3200000003</v>
      </c>
      <c r="H47" s="294">
        <f>'WPB-2.1.C Plant Detail'!G1417</f>
        <v>6049390.4900000002</v>
      </c>
      <c r="I47" s="294">
        <f>'WPB-2.1.C Plant Detail'!G1531</f>
        <v>6045978.29</v>
      </c>
      <c r="J47" s="294">
        <f>'WPB-2.1.C Plant Detail'!G1645</f>
        <v>6077916.1600000001</v>
      </c>
      <c r="K47" s="294">
        <f>'WPB-2.1.C Plant Detail'!G1759</f>
        <v>6147919.1100000003</v>
      </c>
      <c r="L47" s="294">
        <f>'WPB-2.1.C Plant Detail'!G1873</f>
        <v>6148762.0700000003</v>
      </c>
      <c r="M47" s="294">
        <f>'WPB-2.1.C Plant Detail'!G1987</f>
        <v>6155762.25</v>
      </c>
      <c r="N47" s="294">
        <f>'WPB-2.1.C Plant Detail'!G2101</f>
        <v>6150394.4500000002</v>
      </c>
      <c r="O47" s="294">
        <f>'WPB-2.1.C Plant Detail'!G2215</f>
        <v>6204468.29</v>
      </c>
      <c r="P47" s="313"/>
    </row>
    <row r="48" spans="1:16">
      <c r="A48" s="290">
        <f>IF(ISBLANK($B48),"",COUNTA($B$15:B48))</f>
        <v>33</v>
      </c>
      <c r="B48" s="293">
        <v>387.2</v>
      </c>
      <c r="C48" s="220" t="s">
        <v>404</v>
      </c>
      <c r="D48" s="294">
        <f>'WPB-2.1.C Plant Detail'!G962</f>
        <v>0</v>
      </c>
      <c r="E48" s="294">
        <f>'WPB-2.1.C Plant Detail'!G1076</f>
        <v>0</v>
      </c>
      <c r="F48" s="294">
        <f>'WPB-2.1.C Plant Detail'!G1190</f>
        <v>0</v>
      </c>
      <c r="G48" s="294">
        <f>'WPB-2.1.C Plant Detail'!G1304</f>
        <v>0</v>
      </c>
      <c r="H48" s="294">
        <f>'WPB-2.1.C Plant Detail'!G1418</f>
        <v>0</v>
      </c>
      <c r="I48" s="294">
        <f>'WPB-2.1.C Plant Detail'!G1532</f>
        <v>0</v>
      </c>
      <c r="J48" s="294">
        <f>'WPB-2.1.C Plant Detail'!G1646</f>
        <v>0</v>
      </c>
      <c r="K48" s="294">
        <f>'WPB-2.1.C Plant Detail'!G1760</f>
        <v>0</v>
      </c>
      <c r="L48" s="294">
        <f>'WPB-2.1.C Plant Detail'!G1874</f>
        <v>0</v>
      </c>
      <c r="M48" s="294">
        <f>'WPB-2.1.C Plant Detail'!G1988</f>
        <v>0</v>
      </c>
      <c r="N48" s="294">
        <f>'WPB-2.1.C Plant Detail'!G2102</f>
        <v>0</v>
      </c>
      <c r="O48" s="294">
        <f>'WPB-2.1.C Plant Detail'!G2216</f>
        <v>0</v>
      </c>
      <c r="P48" s="313"/>
    </row>
    <row r="49" spans="1:16">
      <c r="A49" s="290">
        <f>IF(ISBLANK($B49),"",COUNTA($B$15:B49))</f>
        <v>34</v>
      </c>
      <c r="B49" s="293">
        <v>387.41</v>
      </c>
      <c r="C49" s="220" t="s">
        <v>405</v>
      </c>
      <c r="D49" s="294">
        <f>'WPB-2.1.C Plant Detail'!G963</f>
        <v>260538.46000000008</v>
      </c>
      <c r="E49" s="294">
        <f>'WPB-2.1.C Plant Detail'!G1077</f>
        <v>260538.46000000008</v>
      </c>
      <c r="F49" s="294">
        <f>'WPB-2.1.C Plant Detail'!G1191</f>
        <v>260538.46000000008</v>
      </c>
      <c r="G49" s="294">
        <f>'WPB-2.1.C Plant Detail'!G1305</f>
        <v>260538.46000000008</v>
      </c>
      <c r="H49" s="294">
        <f>'WPB-2.1.C Plant Detail'!G1419</f>
        <v>260538.46000000008</v>
      </c>
      <c r="I49" s="294">
        <f>'WPB-2.1.C Plant Detail'!G1533</f>
        <v>260538.46000000008</v>
      </c>
      <c r="J49" s="294">
        <f>'WPB-2.1.C Plant Detail'!G1647</f>
        <v>260538.46000000008</v>
      </c>
      <c r="K49" s="294">
        <f>'WPB-2.1.C Plant Detail'!G1761</f>
        <v>260538.46000000008</v>
      </c>
      <c r="L49" s="294">
        <f>'WPB-2.1.C Plant Detail'!G1875</f>
        <v>260538.46000000008</v>
      </c>
      <c r="M49" s="294">
        <f>'WPB-2.1.C Plant Detail'!G1989</f>
        <v>260538.46000000008</v>
      </c>
      <c r="N49" s="294">
        <f>'WPB-2.1.C Plant Detail'!G2103</f>
        <v>260538.46000000008</v>
      </c>
      <c r="O49" s="294">
        <f>'WPB-2.1.C Plant Detail'!G2217</f>
        <v>260538.46000000008</v>
      </c>
      <c r="P49" s="313"/>
    </row>
    <row r="50" spans="1:16">
      <c r="A50" s="290">
        <f>IF(ISBLANK($B50),"",COUNTA($B$15:B50))</f>
        <v>35</v>
      </c>
      <c r="B50" s="293">
        <v>387.42</v>
      </c>
      <c r="C50" s="220" t="s">
        <v>406</v>
      </c>
      <c r="D50" s="294">
        <f>'WPB-2.1.C Plant Detail'!G964</f>
        <v>419367.40000000008</v>
      </c>
      <c r="E50" s="294">
        <f>'WPB-2.1.C Plant Detail'!G1078</f>
        <v>419367.40000000008</v>
      </c>
      <c r="F50" s="294">
        <f>'WPB-2.1.C Plant Detail'!G1192</f>
        <v>419367.40000000008</v>
      </c>
      <c r="G50" s="294">
        <f>'WPB-2.1.C Plant Detail'!G1306</f>
        <v>419367.40000000008</v>
      </c>
      <c r="H50" s="294">
        <f>'WPB-2.1.C Plant Detail'!G1420</f>
        <v>419367.40000000008</v>
      </c>
      <c r="I50" s="294">
        <f>'WPB-2.1.C Plant Detail'!G1534</f>
        <v>419367.40000000008</v>
      </c>
      <c r="J50" s="294">
        <f>'WPB-2.1.C Plant Detail'!G1648</f>
        <v>419367.40000000008</v>
      </c>
      <c r="K50" s="294">
        <f>'WPB-2.1.C Plant Detail'!G1762</f>
        <v>419367.40000000008</v>
      </c>
      <c r="L50" s="294">
        <f>'WPB-2.1.C Plant Detail'!G1876</f>
        <v>419367.40000000008</v>
      </c>
      <c r="M50" s="294">
        <f>'WPB-2.1.C Plant Detail'!G1990</f>
        <v>419367.40000000008</v>
      </c>
      <c r="N50" s="294">
        <f>'WPB-2.1.C Plant Detail'!G2104</f>
        <v>419367.40000000008</v>
      </c>
      <c r="O50" s="294">
        <f>'WPB-2.1.C Plant Detail'!G2218</f>
        <v>419367.40000000008</v>
      </c>
      <c r="P50" s="313"/>
    </row>
    <row r="51" spans="1:16">
      <c r="A51" s="290">
        <f>IF(ISBLANK($B51),"",COUNTA($B$15:B51))</f>
        <v>36</v>
      </c>
      <c r="B51" s="293">
        <v>387.44</v>
      </c>
      <c r="C51" s="220" t="s">
        <v>407</v>
      </c>
      <c r="D51" s="294">
        <f>'WPB-2.1.C Plant Detail'!G965</f>
        <v>124678.76000000001</v>
      </c>
      <c r="E51" s="294">
        <f>'WPB-2.1.C Plant Detail'!G1079</f>
        <v>124678.76000000001</v>
      </c>
      <c r="F51" s="294">
        <f>'WPB-2.1.C Plant Detail'!G1193</f>
        <v>124678.76000000001</v>
      </c>
      <c r="G51" s="294">
        <f>'WPB-2.1.C Plant Detail'!G1307</f>
        <v>124678.76000000001</v>
      </c>
      <c r="H51" s="294">
        <f>'WPB-2.1.C Plant Detail'!G1421</f>
        <v>124678.76000000001</v>
      </c>
      <c r="I51" s="294">
        <f>'WPB-2.1.C Plant Detail'!G1535</f>
        <v>124678.76000000001</v>
      </c>
      <c r="J51" s="294">
        <f>'WPB-2.1.C Plant Detail'!G1649</f>
        <v>124678.76000000001</v>
      </c>
      <c r="K51" s="294">
        <f>'WPB-2.1.C Plant Detail'!G1763</f>
        <v>124678.76000000001</v>
      </c>
      <c r="L51" s="294">
        <f>'WPB-2.1.C Plant Detail'!G1877</f>
        <v>124678.76000000001</v>
      </c>
      <c r="M51" s="294">
        <f>'WPB-2.1.C Plant Detail'!G1991</f>
        <v>124678.76000000001</v>
      </c>
      <c r="N51" s="294">
        <f>'WPB-2.1.C Plant Detail'!G2105</f>
        <v>124678.76000000001</v>
      </c>
      <c r="O51" s="294">
        <f>'WPB-2.1.C Plant Detail'!G2219</f>
        <v>124678.76000000001</v>
      </c>
      <c r="P51" s="313"/>
    </row>
    <row r="52" spans="1:16">
      <c r="A52" s="290">
        <f>IF(ISBLANK($B52),"",COUNTA($B$15:B52))</f>
        <v>37</v>
      </c>
      <c r="B52" s="293">
        <v>387.45</v>
      </c>
      <c r="C52" s="220" t="s">
        <v>408</v>
      </c>
      <c r="D52" s="294">
        <f>'WPB-2.1.C Plant Detail'!G966</f>
        <v>5801722.8600000003</v>
      </c>
      <c r="E52" s="294">
        <f>'WPB-2.1.C Plant Detail'!G1080</f>
        <v>5803206.8799999999</v>
      </c>
      <c r="F52" s="294">
        <f>'WPB-2.1.C Plant Detail'!G1194</f>
        <v>5788676.4800000004</v>
      </c>
      <c r="G52" s="294">
        <f>'WPB-2.1.C Plant Detail'!G1308</f>
        <v>6010372.4800000004</v>
      </c>
      <c r="H52" s="294">
        <f>'WPB-2.1.C Plant Detail'!G1422</f>
        <v>6008813.7200000007</v>
      </c>
      <c r="I52" s="294">
        <f>'WPB-2.1.C Plant Detail'!G1536</f>
        <v>6061927.2500000009</v>
      </c>
      <c r="J52" s="294">
        <f>'WPB-2.1.C Plant Detail'!G1650</f>
        <v>6051035.040000001</v>
      </c>
      <c r="K52" s="294">
        <f>'WPB-2.1.C Plant Detail'!G1764</f>
        <v>6000008.120000001</v>
      </c>
      <c r="L52" s="294">
        <f>'WPB-2.1.C Plant Detail'!G1878</f>
        <v>6010004.5000000009</v>
      </c>
      <c r="M52" s="294">
        <f>'WPB-2.1.C Plant Detail'!G1992</f>
        <v>6001383.8500000006</v>
      </c>
      <c r="N52" s="294">
        <f>'WPB-2.1.C Plant Detail'!G2106</f>
        <v>6073079.2300000004</v>
      </c>
      <c r="O52" s="294">
        <f>'WPB-2.1.C Plant Detail'!G2220</f>
        <v>6119025.9300000006</v>
      </c>
      <c r="P52" s="313"/>
    </row>
    <row r="53" spans="1:16">
      <c r="A53" s="290">
        <f>IF(ISBLANK($B53),"",COUNTA($B$15:B53))</f>
        <v>38</v>
      </c>
      <c r="B53" s="293">
        <v>387.46</v>
      </c>
      <c r="C53" s="220" t="s">
        <v>409</v>
      </c>
      <c r="D53" s="294">
        <f>'WPB-2.1.C Plant Detail'!G967</f>
        <v>113644.47</v>
      </c>
      <c r="E53" s="294">
        <f>'WPB-2.1.C Plant Detail'!G1081</f>
        <v>113644.47</v>
      </c>
      <c r="F53" s="294">
        <f>'WPB-2.1.C Plant Detail'!G1195</f>
        <v>113644.47</v>
      </c>
      <c r="G53" s="294">
        <f>'WPB-2.1.C Plant Detail'!G1309</f>
        <v>113644.47</v>
      </c>
      <c r="H53" s="294">
        <f>'WPB-2.1.C Plant Detail'!G1423</f>
        <v>113644.47</v>
      </c>
      <c r="I53" s="294">
        <f>'WPB-2.1.C Plant Detail'!G1537</f>
        <v>113644.47</v>
      </c>
      <c r="J53" s="294">
        <f>'WPB-2.1.C Plant Detail'!G1651</f>
        <v>113644.47</v>
      </c>
      <c r="K53" s="294">
        <f>'WPB-2.1.C Plant Detail'!G1765</f>
        <v>113644.47</v>
      </c>
      <c r="L53" s="294">
        <f>'WPB-2.1.C Plant Detail'!G1879</f>
        <v>113644.47</v>
      </c>
      <c r="M53" s="294">
        <f>'WPB-2.1.C Plant Detail'!G1993</f>
        <v>113644.47</v>
      </c>
      <c r="N53" s="294">
        <f>'WPB-2.1.C Plant Detail'!G2107</f>
        <v>113644.47</v>
      </c>
      <c r="O53" s="294">
        <f>'WPB-2.1.C Plant Detail'!G2221</f>
        <v>113644.47</v>
      </c>
      <c r="P53" s="313"/>
    </row>
    <row r="54" spans="1:16">
      <c r="A54" s="290">
        <f>IF(ISBLANK($B54),"",COUNTA($B$15:B54))</f>
        <v>39</v>
      </c>
      <c r="B54" s="293">
        <v>387.5</v>
      </c>
      <c r="C54" s="220" t="s">
        <v>1075</v>
      </c>
      <c r="D54" s="906">
        <f>'WPB-2.1.C Plant Detail'!G968</f>
        <v>235051.94</v>
      </c>
      <c r="E54" s="906">
        <f>'WPB-2.1.C Plant Detail'!G1082</f>
        <v>235051.94</v>
      </c>
      <c r="F54" s="906">
        <f>'WPB-2.1.C Plant Detail'!G1196</f>
        <v>238072.69</v>
      </c>
      <c r="G54" s="906">
        <f>'WPB-2.1.C Plant Detail'!G1310</f>
        <v>238072.69</v>
      </c>
      <c r="H54" s="906">
        <f>'WPB-2.1.C Plant Detail'!G1424</f>
        <v>238072.69</v>
      </c>
      <c r="I54" s="906">
        <f>'WPB-2.1.C Plant Detail'!G1538</f>
        <v>238072.69</v>
      </c>
      <c r="J54" s="906">
        <f>'WPB-2.1.C Plant Detail'!G1652</f>
        <v>238072.69</v>
      </c>
      <c r="K54" s="906">
        <f>'WPB-2.1.C Plant Detail'!G1766</f>
        <v>238072.69</v>
      </c>
      <c r="L54" s="906">
        <f>'WPB-2.1.C Plant Detail'!G1880</f>
        <v>238072.69</v>
      </c>
      <c r="M54" s="906">
        <f>'WPB-2.1.C Plant Detail'!G1994</f>
        <v>238072.69</v>
      </c>
      <c r="N54" s="906">
        <f>'WPB-2.1.C Plant Detail'!G2108</f>
        <v>238072.69</v>
      </c>
      <c r="O54" s="906">
        <f>'WPB-2.1.C Plant Detail'!G2222</f>
        <v>238072.69</v>
      </c>
      <c r="P54" s="313"/>
    </row>
    <row r="55" spans="1:16">
      <c r="A55" s="290">
        <f>IF(ISBLANK($B55),"",COUNTA($B$15:B55))</f>
        <v>40</v>
      </c>
      <c r="B55" s="303" t="s">
        <v>1601</v>
      </c>
      <c r="D55" s="294">
        <f t="shared" ref="D55:O55" si="1">SUM(D25:D41,D42:D54)</f>
        <v>714069373.30649078</v>
      </c>
      <c r="E55" s="294">
        <f t="shared" si="1"/>
        <v>718790831.87672698</v>
      </c>
      <c r="F55" s="294">
        <f t="shared" si="1"/>
        <v>720802422.04287982</v>
      </c>
      <c r="G55" s="294">
        <f t="shared" si="1"/>
        <v>723518329.71942973</v>
      </c>
      <c r="H55" s="294">
        <f t="shared" si="1"/>
        <v>724667743.85942972</v>
      </c>
      <c r="I55" s="294">
        <f t="shared" si="1"/>
        <v>726294604.94942963</v>
      </c>
      <c r="J55" s="294">
        <f t="shared" si="1"/>
        <v>727407575.70800304</v>
      </c>
      <c r="K55" s="294">
        <f t="shared" si="1"/>
        <v>727591366.49215603</v>
      </c>
      <c r="L55" s="294">
        <f t="shared" si="1"/>
        <v>729431319.56595242</v>
      </c>
      <c r="M55" s="294">
        <f t="shared" si="1"/>
        <v>730264609.75956619</v>
      </c>
      <c r="N55" s="294">
        <f t="shared" si="1"/>
        <v>731571287.29442811</v>
      </c>
      <c r="O55" s="294">
        <f t="shared" si="1"/>
        <v>732483564.27591443</v>
      </c>
      <c r="P55" s="313"/>
    </row>
    <row r="56" spans="1:16">
      <c r="A56" s="290" t="str">
        <f>IF(ISBLANK($B56),"",COUNTA($B$42:B56))</f>
        <v/>
      </c>
      <c r="C56" s="294"/>
      <c r="D56" s="294"/>
      <c r="E56" s="294"/>
      <c r="F56" s="294"/>
      <c r="G56" s="304"/>
      <c r="H56" s="294"/>
      <c r="I56" s="294"/>
      <c r="J56" s="294"/>
      <c r="K56" s="304"/>
      <c r="L56" s="294"/>
      <c r="M56" s="294"/>
      <c r="N56" s="294"/>
      <c r="O56" s="294"/>
    </row>
    <row r="57" spans="1:16">
      <c r="A57" s="1308" t="str">
        <f>'General Headers Index'!B4</f>
        <v>COLUMBIA GAS OF KENTUCKY, INC.</v>
      </c>
      <c r="B57" s="1308"/>
      <c r="C57" s="1308"/>
      <c r="D57" s="1308"/>
      <c r="E57" s="1308"/>
      <c r="F57" s="1308"/>
      <c r="G57" s="1308"/>
      <c r="H57" s="1308"/>
      <c r="I57" s="1308"/>
      <c r="J57" s="1308"/>
      <c r="K57" s="1308"/>
      <c r="L57" s="1308"/>
      <c r="M57" s="1308"/>
      <c r="N57" s="1308"/>
      <c r="O57" s="1308"/>
      <c r="P57" s="290"/>
    </row>
    <row r="58" spans="1:16">
      <c r="A58" s="1308" t="str">
        <f>'General Headers Index'!B6</f>
        <v>CASE NO. 2024 - 00092</v>
      </c>
      <c r="B58" s="1308"/>
      <c r="C58" s="1308"/>
      <c r="D58" s="1308"/>
      <c r="E58" s="1308"/>
      <c r="F58" s="1308"/>
      <c r="G58" s="1308"/>
      <c r="H58" s="1308"/>
      <c r="I58" s="1308"/>
      <c r="J58" s="1308"/>
      <c r="K58" s="1308"/>
      <c r="L58" s="1308"/>
      <c r="M58" s="1308"/>
      <c r="N58" s="1308"/>
      <c r="O58" s="1308"/>
      <c r="P58" s="290"/>
    </row>
    <row r="59" spans="1:16">
      <c r="A59" s="1308" t="s">
        <v>1035</v>
      </c>
      <c r="B59" s="1308"/>
      <c r="C59" s="1308"/>
      <c r="D59" s="1308"/>
      <c r="E59" s="1308"/>
      <c r="F59" s="1308"/>
      <c r="G59" s="1308"/>
      <c r="H59" s="1308"/>
      <c r="I59" s="1308"/>
      <c r="J59" s="1308"/>
      <c r="K59" s="1308"/>
      <c r="L59" s="1308"/>
      <c r="M59" s="1308"/>
      <c r="N59" s="1308"/>
      <c r="O59" s="1308"/>
      <c r="P59" s="290"/>
    </row>
    <row r="60" spans="1:16">
      <c r="A60" s="1308" t="str">
        <f>A4</f>
        <v>BASE PERIOD 09/30/2023 TO 08/31/2024</v>
      </c>
      <c r="B60" s="1308"/>
      <c r="C60" s="1308"/>
      <c r="D60" s="1308"/>
      <c r="E60" s="1308"/>
      <c r="F60" s="1308"/>
      <c r="G60" s="1308"/>
      <c r="H60" s="1308"/>
      <c r="I60" s="1308"/>
      <c r="J60" s="1308"/>
      <c r="K60" s="1308"/>
      <c r="L60" s="1308"/>
      <c r="M60" s="1308"/>
      <c r="N60" s="1308"/>
      <c r="O60" s="1308"/>
      <c r="P60" s="290"/>
    </row>
    <row r="61" spans="1:16">
      <c r="E61" s="290"/>
      <c r="O61" s="312" t="str">
        <f>O6</f>
        <v>WPB-2.1.A</v>
      </c>
      <c r="P61" s="312"/>
    </row>
    <row r="62" spans="1:16">
      <c r="A62" s="297" t="s">
        <v>2790</v>
      </c>
      <c r="K62" s="297"/>
      <c r="O62" s="312" t="s">
        <v>537</v>
      </c>
      <c r="P62" s="312"/>
    </row>
    <row r="63" spans="1:16">
      <c r="A63" s="297" t="str">
        <f>'General Headers Index'!B37</f>
        <v>TYPE OF FILING:___X___ORIGINAL______UPDATED</v>
      </c>
      <c r="K63" s="297"/>
      <c r="O63" s="312" t="str">
        <f>"WITNESS: "&amp;'General Headers Index'!B42</f>
        <v>WITNESS: GORE</v>
      </c>
      <c r="P63" s="312"/>
    </row>
    <row r="64" spans="1:16">
      <c r="A64" s="899"/>
      <c r="B64" s="900"/>
      <c r="C64" s="901"/>
      <c r="D64" s="901"/>
      <c r="E64" s="902"/>
      <c r="F64" s="902"/>
      <c r="G64" s="902"/>
      <c r="H64" s="902"/>
      <c r="I64" s="902"/>
      <c r="J64" s="902"/>
      <c r="K64" s="907"/>
      <c r="L64" s="902"/>
      <c r="M64" s="902"/>
      <c r="N64" s="902"/>
      <c r="O64" s="902"/>
    </row>
    <row r="65" spans="1:16">
      <c r="A65" s="297" t="s">
        <v>313</v>
      </c>
      <c r="B65" s="298" t="s">
        <v>368</v>
      </c>
      <c r="C65" s="290"/>
      <c r="E65" s="290"/>
      <c r="G65" s="290"/>
      <c r="K65" s="290"/>
      <c r="M65" s="290"/>
    </row>
    <row r="66" spans="1:16">
      <c r="A66" s="903" t="s">
        <v>316</v>
      </c>
      <c r="B66" s="904" t="s">
        <v>316</v>
      </c>
      <c r="C66" s="903" t="s">
        <v>451</v>
      </c>
      <c r="D66" s="908" t="str">
        <f t="shared" ref="D66:O66" si="2">D11</f>
        <v>09/30/2023</v>
      </c>
      <c r="E66" s="908" t="str">
        <f t="shared" si="2"/>
        <v>10/31/2023</v>
      </c>
      <c r="F66" s="908" t="str">
        <f t="shared" si="2"/>
        <v>11/30/2023</v>
      </c>
      <c r="G66" s="908" t="str">
        <f t="shared" si="2"/>
        <v>12/31/2023</v>
      </c>
      <c r="H66" s="908" t="str">
        <f t="shared" si="2"/>
        <v>01/31/2024</v>
      </c>
      <c r="I66" s="908" t="str">
        <f t="shared" si="2"/>
        <v>02/29/2024</v>
      </c>
      <c r="J66" s="908" t="str">
        <f t="shared" si="2"/>
        <v>03/31/2024</v>
      </c>
      <c r="K66" s="908" t="str">
        <f t="shared" si="2"/>
        <v>04/30/2024</v>
      </c>
      <c r="L66" s="908" t="str">
        <f t="shared" si="2"/>
        <v>05/31/2024</v>
      </c>
      <c r="M66" s="908" t="str">
        <f t="shared" si="2"/>
        <v>06/30/2024</v>
      </c>
      <c r="N66" s="908" t="str">
        <f t="shared" si="2"/>
        <v>07/31/2024</v>
      </c>
      <c r="O66" s="908" t="str">
        <f t="shared" si="2"/>
        <v>08/31/2024</v>
      </c>
      <c r="P66" s="314"/>
    </row>
    <row r="67" spans="1:16">
      <c r="A67" s="290"/>
      <c r="B67" s="298"/>
      <c r="C67" s="290"/>
      <c r="D67" s="300" t="s">
        <v>532</v>
      </c>
      <c r="E67" s="300" t="s">
        <v>541</v>
      </c>
      <c r="F67" s="300" t="s">
        <v>542</v>
      </c>
      <c r="G67" s="300" t="s">
        <v>668</v>
      </c>
      <c r="H67" s="300" t="s">
        <v>669</v>
      </c>
      <c r="I67" s="300" t="s">
        <v>670</v>
      </c>
      <c r="J67" s="300" t="s">
        <v>984</v>
      </c>
      <c r="K67" s="300" t="s">
        <v>985</v>
      </c>
      <c r="L67" s="300" t="s">
        <v>986</v>
      </c>
      <c r="M67" s="300" t="s">
        <v>987</v>
      </c>
      <c r="N67" s="300" t="s">
        <v>988</v>
      </c>
      <c r="O67" s="300" t="s">
        <v>989</v>
      </c>
      <c r="P67" s="314"/>
    </row>
    <row r="68" spans="1:16">
      <c r="D68" s="290" t="s">
        <v>320</v>
      </c>
      <c r="E68" s="290" t="s">
        <v>320</v>
      </c>
      <c r="F68" s="290" t="s">
        <v>320</v>
      </c>
      <c r="G68" s="290" t="s">
        <v>320</v>
      </c>
      <c r="H68" s="290" t="s">
        <v>320</v>
      </c>
      <c r="I68" s="290" t="s">
        <v>320</v>
      </c>
      <c r="J68" s="290" t="s">
        <v>320</v>
      </c>
      <c r="K68" s="290" t="s">
        <v>320</v>
      </c>
      <c r="L68" s="290" t="s">
        <v>320</v>
      </c>
      <c r="M68" s="290" t="s">
        <v>320</v>
      </c>
      <c r="N68" s="290" t="s">
        <v>320</v>
      </c>
      <c r="O68" s="290" t="s">
        <v>320</v>
      </c>
      <c r="P68" s="290"/>
    </row>
    <row r="70" spans="1:16">
      <c r="A70" s="290">
        <v>1</v>
      </c>
      <c r="B70" s="505" t="s">
        <v>411</v>
      </c>
      <c r="C70" s="302"/>
      <c r="D70" s="294"/>
      <c r="E70" s="294"/>
      <c r="F70" s="294"/>
      <c r="G70" s="304"/>
      <c r="H70" s="294"/>
      <c r="I70" s="294"/>
      <c r="J70" s="294"/>
      <c r="K70" s="304"/>
      <c r="L70" s="294"/>
      <c r="M70" s="294"/>
      <c r="N70" s="294"/>
      <c r="O70" s="294"/>
    </row>
    <row r="71" spans="1:16">
      <c r="A71" s="290">
        <f>A70+1</f>
        <v>2</v>
      </c>
      <c r="B71" s="293">
        <v>391.1</v>
      </c>
      <c r="C71" s="220" t="s">
        <v>412</v>
      </c>
      <c r="D71" s="294">
        <f>'WPB-2.1.C Plant Detail'!G989</f>
        <v>820366.66</v>
      </c>
      <c r="E71" s="294">
        <f>'WPB-2.1.C Plant Detail'!G1103</f>
        <v>820366.66</v>
      </c>
      <c r="F71" s="294">
        <f>'WPB-2.1.C Plant Detail'!G1217</f>
        <v>820366.66</v>
      </c>
      <c r="G71" s="294">
        <f>'WPB-2.1.C Plant Detail'!G1331</f>
        <v>923516.33000000007</v>
      </c>
      <c r="H71" s="294">
        <f>'WPB-2.1.C Plant Detail'!G1445</f>
        <v>921741.33000000007</v>
      </c>
      <c r="I71" s="294">
        <f>'WPB-2.1.C Plant Detail'!G1559</f>
        <v>921741.33000000007</v>
      </c>
      <c r="J71" s="294">
        <f>'WPB-2.1.C Plant Detail'!G1673</f>
        <v>921741.33000000007</v>
      </c>
      <c r="K71" s="294">
        <f>'WPB-2.1.C Plant Detail'!G1787</f>
        <v>921741.33000000007</v>
      </c>
      <c r="L71" s="294">
        <f>'WPB-2.1.C Plant Detail'!G1901</f>
        <v>921741.33000000007</v>
      </c>
      <c r="M71" s="294">
        <f>'WPB-2.1.C Plant Detail'!G2015</f>
        <v>921741.33000000007</v>
      </c>
      <c r="N71" s="294">
        <f>'WPB-2.1.C Plant Detail'!G2129</f>
        <v>921741.33000000007</v>
      </c>
      <c r="O71" s="294">
        <f>'WPB-2.1.C Plant Detail'!G2243</f>
        <v>921741.33000000007</v>
      </c>
      <c r="P71" s="313"/>
    </row>
    <row r="72" spans="1:16">
      <c r="A72" s="290">
        <f t="shared" ref="A72:A85" si="3">A71+1</f>
        <v>3</v>
      </c>
      <c r="B72" s="293">
        <v>391.11</v>
      </c>
      <c r="C72" s="220" t="s">
        <v>413</v>
      </c>
      <c r="D72" s="294">
        <f>'WPB-2.1.C Plant Detail'!G990</f>
        <v>0</v>
      </c>
      <c r="E72" s="294">
        <f>'WPB-2.1.C Plant Detail'!G1104</f>
        <v>0</v>
      </c>
      <c r="F72" s="294">
        <f>'WPB-2.1.C Plant Detail'!G1218</f>
        <v>0</v>
      </c>
      <c r="G72" s="294">
        <f>'WPB-2.1.C Plant Detail'!G1332</f>
        <v>0</v>
      </c>
      <c r="H72" s="294">
        <f>'WPB-2.1.C Plant Detail'!G1446</f>
        <v>0</v>
      </c>
      <c r="I72" s="294">
        <f>'WPB-2.1.C Plant Detail'!G1560</f>
        <v>0</v>
      </c>
      <c r="J72" s="294">
        <f>'WPB-2.1.C Plant Detail'!G1674</f>
        <v>0</v>
      </c>
      <c r="K72" s="294">
        <f>'WPB-2.1.C Plant Detail'!G1788</f>
        <v>0</v>
      </c>
      <c r="L72" s="294">
        <f>'WPB-2.1.C Plant Detail'!G1902</f>
        <v>0</v>
      </c>
      <c r="M72" s="294">
        <f>'WPB-2.1.C Plant Detail'!G2016</f>
        <v>0</v>
      </c>
      <c r="N72" s="294">
        <f>'WPB-2.1.C Plant Detail'!G2130</f>
        <v>0</v>
      </c>
      <c r="O72" s="294">
        <f>'WPB-2.1.C Plant Detail'!G2244</f>
        <v>0</v>
      </c>
      <c r="P72" s="313"/>
    </row>
    <row r="73" spans="1:16">
      <c r="A73" s="290">
        <f t="shared" si="3"/>
        <v>4</v>
      </c>
      <c r="B73" s="293">
        <v>391.12</v>
      </c>
      <c r="C73" s="220" t="s">
        <v>414</v>
      </c>
      <c r="D73" s="294">
        <f>'WPB-2.1.C Plant Detail'!G991</f>
        <v>37129.580000000009</v>
      </c>
      <c r="E73" s="294">
        <f>'WPB-2.1.C Plant Detail'!G1105</f>
        <v>37129.580000000009</v>
      </c>
      <c r="F73" s="294">
        <f>'WPB-2.1.C Plant Detail'!G1219</f>
        <v>37129.580000000009</v>
      </c>
      <c r="G73" s="294">
        <f>'WPB-2.1.C Plant Detail'!G1333</f>
        <v>37129.580000000009</v>
      </c>
      <c r="H73" s="294">
        <f>'WPB-2.1.C Plant Detail'!G1447</f>
        <v>37129.580000000009</v>
      </c>
      <c r="I73" s="294">
        <f>'WPB-2.1.C Plant Detail'!G1561</f>
        <v>37129.580000000009</v>
      </c>
      <c r="J73" s="294">
        <f>'WPB-2.1.C Plant Detail'!G1675</f>
        <v>37129.580000000009</v>
      </c>
      <c r="K73" s="294">
        <f>'WPB-2.1.C Plant Detail'!G1789</f>
        <v>37129.580000000009</v>
      </c>
      <c r="L73" s="294">
        <f>'WPB-2.1.C Plant Detail'!G1903</f>
        <v>37129.580000000009</v>
      </c>
      <c r="M73" s="294">
        <f>'WPB-2.1.C Plant Detail'!G2017</f>
        <v>37129.580000000009</v>
      </c>
      <c r="N73" s="294">
        <f>'WPB-2.1.C Plant Detail'!G2131</f>
        <v>37129.580000000009</v>
      </c>
      <c r="O73" s="294">
        <f>'WPB-2.1.C Plant Detail'!G2245</f>
        <v>37129.580000000009</v>
      </c>
      <c r="P73" s="313"/>
    </row>
    <row r="74" spans="1:16">
      <c r="A74" s="290">
        <f t="shared" si="3"/>
        <v>5</v>
      </c>
      <c r="B74" s="293">
        <v>392.2</v>
      </c>
      <c r="C74" s="220" t="s">
        <v>524</v>
      </c>
      <c r="D74" s="294">
        <f>'WPB-2.1.C Plant Detail'!G992</f>
        <v>95778</v>
      </c>
      <c r="E74" s="294">
        <f>'WPB-2.1.C Plant Detail'!G1106</f>
        <v>95778</v>
      </c>
      <c r="F74" s="294">
        <f>'WPB-2.1.C Plant Detail'!G1220</f>
        <v>95778</v>
      </c>
      <c r="G74" s="294">
        <f>'WPB-2.1.C Plant Detail'!G1334</f>
        <v>95778</v>
      </c>
      <c r="H74" s="294">
        <f>'WPB-2.1.C Plant Detail'!G1448</f>
        <v>48924.4</v>
      </c>
      <c r="I74" s="294">
        <f>'WPB-2.1.C Plant Detail'!G1562</f>
        <v>48924.4</v>
      </c>
      <c r="J74" s="294">
        <f>'WPB-2.1.C Plant Detail'!G1676</f>
        <v>48924.4</v>
      </c>
      <c r="K74" s="294">
        <f>'WPB-2.1.C Plant Detail'!G1790</f>
        <v>48924.4</v>
      </c>
      <c r="L74" s="294">
        <f>'WPB-2.1.C Plant Detail'!G1904</f>
        <v>48924.4</v>
      </c>
      <c r="M74" s="294">
        <f>'WPB-2.1.C Plant Detail'!G2018</f>
        <v>48924.4</v>
      </c>
      <c r="N74" s="294">
        <f>'WPB-2.1.C Plant Detail'!G2132</f>
        <v>48924.4</v>
      </c>
      <c r="O74" s="294">
        <f>'WPB-2.1.C Plant Detail'!G2246</f>
        <v>48924.4</v>
      </c>
      <c r="P74" s="313"/>
    </row>
    <row r="75" spans="1:16">
      <c r="A75" s="290">
        <f t="shared" si="3"/>
        <v>6</v>
      </c>
      <c r="B75" s="293">
        <v>392.21</v>
      </c>
      <c r="C75" s="220" t="s">
        <v>415</v>
      </c>
      <c r="D75" s="294">
        <f>'WPB-2.1.C Plant Detail'!G993</f>
        <v>24462.2</v>
      </c>
      <c r="E75" s="294">
        <f>'WPB-2.1.C Plant Detail'!G1107</f>
        <v>24462.2</v>
      </c>
      <c r="F75" s="294">
        <f>'WPB-2.1.C Plant Detail'!G1221</f>
        <v>24462.2</v>
      </c>
      <c r="G75" s="294">
        <f>'WPB-2.1.C Plant Detail'!G1335</f>
        <v>24462.2</v>
      </c>
      <c r="H75" s="294">
        <f>'WPB-2.1.C Plant Detail'!G1449</f>
        <v>24462.2</v>
      </c>
      <c r="I75" s="294">
        <f>'WPB-2.1.C Plant Detail'!G1563</f>
        <v>24462.2</v>
      </c>
      <c r="J75" s="294">
        <f>'WPB-2.1.C Plant Detail'!G1677</f>
        <v>24462.2</v>
      </c>
      <c r="K75" s="294">
        <f>'WPB-2.1.C Plant Detail'!G1791</f>
        <v>24462.2</v>
      </c>
      <c r="L75" s="294">
        <f>'WPB-2.1.C Plant Detail'!G1905</f>
        <v>24462.2</v>
      </c>
      <c r="M75" s="294">
        <f>'WPB-2.1.C Plant Detail'!G2019</f>
        <v>24462.2</v>
      </c>
      <c r="N75" s="294">
        <f>'WPB-2.1.C Plant Detail'!G2133</f>
        <v>24462.2</v>
      </c>
      <c r="O75" s="294">
        <f>'WPB-2.1.C Plant Detail'!G2247</f>
        <v>24462.2</v>
      </c>
      <c r="P75" s="313"/>
    </row>
    <row r="76" spans="1:16">
      <c r="A76" s="290">
        <f t="shared" si="3"/>
        <v>7</v>
      </c>
      <c r="B76" s="293">
        <v>393</v>
      </c>
      <c r="C76" s="220" t="s">
        <v>416</v>
      </c>
      <c r="D76" s="294">
        <f>'WPB-2.1.C Plant Detail'!G994</f>
        <v>0</v>
      </c>
      <c r="E76" s="294">
        <f>'WPB-2.1.C Plant Detail'!G1108</f>
        <v>0</v>
      </c>
      <c r="F76" s="294">
        <f>'WPB-2.1.C Plant Detail'!G1222</f>
        <v>0</v>
      </c>
      <c r="G76" s="294">
        <f>'WPB-2.1.C Plant Detail'!G1336</f>
        <v>0</v>
      </c>
      <c r="H76" s="294">
        <f>'WPB-2.1.C Plant Detail'!G1450</f>
        <v>0</v>
      </c>
      <c r="I76" s="294">
        <f>'WPB-2.1.C Plant Detail'!G1564</f>
        <v>0</v>
      </c>
      <c r="J76" s="294">
        <f>'WPB-2.1.C Plant Detail'!G1678</f>
        <v>0</v>
      </c>
      <c r="K76" s="294">
        <f>'WPB-2.1.C Plant Detail'!G1792</f>
        <v>0</v>
      </c>
      <c r="L76" s="294">
        <f>'WPB-2.1.C Plant Detail'!G1906</f>
        <v>0</v>
      </c>
      <c r="M76" s="294">
        <f>'WPB-2.1.C Plant Detail'!G2020</f>
        <v>0</v>
      </c>
      <c r="N76" s="294">
        <f>'WPB-2.1.C Plant Detail'!G2134</f>
        <v>0</v>
      </c>
      <c r="O76" s="294">
        <f>'WPB-2.1.C Plant Detail'!G2248</f>
        <v>0</v>
      </c>
      <c r="P76" s="313"/>
    </row>
    <row r="77" spans="1:16">
      <c r="A77" s="290">
        <f t="shared" si="3"/>
        <v>8</v>
      </c>
      <c r="B77" s="293">
        <v>394.1</v>
      </c>
      <c r="C77" s="220" t="s">
        <v>417</v>
      </c>
      <c r="D77" s="294">
        <f>'WPB-2.1.C Plant Detail'!G995</f>
        <v>9739</v>
      </c>
      <c r="E77" s="294">
        <f>'WPB-2.1.C Plant Detail'!G1109</f>
        <v>9739</v>
      </c>
      <c r="F77" s="294">
        <f>'WPB-2.1.C Plant Detail'!G1223</f>
        <v>9739</v>
      </c>
      <c r="G77" s="294">
        <f>'WPB-2.1.C Plant Detail'!G1337</f>
        <v>9739</v>
      </c>
      <c r="H77" s="294">
        <f>'WPB-2.1.C Plant Detail'!G1451</f>
        <v>9739</v>
      </c>
      <c r="I77" s="294">
        <f>'WPB-2.1.C Plant Detail'!G1565</f>
        <v>9739</v>
      </c>
      <c r="J77" s="294">
        <f>'WPB-2.1.C Plant Detail'!G1679</f>
        <v>9739</v>
      </c>
      <c r="K77" s="294">
        <f>'WPB-2.1.C Plant Detail'!G1793</f>
        <v>9739</v>
      </c>
      <c r="L77" s="294">
        <f>'WPB-2.1.C Plant Detail'!G1907</f>
        <v>9739</v>
      </c>
      <c r="M77" s="294">
        <f>'WPB-2.1.C Plant Detail'!G2021</f>
        <v>9739</v>
      </c>
      <c r="N77" s="294">
        <f>'WPB-2.1.C Plant Detail'!G2135</f>
        <v>9739</v>
      </c>
      <c r="O77" s="294">
        <f>'WPB-2.1.C Plant Detail'!G2249</f>
        <v>9739</v>
      </c>
      <c r="P77" s="313"/>
    </row>
    <row r="78" spans="1:16">
      <c r="A78" s="290">
        <f t="shared" si="3"/>
        <v>9</v>
      </c>
      <c r="B78" s="293">
        <v>394.11</v>
      </c>
      <c r="C78" s="220" t="s">
        <v>418</v>
      </c>
      <c r="D78" s="294">
        <f>'WPB-2.1.C Plant Detail'!G996</f>
        <v>0</v>
      </c>
      <c r="E78" s="294">
        <f>'WPB-2.1.C Plant Detail'!G1110</f>
        <v>0</v>
      </c>
      <c r="F78" s="294">
        <f>'WPB-2.1.C Plant Detail'!G1224</f>
        <v>0</v>
      </c>
      <c r="G78" s="294">
        <f>'WPB-2.1.C Plant Detail'!G1338</f>
        <v>0</v>
      </c>
      <c r="H78" s="294">
        <f>'WPB-2.1.C Plant Detail'!G1452</f>
        <v>0</v>
      </c>
      <c r="I78" s="294">
        <f>'WPB-2.1.C Plant Detail'!G1566</f>
        <v>0</v>
      </c>
      <c r="J78" s="294">
        <f>'WPB-2.1.C Plant Detail'!G1680</f>
        <v>0</v>
      </c>
      <c r="K78" s="294">
        <f>'WPB-2.1.C Plant Detail'!G1794</f>
        <v>0</v>
      </c>
      <c r="L78" s="294">
        <f>'WPB-2.1.C Plant Detail'!G1908</f>
        <v>0</v>
      </c>
      <c r="M78" s="294">
        <f>'WPB-2.1.C Plant Detail'!G2022</f>
        <v>0</v>
      </c>
      <c r="N78" s="294">
        <f>'WPB-2.1.C Plant Detail'!G2136</f>
        <v>0</v>
      </c>
      <c r="O78" s="294">
        <f>'WPB-2.1.C Plant Detail'!G2250</f>
        <v>0</v>
      </c>
      <c r="P78" s="313"/>
    </row>
    <row r="79" spans="1:16">
      <c r="A79" s="290">
        <f t="shared" si="3"/>
        <v>10</v>
      </c>
      <c r="B79" s="293">
        <v>394.13</v>
      </c>
      <c r="C79" s="220" t="s">
        <v>515</v>
      </c>
      <c r="D79" s="294">
        <f>'WPB-2.1.C Plant Detail'!G997</f>
        <v>0</v>
      </c>
      <c r="E79" s="294">
        <f>'WPB-2.1.C Plant Detail'!G1111</f>
        <v>0</v>
      </c>
      <c r="F79" s="294">
        <f>'WPB-2.1.C Plant Detail'!G1225</f>
        <v>0</v>
      </c>
      <c r="G79" s="294">
        <f>'WPB-2.1.C Plant Detail'!G1339</f>
        <v>0</v>
      </c>
      <c r="H79" s="294">
        <f>'WPB-2.1.C Plant Detail'!G1453</f>
        <v>0</v>
      </c>
      <c r="I79" s="294">
        <f>'WPB-2.1.C Plant Detail'!G1567</f>
        <v>0</v>
      </c>
      <c r="J79" s="294">
        <f>'WPB-2.1.C Plant Detail'!G1681</f>
        <v>0</v>
      </c>
      <c r="K79" s="294">
        <f>'WPB-2.1.C Plant Detail'!G1795</f>
        <v>0</v>
      </c>
      <c r="L79" s="294">
        <f>'WPB-2.1.C Plant Detail'!G1909</f>
        <v>0</v>
      </c>
      <c r="M79" s="294">
        <f>'WPB-2.1.C Plant Detail'!G2023</f>
        <v>0</v>
      </c>
      <c r="N79" s="294">
        <f>'WPB-2.1.C Plant Detail'!G2137</f>
        <v>0</v>
      </c>
      <c r="O79" s="294">
        <f>'WPB-2.1.C Plant Detail'!G2251</f>
        <v>0</v>
      </c>
      <c r="P79" s="313"/>
    </row>
    <row r="80" spans="1:16">
      <c r="A80" s="290">
        <f t="shared" si="3"/>
        <v>11</v>
      </c>
      <c r="B80" s="293">
        <v>394.2</v>
      </c>
      <c r="C80" s="220" t="s">
        <v>420</v>
      </c>
      <c r="D80" s="294">
        <f>'WPB-2.1.C Plant Detail'!G998</f>
        <v>0</v>
      </c>
      <c r="E80" s="294">
        <f>'WPB-2.1.C Plant Detail'!G1112</f>
        <v>0</v>
      </c>
      <c r="F80" s="294">
        <f>'WPB-2.1.C Plant Detail'!G1226</f>
        <v>0</v>
      </c>
      <c r="G80" s="294">
        <f>'WPB-2.1.C Plant Detail'!G1340</f>
        <v>0</v>
      </c>
      <c r="H80" s="294">
        <f>'WPB-2.1.C Plant Detail'!G1454</f>
        <v>0</v>
      </c>
      <c r="I80" s="294">
        <f>'WPB-2.1.C Plant Detail'!G1568</f>
        <v>0</v>
      </c>
      <c r="J80" s="294">
        <f>'WPB-2.1.C Plant Detail'!G1682</f>
        <v>0</v>
      </c>
      <c r="K80" s="294">
        <f>'WPB-2.1.C Plant Detail'!G1796</f>
        <v>0</v>
      </c>
      <c r="L80" s="294">
        <f>'WPB-2.1.C Plant Detail'!G1910</f>
        <v>0</v>
      </c>
      <c r="M80" s="294">
        <f>'WPB-2.1.C Plant Detail'!G2024</f>
        <v>0</v>
      </c>
      <c r="N80" s="294">
        <f>'WPB-2.1.C Plant Detail'!G2138</f>
        <v>0</v>
      </c>
      <c r="O80" s="294">
        <f>'WPB-2.1.C Plant Detail'!G2252</f>
        <v>0</v>
      </c>
      <c r="P80" s="313"/>
    </row>
    <row r="81" spans="1:16">
      <c r="A81" s="290">
        <f t="shared" si="3"/>
        <v>12</v>
      </c>
      <c r="B81" s="293">
        <v>394.3</v>
      </c>
      <c r="C81" s="220" t="s">
        <v>1602</v>
      </c>
      <c r="D81" s="294">
        <f>'WPB-2.1.C Plant Detail'!G999</f>
        <v>4955243.45</v>
      </c>
      <c r="E81" s="294">
        <f>'WPB-2.1.C Plant Detail'!G1113</f>
        <v>4929116.5600000005</v>
      </c>
      <c r="F81" s="294">
        <f>'WPB-2.1.C Plant Detail'!G1227</f>
        <v>5011516.4000000004</v>
      </c>
      <c r="G81" s="294">
        <f>'WPB-2.1.C Plant Detail'!G1341</f>
        <v>5104134.45</v>
      </c>
      <c r="H81" s="294">
        <f>'WPB-2.1.C Plant Detail'!G1455</f>
        <v>5156280.0599999996</v>
      </c>
      <c r="I81" s="294">
        <f>'WPB-2.1.C Plant Detail'!G1569</f>
        <v>5182047.8899999997</v>
      </c>
      <c r="J81" s="294">
        <f>'WPB-2.1.C Plant Detail'!G1683</f>
        <v>5193522.4499999993</v>
      </c>
      <c r="K81" s="294">
        <f>'WPB-2.1.C Plant Detail'!G1797</f>
        <v>5192500.5599999996</v>
      </c>
      <c r="L81" s="294">
        <f>'WPB-2.1.C Plant Detail'!G1911</f>
        <v>5178329.5199999996</v>
      </c>
      <c r="M81" s="294">
        <f>'WPB-2.1.C Plant Detail'!G2025</f>
        <v>5181832.7799999993</v>
      </c>
      <c r="N81" s="294">
        <f>'WPB-2.1.C Plant Detail'!G2139</f>
        <v>5218610.2899999991</v>
      </c>
      <c r="O81" s="294">
        <f>'WPB-2.1.C Plant Detail'!G2253</f>
        <v>5244673.6599999992</v>
      </c>
      <c r="P81" s="313"/>
    </row>
    <row r="82" spans="1:16">
      <c r="A82" s="290">
        <f t="shared" si="3"/>
        <v>13</v>
      </c>
      <c r="B82" s="293">
        <v>395</v>
      </c>
      <c r="C82" s="220" t="s">
        <v>422</v>
      </c>
      <c r="D82" s="294">
        <f>'WPB-2.1.C Plant Detail'!G1000</f>
        <v>4162.05</v>
      </c>
      <c r="E82" s="294">
        <f>'WPB-2.1.C Plant Detail'!G1114</f>
        <v>4162.05</v>
      </c>
      <c r="F82" s="294">
        <f>'WPB-2.1.C Plant Detail'!G1228</f>
        <v>4162.05</v>
      </c>
      <c r="G82" s="294">
        <f>'WPB-2.1.C Plant Detail'!G1342</f>
        <v>4162.05</v>
      </c>
      <c r="H82" s="294">
        <f>'WPB-2.1.C Plant Detail'!G1456</f>
        <v>0</v>
      </c>
      <c r="I82" s="294">
        <f>'WPB-2.1.C Plant Detail'!G1570</f>
        <v>0</v>
      </c>
      <c r="J82" s="294">
        <f>'WPB-2.1.C Plant Detail'!G1684</f>
        <v>0</v>
      </c>
      <c r="K82" s="294">
        <f>'WPB-2.1.C Plant Detail'!G1798</f>
        <v>0</v>
      </c>
      <c r="L82" s="294">
        <f>'WPB-2.1.C Plant Detail'!G1912</f>
        <v>0</v>
      </c>
      <c r="M82" s="294">
        <f>'WPB-2.1.C Plant Detail'!G2026</f>
        <v>0</v>
      </c>
      <c r="N82" s="294">
        <f>'WPB-2.1.C Plant Detail'!G2140</f>
        <v>0</v>
      </c>
      <c r="O82" s="294">
        <f>'WPB-2.1.C Plant Detail'!G2254</f>
        <v>0</v>
      </c>
      <c r="P82" s="313"/>
    </row>
    <row r="83" spans="1:16">
      <c r="A83" s="290">
        <f t="shared" si="3"/>
        <v>14</v>
      </c>
      <c r="B83" s="293">
        <v>396</v>
      </c>
      <c r="C83" s="220" t="s">
        <v>423</v>
      </c>
      <c r="D83" s="294">
        <f>'WPB-2.1.C Plant Detail'!G1001</f>
        <v>185547</v>
      </c>
      <c r="E83" s="294">
        <f>'WPB-2.1.C Plant Detail'!G1115</f>
        <v>185547</v>
      </c>
      <c r="F83" s="294">
        <f>'WPB-2.1.C Plant Detail'!G1229</f>
        <v>185547</v>
      </c>
      <c r="G83" s="294">
        <f>'WPB-2.1.C Plant Detail'!G1343</f>
        <v>185547</v>
      </c>
      <c r="H83" s="294">
        <f>'WPB-2.1.C Plant Detail'!G1457</f>
        <v>185547</v>
      </c>
      <c r="I83" s="294">
        <f>'WPB-2.1.C Plant Detail'!G1571</f>
        <v>185547</v>
      </c>
      <c r="J83" s="294">
        <f>'WPB-2.1.C Plant Detail'!G1685</f>
        <v>185547</v>
      </c>
      <c r="K83" s="294">
        <f>'WPB-2.1.C Plant Detail'!G1799</f>
        <v>185547</v>
      </c>
      <c r="L83" s="294">
        <f>'WPB-2.1.C Plant Detail'!G1913</f>
        <v>185547</v>
      </c>
      <c r="M83" s="294">
        <f>'WPB-2.1.C Plant Detail'!G2027</f>
        <v>185547</v>
      </c>
      <c r="N83" s="294">
        <f>'WPB-2.1.C Plant Detail'!G2141</f>
        <v>185547</v>
      </c>
      <c r="O83" s="294">
        <f>'WPB-2.1.C Plant Detail'!G2255</f>
        <v>185547</v>
      </c>
      <c r="P83" s="313"/>
    </row>
    <row r="84" spans="1:16">
      <c r="A84" s="290">
        <f t="shared" si="3"/>
        <v>15</v>
      </c>
      <c r="B84" s="293">
        <v>398</v>
      </c>
      <c r="C84" s="220" t="s">
        <v>424</v>
      </c>
      <c r="D84" s="906">
        <f>'WPB-2.1.C Plant Detail'!G1002</f>
        <v>148028.20000000001</v>
      </c>
      <c r="E84" s="906">
        <f>'WPB-2.1.C Plant Detail'!G1116</f>
        <v>148028.20000000001</v>
      </c>
      <c r="F84" s="906">
        <f>'WPB-2.1.C Plant Detail'!G1230</f>
        <v>148028.20000000001</v>
      </c>
      <c r="G84" s="906">
        <f>'WPB-2.1.C Plant Detail'!G1344</f>
        <v>148028.20000000001</v>
      </c>
      <c r="H84" s="906">
        <f>'WPB-2.1.C Plant Detail'!G1458</f>
        <v>148028.20000000001</v>
      </c>
      <c r="I84" s="906">
        <f>'WPB-2.1.C Plant Detail'!G1572</f>
        <v>148028.20000000001</v>
      </c>
      <c r="J84" s="906">
        <f>'WPB-2.1.C Plant Detail'!G1686</f>
        <v>148028.20000000001</v>
      </c>
      <c r="K84" s="906">
        <f>'WPB-2.1.C Plant Detail'!G1800</f>
        <v>148028.20000000001</v>
      </c>
      <c r="L84" s="906">
        <f>'WPB-2.1.C Plant Detail'!G1914</f>
        <v>148028.20000000001</v>
      </c>
      <c r="M84" s="906">
        <f>'WPB-2.1.C Plant Detail'!G2028</f>
        <v>148028.20000000001</v>
      </c>
      <c r="N84" s="906">
        <f>'WPB-2.1.C Plant Detail'!G2142</f>
        <v>148028.20000000001</v>
      </c>
      <c r="O84" s="906">
        <f>'WPB-2.1.C Plant Detail'!G2256</f>
        <v>148028.20000000001</v>
      </c>
      <c r="P84" s="313"/>
    </row>
    <row r="85" spans="1:16">
      <c r="A85" s="290">
        <f t="shared" si="3"/>
        <v>16</v>
      </c>
      <c r="B85" s="229" t="s">
        <v>425</v>
      </c>
      <c r="D85" s="294">
        <f t="shared" ref="D85:O85" si="4">SUM(D71:D84)</f>
        <v>6280456.1400000006</v>
      </c>
      <c r="E85" s="294">
        <f t="shared" si="4"/>
        <v>6254329.25</v>
      </c>
      <c r="F85" s="294">
        <f t="shared" si="4"/>
        <v>6336729.0899999999</v>
      </c>
      <c r="G85" s="294">
        <f t="shared" si="4"/>
        <v>6532496.8100000005</v>
      </c>
      <c r="H85" s="294">
        <f t="shared" si="4"/>
        <v>6531851.7699999996</v>
      </c>
      <c r="I85" s="294">
        <f t="shared" si="4"/>
        <v>6557619.5999999996</v>
      </c>
      <c r="J85" s="294">
        <f t="shared" si="4"/>
        <v>6569094.1599999992</v>
      </c>
      <c r="K85" s="294">
        <f t="shared" si="4"/>
        <v>6568072.2699999996</v>
      </c>
      <c r="L85" s="294">
        <f t="shared" si="4"/>
        <v>6553901.2299999995</v>
      </c>
      <c r="M85" s="294">
        <f t="shared" si="4"/>
        <v>6557404.4899999993</v>
      </c>
      <c r="N85" s="294">
        <f t="shared" si="4"/>
        <v>6594181.9999999991</v>
      </c>
      <c r="O85" s="294">
        <f t="shared" si="4"/>
        <v>6620245.3699999992</v>
      </c>
      <c r="P85" s="313"/>
    </row>
    <row r="86" spans="1:16">
      <c r="A86" s="290" t="str">
        <f>IF(ISBLANK($B86),"",COUNTA($B$42:B86))</f>
        <v/>
      </c>
      <c r="D86" s="294"/>
      <c r="E86" s="294"/>
      <c r="F86" s="294"/>
      <c r="G86" s="294"/>
      <c r="H86" s="294"/>
      <c r="I86" s="294"/>
      <c r="J86" s="294"/>
      <c r="K86" s="294"/>
      <c r="L86" s="294"/>
      <c r="M86" s="294"/>
      <c r="N86" s="294"/>
      <c r="O86" s="294"/>
    </row>
    <row r="87" spans="1:16">
      <c r="A87" s="290">
        <f>A85+1</f>
        <v>17</v>
      </c>
      <c r="B87" s="505" t="s">
        <v>1038</v>
      </c>
      <c r="D87" s="294"/>
      <c r="E87" s="294"/>
      <c r="F87" s="294"/>
      <c r="G87" s="294"/>
      <c r="H87" s="294"/>
      <c r="I87" s="294"/>
      <c r="J87" s="294"/>
      <c r="K87" s="294"/>
      <c r="L87" s="294"/>
      <c r="M87" s="294"/>
      <c r="N87" s="294"/>
      <c r="O87" s="294"/>
    </row>
    <row r="88" spans="1:16">
      <c r="A88" s="290">
        <f>A87+1</f>
        <v>18</v>
      </c>
      <c r="B88" s="293">
        <v>378.21</v>
      </c>
      <c r="C88" s="220" t="s">
        <v>1037</v>
      </c>
      <c r="D88" s="906">
        <f>'WPB-2.1.C Plant Detail'!G1006</f>
        <v>-777092</v>
      </c>
      <c r="E88" s="906">
        <f>'WPB-2.1.C Plant Detail'!G1120</f>
        <v>-777092</v>
      </c>
      <c r="F88" s="906">
        <f>'WPB-2.1.C Plant Detail'!G1234</f>
        <v>-777092</v>
      </c>
      <c r="G88" s="906">
        <f>'WPB-2.1.C Plant Detail'!G1348</f>
        <v>-777092</v>
      </c>
      <c r="H88" s="906">
        <f>'WPB-2.1.C Plant Detail'!G1462</f>
        <v>-777092</v>
      </c>
      <c r="I88" s="906">
        <f>'WPB-2.1.C Plant Detail'!G1576</f>
        <v>-777092</v>
      </c>
      <c r="J88" s="906">
        <f>'WPB-2.1.C Plant Detail'!G1690</f>
        <v>-777092</v>
      </c>
      <c r="K88" s="906">
        <f>'WPB-2.1.C Plant Detail'!G1804</f>
        <v>-777092</v>
      </c>
      <c r="L88" s="906">
        <f>'WPB-2.1.C Plant Detail'!G1918</f>
        <v>-777092</v>
      </c>
      <c r="M88" s="906">
        <f>'WPB-2.1.C Plant Detail'!G2032</f>
        <v>-777092</v>
      </c>
      <c r="N88" s="906">
        <f>'WPB-2.1.C Plant Detail'!G2146</f>
        <v>-777092</v>
      </c>
      <c r="O88" s="906">
        <f>'WPB-2.1.C Plant Detail'!G2260</f>
        <v>-777092</v>
      </c>
      <c r="P88" s="313"/>
    </row>
    <row r="89" spans="1:16">
      <c r="A89" s="290">
        <f>A88+1</f>
        <v>19</v>
      </c>
      <c r="B89" s="220" t="s">
        <v>1579</v>
      </c>
      <c r="D89" s="294">
        <f>SUM(D88)</f>
        <v>-777092</v>
      </c>
      <c r="E89" s="294">
        <f t="shared" ref="E89:O89" si="5">SUM(E88)</f>
        <v>-777092</v>
      </c>
      <c r="F89" s="294">
        <f t="shared" si="5"/>
        <v>-777092</v>
      </c>
      <c r="G89" s="294">
        <f t="shared" si="5"/>
        <v>-777092</v>
      </c>
      <c r="H89" s="294">
        <f t="shared" si="5"/>
        <v>-777092</v>
      </c>
      <c r="I89" s="294">
        <f t="shared" si="5"/>
        <v>-777092</v>
      </c>
      <c r="J89" s="294">
        <f t="shared" si="5"/>
        <v>-777092</v>
      </c>
      <c r="K89" s="294">
        <f t="shared" si="5"/>
        <v>-777092</v>
      </c>
      <c r="L89" s="294">
        <f t="shared" si="5"/>
        <v>-777092</v>
      </c>
      <c r="M89" s="294">
        <f t="shared" si="5"/>
        <v>-777092</v>
      </c>
      <c r="N89" s="294">
        <f t="shared" si="5"/>
        <v>-777092</v>
      </c>
      <c r="O89" s="294">
        <f t="shared" si="5"/>
        <v>-777092</v>
      </c>
      <c r="P89" s="313"/>
    </row>
    <row r="90" spans="1:16">
      <c r="A90" s="290" t="str">
        <f>IF(ISBLANK($B90),"",COUNTA($B$42:B90))</f>
        <v/>
      </c>
      <c r="D90" s="294"/>
      <c r="E90" s="294"/>
      <c r="F90" s="294"/>
      <c r="G90" s="294"/>
      <c r="H90" s="294"/>
      <c r="I90" s="294"/>
      <c r="J90" s="294"/>
      <c r="K90" s="294"/>
      <c r="L90" s="294"/>
      <c r="M90" s="294"/>
      <c r="N90" s="294"/>
      <c r="O90" s="294"/>
    </row>
    <row r="91" spans="1:16">
      <c r="A91" s="290">
        <f>A89+1</f>
        <v>20</v>
      </c>
      <c r="B91" s="229" t="s">
        <v>1603</v>
      </c>
      <c r="D91" s="306">
        <f t="shared" ref="D91:O91" si="6">D22+D55+D85+D89</f>
        <v>734239954.19649076</v>
      </c>
      <c r="E91" s="306">
        <f t="shared" si="6"/>
        <v>738929685.12672698</v>
      </c>
      <c r="F91" s="306">
        <f t="shared" si="6"/>
        <v>741123775.78287983</v>
      </c>
      <c r="G91" s="306">
        <f t="shared" si="6"/>
        <v>744534180.30942965</v>
      </c>
      <c r="H91" s="306">
        <f t="shared" si="6"/>
        <v>745358117.59942973</v>
      </c>
      <c r="I91" s="306">
        <f t="shared" si="6"/>
        <v>747022390.68942964</v>
      </c>
      <c r="J91" s="306">
        <f t="shared" si="6"/>
        <v>748279436.8459481</v>
      </c>
      <c r="K91" s="306">
        <f t="shared" si="6"/>
        <v>746892164.00747585</v>
      </c>
      <c r="L91" s="306">
        <f t="shared" si="6"/>
        <v>748774641.61008334</v>
      </c>
      <c r="M91" s="306">
        <f t="shared" si="6"/>
        <v>750014292.83087134</v>
      </c>
      <c r="N91" s="306">
        <f t="shared" si="6"/>
        <v>752040145.81103539</v>
      </c>
      <c r="O91" s="306">
        <f t="shared" si="6"/>
        <v>753084856.66272485</v>
      </c>
      <c r="P91" s="313"/>
    </row>
    <row r="93" spans="1:16">
      <c r="A93" s="290">
        <f>A91+1</f>
        <v>21</v>
      </c>
      <c r="B93" s="325" t="s">
        <v>1774</v>
      </c>
      <c r="C93" s="308"/>
      <c r="D93" s="309"/>
      <c r="E93" s="309"/>
      <c r="F93" s="309"/>
      <c r="G93" s="309"/>
      <c r="H93" s="309"/>
    </row>
    <row r="94" spans="1:16">
      <c r="A94" s="290">
        <f>A93+1</f>
        <v>22</v>
      </c>
      <c r="B94" s="293">
        <v>376</v>
      </c>
      <c r="C94" s="308" t="s">
        <v>393</v>
      </c>
      <c r="D94" s="1243">
        <f>'WPB-2.1.C Plant Detail'!G1017</f>
        <v>21738874</v>
      </c>
      <c r="E94" s="1243">
        <f>'WPB-2.1.C Plant Detail'!G1131</f>
        <v>23020898.82</v>
      </c>
      <c r="F94" s="1243">
        <f>'WPB-2.1.C Plant Detail'!G1245</f>
        <v>26519588.52</v>
      </c>
      <c r="G94" s="1243">
        <f>'WPB-2.1.C Plant Detail'!G1359</f>
        <v>30688444.449999999</v>
      </c>
      <c r="H94" s="1243">
        <f>'WPB-2.1.C Plant Detail'!G1473</f>
        <v>31182006.359999999</v>
      </c>
      <c r="I94" s="1243">
        <f>'WPB-2.1.C Plant Detail'!G1587</f>
        <v>31756171.739999998</v>
      </c>
      <c r="J94" s="1243">
        <f>'WPB-2.1.C Plant Detail'!G1701</f>
        <v>34184849.926497392</v>
      </c>
      <c r="K94" s="1243">
        <f>'WPB-2.1.C Plant Detail'!G1815</f>
        <v>35264083.759131789</v>
      </c>
      <c r="L94" s="1243">
        <f>'WPB-2.1.C Plant Detail'!G1929</f>
        <v>36971103.743224777</v>
      </c>
      <c r="M94" s="1243">
        <f>'WPB-2.1.C Plant Detail'!G2043</f>
        <v>38826536.683501154</v>
      </c>
      <c r="N94" s="1243">
        <f>'WPB-2.1.C Plant Detail'!G2157</f>
        <v>40009592.450559042</v>
      </c>
      <c r="O94" s="1243">
        <f>'WPB-2.1.C Plant Detail'!G2271</f>
        <v>41145560.138593905</v>
      </c>
    </row>
    <row r="95" spans="1:16">
      <c r="A95" s="290">
        <f t="shared" ref="A95:A98" si="7">A94+1</f>
        <v>23</v>
      </c>
      <c r="B95" s="293">
        <v>378.2</v>
      </c>
      <c r="C95" s="308" t="s">
        <v>2915</v>
      </c>
      <c r="D95" s="1243">
        <f>'WPB-2.1.C Plant Detail'!G1018</f>
        <v>-347783.44000000006</v>
      </c>
      <c r="E95" s="1243">
        <f>'WPB-2.1.C Plant Detail'!G1132</f>
        <v>-347783.44000000006</v>
      </c>
      <c r="F95" s="1243">
        <f>'WPB-2.1.C Plant Detail'!G1246</f>
        <v>-348290.83000000007</v>
      </c>
      <c r="G95" s="1243">
        <f>'WPB-2.1.C Plant Detail'!G1360</f>
        <v>-390412.01000000007</v>
      </c>
      <c r="H95" s="1243">
        <f>'WPB-2.1.C Plant Detail'!G1474</f>
        <v>-390576.59000000008</v>
      </c>
      <c r="I95" s="1243">
        <f>'WPB-2.1.C Plant Detail'!G1588</f>
        <v>-374428.06000000006</v>
      </c>
      <c r="J95" s="1243">
        <f>'WPB-2.1.C Plant Detail'!G1702</f>
        <v>-185312.46000000008</v>
      </c>
      <c r="K95" s="1243">
        <f>'WPB-2.1.C Plant Detail'!G1816</f>
        <v>-100404.93274678481</v>
      </c>
      <c r="L95" s="1243">
        <f>'WPB-2.1.C Plant Detail'!G1930</f>
        <v>250814.08475171446</v>
      </c>
      <c r="M95" s="1243">
        <f>'WPB-2.1.C Plant Detail'!G2044</f>
        <v>233282.29597481352</v>
      </c>
      <c r="N95" s="1243">
        <f>'WPB-2.1.C Plant Detail'!G2158</f>
        <v>442996.96551601391</v>
      </c>
      <c r="O95" s="1243">
        <f>'WPB-2.1.C Plant Detail'!G2272</f>
        <v>436773.86809366115</v>
      </c>
    </row>
    <row r="96" spans="1:16">
      <c r="A96" s="290">
        <f t="shared" si="7"/>
        <v>24</v>
      </c>
      <c r="B96" s="293">
        <v>380</v>
      </c>
      <c r="C96" s="308" t="s">
        <v>2918</v>
      </c>
      <c r="D96" s="1243">
        <f>'WPB-2.1.C Plant Detail'!G1019</f>
        <v>7621025.1235093558</v>
      </c>
      <c r="E96" s="1243">
        <f>'WPB-2.1.C Plant Detail'!G1133</f>
        <v>8966170.6332729179</v>
      </c>
      <c r="F96" s="1243">
        <f>'WPB-2.1.C Plant Detail'!G1247</f>
        <v>9553534.2771203164</v>
      </c>
      <c r="G96" s="1243">
        <f>'WPB-2.1.C Plant Detail'!G1361</f>
        <v>10095637.650570365</v>
      </c>
      <c r="H96" s="1243">
        <f>'WPB-2.1.C Plant Detail'!G1475</f>
        <v>10543454.860570366</v>
      </c>
      <c r="I96" s="1243">
        <f>'WPB-2.1.C Plant Detail'!G1589</f>
        <v>11366299.410570366</v>
      </c>
      <c r="J96" s="1243">
        <f>'WPB-2.1.C Plant Detail'!G1703</f>
        <v>12303282.580570366</v>
      </c>
      <c r="K96" s="1243">
        <f>'WPB-2.1.C Plant Detail'!G1817</f>
        <v>13525031.553682048</v>
      </c>
      <c r="L96" s="1243">
        <f>'WPB-2.1.C Plant Detail'!G1931</f>
        <v>14872091.238959666</v>
      </c>
      <c r="M96" s="1243">
        <f>'WPB-2.1.C Plant Detail'!G2045</f>
        <v>16026592.39165784</v>
      </c>
      <c r="N96" s="1243">
        <f>'WPB-2.1.C Plant Detail'!G2159</f>
        <v>16972261.01314804</v>
      </c>
      <c r="O96" s="1243">
        <f>'WPB-2.1.C Plant Detail'!G2273</f>
        <v>18420436.571352985</v>
      </c>
    </row>
    <row r="97" spans="1:15">
      <c r="A97" s="290">
        <f t="shared" si="7"/>
        <v>25</v>
      </c>
      <c r="B97" s="293">
        <v>382</v>
      </c>
      <c r="C97" s="308" t="s">
        <v>400</v>
      </c>
      <c r="D97" s="1243">
        <f>'WPB-2.1.C Plant Detail'!G1020</f>
        <v>6890.3299999999963</v>
      </c>
      <c r="E97" s="1243">
        <f>'WPB-2.1.C Plant Detail'!G1134</f>
        <v>19890.55</v>
      </c>
      <c r="F97" s="1243">
        <f>'WPB-2.1.C Plant Detail'!G1248</f>
        <v>30489.340000000004</v>
      </c>
      <c r="G97" s="1243">
        <f>'WPB-2.1.C Plant Detail'!G1362</f>
        <v>37351.61</v>
      </c>
      <c r="H97" s="1243">
        <f>'WPB-2.1.C Plant Detail'!G1476</f>
        <v>135150.63</v>
      </c>
      <c r="I97" s="1243">
        <f>'WPB-2.1.C Plant Detail'!G1590</f>
        <v>178773.72</v>
      </c>
      <c r="J97" s="1243">
        <f>'WPB-2.1.C Plant Detail'!G1704</f>
        <v>177090.70716494252</v>
      </c>
      <c r="K97" s="1243">
        <f>'WPB-2.1.C Plant Detail'!G1818</f>
        <v>178647.17716494249</v>
      </c>
      <c r="L97" s="1243">
        <f>'WPB-2.1.C Plant Detail'!G1932</f>
        <v>178394.94835947393</v>
      </c>
      <c r="M97" s="1243">
        <f>'WPB-2.1.C Plant Detail'!G2046</f>
        <v>176613.62468282352</v>
      </c>
      <c r="N97" s="1243">
        <f>'WPB-2.1.C Plant Detail'!G2160</f>
        <v>178666.34220918757</v>
      </c>
      <c r="O97" s="1243">
        <f>'WPB-2.1.C Plant Detail'!G2274</f>
        <v>189719.96735617745</v>
      </c>
    </row>
    <row r="98" spans="1:15">
      <c r="A98" s="290">
        <f t="shared" si="7"/>
        <v>26</v>
      </c>
      <c r="B98" s="293">
        <v>383</v>
      </c>
      <c r="C98" s="308" t="s">
        <v>401</v>
      </c>
      <c r="D98" s="1243">
        <f>'WPB-2.1.C Plant Detail'!G1021</f>
        <v>-5138.72</v>
      </c>
      <c r="E98" s="1243">
        <f>'WPB-2.1.C Plant Detail'!G1135</f>
        <v>-5701.59</v>
      </c>
      <c r="F98" s="1243">
        <f>'WPB-2.1.C Plant Detail'!G1249</f>
        <v>-6334.32</v>
      </c>
      <c r="G98" s="1243">
        <f>'WPB-2.1.C Plant Detail'!G1363</f>
        <v>-6868.99</v>
      </c>
      <c r="H98" s="1243">
        <f>'WPB-2.1.C Plant Detail'!G1477</f>
        <v>624.5400000000003</v>
      </c>
      <c r="I98" s="1243">
        <f>'WPB-2.1.C Plant Detail'!G1591</f>
        <v>16476.75</v>
      </c>
      <c r="J98" s="1243">
        <f>'WPB-2.1.C Plant Detail'!G1705</f>
        <v>46168.257764388065</v>
      </c>
      <c r="K98" s="1243">
        <f>'WPB-2.1.C Plant Detail'!G1819</f>
        <v>56426.400612127632</v>
      </c>
      <c r="L98" s="1243">
        <f>'WPB-2.1.C Plant Detail'!G1933</f>
        <v>62104.528752224884</v>
      </c>
      <c r="M98" s="1243">
        <f>'WPB-2.1.C Plant Detail'!G2047</f>
        <v>71731.344617348892</v>
      </c>
      <c r="N98" s="1243">
        <f>'WPB-2.1.C Plant Detail'!G2161</f>
        <v>77705.304139664775</v>
      </c>
      <c r="O98" s="1243">
        <f>'WPB-2.1.C Plant Detail'!G2275</f>
        <v>85970.188688827417</v>
      </c>
    </row>
    <row r="99" spans="1:15">
      <c r="A99" s="290">
        <f>A98+1</f>
        <v>27</v>
      </c>
      <c r="C99" s="308" t="s">
        <v>1780</v>
      </c>
      <c r="D99" s="1242">
        <f>SUM(D94:D98)</f>
        <v>29013867.293509353</v>
      </c>
      <c r="E99" s="1242">
        <f t="shared" ref="E99:O99" si="8">SUM(E94:E98)</f>
        <v>31653474.97327292</v>
      </c>
      <c r="F99" s="1242">
        <f t="shared" si="8"/>
        <v>35748986.987120315</v>
      </c>
      <c r="G99" s="1242">
        <f t="shared" si="8"/>
        <v>40424152.710570358</v>
      </c>
      <c r="H99" s="1242">
        <f t="shared" si="8"/>
        <v>41470659.800570369</v>
      </c>
      <c r="I99" s="1242">
        <f t="shared" si="8"/>
        <v>42943293.560570367</v>
      </c>
      <c r="J99" s="1242">
        <f t="shared" si="8"/>
        <v>46526079.011997096</v>
      </c>
      <c r="K99" s="1242">
        <f t="shared" si="8"/>
        <v>48923783.957844123</v>
      </c>
      <c r="L99" s="1242">
        <f t="shared" si="8"/>
        <v>52334508.544047862</v>
      </c>
      <c r="M99" s="1242">
        <f t="shared" si="8"/>
        <v>55334756.340433978</v>
      </c>
      <c r="N99" s="1242">
        <f t="shared" si="8"/>
        <v>57681222.075571954</v>
      </c>
      <c r="O99" s="1242">
        <f t="shared" si="8"/>
        <v>60278460.73408556</v>
      </c>
    </row>
    <row r="100" spans="1:15">
      <c r="A100" s="290"/>
      <c r="B100" s="307"/>
      <c r="C100" s="308"/>
    </row>
    <row r="101" spans="1:15">
      <c r="A101" s="290">
        <f>A99+1</f>
        <v>28</v>
      </c>
      <c r="B101" s="307"/>
      <c r="C101" s="308" t="s">
        <v>447</v>
      </c>
      <c r="D101" s="306">
        <f>D99+D91</f>
        <v>763253821.49000013</v>
      </c>
      <c r="E101" s="306">
        <f t="shared" ref="E101:O101" si="9">E99+E91</f>
        <v>770583160.0999999</v>
      </c>
      <c r="F101" s="306">
        <f t="shared" si="9"/>
        <v>776872762.7700001</v>
      </c>
      <c r="G101" s="306">
        <f t="shared" si="9"/>
        <v>784958333.01999998</v>
      </c>
      <c r="H101" s="306">
        <f t="shared" si="9"/>
        <v>786828777.4000001</v>
      </c>
      <c r="I101" s="306">
        <f t="shared" si="9"/>
        <v>789965684.25</v>
      </c>
      <c r="J101" s="306">
        <f t="shared" si="9"/>
        <v>794805515.8579452</v>
      </c>
      <c r="K101" s="306">
        <f t="shared" si="9"/>
        <v>795815947.96531999</v>
      </c>
      <c r="L101" s="306">
        <f t="shared" si="9"/>
        <v>801109150.15413117</v>
      </c>
      <c r="M101" s="306">
        <f t="shared" si="9"/>
        <v>805349049.1713053</v>
      </c>
      <c r="N101" s="306">
        <f t="shared" si="9"/>
        <v>809721367.88660741</v>
      </c>
      <c r="O101" s="306">
        <f t="shared" si="9"/>
        <v>813363317.39681041</v>
      </c>
    </row>
  </sheetData>
  <mergeCells count="8">
    <mergeCell ref="A59:O59"/>
    <mergeCell ref="A60:O60"/>
    <mergeCell ref="A1:O1"/>
    <mergeCell ref="A2:O2"/>
    <mergeCell ref="A3:O3"/>
    <mergeCell ref="A4:O4"/>
    <mergeCell ref="A57:O57"/>
    <mergeCell ref="A58:O58"/>
  </mergeCells>
  <printOptions horizontalCentered="1"/>
  <pageMargins left="0.5" right="0.5" top="0.75" bottom="0.5" header="0.3" footer="0.3"/>
  <pageSetup scale="51" fitToHeight="2" orientation="landscape" r:id="rId1"/>
  <rowBreaks count="1" manualBreakCount="1">
    <brk id="56"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01"/>
  <sheetViews>
    <sheetView topLeftCell="D64" zoomScaleNormal="100" zoomScaleSheetLayoutView="106" workbookViewId="0">
      <selection activeCell="Q94" sqref="Q94"/>
    </sheetView>
  </sheetViews>
  <sheetFormatPr defaultColWidth="12.5" defaultRowHeight="12.75"/>
  <cols>
    <col min="1" max="1" width="5.83203125" style="291" customWidth="1"/>
    <col min="2" max="2" width="8.33203125" style="293" customWidth="1"/>
    <col min="3" max="3" width="61.5" style="291" customWidth="1"/>
    <col min="4" max="17" width="19.6640625" style="294" customWidth="1"/>
    <col min="18" max="20" width="12" style="291" customWidth="1"/>
    <col min="21" max="16384" width="12.5" style="291"/>
  </cols>
  <sheetData>
    <row r="1" spans="1:17">
      <c r="A1" s="1308" t="str">
        <f>'General Headers Index'!B4</f>
        <v>COLUMBIA GAS OF KENTUCKY, INC.</v>
      </c>
      <c r="B1" s="1308"/>
      <c r="C1" s="1308"/>
      <c r="D1" s="1308"/>
      <c r="E1" s="1308"/>
      <c r="F1" s="1308"/>
      <c r="G1" s="1308"/>
      <c r="H1" s="1308"/>
      <c r="I1" s="1308"/>
      <c r="J1" s="1308"/>
      <c r="K1" s="1308"/>
      <c r="L1" s="1308"/>
      <c r="M1" s="1308"/>
      <c r="N1" s="1308"/>
      <c r="O1" s="1308"/>
      <c r="P1" s="1308"/>
      <c r="Q1" s="1308"/>
    </row>
    <row r="2" spans="1:17">
      <c r="A2" s="1308" t="str">
        <f>'General Headers Index'!B6</f>
        <v>CASE NO. 2024 - 00092</v>
      </c>
      <c r="B2" s="1308"/>
      <c r="C2" s="1308"/>
      <c r="D2" s="1308"/>
      <c r="E2" s="1308"/>
      <c r="F2" s="1308"/>
      <c r="G2" s="1308"/>
      <c r="H2" s="1308"/>
      <c r="I2" s="1308"/>
      <c r="J2" s="1308"/>
      <c r="K2" s="1308"/>
      <c r="L2" s="1308"/>
      <c r="M2" s="1308"/>
      <c r="N2" s="1308"/>
      <c r="O2" s="1308"/>
      <c r="P2" s="1308"/>
      <c r="Q2" s="1308"/>
    </row>
    <row r="3" spans="1:17">
      <c r="A3" s="1308" t="s">
        <v>1035</v>
      </c>
      <c r="B3" s="1308"/>
      <c r="C3" s="1308"/>
      <c r="D3" s="1308"/>
      <c r="E3" s="1308"/>
      <c r="F3" s="1308"/>
      <c r="G3" s="1308"/>
      <c r="H3" s="1308"/>
      <c r="I3" s="1308"/>
      <c r="J3" s="1308"/>
      <c r="K3" s="1308"/>
      <c r="L3" s="1308"/>
      <c r="M3" s="1308"/>
      <c r="N3" s="1308"/>
      <c r="O3" s="1308"/>
      <c r="P3" s="1308"/>
      <c r="Q3" s="1308"/>
    </row>
    <row r="4" spans="1:17">
      <c r="A4" s="1309" t="str">
        <f>'General Headers Index'!B18</f>
        <v>FORECASTED TEST PERIOD 12/31/2024 to 12/31/2025</v>
      </c>
      <c r="B4" s="1308"/>
      <c r="C4" s="1308"/>
      <c r="D4" s="1308"/>
      <c r="E4" s="1308"/>
      <c r="F4" s="1308"/>
      <c r="G4" s="1308"/>
      <c r="H4" s="1308"/>
      <c r="I4" s="1308"/>
      <c r="J4" s="1308"/>
      <c r="K4" s="1308"/>
      <c r="L4" s="1308"/>
      <c r="M4" s="1308"/>
      <c r="N4" s="1308"/>
      <c r="O4" s="1308"/>
      <c r="P4" s="1308"/>
      <c r="Q4" s="1308"/>
    </row>
    <row r="5" spans="1:17">
      <c r="F5" s="295"/>
    </row>
    <row r="6" spans="1:17">
      <c r="Q6" s="296" t="s">
        <v>2464</v>
      </c>
    </row>
    <row r="7" spans="1:17">
      <c r="A7" s="297" t="s">
        <v>2792</v>
      </c>
      <c r="Q7" s="296" t="s">
        <v>251</v>
      </c>
    </row>
    <row r="8" spans="1:17">
      <c r="A8" s="297" t="str">
        <f>'General Headers Index'!B37</f>
        <v>TYPE OF FILING:___X___ORIGINAL______UPDATED</v>
      </c>
      <c r="Q8" s="296" t="str">
        <f>"WITNESS: "&amp;'General Headers Index'!B42</f>
        <v>WITNESS: GORE</v>
      </c>
    </row>
    <row r="9" spans="1:17">
      <c r="A9" s="899"/>
      <c r="B9" s="900"/>
      <c r="C9" s="901"/>
      <c r="D9" s="909"/>
      <c r="E9" s="906"/>
      <c r="F9" s="906"/>
      <c r="G9" s="906"/>
      <c r="H9" s="906"/>
      <c r="I9" s="906"/>
      <c r="J9" s="906"/>
      <c r="K9" s="906"/>
      <c r="L9" s="906"/>
      <c r="M9" s="906"/>
      <c r="N9" s="906"/>
      <c r="O9" s="906"/>
      <c r="P9" s="906"/>
      <c r="Q9" s="906"/>
    </row>
    <row r="10" spans="1:17">
      <c r="A10" s="290" t="s">
        <v>313</v>
      </c>
      <c r="B10" s="298" t="s">
        <v>368</v>
      </c>
      <c r="C10" s="220"/>
      <c r="Q10" s="295" t="s">
        <v>352</v>
      </c>
    </row>
    <row r="11" spans="1:17">
      <c r="A11" s="903" t="s">
        <v>316</v>
      </c>
      <c r="B11" s="904" t="s">
        <v>316</v>
      </c>
      <c r="C11" s="885" t="s">
        <v>451</v>
      </c>
      <c r="D11" s="910">
        <v>45657</v>
      </c>
      <c r="E11" s="911" t="s">
        <v>1604</v>
      </c>
      <c r="F11" s="911" t="s">
        <v>1605</v>
      </c>
      <c r="G11" s="911" t="s">
        <v>1606</v>
      </c>
      <c r="H11" s="911" t="s">
        <v>1607</v>
      </c>
      <c r="I11" s="911" t="s">
        <v>1608</v>
      </c>
      <c r="J11" s="911" t="s">
        <v>1609</v>
      </c>
      <c r="K11" s="911" t="s">
        <v>1610</v>
      </c>
      <c r="L11" s="911" t="s">
        <v>1611</v>
      </c>
      <c r="M11" s="911" t="s">
        <v>1612</v>
      </c>
      <c r="N11" s="911" t="s">
        <v>1613</v>
      </c>
      <c r="O11" s="911" t="s">
        <v>1614</v>
      </c>
      <c r="P11" s="911" t="s">
        <v>1615</v>
      </c>
      <c r="Q11" s="898" t="s">
        <v>312</v>
      </c>
    </row>
    <row r="12" spans="1:17">
      <c r="A12" s="290"/>
      <c r="B12" s="298"/>
      <c r="C12" s="220"/>
      <c r="D12" s="300" t="s">
        <v>532</v>
      </c>
      <c r="E12" s="300" t="s">
        <v>541</v>
      </c>
      <c r="F12" s="300" t="s">
        <v>542</v>
      </c>
      <c r="G12" s="300" t="s">
        <v>668</v>
      </c>
      <c r="H12" s="300" t="s">
        <v>669</v>
      </c>
      <c r="I12" s="300" t="s">
        <v>670</v>
      </c>
      <c r="J12" s="300" t="s">
        <v>984</v>
      </c>
      <c r="K12" s="300" t="s">
        <v>985</v>
      </c>
      <c r="L12" s="300" t="s">
        <v>986</v>
      </c>
      <c r="M12" s="300" t="s">
        <v>987</v>
      </c>
      <c r="N12" s="300" t="s">
        <v>988</v>
      </c>
      <c r="O12" s="300" t="s">
        <v>989</v>
      </c>
      <c r="P12" s="300" t="s">
        <v>990</v>
      </c>
      <c r="Q12" s="300" t="s">
        <v>991</v>
      </c>
    </row>
    <row r="13" spans="1:17">
      <c r="C13" s="301"/>
      <c r="D13" s="295" t="s">
        <v>320</v>
      </c>
      <c r="E13" s="295" t="s">
        <v>320</v>
      </c>
      <c r="F13" s="295" t="s">
        <v>320</v>
      </c>
      <c r="G13" s="295" t="s">
        <v>320</v>
      </c>
      <c r="H13" s="295" t="s">
        <v>320</v>
      </c>
      <c r="I13" s="295" t="s">
        <v>320</v>
      </c>
      <c r="J13" s="295" t="s">
        <v>320</v>
      </c>
      <c r="K13" s="295" t="s">
        <v>320</v>
      </c>
      <c r="L13" s="295" t="s">
        <v>320</v>
      </c>
      <c r="M13" s="295" t="s">
        <v>320</v>
      </c>
      <c r="N13" s="295" t="s">
        <v>320</v>
      </c>
      <c r="O13" s="295" t="s">
        <v>320</v>
      </c>
      <c r="P13" s="295" t="s">
        <v>320</v>
      </c>
      <c r="Q13" s="295" t="s">
        <v>320</v>
      </c>
    </row>
    <row r="14" spans="1:17">
      <c r="C14" s="302"/>
    </row>
    <row r="15" spans="1:17">
      <c r="A15" s="290">
        <f>IF(ISBLANK($B15),"",COUNTA($B$15:B15))</f>
        <v>1</v>
      </c>
      <c r="B15" s="301" t="s">
        <v>373</v>
      </c>
      <c r="C15" s="302"/>
    </row>
    <row r="16" spans="1:17">
      <c r="A16" s="290">
        <f>IF(ISBLANK($B16),"",COUNTA($B$15:B16))</f>
        <v>2</v>
      </c>
      <c r="B16" s="293">
        <v>301</v>
      </c>
      <c r="C16" s="220" t="s">
        <v>374</v>
      </c>
      <c r="D16" s="294">
        <f>'WPB-2.1.C Plant Detail'!G2640</f>
        <v>521.20000000000005</v>
      </c>
      <c r="E16" s="294">
        <f>'WPB-2.1.C Plant Detail'!G2754</f>
        <v>521.20000000000005</v>
      </c>
      <c r="F16" s="294">
        <f>'WPB-2.1.C Plant Detail'!G2868</f>
        <v>521.20000000000005</v>
      </c>
      <c r="G16" s="294">
        <f>'WPB-2.1.C Plant Detail'!G2982</f>
        <v>521.20000000000005</v>
      </c>
      <c r="H16" s="294">
        <f>'WPB-2.1.C Plant Detail'!G3096</f>
        <v>521.20000000000005</v>
      </c>
      <c r="I16" s="294">
        <f>'WPB-2.1.C Plant Detail'!G3210</f>
        <v>521.20000000000005</v>
      </c>
      <c r="J16" s="294">
        <f>'WPB-2.1.C Plant Detail'!G3324</f>
        <v>521.20000000000005</v>
      </c>
      <c r="K16" s="294">
        <f>'WPB-2.1.C Plant Detail'!G3438</f>
        <v>521.20000000000005</v>
      </c>
      <c r="L16" s="294">
        <f>'WPB-2.1.C Plant Detail'!G3552</f>
        <v>521.20000000000005</v>
      </c>
      <c r="M16" s="294">
        <f>'WPB-2.1.C Plant Detail'!G3666</f>
        <v>521.20000000000005</v>
      </c>
      <c r="N16" s="294">
        <f>'WPB-2.1.C Plant Detail'!G3780</f>
        <v>521.20000000000005</v>
      </c>
      <c r="O16" s="294">
        <f>'WPB-2.1.C Plant Detail'!G3894</f>
        <v>521.20000000000005</v>
      </c>
      <c r="P16" s="294">
        <f>'WPB-2.1.C Plant Detail'!G4008</f>
        <v>521.20000000000005</v>
      </c>
      <c r="Q16" s="294">
        <f t="shared" ref="Q16:Q21" si="0">AVERAGE(D16:P16)</f>
        <v>521.19999999999993</v>
      </c>
    </row>
    <row r="17" spans="1:17">
      <c r="A17" s="290">
        <f>IF(ISBLANK($B17),"",COUNTA($B$15:B17))</f>
        <v>3</v>
      </c>
      <c r="B17" s="293">
        <v>303</v>
      </c>
      <c r="C17" s="220" t="s">
        <v>375</v>
      </c>
      <c r="D17" s="294">
        <f>'WPB-2.1.C Plant Detail'!G2641</f>
        <v>96334.51</v>
      </c>
      <c r="E17" s="294">
        <f>'WPB-2.1.C Plant Detail'!G2755</f>
        <v>96334.51</v>
      </c>
      <c r="F17" s="294">
        <f>'WPB-2.1.C Plant Detail'!G2869</f>
        <v>96334.51</v>
      </c>
      <c r="G17" s="294">
        <f>'WPB-2.1.C Plant Detail'!G2983</f>
        <v>96334.51</v>
      </c>
      <c r="H17" s="294">
        <f>'WPB-2.1.C Plant Detail'!G3097</f>
        <v>96334.51</v>
      </c>
      <c r="I17" s="294">
        <f>'WPB-2.1.C Plant Detail'!G3211</f>
        <v>96334.51</v>
      </c>
      <c r="J17" s="294">
        <f>'WPB-2.1.C Plant Detail'!G3325</f>
        <v>81146.899999999994</v>
      </c>
      <c r="K17" s="294">
        <f>'WPB-2.1.C Plant Detail'!G3439</f>
        <v>81146.899999999994</v>
      </c>
      <c r="L17" s="294">
        <f>'WPB-2.1.C Plant Detail'!G3553</f>
        <v>81146.899999999994</v>
      </c>
      <c r="M17" s="294">
        <f>'WPB-2.1.C Plant Detail'!G3667</f>
        <v>81146.899999999994</v>
      </c>
      <c r="N17" s="294">
        <f>'WPB-2.1.C Plant Detail'!G3781</f>
        <v>81146.899999999994</v>
      </c>
      <c r="O17" s="294">
        <f>'WPB-2.1.C Plant Detail'!G3895</f>
        <v>81146.899999999994</v>
      </c>
      <c r="P17" s="294">
        <f>'WPB-2.1.C Plant Detail'!G4009</f>
        <v>81146.899999999994</v>
      </c>
      <c r="Q17" s="294">
        <f t="shared" si="0"/>
        <v>88156.566153846143</v>
      </c>
    </row>
    <row r="18" spans="1:17">
      <c r="A18" s="290">
        <f>IF(ISBLANK($B18),"",COUNTA($B$15:B18))</f>
        <v>4</v>
      </c>
      <c r="B18" s="293">
        <v>303.10000000000002</v>
      </c>
      <c r="C18" s="220" t="s">
        <v>376</v>
      </c>
      <c r="D18" s="294">
        <f>'WPB-2.1.C Plant Detail'!G2642</f>
        <v>943.27</v>
      </c>
      <c r="E18" s="294">
        <f>'WPB-2.1.C Plant Detail'!G2756</f>
        <v>943.27</v>
      </c>
      <c r="F18" s="294">
        <f>'WPB-2.1.C Plant Detail'!G2870</f>
        <v>943.27</v>
      </c>
      <c r="G18" s="294">
        <f>'WPB-2.1.C Plant Detail'!G2984</f>
        <v>943.27</v>
      </c>
      <c r="H18" s="294">
        <f>'WPB-2.1.C Plant Detail'!G3098</f>
        <v>943.27</v>
      </c>
      <c r="I18" s="294">
        <f>'WPB-2.1.C Plant Detail'!G3212</f>
        <v>943.27</v>
      </c>
      <c r="J18" s="294">
        <f>'WPB-2.1.C Plant Detail'!G3326</f>
        <v>943.27</v>
      </c>
      <c r="K18" s="294">
        <f>'WPB-2.1.C Plant Detail'!G3440</f>
        <v>943.27</v>
      </c>
      <c r="L18" s="294">
        <f>'WPB-2.1.C Plant Detail'!G3554</f>
        <v>943.27</v>
      </c>
      <c r="M18" s="294">
        <f>'WPB-2.1.C Plant Detail'!G3668</f>
        <v>943.27</v>
      </c>
      <c r="N18" s="294">
        <f>'WPB-2.1.C Plant Detail'!G3782</f>
        <v>943.27</v>
      </c>
      <c r="O18" s="294">
        <f>'WPB-2.1.C Plant Detail'!G3896</f>
        <v>943.27</v>
      </c>
      <c r="P18" s="294">
        <f>'WPB-2.1.C Plant Detail'!G4010</f>
        <v>943.27</v>
      </c>
      <c r="Q18" s="294">
        <f t="shared" si="0"/>
        <v>943.27000000000032</v>
      </c>
    </row>
    <row r="19" spans="1:17">
      <c r="A19" s="290">
        <f>IF(ISBLANK($B19),"",COUNTA($B$15:B19))</f>
        <v>5</v>
      </c>
      <c r="B19" s="293">
        <v>303.2</v>
      </c>
      <c r="C19" s="220" t="s">
        <v>377</v>
      </c>
      <c r="D19" s="294">
        <f>'WPB-2.1.C Plant Detail'!G2643</f>
        <v>0</v>
      </c>
      <c r="E19" s="294">
        <f>'WPB-2.1.C Plant Detail'!G2757</f>
        <v>0</v>
      </c>
      <c r="F19" s="294">
        <f>'WPB-2.1.C Plant Detail'!G2871</f>
        <v>0</v>
      </c>
      <c r="G19" s="294">
        <f>'WPB-2.1.C Plant Detail'!G2985</f>
        <v>0</v>
      </c>
      <c r="H19" s="294">
        <f>'WPB-2.1.C Plant Detail'!G3099</f>
        <v>0</v>
      </c>
      <c r="I19" s="294">
        <f>'WPB-2.1.C Plant Detail'!G3213</f>
        <v>0</v>
      </c>
      <c r="J19" s="294">
        <f>'WPB-2.1.C Plant Detail'!G3327</f>
        <v>0</v>
      </c>
      <c r="K19" s="294">
        <f>'WPB-2.1.C Plant Detail'!G3441</f>
        <v>0</v>
      </c>
      <c r="L19" s="294">
        <f>'WPB-2.1.C Plant Detail'!G3555</f>
        <v>0</v>
      </c>
      <c r="M19" s="294">
        <f>'WPB-2.1.C Plant Detail'!G3669</f>
        <v>0</v>
      </c>
      <c r="N19" s="294">
        <f>'WPB-2.1.C Plant Detail'!G3783</f>
        <v>0</v>
      </c>
      <c r="O19" s="294">
        <f>'WPB-2.1.C Plant Detail'!G3897</f>
        <v>0</v>
      </c>
      <c r="P19" s="294">
        <f>'WPB-2.1.C Plant Detail'!G4011</f>
        <v>0</v>
      </c>
      <c r="Q19" s="294">
        <f t="shared" si="0"/>
        <v>0</v>
      </c>
    </row>
    <row r="20" spans="1:17">
      <c r="A20" s="290">
        <f>IF(ISBLANK($B20),"",COUNTA($B$15:B20))</f>
        <v>6</v>
      </c>
      <c r="B20" s="293">
        <v>303.3</v>
      </c>
      <c r="C20" s="220" t="s">
        <v>378</v>
      </c>
      <c r="D20" s="294">
        <f>'WPB-2.1.C Plant Detail'!G2644</f>
        <v>13698798.010000004</v>
      </c>
      <c r="E20" s="294">
        <f>'WPB-2.1.C Plant Detail'!G2758</f>
        <v>13730482.690705003</v>
      </c>
      <c r="F20" s="294">
        <f>'WPB-2.1.C Plant Detail'!G2872</f>
        <v>13794259.790705003</v>
      </c>
      <c r="G20" s="294">
        <f>'WPB-2.1.C Plant Detail'!G2986</f>
        <v>13848479.360705003</v>
      </c>
      <c r="H20" s="294">
        <f>'WPB-2.1.C Plant Detail'!G3100</f>
        <v>16108682.242649013</v>
      </c>
      <c r="I20" s="294">
        <f>'WPB-2.1.C Plant Detail'!G3214</f>
        <v>16006647.065399013</v>
      </c>
      <c r="J20" s="294">
        <f>'WPB-2.1.C Plant Detail'!G3328</f>
        <v>17127759.361049011</v>
      </c>
      <c r="K20" s="294">
        <f>'WPB-2.1.C Plant Detail'!G3442</f>
        <v>17325668.17194901</v>
      </c>
      <c r="L20" s="294">
        <f>'WPB-2.1.C Plant Detail'!G3556</f>
        <v>17401832.662849009</v>
      </c>
      <c r="M20" s="294">
        <f>'WPB-2.1.C Plant Detail'!G3670</f>
        <v>17290080.093749009</v>
      </c>
      <c r="N20" s="294">
        <f>'WPB-2.1.C Plant Detail'!G3784</f>
        <v>17433829.514649007</v>
      </c>
      <c r="O20" s="294">
        <f>'WPB-2.1.C Plant Detail'!G3898</f>
        <v>17959085.734649006</v>
      </c>
      <c r="P20" s="294">
        <f>'WPB-2.1.C Plant Detail'!G4012</f>
        <v>18032201.264649007</v>
      </c>
      <c r="Q20" s="294">
        <f t="shared" si="0"/>
        <v>16135215.843362007</v>
      </c>
    </row>
    <row r="21" spans="1:17">
      <c r="A21" s="290">
        <f>IF(ISBLANK($B21),"",COUNTA($B$15:B21))</f>
        <v>7</v>
      </c>
      <c r="B21" s="293">
        <v>303.99</v>
      </c>
      <c r="C21" s="220" t="s">
        <v>1129</v>
      </c>
      <c r="D21" s="906">
        <f>'WPB-2.1.C Plant Detail'!G2645</f>
        <v>2026149.7725501894</v>
      </c>
      <c r="E21" s="906">
        <f>'WPB-2.1.C Plant Detail'!G2759</f>
        <v>2161936.4318110631</v>
      </c>
      <c r="F21" s="906">
        <f>'WPB-2.1.C Plant Detail'!G2873</f>
        <v>2114267.5310644358</v>
      </c>
      <c r="G21" s="906">
        <f>'WPB-2.1.C Plant Detail'!G2987</f>
        <v>2123005.6314930166</v>
      </c>
      <c r="H21" s="906">
        <f>'WPB-2.1.C Plant Detail'!G3101</f>
        <v>4206341.4167212872</v>
      </c>
      <c r="I21" s="906">
        <f>'WPB-2.1.C Plant Detail'!G3215</f>
        <v>4305628.4381271843</v>
      </c>
      <c r="J21" s="906">
        <f>'WPB-2.1.C Plant Detail'!G3329</f>
        <v>4323319.1596641792</v>
      </c>
      <c r="K21" s="906">
        <f>'WPB-2.1.C Plant Detail'!G3443</f>
        <v>4319267.1150674522</v>
      </c>
      <c r="L21" s="906">
        <f>'WPB-2.1.C Plant Detail'!G3557</f>
        <v>4295391.4308827352</v>
      </c>
      <c r="M21" s="906">
        <f>'WPB-2.1.C Plant Detail'!G3671</f>
        <v>4298084.7946498785</v>
      </c>
      <c r="N21" s="906">
        <f>'WPB-2.1.C Plant Detail'!G3785</f>
        <v>4559658.9402190195</v>
      </c>
      <c r="O21" s="906">
        <f>'WPB-2.1.C Plant Detail'!G3899</f>
        <v>4595491.4896581667</v>
      </c>
      <c r="P21" s="906">
        <f>'WPB-2.1.C Plant Detail'!G4013</f>
        <v>4603041.6994779538</v>
      </c>
      <c r="Q21" s="906">
        <f t="shared" si="0"/>
        <v>3687044.9116451209</v>
      </c>
    </row>
    <row r="22" spans="1:17">
      <c r="A22" s="290">
        <f>IF(ISBLANK($B22),"",COUNTA($B$15:B22))</f>
        <v>8</v>
      </c>
      <c r="B22" s="303" t="s">
        <v>379</v>
      </c>
      <c r="D22" s="294">
        <f>SUM(D16:D21)</f>
        <v>15822746.762550194</v>
      </c>
      <c r="E22" s="294">
        <f t="shared" ref="E22:O22" si="1">SUM(E16:E21)</f>
        <v>15990218.102516066</v>
      </c>
      <c r="F22" s="294">
        <f t="shared" si="1"/>
        <v>16006326.301769439</v>
      </c>
      <c r="G22" s="294">
        <f t="shared" si="1"/>
        <v>16069283.972198021</v>
      </c>
      <c r="H22" s="294">
        <f t="shared" si="1"/>
        <v>20412822.6393703</v>
      </c>
      <c r="I22" s="294">
        <f t="shared" si="1"/>
        <v>20410074.4835262</v>
      </c>
      <c r="J22" s="294">
        <f t="shared" si="1"/>
        <v>21533689.890713193</v>
      </c>
      <c r="K22" s="294">
        <f t="shared" si="1"/>
        <v>21727546.657016464</v>
      </c>
      <c r="L22" s="294">
        <f t="shared" si="1"/>
        <v>21779835.463731743</v>
      </c>
      <c r="M22" s="294">
        <f t="shared" si="1"/>
        <v>21670776.25839889</v>
      </c>
      <c r="N22" s="294">
        <f t="shared" si="1"/>
        <v>22076099.824868027</v>
      </c>
      <c r="O22" s="294">
        <f t="shared" si="1"/>
        <v>22637188.594307173</v>
      </c>
      <c r="P22" s="294">
        <f>SUM(P16:P21)</f>
        <v>22717854.334126964</v>
      </c>
      <c r="Q22" s="294">
        <f>SUM(Q16:Q21)</f>
        <v>19911881.791160975</v>
      </c>
    </row>
    <row r="23" spans="1:17">
      <c r="A23" s="290" t="str">
        <f>IF(ISBLANK($B23),"",COUNTA($B$15:B23))</f>
        <v/>
      </c>
      <c r="C23" s="294"/>
      <c r="H23" s="304"/>
      <c r="L23" s="304"/>
    </row>
    <row r="24" spans="1:17">
      <c r="A24" s="290">
        <f>IF(ISBLANK($B24),"",COUNTA($B$15:B24))</f>
        <v>9</v>
      </c>
      <c r="B24" s="301" t="s">
        <v>1600</v>
      </c>
      <c r="C24" s="302"/>
      <c r="H24" s="304"/>
      <c r="L24" s="304"/>
    </row>
    <row r="25" spans="1:17">
      <c r="A25" s="290">
        <f>IF(ISBLANK($B25),"",COUNTA($B$15:B25))</f>
        <v>10</v>
      </c>
      <c r="B25" s="293">
        <v>374.1</v>
      </c>
      <c r="C25" s="220" t="s">
        <v>382</v>
      </c>
      <c r="D25" s="294">
        <f>'WPB-2.1.C Plant Detail'!G2649</f>
        <v>205.4</v>
      </c>
      <c r="E25" s="294">
        <f>'WPB-2.1.C Plant Detail'!G2763</f>
        <v>205.4</v>
      </c>
      <c r="F25" s="294">
        <f>'WPB-2.1.C Plant Detail'!G2877</f>
        <v>205.4</v>
      </c>
      <c r="G25" s="294">
        <f>'WPB-2.1.C Plant Detail'!G2991</f>
        <v>205.4</v>
      </c>
      <c r="H25" s="294">
        <f>'WPB-2.1.C Plant Detail'!G3105</f>
        <v>205.4</v>
      </c>
      <c r="I25" s="294">
        <f>'WPB-2.1.C Plant Detail'!G3219</f>
        <v>205.4</v>
      </c>
      <c r="J25" s="294">
        <f>'WPB-2.1.C Plant Detail'!G3333</f>
        <v>205.4</v>
      </c>
      <c r="K25" s="294">
        <f>'WPB-2.1.C Plant Detail'!G3447</f>
        <v>205.4</v>
      </c>
      <c r="L25" s="294">
        <f>'WPB-2.1.C Plant Detail'!G3561</f>
        <v>205.4</v>
      </c>
      <c r="M25" s="294">
        <f>'WPB-2.1.C Plant Detail'!G3675</f>
        <v>205.4</v>
      </c>
      <c r="N25" s="294">
        <f>'WPB-2.1.C Plant Detail'!G3789</f>
        <v>205.4</v>
      </c>
      <c r="O25" s="294">
        <f>'WPB-2.1.C Plant Detail'!G3903</f>
        <v>205.4</v>
      </c>
      <c r="P25" s="294">
        <f>'WPB-2.1.C Plant Detail'!G4017</f>
        <v>205.4</v>
      </c>
      <c r="Q25" s="294">
        <f t="shared" ref="Q25:Q41" si="2">AVERAGE(D25:P25)</f>
        <v>205.40000000000006</v>
      </c>
    </row>
    <row r="26" spans="1:17">
      <c r="A26" s="290">
        <f>IF(ISBLANK($B26),"",COUNTA($B$15:B26))</f>
        <v>11</v>
      </c>
      <c r="B26" s="293">
        <v>374.2</v>
      </c>
      <c r="C26" s="220" t="s">
        <v>383</v>
      </c>
      <c r="D26" s="294">
        <f>'WPB-2.1.C Plant Detail'!G2650</f>
        <v>876986.66</v>
      </c>
      <c r="E26" s="294">
        <f>'WPB-2.1.C Plant Detail'!G2764</f>
        <v>876986.66</v>
      </c>
      <c r="F26" s="294">
        <f>'WPB-2.1.C Plant Detail'!G2878</f>
        <v>876986.66</v>
      </c>
      <c r="G26" s="294">
        <f>'WPB-2.1.C Plant Detail'!G2992</f>
        <v>876986.66</v>
      </c>
      <c r="H26" s="294">
        <f>'WPB-2.1.C Plant Detail'!G3106</f>
        <v>876986.66</v>
      </c>
      <c r="I26" s="294">
        <f>'WPB-2.1.C Plant Detail'!G3220</f>
        <v>876986.66</v>
      </c>
      <c r="J26" s="294">
        <f>'WPB-2.1.C Plant Detail'!G3334</f>
        <v>876986.66</v>
      </c>
      <c r="K26" s="294">
        <f>'WPB-2.1.C Plant Detail'!G3448</f>
        <v>876986.66</v>
      </c>
      <c r="L26" s="294">
        <f>'WPB-2.1.C Plant Detail'!G3562</f>
        <v>876986.66</v>
      </c>
      <c r="M26" s="294">
        <f>'WPB-2.1.C Plant Detail'!G3676</f>
        <v>876986.66</v>
      </c>
      <c r="N26" s="294">
        <f>'WPB-2.1.C Plant Detail'!G3790</f>
        <v>876986.66</v>
      </c>
      <c r="O26" s="294">
        <f>'WPB-2.1.C Plant Detail'!G3904</f>
        <v>876986.66</v>
      </c>
      <c r="P26" s="294">
        <f>'WPB-2.1.C Plant Detail'!G4018</f>
        <v>876986.66</v>
      </c>
      <c r="Q26" s="294">
        <f t="shared" si="2"/>
        <v>876986.66</v>
      </c>
    </row>
    <row r="27" spans="1:17">
      <c r="A27" s="290">
        <f>IF(ISBLANK($B27),"",COUNTA($B$15:B27))</f>
        <v>12</v>
      </c>
      <c r="B27" s="293">
        <v>374.4</v>
      </c>
      <c r="C27" s="220" t="s">
        <v>384</v>
      </c>
      <c r="D27" s="294">
        <f>'WPB-2.1.C Plant Detail'!G2651</f>
        <v>3138373.9800000004</v>
      </c>
      <c r="E27" s="294">
        <f>'WPB-2.1.C Plant Detail'!G2765</f>
        <v>3138566.7200000007</v>
      </c>
      <c r="F27" s="294">
        <f>'WPB-2.1.C Plant Detail'!G2879</f>
        <v>3140188.4900000007</v>
      </c>
      <c r="G27" s="294">
        <f>'WPB-2.1.C Plant Detail'!G2993</f>
        <v>3145218.9300000006</v>
      </c>
      <c r="H27" s="294">
        <f>'WPB-2.1.C Plant Detail'!G3107</f>
        <v>3146113.6800000006</v>
      </c>
      <c r="I27" s="294">
        <f>'WPB-2.1.C Plant Detail'!G3221</f>
        <v>3147483.7200000007</v>
      </c>
      <c r="J27" s="294">
        <f>'WPB-2.1.C Plant Detail'!G3335</f>
        <v>3147484.7500000005</v>
      </c>
      <c r="K27" s="294">
        <f>'WPB-2.1.C Plant Detail'!G3449</f>
        <v>3292722.4100000006</v>
      </c>
      <c r="L27" s="294">
        <f>'WPB-2.1.C Plant Detail'!G3563</f>
        <v>3294826.1500000008</v>
      </c>
      <c r="M27" s="294">
        <f>'WPB-2.1.C Plant Detail'!G3677</f>
        <v>3298683.3000000007</v>
      </c>
      <c r="N27" s="294">
        <f>'WPB-2.1.C Plant Detail'!G3791</f>
        <v>3298954.7700000009</v>
      </c>
      <c r="O27" s="294">
        <f>'WPB-2.1.C Plant Detail'!G3905</f>
        <v>3299121.2200000011</v>
      </c>
      <c r="P27" s="294">
        <f>'WPB-2.1.C Plant Detail'!G4019</f>
        <v>3329393.9800000009</v>
      </c>
      <c r="Q27" s="294">
        <f t="shared" si="2"/>
        <v>3216702.4692307701</v>
      </c>
    </row>
    <row r="28" spans="1:17">
      <c r="A28" s="290">
        <f>IF(ISBLANK($B28),"",COUNTA($B$15:B28))</f>
        <v>13</v>
      </c>
      <c r="B28" s="293">
        <v>374.5</v>
      </c>
      <c r="C28" s="220" t="s">
        <v>385</v>
      </c>
      <c r="D28" s="294">
        <f>'WPB-2.1.C Plant Detail'!G2652</f>
        <v>2666577.16</v>
      </c>
      <c r="E28" s="294">
        <f>'WPB-2.1.C Plant Detail'!G2766</f>
        <v>2666577.16</v>
      </c>
      <c r="F28" s="294">
        <f>'WPB-2.1.C Plant Detail'!G2880</f>
        <v>2666577.16</v>
      </c>
      <c r="G28" s="294">
        <f>'WPB-2.1.C Plant Detail'!G2994</f>
        <v>2666577.16</v>
      </c>
      <c r="H28" s="294">
        <f>'WPB-2.1.C Plant Detail'!G3108</f>
        <v>2666577.16</v>
      </c>
      <c r="I28" s="294">
        <f>'WPB-2.1.C Plant Detail'!G3222</f>
        <v>2666577.16</v>
      </c>
      <c r="J28" s="294">
        <f>'WPB-2.1.C Plant Detail'!G3336</f>
        <v>2666577.16</v>
      </c>
      <c r="K28" s="294">
        <f>'WPB-2.1.C Plant Detail'!G3450</f>
        <v>2666577.16</v>
      </c>
      <c r="L28" s="294">
        <f>'WPB-2.1.C Plant Detail'!G3564</f>
        <v>2666577.16</v>
      </c>
      <c r="M28" s="294">
        <f>'WPB-2.1.C Plant Detail'!G3678</f>
        <v>2666577.16</v>
      </c>
      <c r="N28" s="294">
        <f>'WPB-2.1.C Plant Detail'!G3792</f>
        <v>2666577.16</v>
      </c>
      <c r="O28" s="294">
        <f>'WPB-2.1.C Plant Detail'!G3906</f>
        <v>2666577.16</v>
      </c>
      <c r="P28" s="294">
        <f>'WPB-2.1.C Plant Detail'!G4020</f>
        <v>2666577.16</v>
      </c>
      <c r="Q28" s="294">
        <f t="shared" si="2"/>
        <v>2666577.1599999997</v>
      </c>
    </row>
    <row r="29" spans="1:17">
      <c r="A29" s="290">
        <f>IF(ISBLANK($B29),"",COUNTA($B$15:B29))</f>
        <v>14</v>
      </c>
      <c r="B29" s="293">
        <v>375.2</v>
      </c>
      <c r="C29" s="220" t="s">
        <v>386</v>
      </c>
      <c r="D29" s="294">
        <f>'WPB-2.1.C Plant Detail'!G2653</f>
        <v>2124.98</v>
      </c>
      <c r="E29" s="294">
        <f>'WPB-2.1.C Plant Detail'!G2767</f>
        <v>2124.98</v>
      </c>
      <c r="F29" s="294">
        <f>'WPB-2.1.C Plant Detail'!G2881</f>
        <v>2124.98</v>
      </c>
      <c r="G29" s="294">
        <f>'WPB-2.1.C Plant Detail'!G2995</f>
        <v>2124.98</v>
      </c>
      <c r="H29" s="294">
        <f>'WPB-2.1.C Plant Detail'!G3109</f>
        <v>2124.98</v>
      </c>
      <c r="I29" s="294">
        <f>'WPB-2.1.C Plant Detail'!G3223</f>
        <v>2124.98</v>
      </c>
      <c r="J29" s="294">
        <f>'WPB-2.1.C Plant Detail'!G3337</f>
        <v>2124.98</v>
      </c>
      <c r="K29" s="294">
        <f>'WPB-2.1.C Plant Detail'!G3451</f>
        <v>2124.98</v>
      </c>
      <c r="L29" s="294">
        <f>'WPB-2.1.C Plant Detail'!G3565</f>
        <v>2124.98</v>
      </c>
      <c r="M29" s="294">
        <f>'WPB-2.1.C Plant Detail'!G3679</f>
        <v>2124.98</v>
      </c>
      <c r="N29" s="294">
        <f>'WPB-2.1.C Plant Detail'!G3793</f>
        <v>2124.98</v>
      </c>
      <c r="O29" s="294">
        <f>'WPB-2.1.C Plant Detail'!G3907</f>
        <v>2124.98</v>
      </c>
      <c r="P29" s="294">
        <f>'WPB-2.1.C Plant Detail'!G4021</f>
        <v>2124.98</v>
      </c>
      <c r="Q29" s="294">
        <f t="shared" si="2"/>
        <v>2124.98</v>
      </c>
    </row>
    <row r="30" spans="1:17">
      <c r="A30" s="290">
        <f>IF(ISBLANK($B30),"",COUNTA($B$15:B30))</f>
        <v>15</v>
      </c>
      <c r="B30" s="293">
        <v>375.3</v>
      </c>
      <c r="C30" s="220" t="s">
        <v>387</v>
      </c>
      <c r="D30" s="294">
        <f>'WPB-2.1.C Plant Detail'!G2654</f>
        <v>0</v>
      </c>
      <c r="E30" s="294">
        <f>'WPB-2.1.C Plant Detail'!G2768</f>
        <v>0</v>
      </c>
      <c r="F30" s="294">
        <f>'WPB-2.1.C Plant Detail'!G2882</f>
        <v>0</v>
      </c>
      <c r="G30" s="294">
        <f>'WPB-2.1.C Plant Detail'!G2996</f>
        <v>0</v>
      </c>
      <c r="H30" s="294">
        <f>'WPB-2.1.C Plant Detail'!G3110</f>
        <v>0</v>
      </c>
      <c r="I30" s="294">
        <f>'WPB-2.1.C Plant Detail'!G3224</f>
        <v>0</v>
      </c>
      <c r="J30" s="294">
        <f>'WPB-2.1.C Plant Detail'!G3338</f>
        <v>0</v>
      </c>
      <c r="K30" s="294">
        <f>'WPB-2.1.C Plant Detail'!G3452</f>
        <v>0</v>
      </c>
      <c r="L30" s="294">
        <f>'WPB-2.1.C Plant Detail'!G3566</f>
        <v>0</v>
      </c>
      <c r="M30" s="294">
        <f>'WPB-2.1.C Plant Detail'!G3680</f>
        <v>0</v>
      </c>
      <c r="N30" s="294">
        <f>'WPB-2.1.C Plant Detail'!G3794</f>
        <v>0</v>
      </c>
      <c r="O30" s="294">
        <f>'WPB-2.1.C Plant Detail'!G3908</f>
        <v>0</v>
      </c>
      <c r="P30" s="294">
        <f>'WPB-2.1.C Plant Detail'!G4022</f>
        <v>0</v>
      </c>
      <c r="Q30" s="294">
        <f t="shared" si="2"/>
        <v>0</v>
      </c>
    </row>
    <row r="31" spans="1:17">
      <c r="A31" s="290">
        <f>IF(ISBLANK($B31),"",COUNTA($B$15:B31))</f>
        <v>16</v>
      </c>
      <c r="B31" s="293">
        <v>375.4</v>
      </c>
      <c r="C31" s="220" t="s">
        <v>388</v>
      </c>
      <c r="D31" s="294">
        <f>'WPB-2.1.C Plant Detail'!G2655</f>
        <v>3419789.8399999985</v>
      </c>
      <c r="E31" s="294">
        <f>'WPB-2.1.C Plant Detail'!G2769</f>
        <v>3394712.2099999986</v>
      </c>
      <c r="F31" s="294">
        <f>'WPB-2.1.C Plant Detail'!G2883</f>
        <v>3401588.2999999984</v>
      </c>
      <c r="G31" s="294">
        <f>'WPB-2.1.C Plant Detail'!G2997</f>
        <v>3445206.1199999982</v>
      </c>
      <c r="H31" s="294">
        <f>'WPB-2.1.C Plant Detail'!G3111</f>
        <v>3446064.0999999982</v>
      </c>
      <c r="I31" s="294">
        <f>'WPB-2.1.C Plant Detail'!G3225</f>
        <v>4087144.7099999986</v>
      </c>
      <c r="J31" s="294">
        <f>'WPB-2.1.C Plant Detail'!G3339</f>
        <v>4149887.2999999984</v>
      </c>
      <c r="K31" s="294">
        <f>'WPB-2.1.C Plant Detail'!G3453</f>
        <v>4283830.2599999988</v>
      </c>
      <c r="L31" s="294">
        <f>'WPB-2.1.C Plant Detail'!G3567</f>
        <v>4283830.2599999988</v>
      </c>
      <c r="M31" s="294">
        <f>'WPB-2.1.C Plant Detail'!G3681</f>
        <v>4449321.3999999994</v>
      </c>
      <c r="N31" s="294">
        <f>'WPB-2.1.C Plant Detail'!G3795</f>
        <v>4465984.68</v>
      </c>
      <c r="O31" s="294">
        <f>'WPB-2.1.C Plant Detail'!G3909</f>
        <v>4526852.4399999995</v>
      </c>
      <c r="P31" s="294">
        <f>'WPB-2.1.C Plant Detail'!G4023</f>
        <v>4584485.17</v>
      </c>
      <c r="Q31" s="294">
        <f t="shared" si="2"/>
        <v>3995284.3684615372</v>
      </c>
    </row>
    <row r="32" spans="1:17">
      <c r="A32" s="290">
        <f>IF(ISBLANK($B32),"",COUNTA($B$15:B32))</f>
        <v>17</v>
      </c>
      <c r="B32" s="293">
        <v>375.6</v>
      </c>
      <c r="C32" s="220" t="s">
        <v>389</v>
      </c>
      <c r="D32" s="294">
        <f>'WPB-2.1.C Plant Detail'!G2656</f>
        <v>0</v>
      </c>
      <c r="E32" s="294">
        <f>'WPB-2.1.C Plant Detail'!G2770</f>
        <v>0</v>
      </c>
      <c r="F32" s="294">
        <f>'WPB-2.1.C Plant Detail'!G2884</f>
        <v>0</v>
      </c>
      <c r="G32" s="294">
        <f>'WPB-2.1.C Plant Detail'!G2998</f>
        <v>0</v>
      </c>
      <c r="H32" s="294">
        <f>'WPB-2.1.C Plant Detail'!G3112</f>
        <v>0</v>
      </c>
      <c r="I32" s="294">
        <f>'WPB-2.1.C Plant Detail'!G3226</f>
        <v>0</v>
      </c>
      <c r="J32" s="294">
        <f>'WPB-2.1.C Plant Detail'!G3340</f>
        <v>0</v>
      </c>
      <c r="K32" s="294">
        <f>'WPB-2.1.C Plant Detail'!G3454</f>
        <v>0</v>
      </c>
      <c r="L32" s="294">
        <f>'WPB-2.1.C Plant Detail'!G3568</f>
        <v>0</v>
      </c>
      <c r="M32" s="294">
        <f>'WPB-2.1.C Plant Detail'!G3682</f>
        <v>0</v>
      </c>
      <c r="N32" s="294">
        <f>'WPB-2.1.C Plant Detail'!G3796</f>
        <v>0</v>
      </c>
      <c r="O32" s="294">
        <f>'WPB-2.1.C Plant Detail'!G3910</f>
        <v>0</v>
      </c>
      <c r="P32" s="294">
        <f>'WPB-2.1.C Plant Detail'!G4024</f>
        <v>0</v>
      </c>
      <c r="Q32" s="294">
        <f t="shared" si="2"/>
        <v>0</v>
      </c>
    </row>
    <row r="33" spans="1:17">
      <c r="A33" s="290">
        <f>IF(ISBLANK($B33),"",COUNTA($B$15:B33))</f>
        <v>18</v>
      </c>
      <c r="B33" s="293">
        <v>375.7</v>
      </c>
      <c r="C33" s="220" t="s">
        <v>390</v>
      </c>
      <c r="D33" s="294">
        <f>'WPB-2.1.C Plant Detail'!G2657</f>
        <v>9688286.1499999985</v>
      </c>
      <c r="E33" s="294">
        <f>'WPB-2.1.C Plant Detail'!G2771</f>
        <v>9688286.1499999985</v>
      </c>
      <c r="F33" s="294">
        <f>'WPB-2.1.C Plant Detail'!G2885</f>
        <v>9703434.2799999993</v>
      </c>
      <c r="G33" s="294">
        <f>'WPB-2.1.C Plant Detail'!G2999</f>
        <v>9703438.9499999993</v>
      </c>
      <c r="H33" s="294">
        <f>'WPB-2.1.C Plant Detail'!G3113</f>
        <v>9703438.9499999993</v>
      </c>
      <c r="I33" s="294">
        <f>'WPB-2.1.C Plant Detail'!G3227</f>
        <v>9703438.9499999993</v>
      </c>
      <c r="J33" s="294">
        <f>'WPB-2.1.C Plant Detail'!G3341</f>
        <v>9703438.9499999993</v>
      </c>
      <c r="K33" s="294">
        <f>'WPB-2.1.C Plant Detail'!G3455</f>
        <v>9704899.3999999985</v>
      </c>
      <c r="L33" s="294">
        <f>'WPB-2.1.C Plant Detail'!G3569</f>
        <v>9772813.8299999982</v>
      </c>
      <c r="M33" s="294">
        <f>'WPB-2.1.C Plant Detail'!G3683</f>
        <v>9793207.1999999974</v>
      </c>
      <c r="N33" s="294">
        <f>'WPB-2.1.C Plant Detail'!G3797</f>
        <v>9802947.4699999969</v>
      </c>
      <c r="O33" s="294">
        <f>'WPB-2.1.C Plant Detail'!G3911</f>
        <v>9802887.9199999962</v>
      </c>
      <c r="P33" s="294">
        <f>'WPB-2.1.C Plant Detail'!G4025</f>
        <v>9809384.9399999958</v>
      </c>
      <c r="Q33" s="294">
        <f t="shared" si="2"/>
        <v>9736915.6261538453</v>
      </c>
    </row>
    <row r="34" spans="1:17">
      <c r="A34" s="290">
        <f>IF(ISBLANK($B34),"",COUNTA($B$15:B34))</f>
        <v>19</v>
      </c>
      <c r="B34" s="293">
        <v>375.71</v>
      </c>
      <c r="C34" s="220" t="s">
        <v>391</v>
      </c>
      <c r="D34" s="294">
        <f>'WPB-2.1.C Plant Detail'!G2658</f>
        <v>880994.59</v>
      </c>
      <c r="E34" s="294">
        <f>'WPB-2.1.C Plant Detail'!G2772</f>
        <v>880994.59</v>
      </c>
      <c r="F34" s="294">
        <f>'WPB-2.1.C Plant Detail'!G2886</f>
        <v>880994.59</v>
      </c>
      <c r="G34" s="294">
        <f>'WPB-2.1.C Plant Detail'!G3000</f>
        <v>880994.59</v>
      </c>
      <c r="H34" s="294">
        <f>'WPB-2.1.C Plant Detail'!G3114</f>
        <v>880994.59</v>
      </c>
      <c r="I34" s="294">
        <f>'WPB-2.1.C Plant Detail'!G3228</f>
        <v>880994.59</v>
      </c>
      <c r="J34" s="294">
        <f>'WPB-2.1.C Plant Detail'!G3342</f>
        <v>880994.59</v>
      </c>
      <c r="K34" s="294">
        <f>'WPB-2.1.C Plant Detail'!G3456</f>
        <v>880994.59</v>
      </c>
      <c r="L34" s="294">
        <f>'WPB-2.1.C Plant Detail'!G3570</f>
        <v>880994.59</v>
      </c>
      <c r="M34" s="294">
        <f>'WPB-2.1.C Plant Detail'!G3684</f>
        <v>880994.59</v>
      </c>
      <c r="N34" s="294">
        <f>'WPB-2.1.C Plant Detail'!G3798</f>
        <v>880994.59</v>
      </c>
      <c r="O34" s="294">
        <f>'WPB-2.1.C Plant Detail'!G3912</f>
        <v>880994.59</v>
      </c>
      <c r="P34" s="294">
        <f>'WPB-2.1.C Plant Detail'!G4026</f>
        <v>880994.59</v>
      </c>
      <c r="Q34" s="294">
        <f t="shared" si="2"/>
        <v>880994.59</v>
      </c>
    </row>
    <row r="35" spans="1:17">
      <c r="A35" s="290">
        <f>IF(ISBLANK($B35),"",COUNTA($B$15:B35))</f>
        <v>20</v>
      </c>
      <c r="B35" s="293">
        <v>375.8</v>
      </c>
      <c r="C35" s="220" t="s">
        <v>392</v>
      </c>
      <c r="D35" s="294">
        <f>'WPB-2.1.C Plant Detail'!G2659</f>
        <v>132125.04</v>
      </c>
      <c r="E35" s="294">
        <f>'WPB-2.1.C Plant Detail'!G2773</f>
        <v>132125.04</v>
      </c>
      <c r="F35" s="294">
        <f>'WPB-2.1.C Plant Detail'!G2887</f>
        <v>132125.04</v>
      </c>
      <c r="G35" s="294">
        <f>'WPB-2.1.C Plant Detail'!G3001</f>
        <v>132125.04</v>
      </c>
      <c r="H35" s="294">
        <f>'WPB-2.1.C Plant Detail'!G3115</f>
        <v>132125.04</v>
      </c>
      <c r="I35" s="294">
        <f>'WPB-2.1.C Plant Detail'!G3229</f>
        <v>132125.04</v>
      </c>
      <c r="J35" s="294">
        <f>'WPB-2.1.C Plant Detail'!G3343</f>
        <v>132125.04</v>
      </c>
      <c r="K35" s="294">
        <f>'WPB-2.1.C Plant Detail'!G3457</f>
        <v>132125.04</v>
      </c>
      <c r="L35" s="294">
        <f>'WPB-2.1.C Plant Detail'!G3571</f>
        <v>132125.04</v>
      </c>
      <c r="M35" s="294">
        <f>'WPB-2.1.C Plant Detail'!G3685</f>
        <v>132125.04</v>
      </c>
      <c r="N35" s="294">
        <f>'WPB-2.1.C Plant Detail'!G3799</f>
        <v>132125.04</v>
      </c>
      <c r="O35" s="294">
        <f>'WPB-2.1.C Plant Detail'!G3913</f>
        <v>132125.04</v>
      </c>
      <c r="P35" s="294">
        <f>'WPB-2.1.C Plant Detail'!G4027</f>
        <v>132125.04</v>
      </c>
      <c r="Q35" s="294">
        <f t="shared" si="2"/>
        <v>132125.04</v>
      </c>
    </row>
    <row r="36" spans="1:17">
      <c r="A36" s="290">
        <f>IF(ISBLANK($B36),"",COUNTA($B$15:B36))</f>
        <v>21</v>
      </c>
      <c r="B36" s="293">
        <v>376</v>
      </c>
      <c r="C36" s="220" t="s">
        <v>1582</v>
      </c>
      <c r="D36" s="294">
        <f>'WPB-2.1.C Plant Detail'!G2660</f>
        <v>421629774.85649371</v>
      </c>
      <c r="E36" s="294">
        <f>'WPB-2.1.C Plant Detail'!G2774</f>
        <v>421954386.98757023</v>
      </c>
      <c r="F36" s="294">
        <f>'WPB-2.1.C Plant Detail'!G2888</f>
        <v>422206236.10099298</v>
      </c>
      <c r="G36" s="294">
        <f>'WPB-2.1.C Plant Detail'!G3002</f>
        <v>422359643.54384547</v>
      </c>
      <c r="H36" s="294">
        <f>'WPB-2.1.C Plant Detail'!G3116</f>
        <v>422494842.26748329</v>
      </c>
      <c r="I36" s="294">
        <f>'WPB-2.1.C Plant Detail'!G3230</f>
        <v>422928471.71536326</v>
      </c>
      <c r="J36" s="294">
        <f>'WPB-2.1.C Plant Detail'!G3344</f>
        <v>423229240.28994858</v>
      </c>
      <c r="K36" s="294">
        <f>'WPB-2.1.C Plant Detail'!G3458</f>
        <v>423380072.1193161</v>
      </c>
      <c r="L36" s="294">
        <f>'WPB-2.1.C Plant Detail'!G3572</f>
        <v>423518745.7992658</v>
      </c>
      <c r="M36" s="294">
        <f>'WPB-2.1.C Plant Detail'!G3686</f>
        <v>424013354.13920891</v>
      </c>
      <c r="N36" s="294">
        <f>'WPB-2.1.C Plant Detail'!G3800</f>
        <v>424529815.90838766</v>
      </c>
      <c r="O36" s="294">
        <f>'WPB-2.1.C Plant Detail'!G3914</f>
        <v>424761468.61645555</v>
      </c>
      <c r="P36" s="294">
        <f>'WPB-2.1.C Plant Detail'!G4028</f>
        <v>427403918.07649362</v>
      </c>
      <c r="Q36" s="294">
        <f t="shared" si="2"/>
        <v>423416151.57083267</v>
      </c>
    </row>
    <row r="37" spans="1:17">
      <c r="A37" s="290">
        <f>IF(ISBLANK($B37),"",COUNTA($B$15:B37))</f>
        <v>22</v>
      </c>
      <c r="B37" s="293">
        <v>378.1</v>
      </c>
      <c r="C37" s="220" t="s">
        <v>394</v>
      </c>
      <c r="D37" s="294">
        <f>'WPB-2.1.C Plant Detail'!G2661</f>
        <v>-172291.25</v>
      </c>
      <c r="E37" s="294">
        <f>'WPB-2.1.C Plant Detail'!G2775</f>
        <v>-172291.25</v>
      </c>
      <c r="F37" s="294">
        <f>'WPB-2.1.C Plant Detail'!G2889</f>
        <v>-172291.25</v>
      </c>
      <c r="G37" s="294">
        <f>'WPB-2.1.C Plant Detail'!G3003</f>
        <v>-172291.25</v>
      </c>
      <c r="H37" s="294">
        <f>'WPB-2.1.C Plant Detail'!G3117</f>
        <v>-172291.25</v>
      </c>
      <c r="I37" s="294">
        <f>'WPB-2.1.C Plant Detail'!G3231</f>
        <v>-172291.25</v>
      </c>
      <c r="J37" s="294">
        <f>'WPB-2.1.C Plant Detail'!G3345</f>
        <v>-172291.25</v>
      </c>
      <c r="K37" s="294">
        <f>'WPB-2.1.C Plant Detail'!G3459</f>
        <v>-172291.25</v>
      </c>
      <c r="L37" s="294">
        <f>'WPB-2.1.C Plant Detail'!G3573</f>
        <v>-172291.25</v>
      </c>
      <c r="M37" s="294">
        <f>'WPB-2.1.C Plant Detail'!G3687</f>
        <v>-172291.25</v>
      </c>
      <c r="N37" s="294">
        <f>'WPB-2.1.C Plant Detail'!G3801</f>
        <v>-172291.25</v>
      </c>
      <c r="O37" s="294">
        <f>'WPB-2.1.C Plant Detail'!G3915</f>
        <v>-172291.25</v>
      </c>
      <c r="P37" s="294">
        <f>'WPB-2.1.C Plant Detail'!G4029</f>
        <v>-172291.25</v>
      </c>
      <c r="Q37" s="294">
        <f t="shared" si="2"/>
        <v>-172291.25</v>
      </c>
    </row>
    <row r="38" spans="1:17">
      <c r="A38" s="290">
        <f>IF(ISBLANK($B38),"",COUNTA($B$15:B38))</f>
        <v>23</v>
      </c>
      <c r="B38" s="293">
        <v>378.2</v>
      </c>
      <c r="C38" s="220" t="s">
        <v>1583</v>
      </c>
      <c r="D38" s="294">
        <f>'WPB-2.1.C Plant Detail'!G2662</f>
        <v>27755737.239889771</v>
      </c>
      <c r="E38" s="294">
        <f>'WPB-2.1.C Plant Detail'!G2776</f>
        <v>27458381.93922396</v>
      </c>
      <c r="F38" s="294">
        <f>'WPB-2.1.C Plant Detail'!G2890</f>
        <v>27702089.071654879</v>
      </c>
      <c r="G38" s="294">
        <f>'WPB-2.1.C Plant Detail'!G3004</f>
        <v>27993990.949579637</v>
      </c>
      <c r="H38" s="294">
        <f>'WPB-2.1.C Plant Detail'!G3118</f>
        <v>28320590.192924865</v>
      </c>
      <c r="I38" s="294">
        <f>'WPB-2.1.C Plant Detail'!G3232</f>
        <v>29732605.019094974</v>
      </c>
      <c r="J38" s="294">
        <f>'WPB-2.1.C Plant Detail'!G3346</f>
        <v>29791170.144601122</v>
      </c>
      <c r="K38" s="294">
        <f>'WPB-2.1.C Plant Detail'!G3460</f>
        <v>30855236.561079048</v>
      </c>
      <c r="L38" s="294">
        <f>'WPB-2.1.C Plant Detail'!G3574</f>
        <v>30846698.423518125</v>
      </c>
      <c r="M38" s="294">
        <f>'WPB-2.1.C Plant Detail'!G3688</f>
        <v>31064103.315694723</v>
      </c>
      <c r="N38" s="294">
        <f>'WPB-2.1.C Plant Detail'!G3802</f>
        <v>31082625.968440816</v>
      </c>
      <c r="O38" s="294">
        <f>'WPB-2.1.C Plant Detail'!G3916</f>
        <v>30644327.01780517</v>
      </c>
      <c r="P38" s="294">
        <f>'WPB-2.1.C Plant Detail'!G4030</f>
        <v>30947342.196898129</v>
      </c>
      <c r="Q38" s="294">
        <f t="shared" si="2"/>
        <v>29553453.695415787</v>
      </c>
    </row>
    <row r="39" spans="1:17">
      <c r="A39" s="290">
        <f>IF(ISBLANK($B39),"",COUNTA($B$15:B39))</f>
        <v>24</v>
      </c>
      <c r="B39" s="293">
        <v>378.3</v>
      </c>
      <c r="C39" s="220" t="s">
        <v>396</v>
      </c>
      <c r="D39" s="294">
        <f>'WPB-2.1.C Plant Detail'!G2663</f>
        <v>45443.08</v>
      </c>
      <c r="E39" s="294">
        <f>'WPB-2.1.C Plant Detail'!G2777</f>
        <v>45443.08</v>
      </c>
      <c r="F39" s="294">
        <f>'WPB-2.1.C Plant Detail'!G2891</f>
        <v>45443.08</v>
      </c>
      <c r="G39" s="294">
        <f>'WPB-2.1.C Plant Detail'!G3005</f>
        <v>45443.08</v>
      </c>
      <c r="H39" s="294">
        <f>'WPB-2.1.C Plant Detail'!G3119</f>
        <v>45443.08</v>
      </c>
      <c r="I39" s="294">
        <f>'WPB-2.1.C Plant Detail'!G3233</f>
        <v>45443.08</v>
      </c>
      <c r="J39" s="294">
        <f>'WPB-2.1.C Plant Detail'!G3347</f>
        <v>45443.08</v>
      </c>
      <c r="K39" s="294">
        <f>'WPB-2.1.C Plant Detail'!G3461</f>
        <v>45443.08</v>
      </c>
      <c r="L39" s="294">
        <f>'WPB-2.1.C Plant Detail'!G3575</f>
        <v>45443.08</v>
      </c>
      <c r="M39" s="294">
        <f>'WPB-2.1.C Plant Detail'!G3689</f>
        <v>45443.08</v>
      </c>
      <c r="N39" s="294">
        <f>'WPB-2.1.C Plant Detail'!G3803</f>
        <v>45443.08</v>
      </c>
      <c r="O39" s="294">
        <f>'WPB-2.1.C Plant Detail'!G3917</f>
        <v>45443.08</v>
      </c>
      <c r="P39" s="294">
        <f>'WPB-2.1.C Plant Detail'!G4031</f>
        <v>45443.08</v>
      </c>
      <c r="Q39" s="294">
        <f t="shared" si="2"/>
        <v>45443.08</v>
      </c>
    </row>
    <row r="40" spans="1:17">
      <c r="A40" s="290">
        <f>IF(ISBLANK($B40),"",COUNTA($B$15:B40))</f>
        <v>25</v>
      </c>
      <c r="B40" s="293">
        <v>379.1</v>
      </c>
      <c r="C40" s="220" t="s">
        <v>397</v>
      </c>
      <c r="D40" s="294">
        <f>'WPB-2.1.C Plant Detail'!G2664</f>
        <v>1554144.06</v>
      </c>
      <c r="E40" s="294">
        <f>'WPB-2.1.C Plant Detail'!G2778</f>
        <v>1554144.06</v>
      </c>
      <c r="F40" s="294">
        <f>'WPB-2.1.C Plant Detail'!G2892</f>
        <v>1554144.06</v>
      </c>
      <c r="G40" s="294">
        <f>'WPB-2.1.C Plant Detail'!G3006</f>
        <v>1554144.06</v>
      </c>
      <c r="H40" s="294">
        <f>'WPB-2.1.C Plant Detail'!G3120</f>
        <v>1554144.06</v>
      </c>
      <c r="I40" s="294">
        <f>'WPB-2.1.C Plant Detail'!G3234</f>
        <v>1554144.06</v>
      </c>
      <c r="J40" s="294">
        <f>'WPB-2.1.C Plant Detail'!G3348</f>
        <v>1554144.06</v>
      </c>
      <c r="K40" s="294">
        <f>'WPB-2.1.C Plant Detail'!G3462</f>
        <v>1554144.06</v>
      </c>
      <c r="L40" s="294">
        <f>'WPB-2.1.C Plant Detail'!G3576</f>
        <v>1554144.06</v>
      </c>
      <c r="M40" s="294">
        <f>'WPB-2.1.C Plant Detail'!G3690</f>
        <v>1554144.06</v>
      </c>
      <c r="N40" s="294">
        <f>'WPB-2.1.C Plant Detail'!G3804</f>
        <v>1554144.06</v>
      </c>
      <c r="O40" s="294">
        <f>'WPB-2.1.C Plant Detail'!G3918</f>
        <v>1554144.06</v>
      </c>
      <c r="P40" s="294">
        <f>'WPB-2.1.C Plant Detail'!G4032</f>
        <v>1554144.06</v>
      </c>
      <c r="Q40" s="294">
        <f t="shared" si="2"/>
        <v>1554144.06</v>
      </c>
    </row>
    <row r="41" spans="1:17">
      <c r="A41" s="290">
        <f>IF(ISBLANK($B41),"",COUNTA($B$15:B41))</f>
        <v>26</v>
      </c>
      <c r="B41" s="293">
        <v>380</v>
      </c>
      <c r="C41" s="220" t="s">
        <v>1623</v>
      </c>
      <c r="D41" s="294">
        <f>'WPB-2.1.C Plant Detail'!G2665</f>
        <v>204295634.9057954</v>
      </c>
      <c r="E41" s="294">
        <f>'WPB-2.1.C Plant Detail'!G2779</f>
        <v>204750053.32729536</v>
      </c>
      <c r="F41" s="294">
        <f>'WPB-2.1.C Plant Detail'!G2893</f>
        <v>205095887.18297565</v>
      </c>
      <c r="G41" s="294">
        <f>'WPB-2.1.C Plant Detail'!G3007</f>
        <v>205525066.28634277</v>
      </c>
      <c r="H41" s="294">
        <f>'WPB-2.1.C Plant Detail'!G3121</f>
        <v>205975287.91799474</v>
      </c>
      <c r="I41" s="294">
        <f>'WPB-2.1.C Plant Detail'!G3235</f>
        <v>206484033.26296312</v>
      </c>
      <c r="J41" s="294">
        <f>'WPB-2.1.C Plant Detail'!G3349</f>
        <v>206946332.58534601</v>
      </c>
      <c r="K41" s="294">
        <f>'WPB-2.1.C Plant Detail'!G3463</f>
        <v>207285517.53818429</v>
      </c>
      <c r="L41" s="294">
        <f>'WPB-2.1.C Plant Detail'!G3577</f>
        <v>207786405.9399589</v>
      </c>
      <c r="M41" s="294">
        <f>'WPB-2.1.C Plant Detail'!G3691</f>
        <v>208317115.16721725</v>
      </c>
      <c r="N41" s="294">
        <f>'WPB-2.1.C Plant Detail'!G3805</f>
        <v>208957886.229671</v>
      </c>
      <c r="O41" s="294">
        <f>'WPB-2.1.C Plant Detail'!G3919</f>
        <v>209437802.59337643</v>
      </c>
      <c r="P41" s="294">
        <f>'WPB-2.1.C Plant Detail'!G4033</f>
        <v>210022514.82104781</v>
      </c>
      <c r="Q41" s="294">
        <f t="shared" si="2"/>
        <v>206990733.67370528</v>
      </c>
    </row>
    <row r="42" spans="1:17">
      <c r="A42" s="290">
        <f>IF(ISBLANK($B42),"",COUNTA($B$15:B42))</f>
        <v>27</v>
      </c>
      <c r="B42" s="293">
        <v>381</v>
      </c>
      <c r="C42" s="220" t="s">
        <v>399</v>
      </c>
      <c r="D42" s="294">
        <f>'WPB-2.1.C Plant Detail'!G2666</f>
        <v>20715923.100000005</v>
      </c>
      <c r="E42" s="294">
        <f>'WPB-2.1.C Plant Detail'!G2780</f>
        <v>20792289.560000006</v>
      </c>
      <c r="F42" s="294">
        <f>'WPB-2.1.C Plant Detail'!G2894</f>
        <v>20852420.690000005</v>
      </c>
      <c r="G42" s="294">
        <f>'WPB-2.1.C Plant Detail'!G3008</f>
        <v>20843943.400000006</v>
      </c>
      <c r="H42" s="294">
        <f>'WPB-2.1.C Plant Detail'!G3122</f>
        <v>20650414.890000004</v>
      </c>
      <c r="I42" s="294">
        <f>'WPB-2.1.C Plant Detail'!G3236</f>
        <v>20690553.160000004</v>
      </c>
      <c r="J42" s="294">
        <f>'WPB-2.1.C Plant Detail'!G3350</f>
        <v>20686439.970808242</v>
      </c>
      <c r="K42" s="294">
        <f>'WPB-2.1.C Plant Detail'!G3464</f>
        <v>20704997.62080824</v>
      </c>
      <c r="L42" s="294">
        <f>'WPB-2.1.C Plant Detail'!G3578</f>
        <v>20789443.610808242</v>
      </c>
      <c r="M42" s="294">
        <f>'WPB-2.1.C Plant Detail'!G3692</f>
        <v>20800460.010808241</v>
      </c>
      <c r="N42" s="294">
        <f>'WPB-2.1.C Plant Detail'!G3806</f>
        <v>21037835.170808241</v>
      </c>
      <c r="O42" s="294">
        <f>'WPB-2.1.C Plant Detail'!G3920</f>
        <v>21188941.480808239</v>
      </c>
      <c r="P42" s="294">
        <f>'WPB-2.1.C Plant Detail'!G4034</f>
        <v>21224268.64080824</v>
      </c>
      <c r="Q42" s="294">
        <f t="shared" ref="Q42:Q54" si="3">AVERAGE(D42:P42)</f>
        <v>20844456.254281364</v>
      </c>
    </row>
    <row r="43" spans="1:17">
      <c r="A43" s="290">
        <f>IF(ISBLANK($B43),"",COUNTA($B$15:B43))</f>
        <v>28</v>
      </c>
      <c r="B43" s="293">
        <v>381.1</v>
      </c>
      <c r="C43" s="220" t="s">
        <v>2366</v>
      </c>
      <c r="D43" s="294">
        <f>'WPB-2.1.C Plant Detail'!G2667</f>
        <v>9980854.4800000004</v>
      </c>
      <c r="E43" s="294">
        <f>'WPB-2.1.C Plant Detail'!G2781</f>
        <v>9980854.4800000004</v>
      </c>
      <c r="F43" s="294">
        <f>'WPB-2.1.C Plant Detail'!G2895</f>
        <v>9980854.4800000004</v>
      </c>
      <c r="G43" s="294">
        <f>'WPB-2.1.C Plant Detail'!G3009</f>
        <v>9980854.4800000004</v>
      </c>
      <c r="H43" s="294">
        <f>'WPB-2.1.C Plant Detail'!G3123</f>
        <v>9980854.4800000004</v>
      </c>
      <c r="I43" s="294">
        <f>'WPB-2.1.C Plant Detail'!G3237</f>
        <v>9980854.4800000004</v>
      </c>
      <c r="J43" s="294">
        <f>'WPB-2.1.C Plant Detail'!G3351</f>
        <v>9980854.4800000004</v>
      </c>
      <c r="K43" s="294">
        <f>'WPB-2.1.C Plant Detail'!G3465</f>
        <v>9980854.4800000004</v>
      </c>
      <c r="L43" s="294">
        <f>'WPB-2.1.C Plant Detail'!G3579</f>
        <v>9980854.4800000004</v>
      </c>
      <c r="M43" s="294">
        <f>'WPB-2.1.C Plant Detail'!G3693</f>
        <v>9980854.4800000004</v>
      </c>
      <c r="N43" s="294">
        <f>'WPB-2.1.C Plant Detail'!G3807</f>
        <v>9980854.4800000004</v>
      </c>
      <c r="O43" s="294">
        <f>'WPB-2.1.C Plant Detail'!G3921</f>
        <v>9980854.4800000004</v>
      </c>
      <c r="P43" s="294">
        <f>'WPB-2.1.C Plant Detail'!G4035</f>
        <v>9980854.4800000004</v>
      </c>
      <c r="Q43" s="294">
        <f t="shared" si="3"/>
        <v>9980854.4800000023</v>
      </c>
    </row>
    <row r="44" spans="1:17">
      <c r="A44" s="290">
        <f>IF(ISBLANK($B44),"",COUNTA($B$15:B44))</f>
        <v>29</v>
      </c>
      <c r="B44" s="293">
        <v>382</v>
      </c>
      <c r="C44" s="220" t="s">
        <v>1624</v>
      </c>
      <c r="D44" s="294">
        <f>'WPB-2.1.C Plant Detail'!G2668</f>
        <v>10688170.345473025</v>
      </c>
      <c r="E44" s="294">
        <f>'WPB-2.1.C Plant Detail'!G2782</f>
        <v>10694988.266586928</v>
      </c>
      <c r="F44" s="294">
        <f>'WPB-2.1.C Plant Detail'!G2896</f>
        <v>10701416.16449563</v>
      </c>
      <c r="G44" s="294">
        <f>'WPB-2.1.C Plant Detail'!G3010</f>
        <v>10706962.447551958</v>
      </c>
      <c r="H44" s="294">
        <f>'WPB-2.1.C Plant Detail'!G3124</f>
        <v>10710860.620044764</v>
      </c>
      <c r="I44" s="294">
        <f>'WPB-2.1.C Plant Detail'!G3238</f>
        <v>10714841.020865642</v>
      </c>
      <c r="J44" s="294">
        <f>'WPB-2.1.C Plant Detail'!G3352</f>
        <v>10720331.257893417</v>
      </c>
      <c r="K44" s="294">
        <f>'WPB-2.1.C Plant Detail'!G3466</f>
        <v>10728006.534696452</v>
      </c>
      <c r="L44" s="294">
        <f>'WPB-2.1.C Plant Detail'!G3580</f>
        <v>10740811.241760939</v>
      </c>
      <c r="M44" s="294">
        <f>'WPB-2.1.C Plant Detail'!G3694</f>
        <v>10768431.280970542</v>
      </c>
      <c r="N44" s="294">
        <f>'WPB-2.1.C Plant Detail'!G3808</f>
        <v>10801057.367275443</v>
      </c>
      <c r="O44" s="294">
        <f>'WPB-2.1.C Plant Detail'!G3922</f>
        <v>10819899.482197022</v>
      </c>
      <c r="P44" s="294">
        <f>'WPB-2.1.C Plant Detail'!G4036</f>
        <v>10849081.898008363</v>
      </c>
      <c r="Q44" s="294">
        <f t="shared" si="3"/>
        <v>10741912.148293857</v>
      </c>
    </row>
    <row r="45" spans="1:17">
      <c r="A45" s="290">
        <f>IF(ISBLANK($B45),"",COUNTA($B$15:B45))</f>
        <v>30</v>
      </c>
      <c r="B45" s="293">
        <v>383</v>
      </c>
      <c r="C45" s="220" t="s">
        <v>1625</v>
      </c>
      <c r="D45" s="294">
        <f>'WPB-2.1.C Plant Detail'!G2669</f>
        <v>7572377.154719824</v>
      </c>
      <c r="E45" s="294">
        <f>'WPB-2.1.C Plant Detail'!G2783</f>
        <v>7620172.0024442272</v>
      </c>
      <c r="F45" s="294">
        <f>'WPB-2.1.C Plant Detail'!G2897</f>
        <v>7656195.7522330815</v>
      </c>
      <c r="G45" s="294">
        <f>'WPB-2.1.C Plant Detail'!G3011</f>
        <v>7682498.1126846671</v>
      </c>
      <c r="H45" s="294">
        <f>'WPB-2.1.C Plant Detail'!G3125</f>
        <v>7703610.6608516928</v>
      </c>
      <c r="I45" s="294">
        <f>'WPB-2.1.C Plant Detail'!G3239</f>
        <v>7715296.1357347565</v>
      </c>
      <c r="J45" s="294">
        <f>'WPB-2.1.C Plant Detail'!G3353</f>
        <v>7735108.8245805092</v>
      </c>
      <c r="K45" s="294">
        <f>'WPB-2.1.C Plant Detail'!G3467</f>
        <v>7746438.3246910777</v>
      </c>
      <c r="L45" s="294">
        <f>'WPB-2.1.C Plant Detail'!G3581</f>
        <v>7763447.8901472883</v>
      </c>
      <c r="M45" s="294">
        <f>'WPB-2.1.C Plant Detail'!G3695</f>
        <v>7804776.8193242075</v>
      </c>
      <c r="N45" s="294">
        <f>'WPB-2.1.C Plant Detail'!G3809</f>
        <v>7841242.5985313458</v>
      </c>
      <c r="O45" s="294">
        <f>'WPB-2.1.C Plant Detail'!G3923</f>
        <v>7875623.4871440567</v>
      </c>
      <c r="P45" s="294">
        <f>'WPB-2.1.C Plant Detail'!G4037</f>
        <v>7914231.1389892902</v>
      </c>
      <c r="Q45" s="294">
        <f t="shared" si="3"/>
        <v>7740847.6078520026</v>
      </c>
    </row>
    <row r="46" spans="1:17">
      <c r="A46" s="290">
        <f>IF(ISBLANK($B46),"",COUNTA($B$15:B46))</f>
        <v>31</v>
      </c>
      <c r="B46" s="293">
        <v>384</v>
      </c>
      <c r="C46" s="220" t="s">
        <v>402</v>
      </c>
      <c r="D46" s="294">
        <f>'WPB-2.1.C Plant Detail'!G2670</f>
        <v>2085217.6199999999</v>
      </c>
      <c r="E46" s="294">
        <f>'WPB-2.1.C Plant Detail'!G2784</f>
        <v>2085231.6099999999</v>
      </c>
      <c r="F46" s="294">
        <f>'WPB-2.1.C Plant Detail'!G2898</f>
        <v>2085245.5999999999</v>
      </c>
      <c r="G46" s="294">
        <f>'WPB-2.1.C Plant Detail'!G3012</f>
        <v>2085259.5899999999</v>
      </c>
      <c r="H46" s="294">
        <f>'WPB-2.1.C Plant Detail'!G3126</f>
        <v>2085273.5799999998</v>
      </c>
      <c r="I46" s="294">
        <f>'WPB-2.1.C Plant Detail'!G3240</f>
        <v>2085287.5699999998</v>
      </c>
      <c r="J46" s="294">
        <f>'WPB-2.1.C Plant Detail'!G3354</f>
        <v>2085301.5599999998</v>
      </c>
      <c r="K46" s="294">
        <f>'WPB-2.1.C Plant Detail'!G3468</f>
        <v>2085315.5499999998</v>
      </c>
      <c r="L46" s="294">
        <f>'WPB-2.1.C Plant Detail'!G3582</f>
        <v>2085329.5399999998</v>
      </c>
      <c r="M46" s="294">
        <f>'WPB-2.1.C Plant Detail'!G3696</f>
        <v>2085343.5499999998</v>
      </c>
      <c r="N46" s="294">
        <f>'WPB-2.1.C Plant Detail'!G3810</f>
        <v>2085357.5599999998</v>
      </c>
      <c r="O46" s="294">
        <f>'WPB-2.1.C Plant Detail'!G3924</f>
        <v>2085371.5699999998</v>
      </c>
      <c r="P46" s="294">
        <f>'WPB-2.1.C Plant Detail'!G4038</f>
        <v>2085385.5799999998</v>
      </c>
      <c r="Q46" s="294">
        <f t="shared" si="3"/>
        <v>2085301.5753846152</v>
      </c>
    </row>
    <row r="47" spans="1:17">
      <c r="A47" s="290">
        <f>IF(ISBLANK($B47),"",COUNTA($B$15:B47))</f>
        <v>32</v>
      </c>
      <c r="B47" s="293">
        <v>385</v>
      </c>
      <c r="C47" s="220" t="s">
        <v>403</v>
      </c>
      <c r="D47" s="294">
        <f>'WPB-2.1.C Plant Detail'!G2671</f>
        <v>6248645.1399999997</v>
      </c>
      <c r="E47" s="294">
        <f>'WPB-2.1.C Plant Detail'!G2785</f>
        <v>6245635.7299999995</v>
      </c>
      <c r="F47" s="294">
        <f>'WPB-2.1.C Plant Detail'!G2899</f>
        <v>6248140.9499999993</v>
      </c>
      <c r="G47" s="294">
        <f>'WPB-2.1.C Plant Detail'!G3013</f>
        <v>6281229.7599999998</v>
      </c>
      <c r="H47" s="294">
        <f>'WPB-2.1.C Plant Detail'!G3127</f>
        <v>6365023.5199999996</v>
      </c>
      <c r="I47" s="294">
        <f>'WPB-2.1.C Plant Detail'!G3241</f>
        <v>6366032.5399999991</v>
      </c>
      <c r="J47" s="294">
        <f>'WPB-2.1.C Plant Detail'!G3355</f>
        <v>6374411.7899999991</v>
      </c>
      <c r="K47" s="294">
        <f>'WPB-2.1.C Plant Detail'!G3469</f>
        <v>6367986.5199999986</v>
      </c>
      <c r="L47" s="294">
        <f>'WPB-2.1.C Plant Detail'!G3583</f>
        <v>6432713.0899999989</v>
      </c>
      <c r="M47" s="294">
        <f>'WPB-2.1.C Plant Detail'!G3697</f>
        <v>6436181.5099999988</v>
      </c>
      <c r="N47" s="294">
        <f>'WPB-2.1.C Plant Detail'!G3811</f>
        <v>6434500.4299999988</v>
      </c>
      <c r="O47" s="294">
        <f>'WPB-2.1.C Plant Detail'!G3925</f>
        <v>6436993.0599999987</v>
      </c>
      <c r="P47" s="294">
        <f>'WPB-2.1.C Plant Detail'!G4039</f>
        <v>6485592.9399999985</v>
      </c>
      <c r="Q47" s="294">
        <f t="shared" si="3"/>
        <v>6363314.383076922</v>
      </c>
    </row>
    <row r="48" spans="1:17">
      <c r="A48" s="290">
        <f>IF(ISBLANK($B48),"",COUNTA($B$15:B48))</f>
        <v>33</v>
      </c>
      <c r="B48" s="293">
        <v>387.2</v>
      </c>
      <c r="C48" s="220" t="s">
        <v>404</v>
      </c>
      <c r="D48" s="294">
        <f>'WPB-2.1.C Plant Detail'!G2672</f>
        <v>0</v>
      </c>
      <c r="E48" s="294">
        <f>'WPB-2.1.C Plant Detail'!G2786</f>
        <v>0</v>
      </c>
      <c r="F48" s="294">
        <f>'WPB-2.1.C Plant Detail'!G2900</f>
        <v>0</v>
      </c>
      <c r="G48" s="294">
        <f>'WPB-2.1.C Plant Detail'!G3014</f>
        <v>0</v>
      </c>
      <c r="H48" s="294">
        <f>'WPB-2.1.C Plant Detail'!G3128</f>
        <v>0</v>
      </c>
      <c r="I48" s="294">
        <f>'WPB-2.1.C Plant Detail'!G3242</f>
        <v>0</v>
      </c>
      <c r="J48" s="294">
        <f>'WPB-2.1.C Plant Detail'!G3356</f>
        <v>0</v>
      </c>
      <c r="K48" s="294">
        <f>'WPB-2.1.C Plant Detail'!G3470</f>
        <v>0</v>
      </c>
      <c r="L48" s="294">
        <f>'WPB-2.1.C Plant Detail'!G3584</f>
        <v>0</v>
      </c>
      <c r="M48" s="294">
        <f>'WPB-2.1.C Plant Detail'!G3698</f>
        <v>0</v>
      </c>
      <c r="N48" s="294">
        <f>'WPB-2.1.C Plant Detail'!G3812</f>
        <v>0</v>
      </c>
      <c r="O48" s="294">
        <f>'WPB-2.1.C Plant Detail'!G3926</f>
        <v>0</v>
      </c>
      <c r="P48" s="294">
        <f>'WPB-2.1.C Plant Detail'!G4040</f>
        <v>0</v>
      </c>
      <c r="Q48" s="294">
        <f t="shared" si="3"/>
        <v>0</v>
      </c>
    </row>
    <row r="49" spans="1:17">
      <c r="A49" s="290">
        <f>IF(ISBLANK($B49),"",COUNTA($B$15:B49))</f>
        <v>34</v>
      </c>
      <c r="B49" s="293">
        <v>387.41</v>
      </c>
      <c r="C49" s="220" t="s">
        <v>405</v>
      </c>
      <c r="D49" s="294">
        <f>'WPB-2.1.C Plant Detail'!G2673</f>
        <v>260538.46000000008</v>
      </c>
      <c r="E49" s="294">
        <f>'WPB-2.1.C Plant Detail'!G2787</f>
        <v>260538.46000000008</v>
      </c>
      <c r="F49" s="294">
        <f>'WPB-2.1.C Plant Detail'!G2901</f>
        <v>260538.46000000008</v>
      </c>
      <c r="G49" s="294">
        <f>'WPB-2.1.C Plant Detail'!G3015</f>
        <v>260538.46000000008</v>
      </c>
      <c r="H49" s="294">
        <f>'WPB-2.1.C Plant Detail'!G3129</f>
        <v>260538.46000000008</v>
      </c>
      <c r="I49" s="294">
        <f>'WPB-2.1.C Plant Detail'!G3243</f>
        <v>260538.46000000008</v>
      </c>
      <c r="J49" s="294">
        <f>'WPB-2.1.C Plant Detail'!G3357</f>
        <v>260538.46000000008</v>
      </c>
      <c r="K49" s="294">
        <f>'WPB-2.1.C Plant Detail'!G3471</f>
        <v>260538.46000000008</v>
      </c>
      <c r="L49" s="294">
        <f>'WPB-2.1.C Plant Detail'!G3585</f>
        <v>260538.46000000008</v>
      </c>
      <c r="M49" s="294">
        <f>'WPB-2.1.C Plant Detail'!G3699</f>
        <v>260538.46000000008</v>
      </c>
      <c r="N49" s="294">
        <f>'WPB-2.1.C Plant Detail'!G3813</f>
        <v>260538.46000000008</v>
      </c>
      <c r="O49" s="294">
        <f>'WPB-2.1.C Plant Detail'!G3927</f>
        <v>260538.46000000008</v>
      </c>
      <c r="P49" s="294">
        <f>'WPB-2.1.C Plant Detail'!G4041</f>
        <v>260538.46000000008</v>
      </c>
      <c r="Q49" s="294">
        <f t="shared" si="3"/>
        <v>260538.46</v>
      </c>
    </row>
    <row r="50" spans="1:17">
      <c r="A50" s="290">
        <f>IF(ISBLANK($B50),"",COUNTA($B$15:B50))</f>
        <v>35</v>
      </c>
      <c r="B50" s="293">
        <v>387.42</v>
      </c>
      <c r="C50" s="220" t="s">
        <v>406</v>
      </c>
      <c r="D50" s="294">
        <f>'WPB-2.1.C Plant Detail'!G2674</f>
        <v>419367.40000000008</v>
      </c>
      <c r="E50" s="294">
        <f>'WPB-2.1.C Plant Detail'!G2788</f>
        <v>419367.40000000008</v>
      </c>
      <c r="F50" s="294">
        <f>'WPB-2.1.C Plant Detail'!G2902</f>
        <v>419367.40000000008</v>
      </c>
      <c r="G50" s="294">
        <f>'WPB-2.1.C Plant Detail'!G3016</f>
        <v>419367.40000000008</v>
      </c>
      <c r="H50" s="294">
        <f>'WPB-2.1.C Plant Detail'!G3130</f>
        <v>419367.40000000008</v>
      </c>
      <c r="I50" s="294">
        <f>'WPB-2.1.C Plant Detail'!G3244</f>
        <v>419367.40000000008</v>
      </c>
      <c r="J50" s="294">
        <f>'WPB-2.1.C Plant Detail'!G3358</f>
        <v>419367.40000000008</v>
      </c>
      <c r="K50" s="294">
        <f>'WPB-2.1.C Plant Detail'!G3472</f>
        <v>419367.40000000008</v>
      </c>
      <c r="L50" s="294">
        <f>'WPB-2.1.C Plant Detail'!G3586</f>
        <v>419367.40000000008</v>
      </c>
      <c r="M50" s="294">
        <f>'WPB-2.1.C Plant Detail'!G3700</f>
        <v>419367.40000000008</v>
      </c>
      <c r="N50" s="294">
        <f>'WPB-2.1.C Plant Detail'!G3814</f>
        <v>419367.40000000008</v>
      </c>
      <c r="O50" s="294">
        <f>'WPB-2.1.C Plant Detail'!G3928</f>
        <v>419367.40000000008</v>
      </c>
      <c r="P50" s="294">
        <f>'WPB-2.1.C Plant Detail'!G4042</f>
        <v>419367.40000000008</v>
      </c>
      <c r="Q50" s="294">
        <f t="shared" si="3"/>
        <v>419367.40000000008</v>
      </c>
    </row>
    <row r="51" spans="1:17">
      <c r="A51" s="290">
        <f>IF(ISBLANK($B51),"",COUNTA($B$15:B51))</f>
        <v>36</v>
      </c>
      <c r="B51" s="293">
        <v>387.44</v>
      </c>
      <c r="C51" s="220" t="s">
        <v>407</v>
      </c>
      <c r="D51" s="294">
        <f>'WPB-2.1.C Plant Detail'!G2675</f>
        <v>124678.76000000001</v>
      </c>
      <c r="E51" s="294">
        <f>'WPB-2.1.C Plant Detail'!G2789</f>
        <v>124678.76000000001</v>
      </c>
      <c r="F51" s="294">
        <f>'WPB-2.1.C Plant Detail'!G2903</f>
        <v>124678.76000000001</v>
      </c>
      <c r="G51" s="294">
        <f>'WPB-2.1.C Plant Detail'!G3017</f>
        <v>124678.76000000001</v>
      </c>
      <c r="H51" s="294">
        <f>'WPB-2.1.C Plant Detail'!G3131</f>
        <v>124678.76000000001</v>
      </c>
      <c r="I51" s="294">
        <f>'WPB-2.1.C Plant Detail'!G3245</f>
        <v>124678.76000000001</v>
      </c>
      <c r="J51" s="294">
        <f>'WPB-2.1.C Plant Detail'!G3359</f>
        <v>124678.76000000001</v>
      </c>
      <c r="K51" s="294">
        <f>'WPB-2.1.C Plant Detail'!G3473</f>
        <v>124678.76000000001</v>
      </c>
      <c r="L51" s="294">
        <f>'WPB-2.1.C Plant Detail'!G3587</f>
        <v>124678.76000000001</v>
      </c>
      <c r="M51" s="294">
        <f>'WPB-2.1.C Plant Detail'!G3701</f>
        <v>124678.76000000001</v>
      </c>
      <c r="N51" s="294">
        <f>'WPB-2.1.C Plant Detail'!G3815</f>
        <v>124678.76000000001</v>
      </c>
      <c r="O51" s="294">
        <f>'WPB-2.1.C Plant Detail'!G3929</f>
        <v>124678.76000000001</v>
      </c>
      <c r="P51" s="294">
        <f>'WPB-2.1.C Plant Detail'!G4043</f>
        <v>124678.76000000001</v>
      </c>
      <c r="Q51" s="294">
        <f t="shared" si="3"/>
        <v>124678.76000000001</v>
      </c>
    </row>
    <row r="52" spans="1:17">
      <c r="A52" s="290">
        <f>IF(ISBLANK($B52),"",COUNTA($B$15:B52))</f>
        <v>37</v>
      </c>
      <c r="B52" s="293">
        <v>387.45</v>
      </c>
      <c r="C52" s="220" t="s">
        <v>408</v>
      </c>
      <c r="D52" s="294">
        <f>'WPB-2.1.C Plant Detail'!G2676</f>
        <v>6431312.1100000022</v>
      </c>
      <c r="E52" s="294">
        <f>'WPB-2.1.C Plant Detail'!G2790</f>
        <v>6438397.5100000026</v>
      </c>
      <c r="F52" s="294">
        <f>'WPB-2.1.C Plant Detail'!G2904</f>
        <v>6404056.6700000027</v>
      </c>
      <c r="G52" s="294">
        <f>'WPB-2.1.C Plant Detail'!G3018</f>
        <v>6413425.700000003</v>
      </c>
      <c r="H52" s="294">
        <f>'WPB-2.1.C Plant Detail'!G3132</f>
        <v>6318046.2300000032</v>
      </c>
      <c r="I52" s="294">
        <f>'WPB-2.1.C Plant Detail'!G3246</f>
        <v>6244946.1900000032</v>
      </c>
      <c r="J52" s="294">
        <f>'WPB-2.1.C Plant Detail'!G3360</f>
        <v>6247558.8800000036</v>
      </c>
      <c r="K52" s="294">
        <f>'WPB-2.1.C Plant Detail'!G3474</f>
        <v>6456578.1800000034</v>
      </c>
      <c r="L52" s="294">
        <f>'WPB-2.1.C Plant Detail'!G3588</f>
        <v>6623338.1300000036</v>
      </c>
      <c r="M52" s="294">
        <f>'WPB-2.1.C Plant Detail'!G3702</f>
        <v>6744675.6100000041</v>
      </c>
      <c r="N52" s="294">
        <f>'WPB-2.1.C Plant Detail'!G3816</f>
        <v>6708887.7600000044</v>
      </c>
      <c r="O52" s="294">
        <f>'WPB-2.1.C Plant Detail'!G3930</f>
        <v>6763606.2200000044</v>
      </c>
      <c r="P52" s="294">
        <f>'WPB-2.1.C Plant Detail'!G4044</f>
        <v>7122391.6700000046</v>
      </c>
      <c r="Q52" s="294">
        <f t="shared" si="3"/>
        <v>6532093.9123076955</v>
      </c>
    </row>
    <row r="53" spans="1:17">
      <c r="A53" s="290">
        <f>IF(ISBLANK($B53),"",COUNTA($B$15:B53))</f>
        <v>38</v>
      </c>
      <c r="B53" s="293">
        <v>387.46</v>
      </c>
      <c r="C53" s="220" t="s">
        <v>409</v>
      </c>
      <c r="D53" s="294">
        <f>'WPB-2.1.C Plant Detail'!G2677</f>
        <v>113644.47</v>
      </c>
      <c r="E53" s="294">
        <f>'WPB-2.1.C Plant Detail'!G2791</f>
        <v>113644.47</v>
      </c>
      <c r="F53" s="294">
        <f>'WPB-2.1.C Plant Detail'!G2905</f>
        <v>113644.47</v>
      </c>
      <c r="G53" s="294">
        <f>'WPB-2.1.C Plant Detail'!G3019</f>
        <v>113644.47</v>
      </c>
      <c r="H53" s="294">
        <f>'WPB-2.1.C Plant Detail'!G3133</f>
        <v>113644.47</v>
      </c>
      <c r="I53" s="294">
        <f>'WPB-2.1.C Plant Detail'!G3247</f>
        <v>113644.47</v>
      </c>
      <c r="J53" s="294">
        <f>'WPB-2.1.C Plant Detail'!G3361</f>
        <v>113644.47</v>
      </c>
      <c r="K53" s="294">
        <f>'WPB-2.1.C Plant Detail'!G3475</f>
        <v>113644.47</v>
      </c>
      <c r="L53" s="294">
        <f>'WPB-2.1.C Plant Detail'!G3589</f>
        <v>113644.47</v>
      </c>
      <c r="M53" s="294">
        <f>'WPB-2.1.C Plant Detail'!G3703</f>
        <v>113644.47</v>
      </c>
      <c r="N53" s="294">
        <f>'WPB-2.1.C Plant Detail'!G3817</f>
        <v>113644.47</v>
      </c>
      <c r="O53" s="294">
        <f>'WPB-2.1.C Plant Detail'!G3931</f>
        <v>113644.47</v>
      </c>
      <c r="P53" s="294">
        <f>'WPB-2.1.C Plant Detail'!G4045</f>
        <v>113644.47</v>
      </c>
      <c r="Q53" s="294">
        <f t="shared" si="3"/>
        <v>113644.46999999999</v>
      </c>
    </row>
    <row r="54" spans="1:17">
      <c r="A54" s="290">
        <f>IF(ISBLANK($B54),"",COUNTA($B$15:B54))</f>
        <v>39</v>
      </c>
      <c r="B54" s="293">
        <v>387.5</v>
      </c>
      <c r="C54" s="220" t="s">
        <v>1075</v>
      </c>
      <c r="D54" s="906">
        <f>'WPB-2.1.C Plant Detail'!G2678</f>
        <v>238072.69</v>
      </c>
      <c r="E54" s="906">
        <f>'WPB-2.1.C Plant Detail'!G2792</f>
        <v>238072.69</v>
      </c>
      <c r="F54" s="906">
        <f>'WPB-2.1.C Plant Detail'!G2906</f>
        <v>238072.69</v>
      </c>
      <c r="G54" s="906">
        <f>'WPB-2.1.C Plant Detail'!G3020</f>
        <v>238072.69</v>
      </c>
      <c r="H54" s="906">
        <f>'WPB-2.1.C Plant Detail'!G3134</f>
        <v>238072.69</v>
      </c>
      <c r="I54" s="906">
        <f>'WPB-2.1.C Plant Detail'!G3248</f>
        <v>238072.69</v>
      </c>
      <c r="J54" s="906">
        <f>'WPB-2.1.C Plant Detail'!G3362</f>
        <v>238072.69</v>
      </c>
      <c r="K54" s="906">
        <f>'WPB-2.1.C Plant Detail'!G3476</f>
        <v>238072.69</v>
      </c>
      <c r="L54" s="906">
        <f>'WPB-2.1.C Plant Detail'!G3590</f>
        <v>238072.69</v>
      </c>
      <c r="M54" s="906">
        <f>'WPB-2.1.C Plant Detail'!G3704</f>
        <v>238072.69</v>
      </c>
      <c r="N54" s="906">
        <f>'WPB-2.1.C Plant Detail'!G3818</f>
        <v>238072.69</v>
      </c>
      <c r="O54" s="906">
        <f>'WPB-2.1.C Plant Detail'!G3932</f>
        <v>238072.69</v>
      </c>
      <c r="P54" s="906">
        <f>'WPB-2.1.C Plant Detail'!G4046</f>
        <v>238072.69</v>
      </c>
      <c r="Q54" s="906">
        <f t="shared" si="3"/>
        <v>238072.68999999997</v>
      </c>
    </row>
    <row r="55" spans="1:17">
      <c r="A55" s="290">
        <f>IF(ISBLANK($B55),"",COUNTA($B$15:B55))</f>
        <v>40</v>
      </c>
      <c r="B55" s="303" t="s">
        <v>1601</v>
      </c>
      <c r="D55" s="294">
        <f t="shared" ref="D55:Q55" si="4">SUM(D25:D41,D42:D54)</f>
        <v>740792708.42237198</v>
      </c>
      <c r="E55" s="294">
        <f t="shared" si="4"/>
        <v>741384567.99312091</v>
      </c>
      <c r="F55" s="294">
        <f t="shared" si="4"/>
        <v>742320365.23235226</v>
      </c>
      <c r="G55" s="294">
        <f t="shared" si="4"/>
        <v>743309349.77000475</v>
      </c>
      <c r="H55" s="294">
        <f t="shared" si="4"/>
        <v>744043032.58929944</v>
      </c>
      <c r="I55" s="294">
        <f t="shared" si="4"/>
        <v>747023599.97402203</v>
      </c>
      <c r="J55" s="294">
        <f t="shared" si="4"/>
        <v>747940172.28317797</v>
      </c>
      <c r="K55" s="294">
        <f t="shared" si="4"/>
        <v>750015066.99877512</v>
      </c>
      <c r="L55" s="294">
        <f t="shared" si="4"/>
        <v>751061869.88545942</v>
      </c>
      <c r="M55" s="294">
        <f t="shared" si="4"/>
        <v>752699119.28322411</v>
      </c>
      <c r="N55" s="294">
        <f t="shared" si="4"/>
        <v>754170561.89311457</v>
      </c>
      <c r="O55" s="294">
        <f t="shared" si="4"/>
        <v>754766361.08778667</v>
      </c>
      <c r="P55" s="294">
        <f t="shared" si="4"/>
        <v>758901457.03224564</v>
      </c>
      <c r="Q55" s="294">
        <f t="shared" si="4"/>
        <v>748340633.26499641</v>
      </c>
    </row>
    <row r="56" spans="1:17">
      <c r="C56" s="304"/>
    </row>
    <row r="57" spans="1:17">
      <c r="A57" s="1308" t="str">
        <f>'General Headers Index'!B4</f>
        <v>COLUMBIA GAS OF KENTUCKY, INC.</v>
      </c>
      <c r="B57" s="1308"/>
      <c r="C57" s="1308"/>
      <c r="D57" s="1308"/>
      <c r="E57" s="1308"/>
      <c r="F57" s="1308"/>
      <c r="G57" s="1308"/>
      <c r="H57" s="1308"/>
      <c r="I57" s="1308"/>
      <c r="J57" s="1308"/>
      <c r="K57" s="1308"/>
      <c r="L57" s="1308"/>
      <c r="M57" s="1308"/>
      <c r="N57" s="1308"/>
      <c r="O57" s="1308"/>
      <c r="P57" s="1308"/>
      <c r="Q57" s="1308"/>
    </row>
    <row r="58" spans="1:17">
      <c r="A58" s="1308" t="str">
        <f>'General Headers Index'!B6</f>
        <v>CASE NO. 2024 - 00092</v>
      </c>
      <c r="B58" s="1308"/>
      <c r="C58" s="1308"/>
      <c r="D58" s="1308"/>
      <c r="E58" s="1308"/>
      <c r="F58" s="1308"/>
      <c r="G58" s="1308"/>
      <c r="H58" s="1308"/>
      <c r="I58" s="1308"/>
      <c r="J58" s="1308"/>
      <c r="K58" s="1308"/>
      <c r="L58" s="1308"/>
      <c r="M58" s="1308"/>
      <c r="N58" s="1308"/>
      <c r="O58" s="1308"/>
      <c r="P58" s="1308"/>
      <c r="Q58" s="1308"/>
    </row>
    <row r="59" spans="1:17">
      <c r="A59" s="1308" t="s">
        <v>1035</v>
      </c>
      <c r="B59" s="1308"/>
      <c r="C59" s="1308"/>
      <c r="D59" s="1308"/>
      <c r="E59" s="1308"/>
      <c r="F59" s="1308"/>
      <c r="G59" s="1308"/>
      <c r="H59" s="1308"/>
      <c r="I59" s="1308"/>
      <c r="J59" s="1308"/>
      <c r="K59" s="1308"/>
      <c r="L59" s="1308"/>
      <c r="M59" s="1308"/>
      <c r="N59" s="1308"/>
      <c r="O59" s="1308"/>
      <c r="P59" s="1308"/>
      <c r="Q59" s="1308"/>
    </row>
    <row r="60" spans="1:17">
      <c r="A60" s="1309" t="str">
        <f>A4</f>
        <v>FORECASTED TEST PERIOD 12/31/2024 to 12/31/2025</v>
      </c>
      <c r="B60" s="1308"/>
      <c r="C60" s="1308"/>
      <c r="D60" s="1308"/>
      <c r="E60" s="1308"/>
      <c r="F60" s="1308"/>
      <c r="G60" s="1308"/>
      <c r="H60" s="1308"/>
      <c r="I60" s="1308"/>
      <c r="J60" s="1308"/>
      <c r="K60" s="1308"/>
      <c r="L60" s="1308"/>
      <c r="M60" s="1308"/>
      <c r="N60" s="1308"/>
      <c r="O60" s="1308"/>
      <c r="P60" s="1308"/>
      <c r="Q60" s="1308"/>
    </row>
    <row r="61" spans="1:17">
      <c r="F61" s="295"/>
      <c r="Q61" s="296" t="str">
        <f>Q6</f>
        <v>WPB-2.1.A</v>
      </c>
    </row>
    <row r="62" spans="1:17">
      <c r="A62" s="297" t="str">
        <f>A7</f>
        <v xml:space="preserve">DATA: ___ BASE PERIOD __X__ FORECASTED PERIOD     </v>
      </c>
      <c r="L62" s="304"/>
      <c r="Q62" s="296" t="s">
        <v>287</v>
      </c>
    </row>
    <row r="63" spans="1:17">
      <c r="A63" s="297" t="str">
        <f>'General Headers Index'!B37</f>
        <v>TYPE OF FILING:___X___ORIGINAL______UPDATED</v>
      </c>
      <c r="L63" s="304"/>
      <c r="Q63" s="296" t="str">
        <f>Q8</f>
        <v>WITNESS: GORE</v>
      </c>
    </row>
    <row r="64" spans="1:17">
      <c r="A64" s="899"/>
      <c r="B64" s="900"/>
      <c r="C64" s="901"/>
      <c r="D64" s="909"/>
      <c r="E64" s="909"/>
      <c r="F64" s="906"/>
      <c r="G64" s="906"/>
      <c r="H64" s="906"/>
      <c r="I64" s="906"/>
      <c r="J64" s="906"/>
      <c r="K64" s="906"/>
      <c r="L64" s="912"/>
      <c r="M64" s="906"/>
      <c r="N64" s="906"/>
      <c r="O64" s="906"/>
      <c r="P64" s="906"/>
      <c r="Q64" s="906"/>
    </row>
    <row r="65" spans="1:17">
      <c r="A65" s="297" t="s">
        <v>313</v>
      </c>
      <c r="B65" s="298" t="s">
        <v>368</v>
      </c>
      <c r="C65" s="290"/>
      <c r="F65" s="295"/>
      <c r="H65" s="295"/>
      <c r="L65" s="295"/>
      <c r="N65" s="295"/>
      <c r="Q65" s="305" t="s">
        <v>352</v>
      </c>
    </row>
    <row r="66" spans="1:17">
      <c r="A66" s="903" t="s">
        <v>316</v>
      </c>
      <c r="B66" s="904" t="s">
        <v>316</v>
      </c>
      <c r="C66" s="885" t="s">
        <v>451</v>
      </c>
      <c r="D66" s="913">
        <f t="shared" ref="D66:P66" si="5">D11</f>
        <v>45657</v>
      </c>
      <c r="E66" s="898" t="str">
        <f t="shared" si="5"/>
        <v>01/31/2025</v>
      </c>
      <c r="F66" s="898" t="str">
        <f t="shared" si="5"/>
        <v>02/28/2025</v>
      </c>
      <c r="G66" s="898" t="str">
        <f t="shared" si="5"/>
        <v>03/31/2025</v>
      </c>
      <c r="H66" s="898" t="str">
        <f t="shared" si="5"/>
        <v>04/30/2025</v>
      </c>
      <c r="I66" s="898" t="str">
        <f t="shared" si="5"/>
        <v>05/31/2025</v>
      </c>
      <c r="J66" s="898" t="str">
        <f t="shared" si="5"/>
        <v>06/30/2025</v>
      </c>
      <c r="K66" s="898" t="str">
        <f t="shared" si="5"/>
        <v>07/31/2025</v>
      </c>
      <c r="L66" s="898" t="str">
        <f t="shared" si="5"/>
        <v>08/31/2025</v>
      </c>
      <c r="M66" s="898" t="str">
        <f t="shared" si="5"/>
        <v>09/30/2025</v>
      </c>
      <c r="N66" s="898" t="str">
        <f t="shared" si="5"/>
        <v>10/31/2025</v>
      </c>
      <c r="O66" s="898" t="str">
        <f t="shared" si="5"/>
        <v>11/30/2025</v>
      </c>
      <c r="P66" s="898" t="str">
        <f t="shared" si="5"/>
        <v>12/31/2025</v>
      </c>
      <c r="Q66" s="898" t="s">
        <v>312</v>
      </c>
    </row>
    <row r="67" spans="1:17">
      <c r="A67" s="290"/>
      <c r="B67" s="298"/>
      <c r="C67" s="290"/>
      <c r="D67" s="300" t="s">
        <v>532</v>
      </c>
      <c r="E67" s="300" t="s">
        <v>541</v>
      </c>
      <c r="F67" s="300" t="s">
        <v>542</v>
      </c>
      <c r="G67" s="300" t="s">
        <v>668</v>
      </c>
      <c r="H67" s="300" t="s">
        <v>669</v>
      </c>
      <c r="I67" s="300" t="s">
        <v>670</v>
      </c>
      <c r="J67" s="300" t="s">
        <v>984</v>
      </c>
      <c r="K67" s="300" t="s">
        <v>985</v>
      </c>
      <c r="L67" s="300" t="s">
        <v>986</v>
      </c>
      <c r="M67" s="300" t="s">
        <v>987</v>
      </c>
      <c r="N67" s="300" t="s">
        <v>988</v>
      </c>
      <c r="O67" s="300" t="s">
        <v>989</v>
      </c>
      <c r="P67" s="300" t="s">
        <v>990</v>
      </c>
      <c r="Q67" s="300" t="s">
        <v>991</v>
      </c>
    </row>
    <row r="68" spans="1:17">
      <c r="D68" s="295" t="s">
        <v>320</v>
      </c>
      <c r="E68" s="295" t="s">
        <v>320</v>
      </c>
      <c r="F68" s="295" t="s">
        <v>320</v>
      </c>
      <c r="G68" s="295" t="s">
        <v>320</v>
      </c>
      <c r="H68" s="295" t="s">
        <v>320</v>
      </c>
      <c r="I68" s="295" t="s">
        <v>320</v>
      </c>
      <c r="J68" s="295" t="s">
        <v>320</v>
      </c>
      <c r="K68" s="295" t="s">
        <v>320</v>
      </c>
      <c r="L68" s="295" t="s">
        <v>320</v>
      </c>
      <c r="M68" s="295" t="s">
        <v>320</v>
      </c>
      <c r="N68" s="295" t="s">
        <v>320</v>
      </c>
      <c r="O68" s="295" t="s">
        <v>320</v>
      </c>
      <c r="P68" s="295" t="s">
        <v>320</v>
      </c>
      <c r="Q68" s="295" t="s">
        <v>320</v>
      </c>
    </row>
    <row r="70" spans="1:17">
      <c r="A70" s="290">
        <v>1</v>
      </c>
      <c r="B70" s="505" t="s">
        <v>411</v>
      </c>
      <c r="C70" s="302"/>
      <c r="H70" s="304"/>
      <c r="L70" s="304"/>
    </row>
    <row r="71" spans="1:17">
      <c r="A71" s="290">
        <f>A70+1</f>
        <v>2</v>
      </c>
      <c r="B71" s="293">
        <v>391.1</v>
      </c>
      <c r="C71" s="220" t="s">
        <v>412</v>
      </c>
      <c r="D71" s="294">
        <f>'WPB-2.1.C Plant Detail'!G2699</f>
        <v>921741.33000000007</v>
      </c>
      <c r="E71" s="294">
        <f>'WPB-2.1.C Plant Detail'!G2813</f>
        <v>921741.33000000007</v>
      </c>
      <c r="F71" s="294">
        <f>'WPB-2.1.C Plant Detail'!G2927</f>
        <v>921741.33000000007</v>
      </c>
      <c r="G71" s="294">
        <f>'WPB-2.1.C Plant Detail'!G3041</f>
        <v>921741.33000000007</v>
      </c>
      <c r="H71" s="294">
        <f>'WPB-2.1.C Plant Detail'!G3155</f>
        <v>921741.33000000007</v>
      </c>
      <c r="I71" s="294">
        <f>'WPB-2.1.C Plant Detail'!G3269</f>
        <v>921741.33000000007</v>
      </c>
      <c r="J71" s="294">
        <f>'WPB-2.1.C Plant Detail'!G3383</f>
        <v>921741.33000000007</v>
      </c>
      <c r="K71" s="294">
        <f>'WPB-2.1.C Plant Detail'!G3497</f>
        <v>921741.33000000007</v>
      </c>
      <c r="L71" s="294">
        <f>'WPB-2.1.C Plant Detail'!G3611</f>
        <v>921741.33000000007</v>
      </c>
      <c r="M71" s="294">
        <f>'WPB-2.1.C Plant Detail'!G3725</f>
        <v>921741.33000000007</v>
      </c>
      <c r="N71" s="294">
        <f>'WPB-2.1.C Plant Detail'!G3839</f>
        <v>921741.33000000007</v>
      </c>
      <c r="O71" s="294">
        <f>'WPB-2.1.C Plant Detail'!G3953</f>
        <v>921741.33000000007</v>
      </c>
      <c r="P71" s="294">
        <f>'WPB-2.1.C Plant Detail'!G4067</f>
        <v>921741.33000000007</v>
      </c>
      <c r="Q71" s="294">
        <f>AVERAGE(D71:P71)</f>
        <v>921741.33000000007</v>
      </c>
    </row>
    <row r="72" spans="1:17">
      <c r="A72" s="290">
        <f t="shared" ref="A72:A85" si="6">A71+1</f>
        <v>3</v>
      </c>
      <c r="B72" s="293">
        <v>391.11</v>
      </c>
      <c r="C72" s="220" t="s">
        <v>413</v>
      </c>
      <c r="D72" s="294">
        <f>'WPB-2.1.C Plant Detail'!G2700</f>
        <v>0</v>
      </c>
      <c r="E72" s="294">
        <f>'WPB-2.1.C Plant Detail'!G2814</f>
        <v>0</v>
      </c>
      <c r="F72" s="294">
        <f>'WPB-2.1.C Plant Detail'!G2928</f>
        <v>0</v>
      </c>
      <c r="G72" s="294">
        <f>'WPB-2.1.C Plant Detail'!G3042</f>
        <v>0</v>
      </c>
      <c r="H72" s="294">
        <f>'WPB-2.1.C Plant Detail'!G3156</f>
        <v>0</v>
      </c>
      <c r="I72" s="294">
        <f>'WPB-2.1.C Plant Detail'!G3270</f>
        <v>0</v>
      </c>
      <c r="J72" s="294">
        <f>'WPB-2.1.C Plant Detail'!G3384</f>
        <v>0</v>
      </c>
      <c r="K72" s="294">
        <f>'WPB-2.1.C Plant Detail'!G3498</f>
        <v>0</v>
      </c>
      <c r="L72" s="294">
        <f>'WPB-2.1.C Plant Detail'!G3612</f>
        <v>0</v>
      </c>
      <c r="M72" s="294">
        <f>'WPB-2.1.C Plant Detail'!G3726</f>
        <v>0</v>
      </c>
      <c r="N72" s="294">
        <f>'WPB-2.1.C Plant Detail'!G3840</f>
        <v>0</v>
      </c>
      <c r="O72" s="294">
        <f>'WPB-2.1.C Plant Detail'!G3954</f>
        <v>0</v>
      </c>
      <c r="P72" s="294">
        <f>'WPB-2.1.C Plant Detail'!G4068</f>
        <v>0</v>
      </c>
      <c r="Q72" s="294">
        <f t="shared" ref="Q72:Q84" si="7">AVERAGE(D72:P72)</f>
        <v>0</v>
      </c>
    </row>
    <row r="73" spans="1:17">
      <c r="A73" s="290">
        <f t="shared" si="6"/>
        <v>4</v>
      </c>
      <c r="B73" s="293">
        <v>391.12</v>
      </c>
      <c r="C73" s="220" t="s">
        <v>414</v>
      </c>
      <c r="D73" s="294">
        <f>'WPB-2.1.C Plant Detail'!G2701</f>
        <v>37129.580000000009</v>
      </c>
      <c r="E73" s="294">
        <f>'WPB-2.1.C Plant Detail'!G2815</f>
        <v>37129.580000000009</v>
      </c>
      <c r="F73" s="294">
        <f>'WPB-2.1.C Plant Detail'!G2929</f>
        <v>37129.580000000009</v>
      </c>
      <c r="G73" s="294">
        <f>'WPB-2.1.C Plant Detail'!G3043</f>
        <v>37129.580000000009</v>
      </c>
      <c r="H73" s="294">
        <f>'WPB-2.1.C Plant Detail'!G3157</f>
        <v>37129.580000000009</v>
      </c>
      <c r="I73" s="294">
        <f>'WPB-2.1.C Plant Detail'!G3271</f>
        <v>37129.580000000009</v>
      </c>
      <c r="J73" s="294">
        <f>'WPB-2.1.C Plant Detail'!G3385</f>
        <v>37129.580000000009</v>
      </c>
      <c r="K73" s="294">
        <f>'WPB-2.1.C Plant Detail'!G3499</f>
        <v>37129.580000000009</v>
      </c>
      <c r="L73" s="294">
        <f>'WPB-2.1.C Plant Detail'!G3613</f>
        <v>37129.580000000009</v>
      </c>
      <c r="M73" s="294">
        <f>'WPB-2.1.C Plant Detail'!G3727</f>
        <v>37129.580000000009</v>
      </c>
      <c r="N73" s="294">
        <f>'WPB-2.1.C Plant Detail'!G3841</f>
        <v>37129.580000000009</v>
      </c>
      <c r="O73" s="294">
        <f>'WPB-2.1.C Plant Detail'!G3955</f>
        <v>37129.580000000009</v>
      </c>
      <c r="P73" s="294">
        <f>'WPB-2.1.C Plant Detail'!G4069</f>
        <v>37129.580000000009</v>
      </c>
      <c r="Q73" s="294">
        <f t="shared" si="7"/>
        <v>37129.580000000009</v>
      </c>
    </row>
    <row r="74" spans="1:17">
      <c r="A74" s="290">
        <f t="shared" si="6"/>
        <v>5</v>
      </c>
      <c r="B74" s="293">
        <v>392.2</v>
      </c>
      <c r="C74" s="220" t="s">
        <v>524</v>
      </c>
      <c r="D74" s="294">
        <f>'WPB-2.1.C Plant Detail'!G2702</f>
        <v>48924.4</v>
      </c>
      <c r="E74" s="294">
        <f>'WPB-2.1.C Plant Detail'!G2816</f>
        <v>48924.4</v>
      </c>
      <c r="F74" s="294">
        <f>'WPB-2.1.C Plant Detail'!G2930</f>
        <v>48924.4</v>
      </c>
      <c r="G74" s="294">
        <f>'WPB-2.1.C Plant Detail'!G3044</f>
        <v>48924.4</v>
      </c>
      <c r="H74" s="294">
        <f>'WPB-2.1.C Plant Detail'!G3158</f>
        <v>48924.4</v>
      </c>
      <c r="I74" s="294">
        <f>'WPB-2.1.C Plant Detail'!G3272</f>
        <v>48924.4</v>
      </c>
      <c r="J74" s="294">
        <f>'WPB-2.1.C Plant Detail'!G3386</f>
        <v>48924.4</v>
      </c>
      <c r="K74" s="294">
        <f>'WPB-2.1.C Plant Detail'!G3500</f>
        <v>48924.4</v>
      </c>
      <c r="L74" s="294">
        <f>'WPB-2.1.C Plant Detail'!G3614</f>
        <v>48924.4</v>
      </c>
      <c r="M74" s="294">
        <f>'WPB-2.1.C Plant Detail'!G3728</f>
        <v>48924.4</v>
      </c>
      <c r="N74" s="294">
        <f>'WPB-2.1.C Plant Detail'!G3842</f>
        <v>48924.4</v>
      </c>
      <c r="O74" s="294">
        <f>'WPB-2.1.C Plant Detail'!G3956</f>
        <v>48924.4</v>
      </c>
      <c r="P74" s="294">
        <f>'WPB-2.1.C Plant Detail'!G4070</f>
        <v>48924.4</v>
      </c>
      <c r="Q74" s="294">
        <f t="shared" si="7"/>
        <v>48924.400000000016</v>
      </c>
    </row>
    <row r="75" spans="1:17">
      <c r="A75" s="290">
        <f t="shared" si="6"/>
        <v>6</v>
      </c>
      <c r="B75" s="293">
        <v>392.21</v>
      </c>
      <c r="C75" s="220" t="s">
        <v>415</v>
      </c>
      <c r="D75" s="294">
        <f>'WPB-2.1.C Plant Detail'!G2703</f>
        <v>24462.2</v>
      </c>
      <c r="E75" s="294">
        <f>'WPB-2.1.C Plant Detail'!G2817</f>
        <v>24462.2</v>
      </c>
      <c r="F75" s="294">
        <f>'WPB-2.1.C Plant Detail'!G2931</f>
        <v>24462.2</v>
      </c>
      <c r="G75" s="294">
        <f>'WPB-2.1.C Plant Detail'!G3045</f>
        <v>24462.2</v>
      </c>
      <c r="H75" s="294">
        <f>'WPB-2.1.C Plant Detail'!G3159</f>
        <v>24462.2</v>
      </c>
      <c r="I75" s="294">
        <f>'WPB-2.1.C Plant Detail'!G3273</f>
        <v>24462.2</v>
      </c>
      <c r="J75" s="294">
        <f>'WPB-2.1.C Plant Detail'!G3387</f>
        <v>24462.2</v>
      </c>
      <c r="K75" s="294">
        <f>'WPB-2.1.C Plant Detail'!G3501</f>
        <v>24462.2</v>
      </c>
      <c r="L75" s="294">
        <f>'WPB-2.1.C Plant Detail'!G3615</f>
        <v>24462.2</v>
      </c>
      <c r="M75" s="294">
        <f>'WPB-2.1.C Plant Detail'!G3729</f>
        <v>24462.2</v>
      </c>
      <c r="N75" s="294">
        <f>'WPB-2.1.C Plant Detail'!G3843</f>
        <v>24462.2</v>
      </c>
      <c r="O75" s="294">
        <f>'WPB-2.1.C Plant Detail'!G3957</f>
        <v>24462.2</v>
      </c>
      <c r="P75" s="294">
        <f>'WPB-2.1.C Plant Detail'!G4071</f>
        <v>24462.2</v>
      </c>
      <c r="Q75" s="294">
        <f t="shared" si="7"/>
        <v>24462.200000000008</v>
      </c>
    </row>
    <row r="76" spans="1:17">
      <c r="A76" s="290">
        <f t="shared" si="6"/>
        <v>7</v>
      </c>
      <c r="B76" s="293">
        <v>393</v>
      </c>
      <c r="C76" s="220" t="s">
        <v>416</v>
      </c>
      <c r="D76" s="294">
        <f>'WPB-2.1.C Plant Detail'!G2704</f>
        <v>0</v>
      </c>
      <c r="E76" s="294">
        <f>'WPB-2.1.C Plant Detail'!G2818</f>
        <v>0</v>
      </c>
      <c r="F76" s="294">
        <f>'WPB-2.1.C Plant Detail'!G2932</f>
        <v>0</v>
      </c>
      <c r="G76" s="294">
        <f>'WPB-2.1.C Plant Detail'!G3046</f>
        <v>0</v>
      </c>
      <c r="H76" s="294">
        <f>'WPB-2.1.C Plant Detail'!G3160</f>
        <v>0</v>
      </c>
      <c r="I76" s="294">
        <f>'WPB-2.1.C Plant Detail'!G3274</f>
        <v>0</v>
      </c>
      <c r="J76" s="294">
        <f>'WPB-2.1.C Plant Detail'!G3388</f>
        <v>0</v>
      </c>
      <c r="K76" s="294">
        <f>'WPB-2.1.C Plant Detail'!G3502</f>
        <v>0</v>
      </c>
      <c r="L76" s="294">
        <f>'WPB-2.1.C Plant Detail'!G3616</f>
        <v>0</v>
      </c>
      <c r="M76" s="294">
        <f>'WPB-2.1.C Plant Detail'!G3730</f>
        <v>0</v>
      </c>
      <c r="N76" s="294">
        <f>'WPB-2.1.C Plant Detail'!G3844</f>
        <v>0</v>
      </c>
      <c r="O76" s="294">
        <f>'WPB-2.1.C Plant Detail'!G3958</f>
        <v>0</v>
      </c>
      <c r="P76" s="294">
        <f>'WPB-2.1.C Plant Detail'!G4072</f>
        <v>0</v>
      </c>
      <c r="Q76" s="294">
        <f t="shared" si="7"/>
        <v>0</v>
      </c>
    </row>
    <row r="77" spans="1:17">
      <c r="A77" s="290">
        <f t="shared" si="6"/>
        <v>8</v>
      </c>
      <c r="B77" s="293">
        <v>394.1</v>
      </c>
      <c r="C77" s="220" t="s">
        <v>417</v>
      </c>
      <c r="D77" s="294">
        <f>'WPB-2.1.C Plant Detail'!G2705</f>
        <v>9739</v>
      </c>
      <c r="E77" s="294">
        <f>'WPB-2.1.C Plant Detail'!G2819</f>
        <v>9739</v>
      </c>
      <c r="F77" s="294">
        <f>'WPB-2.1.C Plant Detail'!G2933</f>
        <v>9739</v>
      </c>
      <c r="G77" s="294">
        <f>'WPB-2.1.C Plant Detail'!G3047</f>
        <v>9739</v>
      </c>
      <c r="H77" s="294">
        <f>'WPB-2.1.C Plant Detail'!G3161</f>
        <v>9739</v>
      </c>
      <c r="I77" s="294">
        <f>'WPB-2.1.C Plant Detail'!G3275</f>
        <v>9739</v>
      </c>
      <c r="J77" s="294">
        <f>'WPB-2.1.C Plant Detail'!G3389</f>
        <v>9739</v>
      </c>
      <c r="K77" s="294">
        <f>'WPB-2.1.C Plant Detail'!G3503</f>
        <v>9739</v>
      </c>
      <c r="L77" s="294">
        <f>'WPB-2.1.C Plant Detail'!G3617</f>
        <v>9739</v>
      </c>
      <c r="M77" s="294">
        <f>'WPB-2.1.C Plant Detail'!G3731</f>
        <v>9739</v>
      </c>
      <c r="N77" s="294">
        <f>'WPB-2.1.C Plant Detail'!G3845</f>
        <v>9739</v>
      </c>
      <c r="O77" s="294">
        <f>'WPB-2.1.C Plant Detail'!G3959</f>
        <v>9739</v>
      </c>
      <c r="P77" s="294">
        <f>'WPB-2.1.C Plant Detail'!G4073</f>
        <v>9739</v>
      </c>
      <c r="Q77" s="294">
        <f t="shared" si="7"/>
        <v>9739</v>
      </c>
    </row>
    <row r="78" spans="1:17">
      <c r="A78" s="290">
        <f t="shared" si="6"/>
        <v>9</v>
      </c>
      <c r="B78" s="293">
        <v>394.11</v>
      </c>
      <c r="C78" s="220" t="s">
        <v>418</v>
      </c>
      <c r="D78" s="294">
        <f>'WPB-2.1.C Plant Detail'!G2706</f>
        <v>0</v>
      </c>
      <c r="E78" s="294">
        <f>'WPB-2.1.C Plant Detail'!G2820</f>
        <v>0</v>
      </c>
      <c r="F78" s="294">
        <f>'WPB-2.1.C Plant Detail'!G2934</f>
        <v>0</v>
      </c>
      <c r="G78" s="294">
        <f>'WPB-2.1.C Plant Detail'!G3048</f>
        <v>0</v>
      </c>
      <c r="H78" s="294">
        <f>'WPB-2.1.C Plant Detail'!G3162</f>
        <v>0</v>
      </c>
      <c r="I78" s="294">
        <f>'WPB-2.1.C Plant Detail'!G3276</f>
        <v>0</v>
      </c>
      <c r="J78" s="294">
        <f>'WPB-2.1.C Plant Detail'!G3390</f>
        <v>0</v>
      </c>
      <c r="K78" s="294">
        <f>'WPB-2.1.C Plant Detail'!G3504</f>
        <v>0</v>
      </c>
      <c r="L78" s="294">
        <f>'WPB-2.1.C Plant Detail'!G3618</f>
        <v>0</v>
      </c>
      <c r="M78" s="294">
        <f>'WPB-2.1.C Plant Detail'!G3732</f>
        <v>0</v>
      </c>
      <c r="N78" s="294">
        <f>'WPB-2.1.C Plant Detail'!G3846</f>
        <v>0</v>
      </c>
      <c r="O78" s="294">
        <f>'WPB-2.1.C Plant Detail'!G3960</f>
        <v>0</v>
      </c>
      <c r="P78" s="294">
        <f>'WPB-2.1.C Plant Detail'!G4074</f>
        <v>0</v>
      </c>
      <c r="Q78" s="294">
        <f t="shared" si="7"/>
        <v>0</v>
      </c>
    </row>
    <row r="79" spans="1:17">
      <c r="A79" s="290">
        <f t="shared" si="6"/>
        <v>10</v>
      </c>
      <c r="B79" s="293">
        <v>394.13</v>
      </c>
      <c r="C79" s="220" t="s">
        <v>515</v>
      </c>
      <c r="D79" s="294">
        <f>'WPB-2.1.C Plant Detail'!G2707</f>
        <v>0</v>
      </c>
      <c r="E79" s="294">
        <f>'WPB-2.1.C Plant Detail'!G2821</f>
        <v>0</v>
      </c>
      <c r="F79" s="294">
        <f>'WPB-2.1.C Plant Detail'!G2935</f>
        <v>0</v>
      </c>
      <c r="G79" s="294">
        <f>'WPB-2.1.C Plant Detail'!G3049</f>
        <v>0</v>
      </c>
      <c r="H79" s="294">
        <f>'WPB-2.1.C Plant Detail'!G3163</f>
        <v>0</v>
      </c>
      <c r="I79" s="294">
        <f>'WPB-2.1.C Plant Detail'!G3277</f>
        <v>0</v>
      </c>
      <c r="J79" s="294">
        <f>'WPB-2.1.C Plant Detail'!G3391</f>
        <v>0</v>
      </c>
      <c r="K79" s="294">
        <f>'WPB-2.1.C Plant Detail'!G3505</f>
        <v>0</v>
      </c>
      <c r="L79" s="294">
        <f>'WPB-2.1.C Plant Detail'!G3619</f>
        <v>0</v>
      </c>
      <c r="M79" s="294">
        <f>'WPB-2.1.C Plant Detail'!G3733</f>
        <v>0</v>
      </c>
      <c r="N79" s="294">
        <f>'WPB-2.1.C Plant Detail'!G3847</f>
        <v>0</v>
      </c>
      <c r="O79" s="294">
        <f>'WPB-2.1.C Plant Detail'!G3961</f>
        <v>0</v>
      </c>
      <c r="P79" s="294">
        <f>'WPB-2.1.C Plant Detail'!G4075</f>
        <v>0</v>
      </c>
      <c r="Q79" s="294">
        <f t="shared" si="7"/>
        <v>0</v>
      </c>
    </row>
    <row r="80" spans="1:17">
      <c r="A80" s="290">
        <f t="shared" si="6"/>
        <v>11</v>
      </c>
      <c r="B80" s="293">
        <v>394.2</v>
      </c>
      <c r="C80" s="220" t="s">
        <v>420</v>
      </c>
      <c r="D80" s="294">
        <f>'WPB-2.1.C Plant Detail'!G2708</f>
        <v>0</v>
      </c>
      <c r="E80" s="294">
        <f>'WPB-2.1.C Plant Detail'!G2822</f>
        <v>0</v>
      </c>
      <c r="F80" s="294">
        <f>'WPB-2.1.C Plant Detail'!G2936</f>
        <v>0</v>
      </c>
      <c r="G80" s="294">
        <f>'WPB-2.1.C Plant Detail'!G3050</f>
        <v>0</v>
      </c>
      <c r="H80" s="294">
        <f>'WPB-2.1.C Plant Detail'!G3164</f>
        <v>0</v>
      </c>
      <c r="I80" s="294">
        <f>'WPB-2.1.C Plant Detail'!G3278</f>
        <v>0</v>
      </c>
      <c r="J80" s="294">
        <f>'WPB-2.1.C Plant Detail'!G3392</f>
        <v>0</v>
      </c>
      <c r="K80" s="294">
        <f>'WPB-2.1.C Plant Detail'!G3506</f>
        <v>0</v>
      </c>
      <c r="L80" s="294">
        <f>'WPB-2.1.C Plant Detail'!G3620</f>
        <v>0</v>
      </c>
      <c r="M80" s="294">
        <f>'WPB-2.1.C Plant Detail'!G3734</f>
        <v>0</v>
      </c>
      <c r="N80" s="294">
        <f>'WPB-2.1.C Plant Detail'!G3848</f>
        <v>0</v>
      </c>
      <c r="O80" s="294">
        <f>'WPB-2.1.C Plant Detail'!G3962</f>
        <v>0</v>
      </c>
      <c r="P80" s="294">
        <f>'WPB-2.1.C Plant Detail'!G4076</f>
        <v>0</v>
      </c>
      <c r="Q80" s="294">
        <f t="shared" si="7"/>
        <v>0</v>
      </c>
    </row>
    <row r="81" spans="1:17">
      <c r="A81" s="290">
        <f t="shared" si="6"/>
        <v>12</v>
      </c>
      <c r="B81" s="293">
        <v>394.3</v>
      </c>
      <c r="C81" s="220" t="s">
        <v>1602</v>
      </c>
      <c r="D81" s="294">
        <f>'WPB-2.1.C Plant Detail'!G2709</f>
        <v>5308950.4100000011</v>
      </c>
      <c r="E81" s="294">
        <f>'WPB-2.1.C Plant Detail'!G2823</f>
        <v>5472773.5700000012</v>
      </c>
      <c r="F81" s="294">
        <f>'WPB-2.1.C Plant Detail'!G2937</f>
        <v>5553535.0600000015</v>
      </c>
      <c r="G81" s="294">
        <f>'WPB-2.1.C Plant Detail'!G3051</f>
        <v>5647287.830000001</v>
      </c>
      <c r="H81" s="294">
        <f>'WPB-2.1.C Plant Detail'!G3165</f>
        <v>5560836.9900000002</v>
      </c>
      <c r="I81" s="294">
        <f>'WPB-2.1.C Plant Detail'!G3279</f>
        <v>6015858.7800000003</v>
      </c>
      <c r="J81" s="294">
        <f>'WPB-2.1.C Plant Detail'!G3393</f>
        <v>6024368.5300000003</v>
      </c>
      <c r="K81" s="294">
        <f>'WPB-2.1.C Plant Detail'!G3507</f>
        <v>6403945.3100000005</v>
      </c>
      <c r="L81" s="294">
        <f>'WPB-2.1.C Plant Detail'!G3621</f>
        <v>6512196.0700000003</v>
      </c>
      <c r="M81" s="294">
        <f>'WPB-2.1.C Plant Detail'!G3735</f>
        <v>6775835.9400000004</v>
      </c>
      <c r="N81" s="294">
        <f>'WPB-2.1.C Plant Detail'!G3849</f>
        <v>6780091.3800000008</v>
      </c>
      <c r="O81" s="294">
        <f>'WPB-2.1.C Plant Detail'!G3963</f>
        <v>6924114.9200000009</v>
      </c>
      <c r="P81" s="294">
        <f>'WPB-2.1.C Plant Detail'!G4077</f>
        <v>7063104.4900000002</v>
      </c>
      <c r="Q81" s="294">
        <f t="shared" si="7"/>
        <v>6157146.0984615386</v>
      </c>
    </row>
    <row r="82" spans="1:17">
      <c r="A82" s="290">
        <f t="shared" si="6"/>
        <v>13</v>
      </c>
      <c r="B82" s="293">
        <v>395</v>
      </c>
      <c r="C82" s="220" t="s">
        <v>422</v>
      </c>
      <c r="D82" s="294">
        <f>'WPB-2.1.C Plant Detail'!G2710</f>
        <v>0</v>
      </c>
      <c r="E82" s="294">
        <f>'WPB-2.1.C Plant Detail'!G2824</f>
        <v>0</v>
      </c>
      <c r="F82" s="294">
        <f>'WPB-2.1.C Plant Detail'!G2938</f>
        <v>0</v>
      </c>
      <c r="G82" s="294">
        <f>'WPB-2.1.C Plant Detail'!G3052</f>
        <v>0</v>
      </c>
      <c r="H82" s="294">
        <f>'WPB-2.1.C Plant Detail'!G3166</f>
        <v>0</v>
      </c>
      <c r="I82" s="294">
        <f>'WPB-2.1.C Plant Detail'!G3280</f>
        <v>0</v>
      </c>
      <c r="J82" s="294">
        <f>'WPB-2.1.C Plant Detail'!G3394</f>
        <v>0</v>
      </c>
      <c r="K82" s="294">
        <f>'WPB-2.1.C Plant Detail'!G3508</f>
        <v>0</v>
      </c>
      <c r="L82" s="294">
        <f>'WPB-2.1.C Plant Detail'!G3622</f>
        <v>0</v>
      </c>
      <c r="M82" s="294">
        <f>'WPB-2.1.C Plant Detail'!G3736</f>
        <v>0</v>
      </c>
      <c r="N82" s="294">
        <f>'WPB-2.1.C Plant Detail'!G3850</f>
        <v>0</v>
      </c>
      <c r="O82" s="294">
        <f>'WPB-2.1.C Plant Detail'!G3964</f>
        <v>0</v>
      </c>
      <c r="P82" s="294">
        <f>'WPB-2.1.C Plant Detail'!G4078</f>
        <v>0</v>
      </c>
      <c r="Q82" s="294">
        <f t="shared" si="7"/>
        <v>0</v>
      </c>
    </row>
    <row r="83" spans="1:17">
      <c r="A83" s="290">
        <f t="shared" si="6"/>
        <v>14</v>
      </c>
      <c r="B83" s="293">
        <v>396</v>
      </c>
      <c r="C83" s="220" t="s">
        <v>423</v>
      </c>
      <c r="D83" s="294">
        <f>'WPB-2.1.C Plant Detail'!G2711</f>
        <v>185547</v>
      </c>
      <c r="E83" s="294">
        <f>'WPB-2.1.C Plant Detail'!G2825</f>
        <v>185547</v>
      </c>
      <c r="F83" s="294">
        <f>'WPB-2.1.C Plant Detail'!G2939</f>
        <v>185547</v>
      </c>
      <c r="G83" s="294">
        <f>'WPB-2.1.C Plant Detail'!G3053</f>
        <v>185547</v>
      </c>
      <c r="H83" s="294">
        <f>'WPB-2.1.C Plant Detail'!G3167</f>
        <v>185547</v>
      </c>
      <c r="I83" s="294">
        <f>'WPB-2.1.C Plant Detail'!G3281</f>
        <v>185547</v>
      </c>
      <c r="J83" s="294">
        <f>'WPB-2.1.C Plant Detail'!G3395</f>
        <v>185547</v>
      </c>
      <c r="K83" s="294">
        <f>'WPB-2.1.C Plant Detail'!G3509</f>
        <v>185547</v>
      </c>
      <c r="L83" s="294">
        <f>'WPB-2.1.C Plant Detail'!G3623</f>
        <v>185547</v>
      </c>
      <c r="M83" s="294">
        <f>'WPB-2.1.C Plant Detail'!G3737</f>
        <v>185547</v>
      </c>
      <c r="N83" s="294">
        <f>'WPB-2.1.C Plant Detail'!G3851</f>
        <v>185547</v>
      </c>
      <c r="O83" s="294">
        <f>'WPB-2.1.C Plant Detail'!G3965</f>
        <v>185547</v>
      </c>
      <c r="P83" s="294">
        <f>'WPB-2.1.C Plant Detail'!G4079</f>
        <v>185547</v>
      </c>
      <c r="Q83" s="294">
        <f t="shared" si="7"/>
        <v>185547</v>
      </c>
    </row>
    <row r="84" spans="1:17">
      <c r="A84" s="290">
        <f t="shared" si="6"/>
        <v>15</v>
      </c>
      <c r="B84" s="293">
        <v>398</v>
      </c>
      <c r="C84" s="220" t="s">
        <v>424</v>
      </c>
      <c r="D84" s="906">
        <f>'WPB-2.1.C Plant Detail'!G2712</f>
        <v>148028.20000000001</v>
      </c>
      <c r="E84" s="906">
        <f>'WPB-2.1.C Plant Detail'!G2826</f>
        <v>148028.20000000001</v>
      </c>
      <c r="F84" s="906">
        <f>'WPB-2.1.C Plant Detail'!G2940</f>
        <v>148028.20000000001</v>
      </c>
      <c r="G84" s="906">
        <f>'WPB-2.1.C Plant Detail'!G3054</f>
        <v>148028.20000000001</v>
      </c>
      <c r="H84" s="906">
        <f>'WPB-2.1.C Plant Detail'!G3168</f>
        <v>148028.20000000001</v>
      </c>
      <c r="I84" s="906">
        <f>'WPB-2.1.C Plant Detail'!G3282</f>
        <v>148028.20000000001</v>
      </c>
      <c r="J84" s="906">
        <f>'WPB-2.1.C Plant Detail'!G3396</f>
        <v>148028.20000000001</v>
      </c>
      <c r="K84" s="906">
        <f>'WPB-2.1.C Plant Detail'!G3510</f>
        <v>148028.20000000001</v>
      </c>
      <c r="L84" s="906">
        <f>'WPB-2.1.C Plant Detail'!G3624</f>
        <v>148028.20000000001</v>
      </c>
      <c r="M84" s="906">
        <f>'WPB-2.1.C Plant Detail'!G3738</f>
        <v>148028.20000000001</v>
      </c>
      <c r="N84" s="906">
        <f>'WPB-2.1.C Plant Detail'!G3852</f>
        <v>148028.20000000001</v>
      </c>
      <c r="O84" s="906">
        <f>'WPB-2.1.C Plant Detail'!G3966</f>
        <v>148028.20000000001</v>
      </c>
      <c r="P84" s="906">
        <f>'WPB-2.1.C Plant Detail'!G4080</f>
        <v>148028.20000000001</v>
      </c>
      <c r="Q84" s="906">
        <f t="shared" si="7"/>
        <v>148028.19999999998</v>
      </c>
    </row>
    <row r="85" spans="1:17">
      <c r="A85" s="290">
        <f t="shared" si="6"/>
        <v>16</v>
      </c>
      <c r="B85" s="229" t="s">
        <v>425</v>
      </c>
      <c r="D85" s="294">
        <f t="shared" ref="D85:Q85" si="8">SUM(D71:D84)</f>
        <v>6684522.120000001</v>
      </c>
      <c r="E85" s="294">
        <f t="shared" si="8"/>
        <v>6848345.2800000012</v>
      </c>
      <c r="F85" s="294">
        <f t="shared" si="8"/>
        <v>6929106.7700000014</v>
      </c>
      <c r="G85" s="294">
        <f t="shared" si="8"/>
        <v>7022859.540000001</v>
      </c>
      <c r="H85" s="294">
        <f t="shared" si="8"/>
        <v>6936408.7000000002</v>
      </c>
      <c r="I85" s="294">
        <f t="shared" si="8"/>
        <v>7391430.4900000002</v>
      </c>
      <c r="J85" s="294">
        <f t="shared" si="8"/>
        <v>7399940.2400000002</v>
      </c>
      <c r="K85" s="294">
        <f t="shared" si="8"/>
        <v>7779517.0200000005</v>
      </c>
      <c r="L85" s="294">
        <f t="shared" si="8"/>
        <v>7887767.7800000003</v>
      </c>
      <c r="M85" s="294">
        <f t="shared" si="8"/>
        <v>8151407.6500000004</v>
      </c>
      <c r="N85" s="294">
        <f t="shared" si="8"/>
        <v>8155663.0900000008</v>
      </c>
      <c r="O85" s="294">
        <f t="shared" si="8"/>
        <v>8299686.6300000008</v>
      </c>
      <c r="P85" s="294">
        <f t="shared" si="8"/>
        <v>8438676.1999999993</v>
      </c>
      <c r="Q85" s="294">
        <f t="shared" si="8"/>
        <v>7532717.8084615385</v>
      </c>
    </row>
    <row r="86" spans="1:17">
      <c r="A86" s="290" t="str">
        <f>IF(ISBLANK($B86),"",COUNTA($B$42:B86))</f>
        <v/>
      </c>
      <c r="B86" s="304"/>
    </row>
    <row r="87" spans="1:17">
      <c r="A87" s="290">
        <f>A85+1</f>
        <v>17</v>
      </c>
      <c r="B87" s="505" t="s">
        <v>1038</v>
      </c>
    </row>
    <row r="88" spans="1:17">
      <c r="A88" s="290">
        <f>A87+1</f>
        <v>18</v>
      </c>
      <c r="B88" s="293">
        <v>378.21</v>
      </c>
      <c r="C88" s="220" t="s">
        <v>1037</v>
      </c>
      <c r="D88" s="906">
        <f>'WPB-2.1.C Plant Detail'!G2716</f>
        <v>-777092</v>
      </c>
      <c r="E88" s="906">
        <f>'WPB-2.1.C Plant Detail'!G2830</f>
        <v>-777092</v>
      </c>
      <c r="F88" s="906">
        <f>'WPB-2.1.C Plant Detail'!G2944</f>
        <v>-777092</v>
      </c>
      <c r="G88" s="906">
        <f>'WPB-2.1.C Plant Detail'!G3058</f>
        <v>-777092</v>
      </c>
      <c r="H88" s="906">
        <f>'WPB-2.1.C Plant Detail'!G3172</f>
        <v>-777092</v>
      </c>
      <c r="I88" s="906">
        <f>'WPB-2.1.C Plant Detail'!G3286</f>
        <v>-777092</v>
      </c>
      <c r="J88" s="906">
        <f>'WPB-2.1.C Plant Detail'!G3400</f>
        <v>-777092</v>
      </c>
      <c r="K88" s="906">
        <f>'WPB-2.1.C Plant Detail'!G3514</f>
        <v>-777092</v>
      </c>
      <c r="L88" s="906">
        <f>'WPB-2.1.C Plant Detail'!G3628</f>
        <v>-777092</v>
      </c>
      <c r="M88" s="906">
        <f>'WPB-2.1.C Plant Detail'!G3742</f>
        <v>-777092</v>
      </c>
      <c r="N88" s="906">
        <f>'WPB-2.1.C Plant Detail'!G3856</f>
        <v>-777092</v>
      </c>
      <c r="O88" s="906">
        <f>'WPB-2.1.C Plant Detail'!G3970</f>
        <v>-777092</v>
      </c>
      <c r="P88" s="906">
        <f>'WPB-2.1.C Plant Detail'!G4084</f>
        <v>-777092</v>
      </c>
      <c r="Q88" s="906">
        <f>AVERAGE(D88:P88)</f>
        <v>-777092</v>
      </c>
    </row>
    <row r="89" spans="1:17">
      <c r="A89" s="290">
        <f>A88+1</f>
        <v>19</v>
      </c>
      <c r="B89" s="220" t="s">
        <v>1579</v>
      </c>
      <c r="D89" s="294">
        <f>SUM(D88)</f>
        <v>-777092</v>
      </c>
      <c r="E89" s="294">
        <f t="shared" ref="E89:O89" si="9">SUM(E88)</f>
        <v>-777092</v>
      </c>
      <c r="F89" s="294">
        <f t="shared" si="9"/>
        <v>-777092</v>
      </c>
      <c r="G89" s="294">
        <f t="shared" si="9"/>
        <v>-777092</v>
      </c>
      <c r="H89" s="294">
        <f t="shared" si="9"/>
        <v>-777092</v>
      </c>
      <c r="I89" s="294">
        <f t="shared" si="9"/>
        <v>-777092</v>
      </c>
      <c r="J89" s="294">
        <f t="shared" si="9"/>
        <v>-777092</v>
      </c>
      <c r="K89" s="294">
        <f t="shared" si="9"/>
        <v>-777092</v>
      </c>
      <c r="L89" s="294">
        <f t="shared" si="9"/>
        <v>-777092</v>
      </c>
      <c r="M89" s="294">
        <f t="shared" si="9"/>
        <v>-777092</v>
      </c>
      <c r="N89" s="294">
        <f t="shared" si="9"/>
        <v>-777092</v>
      </c>
      <c r="O89" s="294">
        <f t="shared" si="9"/>
        <v>-777092</v>
      </c>
      <c r="P89" s="294">
        <f>SUM(P88)</f>
        <v>-777092</v>
      </c>
      <c r="Q89" s="294">
        <f>SUM(Q88)</f>
        <v>-777092</v>
      </c>
    </row>
    <row r="90" spans="1:17">
      <c r="A90" s="290" t="str">
        <f>IF(ISBLANK($B90),"",COUNTA($B$42:B90))</f>
        <v/>
      </c>
      <c r="C90" s="294"/>
      <c r="H90" s="304"/>
      <c r="L90" s="304"/>
    </row>
    <row r="91" spans="1:17">
      <c r="A91" s="290">
        <f>A89+1</f>
        <v>20</v>
      </c>
      <c r="B91" s="220" t="s">
        <v>1603</v>
      </c>
      <c r="D91" s="306">
        <f t="shared" ref="D91:Q91" si="10">D22+D55+D85+D89</f>
        <v>762522885.30492222</v>
      </c>
      <c r="E91" s="306">
        <f t="shared" si="10"/>
        <v>763446039.37563694</v>
      </c>
      <c r="F91" s="306">
        <f t="shared" si="10"/>
        <v>764478706.30412173</v>
      </c>
      <c r="G91" s="306">
        <f t="shared" si="10"/>
        <v>765624401.28220272</v>
      </c>
      <c r="H91" s="306">
        <f t="shared" si="10"/>
        <v>770615171.92866981</v>
      </c>
      <c r="I91" s="306">
        <f t="shared" si="10"/>
        <v>774048012.94754827</v>
      </c>
      <c r="J91" s="306">
        <f t="shared" si="10"/>
        <v>776096710.4138912</v>
      </c>
      <c r="K91" s="306">
        <f t="shared" si="10"/>
        <v>778745038.67579162</v>
      </c>
      <c r="L91" s="306">
        <f t="shared" si="10"/>
        <v>779952381.12919116</v>
      </c>
      <c r="M91" s="306">
        <f t="shared" si="10"/>
        <v>781744211.19162297</v>
      </c>
      <c r="N91" s="306">
        <f t="shared" si="10"/>
        <v>783625232.80798268</v>
      </c>
      <c r="O91" s="306">
        <f t="shared" si="10"/>
        <v>784926144.31209385</v>
      </c>
      <c r="P91" s="306">
        <f t="shared" si="10"/>
        <v>789280895.56637263</v>
      </c>
      <c r="Q91" s="306">
        <f t="shared" si="10"/>
        <v>775008140.8646189</v>
      </c>
    </row>
    <row r="93" spans="1:17">
      <c r="A93" s="290">
        <f>A91+1</f>
        <v>21</v>
      </c>
      <c r="B93" s="325" t="s">
        <v>1774</v>
      </c>
      <c r="C93" s="308"/>
      <c r="D93" s="309"/>
      <c r="E93" s="309"/>
      <c r="F93" s="309"/>
      <c r="G93" s="309"/>
      <c r="H93" s="309"/>
      <c r="I93" s="309"/>
      <c r="J93" s="309"/>
      <c r="K93" s="309"/>
      <c r="L93" s="309"/>
      <c r="M93" s="309"/>
      <c r="N93" s="309"/>
      <c r="O93" s="309"/>
      <c r="P93" s="309"/>
      <c r="Q93" s="309"/>
    </row>
    <row r="94" spans="1:17">
      <c r="A94" s="290">
        <f>A93+1</f>
        <v>22</v>
      </c>
      <c r="B94" s="310">
        <v>376</v>
      </c>
      <c r="C94" s="308" t="s">
        <v>393</v>
      </c>
      <c r="D94" s="294">
        <f>+'WPB-2.1.C Plant Detail'!G2727</f>
        <v>52245108.823506333</v>
      </c>
      <c r="E94" s="294">
        <f>+'WPB-2.1.C Plant Detail'!G2841</f>
        <v>53649477.262429819</v>
      </c>
      <c r="F94" s="294">
        <f>+'WPB-2.1.C Plant Detail'!G2955</f>
        <v>54304491.469007067</v>
      </c>
      <c r="G94" s="294">
        <f>+'WPB-2.1.C Plant Detail'!G3069</f>
        <v>56088274.446154602</v>
      </c>
      <c r="H94" s="294">
        <f>+'WPB-2.1.C Plant Detail'!G3183</f>
        <v>57250493.832516775</v>
      </c>
      <c r="I94" s="294">
        <f>+'WPB-2.1.C Plant Detail'!G3297</f>
        <v>59120122.054636769</v>
      </c>
      <c r="J94" s="294">
        <f>+'WPB-2.1.C Plant Detail'!G3411</f>
        <v>61117569.310051478</v>
      </c>
      <c r="K94" s="294">
        <f>+'WPB-2.1.C Plant Detail'!G3525</f>
        <v>62384550.200683922</v>
      </c>
      <c r="L94" s="294">
        <f>+'WPB-2.1.C Plant Detail'!G3639</f>
        <v>63598349.400734186</v>
      </c>
      <c r="M94" s="294">
        <f>+'WPB-2.1.C Plant Detail'!G3753</f>
        <v>66565710.590791062</v>
      </c>
      <c r="N94" s="294">
        <f>+'WPB-2.1.C Plant Detail'!G3867</f>
        <v>69795449.651612297</v>
      </c>
      <c r="O94" s="294">
        <f>+'WPB-2.1.C Plant Detail'!G3981</f>
        <v>72571012.113544419</v>
      </c>
      <c r="P94" s="294">
        <f>+'WPB-2.1.C Plant Detail'!G4095</f>
        <v>77446263.973506317</v>
      </c>
      <c r="Q94" s="294">
        <f t="shared" ref="Q94:Q98" si="11">AVERAGE(D94:P94)</f>
        <v>62010528.702244245</v>
      </c>
    </row>
    <row r="95" spans="1:17">
      <c r="A95" s="290">
        <f t="shared" ref="A95:A98" si="12">A94+1</f>
        <v>23</v>
      </c>
      <c r="B95" s="310">
        <v>378.2</v>
      </c>
      <c r="C95" s="308" t="s">
        <v>2915</v>
      </c>
      <c r="D95" s="294">
        <f>+'WPB-2.1.C Plant Detail'!G2728</f>
        <v>599780.62011021946</v>
      </c>
      <c r="E95" s="294">
        <f>+'WPB-2.1.C Plant Detail'!G2842</f>
        <v>599780.62011021946</v>
      </c>
      <c r="F95" s="294">
        <f>+'WPB-2.1.C Plant Detail'!G2956</f>
        <v>599780.62011021946</v>
      </c>
      <c r="G95" s="294">
        <f>+'WPB-2.1.C Plant Detail'!G3070</f>
        <v>599780.62011021946</v>
      </c>
      <c r="H95" s="294">
        <f>+'WPB-2.1.C Plant Detail'!G3184</f>
        <v>599780.62011021946</v>
      </c>
      <c r="I95" s="294">
        <f>+'WPB-2.1.C Plant Detail'!G3298</f>
        <v>599780.62011021946</v>
      </c>
      <c r="J95" s="294">
        <f>+'WPB-2.1.C Plant Detail'!G3412</f>
        <v>599780.62011021946</v>
      </c>
      <c r="K95" s="294">
        <f>+'WPB-2.1.C Plant Detail'!G3526</f>
        <v>599780.62011021946</v>
      </c>
      <c r="L95" s="294">
        <f>+'WPB-2.1.C Plant Detail'!G3640</f>
        <v>599780.62011021946</v>
      </c>
      <c r="M95" s="294">
        <f>+'WPB-2.1.C Plant Detail'!G3754</f>
        <v>599780.62011021946</v>
      </c>
      <c r="N95" s="294">
        <f>+'WPB-2.1.C Plant Detail'!G3868</f>
        <v>599780.62011021946</v>
      </c>
      <c r="O95" s="294">
        <f>+'WPB-2.1.C Plant Detail'!G3982</f>
        <v>599780.62011021946</v>
      </c>
      <c r="P95" s="294">
        <f>+'WPB-2.1.C Plant Detail'!G4096</f>
        <v>599780.62011021946</v>
      </c>
      <c r="Q95" s="294">
        <f t="shared" si="11"/>
        <v>599780.62011021946</v>
      </c>
    </row>
    <row r="96" spans="1:17">
      <c r="A96" s="290">
        <f t="shared" si="12"/>
        <v>24</v>
      </c>
      <c r="B96" s="310">
        <v>380</v>
      </c>
      <c r="C96" s="308" t="s">
        <v>2918</v>
      </c>
      <c r="D96" s="294">
        <f>+'WPB-2.1.C Plant Detail'!G2729</f>
        <v>21966406.624204569</v>
      </c>
      <c r="E96" s="294">
        <f>+'WPB-2.1.C Plant Detail'!G2843</f>
        <v>22383405.512704615</v>
      </c>
      <c r="F96" s="294">
        <f>+'WPB-2.1.C Plant Detail'!G2957</f>
        <v>22872942.68702434</v>
      </c>
      <c r="G96" s="294">
        <f>+'WPB-2.1.C Plant Detail'!G3071</f>
        <v>23600002.233657222</v>
      </c>
      <c r="H96" s="294">
        <f>+'WPB-2.1.C Plant Detail'!G3185</f>
        <v>24334046.612005264</v>
      </c>
      <c r="I96" s="294">
        <f>+'WPB-2.1.C Plant Detail'!G3299</f>
        <v>25100315.207036886</v>
      </c>
      <c r="J96" s="294">
        <f>+'WPB-2.1.C Plant Detail'!G3413</f>
        <v>25731407.564654</v>
      </c>
      <c r="K96" s="294">
        <f>+'WPB-2.1.C Plant Detail'!G3527</f>
        <v>26303526.561815731</v>
      </c>
      <c r="L96" s="294">
        <f>+'WPB-2.1.C Plant Detail'!G3641</f>
        <v>27165322.720041122</v>
      </c>
      <c r="M96" s="294">
        <f>+'WPB-2.1.C Plant Detail'!G3755</f>
        <v>27841783.222782765</v>
      </c>
      <c r="N96" s="294">
        <f>+'WPB-2.1.C Plant Detail'!G3869</f>
        <v>28606008.800329007</v>
      </c>
      <c r="O96" s="294">
        <f>+'WPB-2.1.C Plant Detail'!G3983</f>
        <v>29018342.056623582</v>
      </c>
      <c r="P96" s="294">
        <f>+'WPB-2.1.C Plant Detail'!G4097</f>
        <v>29326332.758952212</v>
      </c>
      <c r="Q96" s="294">
        <f t="shared" si="11"/>
        <v>25711526.350910101</v>
      </c>
    </row>
    <row r="97" spans="1:17">
      <c r="A97" s="290">
        <f t="shared" si="12"/>
        <v>25</v>
      </c>
      <c r="B97" s="310">
        <v>382</v>
      </c>
      <c r="C97" s="308" t="s">
        <v>400</v>
      </c>
      <c r="D97" s="294">
        <f>+'WPB-2.1.C Plant Detail'!G2730</f>
        <v>228505.5945269751</v>
      </c>
      <c r="E97" s="294">
        <f>+'WPB-2.1.C Plant Detail'!G2844</f>
        <v>230782.93025847967</v>
      </c>
      <c r="F97" s="294">
        <f>+'WPB-2.1.C Plant Detail'!G2958</f>
        <v>232929.98922360435</v>
      </c>
      <c r="G97" s="294">
        <f>+'WPB-2.1.C Plant Detail'!G3072</f>
        <v>234782.56980964576</v>
      </c>
      <c r="H97" s="294">
        <f>+'WPB-2.1.C Plant Detail'!G3186</f>
        <v>236084.64509180642</v>
      </c>
      <c r="I97" s="294">
        <f>+'WPB-2.1.C Plant Detail'!G3300</f>
        <v>237414.18658453683</v>
      </c>
      <c r="J97" s="294">
        <f>+'WPB-2.1.C Plant Detail'!G3414</f>
        <v>239248.04660563447</v>
      </c>
      <c r="K97" s="294">
        <f>+'WPB-2.1.C Plant Detail'!G3528</f>
        <v>241811.75800984795</v>
      </c>
      <c r="L97" s="294">
        <f>+'WPB-2.1.C Plant Detail'!G3642</f>
        <v>246088.81203294941</v>
      </c>
      <c r="M97" s="294">
        <f>+'WPB-2.1.C Plant Detail'!G3756</f>
        <v>255314.51311495912</v>
      </c>
      <c r="N97" s="294">
        <f>+'WPB-2.1.C Plant Detail'!G3870</f>
        <v>266212.34412238962</v>
      </c>
      <c r="O97" s="294">
        <f>+'WPB-2.1.C Plant Detail'!G3984</f>
        <v>272506.02526817616</v>
      </c>
      <c r="P97" s="294">
        <f>+'WPB-2.1.C Plant Detail'!G4098</f>
        <v>282253.59452697512</v>
      </c>
      <c r="Q97" s="294">
        <f t="shared" si="11"/>
        <v>246456.53916738307</v>
      </c>
    </row>
    <row r="98" spans="1:17">
      <c r="A98" s="290">
        <f t="shared" si="12"/>
        <v>26</v>
      </c>
      <c r="B98" s="310">
        <v>383</v>
      </c>
      <c r="C98" s="308" t="s">
        <v>401</v>
      </c>
      <c r="D98" s="906">
        <f>+'WPB-2.1.C Plant Detail'!G2731</f>
        <v>144714.99528017396</v>
      </c>
      <c r="E98" s="906">
        <f>+'WPB-2.1.C Plant Detail'!G2845</f>
        <v>152924.12080260093</v>
      </c>
      <c r="F98" s="906">
        <f>+'WPB-2.1.C Plant Detail'!G2959</f>
        <v>159111.47229580401</v>
      </c>
      <c r="G98" s="906">
        <f>+'WPB-2.1.C Plant Detail'!G3073</f>
        <v>163629.10185611362</v>
      </c>
      <c r="H98" s="906">
        <f>+'WPB-2.1.C Plant Detail'!G3187</f>
        <v>167255.34201740351</v>
      </c>
      <c r="I98" s="906">
        <f>+'WPB-2.1.C Plant Detail'!G3301</f>
        <v>169262.40961912516</v>
      </c>
      <c r="J98" s="906">
        <f>+'WPB-2.1.C Plant Detail'!G3415</f>
        <v>172665.38795559711</v>
      </c>
      <c r="K98" s="906">
        <f>+'WPB-2.1.C Plant Detail'!G3529</f>
        <v>174611.3148019581</v>
      </c>
      <c r="L98" s="906">
        <f>+'WPB-2.1.C Plant Detail'!G3643</f>
        <v>177532.83592384632</v>
      </c>
      <c r="M98" s="906">
        <f>+'WPB-2.1.C Plant Detail'!G3757</f>
        <v>184631.39059414319</v>
      </c>
      <c r="N98" s="906">
        <f>+'WPB-2.1.C Plant Detail'!G3871</f>
        <v>190894.66396201821</v>
      </c>
      <c r="O98" s="906">
        <f>+'WPB-2.1.C Plant Detail'!G3985</f>
        <v>196799.84022312512</v>
      </c>
      <c r="P98" s="906">
        <f>+'WPB-2.1.C Plant Detail'!G4099</f>
        <v>203430.99528017396</v>
      </c>
      <c r="Q98" s="294">
        <f t="shared" si="11"/>
        <v>173651.06697016026</v>
      </c>
    </row>
    <row r="99" spans="1:17">
      <c r="A99" s="290">
        <f>A98+1</f>
        <v>27</v>
      </c>
      <c r="B99" s="307"/>
      <c r="C99" s="308" t="s">
        <v>1783</v>
      </c>
      <c r="D99" s="311">
        <f>SUM(D94:D98)</f>
        <v>75184516.657628268</v>
      </c>
      <c r="E99" s="311">
        <f t="shared" ref="E99:Q99" si="13">SUM(E94:E98)</f>
        <v>77016370.446305737</v>
      </c>
      <c r="F99" s="311">
        <f t="shared" si="13"/>
        <v>78169256.237661034</v>
      </c>
      <c r="G99" s="311">
        <f t="shared" si="13"/>
        <v>80686468.971587807</v>
      </c>
      <c r="H99" s="311">
        <f t="shared" si="13"/>
        <v>82587661.051741466</v>
      </c>
      <c r="I99" s="311">
        <f t="shared" si="13"/>
        <v>85226894.477987528</v>
      </c>
      <c r="J99" s="311">
        <f t="shared" si="13"/>
        <v>87860670.92937693</v>
      </c>
      <c r="K99" s="311">
        <f t="shared" si="13"/>
        <v>89704280.455421686</v>
      </c>
      <c r="L99" s="311">
        <f t="shared" si="13"/>
        <v>91787074.388842329</v>
      </c>
      <c r="M99" s="311">
        <f t="shared" si="13"/>
        <v>95447220.337393135</v>
      </c>
      <c r="N99" s="311">
        <f t="shared" si="13"/>
        <v>99458346.080135942</v>
      </c>
      <c r="O99" s="311">
        <f t="shared" si="13"/>
        <v>102658440.65576951</v>
      </c>
      <c r="P99" s="311">
        <f t="shared" si="13"/>
        <v>107858061.9423759</v>
      </c>
      <c r="Q99" s="311">
        <f t="shared" si="13"/>
        <v>88741943.279402107</v>
      </c>
    </row>
    <row r="100" spans="1:17">
      <c r="A100" s="290"/>
      <c r="B100" s="307"/>
      <c r="C100" s="308"/>
      <c r="D100" s="291"/>
      <c r="E100" s="291"/>
      <c r="F100" s="291"/>
      <c r="G100" s="291"/>
      <c r="H100" s="291"/>
      <c r="I100" s="291"/>
      <c r="J100" s="291"/>
      <c r="K100" s="291"/>
      <c r="L100" s="291"/>
      <c r="M100" s="291"/>
      <c r="N100" s="291"/>
      <c r="O100" s="291"/>
      <c r="P100" s="291"/>
      <c r="Q100" s="291"/>
    </row>
    <row r="101" spans="1:17">
      <c r="A101" s="290">
        <f>A99+1</f>
        <v>28</v>
      </c>
      <c r="B101" s="307"/>
      <c r="C101" s="308" t="s">
        <v>447</v>
      </c>
      <c r="D101" s="306">
        <f>D99+D91</f>
        <v>837707401.96255052</v>
      </c>
      <c r="E101" s="306">
        <f t="shared" ref="E101:Q101" si="14">E99+E91</f>
        <v>840462409.82194269</v>
      </c>
      <c r="F101" s="306">
        <f t="shared" si="14"/>
        <v>842647962.54178274</v>
      </c>
      <c r="G101" s="306">
        <f t="shared" si="14"/>
        <v>846310870.2537905</v>
      </c>
      <c r="H101" s="306">
        <f t="shared" si="14"/>
        <v>853202832.98041129</v>
      </c>
      <c r="I101" s="306">
        <f t="shared" si="14"/>
        <v>859274907.4255358</v>
      </c>
      <c r="J101" s="306">
        <f t="shared" si="14"/>
        <v>863957381.34326816</v>
      </c>
      <c r="K101" s="306">
        <f t="shared" si="14"/>
        <v>868449319.13121331</v>
      </c>
      <c r="L101" s="306">
        <f t="shared" si="14"/>
        <v>871739455.5180335</v>
      </c>
      <c r="M101" s="306">
        <f t="shared" si="14"/>
        <v>877191431.52901614</v>
      </c>
      <c r="N101" s="306">
        <f t="shared" si="14"/>
        <v>883083578.88811862</v>
      </c>
      <c r="O101" s="306">
        <f t="shared" si="14"/>
        <v>887584584.96786332</v>
      </c>
      <c r="P101" s="306">
        <f t="shared" si="14"/>
        <v>897138957.50874853</v>
      </c>
      <c r="Q101" s="306">
        <f t="shared" si="14"/>
        <v>863750084.14402103</v>
      </c>
    </row>
  </sheetData>
  <mergeCells count="8">
    <mergeCell ref="A59:Q59"/>
    <mergeCell ref="A60:Q60"/>
    <mergeCell ref="A1:Q1"/>
    <mergeCell ref="A2:Q2"/>
    <mergeCell ref="A3:Q3"/>
    <mergeCell ref="A4:Q4"/>
    <mergeCell ref="A57:Q57"/>
    <mergeCell ref="A58:Q58"/>
  </mergeCells>
  <printOptions horizontalCentered="1"/>
  <pageMargins left="0.5" right="0.5" top="0.75" bottom="0.5" header="0.3" footer="0.3"/>
  <pageSetup scale="44" fitToHeight="2" orientation="landscape" r:id="rId1"/>
  <rowBreaks count="1" manualBreakCount="1">
    <brk id="5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76"/>
  <sheetViews>
    <sheetView topLeftCell="A136" zoomScaleNormal="100" zoomScaleSheetLayoutView="98" workbookViewId="0">
      <selection activeCell="M179" sqref="M179"/>
    </sheetView>
  </sheetViews>
  <sheetFormatPr defaultColWidth="8.6640625" defaultRowHeight="12.75"/>
  <cols>
    <col min="1" max="1" width="9.6640625" style="343" customWidth="1"/>
    <col min="2" max="2" width="23.1640625" style="343" customWidth="1"/>
    <col min="3" max="3" width="17.5" style="343" customWidth="1"/>
    <col min="4" max="4" width="16.6640625" style="343" customWidth="1"/>
    <col min="5" max="5" width="17.5" style="343" customWidth="1"/>
    <col min="6" max="6" width="18" style="343" customWidth="1"/>
    <col min="7" max="7" width="3.33203125" style="343" customWidth="1"/>
    <col min="8" max="8" width="17.6640625" style="343" customWidth="1"/>
    <col min="9" max="9" width="17.1640625" style="343" bestFit="1" customWidth="1"/>
    <col min="10" max="11" width="17.83203125" style="343" customWidth="1"/>
    <col min="12" max="12" width="14.6640625" style="343" customWidth="1"/>
    <col min="13" max="13" width="18.1640625" style="343" customWidth="1"/>
    <col min="14" max="14" width="26.5" style="343" bestFit="1" customWidth="1"/>
    <col min="15" max="15" width="8.6640625" style="917"/>
    <col min="16" max="16" width="23.33203125" style="917" bestFit="1" customWidth="1"/>
    <col min="17" max="17" width="24.1640625" style="917" bestFit="1" customWidth="1"/>
    <col min="18" max="18" width="13.1640625" style="917" bestFit="1" customWidth="1"/>
    <col min="19" max="19" width="18.1640625" style="917" bestFit="1" customWidth="1"/>
    <col min="20" max="20" width="13.1640625" style="917" bestFit="1" customWidth="1"/>
    <col min="21" max="16384" width="8.6640625" style="917"/>
  </cols>
  <sheetData>
    <row r="1" spans="1:14" s="291" customFormat="1">
      <c r="A1" s="1308" t="str">
        <f>'General Headers Index'!B4</f>
        <v>COLUMBIA GAS OF KENTUCKY, INC.</v>
      </c>
      <c r="B1" s="1308"/>
      <c r="C1" s="1308"/>
      <c r="D1" s="1308"/>
      <c r="E1" s="1308"/>
      <c r="F1" s="1308"/>
      <c r="G1" s="1308"/>
      <c r="H1" s="1308"/>
      <c r="I1" s="1308"/>
      <c r="J1" s="1308"/>
      <c r="K1" s="1308"/>
      <c r="L1" s="1308"/>
      <c r="M1" s="1308"/>
      <c r="N1" s="1308"/>
    </row>
    <row r="2" spans="1:14" s="291" customFormat="1">
      <c r="A2" s="1308" t="str">
        <f>'General Headers Index'!B6</f>
        <v>CASE NO. 2024 - 00092</v>
      </c>
      <c r="B2" s="1308"/>
      <c r="C2" s="1308"/>
      <c r="D2" s="1308"/>
      <c r="E2" s="1308"/>
      <c r="F2" s="1308"/>
      <c r="G2" s="1308"/>
      <c r="H2" s="1308"/>
      <c r="I2" s="1308"/>
      <c r="J2" s="1308"/>
      <c r="K2" s="1308"/>
      <c r="L2" s="1308"/>
      <c r="M2" s="1308"/>
      <c r="N2" s="1308"/>
    </row>
    <row r="3" spans="1:14" s="291" customFormat="1">
      <c r="A3" s="1308" t="s">
        <v>1832</v>
      </c>
      <c r="B3" s="1308"/>
      <c r="C3" s="1308"/>
      <c r="D3" s="1308"/>
      <c r="E3" s="1308"/>
      <c r="F3" s="1308"/>
      <c r="G3" s="1308"/>
      <c r="H3" s="1308"/>
      <c r="I3" s="1308"/>
      <c r="J3" s="1308"/>
      <c r="K3" s="1308"/>
      <c r="L3" s="1308"/>
      <c r="M3" s="1308"/>
      <c r="N3" s="1308"/>
    </row>
    <row r="4" spans="1:14" s="291" customFormat="1">
      <c r="A4" s="1309" t="str">
        <f>'General Headers Index'!B23</f>
        <v>FROM JANUARY 01, 2023 THROUGH DECEMBER 31, 2025</v>
      </c>
      <c r="B4" s="1309"/>
      <c r="C4" s="1309"/>
      <c r="D4" s="1309"/>
      <c r="E4" s="1309"/>
      <c r="F4" s="1309"/>
      <c r="G4" s="1309"/>
      <c r="H4" s="1309"/>
      <c r="I4" s="1309"/>
      <c r="J4" s="1309"/>
      <c r="K4" s="1309"/>
      <c r="L4" s="1309"/>
      <c r="M4" s="1309"/>
      <c r="N4" s="1309"/>
    </row>
    <row r="5" spans="1:14" s="291" customFormat="1">
      <c r="B5" s="293"/>
    </row>
    <row r="6" spans="1:14" s="291" customFormat="1">
      <c r="A6" s="297" t="str">
        <f>'General Headers Index'!$B$34</f>
        <v xml:space="preserve">DATA: _X_ BASE PERIOD _X_ FORECASTED PERIOD     </v>
      </c>
      <c r="B6" s="293"/>
      <c r="N6" s="312" t="s">
        <v>2463</v>
      </c>
    </row>
    <row r="7" spans="1:14" s="291" customFormat="1">
      <c r="A7" s="297" t="str">
        <f>'General Headers Index'!B37</f>
        <v>TYPE OF FILING:___X___ORIGINAL______UPDATED</v>
      </c>
      <c r="B7" s="293"/>
      <c r="N7" s="312" t="s">
        <v>1336</v>
      </c>
    </row>
    <row r="8" spans="1:14" s="291" customFormat="1">
      <c r="A8" s="297" t="s">
        <v>2469</v>
      </c>
      <c r="B8" s="293"/>
      <c r="N8" s="312" t="str">
        <f>"WITNESS: "&amp;'General Headers Index'!B42</f>
        <v>WITNESS: GORE</v>
      </c>
    </row>
    <row r="9" spans="1:14">
      <c r="A9" s="914"/>
      <c r="B9" s="915"/>
      <c r="C9" s="914"/>
      <c r="D9" s="914"/>
      <c r="E9" s="914"/>
      <c r="F9" s="914"/>
      <c r="G9" s="914"/>
      <c r="H9" s="914"/>
      <c r="I9" s="914"/>
      <c r="J9" s="914"/>
      <c r="K9" s="914"/>
      <c r="L9" s="914"/>
      <c r="M9" s="916"/>
      <c r="N9" s="914"/>
    </row>
    <row r="10" spans="1:14">
      <c r="B10" s="344"/>
      <c r="C10" s="1310" t="s">
        <v>2078</v>
      </c>
      <c r="D10" s="1310"/>
      <c r="E10" s="1310"/>
      <c r="F10" s="1310"/>
      <c r="H10" s="1310" t="s">
        <v>2077</v>
      </c>
      <c r="I10" s="1310"/>
      <c r="J10" s="1310"/>
      <c r="K10" s="1310"/>
      <c r="L10" s="1310"/>
      <c r="M10" s="1310"/>
      <c r="N10" s="1310"/>
    </row>
    <row r="11" spans="1:14">
      <c r="B11" s="344"/>
      <c r="C11" s="345" t="s">
        <v>1757</v>
      </c>
      <c r="F11" s="345" t="s">
        <v>1757</v>
      </c>
      <c r="H11" s="345" t="s">
        <v>1758</v>
      </c>
      <c r="I11" s="345"/>
      <c r="J11" s="345" t="s">
        <v>1758</v>
      </c>
      <c r="K11" s="345"/>
      <c r="M11" s="345" t="s">
        <v>1758</v>
      </c>
    </row>
    <row r="12" spans="1:14">
      <c r="A12" s="345" t="s">
        <v>313</v>
      </c>
      <c r="B12" s="345"/>
      <c r="C12" s="345" t="s">
        <v>437</v>
      </c>
      <c r="F12" s="345" t="s">
        <v>439</v>
      </c>
      <c r="H12" s="345" t="s">
        <v>437</v>
      </c>
      <c r="I12" s="345" t="s">
        <v>488</v>
      </c>
      <c r="J12" s="345" t="s">
        <v>1759</v>
      </c>
      <c r="K12" s="345"/>
      <c r="L12" s="345" t="s">
        <v>1760</v>
      </c>
      <c r="M12" s="345" t="s">
        <v>439</v>
      </c>
    </row>
    <row r="13" spans="1:14">
      <c r="A13" s="346" t="s">
        <v>316</v>
      </c>
      <c r="B13" s="346" t="s">
        <v>1761</v>
      </c>
      <c r="C13" s="346" t="s">
        <v>441</v>
      </c>
      <c r="D13" s="346" t="s">
        <v>442</v>
      </c>
      <c r="E13" s="346" t="s">
        <v>443</v>
      </c>
      <c r="F13" s="346" t="s">
        <v>441</v>
      </c>
      <c r="H13" s="346" t="s">
        <v>441</v>
      </c>
      <c r="I13" s="346" t="s">
        <v>1762</v>
      </c>
      <c r="J13" s="346" t="s">
        <v>355</v>
      </c>
      <c r="K13" s="346" t="s">
        <v>443</v>
      </c>
      <c r="L13" s="346" t="s">
        <v>1763</v>
      </c>
      <c r="M13" s="346" t="s">
        <v>441</v>
      </c>
    </row>
    <row r="14" spans="1:14">
      <c r="B14" s="344"/>
      <c r="C14" s="345" t="s">
        <v>532</v>
      </c>
      <c r="D14" s="345" t="s">
        <v>541</v>
      </c>
      <c r="E14" s="345" t="s">
        <v>542</v>
      </c>
      <c r="F14" s="345" t="s">
        <v>1764</v>
      </c>
      <c r="H14" s="334" t="str">
        <f>"(5)"</f>
        <v>(5)</v>
      </c>
      <c r="I14" s="334" t="str">
        <f>"(6)"</f>
        <v>(6)</v>
      </c>
      <c r="J14" s="334" t="str">
        <f>"(7)"</f>
        <v>(7)</v>
      </c>
      <c r="K14" s="334" t="str">
        <f>"(8)"</f>
        <v>(8)</v>
      </c>
      <c r="L14" s="334" t="str">
        <f>"(9)"</f>
        <v>(9)</v>
      </c>
      <c r="M14" s="334" t="str">
        <f>"(10=5 through 9)"</f>
        <v>(10=5 through 9)</v>
      </c>
    </row>
    <row r="15" spans="1:14">
      <c r="B15" s="344"/>
      <c r="C15" s="345" t="s">
        <v>320</v>
      </c>
      <c r="D15" s="345" t="s">
        <v>320</v>
      </c>
      <c r="E15" s="345" t="s">
        <v>320</v>
      </c>
      <c r="F15" s="345" t="s">
        <v>320</v>
      </c>
      <c r="H15" s="334" t="s">
        <v>320</v>
      </c>
      <c r="I15" s="334" t="s">
        <v>320</v>
      </c>
      <c r="J15" s="334" t="s">
        <v>320</v>
      </c>
      <c r="K15" s="334" t="s">
        <v>320</v>
      </c>
      <c r="L15" s="334" t="s">
        <v>320</v>
      </c>
      <c r="M15" s="334" t="s">
        <v>320</v>
      </c>
    </row>
    <row r="16" spans="1:14">
      <c r="B16" s="344"/>
      <c r="C16" s="345"/>
      <c r="D16" s="345"/>
      <c r="E16" s="345"/>
      <c r="F16" s="345"/>
      <c r="H16" s="334"/>
      <c r="I16" s="334"/>
      <c r="J16" s="334"/>
      <c r="K16" s="334"/>
      <c r="L16" s="334"/>
      <c r="M16" s="334"/>
    </row>
    <row r="17" spans="1:14">
      <c r="A17" s="345">
        <f>IF(ISBLANK($B17),"",COUNTA($B$17:B17))</f>
        <v>1</v>
      </c>
      <c r="B17" s="347" t="s">
        <v>1628</v>
      </c>
      <c r="C17" s="348">
        <f>'WPB-2.1.C Plant Detail'!D101</f>
        <v>718244952.80000007</v>
      </c>
      <c r="D17" s="348">
        <f>'WPB-2.1.C Plant Detail'!E101</f>
        <v>1894284.62</v>
      </c>
      <c r="E17" s="348">
        <f>'WPB-2.1.C Plant Detail'!F101</f>
        <v>-330986.76315623609</v>
      </c>
      <c r="F17" s="349">
        <f>SUM(C17:E17)</f>
        <v>719808250.65684378</v>
      </c>
      <c r="G17" s="349"/>
      <c r="H17" s="348">
        <f>'WPB-2.1.C Plant Detail'!I101</f>
        <v>160219807.81999996</v>
      </c>
      <c r="I17" s="348">
        <f>'WPB-2.1.C Plant Detail'!K101</f>
        <v>1683584.7280000001</v>
      </c>
      <c r="J17" s="348">
        <f>'WPB-2.1.C Plant Detail'!L101</f>
        <v>0</v>
      </c>
      <c r="K17" s="348">
        <f>'WPB-2.1.C Plant Detail'!M101</f>
        <v>-330982.18315623607</v>
      </c>
      <c r="L17" s="348">
        <f>'WPB-2.1.C Plant Detail'!N101</f>
        <v>383602.75436399993</v>
      </c>
      <c r="M17" s="349">
        <f>SUM(H17:L17)</f>
        <v>161956013.11920777</v>
      </c>
    </row>
    <row r="18" spans="1:14">
      <c r="A18" s="345">
        <f>IF(ISBLANK($B18),"",COUNTA($B$17:B18))</f>
        <v>2</v>
      </c>
      <c r="B18" s="347" t="s">
        <v>1629</v>
      </c>
      <c r="C18" s="348">
        <f>'WPB-2.1.C Plant Detail'!D215</f>
        <v>719808250.65684378</v>
      </c>
      <c r="D18" s="348">
        <f>'WPB-2.1.C Plant Detail'!E215</f>
        <v>3586775.5400000005</v>
      </c>
      <c r="E18" s="348">
        <f>'WPB-2.1.C Plant Detail'!F215</f>
        <v>-190476.33897306368</v>
      </c>
      <c r="F18" s="349">
        <f t="shared" ref="F18:F52" si="0">SUM(C18:E18)</f>
        <v>723204549.8578707</v>
      </c>
      <c r="G18" s="349"/>
      <c r="H18" s="348">
        <f>'WPB-2.1.C Plant Detail'!I215</f>
        <v>161956013.11920786</v>
      </c>
      <c r="I18" s="348">
        <f>'WPB-2.1.C Plant Detail'!K215</f>
        <v>1747186.9989999996</v>
      </c>
      <c r="J18" s="348">
        <f>'WPB-2.1.C Plant Detail'!L215</f>
        <v>0</v>
      </c>
      <c r="K18" s="348">
        <f>'WPB-2.1.C Plant Detail'!M215</f>
        <v>-190476.33897306368</v>
      </c>
      <c r="L18" s="348">
        <f>'WPB-2.1.C Plant Detail'!N215</f>
        <v>-57284.542660000006</v>
      </c>
      <c r="M18" s="349">
        <f t="shared" ref="M18:M52" si="1">SUM(H18:L18)</f>
        <v>163455439.2365748</v>
      </c>
    </row>
    <row r="19" spans="1:14">
      <c r="A19" s="345">
        <f>IF(ISBLANK($B19),"",COUNTA($B$17:B19))</f>
        <v>3</v>
      </c>
      <c r="B19" s="347" t="s">
        <v>1630</v>
      </c>
      <c r="C19" s="348">
        <f>'WPB-2.1.C Plant Detail'!D329</f>
        <v>723204549.85787082</v>
      </c>
      <c r="D19" s="348">
        <f>'WPB-2.1.C Plant Detail'!E329</f>
        <v>1579619.5199999982</v>
      </c>
      <c r="E19" s="348">
        <f>'WPB-2.1.C Plant Detail'!F329</f>
        <v>-289807.28651746805</v>
      </c>
      <c r="F19" s="349">
        <f t="shared" si="0"/>
        <v>724494362.0913533</v>
      </c>
      <c r="G19" s="349"/>
      <c r="H19" s="348">
        <f>'WPB-2.1.C Plant Detail'!I329</f>
        <v>163455439.23657471</v>
      </c>
      <c r="I19" s="348">
        <f>'WPB-2.1.C Plant Detail'!K329</f>
        <v>1708295.2239999999</v>
      </c>
      <c r="J19" s="348">
        <f>'WPB-2.1.C Plant Detail'!L329</f>
        <v>0</v>
      </c>
      <c r="K19" s="348">
        <f>'WPB-2.1.C Plant Detail'!M329</f>
        <v>-289807.28651746805</v>
      </c>
      <c r="L19" s="348">
        <f>'WPB-2.1.C Plant Detail'!N329</f>
        <v>-88354.686912000005</v>
      </c>
      <c r="M19" s="349">
        <f t="shared" si="1"/>
        <v>164785572.48714525</v>
      </c>
    </row>
    <row r="20" spans="1:14">
      <c r="A20" s="345">
        <f>IF(ISBLANK($B20),"",COUNTA($B$17:B20))</f>
        <v>4</v>
      </c>
      <c r="B20" s="347" t="s">
        <v>1631</v>
      </c>
      <c r="C20" s="348">
        <f>'WPB-2.1.C Plant Detail'!D443</f>
        <v>724494362.09135342</v>
      </c>
      <c r="D20" s="348">
        <f>'WPB-2.1.C Plant Detail'!E443</f>
        <v>1571146.4100000008</v>
      </c>
      <c r="E20" s="348">
        <f>'WPB-2.1.C Plant Detail'!F443</f>
        <v>-3599521.7280375701</v>
      </c>
      <c r="F20" s="349">
        <f t="shared" si="0"/>
        <v>722465986.77331579</v>
      </c>
      <c r="G20" s="349"/>
      <c r="H20" s="348">
        <f>'WPB-2.1.C Plant Detail'!I443</f>
        <v>164785572.48714525</v>
      </c>
      <c r="I20" s="348">
        <f>'WPB-2.1.C Plant Detail'!K443</f>
        <v>1756735.8760000002</v>
      </c>
      <c r="J20" s="348">
        <f>'WPB-2.1.C Plant Detail'!L443</f>
        <v>0</v>
      </c>
      <c r="K20" s="348">
        <f>'WPB-2.1.C Plant Detail'!M443</f>
        <v>-3599521.7280375701</v>
      </c>
      <c r="L20" s="348">
        <f>'WPB-2.1.C Plant Detail'!N443</f>
        <v>-20596.785572000008</v>
      </c>
      <c r="M20" s="349">
        <f t="shared" si="1"/>
        <v>162922189.84953567</v>
      </c>
    </row>
    <row r="21" spans="1:14">
      <c r="A21" s="345">
        <f>IF(ISBLANK($B21),"",COUNTA($B$17:B21))</f>
        <v>5</v>
      </c>
      <c r="B21" s="347" t="s">
        <v>1632</v>
      </c>
      <c r="C21" s="348">
        <f>'WPB-2.1.C Plant Detail'!D557</f>
        <v>722465986.77331579</v>
      </c>
      <c r="D21" s="348">
        <f>'WPB-2.1.C Plant Detail'!E557</f>
        <v>4544122.51</v>
      </c>
      <c r="E21" s="348">
        <f>'WPB-2.1.C Plant Detail'!F557</f>
        <v>-616975.45182255679</v>
      </c>
      <c r="F21" s="349">
        <f t="shared" si="0"/>
        <v>726393133.83149326</v>
      </c>
      <c r="G21" s="349"/>
      <c r="H21" s="348">
        <f>'WPB-2.1.C Plant Detail'!I557</f>
        <v>162922189.84953561</v>
      </c>
      <c r="I21" s="348">
        <f>'WPB-2.1.C Plant Detail'!K557</f>
        <v>1793754.091</v>
      </c>
      <c r="J21" s="348">
        <f>'WPB-2.1.C Plant Detail'!L557</f>
        <v>0</v>
      </c>
      <c r="K21" s="348">
        <f>'WPB-2.1.C Plant Detail'!M557</f>
        <v>-616975.45182255679</v>
      </c>
      <c r="L21" s="348">
        <f>'WPB-2.1.C Plant Detail'!N557</f>
        <v>-134719.50689299998</v>
      </c>
      <c r="M21" s="349">
        <f t="shared" si="1"/>
        <v>163964248.98182005</v>
      </c>
    </row>
    <row r="22" spans="1:14">
      <c r="A22" s="345">
        <f>IF(ISBLANK($B22),"",COUNTA($B$17:B22))</f>
        <v>6</v>
      </c>
      <c r="B22" s="347" t="s">
        <v>1633</v>
      </c>
      <c r="C22" s="348">
        <f>'WPB-2.1.C Plant Detail'!D671</f>
        <v>726393133.83149314</v>
      </c>
      <c r="D22" s="348">
        <f>'WPB-2.1.C Plant Detail'!E671</f>
        <v>1458590.919999999</v>
      </c>
      <c r="E22" s="348">
        <f>'WPB-2.1.C Plant Detail'!F671</f>
        <v>-379813.66567733948</v>
      </c>
      <c r="F22" s="349">
        <f t="shared" si="0"/>
        <v>727471911.08581579</v>
      </c>
      <c r="G22" s="349"/>
      <c r="H22" s="348">
        <f>'WPB-2.1.C Plant Detail'!I671</f>
        <v>163964248.98182005</v>
      </c>
      <c r="I22" s="348">
        <f>'WPB-2.1.C Plant Detail'!K671</f>
        <v>1765775.746</v>
      </c>
      <c r="J22" s="348">
        <f>'WPB-2.1.C Plant Detail'!L671</f>
        <v>0</v>
      </c>
      <c r="K22" s="348">
        <f>'WPB-2.1.C Plant Detail'!M671</f>
        <v>-379813.66567733948</v>
      </c>
      <c r="L22" s="348">
        <f>'WPB-2.1.C Plant Detail'!N671</f>
        <v>-319779.824012</v>
      </c>
      <c r="M22" s="349">
        <f t="shared" si="1"/>
        <v>165030431.23813069</v>
      </c>
    </row>
    <row r="23" spans="1:14">
      <c r="A23" s="345">
        <f>IF(ISBLANK($B23),"",COUNTA($B$17:B23))</f>
        <v>7</v>
      </c>
      <c r="B23" s="347" t="s">
        <v>1634</v>
      </c>
      <c r="C23" s="348">
        <f>'WPB-2.1.C Plant Detail'!D785</f>
        <v>727471911.08581591</v>
      </c>
      <c r="D23" s="348">
        <f>'WPB-2.1.C Plant Detail'!E785</f>
        <v>1461742.3299999998</v>
      </c>
      <c r="E23" s="348">
        <f>'WPB-2.1.C Plant Detail'!F785</f>
        <v>-306733.02473480045</v>
      </c>
      <c r="F23" s="349">
        <f t="shared" si="0"/>
        <v>728626920.39108109</v>
      </c>
      <c r="G23" s="349"/>
      <c r="H23" s="348">
        <f>'WPB-2.1.C Plant Detail'!I785</f>
        <v>165030431.23813075</v>
      </c>
      <c r="I23" s="348">
        <f>'WPB-2.1.C Plant Detail'!K785</f>
        <v>1768615.4039999994</v>
      </c>
      <c r="J23" s="348">
        <f>'WPB-2.1.C Plant Detail'!L785</f>
        <v>0</v>
      </c>
      <c r="K23" s="348">
        <f>'WPB-2.1.C Plant Detail'!M785</f>
        <v>-306733.02473480045</v>
      </c>
      <c r="L23" s="348">
        <f>'WPB-2.1.C Plant Detail'!N785</f>
        <v>-362472.41307499999</v>
      </c>
      <c r="M23" s="349">
        <f t="shared" si="1"/>
        <v>166129841.20432097</v>
      </c>
    </row>
    <row r="24" spans="1:14">
      <c r="A24" s="345">
        <f>IF(ISBLANK($B24),"",COUNTA($B$17:B24))</f>
        <v>8</v>
      </c>
      <c r="B24" s="347" t="s">
        <v>1635</v>
      </c>
      <c r="C24" s="348">
        <f>'WPB-2.1.C Plant Detail'!D899</f>
        <v>728626920.39108109</v>
      </c>
      <c r="D24" s="348">
        <f>'WPB-2.1.C Plant Detail'!E899</f>
        <v>2666331.959999999</v>
      </c>
      <c r="E24" s="348">
        <f>'WPB-2.1.C Plant Detail'!F899</f>
        <v>-140287.24504768665</v>
      </c>
      <c r="F24" s="349">
        <f t="shared" si="0"/>
        <v>731152965.10603344</v>
      </c>
      <c r="G24" s="349"/>
      <c r="H24" s="348">
        <f>'WPB-2.1.C Plant Detail'!I899</f>
        <v>166129841.20432091</v>
      </c>
      <c r="I24" s="348">
        <f>'WPB-2.1.C Plant Detail'!K899</f>
        <v>1799217.1739999999</v>
      </c>
      <c r="J24" s="348">
        <f>'WPB-2.1.C Plant Detail'!L899</f>
        <v>0</v>
      </c>
      <c r="K24" s="348">
        <f>'WPB-2.1.C Plant Detail'!M899</f>
        <v>-140287.24504768665</v>
      </c>
      <c r="L24" s="348">
        <f>'WPB-2.1.C Plant Detail'!N899</f>
        <v>-102922.40047500003</v>
      </c>
      <c r="M24" s="349">
        <f t="shared" si="1"/>
        <v>167685848.73279822</v>
      </c>
    </row>
    <row r="25" spans="1:14">
      <c r="A25" s="345">
        <f>IF(ISBLANK($B25),"",COUNTA($B$17:B25))</f>
        <v>9</v>
      </c>
      <c r="B25" s="347" t="s">
        <v>1636</v>
      </c>
      <c r="C25" s="348">
        <f>'WPB-2.1.C Plant Detail'!D1013</f>
        <v>731152965.10603333</v>
      </c>
      <c r="D25" s="348">
        <f>'WPB-2.1.C Plant Detail'!E1013</f>
        <v>3583310.8400000003</v>
      </c>
      <c r="E25" s="348">
        <f>'WPB-2.1.C Plant Detail'!F1013</f>
        <v>-496321.74954263284</v>
      </c>
      <c r="F25" s="349">
        <f t="shared" si="0"/>
        <v>734239954.19649076</v>
      </c>
      <c r="G25" s="349"/>
      <c r="H25" s="348">
        <f>'WPB-2.1.C Plant Detail'!I1013</f>
        <v>167685848.73279831</v>
      </c>
      <c r="I25" s="348">
        <f>'WPB-2.1.C Plant Detail'!K1013</f>
        <v>1776564.33</v>
      </c>
      <c r="J25" s="348">
        <f>'WPB-2.1.C Plant Detail'!L1013</f>
        <v>0</v>
      </c>
      <c r="K25" s="348">
        <f>'WPB-2.1.C Plant Detail'!M1013</f>
        <v>-496321.74954263284</v>
      </c>
      <c r="L25" s="348">
        <f>'WPB-2.1.C Plant Detail'!N1013</f>
        <v>-90777.207448000016</v>
      </c>
      <c r="M25" s="349">
        <f t="shared" si="1"/>
        <v>168875314.10580769</v>
      </c>
      <c r="N25" s="343" t="s">
        <v>1765</v>
      </c>
    </row>
    <row r="26" spans="1:14">
      <c r="A26" s="345">
        <f>IF(ISBLANK($B26),"",COUNTA($B$17:B26))</f>
        <v>10</v>
      </c>
      <c r="B26" s="347" t="s">
        <v>1637</v>
      </c>
      <c r="C26" s="348">
        <f>'WPB-2.1.C Plant Detail'!D1127</f>
        <v>734239954.19649076</v>
      </c>
      <c r="D26" s="348">
        <f>'WPB-2.1.C Plant Detail'!E1127</f>
        <v>4870156.67</v>
      </c>
      <c r="E26" s="348">
        <f>'WPB-2.1.C Plant Detail'!F1127</f>
        <v>-180425.73976356303</v>
      </c>
      <c r="F26" s="349">
        <f t="shared" si="0"/>
        <v>738929685.1267271</v>
      </c>
      <c r="G26" s="349"/>
      <c r="H26" s="348">
        <f>'WPB-2.1.C Plant Detail'!I1127</f>
        <v>168875314.10580772</v>
      </c>
      <c r="I26" s="348">
        <f>'WPB-2.1.C Plant Detail'!K1127</f>
        <v>1764398.7789999994</v>
      </c>
      <c r="J26" s="348">
        <f>'WPB-2.1.C Plant Detail'!L1127</f>
        <v>0</v>
      </c>
      <c r="K26" s="348">
        <f>'WPB-2.1.C Plant Detail'!M1127</f>
        <v>-180425.73976356303</v>
      </c>
      <c r="L26" s="348">
        <f>'WPB-2.1.C Plant Detail'!N1127</f>
        <v>-218881.06146300002</v>
      </c>
      <c r="M26" s="349">
        <f t="shared" si="1"/>
        <v>170240406.08358118</v>
      </c>
      <c r="N26" s="343" t="s">
        <v>1765</v>
      </c>
    </row>
    <row r="27" spans="1:14">
      <c r="A27" s="345">
        <f>IF(ISBLANK($B27),"",COUNTA($B$17:B27))</f>
        <v>11</v>
      </c>
      <c r="B27" s="347" t="s">
        <v>1638</v>
      </c>
      <c r="C27" s="348">
        <f>'WPB-2.1.C Plant Detail'!D1241</f>
        <v>738929685.12672698</v>
      </c>
      <c r="D27" s="348">
        <f>'WPB-2.1.C Plant Detail'!E1241</f>
        <v>2625692.0500000007</v>
      </c>
      <c r="E27" s="348">
        <f>'WPB-2.1.C Plant Detail'!F1241</f>
        <v>-431601.3938473998</v>
      </c>
      <c r="F27" s="349">
        <f t="shared" si="0"/>
        <v>741123775.78287959</v>
      </c>
      <c r="G27" s="349"/>
      <c r="H27" s="348">
        <f>'WPB-2.1.C Plant Detail'!I1241</f>
        <v>170240406.08358115</v>
      </c>
      <c r="I27" s="348">
        <f>'WPB-2.1.C Plant Detail'!K1241</f>
        <v>1788355.7519999996</v>
      </c>
      <c r="J27" s="348">
        <f>'WPB-2.1.C Plant Detail'!L1241</f>
        <v>0</v>
      </c>
      <c r="K27" s="348">
        <f>'WPB-2.1.C Plant Detail'!M1241</f>
        <v>-431601.3938473998</v>
      </c>
      <c r="L27" s="348">
        <f>'WPB-2.1.C Plant Detail'!N1241</f>
        <v>-120429.93854</v>
      </c>
      <c r="M27" s="349">
        <f t="shared" si="1"/>
        <v>171476730.50319374</v>
      </c>
      <c r="N27" s="343" t="s">
        <v>1765</v>
      </c>
    </row>
    <row r="28" spans="1:14">
      <c r="A28" s="345">
        <f>IF(ISBLANK($B28),"",COUNTA($B$17:B28))</f>
        <v>12</v>
      </c>
      <c r="B28" s="347" t="s">
        <v>1639</v>
      </c>
      <c r="C28" s="348">
        <f>'WPB-2.1.C Plant Detail'!D1355</f>
        <v>741123775.78287983</v>
      </c>
      <c r="D28" s="348">
        <f>'WPB-2.1.C Plant Detail'!E1355</f>
        <v>4245319.9400000013</v>
      </c>
      <c r="E28" s="348">
        <f>'WPB-2.1.C Plant Detail'!F1355</f>
        <v>-834915.413450049</v>
      </c>
      <c r="F28" s="349">
        <f t="shared" si="0"/>
        <v>744534180.30942988</v>
      </c>
      <c r="G28" s="349"/>
      <c r="H28" s="348">
        <f>'WPB-2.1.C Plant Detail'!I1355</f>
        <v>171476730.50319371</v>
      </c>
      <c r="I28" s="348">
        <f>'WPB-2.1.C Plant Detail'!K1355</f>
        <v>1794675.1490000002</v>
      </c>
      <c r="J28" s="348">
        <f>'WPB-2.1.C Plant Detail'!L1355</f>
        <v>0</v>
      </c>
      <c r="K28" s="348">
        <f>'WPB-2.1.C Plant Detail'!M1355</f>
        <v>-834914.81345004891</v>
      </c>
      <c r="L28" s="348">
        <f>'WPB-2.1.C Plant Detail'!N1355</f>
        <v>-113334.05772200003</v>
      </c>
      <c r="M28" s="349">
        <f t="shared" si="1"/>
        <v>172323156.78102165</v>
      </c>
      <c r="N28" s="343" t="s">
        <v>1765</v>
      </c>
    </row>
    <row r="29" spans="1:14">
      <c r="A29" s="345">
        <f>IF(ISBLANK($B29),"",COUNTA($B$17:B29))</f>
        <v>13</v>
      </c>
      <c r="B29" s="347" t="s">
        <v>1640</v>
      </c>
      <c r="C29" s="348">
        <f>'WPB-2.1.C Plant Detail'!D1469</f>
        <v>744534180.30942965</v>
      </c>
      <c r="D29" s="348">
        <f>'WPB-2.1.C Plant Detail'!E1469</f>
        <v>1437645.6700000002</v>
      </c>
      <c r="E29" s="348">
        <f>'WPB-2.1.C Plant Detail'!F1469</f>
        <v>-613708.38</v>
      </c>
      <c r="F29" s="349">
        <f t="shared" si="0"/>
        <v>745358117.59942961</v>
      </c>
      <c r="G29" s="349"/>
      <c r="H29" s="348">
        <f>'WPB-2.1.C Plant Detail'!I1469</f>
        <v>172323156.7810216</v>
      </c>
      <c r="I29" s="348">
        <f>'WPB-2.1.C Plant Detail'!K1469</f>
        <v>1824035.6048055554</v>
      </c>
      <c r="J29" s="348">
        <f>'WPB-2.1.C Plant Detail'!L1469</f>
        <v>0</v>
      </c>
      <c r="K29" s="348">
        <f>'WPB-2.1.C Plant Detail'!M1469</f>
        <v>-613708.38</v>
      </c>
      <c r="L29" s="348">
        <f>'WPB-2.1.C Plant Detail'!N1469</f>
        <v>-18403.78</v>
      </c>
      <c r="M29" s="349">
        <f t="shared" si="1"/>
        <v>173515080.22582716</v>
      </c>
      <c r="N29" s="343" t="s">
        <v>1765</v>
      </c>
    </row>
    <row r="30" spans="1:14">
      <c r="A30" s="345">
        <f>IF(ISBLANK($B30),"",COUNTA($B$17:B30))</f>
        <v>14</v>
      </c>
      <c r="B30" s="347" t="s">
        <v>1641</v>
      </c>
      <c r="C30" s="348">
        <f>'WPB-2.1.C Plant Detail'!D1583</f>
        <v>745358117.59942973</v>
      </c>
      <c r="D30" s="348">
        <f>'WPB-2.1.C Plant Detail'!E1583</f>
        <v>1776434.53</v>
      </c>
      <c r="E30" s="348">
        <f>'WPB-2.1.C Plant Detail'!F1583</f>
        <v>-112161.44000000003</v>
      </c>
      <c r="F30" s="349">
        <f t="shared" si="0"/>
        <v>747022390.68942964</v>
      </c>
      <c r="G30" s="349"/>
      <c r="H30" s="348">
        <f>'WPB-2.1.C Plant Detail'!I1583</f>
        <v>173515080.22582725</v>
      </c>
      <c r="I30" s="348">
        <f>'WPB-2.1.C Plant Detail'!K1583</f>
        <v>1766472.1648055555</v>
      </c>
      <c r="J30" s="348">
        <f>'WPB-2.1.C Plant Detail'!L1583</f>
        <v>0</v>
      </c>
      <c r="K30" s="348">
        <f>'WPB-2.1.C Plant Detail'!M1583</f>
        <v>-112161.44000000003</v>
      </c>
      <c r="L30" s="348">
        <f>'WPB-2.1.C Plant Detail'!N1583</f>
        <v>-74788.760000000009</v>
      </c>
      <c r="M30" s="349">
        <f t="shared" si="1"/>
        <v>175094602.19063282</v>
      </c>
      <c r="N30" s="343" t="s">
        <v>1765</v>
      </c>
    </row>
    <row r="31" spans="1:14">
      <c r="A31" s="345">
        <f>IF(ISBLANK($B31),"",COUNTA($B$17:B31))</f>
        <v>15</v>
      </c>
      <c r="B31" s="347" t="s">
        <v>1642</v>
      </c>
      <c r="C31" s="348">
        <f>'WPB-2.1.C Plant Detail'!D1697</f>
        <v>747022390.68942964</v>
      </c>
      <c r="D31" s="348">
        <f>'WPB-2.1.C Plant Detail'!E1697</f>
        <v>1776427.2179451173</v>
      </c>
      <c r="E31" s="348">
        <f>'WPB-2.1.C Plant Detail'!F1697</f>
        <v>-519381.0614267253</v>
      </c>
      <c r="F31" s="349">
        <f t="shared" si="0"/>
        <v>748279436.84594798</v>
      </c>
      <c r="G31" s="349"/>
      <c r="H31" s="348">
        <f>'WPB-2.1.C Plant Detail'!I1697</f>
        <v>175094602.19063279</v>
      </c>
      <c r="I31" s="348">
        <f>'WPB-2.1.C Plant Detail'!K1697</f>
        <v>1735117.0383055555</v>
      </c>
      <c r="J31" s="348">
        <f>'WPB-2.1.C Plant Detail'!L1697</f>
        <v>0</v>
      </c>
      <c r="K31" s="348">
        <f>'WPB-2.1.C Plant Detail'!M1697</f>
        <v>-519381.0614267253</v>
      </c>
      <c r="L31" s="348">
        <f>'WPB-2.1.C Plant Detail'!N1697</f>
        <v>-161396.5099363917</v>
      </c>
      <c r="M31" s="349">
        <f t="shared" si="1"/>
        <v>176148941.65757522</v>
      </c>
      <c r="N31" s="343" t="s">
        <v>1766</v>
      </c>
    </row>
    <row r="32" spans="1:14">
      <c r="A32" s="345">
        <f>IF(ISBLANK($B32),"",COUNTA($B$17:B32))</f>
        <v>16</v>
      </c>
      <c r="B32" s="347" t="s">
        <v>1643</v>
      </c>
      <c r="C32" s="348">
        <f>'WPB-2.1.C Plant Detail'!D1811</f>
        <v>748279436.8459481</v>
      </c>
      <c r="D32" s="348">
        <f>'WPB-2.1.C Plant Detail'!E1811</f>
        <v>1284449.6908185044</v>
      </c>
      <c r="E32" s="348">
        <f>'WPB-2.1.C Plant Detail'!F1811</f>
        <v>-2671722.5292908764</v>
      </c>
      <c r="F32" s="349">
        <f t="shared" si="0"/>
        <v>746892164.00747573</v>
      </c>
      <c r="G32" s="349"/>
      <c r="H32" s="348">
        <f>'WPB-2.1.C Plant Detail'!I1811</f>
        <v>176148941.65757522</v>
      </c>
      <c r="I32" s="348">
        <f>'WPB-2.1.C Plant Detail'!K1811</f>
        <v>1792880.4975336781</v>
      </c>
      <c r="J32" s="348">
        <f>'WPB-2.1.C Plant Detail'!L1811</f>
        <v>0</v>
      </c>
      <c r="K32" s="348">
        <f>'WPB-2.1.C Plant Detail'!M1811</f>
        <v>-2671722.5292908764</v>
      </c>
      <c r="L32" s="348">
        <f>'WPB-2.1.C Plant Detail'!N1811</f>
        <v>-142917.78470788305</v>
      </c>
      <c r="M32" s="349">
        <f t="shared" si="1"/>
        <v>175127181.84111014</v>
      </c>
      <c r="N32" s="343" t="s">
        <v>1766</v>
      </c>
    </row>
    <row r="33" spans="1:16">
      <c r="A33" s="345">
        <f>IF(ISBLANK($B33),"",COUNTA($B$17:B33))</f>
        <v>17</v>
      </c>
      <c r="B33" s="347" t="s">
        <v>1644</v>
      </c>
      <c r="C33" s="348">
        <f>'WPB-2.1.C Plant Detail'!D1925</f>
        <v>746892164.00747585</v>
      </c>
      <c r="D33" s="348">
        <f>'WPB-2.1.C Plant Detail'!E1925</f>
        <v>2165639.1847382239</v>
      </c>
      <c r="E33" s="348">
        <f>'WPB-2.1.C Plant Detail'!F1925</f>
        <v>-283161.58213084843</v>
      </c>
      <c r="F33" s="349">
        <f t="shared" si="0"/>
        <v>748774641.61008334</v>
      </c>
      <c r="G33" s="349"/>
      <c r="H33" s="348">
        <f>'WPB-2.1.C Plant Detail'!I1925</f>
        <v>175127181.84111017</v>
      </c>
      <c r="I33" s="348">
        <f>'WPB-2.1.C Plant Detail'!K1925</f>
        <v>1794941.122085226</v>
      </c>
      <c r="J33" s="348">
        <f>'WPB-2.1.C Plant Detail'!L1925</f>
        <v>0</v>
      </c>
      <c r="K33" s="348">
        <f>'WPB-2.1.C Plant Detail'!M1925</f>
        <v>-283161.58213084843</v>
      </c>
      <c r="L33" s="348">
        <f>'WPB-2.1.C Plant Detail'!N1925</f>
        <v>-101236.03516176116</v>
      </c>
      <c r="M33" s="349">
        <f t="shared" si="1"/>
        <v>176537725.34590277</v>
      </c>
      <c r="N33" s="343" t="s">
        <v>1766</v>
      </c>
    </row>
    <row r="34" spans="1:16">
      <c r="A34" s="345">
        <f>IF(ISBLANK($B34),"",COUNTA($B$17:B34))</f>
        <v>18</v>
      </c>
      <c r="B34" s="347" t="s">
        <v>1645</v>
      </c>
      <c r="C34" s="348">
        <f>'WPB-2.1.C Plant Detail'!D2039</f>
        <v>748774641.61008334</v>
      </c>
      <c r="D34" s="348">
        <f>'WPB-2.1.C Plant Detail'!E2039</f>
        <v>1657904.780689056</v>
      </c>
      <c r="E34" s="348">
        <f>'WPB-2.1.C Plant Detail'!F2039</f>
        <v>-418253.55990086572</v>
      </c>
      <c r="F34" s="349">
        <f t="shared" si="0"/>
        <v>750014292.83087146</v>
      </c>
      <c r="G34" s="349"/>
      <c r="H34" s="348">
        <f>'WPB-2.1.C Plant Detail'!I2039</f>
        <v>176537725.34590274</v>
      </c>
      <c r="I34" s="348">
        <f>'WPB-2.1.C Plant Detail'!K2039</f>
        <v>1797977.1878017716</v>
      </c>
      <c r="J34" s="348">
        <f>'WPB-2.1.C Plant Detail'!L2039</f>
        <v>0</v>
      </c>
      <c r="K34" s="348">
        <f>'WPB-2.1.C Plant Detail'!M2039</f>
        <v>-418253.55990086572</v>
      </c>
      <c r="L34" s="348">
        <f>'WPB-2.1.C Plant Detail'!N2039</f>
        <v>-91774.316555302386</v>
      </c>
      <c r="M34" s="349">
        <f t="shared" si="1"/>
        <v>177825674.65724835</v>
      </c>
      <c r="N34" s="343" t="s">
        <v>1766</v>
      </c>
    </row>
    <row r="35" spans="1:16">
      <c r="A35" s="345">
        <f>IF(ISBLANK($B35),"",COUNTA($B$17:B35))</f>
        <v>19</v>
      </c>
      <c r="B35" s="347" t="s">
        <v>1646</v>
      </c>
      <c r="C35" s="348">
        <f>'WPB-2.1.C Plant Detail'!D2153</f>
        <v>750014292.83087134</v>
      </c>
      <c r="D35" s="348">
        <f>'WPB-2.1.C Plant Detail'!E2153</f>
        <v>2607754.4779145652</v>
      </c>
      <c r="E35" s="348">
        <f>'WPB-2.1.C Plant Detail'!F2153</f>
        <v>-581901.49775049905</v>
      </c>
      <c r="F35" s="349">
        <f t="shared" si="0"/>
        <v>752040145.81103539</v>
      </c>
      <c r="G35" s="349"/>
      <c r="H35" s="348">
        <f>'WPB-2.1.C Plant Detail'!I2153</f>
        <v>177825674.65724832</v>
      </c>
      <c r="I35" s="348">
        <f>'WPB-2.1.C Plant Detail'!K2153</f>
        <v>1810103.6036557413</v>
      </c>
      <c r="J35" s="348">
        <f>'WPB-2.1.C Plant Detail'!L2153</f>
        <v>0</v>
      </c>
      <c r="K35" s="348">
        <f>'WPB-2.1.C Plant Detail'!M2153</f>
        <v>-581901.49775049905</v>
      </c>
      <c r="L35" s="348">
        <f>'WPB-2.1.C Plant Detail'!N2153</f>
        <v>-26802.9628602054</v>
      </c>
      <c r="M35" s="349">
        <f t="shared" si="1"/>
        <v>179027073.80029339</v>
      </c>
      <c r="N35" s="343" t="s">
        <v>1766</v>
      </c>
    </row>
    <row r="36" spans="1:16">
      <c r="A36" s="345">
        <f>IF(ISBLANK($B36),"",COUNTA($B$17:B36))</f>
        <v>20</v>
      </c>
      <c r="B36" s="347" t="s">
        <v>1647</v>
      </c>
      <c r="C36" s="348">
        <f>'WPB-2.1.C Plant Detail'!D2267</f>
        <v>752040145.81103539</v>
      </c>
      <c r="D36" s="348">
        <f>'WPB-2.1.C Plant Detail'!E2267</f>
        <v>1289332.20077063</v>
      </c>
      <c r="E36" s="348">
        <f>'WPB-2.1.C Plant Detail'!F2267</f>
        <v>-244621.34908109964</v>
      </c>
      <c r="F36" s="349">
        <f t="shared" si="0"/>
        <v>753084856.66272485</v>
      </c>
      <c r="G36" s="349"/>
      <c r="H36" s="348">
        <f>'WPB-2.1.C Plant Detail'!I2267</f>
        <v>179027073.80029339</v>
      </c>
      <c r="I36" s="348">
        <f>'WPB-2.1.C Plant Detail'!K2267</f>
        <v>1822175.4546182838</v>
      </c>
      <c r="J36" s="348">
        <f>'WPB-2.1.C Plant Detail'!L2267</f>
        <v>0</v>
      </c>
      <c r="K36" s="348">
        <f>'WPB-2.1.C Plant Detail'!M2267</f>
        <v>-244621.34908109964</v>
      </c>
      <c r="L36" s="348">
        <f>'WPB-2.1.C Plant Detail'!N2267</f>
        <v>-64459.878955440538</v>
      </c>
      <c r="M36" s="349">
        <f t="shared" si="1"/>
        <v>180540168.02687511</v>
      </c>
      <c r="N36" s="343" t="s">
        <v>1766</v>
      </c>
      <c r="P36" s="350"/>
    </row>
    <row r="37" spans="1:16">
      <c r="A37" s="345">
        <f>IF(ISBLANK($B37),"",COUNTA($B$17:B37))</f>
        <v>21</v>
      </c>
      <c r="B37" s="347" t="s">
        <v>1648</v>
      </c>
      <c r="C37" s="348">
        <f>'WPB-2.1.C Plant Detail'!D2381</f>
        <v>753084856.66272485</v>
      </c>
      <c r="D37" s="348">
        <f>'WPB-2.1.C Plant Detail'!E2381</f>
        <v>1745139.209594612</v>
      </c>
      <c r="E37" s="348">
        <f>'WPB-2.1.C Plant Detail'!F2381</f>
        <v>-230032.25921448256</v>
      </c>
      <c r="F37" s="349">
        <f t="shared" si="0"/>
        <v>754599963.61310494</v>
      </c>
      <c r="G37" s="349"/>
      <c r="H37" s="348">
        <f>'WPB-2.1.C Plant Detail'!I2381</f>
        <v>180540168.02687517</v>
      </c>
      <c r="I37" s="348">
        <f>'WPB-2.1.C Plant Detail'!K2381</f>
        <v>1825304.4483326378</v>
      </c>
      <c r="J37" s="348">
        <f>'WPB-2.1.C Plant Detail'!L2381</f>
        <v>0</v>
      </c>
      <c r="K37" s="348">
        <f>'WPB-2.1.C Plant Detail'!M2381</f>
        <v>-230032.25921448256</v>
      </c>
      <c r="L37" s="348">
        <f>'WPB-2.1.C Plant Detail'!N2381</f>
        <v>-19244.074293971134</v>
      </c>
      <c r="M37" s="349">
        <f t="shared" si="1"/>
        <v>182116196.14169934</v>
      </c>
    </row>
    <row r="38" spans="1:16">
      <c r="A38" s="345">
        <f>IF(ISBLANK($B38),"",COUNTA($B$17:B38))</f>
        <v>22</v>
      </c>
      <c r="B38" s="347" t="s">
        <v>1649</v>
      </c>
      <c r="C38" s="348">
        <f>'WPB-2.1.C Plant Detail'!D2495</f>
        <v>754599963.61310506</v>
      </c>
      <c r="D38" s="348">
        <f>'WPB-2.1.C Plant Detail'!E2495</f>
        <v>2431869.2435464165</v>
      </c>
      <c r="E38" s="348">
        <f>'WPB-2.1.C Plant Detail'!F2495</f>
        <v>-272941.16379530955</v>
      </c>
      <c r="F38" s="349">
        <f t="shared" si="0"/>
        <v>756758891.69285607</v>
      </c>
      <c r="G38" s="349"/>
      <c r="H38" s="348">
        <f>'WPB-2.1.C Plant Detail'!I2495</f>
        <v>182116196.14169934</v>
      </c>
      <c r="I38" s="348">
        <f>'WPB-2.1.C Plant Detail'!K2495</f>
        <v>1826979.7679803309</v>
      </c>
      <c r="J38" s="348">
        <f>'WPB-2.1.C Plant Detail'!L2495</f>
        <v>0</v>
      </c>
      <c r="K38" s="348">
        <f>'WPB-2.1.C Plant Detail'!M2495</f>
        <v>-272941.16379530955</v>
      </c>
      <c r="L38" s="348">
        <f>'WPB-2.1.C Plant Detail'!N2495</f>
        <v>-10067.897806811747</v>
      </c>
      <c r="M38" s="349">
        <f t="shared" si="1"/>
        <v>183660166.84807754</v>
      </c>
    </row>
    <row r="39" spans="1:16">
      <c r="A39" s="345">
        <f>IF(ISBLANK($B39),"",COUNTA($B$17:B39))</f>
        <v>23</v>
      </c>
      <c r="B39" s="347" t="s">
        <v>1650</v>
      </c>
      <c r="C39" s="348">
        <f>'WPB-2.1.C Plant Detail'!D2609</f>
        <v>756758891.69285631</v>
      </c>
      <c r="D39" s="348">
        <f>'WPB-2.1.C Plant Detail'!E2609</f>
        <v>2701237.3632811517</v>
      </c>
      <c r="E39" s="348">
        <f>'WPB-2.1.C Plant Detail'!F2609</f>
        <v>-1029924.4188999095</v>
      </c>
      <c r="F39" s="349">
        <f t="shared" si="0"/>
        <v>758430204.63723755</v>
      </c>
      <c r="G39" s="349"/>
      <c r="H39" s="348">
        <f>'WPB-2.1.C Plant Detail'!I2609</f>
        <v>183660166.84807757</v>
      </c>
      <c r="I39" s="348">
        <f>'WPB-2.1.C Plant Detail'!K2609</f>
        <v>1831587.3606689642</v>
      </c>
      <c r="J39" s="348">
        <f>'WPB-2.1.C Plant Detail'!L2609</f>
        <v>0</v>
      </c>
      <c r="K39" s="348">
        <f>'WPB-2.1.C Plant Detail'!M2609</f>
        <v>-1029924.4188999095</v>
      </c>
      <c r="L39" s="348">
        <f>'WPB-2.1.C Plant Detail'!N2609</f>
        <v>3121.0192546138023</v>
      </c>
      <c r="M39" s="349">
        <f t="shared" si="1"/>
        <v>184464950.80910122</v>
      </c>
    </row>
    <row r="40" spans="1:16">
      <c r="A40" s="345">
        <f>IF(ISBLANK($B40),"",COUNTA($B$17:B40))</f>
        <v>24</v>
      </c>
      <c r="B40" s="347" t="s">
        <v>1651</v>
      </c>
      <c r="C40" s="348">
        <f>'WPB-2.1.C Plant Detail'!D2723</f>
        <v>758430204.63723731</v>
      </c>
      <c r="D40" s="348">
        <f>'WPB-2.1.C Plant Detail'!E2723</f>
        <v>4548248.6862942642</v>
      </c>
      <c r="E40" s="348">
        <f>'WPB-2.1.C Plant Detail'!F2723</f>
        <v>-455568.01860963344</v>
      </c>
      <c r="F40" s="349">
        <f t="shared" si="0"/>
        <v>762522885.30492198</v>
      </c>
      <c r="G40" s="349"/>
      <c r="H40" s="348">
        <f>'WPB-2.1.C Plant Detail'!I2723</f>
        <v>184464950.80910125</v>
      </c>
      <c r="I40" s="348">
        <f>'WPB-2.1.C Plant Detail'!K2723</f>
        <v>1845061.9827357691</v>
      </c>
      <c r="J40" s="348">
        <f>'WPB-2.1.C Plant Detail'!L2723</f>
        <v>63240</v>
      </c>
      <c r="K40" s="348">
        <f>'WPB-2.1.C Plant Detail'!M2723</f>
        <v>-455568.01860963344</v>
      </c>
      <c r="L40" s="348">
        <f>'WPB-2.1.C Plant Detail'!N2723</f>
        <v>-32066.163892411219</v>
      </c>
      <c r="M40" s="349">
        <f t="shared" si="1"/>
        <v>185885618.60933498</v>
      </c>
    </row>
    <row r="41" spans="1:16">
      <c r="A41" s="345">
        <f>IF(ISBLANK($B41),"",COUNTA($B$17:B41))</f>
        <v>25</v>
      </c>
      <c r="B41" s="347" t="s">
        <v>1652</v>
      </c>
      <c r="C41" s="348">
        <f>'WPB-2.1.C Plant Detail'!D2837</f>
        <v>762522885.30492222</v>
      </c>
      <c r="D41" s="348">
        <f>'WPB-2.1.C Plant Detail'!E2837</f>
        <v>1824650.1045586457</v>
      </c>
      <c r="E41" s="348">
        <f>'WPB-2.1.C Plant Detail'!F2837</f>
        <v>-901496.03384381079</v>
      </c>
      <c r="F41" s="349">
        <f t="shared" si="0"/>
        <v>763446039.37563705</v>
      </c>
      <c r="G41" s="349"/>
      <c r="H41" s="348">
        <f>'WPB-2.1.C Plant Detail'!I2837</f>
        <v>185885618.60933495</v>
      </c>
      <c r="I41" s="348">
        <f>'WPB-2.1.C Plant Detail'!K2837</f>
        <v>2135602.6131033893</v>
      </c>
      <c r="J41" s="348">
        <f>'WPB-2.1.C Plant Detail'!L2837</f>
        <v>5270.0000000000009</v>
      </c>
      <c r="K41" s="348">
        <f>'WPB-2.1.C Plant Detail'!M2837</f>
        <v>-901496.03384381079</v>
      </c>
      <c r="L41" s="348">
        <f>'WPB-2.1.C Plant Detail'!N2837</f>
        <v>-149845.3297839991</v>
      </c>
      <c r="M41" s="349">
        <f t="shared" si="1"/>
        <v>186975149.85881051</v>
      </c>
      <c r="N41" s="343" t="s">
        <v>1351</v>
      </c>
    </row>
    <row r="42" spans="1:16">
      <c r="A42" s="345">
        <f>IF(ISBLANK($B42),"",COUNTA($B$17:B42))</f>
        <v>26</v>
      </c>
      <c r="B42" s="347" t="s">
        <v>1653</v>
      </c>
      <c r="C42" s="348">
        <f>'WPB-2.1.C Plant Detail'!D2951</f>
        <v>763446039.37563694</v>
      </c>
      <c r="D42" s="348">
        <f>'WPB-2.1.C Plant Detail'!E2951</f>
        <v>1241836.8620970869</v>
      </c>
      <c r="E42" s="348">
        <f>'WPB-2.1.C Plant Detail'!F2951</f>
        <v>-209169.93361221044</v>
      </c>
      <c r="F42" s="349">
        <f t="shared" si="0"/>
        <v>764478706.30412185</v>
      </c>
      <c r="G42" s="349"/>
      <c r="H42" s="348">
        <f>'WPB-2.1.C Plant Detail'!I2951</f>
        <v>186975149.85881051</v>
      </c>
      <c r="I42" s="348">
        <f>'WPB-2.1.C Plant Detail'!K2951</f>
        <v>2140682.0276515828</v>
      </c>
      <c r="J42" s="348">
        <f>'WPB-2.1.C Plant Detail'!L2951</f>
        <v>5270.0000000000009</v>
      </c>
      <c r="K42" s="348">
        <f>'WPB-2.1.C Plant Detail'!M2951</f>
        <v>-209169.93361221044</v>
      </c>
      <c r="L42" s="348">
        <f>'WPB-2.1.C Plant Detail'!N2951</f>
        <v>-73464.633452701426</v>
      </c>
      <c r="M42" s="349">
        <f t="shared" si="1"/>
        <v>188838467.31939718</v>
      </c>
      <c r="N42" s="343" t="s">
        <v>1351</v>
      </c>
    </row>
    <row r="43" spans="1:16">
      <c r="A43" s="345">
        <f>IF(ISBLANK($B43),"",COUNTA($B$17:B43))</f>
        <v>27</v>
      </c>
      <c r="B43" s="347" t="s">
        <v>1654</v>
      </c>
      <c r="C43" s="348">
        <f>'WPB-2.1.C Plant Detail'!D3065</f>
        <v>764478706.30412173</v>
      </c>
      <c r="D43" s="348">
        <f>'WPB-2.1.C Plant Detail'!E3065</f>
        <v>1557149.0039867365</v>
      </c>
      <c r="E43" s="348">
        <f>'WPB-2.1.C Plant Detail'!F3065</f>
        <v>-411454.02590590052</v>
      </c>
      <c r="F43" s="349">
        <f t="shared" si="0"/>
        <v>765624401.2822026</v>
      </c>
      <c r="G43" s="349"/>
      <c r="H43" s="348">
        <f>'WPB-2.1.C Plant Detail'!I3065</f>
        <v>188838467.31939724</v>
      </c>
      <c r="I43" s="348">
        <f>'WPB-2.1.C Plant Detail'!K3065</f>
        <v>2145123.6123155989</v>
      </c>
      <c r="J43" s="348">
        <f>'WPB-2.1.C Plant Detail'!L3065</f>
        <v>5270.0000000000009</v>
      </c>
      <c r="K43" s="348">
        <f>'WPB-2.1.C Plant Detail'!M3065</f>
        <v>-411454.02590590052</v>
      </c>
      <c r="L43" s="348">
        <f>'WPB-2.1.C Plant Detail'!N3065</f>
        <v>-190243.55933361451</v>
      </c>
      <c r="M43" s="349">
        <f t="shared" si="1"/>
        <v>190387163.34647331</v>
      </c>
      <c r="N43" s="343" t="s">
        <v>1351</v>
      </c>
    </row>
    <row r="44" spans="1:16">
      <c r="A44" s="345">
        <f>IF(ISBLANK($B44),"",COUNTA($B$17:B44))</f>
        <v>28</v>
      </c>
      <c r="B44" s="347" t="s">
        <v>1655</v>
      </c>
      <c r="C44" s="348">
        <f>'WPB-2.1.C Plant Detail'!D3179</f>
        <v>765624401.28220272</v>
      </c>
      <c r="D44" s="348">
        <f>'WPB-2.1.C Plant Detail'!E3179</f>
        <v>5804822.6483644824</v>
      </c>
      <c r="E44" s="348">
        <f>'WPB-2.1.C Plant Detail'!F3179</f>
        <v>-814052.00189735438</v>
      </c>
      <c r="F44" s="349">
        <f t="shared" si="0"/>
        <v>770615171.92866981</v>
      </c>
      <c r="G44" s="349"/>
      <c r="H44" s="348">
        <f>'WPB-2.1.C Plant Detail'!I3179</f>
        <v>190387163.34647334</v>
      </c>
      <c r="I44" s="348">
        <f>'WPB-2.1.C Plant Detail'!K3179</f>
        <v>2166527.4760717661</v>
      </c>
      <c r="J44" s="348">
        <f>'WPB-2.1.C Plant Detail'!L3179</f>
        <v>5270.0000000000009</v>
      </c>
      <c r="K44" s="348">
        <f>'WPB-2.1.C Plant Detail'!M3179</f>
        <v>-814052.00189735438</v>
      </c>
      <c r="L44" s="348">
        <f>'WPB-2.1.C Plant Detail'!N3179</f>
        <v>-175819.69594506602</v>
      </c>
      <c r="M44" s="349">
        <f t="shared" si="1"/>
        <v>191569089.12470269</v>
      </c>
      <c r="N44" s="343" t="s">
        <v>1351</v>
      </c>
    </row>
    <row r="45" spans="1:16">
      <c r="A45" s="345">
        <f>IF(ISBLANK($B45),"",COUNTA($B$17:B45))</f>
        <v>29</v>
      </c>
      <c r="B45" s="347" t="s">
        <v>1656</v>
      </c>
      <c r="C45" s="348">
        <f>'WPB-2.1.C Plant Detail'!D3293</f>
        <v>770615171.92866981</v>
      </c>
      <c r="D45" s="348">
        <f>'WPB-2.1.C Plant Detail'!E3293</f>
        <v>4067622.9820857765</v>
      </c>
      <c r="E45" s="348">
        <f>'WPB-2.1.C Plant Detail'!F3293</f>
        <v>-634781.96320744173</v>
      </c>
      <c r="F45" s="349">
        <f t="shared" si="0"/>
        <v>774048012.94754815</v>
      </c>
      <c r="G45" s="349"/>
      <c r="H45" s="348">
        <f>'WPB-2.1.C Plant Detail'!I3293</f>
        <v>191569089.12470257</v>
      </c>
      <c r="I45" s="348">
        <f>'WPB-2.1.C Plant Detail'!K3293</f>
        <v>2190667.0931558125</v>
      </c>
      <c r="J45" s="348">
        <f>'WPB-2.1.C Plant Detail'!L3293</f>
        <v>5270.0000000000009</v>
      </c>
      <c r="K45" s="348">
        <f>'WPB-2.1.C Plant Detail'!M3293</f>
        <v>-634781.96320744173</v>
      </c>
      <c r="L45" s="348">
        <f>'WPB-2.1.C Plant Detail'!N3293</f>
        <v>-284668.49631716876</v>
      </c>
      <c r="M45" s="349">
        <f t="shared" si="1"/>
        <v>192845575.75833374</v>
      </c>
      <c r="N45" s="343" t="s">
        <v>1351</v>
      </c>
    </row>
    <row r="46" spans="1:16">
      <c r="A46" s="345">
        <f>IF(ISBLANK($B46),"",COUNTA($B$17:B46))</f>
        <v>30</v>
      </c>
      <c r="B46" s="347" t="s">
        <v>1657</v>
      </c>
      <c r="C46" s="348">
        <f>'WPB-2.1.C Plant Detail'!D3407</f>
        <v>774048012.94754827</v>
      </c>
      <c r="D46" s="348">
        <f>'WPB-2.1.C Plant Detail'!E3407</f>
        <v>2303166.7716011149</v>
      </c>
      <c r="E46" s="348">
        <f>'WPB-2.1.C Plant Detail'!F3407</f>
        <v>-254469.30525802966</v>
      </c>
      <c r="F46" s="349">
        <f t="shared" si="0"/>
        <v>776096710.41389132</v>
      </c>
      <c r="G46" s="349"/>
      <c r="H46" s="348">
        <f>'WPB-2.1.C Plant Detail'!I3407</f>
        <v>192845575.75833383</v>
      </c>
      <c r="I46" s="348">
        <f>'WPB-2.1.C Plant Detail'!K3407</f>
        <v>2206097.3576523</v>
      </c>
      <c r="J46" s="348">
        <f>'WPB-2.1.C Plant Detail'!L3407</f>
        <v>5270.0000000000009</v>
      </c>
      <c r="K46" s="348">
        <f>'WPB-2.1.C Plant Detail'!M3407</f>
        <v>-254469.30525802966</v>
      </c>
      <c r="L46" s="348">
        <f>'WPB-2.1.C Plant Detail'!N3407</f>
        <v>-59316.755030183624</v>
      </c>
      <c r="M46" s="349">
        <f t="shared" si="1"/>
        <v>194743157.05569792</v>
      </c>
      <c r="N46" s="343" t="s">
        <v>1351</v>
      </c>
    </row>
    <row r="47" spans="1:16">
      <c r="A47" s="345">
        <f>IF(ISBLANK($B47),"",COUNTA($B$17:B47))</f>
        <v>31</v>
      </c>
      <c r="B47" s="347" t="s">
        <v>1658</v>
      </c>
      <c r="C47" s="348">
        <f>'WPB-2.1.C Plant Detail'!D3521</f>
        <v>776096710.4138912</v>
      </c>
      <c r="D47" s="348">
        <f>'WPB-2.1.C Plant Detail'!E3521</f>
        <v>2924888.3616245869</v>
      </c>
      <c r="E47" s="348">
        <f>'WPB-2.1.C Plant Detail'!F3521</f>
        <v>-276560.09972396429</v>
      </c>
      <c r="F47" s="349">
        <f t="shared" si="0"/>
        <v>778745038.67579186</v>
      </c>
      <c r="G47" s="349"/>
      <c r="H47" s="348">
        <f>'WPB-2.1.C Plant Detail'!I3521</f>
        <v>194743157.05569789</v>
      </c>
      <c r="I47" s="348">
        <f>'WPB-2.1.C Plant Detail'!K3521</f>
        <v>2221375.8422925333</v>
      </c>
      <c r="J47" s="348">
        <f>'WPB-2.1.C Plant Detail'!L3521</f>
        <v>5270.0000000000009</v>
      </c>
      <c r="K47" s="348">
        <f>'WPB-2.1.C Plant Detail'!M3521</f>
        <v>-276560.09972396429</v>
      </c>
      <c r="L47" s="348">
        <f>'WPB-2.1.C Plant Detail'!N3521</f>
        <v>-75931.034787657292</v>
      </c>
      <c r="M47" s="349">
        <f t="shared" si="1"/>
        <v>196617311.76347882</v>
      </c>
      <c r="N47" s="343" t="s">
        <v>1351</v>
      </c>
    </row>
    <row r="48" spans="1:16">
      <c r="A48" s="345">
        <f>IF(ISBLANK($B48),"",COUNTA($B$17:B48))</f>
        <v>32</v>
      </c>
      <c r="B48" s="347" t="s">
        <v>1659</v>
      </c>
      <c r="C48" s="348">
        <f>'WPB-2.1.C Plant Detail'!D3635</f>
        <v>778745038.67579162</v>
      </c>
      <c r="D48" s="348">
        <f>'WPB-2.1.C Plant Detail'!E3635</f>
        <v>1563341.8954402527</v>
      </c>
      <c r="E48" s="348">
        <f>'WPB-2.1.C Plant Detail'!F3635</f>
        <v>-355999.44204085588</v>
      </c>
      <c r="F48" s="349">
        <f t="shared" si="0"/>
        <v>779952381.12919104</v>
      </c>
      <c r="G48" s="349"/>
      <c r="H48" s="348">
        <f>'WPB-2.1.C Plant Detail'!I3635</f>
        <v>196617311.76347885</v>
      </c>
      <c r="I48" s="348">
        <f>'WPB-2.1.C Plant Detail'!K3635</f>
        <v>2228625.9269922129</v>
      </c>
      <c r="J48" s="348">
        <f>'WPB-2.1.C Plant Detail'!L3635</f>
        <v>5270.0000000000009</v>
      </c>
      <c r="K48" s="348">
        <f>'WPB-2.1.C Plant Detail'!M3635</f>
        <v>-355999.44204085588</v>
      </c>
      <c r="L48" s="348">
        <f>'WPB-2.1.C Plant Detail'!N3635</f>
        <v>-369330.12643138226</v>
      </c>
      <c r="M48" s="349">
        <f t="shared" si="1"/>
        <v>198125878.12199882</v>
      </c>
      <c r="N48" s="343" t="s">
        <v>1351</v>
      </c>
    </row>
    <row r="49" spans="1:14">
      <c r="A49" s="345">
        <f>IF(ISBLANK($B49),"",COUNTA($B$17:B49))</f>
        <v>33</v>
      </c>
      <c r="B49" s="347" t="s">
        <v>1660</v>
      </c>
      <c r="C49" s="348">
        <f>'WPB-2.1.C Plant Detail'!D3749</f>
        <v>779952381.12919116</v>
      </c>
      <c r="D49" s="348">
        <f>'WPB-2.1.C Plant Detail'!E3749</f>
        <v>2150502.6378697501</v>
      </c>
      <c r="E49" s="348">
        <f>'WPB-2.1.C Plant Detail'!F3749</f>
        <v>-358672.57543800649</v>
      </c>
      <c r="F49" s="349">
        <f t="shared" si="0"/>
        <v>781744211.19162285</v>
      </c>
      <c r="G49" s="349"/>
      <c r="H49" s="348">
        <f>'WPB-2.1.C Plant Detail'!I3749</f>
        <v>198125878.12199873</v>
      </c>
      <c r="I49" s="348">
        <f>'WPB-2.1.C Plant Detail'!K3749</f>
        <v>2233122.1344941002</v>
      </c>
      <c r="J49" s="348">
        <f>'WPB-2.1.C Plant Detail'!L3749</f>
        <v>5270.0000000000009</v>
      </c>
      <c r="K49" s="348">
        <f>'WPB-2.1.C Plant Detail'!M3749</f>
        <v>-358672.57543800649</v>
      </c>
      <c r="L49" s="348">
        <f>'WPB-2.1.C Plant Detail'!N3749</f>
        <v>-115201.59264885314</v>
      </c>
      <c r="M49" s="349">
        <f t="shared" si="1"/>
        <v>199890396.08840597</v>
      </c>
      <c r="N49" s="343" t="s">
        <v>1351</v>
      </c>
    </row>
    <row r="50" spans="1:14">
      <c r="A50" s="345">
        <f>IF(ISBLANK($B50),"",COUNTA($B$17:B50))</f>
        <v>34</v>
      </c>
      <c r="B50" s="347" t="s">
        <v>1661</v>
      </c>
      <c r="C50" s="348">
        <f>'WPB-2.1.C Plant Detail'!D3863</f>
        <v>781744211.19162297</v>
      </c>
      <c r="D50" s="348">
        <f>'WPB-2.1.C Plant Detail'!E3863</f>
        <v>2239103.4853225742</v>
      </c>
      <c r="E50" s="348">
        <f>'WPB-2.1.C Plant Detail'!F3863</f>
        <v>-358081.86896278552</v>
      </c>
      <c r="F50" s="349">
        <f t="shared" si="0"/>
        <v>783625232.8079828</v>
      </c>
      <c r="G50" s="349"/>
      <c r="H50" s="348">
        <f>'WPB-2.1.C Plant Detail'!I3863</f>
        <v>199890396.08840603</v>
      </c>
      <c r="I50" s="348">
        <f>'WPB-2.1.C Plant Detail'!K3863</f>
        <v>2240654.057661091</v>
      </c>
      <c r="J50" s="348">
        <f>'WPB-2.1.C Plant Detail'!L3863</f>
        <v>5270.0000000000009</v>
      </c>
      <c r="K50" s="348">
        <f>'WPB-2.1.C Plant Detail'!M3863</f>
        <v>-358081.86896278552</v>
      </c>
      <c r="L50" s="348">
        <f>'WPB-2.1.C Plant Detail'!N3863</f>
        <v>-85584.154073426675</v>
      </c>
      <c r="M50" s="349">
        <f t="shared" si="1"/>
        <v>201692654.1230309</v>
      </c>
      <c r="N50" s="343" t="s">
        <v>1351</v>
      </c>
    </row>
    <row r="51" spans="1:14">
      <c r="A51" s="345">
        <f>IF(ISBLANK($B51),"",COUNTA($B$17:B51))</f>
        <v>35</v>
      </c>
      <c r="B51" s="347" t="s">
        <v>1662</v>
      </c>
      <c r="C51" s="348">
        <f>'WPB-2.1.C Plant Detail'!D3977</f>
        <v>783625232.80798268</v>
      </c>
      <c r="D51" s="348">
        <f>'WPB-2.1.C Plant Detail'!E3977</f>
        <v>2195808.3676793473</v>
      </c>
      <c r="E51" s="348">
        <f>'WPB-2.1.C Plant Detail'!F3977</f>
        <v>-894896.86356825184</v>
      </c>
      <c r="F51" s="349">
        <f t="shared" si="0"/>
        <v>784926144.31209373</v>
      </c>
      <c r="G51" s="349"/>
      <c r="H51" s="348">
        <f>'WPB-2.1.C Plant Detail'!I3977</f>
        <v>201692654.1230309</v>
      </c>
      <c r="I51" s="348">
        <f>'WPB-2.1.C Plant Detail'!K3977</f>
        <v>2250894.1482960051</v>
      </c>
      <c r="J51" s="348">
        <f>'WPB-2.1.C Plant Detail'!L3977</f>
        <v>5270.0000000000009</v>
      </c>
      <c r="K51" s="348">
        <f>'WPB-2.1.C Plant Detail'!M3977</f>
        <v>-894896.86356825184</v>
      </c>
      <c r="L51" s="348">
        <f>'WPB-2.1.C Plant Detail'!N3977</f>
        <v>-65078.638353093302</v>
      </c>
      <c r="M51" s="349">
        <f t="shared" si="1"/>
        <v>202988842.76940557</v>
      </c>
      <c r="N51" s="343" t="s">
        <v>1351</v>
      </c>
    </row>
    <row r="52" spans="1:14">
      <c r="A52" s="345">
        <f>IF(ISBLANK($B52),"",COUNTA($B$17:B52))</f>
        <v>36</v>
      </c>
      <c r="B52" s="347" t="s">
        <v>1663</v>
      </c>
      <c r="C52" s="348">
        <f>'WPB-2.1.C Plant Detail'!D4091</f>
        <v>784926144.31209385</v>
      </c>
      <c r="D52" s="348">
        <f>'WPB-2.1.C Plant Detail'!E4091</f>
        <v>5136063.7540231431</v>
      </c>
      <c r="E52" s="348">
        <f>'WPB-2.1.C Plant Detail'!F4091</f>
        <v>-781312.49974435882</v>
      </c>
      <c r="F52" s="349">
        <f t="shared" si="0"/>
        <v>789280895.56637263</v>
      </c>
      <c r="G52" s="349"/>
      <c r="H52" s="348">
        <f>'WPB-2.1.C Plant Detail'!I4091</f>
        <v>202988842.76940551</v>
      </c>
      <c r="I52" s="348">
        <f>'WPB-2.1.C Plant Detail'!K4091</f>
        <v>2261283.9781231629</v>
      </c>
      <c r="J52" s="348">
        <f>'WPB-2.1.C Plant Detail'!L4091</f>
        <v>5270.0000000000009</v>
      </c>
      <c r="K52" s="348">
        <f>'WPB-2.1.C Plant Detail'!M4091</f>
        <v>-781312.49974435882</v>
      </c>
      <c r="L52" s="348">
        <f>'WPB-2.1.C Plant Detail'!N4091</f>
        <v>-148953.3483199591</v>
      </c>
      <c r="M52" s="349">
        <f t="shared" si="1"/>
        <v>204325130.89946437</v>
      </c>
      <c r="N52" s="343" t="s">
        <v>1351</v>
      </c>
    </row>
    <row r="53" spans="1:14">
      <c r="A53" s="345" t="str">
        <f>IF(ISBLANK($B53),"",COUNTA($B$17:B53))</f>
        <v/>
      </c>
    </row>
    <row r="54" spans="1:14">
      <c r="A54" s="345">
        <f>IF(ISBLANK($B54),"",COUNTA($B$17:B54))</f>
        <v>37</v>
      </c>
      <c r="B54" s="343" t="s">
        <v>1664</v>
      </c>
      <c r="F54" s="349">
        <f>AVERAGE(F40:F52)</f>
        <v>775008140.86461902</v>
      </c>
      <c r="M54" s="349">
        <f>AVERAGE(M40:M52)</f>
        <v>194991110.37219495</v>
      </c>
    </row>
    <row r="55" spans="1:14">
      <c r="A55" s="345" t="str">
        <f>IF(ISBLANK($B55),"",COUNTA($B$17:B55))</f>
        <v/>
      </c>
    </row>
    <row r="56" spans="1:14">
      <c r="A56" s="345">
        <f>IF(ISBLANK($B56),"",COUNTA($B$17:B56))</f>
        <v>38</v>
      </c>
      <c r="B56" s="343" t="s">
        <v>1665</v>
      </c>
      <c r="I56" s="349">
        <f>SUM(I41:J52)</f>
        <v>26483896.267809551</v>
      </c>
    </row>
    <row r="57" spans="1:14">
      <c r="A57" s="345">
        <f>IF(ISBLANK($B57),"",COUNTA($B$17:B57))</f>
        <v>39</v>
      </c>
      <c r="B57" s="343" t="s">
        <v>2365</v>
      </c>
      <c r="I57" s="349">
        <f>SUM(I25:J36)</f>
        <v>21467696.683611367</v>
      </c>
    </row>
    <row r="58" spans="1:14" s="291" customFormat="1">
      <c r="A58" s="1308" t="str">
        <f>A1</f>
        <v>COLUMBIA GAS OF KENTUCKY, INC.</v>
      </c>
      <c r="B58" s="1308"/>
      <c r="C58" s="1308"/>
      <c r="D58" s="1308"/>
      <c r="E58" s="1308"/>
      <c r="F58" s="1308"/>
      <c r="G58" s="1308"/>
      <c r="H58" s="1308"/>
      <c r="I58" s="1308"/>
      <c r="J58" s="1308"/>
      <c r="K58" s="1308"/>
      <c r="L58" s="1308"/>
      <c r="M58" s="1308"/>
      <c r="N58" s="1308"/>
    </row>
    <row r="59" spans="1:14" s="291" customFormat="1">
      <c r="A59" s="1308" t="str">
        <f>A2</f>
        <v>CASE NO. 2024 - 00092</v>
      </c>
      <c r="B59" s="1308"/>
      <c r="C59" s="1308"/>
      <c r="D59" s="1308"/>
      <c r="E59" s="1308"/>
      <c r="F59" s="1308"/>
      <c r="G59" s="1308"/>
      <c r="H59" s="1308"/>
      <c r="I59" s="1308"/>
      <c r="J59" s="1308"/>
      <c r="K59" s="1308"/>
      <c r="L59" s="1308"/>
      <c r="M59" s="1308"/>
      <c r="N59" s="1308"/>
    </row>
    <row r="60" spans="1:14" s="291" customFormat="1">
      <c r="A60" s="1308" t="str">
        <f>A3</f>
        <v>SUMMARY OF ACTUAL &amp; FORECASTED PLANT, ACCUMULATED RESERVE &amp; DEPRECIATION EXPENSE</v>
      </c>
      <c r="B60" s="1308"/>
      <c r="C60" s="1308"/>
      <c r="D60" s="1308"/>
      <c r="E60" s="1308"/>
      <c r="F60" s="1308"/>
      <c r="G60" s="1308"/>
      <c r="H60" s="1308"/>
      <c r="I60" s="1308"/>
      <c r="J60" s="1308"/>
      <c r="K60" s="1308"/>
      <c r="L60" s="1308"/>
      <c r="M60" s="1308"/>
      <c r="N60" s="1308"/>
    </row>
    <row r="61" spans="1:14" s="291" customFormat="1">
      <c r="A61" s="1308" t="str">
        <f>A4</f>
        <v>FROM JANUARY 01, 2023 THROUGH DECEMBER 31, 2025</v>
      </c>
      <c r="B61" s="1308"/>
      <c r="C61" s="1308"/>
      <c r="D61" s="1308"/>
      <c r="E61" s="1308"/>
      <c r="F61" s="1308"/>
      <c r="G61" s="1308"/>
      <c r="H61" s="1308"/>
      <c r="I61" s="1308"/>
      <c r="J61" s="1308"/>
      <c r="K61" s="1308"/>
      <c r="L61" s="1308"/>
      <c r="M61" s="1308"/>
      <c r="N61" s="1308"/>
    </row>
    <row r="62" spans="1:14" s="291" customFormat="1">
      <c r="B62" s="293"/>
    </row>
    <row r="63" spans="1:14" s="291" customFormat="1">
      <c r="A63" s="297" t="str">
        <f>A6</f>
        <v xml:space="preserve">DATA: _X_ BASE PERIOD _X_ FORECASTED PERIOD     </v>
      </c>
      <c r="B63" s="293"/>
      <c r="N63" s="312" t="str">
        <f>N6</f>
        <v>WPB-2.1.B</v>
      </c>
    </row>
    <row r="64" spans="1:14" s="291" customFormat="1">
      <c r="A64" s="297" t="str">
        <f>A7</f>
        <v>TYPE OF FILING:___X___ORIGINAL______UPDATED</v>
      </c>
      <c r="B64" s="293"/>
      <c r="N64" s="312" t="s">
        <v>1337</v>
      </c>
    </row>
    <row r="65" spans="1:14" s="291" customFormat="1">
      <c r="A65" s="297" t="str">
        <f>A8</f>
        <v>WORKPAPER REFERENCE NO(S).: WPB-2.1.C</v>
      </c>
      <c r="B65" s="293"/>
      <c r="N65" s="312" t="str">
        <f>N8</f>
        <v>WITNESS: GORE</v>
      </c>
    </row>
    <row r="66" spans="1:14">
      <c r="A66" s="914"/>
      <c r="B66" s="915"/>
      <c r="C66" s="914"/>
      <c r="D66" s="914"/>
      <c r="E66" s="914"/>
      <c r="F66" s="914"/>
      <c r="G66" s="914"/>
      <c r="H66" s="914"/>
      <c r="I66" s="914"/>
      <c r="J66" s="914"/>
      <c r="K66" s="914"/>
      <c r="L66" s="914"/>
      <c r="M66" s="916"/>
      <c r="N66" s="914"/>
    </row>
    <row r="67" spans="1:14">
      <c r="B67" s="344"/>
      <c r="C67" s="1310" t="s">
        <v>2886</v>
      </c>
      <c r="D67" s="1310"/>
      <c r="E67" s="1310"/>
      <c r="F67" s="1310"/>
      <c r="H67" s="1310" t="s">
        <v>2887</v>
      </c>
      <c r="I67" s="1310"/>
      <c r="J67" s="1310"/>
      <c r="K67" s="1310"/>
      <c r="L67" s="1310"/>
      <c r="M67" s="1310"/>
      <c r="N67" s="1310"/>
    </row>
    <row r="68" spans="1:14">
      <c r="B68" s="344"/>
      <c r="C68" s="345" t="s">
        <v>1757</v>
      </c>
      <c r="F68" s="345" t="s">
        <v>1757</v>
      </c>
      <c r="H68" s="345" t="s">
        <v>1758</v>
      </c>
      <c r="I68" s="345"/>
      <c r="J68" s="345" t="s">
        <v>1758</v>
      </c>
      <c r="K68" s="345"/>
      <c r="M68" s="345" t="s">
        <v>1758</v>
      </c>
    </row>
    <row r="69" spans="1:14">
      <c r="A69" s="345" t="s">
        <v>313</v>
      </c>
      <c r="B69" s="345"/>
      <c r="C69" s="345" t="s">
        <v>437</v>
      </c>
      <c r="F69" s="345" t="s">
        <v>439</v>
      </c>
      <c r="H69" s="345" t="s">
        <v>437</v>
      </c>
      <c r="I69" s="345" t="s">
        <v>488</v>
      </c>
      <c r="J69" s="345" t="s">
        <v>1759</v>
      </c>
      <c r="K69" s="345"/>
      <c r="L69" s="345" t="s">
        <v>1760</v>
      </c>
      <c r="M69" s="345" t="s">
        <v>439</v>
      </c>
    </row>
    <row r="70" spans="1:14">
      <c r="A70" s="346" t="s">
        <v>316</v>
      </c>
      <c r="B70" s="346" t="s">
        <v>1761</v>
      </c>
      <c r="C70" s="346" t="s">
        <v>441</v>
      </c>
      <c r="D70" s="346" t="s">
        <v>442</v>
      </c>
      <c r="E70" s="346" t="s">
        <v>443</v>
      </c>
      <c r="F70" s="346" t="s">
        <v>441</v>
      </c>
      <c r="H70" s="346" t="s">
        <v>441</v>
      </c>
      <c r="I70" s="346" t="s">
        <v>1762</v>
      </c>
      <c r="J70" s="346" t="s">
        <v>355</v>
      </c>
      <c r="K70" s="346" t="s">
        <v>443</v>
      </c>
      <c r="L70" s="346" t="s">
        <v>1763</v>
      </c>
      <c r="M70" s="346" t="s">
        <v>441</v>
      </c>
    </row>
    <row r="71" spans="1:14">
      <c r="B71" s="344"/>
      <c r="C71" s="345" t="s">
        <v>532</v>
      </c>
      <c r="D71" s="345" t="s">
        <v>541</v>
      </c>
      <c r="E71" s="345" t="s">
        <v>542</v>
      </c>
      <c r="F71" s="345" t="s">
        <v>1764</v>
      </c>
      <c r="H71" s="334" t="str">
        <f>"(5)"</f>
        <v>(5)</v>
      </c>
      <c r="I71" s="334" t="str">
        <f>"(6)"</f>
        <v>(6)</v>
      </c>
      <c r="J71" s="334" t="str">
        <f>"(7)"</f>
        <v>(7)</v>
      </c>
      <c r="K71" s="334" t="str">
        <f>"(8)"</f>
        <v>(8)</v>
      </c>
      <c r="L71" s="334" t="str">
        <f>"(9)"</f>
        <v>(9)</v>
      </c>
      <c r="M71" s="334" t="str">
        <f>"(10=5 through 9)"</f>
        <v>(10=5 through 9)</v>
      </c>
    </row>
    <row r="72" spans="1:14">
      <c r="B72" s="344"/>
      <c r="C72" s="345" t="s">
        <v>320</v>
      </c>
      <c r="D72" s="345" t="s">
        <v>320</v>
      </c>
      <c r="E72" s="345" t="s">
        <v>320</v>
      </c>
      <c r="F72" s="345" t="s">
        <v>320</v>
      </c>
      <c r="H72" s="334" t="s">
        <v>320</v>
      </c>
      <c r="I72" s="334" t="s">
        <v>320</v>
      </c>
      <c r="J72" s="334" t="s">
        <v>320</v>
      </c>
      <c r="K72" s="334" t="s">
        <v>320</v>
      </c>
      <c r="L72" s="334" t="s">
        <v>320</v>
      </c>
      <c r="M72" s="334" t="s">
        <v>320</v>
      </c>
    </row>
    <row r="73" spans="1:14">
      <c r="B73" s="344"/>
      <c r="C73" s="345"/>
      <c r="D73" s="345"/>
      <c r="E73" s="345"/>
      <c r="F73" s="345"/>
      <c r="H73" s="334"/>
      <c r="I73" s="334"/>
      <c r="J73" s="334"/>
      <c r="K73" s="334"/>
      <c r="L73" s="334"/>
      <c r="M73" s="334"/>
    </row>
    <row r="74" spans="1:14">
      <c r="A74" s="345">
        <f>IF(ISBLANK($B74),"",COUNTA($B$74:B74))</f>
        <v>1</v>
      </c>
      <c r="B74" s="347" t="s">
        <v>1628</v>
      </c>
      <c r="C74" s="348">
        <f>'WPB-2.1.C Plant Detail'!D110</f>
        <v>0</v>
      </c>
      <c r="D74" s="348">
        <f>'WPB-2.1.C Plant Detail'!E110</f>
        <v>931043.59000000008</v>
      </c>
      <c r="E74" s="348">
        <f>+'WPB-2.1.C Plant Detail'!F110</f>
        <v>-285592.88684376399</v>
      </c>
      <c r="F74" s="349">
        <f>SUM(C74:E74)</f>
        <v>645450.70315623609</v>
      </c>
      <c r="H74" s="348">
        <f>'WPB-2.1.C Plant Detail'!I110</f>
        <v>0</v>
      </c>
      <c r="I74" s="348">
        <f>'WPB-2.1.C Plant Detail'!K110</f>
        <v>999.59199999999998</v>
      </c>
      <c r="J74" s="348">
        <f>'WPB-2.1.C Plant Detail'!L110</f>
        <v>0</v>
      </c>
      <c r="K74" s="348">
        <f>+'WPB-2.1.C Plant Detail'!M110</f>
        <v>-285592.88684376399</v>
      </c>
      <c r="L74" s="348">
        <f>'WPB-2.1.C Plant Detail'!N110</f>
        <v>-467790.23436399997</v>
      </c>
      <c r="M74" s="349">
        <f>SUM(H74:L74)</f>
        <v>-752383.52920776396</v>
      </c>
      <c r="N74" s="349"/>
    </row>
    <row r="75" spans="1:14">
      <c r="A75" s="345">
        <f>IF(ISBLANK($B75),"",COUNTA($B$74:B75))</f>
        <v>2</v>
      </c>
      <c r="B75" s="347" t="s">
        <v>1629</v>
      </c>
      <c r="C75" s="348">
        <f>'WPB-2.1.C Plant Detail'!D224</f>
        <v>645450.70315623598</v>
      </c>
      <c r="D75" s="348">
        <f>'WPB-2.1.C Plant Detail'!E224</f>
        <v>1886623.52</v>
      </c>
      <c r="E75" s="348">
        <f>'WPB-2.1.C Plant Detail'!F224</f>
        <v>-124467.1410269363</v>
      </c>
      <c r="F75" s="349">
        <f t="shared" ref="F75:F109" si="2">SUM(C75:E75)</f>
        <v>2407607.0821292996</v>
      </c>
      <c r="H75" s="348">
        <f>'WPB-2.1.C Plant Detail'!I224</f>
        <v>-752383.52920776396</v>
      </c>
      <c r="I75" s="348">
        <f>'WPB-2.1.C Plant Detail'!K224</f>
        <v>4125.7309999999998</v>
      </c>
      <c r="J75" s="348">
        <f>'WPB-2.1.C Plant Detail'!L224</f>
        <v>0</v>
      </c>
      <c r="K75" s="348">
        <f>'WPB-2.1.C Plant Detail'!M224</f>
        <v>-124467.1410269363</v>
      </c>
      <c r="L75" s="348">
        <f>'WPB-2.1.C Plant Detail'!N224</f>
        <v>-93753.017339999991</v>
      </c>
      <c r="M75" s="349">
        <f t="shared" ref="M75:M109" si="3">SUM(H75:L75)</f>
        <v>-966477.95657470031</v>
      </c>
    </row>
    <row r="76" spans="1:14">
      <c r="A76" s="345">
        <f>IF(ISBLANK($B76),"",COUNTA($B$74:B76))</f>
        <v>3</v>
      </c>
      <c r="B76" s="347" t="s">
        <v>1630</v>
      </c>
      <c r="C76" s="348">
        <f>'WPB-2.1.C Plant Detail'!D338</f>
        <v>2407607.0821293001</v>
      </c>
      <c r="D76" s="348">
        <f>'WPB-2.1.C Plant Detail'!E338</f>
        <v>5022690.7800000012</v>
      </c>
      <c r="E76" s="348">
        <f>'WPB-2.1.C Plant Detail'!F338</f>
        <v>-211487.62348253198</v>
      </c>
      <c r="F76" s="349">
        <f t="shared" si="2"/>
        <v>7218810.238646769</v>
      </c>
      <c r="H76" s="348">
        <f>'WPB-2.1.C Plant Detail'!I338</f>
        <v>-966477.95657470019</v>
      </c>
      <c r="I76" s="348">
        <f>'WPB-2.1.C Plant Detail'!K338</f>
        <v>10575.106</v>
      </c>
      <c r="J76" s="348">
        <f>'WPB-2.1.C Plant Detail'!L338</f>
        <v>0</v>
      </c>
      <c r="K76" s="348">
        <f>'WPB-2.1.C Plant Detail'!M338</f>
        <v>-211487.62348253198</v>
      </c>
      <c r="L76" s="348">
        <f>'WPB-2.1.C Plant Detail'!N338</f>
        <v>-93721.783088000011</v>
      </c>
      <c r="M76" s="349">
        <f t="shared" si="3"/>
        <v>-1261112.2571452321</v>
      </c>
    </row>
    <row r="77" spans="1:14">
      <c r="A77" s="345">
        <f>IF(ISBLANK($B77),"",COUNTA($B$74:B77))</f>
        <v>4</v>
      </c>
      <c r="B77" s="347" t="s">
        <v>1631</v>
      </c>
      <c r="C77" s="348">
        <f>'WPB-2.1.C Plant Detail'!D452</f>
        <v>7218810.238646768</v>
      </c>
      <c r="D77" s="348">
        <f>'WPB-2.1.C Plant Detail'!E452</f>
        <v>1880232.5999999999</v>
      </c>
      <c r="E77" s="348">
        <f>'WPB-2.1.C Plant Detail'!F452</f>
        <v>-196564.10196242965</v>
      </c>
      <c r="F77" s="349">
        <f t="shared" si="2"/>
        <v>8902478.7366843373</v>
      </c>
      <c r="H77" s="348">
        <f>'WPB-2.1.C Plant Detail'!I452</f>
        <v>-1261112.2571452321</v>
      </c>
      <c r="I77" s="348">
        <f>'WPB-2.1.C Plant Detail'!K452</f>
        <v>16949.044000000002</v>
      </c>
      <c r="J77" s="348">
        <f>'WPB-2.1.C Plant Detail'!L452</f>
        <v>0</v>
      </c>
      <c r="K77" s="348">
        <f>'WPB-2.1.C Plant Detail'!M452</f>
        <v>-196564.10196242965</v>
      </c>
      <c r="L77" s="348">
        <f>'WPB-2.1.C Plant Detail'!N452</f>
        <v>-133094.424428</v>
      </c>
      <c r="M77" s="349">
        <f t="shared" si="3"/>
        <v>-1573821.7395356619</v>
      </c>
    </row>
    <row r="78" spans="1:14">
      <c r="A78" s="345">
        <f>IF(ISBLANK($B78),"",COUNTA($B$74:B78))</f>
        <v>5</v>
      </c>
      <c r="B78" s="347" t="s">
        <v>1632</v>
      </c>
      <c r="C78" s="348">
        <f>'WPB-2.1.C Plant Detail'!D566</f>
        <v>8902478.7366843373</v>
      </c>
      <c r="D78" s="348">
        <f>'WPB-2.1.C Plant Detail'!E566</f>
        <v>4269313.82</v>
      </c>
      <c r="E78" s="348">
        <f>'WPB-2.1.C Plant Detail'!F566</f>
        <v>-319988.46817744325</v>
      </c>
      <c r="F78" s="349">
        <f t="shared" si="2"/>
        <v>12851804.088506894</v>
      </c>
      <c r="H78" s="348">
        <f>'WPB-2.1.C Plant Detail'!I566</f>
        <v>-1573821.7395356619</v>
      </c>
      <c r="I78" s="348">
        <f>'WPB-2.1.C Plant Detail'!K566</f>
        <v>22759.519</v>
      </c>
      <c r="J78" s="348">
        <f>'WPB-2.1.C Plant Detail'!L566</f>
        <v>0</v>
      </c>
      <c r="K78" s="348">
        <f>'WPB-2.1.C Plant Detail'!M566</f>
        <v>-319988.46817744325</v>
      </c>
      <c r="L78" s="348">
        <f>'WPB-2.1.C Plant Detail'!N566</f>
        <v>-141930.87310699999</v>
      </c>
      <c r="M78" s="349">
        <f t="shared" si="3"/>
        <v>-2012981.561820105</v>
      </c>
    </row>
    <row r="79" spans="1:14">
      <c r="A79" s="345">
        <f>IF(ISBLANK($B79),"",COUNTA($B$74:B79))</f>
        <v>6</v>
      </c>
      <c r="B79" s="347" t="s">
        <v>1633</v>
      </c>
      <c r="C79" s="348">
        <f>'WPB-2.1.C Plant Detail'!D680</f>
        <v>12851804.088506896</v>
      </c>
      <c r="D79" s="348">
        <f>'WPB-2.1.C Plant Detail'!E680</f>
        <v>4983607.8500000006</v>
      </c>
      <c r="E79" s="348">
        <f>'WPB-2.1.C Plant Detail'!F680</f>
        <v>-461410.43432266061</v>
      </c>
      <c r="F79" s="349">
        <f t="shared" si="2"/>
        <v>17374001.504184239</v>
      </c>
      <c r="H79" s="348">
        <f>'WPB-2.1.C Plant Detail'!I680</f>
        <v>-2012981.5618201052</v>
      </c>
      <c r="I79" s="348">
        <f>'WPB-2.1.C Plant Detail'!K680</f>
        <v>30485.413999999997</v>
      </c>
      <c r="J79" s="348">
        <f>'WPB-2.1.C Plant Detail'!L680</f>
        <v>0</v>
      </c>
      <c r="K79" s="348">
        <f>'WPB-2.1.C Plant Detail'!M680</f>
        <v>-461410.43432266061</v>
      </c>
      <c r="L79" s="348">
        <f>'WPB-2.1.C Plant Detail'!N680</f>
        <v>-142966.08598800001</v>
      </c>
      <c r="M79" s="349">
        <f t="shared" si="3"/>
        <v>-2586872.6681307657</v>
      </c>
    </row>
    <row r="80" spans="1:14">
      <c r="A80" s="345">
        <f>IF(ISBLANK($B80),"",COUNTA($B$74:B80))</f>
        <v>7</v>
      </c>
      <c r="B80" s="347" t="s">
        <v>1634</v>
      </c>
      <c r="C80" s="348">
        <f>'WPB-2.1.C Plant Detail'!D794</f>
        <v>17374001.504184235</v>
      </c>
      <c r="D80" s="348">
        <f>'WPB-2.1.C Plant Detail'!E794</f>
        <v>4077367.95</v>
      </c>
      <c r="E80" s="348">
        <f>'WPB-2.1.C Plant Detail'!F794</f>
        <v>-330385.41526519955</v>
      </c>
      <c r="F80" s="349">
        <f t="shared" si="2"/>
        <v>21120984.038919035</v>
      </c>
      <c r="H80" s="348">
        <f>'WPB-2.1.C Plant Detail'!I794</f>
        <v>-2586872.6681307652</v>
      </c>
      <c r="I80" s="348">
        <f>'WPB-2.1.C Plant Detail'!K794</f>
        <v>37801.226000000002</v>
      </c>
      <c r="J80" s="348">
        <f>'WPB-2.1.C Plant Detail'!L794</f>
        <v>0</v>
      </c>
      <c r="K80" s="348">
        <f>'WPB-2.1.C Plant Detail'!M794</f>
        <v>-330385.41526519955</v>
      </c>
      <c r="L80" s="348">
        <f>'WPB-2.1.C Plant Detail'!N794</f>
        <v>-159293.11692500001</v>
      </c>
      <c r="M80" s="349">
        <f t="shared" si="3"/>
        <v>-3038749.9743209654</v>
      </c>
    </row>
    <row r="81" spans="1:13">
      <c r="A81" s="345">
        <f>IF(ISBLANK($B81),"",COUNTA($B$74:B81))</f>
        <v>8</v>
      </c>
      <c r="B81" s="347" t="s">
        <v>1635</v>
      </c>
      <c r="C81" s="348">
        <f>'WPB-2.1.C Plant Detail'!D908</f>
        <v>21120984.038919039</v>
      </c>
      <c r="D81" s="348">
        <f>'WPB-2.1.C Plant Detail'!E908</f>
        <v>2628073.6</v>
      </c>
      <c r="E81" s="348">
        <f>'WPB-2.1.C Plant Detail'!F908</f>
        <v>-252352.75495231338</v>
      </c>
      <c r="F81" s="349">
        <f t="shared" si="2"/>
        <v>23496704.883966729</v>
      </c>
      <c r="H81" s="348">
        <f>'WPB-2.1.C Plant Detail'!I908</f>
        <v>-3038749.9743209654</v>
      </c>
      <c r="I81" s="348">
        <f>'WPB-2.1.C Plant Detail'!K908</f>
        <v>43874.496000000006</v>
      </c>
      <c r="J81" s="348">
        <f>'WPB-2.1.C Plant Detail'!L908</f>
        <v>0</v>
      </c>
      <c r="K81" s="348">
        <f>'WPB-2.1.C Plant Detail'!M908</f>
        <v>-252352.75495231338</v>
      </c>
      <c r="L81" s="348">
        <f>'WPB-2.1.C Plant Detail'!N908</f>
        <v>-181077.879525</v>
      </c>
      <c r="M81" s="349">
        <f t="shared" si="3"/>
        <v>-3428306.1127982792</v>
      </c>
    </row>
    <row r="82" spans="1:13">
      <c r="A82" s="345">
        <f>IF(ISBLANK($B82),"",COUNTA($B$74:B82))</f>
        <v>9</v>
      </c>
      <c r="B82" s="347" t="s">
        <v>1636</v>
      </c>
      <c r="C82" s="348">
        <f>'WPB-2.1.C Plant Detail'!D1022</f>
        <v>23496704.883966722</v>
      </c>
      <c r="D82" s="348">
        <f>'WPB-2.1.C Plant Detail'!E1022</f>
        <v>6013334.1000000006</v>
      </c>
      <c r="E82" s="348">
        <f>'WPB-2.1.C Plant Detail'!F1022</f>
        <v>-496171.69045736716</v>
      </c>
      <c r="F82" s="349">
        <f t="shared" si="2"/>
        <v>29013867.293509357</v>
      </c>
      <c r="H82" s="348">
        <f>'WPB-2.1.C Plant Detail'!I1022</f>
        <v>-3428306.1127982792</v>
      </c>
      <c r="I82" s="348">
        <f>'WPB-2.1.C Plant Detail'!K1022</f>
        <v>51332.51</v>
      </c>
      <c r="J82" s="348">
        <f>'WPB-2.1.C Plant Detail'!L1022</f>
        <v>0</v>
      </c>
      <c r="K82" s="348">
        <f>'WPB-2.1.C Plant Detail'!M1022</f>
        <v>-496171.69045736716</v>
      </c>
      <c r="L82" s="348">
        <f>'WPB-2.1.C Plant Detail'!N1022</f>
        <v>-143440.96255199998</v>
      </c>
      <c r="M82" s="349">
        <f t="shared" si="3"/>
        <v>-4016586.2558076466</v>
      </c>
    </row>
    <row r="83" spans="1:13">
      <c r="A83" s="345">
        <f>IF(ISBLANK($B83),"",COUNTA($B$74:B83))</f>
        <v>10</v>
      </c>
      <c r="B83" s="347" t="s">
        <v>1637</v>
      </c>
      <c r="C83" s="348">
        <f>'WPB-2.1.C Plant Detail'!D1136</f>
        <v>29013867.293509353</v>
      </c>
      <c r="D83" s="348">
        <f>'WPB-2.1.C Plant Detail'!E1136</f>
        <v>2824088.8400000008</v>
      </c>
      <c r="E83" s="348">
        <f>'WPB-2.1.C Plant Detail'!F1136</f>
        <v>-184481.16023643696</v>
      </c>
      <c r="F83" s="349">
        <f t="shared" si="2"/>
        <v>31653474.973272916</v>
      </c>
      <c r="H83" s="348">
        <f>'WPB-2.1.C Plant Detail'!I1136</f>
        <v>-4016586.2558076461</v>
      </c>
      <c r="I83" s="348">
        <f>'WPB-2.1.C Plant Detail'!K1136</f>
        <v>59238.301000000007</v>
      </c>
      <c r="J83" s="348">
        <f>'WPB-2.1.C Plant Detail'!L1136</f>
        <v>0</v>
      </c>
      <c r="K83" s="348">
        <f>'WPB-2.1.C Plant Detail'!M1136</f>
        <v>-184481.16023643696</v>
      </c>
      <c r="L83" s="348">
        <f>'WPB-2.1.C Plant Detail'!N1136</f>
        <v>-171382.838537</v>
      </c>
      <c r="M83" s="349">
        <f t="shared" si="3"/>
        <v>-4313211.9535810826</v>
      </c>
    </row>
    <row r="84" spans="1:13">
      <c r="A84" s="345">
        <f>IF(ISBLANK($B84),"",COUNTA($B$74:B84))</f>
        <v>11</v>
      </c>
      <c r="B84" s="347" t="s">
        <v>1638</v>
      </c>
      <c r="C84" s="348">
        <f>'WPB-2.1.C Plant Detail'!D1250</f>
        <v>31653474.97327292</v>
      </c>
      <c r="D84" s="348">
        <f>'WPB-2.1.C Plant Detail'!E1250</f>
        <v>4374690.1099999994</v>
      </c>
      <c r="E84" s="348">
        <f>'WPB-2.1.C Plant Detail'!F1250</f>
        <v>-279178.09615260019</v>
      </c>
      <c r="F84" s="349">
        <f t="shared" si="2"/>
        <v>35748986.987120315</v>
      </c>
      <c r="H84" s="348">
        <f>'WPB-2.1.C Plant Detail'!I1250</f>
        <v>-4313211.9535810826</v>
      </c>
      <c r="I84" s="348">
        <f>'WPB-2.1.C Plant Detail'!K1250</f>
        <v>65925.368000000002</v>
      </c>
      <c r="J84" s="348">
        <f>'WPB-2.1.C Plant Detail'!L1250</f>
        <v>0</v>
      </c>
      <c r="K84" s="348">
        <f>'WPB-2.1.C Plant Detail'!M1250</f>
        <v>-279178.09615260019</v>
      </c>
      <c r="L84" s="348">
        <f>'WPB-2.1.C Plant Detail'!N1250</f>
        <v>-177115.82146000001</v>
      </c>
      <c r="M84" s="349">
        <f t="shared" si="3"/>
        <v>-4703580.503193683</v>
      </c>
    </row>
    <row r="85" spans="1:13">
      <c r="A85" s="345">
        <f>IF(ISBLANK($B85),"",COUNTA($B$74:B85))</f>
        <v>12</v>
      </c>
      <c r="B85" s="347" t="s">
        <v>1639</v>
      </c>
      <c r="C85" s="348">
        <f>'WPB-2.1.C Plant Detail'!D1364</f>
        <v>35748986.987120315</v>
      </c>
      <c r="D85" s="348">
        <f>'WPB-2.1.C Plant Detail'!E1364</f>
        <v>5056597.8699999992</v>
      </c>
      <c r="E85" s="348">
        <f>'WPB-2.1.C Plant Detail'!F1364</f>
        <v>-381432.14654995094</v>
      </c>
      <c r="F85" s="349">
        <f t="shared" si="2"/>
        <v>40424152.710570365</v>
      </c>
      <c r="H85" s="348">
        <f>'WPB-2.1.C Plant Detail'!I1364</f>
        <v>-4703580.5031936839</v>
      </c>
      <c r="I85" s="348">
        <f>'WPB-2.1.C Plant Detail'!K1364</f>
        <v>73324.811000000002</v>
      </c>
      <c r="J85" s="348">
        <f>'WPB-2.1.C Plant Detail'!L1364</f>
        <v>0</v>
      </c>
      <c r="K85" s="348">
        <f>'WPB-2.1.C Plant Detail'!M1364</f>
        <v>-381432.14654995094</v>
      </c>
      <c r="L85" s="348">
        <f>'WPB-2.1.C Plant Detail'!N1364</f>
        <v>-145829.64227799998</v>
      </c>
      <c r="M85" s="349">
        <f t="shared" si="3"/>
        <v>-5157517.4810216352</v>
      </c>
    </row>
    <row r="86" spans="1:13">
      <c r="A86" s="345">
        <f>IF(ISBLANK($B86),"",COUNTA($B$74:B86))</f>
        <v>13</v>
      </c>
      <c r="B86" s="347" t="s">
        <v>1640</v>
      </c>
      <c r="C86" s="348">
        <f>'WPB-2.1.C Plant Detail'!D1478</f>
        <v>40424152.710570358</v>
      </c>
      <c r="D86" s="348">
        <f>'WPB-2.1.C Plant Detail'!E1478</f>
        <v>1129436.8299999998</v>
      </c>
      <c r="E86" s="348">
        <f>'WPB-2.1.C Plant Detail'!F1478</f>
        <v>-82929.740000000005</v>
      </c>
      <c r="F86" s="349">
        <f t="shared" si="2"/>
        <v>41470659.800570354</v>
      </c>
      <c r="H86" s="348">
        <f>'WPB-2.1.C Plant Detail'!I1478</f>
        <v>-5157517.4810216343</v>
      </c>
      <c r="I86" s="348">
        <f>'WPB-2.1.C Plant Detail'!K1478</f>
        <v>78384.472999999984</v>
      </c>
      <c r="J86" s="348">
        <f>'WPB-2.1.C Plant Detail'!L1478</f>
        <v>0</v>
      </c>
      <c r="K86" s="348">
        <f>'WPB-2.1.C Plant Detail'!M1478</f>
        <v>-82929.740000000005</v>
      </c>
      <c r="L86" s="348">
        <f>'WPB-2.1.C Plant Detail'!N1478</f>
        <v>-92246.53</v>
      </c>
      <c r="M86" s="349">
        <f t="shared" si="3"/>
        <v>-5254309.2780216346</v>
      </c>
    </row>
    <row r="87" spans="1:13">
      <c r="A87" s="345">
        <f>IF(ISBLANK($B87),"",COUNTA($B$74:B87))</f>
        <v>14</v>
      </c>
      <c r="B87" s="347" t="s">
        <v>1641</v>
      </c>
      <c r="C87" s="348">
        <f>'WPB-2.1.C Plant Detail'!D1592</f>
        <v>41470659.800570369</v>
      </c>
      <c r="D87" s="348">
        <f>'WPB-2.1.C Plant Detail'!E1592</f>
        <v>1685978.29</v>
      </c>
      <c r="E87" s="348">
        <f>'WPB-2.1.C Plant Detail'!F1592</f>
        <v>-213344.53</v>
      </c>
      <c r="F87" s="349">
        <f t="shared" si="2"/>
        <v>42943293.560570367</v>
      </c>
      <c r="H87" s="348">
        <f>'WPB-2.1.C Plant Detail'!I1592</f>
        <v>-5254309.2780216336</v>
      </c>
      <c r="I87" s="348">
        <f>'WPB-2.1.C Plant Detail'!K1592</f>
        <v>81405.763000000006</v>
      </c>
      <c r="J87" s="348">
        <f>'WPB-2.1.C Plant Detail'!L1592</f>
        <v>0</v>
      </c>
      <c r="K87" s="348">
        <f>'WPB-2.1.C Plant Detail'!M1592</f>
        <v>-213344.53</v>
      </c>
      <c r="L87" s="348">
        <f>'WPB-2.1.C Plant Detail'!N1592</f>
        <v>-96320.060000000012</v>
      </c>
      <c r="M87" s="349">
        <f t="shared" si="3"/>
        <v>-5482568.1050216332</v>
      </c>
    </row>
    <row r="88" spans="1:13">
      <c r="A88" s="345">
        <f>IF(ISBLANK($B88),"",COUNTA($B$74:B88))</f>
        <v>15</v>
      </c>
      <c r="B88" s="347" t="s">
        <v>1642</v>
      </c>
      <c r="C88" s="348">
        <f>'WPB-2.1.C Plant Detail'!D1706</f>
        <v>42943293.560570367</v>
      </c>
      <c r="D88" s="348">
        <f>'WPB-2.1.C Plant Detail'!E1706</f>
        <v>4192540.05</v>
      </c>
      <c r="E88" s="348">
        <f>'WPB-2.1.C Plant Detail'!F1706</f>
        <v>-609754.59857327456</v>
      </c>
      <c r="F88" s="349">
        <f t="shared" si="2"/>
        <v>46526079.011997089</v>
      </c>
      <c r="H88" s="348">
        <f>'WPB-2.1.C Plant Detail'!I1706</f>
        <v>-5482568.1050216341</v>
      </c>
      <c r="I88" s="348">
        <f>'WPB-2.1.C Plant Detail'!K1706</f>
        <v>86784.953000000009</v>
      </c>
      <c r="J88" s="348">
        <f>'WPB-2.1.C Plant Detail'!L1706</f>
        <v>0</v>
      </c>
      <c r="K88" s="348">
        <f>'WPB-2.1.C Plant Detail'!M1706</f>
        <v>-609754.59857327456</v>
      </c>
      <c r="L88" s="348">
        <f>'WPB-2.1.C Plant Detail'!N1706</f>
        <v>-540970.80006360833</v>
      </c>
      <c r="M88" s="349">
        <f t="shared" si="3"/>
        <v>-6546508.5506585175</v>
      </c>
    </row>
    <row r="89" spans="1:13">
      <c r="A89" s="345">
        <f>IF(ISBLANK($B89),"",COUNTA($B$74:B89))</f>
        <v>16</v>
      </c>
      <c r="B89" s="347" t="s">
        <v>1643</v>
      </c>
      <c r="C89" s="348">
        <f>'WPB-2.1.C Plant Detail'!D1820</f>
        <v>46526079.011997096</v>
      </c>
      <c r="D89" s="348">
        <f>'WPB-2.1.C Plant Detail'!E1820</f>
        <v>2856846.7965561589</v>
      </c>
      <c r="E89" s="348">
        <f>'WPB-2.1.C Plant Detail'!F1820</f>
        <v>-459141.85070912377</v>
      </c>
      <c r="F89" s="349">
        <f t="shared" si="2"/>
        <v>48923783.957844131</v>
      </c>
      <c r="H89" s="348">
        <f>'WPB-2.1.C Plant Detail'!I1820</f>
        <v>-6546508.5506585157</v>
      </c>
      <c r="I89" s="348">
        <f>'WPB-2.1.C Plant Detail'!K1820</f>
        <v>93228.10500000001</v>
      </c>
      <c r="J89" s="348">
        <f>'WPB-2.1.C Plant Detail'!L1820</f>
        <v>0</v>
      </c>
      <c r="K89" s="348">
        <f>'WPB-2.1.C Plant Detail'!M1820</f>
        <v>-459141.85070912377</v>
      </c>
      <c r="L89" s="348">
        <f>'WPB-2.1.C Plant Detail'!N1820</f>
        <v>-161895.19529211693</v>
      </c>
      <c r="M89" s="349">
        <f t="shared" si="3"/>
        <v>-7074317.4916597558</v>
      </c>
    </row>
    <row r="90" spans="1:13">
      <c r="A90" s="345">
        <f>IF(ISBLANK($B90),"",COUNTA($B$74:B90))</f>
        <v>17</v>
      </c>
      <c r="B90" s="347" t="s">
        <v>1644</v>
      </c>
      <c r="C90" s="348">
        <f>'WPB-2.1.C Plant Detail'!D1934</f>
        <v>48923783.957844123</v>
      </c>
      <c r="D90" s="348">
        <f>'WPB-2.1.C Plant Detail'!E1934</f>
        <v>3888332.5540728867</v>
      </c>
      <c r="E90" s="348">
        <f>'WPB-2.1.C Plant Detail'!F1934</f>
        <v>-477607.96786915162</v>
      </c>
      <c r="F90" s="349">
        <f t="shared" si="2"/>
        <v>52334508.544047855</v>
      </c>
      <c r="H90" s="348">
        <f>'WPB-2.1.C Plant Detail'!I1934</f>
        <v>-7074317.4916597567</v>
      </c>
      <c r="I90" s="348">
        <f>'WPB-2.1.C Plant Detail'!K1934</f>
        <v>99979.646999999983</v>
      </c>
      <c r="J90" s="348">
        <f>'WPB-2.1.C Plant Detail'!L1934</f>
        <v>0</v>
      </c>
      <c r="K90" s="348">
        <f>'WPB-2.1.C Plant Detail'!M1934</f>
        <v>-477607.96786915162</v>
      </c>
      <c r="L90" s="348">
        <f>'WPB-2.1.C Plant Detail'!N1934</f>
        <v>-208480.41483823882</v>
      </c>
      <c r="M90" s="349">
        <f t="shared" si="3"/>
        <v>-7660426.2273671469</v>
      </c>
    </row>
    <row r="91" spans="1:13">
      <c r="A91" s="345">
        <f>IF(ISBLANK($B91),"",COUNTA($B$74:B91))</f>
        <v>18</v>
      </c>
      <c r="B91" s="347" t="s">
        <v>1645</v>
      </c>
      <c r="C91" s="348">
        <f>'WPB-2.1.C Plant Detail'!D2048</f>
        <v>52334508.544047862</v>
      </c>
      <c r="D91" s="348">
        <f>'WPB-2.1.C Plant Detail'!E2048</f>
        <v>3544982.9164852551</v>
      </c>
      <c r="E91" s="348">
        <f>'WPB-2.1.C Plant Detail'!F2048</f>
        <v>-544735.12009913439</v>
      </c>
      <c r="F91" s="349">
        <f t="shared" si="2"/>
        <v>55334756.340433985</v>
      </c>
      <c r="H91" s="348">
        <f>'WPB-2.1.C Plant Detail'!I2048</f>
        <v>-7660426.2273671478</v>
      </c>
      <c r="I91" s="348">
        <f>'WPB-2.1.C Plant Detail'!K2048</f>
        <v>107071.79700000001</v>
      </c>
      <c r="J91" s="348">
        <f>'WPB-2.1.C Plant Detail'!L2048</f>
        <v>0</v>
      </c>
      <c r="K91" s="348">
        <f>'WPB-2.1.C Plant Detail'!M2048</f>
        <v>-544735.12009913439</v>
      </c>
      <c r="L91" s="348">
        <f>'WPB-2.1.C Plant Detail'!N2048</f>
        <v>-209520.3834446976</v>
      </c>
      <c r="M91" s="349">
        <f t="shared" si="3"/>
        <v>-8307609.9339109799</v>
      </c>
    </row>
    <row r="92" spans="1:13">
      <c r="A92" s="345">
        <f>IF(ISBLANK($B92),"",COUNTA($B$74:B92))</f>
        <v>19</v>
      </c>
      <c r="B92" s="347" t="s">
        <v>1646</v>
      </c>
      <c r="C92" s="348">
        <f>'WPB-2.1.C Plant Detail'!D2162</f>
        <v>55334756.340433978</v>
      </c>
      <c r="D92" s="348">
        <f>'WPB-2.1.C Plant Detail'!E2162</f>
        <v>2810522.9673874667</v>
      </c>
      <c r="E92" s="348">
        <f>'WPB-2.1.C Plant Detail'!F2162</f>
        <v>-464057.23224950104</v>
      </c>
      <c r="F92" s="349">
        <f t="shared" si="2"/>
        <v>57681222.075571947</v>
      </c>
      <c r="H92" s="348">
        <f>'WPB-2.1.C Plant Detail'!I2162</f>
        <v>-8307609.933910979</v>
      </c>
      <c r="I92" s="348">
        <f>'WPB-2.1.C Plant Detail'!K2162</f>
        <v>112972.49199999998</v>
      </c>
      <c r="J92" s="348">
        <f>'WPB-2.1.C Plant Detail'!L2162</f>
        <v>0</v>
      </c>
      <c r="K92" s="348">
        <f>'WPB-2.1.C Plant Detail'!M2162</f>
        <v>-464057.23224950104</v>
      </c>
      <c r="L92" s="348">
        <f>'WPB-2.1.C Plant Detail'!N2162</f>
        <v>-180997.41713979462</v>
      </c>
      <c r="M92" s="349">
        <f t="shared" si="3"/>
        <v>-8839692.0913002752</v>
      </c>
    </row>
    <row r="93" spans="1:13">
      <c r="A93" s="345">
        <f>IF(ISBLANK($B93),"",COUNTA($B$74:B93))</f>
        <v>20</v>
      </c>
      <c r="B93" s="347" t="s">
        <v>1647</v>
      </c>
      <c r="C93" s="348">
        <f>'WPB-2.1.C Plant Detail'!D2276</f>
        <v>57681222.075571954</v>
      </c>
      <c r="D93" s="348">
        <f>'WPB-2.1.C Plant Detail'!E2276</f>
        <v>2917386.1594325076</v>
      </c>
      <c r="E93" s="348">
        <f>'WPB-2.1.C Plant Detail'!F2276</f>
        <v>-320147.5009189003</v>
      </c>
      <c r="F93" s="349">
        <f t="shared" si="2"/>
        <v>60278460.73408556</v>
      </c>
      <c r="H93" s="348">
        <f>'WPB-2.1.C Plant Detail'!I2276</f>
        <v>-8839692.0913002752</v>
      </c>
      <c r="I93" s="348">
        <f>'WPB-2.1.C Plant Detail'!K2276</f>
        <v>118858.43399999999</v>
      </c>
      <c r="J93" s="348">
        <f>'WPB-2.1.C Plant Detail'!L2276</f>
        <v>0</v>
      </c>
      <c r="K93" s="348">
        <f>'WPB-2.1.C Plant Detail'!M2276</f>
        <v>-320147.5009189003</v>
      </c>
      <c r="L93" s="348">
        <f>'WPB-2.1.C Plant Detail'!N2276</f>
        <v>-232687.27104455946</v>
      </c>
      <c r="M93" s="349">
        <f t="shared" si="3"/>
        <v>-9273668.4292637352</v>
      </c>
    </row>
    <row r="94" spans="1:13">
      <c r="A94" s="345">
        <f>IF(ISBLANK($B94),"",COUNTA($B$74:B94))</f>
        <v>21</v>
      </c>
      <c r="B94" s="347" t="s">
        <v>1648</v>
      </c>
      <c r="C94" s="348">
        <f>'WPB-2.1.C Plant Detail'!D2390</f>
        <v>60278460.73408556</v>
      </c>
      <c r="D94" s="348">
        <f>'WPB-2.1.C Plant Detail'!E2390</f>
        <v>4554916.8159246836</v>
      </c>
      <c r="E94" s="348">
        <f>'WPB-2.1.C Plant Detail'!F2390</f>
        <v>-501851.05078551744</v>
      </c>
      <c r="F94" s="349">
        <f t="shared" si="2"/>
        <v>64331526.499224722</v>
      </c>
      <c r="H94" s="348">
        <f>'WPB-2.1.C Plant Detail'!I2390</f>
        <v>-9273668.4292637333</v>
      </c>
      <c r="I94" s="348">
        <f>'WPB-2.1.C Plant Detail'!K2390</f>
        <v>126212.141</v>
      </c>
      <c r="J94" s="348">
        <f>'WPB-2.1.C Plant Detail'!L2390</f>
        <v>0</v>
      </c>
      <c r="K94" s="348">
        <f>'WPB-2.1.C Plant Detail'!M2390</f>
        <v>-501851.05078551744</v>
      </c>
      <c r="L94" s="348">
        <f>'WPB-2.1.C Plant Detail'!N2390</f>
        <v>-347599.68570602889</v>
      </c>
      <c r="M94" s="349">
        <f t="shared" si="3"/>
        <v>-9996907.0247552786</v>
      </c>
    </row>
    <row r="95" spans="1:13">
      <c r="A95" s="345">
        <f>IF(ISBLANK($B95),"",COUNTA($B$74:B95))</f>
        <v>22</v>
      </c>
      <c r="B95" s="347" t="s">
        <v>1649</v>
      </c>
      <c r="C95" s="348">
        <f>'WPB-2.1.C Plant Detail'!D2504</f>
        <v>64331526.499224722</v>
      </c>
      <c r="D95" s="348">
        <f>'WPB-2.1.C Plant Detail'!E2504</f>
        <v>4825713.6386574889</v>
      </c>
      <c r="E95" s="348">
        <f>'WPB-2.1.C Plant Detail'!F2504</f>
        <v>-504547.61620469042</v>
      </c>
      <c r="F95" s="349">
        <f t="shared" si="2"/>
        <v>68652692.521677524</v>
      </c>
      <c r="H95" s="348">
        <f>'WPB-2.1.C Plant Detail'!I2504</f>
        <v>-9996907.0247552823</v>
      </c>
      <c r="I95" s="348">
        <f>'WPB-2.1.C Plant Detail'!K2504</f>
        <v>134303.22199999998</v>
      </c>
      <c r="J95" s="348">
        <f>'WPB-2.1.C Plant Detail'!L2504</f>
        <v>0</v>
      </c>
      <c r="K95" s="348">
        <f>'WPB-2.1.C Plant Detail'!M2504</f>
        <v>-504547.61620469042</v>
      </c>
      <c r="L95" s="348">
        <f>'WPB-2.1.C Plant Detail'!N2504</f>
        <v>-304673.79219318827</v>
      </c>
      <c r="M95" s="349">
        <f t="shared" si="3"/>
        <v>-10671825.211153161</v>
      </c>
    </row>
    <row r="96" spans="1:13">
      <c r="A96" s="345">
        <f>IF(ISBLANK($B96),"",COUNTA($B$74:B96))</f>
        <v>23</v>
      </c>
      <c r="B96" s="347" t="s">
        <v>1650</v>
      </c>
      <c r="C96" s="348">
        <f>'WPB-2.1.C Plant Detail'!D2618</f>
        <v>68652692.521677524</v>
      </c>
      <c r="D96" s="348">
        <f>'WPB-2.1.C Plant Detail'!E2618</f>
        <v>3142633.8471509386</v>
      </c>
      <c r="E96" s="348">
        <f>'WPB-2.1.C Plant Detail'!F2618</f>
        <v>-604396.62110009068</v>
      </c>
      <c r="F96" s="349">
        <f t="shared" si="2"/>
        <v>71190929.747728363</v>
      </c>
      <c r="H96" s="348">
        <f>'WPB-2.1.C Plant Detail'!I2618</f>
        <v>-10671825.211153159</v>
      </c>
      <c r="I96" s="348">
        <f>'WPB-2.1.C Plant Detail'!K2618</f>
        <v>140781.07899999997</v>
      </c>
      <c r="J96" s="348">
        <f>'WPB-2.1.C Plant Detail'!L2618</f>
        <v>0</v>
      </c>
      <c r="K96" s="348">
        <f>'WPB-2.1.C Plant Detail'!M2618</f>
        <v>-604396.62110009068</v>
      </c>
      <c r="L96" s="348">
        <f>'WPB-2.1.C Plant Detail'!N2618</f>
        <v>-279454.08925461385</v>
      </c>
      <c r="M96" s="349">
        <f t="shared" si="3"/>
        <v>-11414894.842507863</v>
      </c>
    </row>
    <row r="97" spans="1:13">
      <c r="A97" s="345">
        <f>IF(ISBLANK($B97),"",COUNTA($B$74:B97))</f>
        <v>24</v>
      </c>
      <c r="B97" s="347" t="s">
        <v>1651</v>
      </c>
      <c r="C97" s="348">
        <f>'WPB-2.1.C Plant Detail'!D2732</f>
        <v>71190929.747728378</v>
      </c>
      <c r="D97" s="348">
        <f>'WPB-2.1.C Plant Detail'!E2732</f>
        <v>4693873.1012902614</v>
      </c>
      <c r="E97" s="348">
        <f>'WPB-2.1.C Plant Detail'!F2732</f>
        <v>-700286.19139036653</v>
      </c>
      <c r="F97" s="349">
        <f t="shared" si="2"/>
        <v>75184516.657628268</v>
      </c>
      <c r="H97" s="348">
        <f>'WPB-2.1.C Plant Detail'!I2732</f>
        <v>-11414894.842507865</v>
      </c>
      <c r="I97" s="348">
        <f>'WPB-2.1.C Plant Detail'!K2732</f>
        <v>146864.37999999998</v>
      </c>
      <c r="J97" s="348">
        <f>'WPB-2.1.C Plant Detail'!L2732</f>
        <v>0</v>
      </c>
      <c r="K97" s="348">
        <f>'WPB-2.1.C Plant Detail'!M2732</f>
        <v>-700286.19139036653</v>
      </c>
      <c r="L97" s="348">
        <f>'WPB-2.1.C Plant Detail'!N2732</f>
        <v>-205661.36610758878</v>
      </c>
      <c r="M97" s="349">
        <f t="shared" si="3"/>
        <v>-12173978.02000582</v>
      </c>
    </row>
    <row r="98" spans="1:13">
      <c r="A98" s="345">
        <f>IF(ISBLANK($B98),"",COUNTA($B$74:B98))</f>
        <v>25</v>
      </c>
      <c r="B98" s="347" t="s">
        <v>1652</v>
      </c>
      <c r="C98" s="348">
        <f>'WPB-2.1.C Plant Detail'!D2846</f>
        <v>75184516.657628268</v>
      </c>
      <c r="D98" s="348">
        <f>'WPB-2.1.C Plant Detail'!E2846</f>
        <v>1983981.0467973517</v>
      </c>
      <c r="E98" s="348">
        <f>'WPB-2.1.C Plant Detail'!F2846</f>
        <v>-152127.25811988348</v>
      </c>
      <c r="F98" s="349">
        <f t="shared" si="2"/>
        <v>77016370.446305737</v>
      </c>
      <c r="H98" s="348">
        <f>'WPB-2.1.C Plant Detail'!I2846</f>
        <v>-12173978.02000582</v>
      </c>
      <c r="I98" s="348">
        <f>'WPB-2.1.C Plant Detail'!K2846</f>
        <v>177508.65000000002</v>
      </c>
      <c r="J98" s="348">
        <f>'WPB-2.1.C Plant Detail'!L2846</f>
        <v>0</v>
      </c>
      <c r="K98" s="348">
        <f>'WPB-2.1.C Plant Detail'!M2846</f>
        <v>-152127.25811988348</v>
      </c>
      <c r="L98" s="348">
        <f>'WPB-2.1.C Plant Detail'!N2846</f>
        <v>-281178.87021600088</v>
      </c>
      <c r="M98" s="349">
        <f t="shared" si="3"/>
        <v>-12429775.498341704</v>
      </c>
    </row>
    <row r="99" spans="1:13">
      <c r="A99" s="345">
        <f>IF(ISBLANK($B99),"",COUNTA($B$74:B99))</f>
        <v>26</v>
      </c>
      <c r="B99" s="347" t="s">
        <v>1653</v>
      </c>
      <c r="C99" s="348">
        <f>'WPB-2.1.C Plant Detail'!D2960</f>
        <v>77016370.446305737</v>
      </c>
      <c r="D99" s="348">
        <f>'WPB-2.1.C Plant Detail'!E2960</f>
        <v>1301480.2171562857</v>
      </c>
      <c r="E99" s="348">
        <f>'WPB-2.1.C Plant Detail'!F2960</f>
        <v>-148594.42580098641</v>
      </c>
      <c r="F99" s="349">
        <f t="shared" si="2"/>
        <v>78169256.237661049</v>
      </c>
      <c r="H99" s="348">
        <f>'WPB-2.1.C Plant Detail'!I2960</f>
        <v>-12429775.498341706</v>
      </c>
      <c r="I99" s="348">
        <f>'WPB-2.1.C Plant Detail'!K2960</f>
        <v>181027.31</v>
      </c>
      <c r="J99" s="348">
        <f>'WPB-2.1.C Plant Detail'!L2960</f>
        <v>0</v>
      </c>
      <c r="K99" s="348">
        <f>'WPB-2.1.C Plant Detail'!M2960</f>
        <v>-148594.42580098641</v>
      </c>
      <c r="L99" s="348">
        <f>'WPB-2.1.C Plant Detail'!N2960</f>
        <v>-87818.436547298552</v>
      </c>
      <c r="M99" s="349">
        <f t="shared" si="3"/>
        <v>-12485161.05068999</v>
      </c>
    </row>
    <row r="100" spans="1:13">
      <c r="A100" s="345">
        <f>IF(ISBLANK($B100),"",COUNTA($B$74:B100))</f>
        <v>27</v>
      </c>
      <c r="B100" s="347" t="s">
        <v>1654</v>
      </c>
      <c r="C100" s="348">
        <f>'WPB-2.1.C Plant Detail'!D3074</f>
        <v>78169256.237661034</v>
      </c>
      <c r="D100" s="348">
        <f>'WPB-2.1.C Plant Detail'!E3074</f>
        <v>2666717.8364418442</v>
      </c>
      <c r="E100" s="348">
        <f>'WPB-2.1.C Plant Detail'!F3074</f>
        <v>-149505.10251507256</v>
      </c>
      <c r="F100" s="349">
        <f t="shared" si="2"/>
        <v>80686468.971587807</v>
      </c>
      <c r="H100" s="348">
        <f>'WPB-2.1.C Plant Detail'!I3074</f>
        <v>-12485161.050689992</v>
      </c>
      <c r="I100" s="348">
        <f>'WPB-2.1.C Plant Detail'!K3074</f>
        <v>185495.94</v>
      </c>
      <c r="J100" s="348">
        <f>'WPB-2.1.C Plant Detail'!L3074</f>
        <v>0</v>
      </c>
      <c r="K100" s="348">
        <f>'WPB-2.1.C Plant Detail'!M3074</f>
        <v>-149505.10251507256</v>
      </c>
      <c r="L100" s="348">
        <f>'WPB-2.1.C Plant Detail'!N3074</f>
        <v>-110871.8406663855</v>
      </c>
      <c r="M100" s="349">
        <f t="shared" si="3"/>
        <v>-12560042.053871451</v>
      </c>
    </row>
    <row r="101" spans="1:13">
      <c r="A101" s="345">
        <f>IF(ISBLANK($B101),"",COUNTA($B$74:B101))</f>
        <v>28</v>
      </c>
      <c r="B101" s="347" t="s">
        <v>1655</v>
      </c>
      <c r="C101" s="348">
        <f>'WPB-2.1.C Plant Detail'!D3188</f>
        <v>80686468.971587807</v>
      </c>
      <c r="D101" s="348">
        <f>'WPB-2.1.C Plant Detail'!E3188</f>
        <v>2146396.2388077979</v>
      </c>
      <c r="E101" s="348">
        <f>'WPB-2.1.C Plant Detail'!F3188</f>
        <v>-245204.15865413682</v>
      </c>
      <c r="F101" s="349">
        <f t="shared" si="2"/>
        <v>82587661.051741466</v>
      </c>
      <c r="H101" s="348">
        <f>'WPB-2.1.C Plant Detail'!I3188</f>
        <v>-12560042.053871451</v>
      </c>
      <c r="I101" s="348">
        <f>'WPB-2.1.C Plant Detail'!K3188</f>
        <v>190869.52000000002</v>
      </c>
      <c r="J101" s="348">
        <f>'WPB-2.1.C Plant Detail'!L3188</f>
        <v>0</v>
      </c>
      <c r="K101" s="348">
        <f>'WPB-2.1.C Plant Detail'!M3188</f>
        <v>-245204.15865413682</v>
      </c>
      <c r="L101" s="348">
        <f>'WPB-2.1.C Plant Detail'!N3188</f>
        <v>-109978.62405493399</v>
      </c>
      <c r="M101" s="349">
        <f t="shared" si="3"/>
        <v>-12724355.316580523</v>
      </c>
    </row>
    <row r="102" spans="1:13">
      <c r="A102" s="345">
        <f>IF(ISBLANK($B102),"",COUNTA($B$74:B102))</f>
        <v>29</v>
      </c>
      <c r="B102" s="347" t="s">
        <v>1656</v>
      </c>
      <c r="C102" s="348">
        <f>'WPB-2.1.C Plant Detail'!D3302</f>
        <v>82587661.051741466</v>
      </c>
      <c r="D102" s="348">
        <f>'WPB-2.1.C Plant Detail'!E3302</f>
        <v>2890724.277512698</v>
      </c>
      <c r="E102" s="348">
        <f>'WPB-2.1.C Plant Detail'!F3302</f>
        <v>-251490.8512666327</v>
      </c>
      <c r="F102" s="349">
        <f t="shared" si="2"/>
        <v>85226894.477987528</v>
      </c>
      <c r="H102" s="348">
        <f>'WPB-2.1.C Plant Detail'!I3302</f>
        <v>-12724355.316580519</v>
      </c>
      <c r="I102" s="348">
        <f>'WPB-2.1.C Plant Detail'!K3302</f>
        <v>196389.28</v>
      </c>
      <c r="J102" s="348">
        <f>'WPB-2.1.C Plant Detail'!L3302</f>
        <v>0</v>
      </c>
      <c r="K102" s="348">
        <f>'WPB-2.1.C Plant Detail'!M3302</f>
        <v>-251490.8512666327</v>
      </c>
      <c r="L102" s="348">
        <f>'WPB-2.1.C Plant Detail'!N3302</f>
        <v>-110035.81368283123</v>
      </c>
      <c r="M102" s="349">
        <f t="shared" si="3"/>
        <v>-12889492.701529983</v>
      </c>
    </row>
    <row r="103" spans="1:13">
      <c r="A103" s="345">
        <f>IF(ISBLANK($B103),"",COUNTA($B$74:B103))</f>
        <v>30</v>
      </c>
      <c r="B103" s="347" t="s">
        <v>1657</v>
      </c>
      <c r="C103" s="348">
        <f>'WPB-2.1.C Plant Detail'!D3416</f>
        <v>85226894.477987528</v>
      </c>
      <c r="D103" s="348">
        <f>'WPB-2.1.C Plant Detail'!E3416</f>
        <v>2906976.6766955489</v>
      </c>
      <c r="E103" s="348">
        <f>'WPB-2.1.C Plant Detail'!F3416</f>
        <v>-273200.22530615976</v>
      </c>
      <c r="F103" s="349">
        <f t="shared" si="2"/>
        <v>87860670.92937693</v>
      </c>
      <c r="H103" s="348">
        <f>'WPB-2.1.C Plant Detail'!I3416</f>
        <v>-12889492.701529985</v>
      </c>
      <c r="I103" s="348">
        <f>'WPB-2.1.C Plant Detail'!K3416</f>
        <v>202313.57</v>
      </c>
      <c r="J103" s="348">
        <f>'WPB-2.1.C Plant Detail'!L3416</f>
        <v>0</v>
      </c>
      <c r="K103" s="348">
        <f>'WPB-2.1.C Plant Detail'!M3416</f>
        <v>-273200.22530615976</v>
      </c>
      <c r="L103" s="348">
        <f>'WPB-2.1.C Plant Detail'!N3416</f>
        <v>-89524.468303690199</v>
      </c>
      <c r="M103" s="349">
        <f t="shared" si="3"/>
        <v>-13049903.825139834</v>
      </c>
    </row>
    <row r="104" spans="1:13">
      <c r="A104" s="345">
        <f>IF(ISBLANK($B104),"",COUNTA($B$74:B104))</f>
        <v>31</v>
      </c>
      <c r="B104" s="347" t="s">
        <v>1658</v>
      </c>
      <c r="C104" s="348">
        <f>'WPB-2.1.C Plant Detail'!D3530</f>
        <v>87860670.92937693</v>
      </c>
      <c r="D104" s="348">
        <f>'WPB-2.1.C Plant Detail'!E3530</f>
        <v>2065223.4506153041</v>
      </c>
      <c r="E104" s="348">
        <f>'WPB-2.1.C Plant Detail'!F3530</f>
        <v>-221613.92457055123</v>
      </c>
      <c r="F104" s="349">
        <f t="shared" si="2"/>
        <v>89704280.455421686</v>
      </c>
      <c r="H104" s="348">
        <f>'WPB-2.1.C Plant Detail'!I3530</f>
        <v>-13049903.825139834</v>
      </c>
      <c r="I104" s="348">
        <f>'WPB-2.1.C Plant Detail'!K3530</f>
        <v>207367.95</v>
      </c>
      <c r="J104" s="348">
        <f>'WPB-2.1.C Plant Detail'!L3530</f>
        <v>0</v>
      </c>
      <c r="K104" s="348">
        <f>'WPB-2.1.C Plant Detail'!M3530</f>
        <v>-221613.92457055123</v>
      </c>
      <c r="L104" s="348">
        <f>'WPB-2.1.C Plant Detail'!N3530</f>
        <v>-109828.3152123427</v>
      </c>
      <c r="M104" s="349">
        <f t="shared" si="3"/>
        <v>-13173978.114922728</v>
      </c>
    </row>
    <row r="105" spans="1:13">
      <c r="A105" s="345">
        <f>IF(ISBLANK($B105),"",COUNTA($B$74:B105))</f>
        <v>32</v>
      </c>
      <c r="B105" s="347" t="s">
        <v>1659</v>
      </c>
      <c r="C105" s="348">
        <f>'WPB-2.1.C Plant Detail'!D3644</f>
        <v>89704280.455421686</v>
      </c>
      <c r="D105" s="348">
        <f>'WPB-2.1.C Plant Detail'!E3644</f>
        <v>2240274.0479328972</v>
      </c>
      <c r="E105" s="348">
        <f>'WPB-2.1.C Plant Detail'!F3644</f>
        <v>-157480.11451224747</v>
      </c>
      <c r="F105" s="349">
        <f t="shared" si="2"/>
        <v>91787074.388842329</v>
      </c>
      <c r="H105" s="348">
        <f>'WPB-2.1.C Plant Detail'!I3644</f>
        <v>-13173978.114922727</v>
      </c>
      <c r="I105" s="348">
        <f>'WPB-2.1.C Plant Detail'!K3644</f>
        <v>212334.40000000002</v>
      </c>
      <c r="J105" s="348">
        <f>'WPB-2.1.C Plant Detail'!L3644</f>
        <v>0</v>
      </c>
      <c r="K105" s="348">
        <f>'WPB-2.1.C Plant Detail'!M3644</f>
        <v>-157480.11451224747</v>
      </c>
      <c r="L105" s="348">
        <f>'WPB-2.1.C Plant Detail'!N3644</f>
        <v>-118516.7482217799</v>
      </c>
      <c r="M105" s="349">
        <f t="shared" si="3"/>
        <v>-13237640.577656753</v>
      </c>
    </row>
    <row r="106" spans="1:13">
      <c r="A106" s="345">
        <f>IF(ISBLANK($B106),"",COUNTA($B$74:B106))</f>
        <v>33</v>
      </c>
      <c r="B106" s="347" t="s">
        <v>1660</v>
      </c>
      <c r="C106" s="348">
        <f>'WPB-2.1.C Plant Detail'!D3758</f>
        <v>91787074.388842329</v>
      </c>
      <c r="D106" s="348">
        <f>'WPB-2.1.C Plant Detail'!E3758</f>
        <v>3946089.8990076897</v>
      </c>
      <c r="E106" s="348">
        <f>'WPB-2.1.C Plant Detail'!F3758</f>
        <v>-285943.95045686385</v>
      </c>
      <c r="F106" s="349">
        <f t="shared" si="2"/>
        <v>95447220.337393165</v>
      </c>
      <c r="H106" s="348">
        <f>'WPB-2.1.C Plant Detail'!I3758</f>
        <v>-13237640.577656753</v>
      </c>
      <c r="I106" s="348">
        <f>'WPB-2.1.C Plant Detail'!K3758</f>
        <v>218812.42999999996</v>
      </c>
      <c r="J106" s="348">
        <f>'WPB-2.1.C Plant Detail'!L3758</f>
        <v>0</v>
      </c>
      <c r="K106" s="348">
        <f>'WPB-2.1.C Plant Detail'!M3758</f>
        <v>-285943.95045686385</v>
      </c>
      <c r="L106" s="348">
        <f>'WPB-2.1.C Plant Detail'!N3758</f>
        <v>-87607.367351146851</v>
      </c>
      <c r="M106" s="349">
        <f t="shared" si="3"/>
        <v>-13392379.465464763</v>
      </c>
    </row>
    <row r="107" spans="1:13">
      <c r="A107" s="345">
        <f>IF(ISBLANK($B107),"",COUNTA($B$74:B107))</f>
        <v>34</v>
      </c>
      <c r="B107" s="347" t="s">
        <v>1661</v>
      </c>
      <c r="C107" s="348">
        <f>'WPB-2.1.C Plant Detail'!D3872</f>
        <v>95447220.337393135</v>
      </c>
      <c r="D107" s="348">
        <f>'WPB-2.1.C Plant Detail'!E3872</f>
        <v>4257377.6165863201</v>
      </c>
      <c r="E107" s="348">
        <f>'WPB-2.1.C Plant Detail'!F3872</f>
        <v>-246251.87384353156</v>
      </c>
      <c r="F107" s="349">
        <f t="shared" si="2"/>
        <v>99458346.080135927</v>
      </c>
      <c r="H107" s="348">
        <f>'WPB-2.1.C Plant Detail'!I3872</f>
        <v>-13392379.465464763</v>
      </c>
      <c r="I107" s="348">
        <f>'WPB-2.1.C Plant Detail'!K3872</f>
        <v>226601.21999999997</v>
      </c>
      <c r="J107" s="348">
        <f>'WPB-2.1.C Plant Detail'!L3872</f>
        <v>0</v>
      </c>
      <c r="K107" s="348">
        <f>'WPB-2.1.C Plant Detail'!M3872</f>
        <v>-246251.87384353156</v>
      </c>
      <c r="L107" s="348">
        <f>'WPB-2.1.C Plant Detail'!N3872</f>
        <v>-160223.15592657332</v>
      </c>
      <c r="M107" s="349">
        <f t="shared" si="3"/>
        <v>-13572253.275234869</v>
      </c>
    </row>
    <row r="108" spans="1:13">
      <c r="A108" s="345">
        <f>IF(ISBLANK($B108),"",COUNTA($B$74:B108))</f>
        <v>35</v>
      </c>
      <c r="B108" s="347" t="s">
        <v>1662</v>
      </c>
      <c r="C108" s="348">
        <f>'WPB-2.1.C Plant Detail'!D3986</f>
        <v>99458346.080135942</v>
      </c>
      <c r="D108" s="348">
        <f>'WPB-2.1.C Plant Detail'!E3986</f>
        <v>3544953.2897983887</v>
      </c>
      <c r="E108" s="348">
        <f>'WPB-2.1.C Plant Detail'!F3986</f>
        <v>-344858.71416480059</v>
      </c>
      <c r="F108" s="349">
        <f t="shared" si="2"/>
        <v>102658440.65576954</v>
      </c>
      <c r="H108" s="348">
        <f>'WPB-2.1.C Plant Detail'!I3986</f>
        <v>-13572253.275234869</v>
      </c>
      <c r="I108" s="348">
        <f>'WPB-2.1.C Plant Detail'!K3986</f>
        <v>233672.19999999998</v>
      </c>
      <c r="J108" s="348">
        <f>'WPB-2.1.C Plant Detail'!L3986</f>
        <v>0</v>
      </c>
      <c r="K108" s="348">
        <f>'WPB-2.1.C Plant Detail'!M3986</f>
        <v>-344858.71416480059</v>
      </c>
      <c r="L108" s="348">
        <f>'WPB-2.1.C Plant Detail'!N3986</f>
        <v>-147347.53164690669</v>
      </c>
      <c r="M108" s="349">
        <f t="shared" si="3"/>
        <v>-13830787.321046578</v>
      </c>
    </row>
    <row r="109" spans="1:13">
      <c r="A109" s="345">
        <f>IF(ISBLANK($B109),"",COUNTA($B$74:B109))</f>
        <v>36</v>
      </c>
      <c r="B109" s="347" t="s">
        <v>1663</v>
      </c>
      <c r="C109" s="348">
        <f>'WPB-2.1.C Plant Detail'!D4100</f>
        <v>102658440.65576951</v>
      </c>
      <c r="D109" s="348">
        <f>'WPB-2.1.C Plant Detail'!E4100</f>
        <v>5705391.2049845476</v>
      </c>
      <c r="E109" s="348">
        <f>'WPB-2.1.C Plant Detail'!F4100</f>
        <v>-505769.91837816319</v>
      </c>
      <c r="F109" s="349">
        <f t="shared" si="2"/>
        <v>107858061.9423759</v>
      </c>
      <c r="H109" s="348">
        <f>'WPB-2.1.C Plant Detail'!I4100</f>
        <v>-13830787.321046574</v>
      </c>
      <c r="I109" s="348">
        <f>'WPB-2.1.C Plant Detail'!K4100</f>
        <v>240991.83999999997</v>
      </c>
      <c r="J109" s="348">
        <f>'WPB-2.1.C Plant Detail'!L4100</f>
        <v>0</v>
      </c>
      <c r="K109" s="348">
        <f>'WPB-2.1.C Plant Detail'!M4100</f>
        <v>-505769.91837816319</v>
      </c>
      <c r="L109" s="348">
        <f>'WPB-2.1.C Plant Detail'!N4100</f>
        <v>-192542.854608069</v>
      </c>
      <c r="M109" s="349">
        <f t="shared" si="3"/>
        <v>-14288108.254032806</v>
      </c>
    </row>
    <row r="110" spans="1:13">
      <c r="A110" s="345" t="str">
        <f>IF(ISBLANK($B110),"",COUNTA($B$74:B110))</f>
        <v/>
      </c>
      <c r="M110" s="349"/>
    </row>
    <row r="111" spans="1:13">
      <c r="A111" s="345">
        <f>IF(ISBLANK($B111),"",COUNTA($B$74:B111))</f>
        <v>37</v>
      </c>
      <c r="B111" s="343" t="s">
        <v>1664</v>
      </c>
      <c r="F111" s="349">
        <f>AVERAGE(F97:F109)</f>
        <v>88741943.279402107</v>
      </c>
      <c r="M111" s="349">
        <f>AVERAGE(M97:M109)</f>
        <v>-13062142.728809062</v>
      </c>
    </row>
    <row r="112" spans="1:13">
      <c r="A112" s="345" t="str">
        <f>IF(ISBLANK($B112),"",COUNTA($B$74:B112))</f>
        <v/>
      </c>
    </row>
    <row r="113" spans="1:14">
      <c r="A113" s="345">
        <f>IF(ISBLANK($B113),"",COUNTA($B$74:B113))</f>
        <v>38</v>
      </c>
      <c r="B113" s="343" t="s">
        <v>1665</v>
      </c>
      <c r="I113" s="349">
        <f>SUM(I98:I109)</f>
        <v>2473384.31</v>
      </c>
    </row>
    <row r="114" spans="1:14">
      <c r="A114" s="345">
        <f>IF(ISBLANK($B114),"",COUNTA($B$74:B114))</f>
        <v>39</v>
      </c>
      <c r="B114" s="343" t="s">
        <v>2365</v>
      </c>
      <c r="I114" s="349">
        <f>SUM(I82:J93)</f>
        <v>1028506.654</v>
      </c>
    </row>
    <row r="115" spans="1:14" s="291" customFormat="1">
      <c r="A115" s="1308" t="str">
        <f>A1</f>
        <v>COLUMBIA GAS OF KENTUCKY, INC.</v>
      </c>
      <c r="B115" s="1308"/>
      <c r="C115" s="1308"/>
      <c r="D115" s="1308"/>
      <c r="E115" s="1308"/>
      <c r="F115" s="1308"/>
      <c r="G115" s="1308"/>
      <c r="H115" s="1308"/>
      <c r="I115" s="1308"/>
      <c r="J115" s="1308"/>
      <c r="K115" s="1308"/>
      <c r="L115" s="1308"/>
      <c r="M115" s="1308"/>
      <c r="N115" s="1308"/>
    </row>
    <row r="116" spans="1:14" s="291" customFormat="1">
      <c r="A116" s="1308" t="str">
        <f>A2</f>
        <v>CASE NO. 2024 - 00092</v>
      </c>
      <c r="B116" s="1308"/>
      <c r="C116" s="1308"/>
      <c r="D116" s="1308"/>
      <c r="E116" s="1308"/>
      <c r="F116" s="1308"/>
      <c r="G116" s="1308"/>
      <c r="H116" s="1308"/>
      <c r="I116" s="1308"/>
      <c r="J116" s="1308"/>
      <c r="K116" s="1308"/>
      <c r="L116" s="1308"/>
      <c r="M116" s="1308"/>
      <c r="N116" s="1308"/>
    </row>
    <row r="117" spans="1:14" s="291" customFormat="1">
      <c r="A117" s="1308" t="str">
        <f>A3</f>
        <v>SUMMARY OF ACTUAL &amp; FORECASTED PLANT, ACCUMULATED RESERVE &amp; DEPRECIATION EXPENSE</v>
      </c>
      <c r="B117" s="1308"/>
      <c r="C117" s="1308"/>
      <c r="D117" s="1308"/>
      <c r="E117" s="1308"/>
      <c r="F117" s="1308"/>
      <c r="G117" s="1308"/>
      <c r="H117" s="1308"/>
      <c r="I117" s="1308"/>
      <c r="J117" s="1308"/>
      <c r="K117" s="1308"/>
      <c r="L117" s="1308"/>
      <c r="M117" s="1308"/>
      <c r="N117" s="1308"/>
    </row>
    <row r="118" spans="1:14" s="291" customFormat="1">
      <c r="A118" s="1308" t="str">
        <f>A4</f>
        <v>FROM JANUARY 01, 2023 THROUGH DECEMBER 31, 2025</v>
      </c>
      <c r="B118" s="1308"/>
      <c r="C118" s="1308"/>
      <c r="D118" s="1308"/>
      <c r="E118" s="1308"/>
      <c r="F118" s="1308"/>
      <c r="G118" s="1308"/>
      <c r="H118" s="1308"/>
      <c r="I118" s="1308"/>
      <c r="J118" s="1308"/>
      <c r="K118" s="1308"/>
      <c r="L118" s="1308"/>
      <c r="M118" s="1308"/>
      <c r="N118" s="1308"/>
    </row>
    <row r="119" spans="1:14" s="291" customFormat="1">
      <c r="B119" s="293"/>
    </row>
    <row r="120" spans="1:14" s="291" customFormat="1">
      <c r="A120" s="297" t="str">
        <f>A6</f>
        <v xml:space="preserve">DATA: _X_ BASE PERIOD _X_ FORECASTED PERIOD     </v>
      </c>
      <c r="B120" s="293"/>
      <c r="N120" s="312" t="str">
        <f>N6</f>
        <v>WPB-2.1.B</v>
      </c>
    </row>
    <row r="121" spans="1:14" s="291" customFormat="1">
      <c r="A121" s="297" t="str">
        <f>A7</f>
        <v>TYPE OF FILING:___X___ORIGINAL______UPDATED</v>
      </c>
      <c r="B121" s="293"/>
      <c r="N121" s="312" t="s">
        <v>1338</v>
      </c>
    </row>
    <row r="122" spans="1:14" s="291" customFormat="1">
      <c r="A122" s="297" t="str">
        <f>A8</f>
        <v>WORKPAPER REFERENCE NO(S).: WPB-2.1.C</v>
      </c>
      <c r="B122" s="293"/>
      <c r="N122" s="312" t="str">
        <f>N8</f>
        <v>WITNESS: GORE</v>
      </c>
    </row>
    <row r="123" spans="1:14">
      <c r="A123" s="914"/>
      <c r="B123" s="915"/>
      <c r="C123" s="914"/>
      <c r="D123" s="914"/>
      <c r="E123" s="914"/>
      <c r="F123" s="914"/>
      <c r="G123" s="914"/>
      <c r="H123" s="914"/>
      <c r="I123" s="914"/>
      <c r="J123" s="914"/>
      <c r="K123" s="914"/>
      <c r="L123" s="914"/>
      <c r="M123" s="916"/>
      <c r="N123" s="914"/>
    </row>
    <row r="124" spans="1:14">
      <c r="B124" s="344"/>
      <c r="C124" s="1310" t="s">
        <v>2911</v>
      </c>
      <c r="D124" s="1310"/>
      <c r="E124" s="1310"/>
      <c r="F124" s="1310"/>
      <c r="H124" s="1310" t="s">
        <v>2912</v>
      </c>
      <c r="I124" s="1310"/>
      <c r="J124" s="1310"/>
      <c r="K124" s="1310"/>
      <c r="L124" s="1310"/>
      <c r="M124" s="1310"/>
      <c r="N124" s="1310"/>
    </row>
    <row r="125" spans="1:14">
      <c r="B125" s="344"/>
      <c r="C125" s="345" t="s">
        <v>1757</v>
      </c>
      <c r="F125" s="345" t="s">
        <v>1757</v>
      </c>
      <c r="H125" s="345" t="s">
        <v>1758</v>
      </c>
      <c r="I125" s="345"/>
      <c r="J125" s="345" t="s">
        <v>1758</v>
      </c>
      <c r="K125" s="345"/>
      <c r="M125" s="345" t="s">
        <v>1758</v>
      </c>
    </row>
    <row r="126" spans="1:14">
      <c r="A126" s="345" t="s">
        <v>313</v>
      </c>
      <c r="B126" s="345"/>
      <c r="C126" s="345" t="s">
        <v>437</v>
      </c>
      <c r="F126" s="345" t="s">
        <v>439</v>
      </c>
      <c r="H126" s="345" t="s">
        <v>437</v>
      </c>
      <c r="I126" s="345" t="s">
        <v>488</v>
      </c>
      <c r="J126" s="345" t="s">
        <v>1759</v>
      </c>
      <c r="K126" s="345"/>
      <c r="L126" s="345" t="s">
        <v>1760</v>
      </c>
      <c r="M126" s="345" t="s">
        <v>439</v>
      </c>
    </row>
    <row r="127" spans="1:14">
      <c r="A127" s="346" t="s">
        <v>316</v>
      </c>
      <c r="B127" s="346" t="s">
        <v>1761</v>
      </c>
      <c r="C127" s="346" t="s">
        <v>441</v>
      </c>
      <c r="D127" s="346" t="s">
        <v>442</v>
      </c>
      <c r="E127" s="346" t="s">
        <v>443</v>
      </c>
      <c r="F127" s="346" t="s">
        <v>441</v>
      </c>
      <c r="H127" s="346" t="s">
        <v>441</v>
      </c>
      <c r="I127" s="346" t="s">
        <v>1762</v>
      </c>
      <c r="J127" s="346" t="s">
        <v>355</v>
      </c>
      <c r="K127" s="346" t="s">
        <v>443</v>
      </c>
      <c r="L127" s="346" t="s">
        <v>1763</v>
      </c>
      <c r="M127" s="346" t="s">
        <v>441</v>
      </c>
    </row>
    <row r="128" spans="1:14">
      <c r="B128" s="344"/>
      <c r="C128" s="345" t="s">
        <v>532</v>
      </c>
      <c r="D128" s="345" t="s">
        <v>541</v>
      </c>
      <c r="E128" s="345" t="s">
        <v>542</v>
      </c>
      <c r="F128" s="345" t="s">
        <v>1764</v>
      </c>
      <c r="H128" s="334" t="str">
        <f>"(5)"</f>
        <v>(5)</v>
      </c>
      <c r="I128" s="334" t="str">
        <f>"(6)"</f>
        <v>(6)</v>
      </c>
      <c r="J128" s="334" t="str">
        <f>"(7)"</f>
        <v>(7)</v>
      </c>
      <c r="K128" s="334" t="str">
        <f>"(8)"</f>
        <v>(8)</v>
      </c>
      <c r="L128" s="334" t="str">
        <f>"(9)"</f>
        <v>(9)</v>
      </c>
      <c r="M128" s="334" t="str">
        <f>"(10=5 through 9)"</f>
        <v>(10=5 through 9)</v>
      </c>
    </row>
    <row r="129" spans="1:22">
      <c r="B129" s="344"/>
      <c r="C129" s="345" t="s">
        <v>320</v>
      </c>
      <c r="D129" s="345" t="s">
        <v>320</v>
      </c>
      <c r="E129" s="345" t="s">
        <v>320</v>
      </c>
      <c r="F129" s="345" t="s">
        <v>320</v>
      </c>
      <c r="H129" s="334" t="s">
        <v>320</v>
      </c>
      <c r="I129" s="334" t="s">
        <v>320</v>
      </c>
      <c r="J129" s="334" t="s">
        <v>320</v>
      </c>
      <c r="K129" s="334" t="s">
        <v>320</v>
      </c>
      <c r="L129" s="334" t="s">
        <v>320</v>
      </c>
      <c r="M129" s="334" t="s">
        <v>320</v>
      </c>
      <c r="P129" s="351"/>
      <c r="Q129" s="351"/>
    </row>
    <row r="130" spans="1:22">
      <c r="B130" s="344"/>
      <c r="C130" s="345"/>
      <c r="D130" s="345"/>
      <c r="E130" s="345"/>
      <c r="F130" s="345"/>
      <c r="H130" s="334"/>
      <c r="I130" s="334"/>
      <c r="J130" s="334"/>
      <c r="K130" s="334"/>
      <c r="L130" s="334"/>
      <c r="M130" s="334"/>
      <c r="P130" s="351"/>
      <c r="Q130" s="351"/>
    </row>
    <row r="131" spans="1:22">
      <c r="A131" s="345">
        <f>IF(ISBLANK($B131),"",COUNTA($B$131:B131))</f>
        <v>1</v>
      </c>
      <c r="B131" s="347" t="s">
        <v>1628</v>
      </c>
      <c r="C131" s="349">
        <f t="shared" ref="C131:E150" si="4">C17+C74</f>
        <v>718244952.80000007</v>
      </c>
      <c r="D131" s="349">
        <f t="shared" si="4"/>
        <v>2825328.21</v>
      </c>
      <c r="E131" s="349">
        <f t="shared" si="4"/>
        <v>-616579.65000000014</v>
      </c>
      <c r="F131" s="349">
        <f>SUM(C131:E131)</f>
        <v>720453701.36000013</v>
      </c>
      <c r="H131" s="349">
        <f t="shared" ref="H131:L140" si="5">H17+H74</f>
        <v>160219807.81999996</v>
      </c>
      <c r="I131" s="349">
        <f t="shared" si="5"/>
        <v>1684584.32</v>
      </c>
      <c r="J131" s="349">
        <f t="shared" si="5"/>
        <v>0</v>
      </c>
      <c r="K131" s="349">
        <f t="shared" si="5"/>
        <v>-616575.07000000007</v>
      </c>
      <c r="L131" s="349">
        <f t="shared" si="5"/>
        <v>-84187.48000000004</v>
      </c>
      <c r="M131" s="349">
        <f>SUM(H131:L131)</f>
        <v>161203629.58999997</v>
      </c>
      <c r="P131" s="352"/>
      <c r="Q131" s="353"/>
      <c r="R131" s="350"/>
      <c r="S131" s="352"/>
      <c r="T131" s="352"/>
      <c r="V131" s="354"/>
    </row>
    <row r="132" spans="1:22">
      <c r="A132" s="345">
        <f>IF(ISBLANK($B132),"",COUNTA($B$131:B132))</f>
        <v>2</v>
      </c>
      <c r="B132" s="347" t="s">
        <v>1629</v>
      </c>
      <c r="C132" s="349">
        <f t="shared" si="4"/>
        <v>720453701.36000001</v>
      </c>
      <c r="D132" s="349">
        <f t="shared" si="4"/>
        <v>5473399.0600000005</v>
      </c>
      <c r="E132" s="349">
        <f t="shared" si="4"/>
        <v>-314943.48</v>
      </c>
      <c r="F132" s="349">
        <f t="shared" ref="F132:F166" si="6">SUM(C132:E132)</f>
        <v>725612156.93999994</v>
      </c>
      <c r="H132" s="349">
        <f t="shared" si="5"/>
        <v>161203629.59000009</v>
      </c>
      <c r="I132" s="349">
        <f t="shared" si="5"/>
        <v>1751312.7299999995</v>
      </c>
      <c r="J132" s="349">
        <f t="shared" si="5"/>
        <v>0</v>
      </c>
      <c r="K132" s="349">
        <f t="shared" si="5"/>
        <v>-314943.48</v>
      </c>
      <c r="L132" s="349">
        <f t="shared" si="5"/>
        <v>-151037.56</v>
      </c>
      <c r="M132" s="349">
        <f t="shared" ref="M132:M166" si="7">SUM(H132:L132)</f>
        <v>162488961.28000009</v>
      </c>
      <c r="P132" s="352"/>
      <c r="Q132" s="350"/>
      <c r="R132" s="350"/>
      <c r="S132" s="352"/>
      <c r="T132" s="352"/>
    </row>
    <row r="133" spans="1:22">
      <c r="A133" s="345">
        <f>IF(ISBLANK($B133),"",COUNTA($B$131:B133))</f>
        <v>3</v>
      </c>
      <c r="B133" s="347" t="s">
        <v>1630</v>
      </c>
      <c r="C133" s="349">
        <f t="shared" si="4"/>
        <v>725612156.94000018</v>
      </c>
      <c r="D133" s="349">
        <f t="shared" si="4"/>
        <v>6602310.2999999989</v>
      </c>
      <c r="E133" s="349">
        <f t="shared" si="4"/>
        <v>-501294.91000000003</v>
      </c>
      <c r="F133" s="349">
        <f t="shared" si="6"/>
        <v>731713172.33000016</v>
      </c>
      <c r="H133" s="349">
        <f t="shared" si="5"/>
        <v>162488961.28</v>
      </c>
      <c r="I133" s="349">
        <f t="shared" si="5"/>
        <v>1718870.3299999998</v>
      </c>
      <c r="J133" s="349">
        <f t="shared" si="5"/>
        <v>0</v>
      </c>
      <c r="K133" s="349">
        <f t="shared" si="5"/>
        <v>-501294.91000000003</v>
      </c>
      <c r="L133" s="349">
        <f t="shared" si="5"/>
        <v>-182076.47000000003</v>
      </c>
      <c r="M133" s="349">
        <f t="shared" si="7"/>
        <v>163524460.23000002</v>
      </c>
      <c r="P133" s="352"/>
      <c r="Q133" s="353"/>
      <c r="R133" s="350"/>
      <c r="S133" s="352"/>
      <c r="T133" s="352"/>
    </row>
    <row r="134" spans="1:22">
      <c r="A134" s="345">
        <f>IF(ISBLANK($B134),"",COUNTA($B$131:B134))</f>
        <v>4</v>
      </c>
      <c r="B134" s="347" t="s">
        <v>1631</v>
      </c>
      <c r="C134" s="349">
        <f t="shared" si="4"/>
        <v>731713172.33000016</v>
      </c>
      <c r="D134" s="349">
        <f t="shared" si="4"/>
        <v>3451379.0100000007</v>
      </c>
      <c r="E134" s="349">
        <f t="shared" si="4"/>
        <v>-3796085.8299999996</v>
      </c>
      <c r="F134" s="349">
        <f t="shared" si="6"/>
        <v>731368465.51000011</v>
      </c>
      <c r="H134" s="349">
        <f t="shared" si="5"/>
        <v>163524460.23000002</v>
      </c>
      <c r="I134" s="349">
        <f t="shared" si="5"/>
        <v>1773684.9200000002</v>
      </c>
      <c r="J134" s="349">
        <f t="shared" si="5"/>
        <v>0</v>
      </c>
      <c r="K134" s="349">
        <f t="shared" si="5"/>
        <v>-3796085.8299999996</v>
      </c>
      <c r="L134" s="349">
        <f t="shared" si="5"/>
        <v>-153691.21000000002</v>
      </c>
      <c r="M134" s="349">
        <f t="shared" si="7"/>
        <v>161348368.10999998</v>
      </c>
      <c r="P134" s="352"/>
      <c r="Q134" s="353"/>
      <c r="R134" s="350"/>
      <c r="S134" s="352"/>
      <c r="T134" s="352"/>
    </row>
    <row r="135" spans="1:22">
      <c r="A135" s="345">
        <f>IF(ISBLANK($B135),"",COUNTA($B$131:B135))</f>
        <v>5</v>
      </c>
      <c r="B135" s="347" t="s">
        <v>1632</v>
      </c>
      <c r="C135" s="349">
        <f t="shared" si="4"/>
        <v>731368465.51000011</v>
      </c>
      <c r="D135" s="349">
        <f t="shared" si="4"/>
        <v>8813436.3300000001</v>
      </c>
      <c r="E135" s="349">
        <f t="shared" si="4"/>
        <v>-936963.92</v>
      </c>
      <c r="F135" s="349">
        <f t="shared" si="6"/>
        <v>739244937.9200002</v>
      </c>
      <c r="H135" s="349">
        <f t="shared" si="5"/>
        <v>161348368.10999995</v>
      </c>
      <c r="I135" s="349">
        <f t="shared" si="5"/>
        <v>1816513.61</v>
      </c>
      <c r="J135" s="349">
        <f t="shared" si="5"/>
        <v>0</v>
      </c>
      <c r="K135" s="349">
        <f t="shared" si="5"/>
        <v>-936963.92</v>
      </c>
      <c r="L135" s="349">
        <f t="shared" si="5"/>
        <v>-276650.38</v>
      </c>
      <c r="M135" s="349">
        <f t="shared" si="7"/>
        <v>161951267.41999999</v>
      </c>
      <c r="P135" s="352"/>
      <c r="Q135" s="350"/>
      <c r="R135" s="350"/>
      <c r="S135" s="352"/>
      <c r="T135" s="352"/>
    </row>
    <row r="136" spans="1:22">
      <c r="A136" s="345">
        <f>IF(ISBLANK($B136),"",COUNTA($B$131:B136))</f>
        <v>6</v>
      </c>
      <c r="B136" s="347" t="s">
        <v>1633</v>
      </c>
      <c r="C136" s="349">
        <f t="shared" si="4"/>
        <v>739244937.92000008</v>
      </c>
      <c r="D136" s="349">
        <f t="shared" si="4"/>
        <v>6442198.7699999996</v>
      </c>
      <c r="E136" s="349">
        <f t="shared" si="4"/>
        <v>-841224.10000000009</v>
      </c>
      <c r="F136" s="349">
        <f t="shared" si="6"/>
        <v>744845912.59000003</v>
      </c>
      <c r="H136" s="349">
        <f t="shared" si="5"/>
        <v>161951267.41999993</v>
      </c>
      <c r="I136" s="349">
        <f t="shared" si="5"/>
        <v>1796261.1600000001</v>
      </c>
      <c r="J136" s="349">
        <f t="shared" si="5"/>
        <v>0</v>
      </c>
      <c r="K136" s="349">
        <f t="shared" si="5"/>
        <v>-841224.10000000009</v>
      </c>
      <c r="L136" s="349">
        <f t="shared" si="5"/>
        <v>-462745.91000000003</v>
      </c>
      <c r="M136" s="349">
        <f t="shared" si="7"/>
        <v>162443558.56999993</v>
      </c>
      <c r="P136" s="352"/>
      <c r="Q136" s="350"/>
      <c r="R136" s="350"/>
      <c r="S136" s="352"/>
      <c r="T136" s="352"/>
    </row>
    <row r="137" spans="1:22">
      <c r="A137" s="345">
        <f>IF(ISBLANK($B137),"",COUNTA($B$131:B137))</f>
        <v>7</v>
      </c>
      <c r="B137" s="347" t="s">
        <v>1634</v>
      </c>
      <c r="C137" s="349">
        <f t="shared" si="4"/>
        <v>744845912.59000015</v>
      </c>
      <c r="D137" s="349">
        <f t="shared" si="4"/>
        <v>5539110.2800000003</v>
      </c>
      <c r="E137" s="349">
        <f t="shared" si="4"/>
        <v>-637118.43999999994</v>
      </c>
      <c r="F137" s="349">
        <f t="shared" si="6"/>
        <v>749747904.43000007</v>
      </c>
      <c r="H137" s="349">
        <f t="shared" si="5"/>
        <v>162443558.56999999</v>
      </c>
      <c r="I137" s="349">
        <f t="shared" si="5"/>
        <v>1806416.6299999994</v>
      </c>
      <c r="J137" s="349">
        <f t="shared" si="5"/>
        <v>0</v>
      </c>
      <c r="K137" s="349">
        <f t="shared" si="5"/>
        <v>-637118.43999999994</v>
      </c>
      <c r="L137" s="349">
        <f t="shared" si="5"/>
        <v>-521765.53</v>
      </c>
      <c r="M137" s="349">
        <f t="shared" si="7"/>
        <v>163091091.22999999</v>
      </c>
      <c r="P137" s="352"/>
      <c r="Q137" s="350"/>
      <c r="R137" s="350"/>
      <c r="S137" s="352"/>
      <c r="T137" s="352"/>
    </row>
    <row r="138" spans="1:22">
      <c r="A138" s="345">
        <f>IF(ISBLANK($B138),"",COUNTA($B$131:B138))</f>
        <v>8</v>
      </c>
      <c r="B138" s="347" t="s">
        <v>1635</v>
      </c>
      <c r="C138" s="349">
        <f t="shared" si="4"/>
        <v>749747904.43000019</v>
      </c>
      <c r="D138" s="349">
        <f t="shared" si="4"/>
        <v>5294405.5599999987</v>
      </c>
      <c r="E138" s="349">
        <f t="shared" si="4"/>
        <v>-392640</v>
      </c>
      <c r="F138" s="349">
        <f t="shared" si="6"/>
        <v>754649669.99000013</v>
      </c>
      <c r="H138" s="349">
        <f t="shared" si="5"/>
        <v>163091091.22999993</v>
      </c>
      <c r="I138" s="349">
        <f t="shared" si="5"/>
        <v>1843091.67</v>
      </c>
      <c r="J138" s="349">
        <f t="shared" si="5"/>
        <v>0</v>
      </c>
      <c r="K138" s="349">
        <f t="shared" si="5"/>
        <v>-392640</v>
      </c>
      <c r="L138" s="349">
        <f t="shared" si="5"/>
        <v>-284000.28000000003</v>
      </c>
      <c r="M138" s="349">
        <f t="shared" si="7"/>
        <v>164257542.61999992</v>
      </c>
      <c r="P138" s="352"/>
      <c r="Q138" s="350"/>
      <c r="R138" s="350"/>
      <c r="S138" s="352"/>
      <c r="T138" s="352"/>
    </row>
    <row r="139" spans="1:22">
      <c r="A139" s="345">
        <f>IF(ISBLANK($B139),"",COUNTA($B$131:B139))</f>
        <v>9</v>
      </c>
      <c r="B139" s="347" t="s">
        <v>1636</v>
      </c>
      <c r="C139" s="349">
        <f t="shared" si="4"/>
        <v>754649669.99000001</v>
      </c>
      <c r="D139" s="349">
        <f t="shared" si="4"/>
        <v>9596644.9400000013</v>
      </c>
      <c r="E139" s="349">
        <f t="shared" si="4"/>
        <v>-992493.44</v>
      </c>
      <c r="F139" s="349">
        <f t="shared" si="6"/>
        <v>763253821.49000001</v>
      </c>
      <c r="H139" s="349">
        <f t="shared" si="5"/>
        <v>164257542.62000003</v>
      </c>
      <c r="I139" s="349">
        <f t="shared" si="5"/>
        <v>1827896.84</v>
      </c>
      <c r="J139" s="349">
        <f t="shared" si="5"/>
        <v>0</v>
      </c>
      <c r="K139" s="349">
        <f t="shared" si="5"/>
        <v>-992493.44</v>
      </c>
      <c r="L139" s="349">
        <f t="shared" si="5"/>
        <v>-234218.16999999998</v>
      </c>
      <c r="M139" s="349">
        <f t="shared" si="7"/>
        <v>164858727.85000005</v>
      </c>
      <c r="P139" s="352"/>
      <c r="Q139" s="350"/>
      <c r="R139" s="350"/>
      <c r="S139" s="352"/>
      <c r="T139" s="352"/>
    </row>
    <row r="140" spans="1:22">
      <c r="A140" s="345">
        <f>IF(ISBLANK($B140),"",COUNTA($B$131:B140))</f>
        <v>10</v>
      </c>
      <c r="B140" s="347" t="s">
        <v>1637</v>
      </c>
      <c r="C140" s="349">
        <f t="shared" si="4"/>
        <v>763253821.49000013</v>
      </c>
      <c r="D140" s="349">
        <f t="shared" si="4"/>
        <v>7694245.5100000007</v>
      </c>
      <c r="E140" s="349">
        <f t="shared" si="4"/>
        <v>-364906.9</v>
      </c>
      <c r="F140" s="349">
        <f t="shared" si="6"/>
        <v>770583160.10000014</v>
      </c>
      <c r="H140" s="349">
        <f t="shared" si="5"/>
        <v>164858727.85000008</v>
      </c>
      <c r="I140" s="349">
        <f t="shared" si="5"/>
        <v>1823637.0799999994</v>
      </c>
      <c r="J140" s="349">
        <f t="shared" si="5"/>
        <v>0</v>
      </c>
      <c r="K140" s="349">
        <f t="shared" si="5"/>
        <v>-364906.9</v>
      </c>
      <c r="L140" s="349">
        <f t="shared" si="5"/>
        <v>-390263.9</v>
      </c>
      <c r="M140" s="349">
        <f t="shared" si="7"/>
        <v>165927194.13000008</v>
      </c>
      <c r="P140" s="350"/>
      <c r="Q140" s="350"/>
      <c r="R140" s="350"/>
    </row>
    <row r="141" spans="1:22">
      <c r="A141" s="345">
        <f>IF(ISBLANK($B141),"",COUNTA($B$131:B141))</f>
        <v>11</v>
      </c>
      <c r="B141" s="347" t="s">
        <v>1638</v>
      </c>
      <c r="C141" s="349">
        <f t="shared" si="4"/>
        <v>770583160.0999999</v>
      </c>
      <c r="D141" s="349">
        <f t="shared" si="4"/>
        <v>7000382.1600000001</v>
      </c>
      <c r="E141" s="349">
        <f t="shared" si="4"/>
        <v>-710779.49</v>
      </c>
      <c r="F141" s="349">
        <f t="shared" si="6"/>
        <v>776872762.76999986</v>
      </c>
      <c r="H141" s="349">
        <f t="shared" ref="H141:L150" si="8">H27+H84</f>
        <v>165927194.13000005</v>
      </c>
      <c r="I141" s="349">
        <f t="shared" si="8"/>
        <v>1854281.1199999996</v>
      </c>
      <c r="J141" s="349">
        <f t="shared" si="8"/>
        <v>0</v>
      </c>
      <c r="K141" s="349">
        <f t="shared" si="8"/>
        <v>-710779.49</v>
      </c>
      <c r="L141" s="349">
        <f t="shared" si="8"/>
        <v>-297545.76</v>
      </c>
      <c r="M141" s="349">
        <f t="shared" si="7"/>
        <v>166773150.00000006</v>
      </c>
      <c r="Q141" s="350"/>
      <c r="R141" s="350"/>
    </row>
    <row r="142" spans="1:22">
      <c r="A142" s="345">
        <f>IF(ISBLANK($B142),"",COUNTA($B$131:B142))</f>
        <v>12</v>
      </c>
      <c r="B142" s="347" t="s">
        <v>1639</v>
      </c>
      <c r="C142" s="349">
        <f t="shared" si="4"/>
        <v>776872762.7700001</v>
      </c>
      <c r="D142" s="349">
        <f t="shared" si="4"/>
        <v>9301917.8100000005</v>
      </c>
      <c r="E142" s="349">
        <f t="shared" si="4"/>
        <v>-1216347.56</v>
      </c>
      <c r="F142" s="349">
        <f t="shared" si="6"/>
        <v>784958333.0200001</v>
      </c>
      <c r="H142" s="349">
        <f t="shared" si="8"/>
        <v>166773150.00000003</v>
      </c>
      <c r="I142" s="349">
        <f t="shared" si="8"/>
        <v>1867999.9600000002</v>
      </c>
      <c r="J142" s="349">
        <f t="shared" si="8"/>
        <v>0</v>
      </c>
      <c r="K142" s="349">
        <f t="shared" si="8"/>
        <v>-1216346.96</v>
      </c>
      <c r="L142" s="349">
        <f t="shared" si="8"/>
        <v>-259163.7</v>
      </c>
      <c r="M142" s="349">
        <f t="shared" si="7"/>
        <v>167165639.30000004</v>
      </c>
      <c r="P142" s="353"/>
      <c r="Q142" s="350"/>
      <c r="R142" s="350"/>
    </row>
    <row r="143" spans="1:22">
      <c r="A143" s="345">
        <f>IF(ISBLANK($B143),"",COUNTA($B$131:B143))</f>
        <v>13</v>
      </c>
      <c r="B143" s="347" t="s">
        <v>1640</v>
      </c>
      <c r="C143" s="349">
        <f t="shared" si="4"/>
        <v>784958333.01999998</v>
      </c>
      <c r="D143" s="349">
        <f t="shared" si="4"/>
        <v>2567082.5</v>
      </c>
      <c r="E143" s="349">
        <f t="shared" si="4"/>
        <v>-696638.12</v>
      </c>
      <c r="F143" s="349">
        <f t="shared" si="6"/>
        <v>786828777.39999998</v>
      </c>
      <c r="H143" s="349">
        <f t="shared" si="8"/>
        <v>167165639.29999995</v>
      </c>
      <c r="I143" s="349">
        <f t="shared" si="8"/>
        <v>1902420.0778055554</v>
      </c>
      <c r="J143" s="349">
        <f t="shared" si="8"/>
        <v>0</v>
      </c>
      <c r="K143" s="349">
        <f t="shared" si="8"/>
        <v>-696638.12</v>
      </c>
      <c r="L143" s="349">
        <f t="shared" si="8"/>
        <v>-110650.31</v>
      </c>
      <c r="M143" s="349">
        <f t="shared" si="7"/>
        <v>168260770.94780549</v>
      </c>
      <c r="P143" s="353"/>
      <c r="Q143" s="350"/>
      <c r="R143" s="350"/>
    </row>
    <row r="144" spans="1:22">
      <c r="A144" s="345">
        <f>IF(ISBLANK($B144),"",COUNTA($B$131:B144))</f>
        <v>14</v>
      </c>
      <c r="B144" s="347" t="s">
        <v>1641</v>
      </c>
      <c r="C144" s="349">
        <f t="shared" si="4"/>
        <v>786828777.4000001</v>
      </c>
      <c r="D144" s="349">
        <f t="shared" si="4"/>
        <v>3462412.8200000003</v>
      </c>
      <c r="E144" s="349">
        <f t="shared" si="4"/>
        <v>-325505.97000000003</v>
      </c>
      <c r="F144" s="349">
        <f t="shared" si="6"/>
        <v>789965684.25000012</v>
      </c>
      <c r="H144" s="349">
        <f t="shared" si="8"/>
        <v>168260770.94780561</v>
      </c>
      <c r="I144" s="349">
        <f t="shared" si="8"/>
        <v>1847877.9278055555</v>
      </c>
      <c r="J144" s="349">
        <f t="shared" si="8"/>
        <v>0</v>
      </c>
      <c r="K144" s="349">
        <f t="shared" si="8"/>
        <v>-325505.97000000003</v>
      </c>
      <c r="L144" s="349">
        <f t="shared" si="8"/>
        <v>-171108.82</v>
      </c>
      <c r="M144" s="349">
        <f t="shared" si="7"/>
        <v>169612034.08561116</v>
      </c>
      <c r="P144" s="350"/>
      <c r="Q144" s="350"/>
    </row>
    <row r="145" spans="1:17">
      <c r="A145" s="345">
        <f>IF(ISBLANK($B145),"",COUNTA($B$131:B145))</f>
        <v>15</v>
      </c>
      <c r="B145" s="347" t="s">
        <v>1642</v>
      </c>
      <c r="C145" s="349">
        <f t="shared" si="4"/>
        <v>789965684.25</v>
      </c>
      <c r="D145" s="349">
        <f t="shared" si="4"/>
        <v>5968967.2679451173</v>
      </c>
      <c r="E145" s="349">
        <f t="shared" si="4"/>
        <v>-1129135.6599999999</v>
      </c>
      <c r="F145" s="349">
        <f t="shared" si="6"/>
        <v>794805515.8579452</v>
      </c>
      <c r="H145" s="349">
        <f t="shared" si="8"/>
        <v>169612034.08561116</v>
      </c>
      <c r="I145" s="349">
        <f t="shared" si="8"/>
        <v>1821901.9913055554</v>
      </c>
      <c r="J145" s="349">
        <f t="shared" si="8"/>
        <v>0</v>
      </c>
      <c r="K145" s="349">
        <f t="shared" si="8"/>
        <v>-1129135.6599999999</v>
      </c>
      <c r="L145" s="349">
        <f t="shared" si="8"/>
        <v>-702367.31</v>
      </c>
      <c r="M145" s="349">
        <f t="shared" si="7"/>
        <v>169602433.10691673</v>
      </c>
    </row>
    <row r="146" spans="1:17">
      <c r="A146" s="345">
        <f>IF(ISBLANK($B146),"",COUNTA($B$131:B146))</f>
        <v>16</v>
      </c>
      <c r="B146" s="347" t="s">
        <v>1643</v>
      </c>
      <c r="C146" s="349">
        <f t="shared" si="4"/>
        <v>794805515.8579452</v>
      </c>
      <c r="D146" s="349">
        <f t="shared" si="4"/>
        <v>4141296.4873746634</v>
      </c>
      <c r="E146" s="349">
        <f t="shared" si="4"/>
        <v>-3130864.38</v>
      </c>
      <c r="F146" s="349">
        <f t="shared" si="6"/>
        <v>795815947.96531987</v>
      </c>
      <c r="H146" s="349">
        <f t="shared" si="8"/>
        <v>169602433.1069167</v>
      </c>
      <c r="I146" s="349">
        <f t="shared" si="8"/>
        <v>1886108.6025336781</v>
      </c>
      <c r="J146" s="349">
        <f t="shared" si="8"/>
        <v>0</v>
      </c>
      <c r="K146" s="349">
        <f t="shared" si="8"/>
        <v>-3130864.38</v>
      </c>
      <c r="L146" s="349">
        <f t="shared" si="8"/>
        <v>-304812.98</v>
      </c>
      <c r="M146" s="349">
        <f t="shared" si="7"/>
        <v>168052864.34945038</v>
      </c>
      <c r="Q146" s="352"/>
    </row>
    <row r="147" spans="1:17">
      <c r="A147" s="345">
        <f>IF(ISBLANK($B147),"",COUNTA($B$131:B147))</f>
        <v>17</v>
      </c>
      <c r="B147" s="347" t="s">
        <v>1644</v>
      </c>
      <c r="C147" s="349">
        <f t="shared" si="4"/>
        <v>795815947.96531999</v>
      </c>
      <c r="D147" s="349">
        <f t="shared" si="4"/>
        <v>6053971.7388111111</v>
      </c>
      <c r="E147" s="349">
        <f t="shared" si="4"/>
        <v>-760769.55</v>
      </c>
      <c r="F147" s="349">
        <f t="shared" si="6"/>
        <v>801109150.15413117</v>
      </c>
      <c r="H147" s="349">
        <f t="shared" si="8"/>
        <v>168052864.34945041</v>
      </c>
      <c r="I147" s="349">
        <f t="shared" si="8"/>
        <v>1894920.7690852259</v>
      </c>
      <c r="J147" s="349">
        <f t="shared" si="8"/>
        <v>0</v>
      </c>
      <c r="K147" s="349">
        <f t="shared" si="8"/>
        <v>-760769.55</v>
      </c>
      <c r="L147" s="349">
        <f t="shared" si="8"/>
        <v>-309716.44999999995</v>
      </c>
      <c r="M147" s="349">
        <f t="shared" si="7"/>
        <v>168877299.11853564</v>
      </c>
      <c r="Q147" s="352"/>
    </row>
    <row r="148" spans="1:17">
      <c r="A148" s="345">
        <f>IF(ISBLANK($B148),"",COUNTA($B$131:B148))</f>
        <v>18</v>
      </c>
      <c r="B148" s="347" t="s">
        <v>1645</v>
      </c>
      <c r="C148" s="349">
        <f t="shared" si="4"/>
        <v>801109150.15413117</v>
      </c>
      <c r="D148" s="349">
        <f t="shared" si="4"/>
        <v>5202887.6971743107</v>
      </c>
      <c r="E148" s="349">
        <f t="shared" si="4"/>
        <v>-962988.68000000017</v>
      </c>
      <c r="F148" s="349">
        <f t="shared" si="6"/>
        <v>805349049.17130554</v>
      </c>
      <c r="H148" s="349">
        <f t="shared" si="8"/>
        <v>168877299.11853558</v>
      </c>
      <c r="I148" s="349">
        <f t="shared" si="8"/>
        <v>1905048.9848017716</v>
      </c>
      <c r="J148" s="349">
        <f t="shared" si="8"/>
        <v>0</v>
      </c>
      <c r="K148" s="349">
        <f t="shared" si="8"/>
        <v>-962988.68000000017</v>
      </c>
      <c r="L148" s="349">
        <f t="shared" si="8"/>
        <v>-301294.69999999995</v>
      </c>
      <c r="M148" s="349">
        <f t="shared" si="7"/>
        <v>169518064.72333735</v>
      </c>
      <c r="Q148" s="352"/>
    </row>
    <row r="149" spans="1:17">
      <c r="A149" s="345">
        <f>IF(ISBLANK($B149),"",COUNTA($B$131:B149))</f>
        <v>19</v>
      </c>
      <c r="B149" s="347" t="s">
        <v>1646</v>
      </c>
      <c r="C149" s="349">
        <f t="shared" si="4"/>
        <v>805349049.1713053</v>
      </c>
      <c r="D149" s="349">
        <f t="shared" si="4"/>
        <v>5418277.4453020319</v>
      </c>
      <c r="E149" s="349">
        <f t="shared" si="4"/>
        <v>-1045958.7300000001</v>
      </c>
      <c r="F149" s="349">
        <f t="shared" si="6"/>
        <v>809721367.88660729</v>
      </c>
      <c r="H149" s="349">
        <f t="shared" si="8"/>
        <v>169518064.72333735</v>
      </c>
      <c r="I149" s="349">
        <f t="shared" si="8"/>
        <v>1923076.0956557414</v>
      </c>
      <c r="J149" s="349">
        <f t="shared" si="8"/>
        <v>0</v>
      </c>
      <c r="K149" s="349">
        <f t="shared" si="8"/>
        <v>-1045958.7300000001</v>
      </c>
      <c r="L149" s="349">
        <f t="shared" si="8"/>
        <v>-207800.38</v>
      </c>
      <c r="M149" s="349">
        <f t="shared" si="7"/>
        <v>170187381.70899311</v>
      </c>
      <c r="Q149" s="352"/>
    </row>
    <row r="150" spans="1:17">
      <c r="A150" s="345">
        <f>IF(ISBLANK($B150),"",COUNTA($B$131:B150))</f>
        <v>20</v>
      </c>
      <c r="B150" s="347" t="s">
        <v>1647</v>
      </c>
      <c r="C150" s="349">
        <f t="shared" si="4"/>
        <v>809721367.88660741</v>
      </c>
      <c r="D150" s="349">
        <f t="shared" si="4"/>
        <v>4206718.3602031376</v>
      </c>
      <c r="E150" s="349">
        <f t="shared" si="4"/>
        <v>-564768.85</v>
      </c>
      <c r="F150" s="349">
        <f t="shared" si="6"/>
        <v>813363317.39681053</v>
      </c>
      <c r="H150" s="349">
        <f t="shared" si="8"/>
        <v>170187381.70899311</v>
      </c>
      <c r="I150" s="349">
        <f t="shared" si="8"/>
        <v>1941033.8886182837</v>
      </c>
      <c r="J150" s="349">
        <f t="shared" si="8"/>
        <v>0</v>
      </c>
      <c r="K150" s="349">
        <f t="shared" si="8"/>
        <v>-564768.85</v>
      </c>
      <c r="L150" s="349">
        <f t="shared" si="8"/>
        <v>-297147.15000000002</v>
      </c>
      <c r="M150" s="349">
        <f t="shared" si="7"/>
        <v>171266499.5976114</v>
      </c>
    </row>
    <row r="151" spans="1:17">
      <c r="A151" s="345">
        <f>IF(ISBLANK($B151),"",COUNTA($B$131:B151))</f>
        <v>21</v>
      </c>
      <c r="B151" s="347" t="s">
        <v>1648</v>
      </c>
      <c r="C151" s="349">
        <f t="shared" ref="C151:E166" si="9">C37+C94</f>
        <v>813363317.39681041</v>
      </c>
      <c r="D151" s="349">
        <f t="shared" si="9"/>
        <v>6300056.0255192956</v>
      </c>
      <c r="E151" s="349">
        <f t="shared" si="9"/>
        <v>-731883.31</v>
      </c>
      <c r="F151" s="349">
        <f t="shared" si="6"/>
        <v>818931490.11232972</v>
      </c>
      <c r="H151" s="349">
        <f t="shared" ref="H151:L160" si="10">H37+H94</f>
        <v>171266499.59761143</v>
      </c>
      <c r="I151" s="349">
        <f t="shared" si="10"/>
        <v>1951516.5893326378</v>
      </c>
      <c r="J151" s="349">
        <f t="shared" si="10"/>
        <v>0</v>
      </c>
      <c r="K151" s="349">
        <f t="shared" si="10"/>
        <v>-731883.31</v>
      </c>
      <c r="L151" s="349">
        <f t="shared" si="10"/>
        <v>-366843.76</v>
      </c>
      <c r="M151" s="349">
        <f t="shared" si="7"/>
        <v>172119289.11694407</v>
      </c>
    </row>
    <row r="152" spans="1:17">
      <c r="A152" s="345">
        <f>IF(ISBLANK($B152),"",COUNTA($B$131:B152))</f>
        <v>22</v>
      </c>
      <c r="B152" s="347" t="s">
        <v>1649</v>
      </c>
      <c r="C152" s="349">
        <f t="shared" si="9"/>
        <v>818931490.11232972</v>
      </c>
      <c r="D152" s="349">
        <f t="shared" si="9"/>
        <v>7257582.8822039049</v>
      </c>
      <c r="E152" s="349">
        <f t="shared" si="9"/>
        <v>-777488.78</v>
      </c>
      <c r="F152" s="349">
        <f t="shared" si="6"/>
        <v>825411584.21453369</v>
      </c>
      <c r="H152" s="349">
        <f t="shared" si="10"/>
        <v>172119289.11694407</v>
      </c>
      <c r="I152" s="349">
        <f t="shared" si="10"/>
        <v>1961282.9899803309</v>
      </c>
      <c r="J152" s="349">
        <f t="shared" si="10"/>
        <v>0</v>
      </c>
      <c r="K152" s="349">
        <f t="shared" si="10"/>
        <v>-777488.78</v>
      </c>
      <c r="L152" s="349">
        <f t="shared" si="10"/>
        <v>-314741.69</v>
      </c>
      <c r="M152" s="349">
        <f t="shared" si="7"/>
        <v>172988341.63692442</v>
      </c>
    </row>
    <row r="153" spans="1:17">
      <c r="A153" s="345">
        <f>IF(ISBLANK($B153),"",COUNTA($B$131:B153))</f>
        <v>23</v>
      </c>
      <c r="B153" s="347" t="s">
        <v>1650</v>
      </c>
      <c r="C153" s="349">
        <f t="shared" si="9"/>
        <v>825411584.21453381</v>
      </c>
      <c r="D153" s="349">
        <f t="shared" si="9"/>
        <v>5843871.2104320899</v>
      </c>
      <c r="E153" s="349">
        <f t="shared" si="9"/>
        <v>-1634321.04</v>
      </c>
      <c r="F153" s="349">
        <f t="shared" si="6"/>
        <v>829621134.3849659</v>
      </c>
      <c r="H153" s="349">
        <f t="shared" si="10"/>
        <v>172988341.63692442</v>
      </c>
      <c r="I153" s="349">
        <f t="shared" si="10"/>
        <v>1972368.4396689641</v>
      </c>
      <c r="J153" s="349">
        <f t="shared" si="10"/>
        <v>0</v>
      </c>
      <c r="K153" s="349">
        <f t="shared" si="10"/>
        <v>-1634321.04</v>
      </c>
      <c r="L153" s="349">
        <f t="shared" si="10"/>
        <v>-276333.07000000007</v>
      </c>
      <c r="M153" s="349">
        <f t="shared" si="7"/>
        <v>173050055.96659338</v>
      </c>
    </row>
    <row r="154" spans="1:17">
      <c r="A154" s="345">
        <f>IF(ISBLANK($B154),"",COUNTA($B$131:B154))</f>
        <v>24</v>
      </c>
      <c r="B154" s="347" t="s">
        <v>1651</v>
      </c>
      <c r="C154" s="349">
        <f t="shared" si="9"/>
        <v>829621134.38496566</v>
      </c>
      <c r="D154" s="349">
        <f t="shared" si="9"/>
        <v>9242121.7875845246</v>
      </c>
      <c r="E154" s="349">
        <f t="shared" si="9"/>
        <v>-1155854.21</v>
      </c>
      <c r="F154" s="349">
        <f t="shared" si="6"/>
        <v>837707401.96255016</v>
      </c>
      <c r="H154" s="349">
        <f t="shared" si="10"/>
        <v>173050055.96659338</v>
      </c>
      <c r="I154" s="349">
        <f t="shared" si="10"/>
        <v>1991926.362735769</v>
      </c>
      <c r="J154" s="349">
        <f t="shared" si="10"/>
        <v>63240</v>
      </c>
      <c r="K154" s="349">
        <f t="shared" si="10"/>
        <v>-1155854.21</v>
      </c>
      <c r="L154" s="349">
        <f t="shared" si="10"/>
        <v>-237727.53</v>
      </c>
      <c r="M154" s="349">
        <f t="shared" si="7"/>
        <v>173711640.58932915</v>
      </c>
    </row>
    <row r="155" spans="1:17">
      <c r="A155" s="345">
        <f>IF(ISBLANK($B155),"",COUNTA($B$131:B155))</f>
        <v>25</v>
      </c>
      <c r="B155" s="347" t="s">
        <v>1652</v>
      </c>
      <c r="C155" s="349">
        <f t="shared" si="9"/>
        <v>837707401.96255052</v>
      </c>
      <c r="D155" s="349">
        <f t="shared" si="9"/>
        <v>3808631.1513559977</v>
      </c>
      <c r="E155" s="349">
        <f t="shared" si="9"/>
        <v>-1053623.2919636942</v>
      </c>
      <c r="F155" s="349">
        <f t="shared" si="6"/>
        <v>840462409.82194281</v>
      </c>
      <c r="H155" s="349">
        <f t="shared" si="10"/>
        <v>173711640.58932912</v>
      </c>
      <c r="I155" s="349">
        <f t="shared" si="10"/>
        <v>2313111.2631033892</v>
      </c>
      <c r="J155" s="349">
        <f t="shared" si="10"/>
        <v>5270.0000000000009</v>
      </c>
      <c r="K155" s="349">
        <f t="shared" si="10"/>
        <v>-1053623.2919636942</v>
      </c>
      <c r="L155" s="349">
        <f t="shared" si="10"/>
        <v>-431024.19999999995</v>
      </c>
      <c r="M155" s="349">
        <f t="shared" si="7"/>
        <v>174545374.36046883</v>
      </c>
    </row>
    <row r="156" spans="1:17">
      <c r="A156" s="345">
        <f>IF(ISBLANK($B156),"",COUNTA($B$131:B156))</f>
        <v>26</v>
      </c>
      <c r="B156" s="347" t="s">
        <v>1653</v>
      </c>
      <c r="C156" s="349">
        <f t="shared" si="9"/>
        <v>840462409.82194269</v>
      </c>
      <c r="D156" s="349">
        <f t="shared" si="9"/>
        <v>2543317.0792533727</v>
      </c>
      <c r="E156" s="349">
        <f t="shared" si="9"/>
        <v>-357764.35941319686</v>
      </c>
      <c r="F156" s="349">
        <f t="shared" si="6"/>
        <v>842647962.54178286</v>
      </c>
      <c r="H156" s="349">
        <f t="shared" si="10"/>
        <v>174545374.3604688</v>
      </c>
      <c r="I156" s="349">
        <f t="shared" si="10"/>
        <v>2321709.3376515829</v>
      </c>
      <c r="J156" s="349">
        <f t="shared" si="10"/>
        <v>5270.0000000000009</v>
      </c>
      <c r="K156" s="349">
        <f t="shared" si="10"/>
        <v>-357764.35941319686</v>
      </c>
      <c r="L156" s="349">
        <f t="shared" si="10"/>
        <v>-161283.06999999998</v>
      </c>
      <c r="M156" s="349">
        <f t="shared" si="7"/>
        <v>176353306.26870719</v>
      </c>
    </row>
    <row r="157" spans="1:17">
      <c r="A157" s="345">
        <f>IF(ISBLANK($B157),"",COUNTA($B$131:B157))</f>
        <v>27</v>
      </c>
      <c r="B157" s="347" t="s">
        <v>1654</v>
      </c>
      <c r="C157" s="349">
        <f t="shared" si="9"/>
        <v>842647962.54178274</v>
      </c>
      <c r="D157" s="349">
        <f t="shared" si="9"/>
        <v>4223866.8404285805</v>
      </c>
      <c r="E157" s="349">
        <f t="shared" si="9"/>
        <v>-560959.12842097308</v>
      </c>
      <c r="F157" s="349">
        <f t="shared" si="6"/>
        <v>846310870.25379038</v>
      </c>
      <c r="H157" s="349">
        <f t="shared" si="10"/>
        <v>176353306.26870725</v>
      </c>
      <c r="I157" s="349">
        <f t="shared" si="10"/>
        <v>2330619.5523155988</v>
      </c>
      <c r="J157" s="349">
        <f t="shared" si="10"/>
        <v>5270.0000000000009</v>
      </c>
      <c r="K157" s="349">
        <f t="shared" si="10"/>
        <v>-560959.12842097308</v>
      </c>
      <c r="L157" s="349">
        <f t="shared" si="10"/>
        <v>-301115.40000000002</v>
      </c>
      <c r="M157" s="349">
        <f t="shared" si="7"/>
        <v>177827121.29260185</v>
      </c>
    </row>
    <row r="158" spans="1:17">
      <c r="A158" s="345">
        <f>IF(ISBLANK($B158),"",COUNTA($B$131:B158))</f>
        <v>28</v>
      </c>
      <c r="B158" s="347" t="s">
        <v>1655</v>
      </c>
      <c r="C158" s="349">
        <f t="shared" si="9"/>
        <v>846310870.2537905</v>
      </c>
      <c r="D158" s="349">
        <f t="shared" si="9"/>
        <v>7951218.8871722799</v>
      </c>
      <c r="E158" s="349">
        <f t="shared" si="9"/>
        <v>-1059256.1605514912</v>
      </c>
      <c r="F158" s="349">
        <f t="shared" si="6"/>
        <v>853202832.98041117</v>
      </c>
      <c r="H158" s="349">
        <f t="shared" si="10"/>
        <v>177827121.29260188</v>
      </c>
      <c r="I158" s="349">
        <f t="shared" si="10"/>
        <v>2357396.9960717661</v>
      </c>
      <c r="J158" s="349">
        <f t="shared" si="10"/>
        <v>5270.0000000000009</v>
      </c>
      <c r="K158" s="349">
        <f t="shared" si="10"/>
        <v>-1059256.1605514912</v>
      </c>
      <c r="L158" s="349">
        <f t="shared" si="10"/>
        <v>-285798.32</v>
      </c>
      <c r="M158" s="349">
        <f t="shared" si="7"/>
        <v>178844733.80812216</v>
      </c>
    </row>
    <row r="159" spans="1:17">
      <c r="A159" s="345">
        <f>IF(ISBLANK($B159),"",COUNTA($B$131:B159))</f>
        <v>29</v>
      </c>
      <c r="B159" s="347" t="s">
        <v>1656</v>
      </c>
      <c r="C159" s="349">
        <f t="shared" si="9"/>
        <v>853202832.98041129</v>
      </c>
      <c r="D159" s="349">
        <f t="shared" si="9"/>
        <v>6958347.2595984749</v>
      </c>
      <c r="E159" s="349">
        <f t="shared" si="9"/>
        <v>-886272.8144740744</v>
      </c>
      <c r="F159" s="349">
        <f t="shared" si="6"/>
        <v>859274907.42553568</v>
      </c>
      <c r="H159" s="349">
        <f t="shared" si="10"/>
        <v>178844733.80812204</v>
      </c>
      <c r="I159" s="349">
        <f t="shared" si="10"/>
        <v>2387056.3731558123</v>
      </c>
      <c r="J159" s="349">
        <f t="shared" si="10"/>
        <v>5270.0000000000009</v>
      </c>
      <c r="K159" s="349">
        <f t="shared" si="10"/>
        <v>-886272.8144740744</v>
      </c>
      <c r="L159" s="349">
        <f t="shared" si="10"/>
        <v>-394704.31</v>
      </c>
      <c r="M159" s="349">
        <f t="shared" si="7"/>
        <v>179956083.05680376</v>
      </c>
    </row>
    <row r="160" spans="1:17">
      <c r="A160" s="345">
        <f>IF(ISBLANK($B160),"",COUNTA($B$131:B160))</f>
        <v>30</v>
      </c>
      <c r="B160" s="347" t="s">
        <v>1657</v>
      </c>
      <c r="C160" s="349">
        <f t="shared" si="9"/>
        <v>859274907.4255358</v>
      </c>
      <c r="D160" s="349">
        <f t="shared" si="9"/>
        <v>5210143.4482966643</v>
      </c>
      <c r="E160" s="349">
        <f t="shared" si="9"/>
        <v>-527669.53056418942</v>
      </c>
      <c r="F160" s="349">
        <f t="shared" si="6"/>
        <v>863957381.34326828</v>
      </c>
      <c r="H160" s="349">
        <f t="shared" si="10"/>
        <v>179956083.05680385</v>
      </c>
      <c r="I160" s="349">
        <f t="shared" si="10"/>
        <v>2408410.9276522999</v>
      </c>
      <c r="J160" s="349">
        <f t="shared" si="10"/>
        <v>5270.0000000000009</v>
      </c>
      <c r="K160" s="349">
        <f t="shared" si="10"/>
        <v>-527669.53056418942</v>
      </c>
      <c r="L160" s="349">
        <f t="shared" si="10"/>
        <v>-148841.22333387382</v>
      </c>
      <c r="M160" s="349">
        <f t="shared" si="7"/>
        <v>181693253.2305581</v>
      </c>
    </row>
    <row r="161" spans="1:17">
      <c r="A161" s="345">
        <f>IF(ISBLANK($B161),"",COUNTA($B$131:B161))</f>
        <v>31</v>
      </c>
      <c r="B161" s="347" t="s">
        <v>1658</v>
      </c>
      <c r="C161" s="349">
        <f t="shared" si="9"/>
        <v>863957381.34326816</v>
      </c>
      <c r="D161" s="349">
        <f t="shared" si="9"/>
        <v>4990111.8122398909</v>
      </c>
      <c r="E161" s="349">
        <f t="shared" si="9"/>
        <v>-498174.02429451549</v>
      </c>
      <c r="F161" s="349">
        <f t="shared" si="6"/>
        <v>868449319.13121355</v>
      </c>
      <c r="H161" s="349">
        <f t="shared" ref="H161:L166" si="11">H47+H104</f>
        <v>181693253.23055807</v>
      </c>
      <c r="I161" s="349">
        <f t="shared" si="11"/>
        <v>2428743.7922925334</v>
      </c>
      <c r="J161" s="349">
        <f t="shared" si="11"/>
        <v>5270.0000000000009</v>
      </c>
      <c r="K161" s="349">
        <f t="shared" si="11"/>
        <v>-498174.02429451549</v>
      </c>
      <c r="L161" s="349">
        <f t="shared" si="11"/>
        <v>-185759.34999999998</v>
      </c>
      <c r="M161" s="349">
        <f t="shared" si="7"/>
        <v>183443333.64855608</v>
      </c>
    </row>
    <row r="162" spans="1:17">
      <c r="A162" s="345">
        <f>IF(ISBLANK($B162),"",COUNTA($B$131:B162))</f>
        <v>32</v>
      </c>
      <c r="B162" s="347" t="s">
        <v>1659</v>
      </c>
      <c r="C162" s="349">
        <f t="shared" si="9"/>
        <v>868449319.13121331</v>
      </c>
      <c r="D162" s="349">
        <f t="shared" si="9"/>
        <v>3803615.9433731502</v>
      </c>
      <c r="E162" s="349">
        <f t="shared" si="9"/>
        <v>-513479.55655310338</v>
      </c>
      <c r="F162" s="349">
        <f t="shared" si="6"/>
        <v>871739455.51803339</v>
      </c>
      <c r="H162" s="349">
        <f t="shared" si="11"/>
        <v>183443333.64855611</v>
      </c>
      <c r="I162" s="349">
        <f t="shared" si="11"/>
        <v>2440960.3269922128</v>
      </c>
      <c r="J162" s="349">
        <f t="shared" si="11"/>
        <v>5270.0000000000009</v>
      </c>
      <c r="K162" s="349">
        <f t="shared" si="11"/>
        <v>-513479.55655310338</v>
      </c>
      <c r="L162" s="349">
        <f t="shared" si="11"/>
        <v>-487846.87465316214</v>
      </c>
      <c r="M162" s="349">
        <f t="shared" si="7"/>
        <v>184888237.54434207</v>
      </c>
    </row>
    <row r="163" spans="1:17">
      <c r="A163" s="345">
        <f>IF(ISBLANK($B163),"",COUNTA($B$131:B163))</f>
        <v>33</v>
      </c>
      <c r="B163" s="347" t="s">
        <v>1660</v>
      </c>
      <c r="C163" s="349">
        <f t="shared" si="9"/>
        <v>871739455.5180335</v>
      </c>
      <c r="D163" s="349">
        <f t="shared" si="9"/>
        <v>6096592.5368774403</v>
      </c>
      <c r="E163" s="349">
        <f t="shared" si="9"/>
        <v>-644616.52589487028</v>
      </c>
      <c r="F163" s="349">
        <f t="shared" si="6"/>
        <v>877191431.52901602</v>
      </c>
      <c r="H163" s="349">
        <f t="shared" si="11"/>
        <v>184888237.54434198</v>
      </c>
      <c r="I163" s="349">
        <f t="shared" si="11"/>
        <v>2451934.5644941004</v>
      </c>
      <c r="J163" s="349">
        <f t="shared" si="11"/>
        <v>5270.0000000000009</v>
      </c>
      <c r="K163" s="349">
        <f t="shared" si="11"/>
        <v>-644616.52589487028</v>
      </c>
      <c r="L163" s="349">
        <f t="shared" si="11"/>
        <v>-202808.95999999999</v>
      </c>
      <c r="M163" s="349">
        <f t="shared" si="7"/>
        <v>186498016.6229412</v>
      </c>
    </row>
    <row r="164" spans="1:17">
      <c r="A164" s="345">
        <f>IF(ISBLANK($B164),"",COUNTA($B$131:B164))</f>
        <v>34</v>
      </c>
      <c r="B164" s="347" t="s">
        <v>1661</v>
      </c>
      <c r="C164" s="349">
        <f t="shared" si="9"/>
        <v>877191431.52901614</v>
      </c>
      <c r="D164" s="349">
        <f t="shared" si="9"/>
        <v>6496481.1019088943</v>
      </c>
      <c r="E164" s="349">
        <f t="shared" si="9"/>
        <v>-604333.74280631705</v>
      </c>
      <c r="F164" s="349">
        <f t="shared" si="6"/>
        <v>883083578.88811874</v>
      </c>
      <c r="H164" s="349">
        <f t="shared" si="11"/>
        <v>186498016.62294126</v>
      </c>
      <c r="I164" s="349">
        <f t="shared" si="11"/>
        <v>2467255.2776610907</v>
      </c>
      <c r="J164" s="349">
        <f t="shared" si="11"/>
        <v>5270.0000000000009</v>
      </c>
      <c r="K164" s="349">
        <f t="shared" si="11"/>
        <v>-604333.74280631705</v>
      </c>
      <c r="L164" s="349">
        <f t="shared" si="11"/>
        <v>-245807.31</v>
      </c>
      <c r="M164" s="349">
        <f t="shared" si="7"/>
        <v>188120400.84779602</v>
      </c>
    </row>
    <row r="165" spans="1:17">
      <c r="A165" s="345">
        <f>IF(ISBLANK($B165),"",COUNTA($B$131:B165))</f>
        <v>35</v>
      </c>
      <c r="B165" s="347" t="s">
        <v>1662</v>
      </c>
      <c r="C165" s="349">
        <f t="shared" si="9"/>
        <v>883083578.88811862</v>
      </c>
      <c r="D165" s="349">
        <f t="shared" si="9"/>
        <v>5740761.6574777365</v>
      </c>
      <c r="E165" s="349">
        <f t="shared" si="9"/>
        <v>-1239755.5777330524</v>
      </c>
      <c r="F165" s="349">
        <f t="shared" si="6"/>
        <v>887584584.96786332</v>
      </c>
      <c r="H165" s="349">
        <f t="shared" si="11"/>
        <v>188120400.84779602</v>
      </c>
      <c r="I165" s="349">
        <f t="shared" si="11"/>
        <v>2484566.3482960053</v>
      </c>
      <c r="J165" s="349">
        <f t="shared" si="11"/>
        <v>5270.0000000000009</v>
      </c>
      <c r="K165" s="349">
        <f t="shared" si="11"/>
        <v>-1239755.5777330524</v>
      </c>
      <c r="L165" s="349">
        <f t="shared" si="11"/>
        <v>-212426.16999999998</v>
      </c>
      <c r="M165" s="349">
        <f t="shared" si="7"/>
        <v>189158055.44835901</v>
      </c>
    </row>
    <row r="166" spans="1:17">
      <c r="A166" s="345">
        <f>IF(ISBLANK($B166),"",COUNTA($B$131:B166))</f>
        <v>36</v>
      </c>
      <c r="B166" s="347" t="s">
        <v>1663</v>
      </c>
      <c r="C166" s="349">
        <f t="shared" si="9"/>
        <v>887584584.96786332</v>
      </c>
      <c r="D166" s="349">
        <f t="shared" si="9"/>
        <v>10841454.959007692</v>
      </c>
      <c r="E166" s="349">
        <f t="shared" si="9"/>
        <v>-1287082.4181225221</v>
      </c>
      <c r="F166" s="349">
        <f t="shared" si="6"/>
        <v>897138957.50874853</v>
      </c>
      <c r="H166" s="349">
        <f t="shared" si="11"/>
        <v>189158055.44835895</v>
      </c>
      <c r="I166" s="349">
        <f t="shared" si="11"/>
        <v>2502275.8181231627</v>
      </c>
      <c r="J166" s="349">
        <f t="shared" si="11"/>
        <v>5270.0000000000009</v>
      </c>
      <c r="K166" s="349">
        <f t="shared" si="11"/>
        <v>-1287082.4181225221</v>
      </c>
      <c r="L166" s="349">
        <f t="shared" si="11"/>
        <v>-341496.20292802807</v>
      </c>
      <c r="M166" s="349">
        <f t="shared" si="7"/>
        <v>190037022.64543155</v>
      </c>
      <c r="P166" s="350"/>
      <c r="Q166" s="350"/>
    </row>
    <row r="167" spans="1:17">
      <c r="A167" s="345" t="str">
        <f>IF(ISBLANK($B167),"",COUNTA($B$131:B167))</f>
        <v/>
      </c>
    </row>
    <row r="168" spans="1:17">
      <c r="A168" s="345">
        <f>IF(ISBLANK($B168),"",COUNTA($B$131:B168))</f>
        <v>37</v>
      </c>
      <c r="B168" s="343" t="s">
        <v>1664</v>
      </c>
      <c r="F168" s="349">
        <f>AVERAGE(F154:F166)</f>
        <v>863750084.14402115</v>
      </c>
      <c r="M168" s="349">
        <f>AVERAGE(M154:M166)</f>
        <v>181928967.64338589</v>
      </c>
    </row>
    <row r="169" spans="1:17">
      <c r="A169" s="345" t="str">
        <f>IF(ISBLANK($B169),"",COUNTA($B$131:B169))</f>
        <v/>
      </c>
      <c r="F169" s="349"/>
      <c r="M169" s="349"/>
    </row>
    <row r="170" spans="1:17">
      <c r="A170" s="345">
        <f>IF(ISBLANK($B170),"",COUNTA($B$131:B170))</f>
        <v>38</v>
      </c>
      <c r="B170" s="343" t="s">
        <v>1665</v>
      </c>
      <c r="I170" s="349">
        <f>SUM(I155:J166)</f>
        <v>28957280.577809554</v>
      </c>
      <c r="M170" s="355"/>
    </row>
    <row r="171" spans="1:17">
      <c r="A171" s="345">
        <f>IF(ISBLANK($B171),"",COUNTA($B$131:B171))</f>
        <v>39</v>
      </c>
      <c r="B171" s="343" t="s">
        <v>2365</v>
      </c>
      <c r="I171" s="349">
        <f>SUM(I139:J150)</f>
        <v>22496203.33761137</v>
      </c>
    </row>
    <row r="172" spans="1:17">
      <c r="M172" s="356"/>
    </row>
    <row r="173" spans="1:17">
      <c r="M173" s="355"/>
    </row>
    <row r="174" spans="1:17">
      <c r="M174" s="355"/>
    </row>
    <row r="175" spans="1:17">
      <c r="M175" s="355"/>
    </row>
    <row r="176" spans="1:17">
      <c r="M176" s="356"/>
    </row>
  </sheetData>
  <mergeCells count="18">
    <mergeCell ref="A115:N115"/>
    <mergeCell ref="A116:N116"/>
    <mergeCell ref="A117:N117"/>
    <mergeCell ref="A118:N118"/>
    <mergeCell ref="C124:F124"/>
    <mergeCell ref="H124:N124"/>
    <mergeCell ref="A58:N58"/>
    <mergeCell ref="A59:N59"/>
    <mergeCell ref="A60:N60"/>
    <mergeCell ref="A61:N61"/>
    <mergeCell ref="C67:F67"/>
    <mergeCell ref="H67:N67"/>
    <mergeCell ref="A1:N1"/>
    <mergeCell ref="A2:N2"/>
    <mergeCell ref="A3:N3"/>
    <mergeCell ref="A4:N4"/>
    <mergeCell ref="C10:F10"/>
    <mergeCell ref="H10:N10"/>
  </mergeCells>
  <printOptions horizontalCentered="1"/>
  <pageMargins left="0.5" right="0.5" top="0.75" bottom="0.5" header="0.3" footer="0.3"/>
  <pageSetup scale="65" fitToHeight="3" orientation="landscape" r:id="rId1"/>
  <rowBreaks count="2" manualBreakCount="2">
    <brk id="57" max="13" man="1"/>
    <brk id="114"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4103"/>
  <sheetViews>
    <sheetView topLeftCell="A2248" zoomScaleNormal="100" zoomScaleSheetLayoutView="112" workbookViewId="0">
      <selection activeCell="E2269" sqref="E2269"/>
    </sheetView>
  </sheetViews>
  <sheetFormatPr defaultColWidth="8.6640625" defaultRowHeight="12.75"/>
  <cols>
    <col min="1" max="1" width="7.6640625" style="358" customWidth="1"/>
    <col min="2" max="2" width="8.5" style="359" bestFit="1" customWidth="1"/>
    <col min="3" max="3" width="63.5" style="358" customWidth="1"/>
    <col min="4" max="4" width="18.83203125" style="358" customWidth="1"/>
    <col min="5" max="6" width="17.6640625" style="358" customWidth="1"/>
    <col min="7" max="7" width="18.83203125" style="358" customWidth="1"/>
    <col min="8" max="8" width="3.33203125" style="358" customWidth="1"/>
    <col min="9" max="9" width="18.5" style="358" customWidth="1"/>
    <col min="10" max="10" width="17.6640625" style="358" customWidth="1"/>
    <col min="11" max="11" width="20" style="358" bestFit="1" customWidth="1"/>
    <col min="12" max="14" width="17.6640625" style="358" customWidth="1"/>
    <col min="15" max="15" width="19" style="358" customWidth="1"/>
    <col min="16" max="16" width="8.33203125" style="308" customWidth="1"/>
    <col min="17" max="16384" width="8.6640625" style="308"/>
  </cols>
  <sheetData>
    <row r="1" spans="1:16" s="291" customFormat="1">
      <c r="A1" s="1308" t="str">
        <f>'General Headers Index'!B4</f>
        <v>COLUMBIA GAS OF KENTUCKY, INC.</v>
      </c>
      <c r="B1" s="1308"/>
      <c r="C1" s="1308"/>
      <c r="D1" s="1308"/>
      <c r="E1" s="1308"/>
      <c r="F1" s="1308"/>
      <c r="G1" s="1308"/>
      <c r="H1" s="1308"/>
      <c r="I1" s="1308"/>
      <c r="J1" s="1308"/>
      <c r="K1" s="1308"/>
      <c r="L1" s="1308"/>
      <c r="M1" s="1308"/>
      <c r="N1" s="1308"/>
      <c r="O1" s="1308"/>
    </row>
    <row r="2" spans="1:16" s="291" customFormat="1">
      <c r="A2" s="1308" t="str">
        <f>'General Headers Index'!B6</f>
        <v>CASE NO. 2024 - 00092</v>
      </c>
      <c r="B2" s="1308"/>
      <c r="C2" s="1308"/>
      <c r="D2" s="1308"/>
      <c r="E2" s="1308"/>
      <c r="F2" s="1308"/>
      <c r="G2" s="1308"/>
      <c r="H2" s="1308"/>
      <c r="I2" s="1308"/>
      <c r="J2" s="1308"/>
      <c r="K2" s="1308"/>
      <c r="L2" s="1308"/>
      <c r="M2" s="1308"/>
      <c r="N2" s="1308"/>
      <c r="O2" s="1308"/>
    </row>
    <row r="3" spans="1:16" s="291" customFormat="1">
      <c r="A3" s="1308" t="s">
        <v>1767</v>
      </c>
      <c r="B3" s="1308"/>
      <c r="C3" s="1308"/>
      <c r="D3" s="1308"/>
      <c r="E3" s="1308"/>
      <c r="F3" s="1308"/>
      <c r="G3" s="1308"/>
      <c r="H3" s="1308"/>
      <c r="I3" s="1308"/>
      <c r="J3" s="1308"/>
      <c r="K3" s="1308"/>
      <c r="L3" s="1308"/>
      <c r="M3" s="1308"/>
      <c r="N3" s="1308"/>
      <c r="O3" s="1308"/>
      <c r="P3" s="357"/>
    </row>
    <row r="4" spans="1:16" s="291" customFormat="1">
      <c r="A4" s="1309" t="str">
        <f>'General Headers Index'!B23</f>
        <v>FROM JANUARY 01, 2023 THROUGH DECEMBER 31, 2025</v>
      </c>
      <c r="B4" s="1309"/>
      <c r="C4" s="1309"/>
      <c r="D4" s="1309"/>
      <c r="E4" s="1309"/>
      <c r="F4" s="1309"/>
      <c r="G4" s="1309"/>
      <c r="H4" s="1309"/>
      <c r="I4" s="1309"/>
      <c r="J4" s="1309"/>
      <c r="K4" s="1309"/>
      <c r="L4" s="1309"/>
      <c r="M4" s="1309"/>
      <c r="N4" s="1309"/>
      <c r="O4" s="1309"/>
    </row>
    <row r="5" spans="1:16" s="291" customFormat="1">
      <c r="B5" s="293"/>
      <c r="P5" s="312"/>
    </row>
    <row r="6" spans="1:16" s="291" customFormat="1">
      <c r="A6" s="297" t="str">
        <f>'General Headers Index'!B34</f>
        <v xml:space="preserve">DATA: _X_ BASE PERIOD _X_ FORECASTED PERIOD     </v>
      </c>
      <c r="B6" s="293"/>
      <c r="O6" s="312" t="s">
        <v>2462</v>
      </c>
      <c r="P6" s="312"/>
    </row>
    <row r="7" spans="1:16" s="291" customFormat="1">
      <c r="A7" s="297" t="str">
        <f>'General Headers Index'!B37</f>
        <v>TYPE OF FILING:___X___ORIGINAL______UPDATED</v>
      </c>
      <c r="B7" s="293"/>
      <c r="O7" s="312" t="s">
        <v>2222</v>
      </c>
      <c r="P7" s="312"/>
    </row>
    <row r="8" spans="1:16" s="291" customFormat="1">
      <c r="A8" s="297" t="s">
        <v>2150</v>
      </c>
      <c r="B8" s="293"/>
      <c r="O8" s="312" t="str">
        <f>"WITNESS: "&amp;'General Headers Index'!B42</f>
        <v>WITNESS: GORE</v>
      </c>
    </row>
    <row r="9" spans="1:16">
      <c r="A9" s="918"/>
      <c r="B9" s="919"/>
      <c r="C9" s="918"/>
      <c r="D9" s="918"/>
      <c r="E9" s="918"/>
      <c r="F9" s="918"/>
      <c r="G9" s="918"/>
      <c r="H9" s="918"/>
      <c r="I9" s="918"/>
      <c r="J9" s="918"/>
      <c r="K9" s="918"/>
      <c r="L9" s="918"/>
      <c r="M9" s="918"/>
      <c r="N9" s="918"/>
      <c r="O9" s="920"/>
    </row>
    <row r="10" spans="1:16">
      <c r="D10" s="1311" t="s">
        <v>1768</v>
      </c>
      <c r="E10" s="1311"/>
      <c r="F10" s="1311"/>
      <c r="G10" s="1311"/>
      <c r="I10" s="1311" t="s">
        <v>1769</v>
      </c>
      <c r="J10" s="1311"/>
      <c r="K10" s="1311"/>
      <c r="L10" s="1311"/>
      <c r="M10" s="1311"/>
      <c r="N10" s="1311"/>
      <c r="O10" s="1311"/>
    </row>
    <row r="11" spans="1:16">
      <c r="D11" s="360">
        <v>44927</v>
      </c>
      <c r="G11" s="360">
        <f>D11+30</f>
        <v>44957</v>
      </c>
      <c r="I11" s="360">
        <f>D11</f>
        <v>44927</v>
      </c>
      <c r="O11" s="360">
        <f>G11</f>
        <v>44957</v>
      </c>
    </row>
    <row r="12" spans="1:16">
      <c r="D12" s="361" t="s">
        <v>1757</v>
      </c>
      <c r="G12" s="361" t="s">
        <v>1757</v>
      </c>
      <c r="I12" s="361" t="s">
        <v>1758</v>
      </c>
      <c r="J12" s="361" t="s">
        <v>488</v>
      </c>
      <c r="L12" s="361" t="s">
        <v>1758</v>
      </c>
      <c r="O12" s="361" t="s">
        <v>1758</v>
      </c>
    </row>
    <row r="13" spans="1:16">
      <c r="A13" s="361" t="s">
        <v>1770</v>
      </c>
      <c r="B13" s="361" t="s">
        <v>368</v>
      </c>
      <c r="C13" s="361"/>
      <c r="D13" s="361" t="s">
        <v>437</v>
      </c>
      <c r="G13" s="361" t="s">
        <v>439</v>
      </c>
      <c r="I13" s="361" t="s">
        <v>437</v>
      </c>
      <c r="J13" s="361" t="s">
        <v>1771</v>
      </c>
      <c r="K13" s="361" t="s">
        <v>1772</v>
      </c>
      <c r="L13" s="361" t="s">
        <v>1759</v>
      </c>
      <c r="N13" s="361" t="s">
        <v>1760</v>
      </c>
      <c r="O13" s="361" t="s">
        <v>439</v>
      </c>
    </row>
    <row r="14" spans="1:16">
      <c r="A14" s="364" t="s">
        <v>316</v>
      </c>
      <c r="B14" s="364" t="s">
        <v>316</v>
      </c>
      <c r="C14" s="364" t="s">
        <v>451</v>
      </c>
      <c r="D14" s="364" t="s">
        <v>441</v>
      </c>
      <c r="E14" s="364" t="s">
        <v>442</v>
      </c>
      <c r="F14" s="364" t="s">
        <v>443</v>
      </c>
      <c r="G14" s="364" t="s">
        <v>441</v>
      </c>
      <c r="I14" s="364" t="s">
        <v>441</v>
      </c>
      <c r="J14" s="364" t="s">
        <v>1773</v>
      </c>
      <c r="K14" s="364" t="s">
        <v>1771</v>
      </c>
      <c r="L14" s="364" t="s">
        <v>355</v>
      </c>
      <c r="M14" s="364" t="s">
        <v>443</v>
      </c>
      <c r="N14" s="364" t="s">
        <v>1763</v>
      </c>
      <c r="O14" s="364" t="s">
        <v>441</v>
      </c>
    </row>
    <row r="15" spans="1:16">
      <c r="D15" s="361" t="s">
        <v>532</v>
      </c>
      <c r="E15" s="361" t="s">
        <v>541</v>
      </c>
      <c r="F15" s="361" t="s">
        <v>542</v>
      </c>
      <c r="G15" s="361" t="s">
        <v>1764</v>
      </c>
      <c r="I15" s="334" t="str">
        <f>"(5)"</f>
        <v>(5)</v>
      </c>
      <c r="J15" s="334" t="str">
        <f>"(6)"</f>
        <v>(6)</v>
      </c>
      <c r="K15" s="334" t="str">
        <f>"(7)"</f>
        <v>(7)</v>
      </c>
      <c r="L15" s="334" t="str">
        <f>"(8)"</f>
        <v>(8)</v>
      </c>
      <c r="M15" s="334" t="str">
        <f>"(9)"</f>
        <v>(9)</v>
      </c>
      <c r="N15" s="334" t="str">
        <f>"(10)"</f>
        <v>(10)</v>
      </c>
      <c r="O15" s="334" t="str">
        <f>"(11=5+7+8+9+10)"</f>
        <v>(11=5+7+8+9+10)</v>
      </c>
    </row>
    <row r="16" spans="1:16">
      <c r="D16" s="361" t="s">
        <v>320</v>
      </c>
      <c r="E16" s="361" t="s">
        <v>320</v>
      </c>
      <c r="F16" s="361" t="s">
        <v>320</v>
      </c>
      <c r="G16" s="361" t="s">
        <v>320</v>
      </c>
      <c r="I16" s="334" t="s">
        <v>320</v>
      </c>
      <c r="J16" s="334" t="s">
        <v>529</v>
      </c>
      <c r="K16" s="334" t="s">
        <v>320</v>
      </c>
      <c r="L16" s="334" t="s">
        <v>320</v>
      </c>
      <c r="M16" s="334" t="s">
        <v>320</v>
      </c>
      <c r="N16" s="334" t="s">
        <v>320</v>
      </c>
      <c r="O16" s="334" t="s">
        <v>320</v>
      </c>
    </row>
    <row r="17" spans="1:15">
      <c r="A17" s="361">
        <v>1</v>
      </c>
      <c r="B17" s="362" t="s">
        <v>373</v>
      </c>
      <c r="D17" s="361"/>
      <c r="E17" s="361"/>
      <c r="F17" s="361"/>
      <c r="G17" s="361"/>
      <c r="I17" s="334"/>
      <c r="J17" s="334"/>
      <c r="K17" s="334"/>
      <c r="L17" s="334"/>
      <c r="M17" s="334"/>
      <c r="N17" s="334"/>
      <c r="O17" s="334"/>
    </row>
    <row r="18" spans="1:15">
      <c r="A18" s="361">
        <f>A17+1</f>
        <v>2</v>
      </c>
      <c r="B18" s="365">
        <v>301</v>
      </c>
      <c r="C18" s="358" t="s">
        <v>374</v>
      </c>
      <c r="D18" s="1243">
        <v>521.20000000000005</v>
      </c>
      <c r="E18" s="1243">
        <v>0</v>
      </c>
      <c r="F18" s="1243">
        <v>0</v>
      </c>
      <c r="G18" s="1243">
        <f t="shared" ref="G18:G23" si="0">SUM(D18:F18)</f>
        <v>521.20000000000005</v>
      </c>
      <c r="H18" s="366"/>
      <c r="I18" s="1243">
        <v>0</v>
      </c>
      <c r="J18" s="366"/>
      <c r="K18" s="1243">
        <v>0</v>
      </c>
      <c r="L18" s="1243">
        <v>0</v>
      </c>
      <c r="M18" s="1243">
        <f t="shared" ref="M18:M23" si="1">F18</f>
        <v>0</v>
      </c>
      <c r="N18" s="1243">
        <v>0</v>
      </c>
      <c r="O18" s="1243">
        <f t="shared" ref="O18:O23" si="2">I18+K18+L18+M18+N18</f>
        <v>0</v>
      </c>
    </row>
    <row r="19" spans="1:15">
      <c r="A19" s="361">
        <f t="shared" ref="A19:A24" si="3">A18+1</f>
        <v>3</v>
      </c>
      <c r="B19" s="365">
        <v>303</v>
      </c>
      <c r="C19" s="358" t="s">
        <v>375</v>
      </c>
      <c r="D19" s="1243">
        <v>96334.51</v>
      </c>
      <c r="E19" s="1243">
        <v>0</v>
      </c>
      <c r="F19" s="1243">
        <v>0</v>
      </c>
      <c r="G19" s="1243">
        <f t="shared" si="0"/>
        <v>96334.51</v>
      </c>
      <c r="H19" s="366"/>
      <c r="I19" s="1243">
        <v>75651.31</v>
      </c>
      <c r="J19" s="366"/>
      <c r="K19" s="1243">
        <v>267.58</v>
      </c>
      <c r="L19" s="1243">
        <v>0</v>
      </c>
      <c r="M19" s="1243">
        <f t="shared" si="1"/>
        <v>0</v>
      </c>
      <c r="N19" s="1243">
        <v>0</v>
      </c>
      <c r="O19" s="1243">
        <f t="shared" si="2"/>
        <v>75918.89</v>
      </c>
    </row>
    <row r="20" spans="1:15">
      <c r="A20" s="361">
        <f t="shared" si="3"/>
        <v>4</v>
      </c>
      <c r="B20" s="365">
        <v>303.10000000000002</v>
      </c>
      <c r="C20" s="358" t="s">
        <v>376</v>
      </c>
      <c r="D20" s="1243">
        <v>943.27</v>
      </c>
      <c r="E20" s="1243">
        <v>0</v>
      </c>
      <c r="F20" s="1243">
        <v>0</v>
      </c>
      <c r="G20" s="1243">
        <f t="shared" si="0"/>
        <v>943.27</v>
      </c>
      <c r="H20" s="366"/>
      <c r="I20" s="1243">
        <v>286.91000000000003</v>
      </c>
      <c r="J20" s="366"/>
      <c r="K20" s="1243">
        <v>7.86</v>
      </c>
      <c r="L20" s="1243">
        <v>0</v>
      </c>
      <c r="M20" s="1243">
        <f t="shared" si="1"/>
        <v>0</v>
      </c>
      <c r="N20" s="1243">
        <v>0</v>
      </c>
      <c r="O20" s="1243">
        <f t="shared" si="2"/>
        <v>294.77000000000004</v>
      </c>
    </row>
    <row r="21" spans="1:15">
      <c r="A21" s="361">
        <f t="shared" si="3"/>
        <v>5</v>
      </c>
      <c r="B21" s="365">
        <v>303.2</v>
      </c>
      <c r="C21" s="358" t="s">
        <v>377</v>
      </c>
      <c r="D21" s="1243">
        <v>0</v>
      </c>
      <c r="E21" s="1243">
        <v>0</v>
      </c>
      <c r="F21" s="1243">
        <v>0</v>
      </c>
      <c r="G21" s="1243">
        <f t="shared" si="0"/>
        <v>0</v>
      </c>
      <c r="H21" s="366"/>
      <c r="I21" s="1243">
        <v>0</v>
      </c>
      <c r="J21" s="366"/>
      <c r="K21" s="1243">
        <v>0</v>
      </c>
      <c r="L21" s="1243">
        <v>0</v>
      </c>
      <c r="M21" s="1243">
        <f t="shared" si="1"/>
        <v>0</v>
      </c>
      <c r="N21" s="1243">
        <v>0</v>
      </c>
      <c r="O21" s="1243">
        <f t="shared" si="2"/>
        <v>0</v>
      </c>
    </row>
    <row r="22" spans="1:15">
      <c r="A22" s="361">
        <f t="shared" si="3"/>
        <v>6</v>
      </c>
      <c r="B22" s="365">
        <v>303.3</v>
      </c>
      <c r="C22" s="358" t="s">
        <v>378</v>
      </c>
      <c r="D22" s="1243">
        <v>10599294.17</v>
      </c>
      <c r="E22" s="1243">
        <v>90278.650000000009</v>
      </c>
      <c r="F22" s="1243">
        <v>-141156.24</v>
      </c>
      <c r="G22" s="1243">
        <f t="shared" si="0"/>
        <v>10548416.58</v>
      </c>
      <c r="H22" s="366"/>
      <c r="I22" s="1243">
        <v>4923508.32</v>
      </c>
      <c r="J22" s="366"/>
      <c r="K22" s="1243">
        <v>165133.20000000001</v>
      </c>
      <c r="L22" s="1243">
        <v>0</v>
      </c>
      <c r="M22" s="1243">
        <f t="shared" si="1"/>
        <v>-141156.24</v>
      </c>
      <c r="N22" s="1243">
        <v>0</v>
      </c>
      <c r="O22" s="1243">
        <f t="shared" si="2"/>
        <v>4947485.28</v>
      </c>
    </row>
    <row r="23" spans="1:15">
      <c r="A23" s="361">
        <f t="shared" si="3"/>
        <v>7</v>
      </c>
      <c r="B23" s="365">
        <v>303.99</v>
      </c>
      <c r="C23" s="358" t="s">
        <v>1129</v>
      </c>
      <c r="D23" s="1244">
        <v>1804218.1600000001</v>
      </c>
      <c r="E23" s="1244">
        <v>5760.57</v>
      </c>
      <c r="F23" s="1244">
        <v>0</v>
      </c>
      <c r="G23" s="1244">
        <f t="shared" si="0"/>
        <v>1809978.7300000002</v>
      </c>
      <c r="H23" s="366"/>
      <c r="I23" s="1244">
        <v>640967.74</v>
      </c>
      <c r="J23" s="366"/>
      <c r="K23" s="1244">
        <v>31065.22</v>
      </c>
      <c r="L23" s="1244">
        <v>0</v>
      </c>
      <c r="M23" s="1244">
        <f t="shared" si="1"/>
        <v>0</v>
      </c>
      <c r="N23" s="1244">
        <v>0</v>
      </c>
      <c r="O23" s="1244">
        <f t="shared" si="2"/>
        <v>672032.96</v>
      </c>
    </row>
    <row r="24" spans="1:15">
      <c r="A24" s="361">
        <f t="shared" si="3"/>
        <v>8</v>
      </c>
      <c r="B24" s="367"/>
      <c r="C24" s="358" t="s">
        <v>379</v>
      </c>
      <c r="D24" s="1243">
        <f>SUM(D18:D23)</f>
        <v>12501311.310000001</v>
      </c>
      <c r="E24" s="1243">
        <f>SUM(E18:E23)</f>
        <v>96039.22</v>
      </c>
      <c r="F24" s="1243">
        <f>SUM(F18:F23)</f>
        <v>-141156.24</v>
      </c>
      <c r="G24" s="1243">
        <f>SUM(G18:G23)</f>
        <v>12456194.290000001</v>
      </c>
      <c r="H24" s="366"/>
      <c r="I24" s="1243">
        <f>SUM(I18:I23)</f>
        <v>5640414.2800000003</v>
      </c>
      <c r="J24" s="366"/>
      <c r="K24" s="1243">
        <f>SUM(K18:K23)</f>
        <v>196473.86000000002</v>
      </c>
      <c r="L24" s="1243">
        <f>SUM(L18:L23)</f>
        <v>0</v>
      </c>
      <c r="M24" s="1243">
        <f>SUM(M18:M23)</f>
        <v>-141156.24</v>
      </c>
      <c r="N24" s="1243">
        <f>SUM(N18:N23)</f>
        <v>0</v>
      </c>
      <c r="O24" s="1243">
        <f>SUM(O18:O23)</f>
        <v>5695731.9000000004</v>
      </c>
    </row>
    <row r="25" spans="1:15">
      <c r="A25" s="361"/>
      <c r="B25" s="367"/>
      <c r="C25" s="368"/>
      <c r="D25" s="366"/>
      <c r="E25" s="366"/>
      <c r="F25" s="366"/>
      <c r="G25" s="366"/>
      <c r="H25" s="366"/>
      <c r="I25" s="366"/>
      <c r="J25" s="366"/>
      <c r="K25" s="366"/>
      <c r="L25" s="366"/>
      <c r="M25" s="366"/>
      <c r="N25" s="366"/>
      <c r="O25" s="366"/>
    </row>
    <row r="26" spans="1:15">
      <c r="A26" s="361">
        <f>A24+1</f>
        <v>9</v>
      </c>
      <c r="B26" s="362" t="s">
        <v>1600</v>
      </c>
      <c r="C26" s="368"/>
      <c r="D26" s="366"/>
      <c r="E26" s="366"/>
      <c r="F26" s="366"/>
      <c r="G26" s="366"/>
      <c r="H26" s="366"/>
      <c r="I26" s="366"/>
      <c r="J26" s="366"/>
      <c r="K26" s="366"/>
      <c r="L26" s="366"/>
      <c r="M26" s="366"/>
      <c r="N26" s="366"/>
      <c r="O26" s="366"/>
    </row>
    <row r="27" spans="1:15">
      <c r="A27" s="361">
        <f t="shared" ref="A27:A57" si="4">A26+1</f>
        <v>10</v>
      </c>
      <c r="B27" s="365">
        <v>374.1</v>
      </c>
      <c r="C27" s="358" t="s">
        <v>382</v>
      </c>
      <c r="D27" s="1243">
        <v>206</v>
      </c>
      <c r="E27" s="1243">
        <v>0</v>
      </c>
      <c r="F27" s="1243">
        <v>0</v>
      </c>
      <c r="G27" s="1243">
        <f>SUM(D27:F27)</f>
        <v>206</v>
      </c>
      <c r="H27" s="1243"/>
      <c r="I27" s="1243">
        <v>0</v>
      </c>
      <c r="J27" s="1243"/>
      <c r="K27" s="1243">
        <v>0</v>
      </c>
      <c r="L27" s="1243">
        <v>0</v>
      </c>
      <c r="M27" s="1243">
        <f>F27</f>
        <v>0</v>
      </c>
      <c r="N27" s="1243">
        <v>0</v>
      </c>
      <c r="O27" s="1243">
        <f t="shared" ref="O27:O56" si="5">I27+K27+L27+M27+N27</f>
        <v>0</v>
      </c>
    </row>
    <row r="28" spans="1:15">
      <c r="A28" s="361">
        <f t="shared" si="4"/>
        <v>11</v>
      </c>
      <c r="B28" s="365">
        <v>374.2</v>
      </c>
      <c r="C28" s="358" t="s">
        <v>383</v>
      </c>
      <c r="D28" s="1243">
        <v>876991.23</v>
      </c>
      <c r="E28" s="1243">
        <v>0</v>
      </c>
      <c r="F28" s="1243">
        <v>-4.57</v>
      </c>
      <c r="G28" s="1243">
        <f t="shared" ref="G28:G56" si="6">SUM(D28:F28)</f>
        <v>876986.66</v>
      </c>
      <c r="H28" s="1243"/>
      <c r="I28" s="1243">
        <v>-522.26</v>
      </c>
      <c r="J28" s="1243"/>
      <c r="K28" s="1243">
        <v>0</v>
      </c>
      <c r="L28" s="1243">
        <v>0</v>
      </c>
      <c r="M28" s="1243">
        <v>9.9999999999997868E-3</v>
      </c>
      <c r="N28" s="1243">
        <v>0</v>
      </c>
      <c r="O28" s="1243">
        <f t="shared" si="5"/>
        <v>-522.25</v>
      </c>
    </row>
    <row r="29" spans="1:15">
      <c r="A29" s="361">
        <f t="shared" si="4"/>
        <v>12</v>
      </c>
      <c r="B29" s="365">
        <v>374.4</v>
      </c>
      <c r="C29" s="358" t="s">
        <v>384</v>
      </c>
      <c r="D29" s="1243">
        <v>2748764.41</v>
      </c>
      <c r="E29" s="1243">
        <v>500</v>
      </c>
      <c r="F29" s="1243">
        <v>0</v>
      </c>
      <c r="G29" s="1243">
        <f t="shared" si="6"/>
        <v>2749264.41</v>
      </c>
      <c r="H29" s="1243"/>
      <c r="I29" s="1243">
        <v>333085.24</v>
      </c>
      <c r="J29" s="1243"/>
      <c r="K29" s="1243">
        <v>2909.37</v>
      </c>
      <c r="L29" s="1243">
        <v>0</v>
      </c>
      <c r="M29" s="1243">
        <f t="shared" ref="M29:M56" si="7">F29</f>
        <v>0</v>
      </c>
      <c r="N29" s="1243">
        <v>0</v>
      </c>
      <c r="O29" s="1243">
        <f t="shared" si="5"/>
        <v>335994.61</v>
      </c>
    </row>
    <row r="30" spans="1:15">
      <c r="A30" s="361">
        <f t="shared" si="4"/>
        <v>13</v>
      </c>
      <c r="B30" s="365">
        <v>374.5</v>
      </c>
      <c r="C30" s="358" t="s">
        <v>385</v>
      </c>
      <c r="D30" s="1243">
        <v>2666577.16</v>
      </c>
      <c r="E30" s="1243">
        <v>0</v>
      </c>
      <c r="F30" s="1243">
        <v>0</v>
      </c>
      <c r="G30" s="1243">
        <f t="shared" si="6"/>
        <v>2666577.16</v>
      </c>
      <c r="H30" s="1243"/>
      <c r="I30" s="1243">
        <v>1126967.1499999999</v>
      </c>
      <c r="J30" s="1243"/>
      <c r="K30" s="1243">
        <v>2444.36</v>
      </c>
      <c r="L30" s="1243">
        <v>0</v>
      </c>
      <c r="M30" s="1243">
        <f t="shared" si="7"/>
        <v>0</v>
      </c>
      <c r="N30" s="1243">
        <v>0</v>
      </c>
      <c r="O30" s="1243">
        <f t="shared" si="5"/>
        <v>1129411.51</v>
      </c>
    </row>
    <row r="31" spans="1:15">
      <c r="A31" s="361">
        <f t="shared" si="4"/>
        <v>14</v>
      </c>
      <c r="B31" s="365">
        <v>375.2</v>
      </c>
      <c r="C31" s="358" t="s">
        <v>386</v>
      </c>
      <c r="D31" s="1243">
        <v>2124.98</v>
      </c>
      <c r="E31" s="1243">
        <v>0</v>
      </c>
      <c r="F31" s="1243">
        <v>0</v>
      </c>
      <c r="G31" s="1243">
        <f t="shared" si="6"/>
        <v>2124.98</v>
      </c>
      <c r="H31" s="1243"/>
      <c r="I31" s="1243">
        <v>2053.08</v>
      </c>
      <c r="J31" s="1243"/>
      <c r="K31" s="1243">
        <v>0.73</v>
      </c>
      <c r="L31" s="1243">
        <v>0</v>
      </c>
      <c r="M31" s="1243">
        <f t="shared" si="7"/>
        <v>0</v>
      </c>
      <c r="N31" s="1243">
        <v>0</v>
      </c>
      <c r="O31" s="1243">
        <f t="shared" si="5"/>
        <v>2053.81</v>
      </c>
    </row>
    <row r="32" spans="1:15">
      <c r="A32" s="361">
        <f t="shared" si="4"/>
        <v>15</v>
      </c>
      <c r="B32" s="365">
        <v>375.3</v>
      </c>
      <c r="C32" s="358" t="s">
        <v>387</v>
      </c>
      <c r="D32" s="1243">
        <v>0</v>
      </c>
      <c r="E32" s="1243">
        <v>0</v>
      </c>
      <c r="F32" s="1243">
        <v>0</v>
      </c>
      <c r="G32" s="1243">
        <f t="shared" si="6"/>
        <v>0</v>
      </c>
      <c r="H32" s="1243"/>
      <c r="I32" s="1243">
        <v>-77.66</v>
      </c>
      <c r="J32" s="1243"/>
      <c r="K32" s="1243">
        <v>0</v>
      </c>
      <c r="L32" s="1243">
        <v>0</v>
      </c>
      <c r="M32" s="1243">
        <f t="shared" si="7"/>
        <v>0</v>
      </c>
      <c r="N32" s="1243">
        <v>0</v>
      </c>
      <c r="O32" s="1243">
        <f t="shared" si="5"/>
        <v>-77.66</v>
      </c>
    </row>
    <row r="33" spans="1:15">
      <c r="A33" s="361">
        <f t="shared" si="4"/>
        <v>16</v>
      </c>
      <c r="B33" s="365">
        <v>375.4</v>
      </c>
      <c r="C33" s="358" t="s">
        <v>388</v>
      </c>
      <c r="D33" s="1243">
        <v>2821847.9699999997</v>
      </c>
      <c r="E33" s="1243">
        <v>651.27999999999884</v>
      </c>
      <c r="F33" s="1243">
        <v>-5436.9000000000005</v>
      </c>
      <c r="G33" s="1243">
        <f t="shared" si="6"/>
        <v>2817062.3499999996</v>
      </c>
      <c r="H33" s="1243"/>
      <c r="I33" s="1243">
        <v>585747.20000000007</v>
      </c>
      <c r="J33" s="1243"/>
      <c r="K33" s="1243">
        <v>5098.51</v>
      </c>
      <c r="L33" s="1243">
        <v>0</v>
      </c>
      <c r="M33" s="1243">
        <f t="shared" si="7"/>
        <v>-5436.9000000000005</v>
      </c>
      <c r="N33" s="1243">
        <v>-429.99</v>
      </c>
      <c r="O33" s="1243">
        <f t="shared" si="5"/>
        <v>584978.82000000007</v>
      </c>
    </row>
    <row r="34" spans="1:15">
      <c r="A34" s="361">
        <f t="shared" si="4"/>
        <v>17</v>
      </c>
      <c r="B34" s="365">
        <v>375.6</v>
      </c>
      <c r="C34" s="358" t="s">
        <v>389</v>
      </c>
      <c r="D34" s="1243">
        <v>0</v>
      </c>
      <c r="E34" s="1243">
        <v>0</v>
      </c>
      <c r="F34" s="1243">
        <v>0</v>
      </c>
      <c r="G34" s="1243">
        <f t="shared" si="6"/>
        <v>0</v>
      </c>
      <c r="H34" s="1243"/>
      <c r="I34" s="1243">
        <v>0.02</v>
      </c>
      <c r="J34" s="1243"/>
      <c r="K34" s="1243">
        <v>0</v>
      </c>
      <c r="L34" s="1243">
        <v>0</v>
      </c>
      <c r="M34" s="1243">
        <f t="shared" si="7"/>
        <v>0</v>
      </c>
      <c r="N34" s="1243">
        <v>0</v>
      </c>
      <c r="O34" s="1243">
        <f t="shared" si="5"/>
        <v>0.02</v>
      </c>
    </row>
    <row r="35" spans="1:15">
      <c r="A35" s="361">
        <f t="shared" si="4"/>
        <v>18</v>
      </c>
      <c r="B35" s="365">
        <v>375.7</v>
      </c>
      <c r="C35" s="358" t="s">
        <v>390</v>
      </c>
      <c r="D35" s="1243">
        <v>9004447.6400000006</v>
      </c>
      <c r="E35" s="1243">
        <v>0</v>
      </c>
      <c r="F35" s="1243">
        <v>3195.06</v>
      </c>
      <c r="G35" s="1243">
        <f t="shared" si="6"/>
        <v>9007642.7000000011</v>
      </c>
      <c r="H35" s="1243"/>
      <c r="I35" s="1243">
        <v>4477884.59</v>
      </c>
      <c r="J35" s="1243"/>
      <c r="K35" s="1243">
        <v>17561.79</v>
      </c>
      <c r="L35" s="1243">
        <v>0</v>
      </c>
      <c r="M35" s="1243">
        <f t="shared" si="7"/>
        <v>3195.06</v>
      </c>
      <c r="N35" s="1243">
        <v>0</v>
      </c>
      <c r="O35" s="1243">
        <f t="shared" si="5"/>
        <v>4498641.4399999995</v>
      </c>
    </row>
    <row r="36" spans="1:15">
      <c r="A36" s="361">
        <f t="shared" si="4"/>
        <v>19</v>
      </c>
      <c r="B36" s="365">
        <v>375.71</v>
      </c>
      <c r="C36" s="358" t="s">
        <v>391</v>
      </c>
      <c r="D36" s="1243">
        <v>860196.63</v>
      </c>
      <c r="E36" s="1243">
        <v>0</v>
      </c>
      <c r="F36" s="1243">
        <v>0</v>
      </c>
      <c r="G36" s="1243">
        <f t="shared" si="6"/>
        <v>860196.63</v>
      </c>
      <c r="H36" s="1243"/>
      <c r="I36" s="1243">
        <v>692903.89</v>
      </c>
      <c r="J36" s="1243"/>
      <c r="K36" s="1243">
        <v>4523.51</v>
      </c>
      <c r="L36" s="1243">
        <v>0</v>
      </c>
      <c r="M36" s="1243">
        <f t="shared" si="7"/>
        <v>0</v>
      </c>
      <c r="N36" s="1243">
        <v>0</v>
      </c>
      <c r="O36" s="1243">
        <f t="shared" si="5"/>
        <v>697427.4</v>
      </c>
    </row>
    <row r="37" spans="1:15">
      <c r="A37" s="361">
        <f t="shared" si="4"/>
        <v>20</v>
      </c>
      <c r="B37" s="365">
        <v>375.8</v>
      </c>
      <c r="C37" s="358" t="s">
        <v>392</v>
      </c>
      <c r="D37" s="1243">
        <v>132125.04</v>
      </c>
      <c r="E37" s="1243">
        <v>0</v>
      </c>
      <c r="F37" s="1243">
        <v>0</v>
      </c>
      <c r="G37" s="1243">
        <f t="shared" si="6"/>
        <v>132125.04</v>
      </c>
      <c r="H37" s="1243"/>
      <c r="I37" s="1243">
        <v>3797.9300000000003</v>
      </c>
      <c r="J37" s="1243"/>
      <c r="K37" s="1243">
        <v>585.75</v>
      </c>
      <c r="L37" s="1243">
        <v>0</v>
      </c>
      <c r="M37" s="1243">
        <f t="shared" si="7"/>
        <v>0</v>
      </c>
      <c r="N37" s="1243">
        <v>0</v>
      </c>
      <c r="O37" s="1243">
        <f t="shared" si="5"/>
        <v>4383.68</v>
      </c>
    </row>
    <row r="38" spans="1:15">
      <c r="A38" s="361">
        <f t="shared" si="4"/>
        <v>21</v>
      </c>
      <c r="B38" s="365">
        <v>376</v>
      </c>
      <c r="C38" s="358" t="s">
        <v>1621</v>
      </c>
      <c r="D38" s="1243">
        <f>'WPB-2.1.D SMRP'!D27</f>
        <v>399913803.00999999</v>
      </c>
      <c r="E38" s="1243">
        <f>'WPB-2.1.D SMRP'!E27</f>
        <v>691820.97999999986</v>
      </c>
      <c r="F38" s="1243">
        <f>'WPB-2.1.D SMRP'!F27</f>
        <v>-7748.31</v>
      </c>
      <c r="G38" s="1243">
        <f t="shared" si="6"/>
        <v>400597875.68000001</v>
      </c>
      <c r="H38" s="1243"/>
      <c r="I38" s="1243">
        <f>'WPB-2.1.D SMRP'!I27</f>
        <v>74867061.950000003</v>
      </c>
      <c r="J38" s="1243"/>
      <c r="K38" s="1243">
        <f>'WPB-2.1.D SMRP'!K27</f>
        <v>577035.12099999993</v>
      </c>
      <c r="L38" s="1243">
        <v>0</v>
      </c>
      <c r="M38" s="1243">
        <f t="shared" si="7"/>
        <v>-7748.31</v>
      </c>
      <c r="N38" s="1243">
        <f>'WPB-2.1.D SMRP'!N27</f>
        <v>-30795.87</v>
      </c>
      <c r="O38" s="1243">
        <f t="shared" si="5"/>
        <v>75405552.891000003</v>
      </c>
    </row>
    <row r="39" spans="1:15">
      <c r="A39" s="361">
        <f t="shared" si="4"/>
        <v>22</v>
      </c>
      <c r="B39" s="365">
        <v>378.1</v>
      </c>
      <c r="C39" s="358" t="s">
        <v>394</v>
      </c>
      <c r="D39" s="1243">
        <v>505418.38</v>
      </c>
      <c r="E39" s="1243">
        <v>0</v>
      </c>
      <c r="F39" s="1243">
        <v>-7200.05</v>
      </c>
      <c r="G39" s="1243">
        <f t="shared" si="6"/>
        <v>498218.33</v>
      </c>
      <c r="H39" s="1243"/>
      <c r="I39" s="1243">
        <v>415419.93</v>
      </c>
      <c r="J39" s="1243"/>
      <c r="K39" s="1243">
        <v>1053.82</v>
      </c>
      <c r="L39" s="1243">
        <v>0</v>
      </c>
      <c r="M39" s="1243">
        <f t="shared" si="7"/>
        <v>-7200.05</v>
      </c>
      <c r="N39" s="1243">
        <v>0</v>
      </c>
      <c r="O39" s="1243">
        <f t="shared" si="5"/>
        <v>409273.7</v>
      </c>
    </row>
    <row r="40" spans="1:15">
      <c r="A40" s="361">
        <f t="shared" si="4"/>
        <v>23</v>
      </c>
      <c r="B40" s="365">
        <v>378.2</v>
      </c>
      <c r="C40" s="358" t="s">
        <v>1622</v>
      </c>
      <c r="D40" s="1243">
        <f>'WPB-2.1.D SMRP'!D31</f>
        <v>24969814.460000001</v>
      </c>
      <c r="E40" s="1243">
        <f>'WPB-2.1.D SMRP'!E31</f>
        <v>0</v>
      </c>
      <c r="F40" s="1243">
        <f>'WPB-2.1.D SMRP'!F31</f>
        <v>-25273.060000000005</v>
      </c>
      <c r="G40" s="1243">
        <f t="shared" si="6"/>
        <v>24944541.400000002</v>
      </c>
      <c r="H40" s="1243"/>
      <c r="I40" s="1243">
        <f>'WPB-2.1.D SMRP'!I31</f>
        <v>2842986.8200000003</v>
      </c>
      <c r="J40" s="1243"/>
      <c r="K40" s="1243">
        <f>'WPB-2.1.D SMRP'!K31</f>
        <v>52410.075000000004</v>
      </c>
      <c r="L40" s="1243">
        <v>0</v>
      </c>
      <c r="M40" s="1243">
        <f t="shared" si="7"/>
        <v>-25273.060000000005</v>
      </c>
      <c r="N40" s="1243">
        <f>'WPB-2.1.D SMRP'!N31</f>
        <v>-1342.52</v>
      </c>
      <c r="O40" s="1243">
        <f t="shared" si="5"/>
        <v>2868781.3150000004</v>
      </c>
    </row>
    <row r="41" spans="1:15">
      <c r="A41" s="361">
        <f t="shared" si="4"/>
        <v>24</v>
      </c>
      <c r="B41" s="365">
        <v>378.3</v>
      </c>
      <c r="C41" s="358" t="s">
        <v>396</v>
      </c>
      <c r="D41" s="1243">
        <v>45443.08</v>
      </c>
      <c r="E41" s="1243">
        <v>0</v>
      </c>
      <c r="F41" s="1243">
        <v>0</v>
      </c>
      <c r="G41" s="1243">
        <f t="shared" si="6"/>
        <v>45443.08</v>
      </c>
      <c r="H41" s="1243"/>
      <c r="I41" s="1243">
        <v>42022.3</v>
      </c>
      <c r="J41" s="1243"/>
      <c r="K41" s="1243">
        <v>95.43</v>
      </c>
      <c r="L41" s="1243">
        <v>0</v>
      </c>
      <c r="M41" s="1243">
        <f t="shared" si="7"/>
        <v>0</v>
      </c>
      <c r="N41" s="1243">
        <v>0</v>
      </c>
      <c r="O41" s="1243">
        <f t="shared" si="5"/>
        <v>42117.73</v>
      </c>
    </row>
    <row r="42" spans="1:15">
      <c r="A42" s="361">
        <f t="shared" si="4"/>
        <v>25</v>
      </c>
      <c r="B42" s="365">
        <v>379.1</v>
      </c>
      <c r="C42" s="358" t="s">
        <v>397</v>
      </c>
      <c r="D42" s="1243">
        <v>1554144.06</v>
      </c>
      <c r="E42" s="1243">
        <v>0</v>
      </c>
      <c r="F42" s="1243">
        <v>0</v>
      </c>
      <c r="G42" s="1243">
        <f t="shared" si="6"/>
        <v>1554144.06</v>
      </c>
      <c r="H42" s="1243"/>
      <c r="I42" s="1243">
        <v>313774.53000000003</v>
      </c>
      <c r="J42" s="1243"/>
      <c r="K42" s="1243">
        <v>3134.19</v>
      </c>
      <c r="L42" s="1243">
        <v>0</v>
      </c>
      <c r="M42" s="1243">
        <f t="shared" si="7"/>
        <v>0</v>
      </c>
      <c r="N42" s="1243">
        <v>0</v>
      </c>
      <c r="O42" s="1243">
        <f t="shared" si="5"/>
        <v>316908.72000000003</v>
      </c>
    </row>
    <row r="43" spans="1:15">
      <c r="A43" s="361">
        <f t="shared" si="4"/>
        <v>26</v>
      </c>
      <c r="B43" s="365">
        <v>380</v>
      </c>
      <c r="C43" s="358" t="s">
        <v>1623</v>
      </c>
      <c r="D43" s="1243">
        <f>'WPB-2.1.D SMRP'!D35</f>
        <v>192516615.68999997</v>
      </c>
      <c r="E43" s="1243">
        <f>'WPB-2.1.D SMRP'!E35</f>
        <v>815310.43000000028</v>
      </c>
      <c r="F43" s="1243">
        <f>'WPB-2.1.D SMRP'!F35</f>
        <v>-55161.263156236091</v>
      </c>
      <c r="G43" s="1243">
        <f t="shared" si="6"/>
        <v>193276764.85684374</v>
      </c>
      <c r="H43" s="1243"/>
      <c r="I43" s="1243">
        <f>'WPB-2.1.D SMRP'!I35</f>
        <v>52138791.210000001</v>
      </c>
      <c r="J43" s="1243"/>
      <c r="K43" s="1243">
        <f>'WPB-2.1.D SMRP'!K35</f>
        <v>620065.87199999997</v>
      </c>
      <c r="L43" s="1243">
        <v>0</v>
      </c>
      <c r="M43" s="1243">
        <f t="shared" si="7"/>
        <v>-55161.263156236091</v>
      </c>
      <c r="N43" s="1243">
        <f>'WPB-2.1.D SMRP'!N35</f>
        <v>-92905.665636000049</v>
      </c>
      <c r="O43" s="1243">
        <f t="shared" si="5"/>
        <v>52610790.153207764</v>
      </c>
    </row>
    <row r="44" spans="1:15">
      <c r="A44" s="361">
        <f t="shared" si="4"/>
        <v>27</v>
      </c>
      <c r="B44" s="365">
        <v>381</v>
      </c>
      <c r="C44" s="358" t="s">
        <v>399</v>
      </c>
      <c r="D44" s="1243">
        <v>18837138.84</v>
      </c>
      <c r="E44" s="1243">
        <v>198147.51</v>
      </c>
      <c r="F44" s="1243">
        <v>-15807.300000000001</v>
      </c>
      <c r="G44" s="1243">
        <f t="shared" si="6"/>
        <v>19019479.050000001</v>
      </c>
      <c r="H44" s="1243"/>
      <c r="I44" s="1243">
        <v>4670212.33</v>
      </c>
      <c r="J44" s="1243"/>
      <c r="K44" s="1243">
        <v>41326.81</v>
      </c>
      <c r="L44" s="1243">
        <v>0</v>
      </c>
      <c r="M44" s="1243">
        <f t="shared" si="7"/>
        <v>-15807.300000000001</v>
      </c>
      <c r="N44" s="1243">
        <v>0</v>
      </c>
      <c r="O44" s="1243">
        <f t="shared" si="5"/>
        <v>4695731.84</v>
      </c>
    </row>
    <row r="45" spans="1:15">
      <c r="A45" s="361">
        <f t="shared" si="4"/>
        <v>28</v>
      </c>
      <c r="B45" s="365">
        <v>381.1</v>
      </c>
      <c r="C45" s="358" t="s">
        <v>2366</v>
      </c>
      <c r="D45" s="1243">
        <v>9970104.75</v>
      </c>
      <c r="E45" s="1243">
        <v>0</v>
      </c>
      <c r="F45" s="1243">
        <v>0</v>
      </c>
      <c r="G45" s="1243">
        <f t="shared" si="6"/>
        <v>9970104.75</v>
      </c>
      <c r="H45" s="1243"/>
      <c r="I45" s="1243">
        <v>4614474.38</v>
      </c>
      <c r="J45" s="1243"/>
      <c r="K45" s="1243">
        <v>62146.99</v>
      </c>
      <c r="L45" s="1243">
        <v>0</v>
      </c>
      <c r="M45" s="1243">
        <f t="shared" si="7"/>
        <v>0</v>
      </c>
      <c r="N45" s="1243">
        <v>0</v>
      </c>
      <c r="O45" s="1243">
        <f t="shared" si="5"/>
        <v>4676621.37</v>
      </c>
    </row>
    <row r="46" spans="1:15">
      <c r="A46" s="361">
        <f t="shared" si="4"/>
        <v>29</v>
      </c>
      <c r="B46" s="365">
        <v>382</v>
      </c>
      <c r="C46" s="358" t="s">
        <v>1624</v>
      </c>
      <c r="D46" s="1243">
        <f>'WPB-2.1.D SMRP'!D39</f>
        <v>10073731.52</v>
      </c>
      <c r="E46" s="1243">
        <f>'WPB-2.1.D SMRP'!E39</f>
        <v>25107.66</v>
      </c>
      <c r="F46" s="1243">
        <f>'WPB-2.1.D SMRP'!F39</f>
        <v>0</v>
      </c>
      <c r="G46" s="1243">
        <f t="shared" si="6"/>
        <v>10098839.18</v>
      </c>
      <c r="H46" s="1243"/>
      <c r="I46" s="1243">
        <f>'WPB-2.1.D SMRP'!I39</f>
        <v>5661414.0800000001</v>
      </c>
      <c r="J46" s="1243"/>
      <c r="K46" s="1243">
        <f>'WPB-2.1.D SMRP'!K39</f>
        <v>14877.277000000002</v>
      </c>
      <c r="L46" s="1243">
        <v>0</v>
      </c>
      <c r="M46" s="1243">
        <f t="shared" si="7"/>
        <v>0</v>
      </c>
      <c r="N46" s="1243">
        <f>'WPB-2.1.D SMRP'!N39</f>
        <v>0</v>
      </c>
      <c r="O46" s="1243">
        <f t="shared" si="5"/>
        <v>5676291.3569999998</v>
      </c>
    </row>
    <row r="47" spans="1:15">
      <c r="A47" s="361">
        <f t="shared" si="4"/>
        <v>30</v>
      </c>
      <c r="B47" s="365">
        <v>383</v>
      </c>
      <c r="C47" s="358" t="s">
        <v>1625</v>
      </c>
      <c r="D47" s="1243">
        <f>'WPB-2.1.D SMRP'!D43</f>
        <v>7131728.5199999996</v>
      </c>
      <c r="E47" s="1243">
        <f>'WPB-2.1.D SMRP'!E43</f>
        <v>18412.32</v>
      </c>
      <c r="F47" s="1243">
        <f>'WPB-2.1.D SMRP'!F43</f>
        <v>0</v>
      </c>
      <c r="G47" s="1243">
        <f t="shared" si="6"/>
        <v>7150140.8399999999</v>
      </c>
      <c r="H47" s="1243"/>
      <c r="I47" s="1243">
        <f>'WPB-2.1.D SMRP'!I43</f>
        <v>2346480.1</v>
      </c>
      <c r="J47" s="1243"/>
      <c r="K47" s="1243">
        <f>'WPB-2.1.D SMRP'!K43</f>
        <v>11544.513000000001</v>
      </c>
      <c r="L47" s="1243">
        <v>0</v>
      </c>
      <c r="M47" s="1243">
        <f t="shared" si="7"/>
        <v>0</v>
      </c>
      <c r="N47" s="1243">
        <f>'WPB-2.1.D SMRP'!N43</f>
        <v>0</v>
      </c>
      <c r="O47" s="1243">
        <f t="shared" si="5"/>
        <v>2358024.6129999999</v>
      </c>
    </row>
    <row r="48" spans="1:15">
      <c r="A48" s="361">
        <f t="shared" si="4"/>
        <v>31</v>
      </c>
      <c r="B48" s="365">
        <v>384</v>
      </c>
      <c r="C48" s="358" t="s">
        <v>402</v>
      </c>
      <c r="D48" s="1243">
        <v>2085058.65</v>
      </c>
      <c r="E48" s="1243">
        <v>0</v>
      </c>
      <c r="F48" s="1243">
        <v>0</v>
      </c>
      <c r="G48" s="1243">
        <f t="shared" si="6"/>
        <v>2085058.65</v>
      </c>
      <c r="H48" s="1243"/>
      <c r="I48" s="1243">
        <v>1707679.6600000001</v>
      </c>
      <c r="J48" s="1243"/>
      <c r="K48" s="1243">
        <v>1720.17</v>
      </c>
      <c r="L48" s="1243">
        <v>0</v>
      </c>
      <c r="M48" s="1243">
        <f t="shared" si="7"/>
        <v>0</v>
      </c>
      <c r="N48" s="1243">
        <v>0</v>
      </c>
      <c r="O48" s="1243">
        <f t="shared" si="5"/>
        <v>1709399.83</v>
      </c>
    </row>
    <row r="49" spans="1:16">
      <c r="A49" s="361">
        <f t="shared" si="4"/>
        <v>32</v>
      </c>
      <c r="B49" s="365">
        <v>385</v>
      </c>
      <c r="C49" s="358" t="s">
        <v>403</v>
      </c>
      <c r="D49" s="1243">
        <v>6047305.9500000002</v>
      </c>
      <c r="E49" s="1243">
        <v>3496.0600000000013</v>
      </c>
      <c r="F49" s="1243">
        <v>-30698.010000000002</v>
      </c>
      <c r="G49" s="1243">
        <f t="shared" si="6"/>
        <v>6020104</v>
      </c>
      <c r="H49" s="1243"/>
      <c r="I49" s="1243">
        <v>780272.62000000011</v>
      </c>
      <c r="J49" s="1243"/>
      <c r="K49" s="1243">
        <v>18754.760000000002</v>
      </c>
      <c r="L49" s="1243">
        <v>0</v>
      </c>
      <c r="M49" s="1243">
        <f t="shared" si="7"/>
        <v>-30698.010000000002</v>
      </c>
      <c r="N49" s="1243">
        <v>0</v>
      </c>
      <c r="O49" s="1243">
        <f t="shared" si="5"/>
        <v>768329.37000000011</v>
      </c>
    </row>
    <row r="50" spans="1:16">
      <c r="A50" s="361">
        <f t="shared" si="4"/>
        <v>33</v>
      </c>
      <c r="B50" s="365">
        <v>387.2</v>
      </c>
      <c r="C50" s="358" t="s">
        <v>404</v>
      </c>
      <c r="D50" s="1243">
        <v>0</v>
      </c>
      <c r="E50" s="1243">
        <v>0</v>
      </c>
      <c r="F50" s="1243">
        <v>0</v>
      </c>
      <c r="G50" s="1243">
        <f t="shared" si="6"/>
        <v>0</v>
      </c>
      <c r="H50" s="1243"/>
      <c r="I50" s="1243">
        <v>-59912.03</v>
      </c>
      <c r="J50" s="1243"/>
      <c r="K50" s="1243">
        <v>0</v>
      </c>
      <c r="L50" s="1243">
        <v>0</v>
      </c>
      <c r="M50" s="1243">
        <f t="shared" si="7"/>
        <v>0</v>
      </c>
      <c r="N50" s="1243">
        <v>0</v>
      </c>
      <c r="O50" s="1243">
        <f t="shared" si="5"/>
        <v>-59912.03</v>
      </c>
    </row>
    <row r="51" spans="1:16">
      <c r="A51" s="361">
        <f t="shared" si="4"/>
        <v>34</v>
      </c>
      <c r="B51" s="365">
        <v>387.41</v>
      </c>
      <c r="C51" s="358" t="s">
        <v>405</v>
      </c>
      <c r="D51" s="1243">
        <v>735015.32000000007</v>
      </c>
      <c r="E51" s="1243">
        <v>0</v>
      </c>
      <c r="F51" s="1243">
        <v>0</v>
      </c>
      <c r="G51" s="1243">
        <f t="shared" si="6"/>
        <v>735015.32000000007</v>
      </c>
      <c r="H51" s="1243"/>
      <c r="I51" s="1243">
        <v>522611.17</v>
      </c>
      <c r="J51" s="1243"/>
      <c r="K51" s="1243">
        <v>1892.66</v>
      </c>
      <c r="L51" s="1243">
        <v>0</v>
      </c>
      <c r="M51" s="1243">
        <f t="shared" si="7"/>
        <v>0</v>
      </c>
      <c r="N51" s="1243">
        <v>0</v>
      </c>
      <c r="O51" s="1243">
        <f t="shared" si="5"/>
        <v>524503.82999999996</v>
      </c>
    </row>
    <row r="52" spans="1:16">
      <c r="A52" s="361">
        <f t="shared" si="4"/>
        <v>35</v>
      </c>
      <c r="B52" s="365">
        <v>387.42</v>
      </c>
      <c r="C52" s="358" t="s">
        <v>406</v>
      </c>
      <c r="D52" s="1243">
        <v>786896.82000000007</v>
      </c>
      <c r="E52" s="1243">
        <v>0</v>
      </c>
      <c r="F52" s="1243">
        <v>0</v>
      </c>
      <c r="G52" s="1243">
        <f t="shared" si="6"/>
        <v>786896.82000000007</v>
      </c>
      <c r="H52" s="1243"/>
      <c r="I52" s="1243">
        <v>694186.23</v>
      </c>
      <c r="J52" s="1243"/>
      <c r="K52" s="1243">
        <v>2124.62</v>
      </c>
      <c r="L52" s="1243">
        <v>0</v>
      </c>
      <c r="M52" s="1243">
        <f t="shared" si="7"/>
        <v>0</v>
      </c>
      <c r="N52" s="1243">
        <v>0</v>
      </c>
      <c r="O52" s="1243">
        <f t="shared" si="5"/>
        <v>696310.85</v>
      </c>
    </row>
    <row r="53" spans="1:16">
      <c r="A53" s="361">
        <f t="shared" si="4"/>
        <v>36</v>
      </c>
      <c r="B53" s="365">
        <v>387.44</v>
      </c>
      <c r="C53" s="358" t="s">
        <v>407</v>
      </c>
      <c r="D53" s="1243">
        <v>125206.49</v>
      </c>
      <c r="E53" s="1243">
        <v>0</v>
      </c>
      <c r="F53" s="1243">
        <v>-527.73</v>
      </c>
      <c r="G53" s="1243">
        <f t="shared" si="6"/>
        <v>124678.76000000001</v>
      </c>
      <c r="H53" s="1243"/>
      <c r="I53" s="1243">
        <v>63902.87</v>
      </c>
      <c r="J53" s="1243"/>
      <c r="K53" s="1243">
        <v>337.35</v>
      </c>
      <c r="L53" s="1243">
        <v>0</v>
      </c>
      <c r="M53" s="1243">
        <f t="shared" si="7"/>
        <v>-527.73</v>
      </c>
      <c r="N53" s="1243">
        <v>0</v>
      </c>
      <c r="O53" s="1243">
        <f t="shared" si="5"/>
        <v>63712.49</v>
      </c>
    </row>
    <row r="54" spans="1:16">
      <c r="A54" s="361">
        <f t="shared" si="4"/>
        <v>37</v>
      </c>
      <c r="B54" s="365">
        <v>387.45</v>
      </c>
      <c r="C54" s="358" t="s">
        <v>408</v>
      </c>
      <c r="D54" s="1243">
        <v>5805293.3799999999</v>
      </c>
      <c r="E54" s="1243">
        <v>0</v>
      </c>
      <c r="F54" s="1243">
        <v>-45168.39</v>
      </c>
      <c r="G54" s="1243">
        <f t="shared" si="6"/>
        <v>5760124.9900000002</v>
      </c>
      <c r="H54" s="1243"/>
      <c r="I54" s="1243">
        <v>-40514.11</v>
      </c>
      <c r="J54" s="1243"/>
      <c r="K54" s="1243">
        <v>15613.32</v>
      </c>
      <c r="L54" s="1243">
        <v>0</v>
      </c>
      <c r="M54" s="1243">
        <f t="shared" si="7"/>
        <v>-45168.39</v>
      </c>
      <c r="N54" s="1243">
        <v>-4075.76</v>
      </c>
      <c r="O54" s="1243">
        <f t="shared" si="5"/>
        <v>-74144.939999999988</v>
      </c>
    </row>
    <row r="55" spans="1:16">
      <c r="A55" s="361">
        <f t="shared" si="4"/>
        <v>38</v>
      </c>
      <c r="B55" s="365">
        <v>387.46</v>
      </c>
      <c r="C55" s="358" t="s">
        <v>409</v>
      </c>
      <c r="D55" s="1243">
        <v>113644.47</v>
      </c>
      <c r="E55" s="1243">
        <v>0</v>
      </c>
      <c r="F55" s="1243">
        <v>0</v>
      </c>
      <c r="G55" s="1243">
        <f t="shared" si="6"/>
        <v>113644.47</v>
      </c>
      <c r="H55" s="1243"/>
      <c r="I55" s="1243">
        <v>114497.07</v>
      </c>
      <c r="J55" s="1243"/>
      <c r="K55" s="1243">
        <v>0</v>
      </c>
      <c r="L55" s="1243">
        <v>0</v>
      </c>
      <c r="M55" s="1243">
        <f t="shared" si="7"/>
        <v>0</v>
      </c>
      <c r="N55" s="1243">
        <v>0</v>
      </c>
      <c r="O55" s="1243">
        <f t="shared" si="5"/>
        <v>114497.07</v>
      </c>
    </row>
    <row r="56" spans="1:16">
      <c r="A56" s="361">
        <f t="shared" si="4"/>
        <v>39</v>
      </c>
      <c r="B56" s="365">
        <v>387.5</v>
      </c>
      <c r="C56" s="358" t="s">
        <v>1075</v>
      </c>
      <c r="D56" s="1244">
        <v>235051.94</v>
      </c>
      <c r="E56" s="1244">
        <v>0</v>
      </c>
      <c r="F56" s="1244">
        <v>0</v>
      </c>
      <c r="G56" s="1244">
        <f t="shared" si="6"/>
        <v>235051.94</v>
      </c>
      <c r="H56" s="1243"/>
      <c r="I56" s="1244">
        <v>35399.82</v>
      </c>
      <c r="J56" s="1243"/>
      <c r="K56" s="1244">
        <v>605.26</v>
      </c>
      <c r="L56" s="1244">
        <v>0</v>
      </c>
      <c r="M56" s="1244">
        <f t="shared" si="7"/>
        <v>0</v>
      </c>
      <c r="N56" s="1244">
        <v>0</v>
      </c>
      <c r="O56" s="1244">
        <f t="shared" si="5"/>
        <v>36005.08</v>
      </c>
    </row>
    <row r="57" spans="1:16">
      <c r="A57" s="361">
        <f t="shared" si="4"/>
        <v>40</v>
      </c>
      <c r="C57" s="358" t="s">
        <v>1601</v>
      </c>
      <c r="D57" s="1243">
        <f>SUM(D27:D56)</f>
        <v>700564696.3900001</v>
      </c>
      <c r="E57" s="1243">
        <f>SUM(E27:E56)</f>
        <v>1753446.2400000002</v>
      </c>
      <c r="F57" s="1243">
        <f>SUM(F27:F56)</f>
        <v>-189830.5231562361</v>
      </c>
      <c r="G57" s="1243">
        <f>SUM(G27:G56)</f>
        <v>702128312.10684383</v>
      </c>
      <c r="H57" s="1243"/>
      <c r="I57" s="1243">
        <f>SUM(I27:I56)</f>
        <v>158952600.10999995</v>
      </c>
      <c r="J57" s="1243"/>
      <c r="K57" s="1243">
        <f>SUM(K27:K56)</f>
        <v>1457862.2580000001</v>
      </c>
      <c r="L57" s="1243">
        <f>SUM(L27:L56)</f>
        <v>0</v>
      </c>
      <c r="M57" s="1243">
        <f>SUM(M27:M56)</f>
        <v>-189825.94315623608</v>
      </c>
      <c r="N57" s="1243">
        <f>SUM(N27:N56)</f>
        <v>-129549.80563600005</v>
      </c>
      <c r="O57" s="1243">
        <f>SUM(O27:O56)</f>
        <v>160091086.61920783</v>
      </c>
    </row>
    <row r="58" spans="1:16">
      <c r="B58" s="367"/>
      <c r="D58" s="369"/>
      <c r="E58" s="369"/>
      <c r="F58" s="369"/>
      <c r="G58" s="369"/>
      <c r="I58" s="369"/>
      <c r="J58" s="369"/>
      <c r="K58" s="369"/>
      <c r="L58" s="369"/>
      <c r="M58" s="369"/>
      <c r="N58" s="369"/>
      <c r="O58" s="369"/>
    </row>
    <row r="59" spans="1:16">
      <c r="I59" s="369"/>
      <c r="J59" s="369"/>
      <c r="K59" s="369"/>
      <c r="L59" s="369"/>
      <c r="M59" s="369"/>
      <c r="N59" s="369"/>
      <c r="O59" s="369"/>
    </row>
    <row r="60" spans="1:16" s="291" customFormat="1">
      <c r="A60" s="1308" t="str">
        <f>$A$1</f>
        <v>COLUMBIA GAS OF KENTUCKY, INC.</v>
      </c>
      <c r="B60" s="1308"/>
      <c r="C60" s="1308"/>
      <c r="D60" s="1308"/>
      <c r="E60" s="1308"/>
      <c r="F60" s="1308"/>
      <c r="G60" s="1308"/>
      <c r="H60" s="1308"/>
      <c r="I60" s="1308"/>
      <c r="J60" s="1308"/>
      <c r="K60" s="1308"/>
      <c r="L60" s="1308"/>
      <c r="M60" s="1308"/>
      <c r="N60" s="1308"/>
      <c r="O60" s="1308"/>
    </row>
    <row r="61" spans="1:16" s="291" customFormat="1">
      <c r="A61" s="1308" t="str">
        <f>$A$2</f>
        <v>CASE NO. 2024 - 00092</v>
      </c>
      <c r="B61" s="1308"/>
      <c r="C61" s="1308"/>
      <c r="D61" s="1308"/>
      <c r="E61" s="1308"/>
      <c r="F61" s="1308"/>
      <c r="G61" s="1308"/>
      <c r="H61" s="1308"/>
      <c r="I61" s="1308"/>
      <c r="J61" s="1308"/>
      <c r="K61" s="1308"/>
      <c r="L61" s="1308"/>
      <c r="M61" s="1308"/>
      <c r="N61" s="1308"/>
      <c r="O61" s="1308"/>
    </row>
    <row r="62" spans="1:16" s="291" customFormat="1">
      <c r="A62" s="1308" t="str">
        <f>$A$3</f>
        <v>DETAIL OF ACTUAL &amp; FORECASTED PLANT, ACCUMULATED RESERVE &amp; DEPRECIATION EXPENSE</v>
      </c>
      <c r="B62" s="1308"/>
      <c r="C62" s="1308"/>
      <c r="D62" s="1308"/>
      <c r="E62" s="1308"/>
      <c r="F62" s="1308"/>
      <c r="G62" s="1308"/>
      <c r="H62" s="1308"/>
      <c r="I62" s="1308"/>
      <c r="J62" s="1308"/>
      <c r="K62" s="1308"/>
      <c r="L62" s="1308"/>
      <c r="M62" s="1308"/>
      <c r="N62" s="1308"/>
      <c r="O62" s="1308"/>
      <c r="P62" s="357"/>
    </row>
    <row r="63" spans="1:16" s="291" customFormat="1">
      <c r="A63" s="1308" t="str">
        <f>$A$4</f>
        <v>FROM JANUARY 01, 2023 THROUGH DECEMBER 31, 2025</v>
      </c>
      <c r="B63" s="1308"/>
      <c r="C63" s="1308"/>
      <c r="D63" s="1308"/>
      <c r="E63" s="1308"/>
      <c r="F63" s="1308"/>
      <c r="G63" s="1308"/>
      <c r="H63" s="1308"/>
      <c r="I63" s="1308"/>
      <c r="J63" s="1308"/>
      <c r="K63" s="1308"/>
      <c r="L63" s="1308"/>
      <c r="M63" s="1308"/>
      <c r="N63" s="1308"/>
      <c r="O63" s="1308"/>
    </row>
    <row r="64" spans="1:16" s="291" customFormat="1">
      <c r="B64" s="293"/>
      <c r="P64" s="312"/>
    </row>
    <row r="65" spans="1:16" s="291" customFormat="1">
      <c r="A65" s="297" t="str">
        <f>$A$6</f>
        <v xml:space="preserve">DATA: _X_ BASE PERIOD _X_ FORECASTED PERIOD     </v>
      </c>
      <c r="B65" s="293"/>
      <c r="O65" s="312" t="str">
        <f>$O$6</f>
        <v>WPB-2.1.C</v>
      </c>
      <c r="P65" s="312"/>
    </row>
    <row r="66" spans="1:16" s="291" customFormat="1">
      <c r="A66" s="297" t="str">
        <f>$A$7</f>
        <v>TYPE OF FILING:___X___ORIGINAL______UPDATED</v>
      </c>
      <c r="B66" s="293"/>
      <c r="O66" s="312" t="s">
        <v>2221</v>
      </c>
      <c r="P66" s="312"/>
    </row>
    <row r="67" spans="1:16" s="291" customFormat="1">
      <c r="A67" s="297" t="str">
        <f>$A$8</f>
        <v>WORKPAPER REFERENCE NO(S).:</v>
      </c>
      <c r="B67" s="293"/>
      <c r="O67" s="312" t="str">
        <f>$O$8</f>
        <v>WITNESS: GORE</v>
      </c>
    </row>
    <row r="68" spans="1:16">
      <c r="A68" s="918"/>
      <c r="B68" s="919"/>
      <c r="C68" s="918"/>
      <c r="D68" s="918"/>
      <c r="E68" s="918"/>
      <c r="F68" s="918"/>
      <c r="G68" s="918"/>
      <c r="H68" s="918"/>
      <c r="I68" s="918"/>
      <c r="J68" s="918"/>
      <c r="K68" s="918"/>
      <c r="L68" s="918"/>
      <c r="M68" s="918"/>
      <c r="N68" s="918"/>
      <c r="O68" s="920"/>
    </row>
    <row r="69" spans="1:16">
      <c r="D69" s="1311" t="s">
        <v>1768</v>
      </c>
      <c r="E69" s="1311"/>
      <c r="F69" s="1311"/>
      <c r="G69" s="1311"/>
      <c r="I69" s="1311" t="s">
        <v>1769</v>
      </c>
      <c r="J69" s="1311"/>
      <c r="K69" s="1311"/>
      <c r="L69" s="1311"/>
      <c r="M69" s="1311"/>
      <c r="N69" s="1311"/>
      <c r="O69" s="1311"/>
    </row>
    <row r="70" spans="1:16">
      <c r="D70" s="360">
        <v>44927</v>
      </c>
      <c r="G70" s="360">
        <f>D70+30</f>
        <v>44957</v>
      </c>
      <c r="I70" s="360">
        <f>D70</f>
        <v>44927</v>
      </c>
      <c r="O70" s="360">
        <f>G70</f>
        <v>44957</v>
      </c>
    </row>
    <row r="71" spans="1:16">
      <c r="D71" s="361" t="s">
        <v>1757</v>
      </c>
      <c r="G71" s="361" t="s">
        <v>1757</v>
      </c>
      <c r="I71" s="361" t="s">
        <v>1758</v>
      </c>
      <c r="J71" s="361" t="s">
        <v>488</v>
      </c>
      <c r="L71" s="361" t="s">
        <v>1758</v>
      </c>
      <c r="O71" s="361" t="s">
        <v>1758</v>
      </c>
    </row>
    <row r="72" spans="1:16">
      <c r="A72" s="361" t="s">
        <v>1770</v>
      </c>
      <c r="B72" s="361" t="s">
        <v>368</v>
      </c>
      <c r="C72" s="361"/>
      <c r="D72" s="361" t="s">
        <v>437</v>
      </c>
      <c r="G72" s="361" t="s">
        <v>439</v>
      </c>
      <c r="I72" s="361" t="s">
        <v>437</v>
      </c>
      <c r="J72" s="361" t="s">
        <v>1771</v>
      </c>
      <c r="K72" s="361" t="s">
        <v>1772</v>
      </c>
      <c r="L72" s="361" t="s">
        <v>1759</v>
      </c>
      <c r="N72" s="361" t="s">
        <v>1760</v>
      </c>
      <c r="O72" s="361" t="s">
        <v>439</v>
      </c>
    </row>
    <row r="73" spans="1:16">
      <c r="A73" s="364" t="s">
        <v>316</v>
      </c>
      <c r="B73" s="364" t="s">
        <v>316</v>
      </c>
      <c r="C73" s="364" t="s">
        <v>451</v>
      </c>
      <c r="D73" s="364" t="s">
        <v>441</v>
      </c>
      <c r="E73" s="364" t="s">
        <v>442</v>
      </c>
      <c r="F73" s="364" t="s">
        <v>443</v>
      </c>
      <c r="G73" s="364" t="s">
        <v>441</v>
      </c>
      <c r="I73" s="364" t="s">
        <v>441</v>
      </c>
      <c r="J73" s="364" t="s">
        <v>1773</v>
      </c>
      <c r="K73" s="364" t="s">
        <v>1771</v>
      </c>
      <c r="L73" s="364" t="s">
        <v>355</v>
      </c>
      <c r="M73" s="364" t="s">
        <v>443</v>
      </c>
      <c r="N73" s="364" t="s">
        <v>1763</v>
      </c>
      <c r="O73" s="364" t="s">
        <v>441</v>
      </c>
    </row>
    <row r="74" spans="1:16">
      <c r="D74" s="361" t="s">
        <v>532</v>
      </c>
      <c r="E74" s="361" t="s">
        <v>541</v>
      </c>
      <c r="F74" s="361" t="s">
        <v>542</v>
      </c>
      <c r="G74" s="361" t="s">
        <v>1764</v>
      </c>
      <c r="I74" s="334" t="str">
        <f>"(5)"</f>
        <v>(5)</v>
      </c>
      <c r="J74" s="334" t="str">
        <f>"(6)"</f>
        <v>(6)</v>
      </c>
      <c r="K74" s="334" t="str">
        <f>"(7)"</f>
        <v>(7)</v>
      </c>
      <c r="L74" s="334" t="str">
        <f>"(8)"</f>
        <v>(8)</v>
      </c>
      <c r="M74" s="334" t="str">
        <f>"(9)"</f>
        <v>(9)</v>
      </c>
      <c r="N74" s="334" t="str">
        <f>"(10)"</f>
        <v>(10)</v>
      </c>
      <c r="O74" s="334" t="str">
        <f>"(11=5+7+8+9+10)"</f>
        <v>(11=5+7+8+9+10)</v>
      </c>
    </row>
    <row r="75" spans="1:16">
      <c r="D75" s="361" t="s">
        <v>320</v>
      </c>
      <c r="E75" s="361" t="s">
        <v>320</v>
      </c>
      <c r="F75" s="361" t="s">
        <v>320</v>
      </c>
      <c r="G75" s="361" t="s">
        <v>320</v>
      </c>
      <c r="I75" s="334" t="s">
        <v>320</v>
      </c>
      <c r="J75" s="334" t="s">
        <v>529</v>
      </c>
      <c r="K75" s="334" t="s">
        <v>320</v>
      </c>
      <c r="L75" s="334" t="s">
        <v>320</v>
      </c>
      <c r="M75" s="334" t="s">
        <v>320</v>
      </c>
      <c r="N75" s="334" t="s">
        <v>320</v>
      </c>
      <c r="O75" s="334" t="s">
        <v>320</v>
      </c>
    </row>
    <row r="76" spans="1:16">
      <c r="A76" s="361">
        <v>1</v>
      </c>
      <c r="B76" s="363" t="s">
        <v>411</v>
      </c>
      <c r="D76" s="361"/>
      <c r="E76" s="361"/>
      <c r="F76" s="361"/>
      <c r="G76" s="361"/>
      <c r="I76" s="334"/>
      <c r="J76" s="334"/>
      <c r="K76" s="334"/>
      <c r="L76" s="334"/>
      <c r="M76" s="334"/>
      <c r="N76" s="334"/>
      <c r="O76" s="334"/>
    </row>
    <row r="77" spans="1:16">
      <c r="A77" s="361">
        <f>A76+1</f>
        <v>2</v>
      </c>
      <c r="B77" s="365">
        <v>391.1</v>
      </c>
      <c r="C77" s="358" t="s">
        <v>412</v>
      </c>
      <c r="D77" s="1243">
        <v>735526.56</v>
      </c>
      <c r="E77" s="1243">
        <v>0</v>
      </c>
      <c r="F77" s="1243">
        <v>0</v>
      </c>
      <c r="G77" s="1243">
        <f>SUM(D77:F77)</f>
        <v>735526.56</v>
      </c>
      <c r="H77" s="1243"/>
      <c r="I77" s="1245">
        <v>60533.72</v>
      </c>
      <c r="J77" s="1243"/>
      <c r="K77" s="1243">
        <v>10786.61</v>
      </c>
      <c r="L77" s="1243">
        <v>0</v>
      </c>
      <c r="M77" s="1243">
        <f>F77</f>
        <v>0</v>
      </c>
      <c r="N77" s="1243">
        <v>0</v>
      </c>
      <c r="O77" s="1243">
        <f t="shared" ref="O77:O90" si="8">I77+K77+L77+M77+N77</f>
        <v>71320.33</v>
      </c>
    </row>
    <row r="78" spans="1:16">
      <c r="A78" s="361">
        <f t="shared" ref="A78:A91" si="9">A77+1</f>
        <v>3</v>
      </c>
      <c r="B78" s="365">
        <v>391.11</v>
      </c>
      <c r="C78" s="358" t="s">
        <v>413</v>
      </c>
      <c r="D78" s="1243">
        <v>0</v>
      </c>
      <c r="E78" s="1243">
        <v>0</v>
      </c>
      <c r="F78" s="1243">
        <v>0</v>
      </c>
      <c r="G78" s="1243">
        <f t="shared" ref="G78:G85" si="10">SUM(D78:F78)</f>
        <v>0</v>
      </c>
      <c r="H78" s="1243"/>
      <c r="I78" s="1245">
        <v>-20654.95</v>
      </c>
      <c r="J78" s="1243"/>
      <c r="K78" s="1243">
        <v>860.58</v>
      </c>
      <c r="L78" s="1243">
        <v>0</v>
      </c>
      <c r="M78" s="1243">
        <f t="shared" ref="M78:M90" si="11">F78</f>
        <v>0</v>
      </c>
      <c r="N78" s="1243">
        <v>0</v>
      </c>
      <c r="O78" s="1243">
        <f t="shared" si="8"/>
        <v>-19794.37</v>
      </c>
    </row>
    <row r="79" spans="1:16">
      <c r="A79" s="361">
        <f t="shared" si="9"/>
        <v>4</v>
      </c>
      <c r="B79" s="365">
        <v>391.12</v>
      </c>
      <c r="C79" s="358" t="s">
        <v>414</v>
      </c>
      <c r="D79" s="1243">
        <v>115834.19</v>
      </c>
      <c r="E79" s="1243">
        <v>0</v>
      </c>
      <c r="F79" s="1243">
        <v>0</v>
      </c>
      <c r="G79" s="1243">
        <f t="shared" si="10"/>
        <v>115834.19</v>
      </c>
      <c r="H79" s="1243"/>
      <c r="I79" s="1245">
        <v>52046.090000000004</v>
      </c>
      <c r="J79" s="1243"/>
      <c r="K79" s="1243">
        <v>4770.99</v>
      </c>
      <c r="L79" s="1243">
        <v>0</v>
      </c>
      <c r="M79" s="1243">
        <f t="shared" si="11"/>
        <v>0</v>
      </c>
      <c r="N79" s="1243">
        <v>0</v>
      </c>
      <c r="O79" s="1243">
        <f t="shared" si="8"/>
        <v>56817.08</v>
      </c>
    </row>
    <row r="80" spans="1:16">
      <c r="A80" s="361">
        <f t="shared" si="9"/>
        <v>5</v>
      </c>
      <c r="B80" s="365">
        <v>392.2</v>
      </c>
      <c r="C80" s="358" t="s">
        <v>524</v>
      </c>
      <c r="D80" s="1243">
        <v>95778</v>
      </c>
      <c r="E80" s="1243">
        <v>0</v>
      </c>
      <c r="F80" s="1243">
        <v>0</v>
      </c>
      <c r="G80" s="1243">
        <f t="shared" si="10"/>
        <v>95778</v>
      </c>
      <c r="H80" s="1243"/>
      <c r="I80" s="1245">
        <v>63117.93</v>
      </c>
      <c r="J80" s="1243"/>
      <c r="K80" s="1243">
        <v>71.84</v>
      </c>
      <c r="L80" s="1243">
        <v>0</v>
      </c>
      <c r="M80" s="1243">
        <f t="shared" si="11"/>
        <v>0</v>
      </c>
      <c r="N80" s="1243">
        <v>0</v>
      </c>
      <c r="O80" s="1243">
        <f t="shared" si="8"/>
        <v>63189.77</v>
      </c>
    </row>
    <row r="81" spans="1:15">
      <c r="A81" s="361">
        <f t="shared" si="9"/>
        <v>6</v>
      </c>
      <c r="B81" s="365">
        <v>392.21</v>
      </c>
      <c r="C81" s="358" t="s">
        <v>415</v>
      </c>
      <c r="D81" s="1243">
        <v>24462.2</v>
      </c>
      <c r="E81" s="1243">
        <v>0</v>
      </c>
      <c r="F81" s="1243">
        <v>0</v>
      </c>
      <c r="G81" s="1243">
        <f t="shared" si="10"/>
        <v>24462.2</v>
      </c>
      <c r="H81" s="1243"/>
      <c r="I81" s="1245">
        <v>44754.01</v>
      </c>
      <c r="J81" s="1243"/>
      <c r="K81" s="1243">
        <v>0</v>
      </c>
      <c r="L81" s="1243">
        <v>0</v>
      </c>
      <c r="M81" s="1243">
        <f t="shared" si="11"/>
        <v>0</v>
      </c>
      <c r="N81" s="1243">
        <v>0</v>
      </c>
      <c r="O81" s="1243">
        <f t="shared" si="8"/>
        <v>44754.01</v>
      </c>
    </row>
    <row r="82" spans="1:15">
      <c r="A82" s="361">
        <f t="shared" si="9"/>
        <v>7</v>
      </c>
      <c r="B82" s="365">
        <v>393</v>
      </c>
      <c r="C82" s="358" t="s">
        <v>416</v>
      </c>
      <c r="D82" s="1243">
        <v>0</v>
      </c>
      <c r="E82" s="1243">
        <v>0</v>
      </c>
      <c r="F82" s="1243">
        <v>0</v>
      </c>
      <c r="G82" s="1243">
        <f t="shared" si="10"/>
        <v>0</v>
      </c>
      <c r="H82" s="1243"/>
      <c r="I82" s="1245">
        <v>0</v>
      </c>
      <c r="J82" s="1243"/>
      <c r="K82" s="1243">
        <v>0</v>
      </c>
      <c r="L82" s="1243">
        <v>0</v>
      </c>
      <c r="M82" s="1243">
        <f t="shared" si="11"/>
        <v>0</v>
      </c>
      <c r="N82" s="1243">
        <v>0</v>
      </c>
      <c r="O82" s="1243">
        <f t="shared" si="8"/>
        <v>0</v>
      </c>
    </row>
    <row r="83" spans="1:15">
      <c r="A83" s="361">
        <f t="shared" si="9"/>
        <v>8</v>
      </c>
      <c r="B83" s="365">
        <v>394.1</v>
      </c>
      <c r="C83" s="358" t="s">
        <v>417</v>
      </c>
      <c r="D83" s="1243">
        <v>9739</v>
      </c>
      <c r="E83" s="1243">
        <v>0</v>
      </c>
      <c r="F83" s="1243">
        <v>0</v>
      </c>
      <c r="G83" s="1243">
        <f t="shared" si="10"/>
        <v>9739</v>
      </c>
      <c r="H83" s="1243"/>
      <c r="I83" s="1245">
        <v>3685.63</v>
      </c>
      <c r="J83" s="1243"/>
      <c r="K83" s="1243">
        <v>32.46</v>
      </c>
      <c r="L83" s="1243">
        <v>0</v>
      </c>
      <c r="M83" s="1243">
        <f t="shared" si="11"/>
        <v>0</v>
      </c>
      <c r="N83" s="1243">
        <v>0</v>
      </c>
      <c r="O83" s="1243">
        <f t="shared" si="8"/>
        <v>3718.09</v>
      </c>
    </row>
    <row r="84" spans="1:15">
      <c r="A84" s="361">
        <f t="shared" si="9"/>
        <v>9</v>
      </c>
      <c r="B84" s="365">
        <v>394.11</v>
      </c>
      <c r="C84" s="358" t="s">
        <v>418</v>
      </c>
      <c r="D84" s="1243">
        <v>0</v>
      </c>
      <c r="E84" s="1243">
        <v>0</v>
      </c>
      <c r="F84" s="1243">
        <v>0</v>
      </c>
      <c r="G84" s="1243">
        <f t="shared" si="10"/>
        <v>0</v>
      </c>
      <c r="H84" s="1243"/>
      <c r="I84" s="1245">
        <v>-22347</v>
      </c>
      <c r="J84" s="1243"/>
      <c r="K84" s="1243">
        <v>-1862.25</v>
      </c>
      <c r="L84" s="1243">
        <v>0</v>
      </c>
      <c r="M84" s="1243">
        <f t="shared" si="11"/>
        <v>0</v>
      </c>
      <c r="N84" s="1243">
        <v>0</v>
      </c>
      <c r="O84" s="1243">
        <f t="shared" si="8"/>
        <v>-24209.25</v>
      </c>
    </row>
    <row r="85" spans="1:15">
      <c r="A85" s="361">
        <f t="shared" si="9"/>
        <v>10</v>
      </c>
      <c r="B85" s="365">
        <v>394.13</v>
      </c>
      <c r="C85" s="358" t="s">
        <v>515</v>
      </c>
      <c r="D85" s="1243">
        <v>0</v>
      </c>
      <c r="E85" s="1243">
        <v>0</v>
      </c>
      <c r="F85" s="1243">
        <v>0</v>
      </c>
      <c r="G85" s="1243">
        <f t="shared" si="10"/>
        <v>0</v>
      </c>
      <c r="H85" s="1243"/>
      <c r="I85" s="1245">
        <v>37937.360000000001</v>
      </c>
      <c r="J85" s="1243"/>
      <c r="K85" s="1243">
        <v>0</v>
      </c>
      <c r="L85" s="1243">
        <v>0</v>
      </c>
      <c r="M85" s="1243">
        <f t="shared" si="11"/>
        <v>0</v>
      </c>
      <c r="N85" s="1243">
        <v>0</v>
      </c>
      <c r="O85" s="1243">
        <f t="shared" si="8"/>
        <v>37937.360000000001</v>
      </c>
    </row>
    <row r="86" spans="1:15">
      <c r="A86" s="361">
        <f t="shared" si="9"/>
        <v>11</v>
      </c>
      <c r="B86" s="365">
        <v>394.2</v>
      </c>
      <c r="C86" s="358" t="s">
        <v>420</v>
      </c>
      <c r="D86" s="1243">
        <v>0</v>
      </c>
      <c r="E86" s="1243">
        <v>0</v>
      </c>
      <c r="F86" s="1243">
        <v>0</v>
      </c>
      <c r="G86" s="1243">
        <f>SUM(D86:F86)</f>
        <v>0</v>
      </c>
      <c r="H86" s="1243"/>
      <c r="I86" s="1245">
        <v>185.21</v>
      </c>
      <c r="J86" s="1243"/>
      <c r="K86" s="1243">
        <v>0</v>
      </c>
      <c r="L86" s="1243">
        <v>0</v>
      </c>
      <c r="M86" s="1243">
        <f t="shared" si="11"/>
        <v>0</v>
      </c>
      <c r="N86" s="1243">
        <v>0</v>
      </c>
      <c r="O86" s="1243">
        <f t="shared" si="8"/>
        <v>185.21</v>
      </c>
    </row>
    <row r="87" spans="1:15">
      <c r="A87" s="361">
        <f t="shared" si="9"/>
        <v>12</v>
      </c>
      <c r="B87" s="365">
        <v>394.3</v>
      </c>
      <c r="C87" s="358" t="s">
        <v>1602</v>
      </c>
      <c r="D87" s="1243">
        <v>4683300.95</v>
      </c>
      <c r="E87" s="1243">
        <v>44799.16</v>
      </c>
      <c r="F87" s="1243">
        <v>0</v>
      </c>
      <c r="G87" s="1243">
        <f>SUM(D87:F87)</f>
        <v>4728100.1100000003</v>
      </c>
      <c r="H87" s="1243"/>
      <c r="I87" s="1245">
        <v>1514423.96</v>
      </c>
      <c r="J87" s="1243"/>
      <c r="K87" s="1243">
        <v>15685.67</v>
      </c>
      <c r="L87" s="1243">
        <v>0</v>
      </c>
      <c r="M87" s="1243">
        <f t="shared" si="11"/>
        <v>0</v>
      </c>
      <c r="N87" s="1243">
        <v>0</v>
      </c>
      <c r="O87" s="1243">
        <f t="shared" si="8"/>
        <v>1530109.63</v>
      </c>
    </row>
    <row r="88" spans="1:15">
      <c r="A88" s="361">
        <f t="shared" si="9"/>
        <v>13</v>
      </c>
      <c r="B88" s="365">
        <v>395</v>
      </c>
      <c r="C88" s="358" t="s">
        <v>422</v>
      </c>
      <c r="D88" s="1243">
        <v>4162.05</v>
      </c>
      <c r="E88" s="1243">
        <v>0</v>
      </c>
      <c r="F88" s="1243">
        <v>0</v>
      </c>
      <c r="G88" s="1243">
        <f>SUM(D88:F88)</f>
        <v>4162.05</v>
      </c>
      <c r="H88" s="1243"/>
      <c r="I88" s="1245">
        <v>3843.94</v>
      </c>
      <c r="J88" s="1243"/>
      <c r="K88" s="1243">
        <v>17.670000000000002</v>
      </c>
      <c r="L88" s="1243">
        <v>0</v>
      </c>
      <c r="M88" s="1243">
        <f t="shared" si="11"/>
        <v>0</v>
      </c>
      <c r="N88" s="1243">
        <v>0</v>
      </c>
      <c r="O88" s="1243">
        <f t="shared" si="8"/>
        <v>3861.61</v>
      </c>
    </row>
    <row r="89" spans="1:15">
      <c r="A89" s="361">
        <f t="shared" si="9"/>
        <v>14</v>
      </c>
      <c r="B89" s="365">
        <v>396</v>
      </c>
      <c r="C89" s="358" t="s">
        <v>423</v>
      </c>
      <c r="D89" s="1243">
        <v>185547</v>
      </c>
      <c r="E89" s="1243">
        <v>0</v>
      </c>
      <c r="F89" s="1243">
        <v>0</v>
      </c>
      <c r="G89" s="1243">
        <f>SUM(D89:F89)</f>
        <v>185547</v>
      </c>
      <c r="H89" s="1243"/>
      <c r="I89" s="1245">
        <v>171938.14</v>
      </c>
      <c r="J89" s="1243"/>
      <c r="K89" s="1243">
        <v>0</v>
      </c>
      <c r="L89" s="1243">
        <v>0</v>
      </c>
      <c r="M89" s="1243">
        <f t="shared" si="11"/>
        <v>0</v>
      </c>
      <c r="N89" s="1243">
        <v>0</v>
      </c>
      <c r="O89" s="1243">
        <f t="shared" si="8"/>
        <v>171938.14</v>
      </c>
    </row>
    <row r="90" spans="1:15">
      <c r="A90" s="361">
        <f t="shared" si="9"/>
        <v>15</v>
      </c>
      <c r="B90" s="365">
        <v>398</v>
      </c>
      <c r="C90" s="358" t="s">
        <v>424</v>
      </c>
      <c r="D90" s="1244">
        <v>101687.15000000001</v>
      </c>
      <c r="E90" s="1244">
        <v>0</v>
      </c>
      <c r="F90" s="1244">
        <v>0</v>
      </c>
      <c r="G90" s="1244">
        <f>SUM(D90:F90)</f>
        <v>101687.15000000001</v>
      </c>
      <c r="H90" s="1243"/>
      <c r="I90" s="1246">
        <v>60470.57</v>
      </c>
      <c r="J90" s="1243"/>
      <c r="K90" s="1244">
        <v>1043.6300000000001</v>
      </c>
      <c r="L90" s="1244">
        <v>0</v>
      </c>
      <c r="M90" s="1244">
        <f t="shared" si="11"/>
        <v>0</v>
      </c>
      <c r="N90" s="1244">
        <v>0</v>
      </c>
      <c r="O90" s="1244">
        <f t="shared" si="8"/>
        <v>61514.2</v>
      </c>
    </row>
    <row r="91" spans="1:15">
      <c r="A91" s="361">
        <f t="shared" si="9"/>
        <v>16</v>
      </c>
      <c r="B91" s="367"/>
      <c r="C91" s="358" t="s">
        <v>425</v>
      </c>
      <c r="D91" s="1243">
        <f>SUM(D77:D90)</f>
        <v>5956037.1000000006</v>
      </c>
      <c r="E91" s="1243">
        <f>SUM(E77:E90)</f>
        <v>44799.16</v>
      </c>
      <c r="F91" s="1243">
        <f>SUM(F77:F90)</f>
        <v>0</v>
      </c>
      <c r="G91" s="1243">
        <f>SUM(G77:G90)</f>
        <v>6000836.2600000007</v>
      </c>
      <c r="H91" s="1243"/>
      <c r="I91" s="1243">
        <f>SUM(I77:I90)</f>
        <v>1969934.61</v>
      </c>
      <c r="J91" s="1243"/>
      <c r="K91" s="1243">
        <f>SUM(K77:K90)</f>
        <v>31407.200000000001</v>
      </c>
      <c r="L91" s="1243">
        <f>SUM(L77:L90)</f>
        <v>0</v>
      </c>
      <c r="M91" s="1243">
        <f>SUM(M77:M90)</f>
        <v>0</v>
      </c>
      <c r="N91" s="1243">
        <f>SUM(N77:N90)</f>
        <v>0</v>
      </c>
      <c r="O91" s="1243">
        <f>SUM(O77:O90)</f>
        <v>2001341.8099999998</v>
      </c>
    </row>
    <row r="92" spans="1:15">
      <c r="A92" s="361"/>
      <c r="D92" s="1243"/>
      <c r="E92" s="1243"/>
      <c r="F92" s="1243"/>
      <c r="G92" s="1243"/>
      <c r="H92" s="1243"/>
      <c r="I92" s="1243"/>
      <c r="J92" s="1243"/>
      <c r="K92" s="1243"/>
      <c r="L92" s="1243"/>
      <c r="M92" s="1243"/>
      <c r="N92" s="1243"/>
      <c r="O92" s="1243"/>
    </row>
    <row r="93" spans="1:15">
      <c r="A93" s="361">
        <f>A91+1</f>
        <v>17</v>
      </c>
      <c r="B93" s="363" t="s">
        <v>1038</v>
      </c>
      <c r="D93" s="1243"/>
      <c r="E93" s="1243"/>
      <c r="F93" s="1243"/>
      <c r="G93" s="1243"/>
      <c r="H93" s="1243"/>
      <c r="I93" s="1243"/>
      <c r="J93" s="1243"/>
      <c r="K93" s="1243"/>
      <c r="L93" s="1243"/>
      <c r="M93" s="1243"/>
      <c r="N93" s="1243"/>
      <c r="O93" s="1243"/>
    </row>
    <row r="94" spans="1:15">
      <c r="A94" s="361">
        <f>A93+1</f>
        <v>18</v>
      </c>
      <c r="B94" s="365">
        <v>378.21</v>
      </c>
      <c r="C94" s="358" t="s">
        <v>1037</v>
      </c>
      <c r="D94" s="1244">
        <v>-777092</v>
      </c>
      <c r="E94" s="1244">
        <v>0</v>
      </c>
      <c r="F94" s="1244">
        <v>0</v>
      </c>
      <c r="G94" s="1244">
        <f>SUM(D94:F94)</f>
        <v>-777092</v>
      </c>
      <c r="H94" s="1243"/>
      <c r="I94" s="1244">
        <v>-178589.83000000002</v>
      </c>
      <c r="J94" s="1243"/>
      <c r="K94" s="1244">
        <v>-2158.59</v>
      </c>
      <c r="L94" s="1244">
        <v>0</v>
      </c>
      <c r="M94" s="1244">
        <f>F94</f>
        <v>0</v>
      </c>
      <c r="N94" s="1244">
        <v>0</v>
      </c>
      <c r="O94" s="1244">
        <f>I94+K94+L94+M94+N94</f>
        <v>-180748.42</v>
      </c>
    </row>
    <row r="95" spans="1:15">
      <c r="A95" s="361">
        <f>A94+1</f>
        <v>19</v>
      </c>
      <c r="B95" s="370"/>
      <c r="C95" s="358" t="s">
        <v>1579</v>
      </c>
      <c r="D95" s="1243">
        <f>SUM(D94)</f>
        <v>-777092</v>
      </c>
      <c r="E95" s="1243">
        <f>SUM(E94)</f>
        <v>0</v>
      </c>
      <c r="F95" s="1243">
        <f>SUM(F94)</f>
        <v>0</v>
      </c>
      <c r="G95" s="1243">
        <f>SUM(G94)</f>
        <v>-777092</v>
      </c>
      <c r="H95" s="1243"/>
      <c r="I95" s="1243">
        <f>SUM(I94)</f>
        <v>-178589.83000000002</v>
      </c>
      <c r="J95" s="1243"/>
      <c r="K95" s="1243">
        <f>SUM(K94)</f>
        <v>-2158.59</v>
      </c>
      <c r="L95" s="1243">
        <f>SUM(L94)</f>
        <v>0</v>
      </c>
      <c r="M95" s="1243">
        <f>SUM(M94)</f>
        <v>0</v>
      </c>
      <c r="N95" s="1243">
        <f>SUM(N94)</f>
        <v>0</v>
      </c>
      <c r="O95" s="1243">
        <f>SUM(O94)</f>
        <v>-180748.42</v>
      </c>
    </row>
    <row r="96" spans="1:15">
      <c r="A96" s="361"/>
      <c r="B96" s="370"/>
      <c r="D96" s="1243"/>
      <c r="E96" s="1243"/>
      <c r="F96" s="1243"/>
      <c r="G96" s="1243"/>
      <c r="H96" s="1243"/>
      <c r="I96" s="1243"/>
      <c r="J96" s="1243"/>
      <c r="K96" s="1243"/>
      <c r="L96" s="1243"/>
      <c r="M96" s="1243"/>
      <c r="N96" s="1243"/>
      <c r="O96" s="1243"/>
    </row>
    <row r="97" spans="1:15">
      <c r="A97" s="361">
        <f>A95+1</f>
        <v>20</v>
      </c>
      <c r="B97" s="370"/>
      <c r="C97" s="358" t="s">
        <v>2037</v>
      </c>
      <c r="D97" s="1243">
        <f>D24+D57+D91+D95</f>
        <v>718244952.80000007</v>
      </c>
      <c r="E97" s="1243">
        <f>E24+E57+E91+E95</f>
        <v>1894284.62</v>
      </c>
      <c r="F97" s="1243">
        <f>F24+F57+F91+F95</f>
        <v>-330986.76315623609</v>
      </c>
      <c r="G97" s="1243">
        <f>G24+G57+G91+G95</f>
        <v>719808250.65684378</v>
      </c>
      <c r="H97" s="1243"/>
      <c r="I97" s="1243">
        <f>I24+I57+I91+I95</f>
        <v>166384359.16999996</v>
      </c>
      <c r="J97" s="1243"/>
      <c r="K97" s="1243">
        <f>K24+K57+K91+K95</f>
        <v>1683584.7280000001</v>
      </c>
      <c r="L97" s="1243">
        <f>L24+L57+L91+L95</f>
        <v>0</v>
      </c>
      <c r="M97" s="1243">
        <f>M24+M57+M91+M95</f>
        <v>-330982.18315623607</v>
      </c>
      <c r="N97" s="1243">
        <f>N24+N57+N91+N95</f>
        <v>-129549.80563600005</v>
      </c>
      <c r="O97" s="1243">
        <f>O24+O57+O91+O95</f>
        <v>167607411.90920785</v>
      </c>
    </row>
    <row r="98" spans="1:15">
      <c r="A98" s="361"/>
      <c r="B98" s="370"/>
      <c r="D98" s="1243"/>
      <c r="E98" s="1243"/>
      <c r="F98" s="1243"/>
      <c r="G98" s="1243"/>
      <c r="H98" s="1243"/>
      <c r="I98" s="1243"/>
      <c r="J98" s="1243"/>
      <c r="K98" s="1243"/>
      <c r="L98" s="1243"/>
      <c r="M98" s="1243"/>
      <c r="N98" s="1243"/>
      <c r="O98" s="1243"/>
    </row>
    <row r="99" spans="1:15">
      <c r="A99" s="361">
        <f>A97+1</f>
        <v>21</v>
      </c>
      <c r="B99" s="370"/>
      <c r="C99" s="358" t="s">
        <v>2038</v>
      </c>
      <c r="D99" s="1243">
        <v>0</v>
      </c>
      <c r="E99" s="1249">
        <v>0</v>
      </c>
      <c r="F99" s="1249">
        <v>0</v>
      </c>
      <c r="G99" s="1249">
        <f>SUM(D99:F99)</f>
        <v>0</v>
      </c>
      <c r="H99" s="1243"/>
      <c r="I99" s="1243">
        <v>-6164551.3499999996</v>
      </c>
      <c r="J99" s="1243"/>
      <c r="K99" s="1243"/>
      <c r="L99" s="1243"/>
      <c r="M99" s="1243"/>
      <c r="N99" s="1243">
        <v>513152.56</v>
      </c>
      <c r="O99" s="1243">
        <f>I99+K99+L99+M99+N99</f>
        <v>-5651398.79</v>
      </c>
    </row>
    <row r="100" spans="1:15">
      <c r="A100" s="361"/>
      <c r="B100" s="370"/>
      <c r="C100" s="368"/>
      <c r="D100" s="1243"/>
      <c r="E100" s="1243"/>
      <c r="F100" s="1243"/>
      <c r="G100" s="1243"/>
      <c r="H100" s="1243"/>
      <c r="I100" s="1243"/>
      <c r="J100" s="1243"/>
      <c r="K100" s="1243"/>
      <c r="L100" s="1243"/>
      <c r="M100" s="1243"/>
      <c r="N100" s="1243"/>
      <c r="O100" s="1243"/>
    </row>
    <row r="101" spans="1:15">
      <c r="A101" s="361">
        <f>A99+1</f>
        <v>22</v>
      </c>
      <c r="C101" s="358" t="s">
        <v>1603</v>
      </c>
      <c r="D101" s="1247">
        <f>D97+D99</f>
        <v>718244952.80000007</v>
      </c>
      <c r="E101" s="1247">
        <f t="shared" ref="E101:O101" si="12">E97+E99</f>
        <v>1894284.62</v>
      </c>
      <c r="F101" s="1247">
        <f t="shared" si="12"/>
        <v>-330986.76315623609</v>
      </c>
      <c r="G101" s="1247">
        <f t="shared" si="12"/>
        <v>719808250.65684378</v>
      </c>
      <c r="H101" s="1243"/>
      <c r="I101" s="1247">
        <f t="shared" si="12"/>
        <v>160219807.81999996</v>
      </c>
      <c r="J101" s="1243"/>
      <c r="K101" s="1247">
        <f t="shared" si="12"/>
        <v>1683584.7280000001</v>
      </c>
      <c r="L101" s="1247">
        <f t="shared" si="12"/>
        <v>0</v>
      </c>
      <c r="M101" s="1247">
        <f t="shared" si="12"/>
        <v>-330982.18315623607</v>
      </c>
      <c r="N101" s="1247">
        <f t="shared" si="12"/>
        <v>383602.75436399993</v>
      </c>
      <c r="O101" s="1247">
        <f t="shared" si="12"/>
        <v>161956013.11920786</v>
      </c>
    </row>
    <row r="102" spans="1:15">
      <c r="A102" s="361"/>
      <c r="D102" s="1243"/>
      <c r="E102" s="1243"/>
      <c r="F102" s="1243"/>
      <c r="G102" s="1243"/>
      <c r="H102" s="1243"/>
      <c r="I102" s="1243"/>
      <c r="J102" s="1243"/>
      <c r="K102" s="1243"/>
      <c r="L102" s="1243"/>
      <c r="M102" s="1243"/>
      <c r="N102" s="1243"/>
      <c r="O102" s="1243"/>
    </row>
    <row r="103" spans="1:15">
      <c r="A103" s="361"/>
      <c r="D103" s="1243"/>
      <c r="E103" s="1243"/>
      <c r="F103" s="1243"/>
      <c r="G103" s="1243"/>
      <c r="H103" s="1243"/>
      <c r="I103" s="1243"/>
      <c r="J103" s="1243"/>
      <c r="K103" s="1243"/>
      <c r="L103" s="1243"/>
      <c r="M103" s="1243"/>
      <c r="N103" s="1243"/>
      <c r="O103" s="1243"/>
    </row>
    <row r="104" spans="1:15">
      <c r="A104" s="361">
        <f>A101+1</f>
        <v>23</v>
      </c>
      <c r="B104" s="363" t="s">
        <v>1774</v>
      </c>
      <c r="D104" s="1243"/>
      <c r="E104" s="1243"/>
      <c r="F104" s="1243"/>
      <c r="G104" s="1243"/>
      <c r="H104" s="1243"/>
      <c r="I104" s="1243"/>
      <c r="J104" s="1243"/>
      <c r="K104" s="1243"/>
      <c r="L104" s="1243"/>
      <c r="M104" s="1243"/>
      <c r="N104" s="1243"/>
      <c r="O104" s="1243"/>
    </row>
    <row r="105" spans="1:15">
      <c r="A105" s="361">
        <f t="shared" ref="A105:A110" si="13">A104+1</f>
        <v>24</v>
      </c>
      <c r="B105" s="365">
        <v>376</v>
      </c>
      <c r="C105" s="358" t="s">
        <v>1775</v>
      </c>
      <c r="D105" s="1243">
        <v>0</v>
      </c>
      <c r="E105" s="1243">
        <f>'WPB-2.1.D SMRP'!E18</f>
        <v>79805.64</v>
      </c>
      <c r="F105" s="1243">
        <f>'WPB-2.1.D SMRP'!F18</f>
        <v>0</v>
      </c>
      <c r="G105" s="1243">
        <f>SUM(D105:F105)</f>
        <v>79805.64</v>
      </c>
      <c r="H105" s="1243"/>
      <c r="I105" s="1243">
        <f>'WPB-2.1.D SMRP'!I18</f>
        <v>0</v>
      </c>
      <c r="J105" s="1243"/>
      <c r="K105" s="1243">
        <f>'WPB-2.1.D SMRP'!K18</f>
        <v>57.859000000000002</v>
      </c>
      <c r="L105" s="1243">
        <v>0</v>
      </c>
      <c r="M105" s="1243">
        <f>F105</f>
        <v>0</v>
      </c>
      <c r="N105" s="1243">
        <f>'WPB-2.1.D SMRP'!N18</f>
        <v>0</v>
      </c>
      <c r="O105" s="1243">
        <f>I105+K105+L105+M105+N105</f>
        <v>57.859000000000002</v>
      </c>
    </row>
    <row r="106" spans="1:15">
      <c r="A106" s="361">
        <f t="shared" si="13"/>
        <v>25</v>
      </c>
      <c r="B106" s="365">
        <v>378.2</v>
      </c>
      <c r="C106" s="358" t="s">
        <v>1776</v>
      </c>
      <c r="D106" s="1243">
        <v>0</v>
      </c>
      <c r="E106" s="1243">
        <f>'WPB-2.1.D SMRP'!E19</f>
        <v>0</v>
      </c>
      <c r="F106" s="1243">
        <f>'WPB-2.1.D SMRP'!F19</f>
        <v>-7576.5300000000007</v>
      </c>
      <c r="G106" s="1243">
        <f>SUM(D106:F106)</f>
        <v>-7576.5300000000007</v>
      </c>
      <c r="H106" s="1243"/>
      <c r="I106" s="1243">
        <f>'WPB-2.1.D SMRP'!I19</f>
        <v>0</v>
      </c>
      <c r="J106" s="1243"/>
      <c r="K106" s="1243">
        <f>'WPB-2.1.D SMRP'!K19</f>
        <v>-7.9550000000000001</v>
      </c>
      <c r="L106" s="1243">
        <v>0</v>
      </c>
      <c r="M106" s="1243">
        <f>F106</f>
        <v>-7576.5300000000007</v>
      </c>
      <c r="N106" s="1243">
        <f>'WPB-2.1.D SMRP'!N19</f>
        <v>-685.86</v>
      </c>
      <c r="O106" s="1243">
        <f>I106+K106+L106+M106+N106</f>
        <v>-8270.3450000000012</v>
      </c>
    </row>
    <row r="107" spans="1:15">
      <c r="A107" s="361">
        <f t="shared" si="13"/>
        <v>26</v>
      </c>
      <c r="B107" s="365">
        <v>380</v>
      </c>
      <c r="C107" s="358" t="s">
        <v>1777</v>
      </c>
      <c r="D107" s="1243">
        <v>0</v>
      </c>
      <c r="E107" s="1243">
        <f>'WPB-2.1.D SMRP'!E20</f>
        <v>849592.64</v>
      </c>
      <c r="F107" s="1243">
        <f>'WPB-2.1.D SMRP'!F20</f>
        <v>-277338.54684376396</v>
      </c>
      <c r="G107" s="1243">
        <f>SUM(D107:F107)</f>
        <v>572254.09315623599</v>
      </c>
      <c r="H107" s="1243"/>
      <c r="I107" s="1243">
        <f>'WPB-2.1.D SMRP'!I20</f>
        <v>0</v>
      </c>
      <c r="J107" s="1243"/>
      <c r="K107" s="1243">
        <f>'WPB-2.1.D SMRP'!K20</f>
        <v>948.98800000000006</v>
      </c>
      <c r="L107" s="1243">
        <v>0</v>
      </c>
      <c r="M107" s="1243">
        <f>F107</f>
        <v>-277338.54684376396</v>
      </c>
      <c r="N107" s="1243">
        <f>'WPB-2.1.D SMRP'!N20</f>
        <v>-467104.37436399999</v>
      </c>
      <c r="O107" s="1243">
        <f>I107+K107+L107+M107+N107</f>
        <v>-743493.93320776394</v>
      </c>
    </row>
    <row r="108" spans="1:15">
      <c r="A108" s="361">
        <f t="shared" si="13"/>
        <v>27</v>
      </c>
      <c r="B108" s="365">
        <v>382</v>
      </c>
      <c r="C108" s="358" t="s">
        <v>1778</v>
      </c>
      <c r="D108" s="1243">
        <v>0</v>
      </c>
      <c r="E108" s="1243">
        <f>'WPB-2.1.D SMRP'!E21</f>
        <v>1645.31</v>
      </c>
      <c r="F108" s="1243">
        <f>'WPB-2.1.D SMRP'!F21</f>
        <v>-489.15000000000003</v>
      </c>
      <c r="G108" s="1243">
        <f>SUM(D108:F108)</f>
        <v>1156.1599999999999</v>
      </c>
      <c r="H108" s="1243"/>
      <c r="I108" s="1243">
        <f>'WPB-2.1.D SMRP'!I21</f>
        <v>0</v>
      </c>
      <c r="J108" s="1243"/>
      <c r="K108" s="1243">
        <f>'WPB-2.1.D SMRP'!K21</f>
        <v>0.85299999999999998</v>
      </c>
      <c r="L108" s="1243">
        <v>0</v>
      </c>
      <c r="M108" s="1243">
        <f>F108</f>
        <v>-489.15000000000003</v>
      </c>
      <c r="N108" s="1243">
        <f>'WPB-2.1.D SMRP'!N21</f>
        <v>0</v>
      </c>
      <c r="O108" s="1243">
        <f>I108+K108+L108+M108+N108</f>
        <v>-488.29700000000003</v>
      </c>
    </row>
    <row r="109" spans="1:15">
      <c r="A109" s="361">
        <f t="shared" si="13"/>
        <v>28</v>
      </c>
      <c r="B109" s="365">
        <v>383</v>
      </c>
      <c r="C109" s="358" t="s">
        <v>1779</v>
      </c>
      <c r="D109" s="1244">
        <v>0</v>
      </c>
      <c r="E109" s="1244">
        <f>'WPB-2.1.D SMRP'!E22</f>
        <v>0</v>
      </c>
      <c r="F109" s="1244">
        <f>'WPB-2.1.D SMRP'!F22</f>
        <v>-188.66000000000003</v>
      </c>
      <c r="G109" s="1244">
        <f>SUM(D109:F109)</f>
        <v>-188.66000000000003</v>
      </c>
      <c r="H109" s="1243"/>
      <c r="I109" s="1244">
        <f>'WPB-2.1.D SMRP'!I22</f>
        <v>0</v>
      </c>
      <c r="J109" s="1243"/>
      <c r="K109" s="1244">
        <f>'WPB-2.1.D SMRP'!K22</f>
        <v>-0.153</v>
      </c>
      <c r="L109" s="1244">
        <v>0</v>
      </c>
      <c r="M109" s="1244">
        <f>F109</f>
        <v>-188.66000000000003</v>
      </c>
      <c r="N109" s="1244">
        <f>'WPB-2.1.D SMRP'!N22</f>
        <v>0</v>
      </c>
      <c r="O109" s="1244">
        <f>I109+K109+L109+M109+N109</f>
        <v>-188.81300000000002</v>
      </c>
    </row>
    <row r="110" spans="1:15">
      <c r="A110" s="361">
        <f t="shared" si="13"/>
        <v>29</v>
      </c>
      <c r="C110" s="358" t="s">
        <v>1780</v>
      </c>
      <c r="D110" s="1243">
        <f>SUM(D105:D109)</f>
        <v>0</v>
      </c>
      <c r="E110" s="1243">
        <f t="shared" ref="E110:O110" si="14">SUM(E105:E109)</f>
        <v>931043.59000000008</v>
      </c>
      <c r="F110" s="1243">
        <f t="shared" si="14"/>
        <v>-285592.88684376399</v>
      </c>
      <c r="G110" s="1243">
        <f t="shared" si="14"/>
        <v>645450.70315623598</v>
      </c>
      <c r="H110" s="1243"/>
      <c r="I110" s="1243">
        <f t="shared" si="14"/>
        <v>0</v>
      </c>
      <c r="J110" s="1243"/>
      <c r="K110" s="1243">
        <f t="shared" si="14"/>
        <v>999.59199999999998</v>
      </c>
      <c r="L110" s="1243">
        <f t="shared" si="14"/>
        <v>0</v>
      </c>
      <c r="M110" s="1243">
        <f t="shared" si="14"/>
        <v>-285592.88684376399</v>
      </c>
      <c r="N110" s="1243">
        <f t="shared" si="14"/>
        <v>-467790.23436399997</v>
      </c>
      <c r="O110" s="1243">
        <f t="shared" si="14"/>
        <v>-752383.52920776396</v>
      </c>
    </row>
    <row r="111" spans="1:15">
      <c r="A111" s="361"/>
      <c r="D111" s="1243"/>
      <c r="E111" s="1243"/>
      <c r="F111" s="1243"/>
      <c r="G111" s="1243"/>
      <c r="H111" s="1243"/>
      <c r="I111" s="1243"/>
      <c r="J111" s="1243"/>
      <c r="K111" s="1243"/>
      <c r="L111" s="1243"/>
      <c r="M111" s="1243"/>
      <c r="N111" s="1243"/>
      <c r="O111" s="1243"/>
    </row>
    <row r="112" spans="1:15" ht="13.5" thickBot="1">
      <c r="A112" s="361">
        <f>A110+1</f>
        <v>30</v>
      </c>
      <c r="C112" s="358" t="s">
        <v>447</v>
      </c>
      <c r="D112" s="1248">
        <f>D101+D110</f>
        <v>718244952.80000007</v>
      </c>
      <c r="E112" s="1248">
        <f>E101+E110</f>
        <v>2825328.21</v>
      </c>
      <c r="F112" s="1248">
        <f>F101+F110</f>
        <v>-616579.65000000014</v>
      </c>
      <c r="G112" s="1248">
        <f>G101+G110</f>
        <v>720453701.36000001</v>
      </c>
      <c r="H112" s="1243"/>
      <c r="I112" s="1248">
        <f>I101+I110</f>
        <v>160219807.81999996</v>
      </c>
      <c r="J112" s="1243"/>
      <c r="K112" s="1248">
        <f>K101+K110</f>
        <v>1684584.32</v>
      </c>
      <c r="L112" s="1248">
        <f>L101+L110</f>
        <v>0</v>
      </c>
      <c r="M112" s="1248">
        <f>M101+M110</f>
        <v>-616575.07000000007</v>
      </c>
      <c r="N112" s="1248">
        <f>N101+N110</f>
        <v>-84187.48000000004</v>
      </c>
      <c r="O112" s="1248">
        <f>O101+O110</f>
        <v>161203629.59000009</v>
      </c>
    </row>
    <row r="113" spans="1:16" ht="13.5" thickTop="1">
      <c r="A113" s="361"/>
      <c r="D113" s="366"/>
      <c r="E113" s="366"/>
      <c r="F113" s="366"/>
      <c r="G113" s="366"/>
      <c r="H113" s="366"/>
      <c r="I113" s="366"/>
      <c r="J113" s="366"/>
      <c r="K113" s="366"/>
      <c r="L113" s="366"/>
      <c r="M113" s="366"/>
      <c r="N113" s="366"/>
      <c r="O113" s="366"/>
    </row>
    <row r="114" spans="1:16">
      <c r="B114" s="365"/>
      <c r="D114" s="369"/>
      <c r="E114" s="369"/>
      <c r="F114" s="369"/>
      <c r="G114" s="369"/>
      <c r="I114" s="369"/>
      <c r="J114" s="369"/>
      <c r="K114" s="369"/>
      <c r="L114" s="369"/>
      <c r="M114" s="369"/>
      <c r="N114" s="369"/>
      <c r="O114" s="369"/>
    </row>
    <row r="115" spans="1:16" s="291" customFormat="1">
      <c r="A115" s="1308" t="str">
        <f>$A$1</f>
        <v>COLUMBIA GAS OF KENTUCKY, INC.</v>
      </c>
      <c r="B115" s="1308"/>
      <c r="C115" s="1308"/>
      <c r="D115" s="1308"/>
      <c r="E115" s="1308"/>
      <c r="F115" s="1308"/>
      <c r="G115" s="1308"/>
      <c r="H115" s="1308"/>
      <c r="I115" s="1308"/>
      <c r="J115" s="1308"/>
      <c r="K115" s="1308"/>
      <c r="L115" s="1308"/>
      <c r="M115" s="1308"/>
      <c r="N115" s="1308"/>
      <c r="O115" s="1308"/>
    </row>
    <row r="116" spans="1:16" s="291" customFormat="1">
      <c r="A116" s="1308" t="str">
        <f>$A$2</f>
        <v>CASE NO. 2024 - 00092</v>
      </c>
      <c r="B116" s="1308"/>
      <c r="C116" s="1308"/>
      <c r="D116" s="1308"/>
      <c r="E116" s="1308"/>
      <c r="F116" s="1308"/>
      <c r="G116" s="1308"/>
      <c r="H116" s="1308"/>
      <c r="I116" s="1308"/>
      <c r="J116" s="1308"/>
      <c r="K116" s="1308"/>
      <c r="L116" s="1308"/>
      <c r="M116" s="1308"/>
      <c r="N116" s="1308"/>
      <c r="O116" s="1308"/>
    </row>
    <row r="117" spans="1:16" s="291" customFormat="1">
      <c r="A117" s="1308" t="str">
        <f>$A$3</f>
        <v>DETAIL OF ACTUAL &amp; FORECASTED PLANT, ACCUMULATED RESERVE &amp; DEPRECIATION EXPENSE</v>
      </c>
      <c r="B117" s="1308"/>
      <c r="C117" s="1308"/>
      <c r="D117" s="1308"/>
      <c r="E117" s="1308"/>
      <c r="F117" s="1308"/>
      <c r="G117" s="1308"/>
      <c r="H117" s="1308"/>
      <c r="I117" s="1308"/>
      <c r="J117" s="1308"/>
      <c r="K117" s="1308"/>
      <c r="L117" s="1308"/>
      <c r="M117" s="1308"/>
      <c r="N117" s="1308"/>
      <c r="O117" s="1308"/>
      <c r="P117" s="357"/>
    </row>
    <row r="118" spans="1:16" s="291" customFormat="1">
      <c r="A118" s="1308" t="str">
        <f>$A$4</f>
        <v>FROM JANUARY 01, 2023 THROUGH DECEMBER 31, 2025</v>
      </c>
      <c r="B118" s="1308"/>
      <c r="C118" s="1308"/>
      <c r="D118" s="1308"/>
      <c r="E118" s="1308"/>
      <c r="F118" s="1308"/>
      <c r="G118" s="1308"/>
      <c r="H118" s="1308"/>
      <c r="I118" s="1308"/>
      <c r="J118" s="1308"/>
      <c r="K118" s="1308"/>
      <c r="L118" s="1308"/>
      <c r="M118" s="1308"/>
      <c r="N118" s="1308"/>
      <c r="O118" s="1308"/>
    </row>
    <row r="119" spans="1:16" s="291" customFormat="1">
      <c r="B119" s="293"/>
      <c r="P119" s="312"/>
    </row>
    <row r="120" spans="1:16" s="291" customFormat="1">
      <c r="A120" s="297" t="str">
        <f>$A$6</f>
        <v xml:space="preserve">DATA: _X_ BASE PERIOD _X_ FORECASTED PERIOD     </v>
      </c>
      <c r="B120" s="293"/>
      <c r="O120" s="312" t="str">
        <f>$O$6</f>
        <v>WPB-2.1.C</v>
      </c>
      <c r="P120" s="312"/>
    </row>
    <row r="121" spans="1:16" s="291" customFormat="1">
      <c r="A121" s="297" t="str">
        <f>$A$7</f>
        <v>TYPE OF FILING:___X___ORIGINAL______UPDATED</v>
      </c>
      <c r="B121" s="293"/>
      <c r="O121" s="312" t="s">
        <v>2220</v>
      </c>
      <c r="P121" s="312"/>
    </row>
    <row r="122" spans="1:16" s="291" customFormat="1">
      <c r="A122" s="297" t="str">
        <f>$A$8</f>
        <v>WORKPAPER REFERENCE NO(S).:</v>
      </c>
      <c r="B122" s="293"/>
      <c r="O122" s="312" t="str">
        <f>$O$8</f>
        <v>WITNESS: GORE</v>
      </c>
    </row>
    <row r="123" spans="1:16">
      <c r="A123" s="918"/>
      <c r="B123" s="919"/>
      <c r="C123" s="918"/>
      <c r="D123" s="918"/>
      <c r="E123" s="918"/>
      <c r="F123" s="918"/>
      <c r="G123" s="918"/>
      <c r="H123" s="918"/>
      <c r="I123" s="918"/>
      <c r="J123" s="918"/>
      <c r="K123" s="918"/>
      <c r="L123" s="918"/>
      <c r="M123" s="918"/>
      <c r="N123" s="918"/>
      <c r="O123" s="920"/>
    </row>
    <row r="124" spans="1:16">
      <c r="D124" s="1311" t="s">
        <v>1768</v>
      </c>
      <c r="E124" s="1311"/>
      <c r="F124" s="1311"/>
      <c r="G124" s="1311"/>
      <c r="I124" s="1311" t="s">
        <v>1769</v>
      </c>
      <c r="J124" s="1311"/>
      <c r="K124" s="1311"/>
      <c r="L124" s="1311"/>
      <c r="M124" s="1311"/>
      <c r="N124" s="1311"/>
      <c r="O124" s="1311"/>
    </row>
    <row r="125" spans="1:16">
      <c r="D125" s="360">
        <f>G70+1</f>
        <v>44958</v>
      </c>
      <c r="G125" s="360">
        <f>D125+27</f>
        <v>44985</v>
      </c>
      <c r="I125" s="360">
        <f>D125</f>
        <v>44958</v>
      </c>
      <c r="O125" s="360">
        <f>G125</f>
        <v>44985</v>
      </c>
    </row>
    <row r="126" spans="1:16">
      <c r="D126" s="361" t="s">
        <v>1757</v>
      </c>
      <c r="G126" s="361" t="s">
        <v>1757</v>
      </c>
      <c r="I126" s="361" t="s">
        <v>1758</v>
      </c>
      <c r="J126" s="361" t="s">
        <v>488</v>
      </c>
      <c r="L126" s="361" t="s">
        <v>1758</v>
      </c>
      <c r="O126" s="361" t="s">
        <v>1758</v>
      </c>
    </row>
    <row r="127" spans="1:16">
      <c r="A127" s="361" t="s">
        <v>1770</v>
      </c>
      <c r="B127" s="361" t="s">
        <v>368</v>
      </c>
      <c r="C127" s="361"/>
      <c r="D127" s="361" t="s">
        <v>437</v>
      </c>
      <c r="G127" s="361" t="s">
        <v>439</v>
      </c>
      <c r="I127" s="361" t="s">
        <v>437</v>
      </c>
      <c r="J127" s="361" t="s">
        <v>1771</v>
      </c>
      <c r="K127" s="361" t="s">
        <v>1772</v>
      </c>
      <c r="L127" s="361" t="s">
        <v>1759</v>
      </c>
      <c r="N127" s="361" t="s">
        <v>1760</v>
      </c>
      <c r="O127" s="361" t="s">
        <v>439</v>
      </c>
    </row>
    <row r="128" spans="1:16">
      <c r="A128" s="364" t="s">
        <v>316</v>
      </c>
      <c r="B128" s="364" t="s">
        <v>316</v>
      </c>
      <c r="C128" s="364" t="s">
        <v>451</v>
      </c>
      <c r="D128" s="364" t="s">
        <v>441</v>
      </c>
      <c r="E128" s="364" t="s">
        <v>442</v>
      </c>
      <c r="F128" s="364" t="s">
        <v>443</v>
      </c>
      <c r="G128" s="364" t="s">
        <v>441</v>
      </c>
      <c r="I128" s="364" t="s">
        <v>441</v>
      </c>
      <c r="J128" s="364" t="s">
        <v>1773</v>
      </c>
      <c r="K128" s="364" t="s">
        <v>1771</v>
      </c>
      <c r="L128" s="364" t="s">
        <v>355</v>
      </c>
      <c r="M128" s="364" t="s">
        <v>443</v>
      </c>
      <c r="N128" s="364" t="s">
        <v>1763</v>
      </c>
      <c r="O128" s="364" t="s">
        <v>441</v>
      </c>
    </row>
    <row r="129" spans="1:15">
      <c r="D129" s="361" t="s">
        <v>532</v>
      </c>
      <c r="E129" s="361" t="s">
        <v>541</v>
      </c>
      <c r="F129" s="361" t="s">
        <v>542</v>
      </c>
      <c r="G129" s="361" t="s">
        <v>1764</v>
      </c>
      <c r="I129" s="334" t="str">
        <f>"(5)"</f>
        <v>(5)</v>
      </c>
      <c r="J129" s="334" t="str">
        <f>"(6)"</f>
        <v>(6)</v>
      </c>
      <c r="K129" s="334" t="str">
        <f>"(7)"</f>
        <v>(7)</v>
      </c>
      <c r="L129" s="334" t="str">
        <f>"(8)"</f>
        <v>(8)</v>
      </c>
      <c r="M129" s="334" t="str">
        <f>"(9)"</f>
        <v>(9)</v>
      </c>
      <c r="N129" s="334" t="str">
        <f>"(10)"</f>
        <v>(10)</v>
      </c>
      <c r="O129" s="334" t="str">
        <f>"(11=5+7+8+9+10)"</f>
        <v>(11=5+7+8+9+10)</v>
      </c>
    </row>
    <row r="130" spans="1:15">
      <c r="D130" s="361" t="s">
        <v>320</v>
      </c>
      <c r="E130" s="361" t="s">
        <v>320</v>
      </c>
      <c r="F130" s="361" t="s">
        <v>320</v>
      </c>
      <c r="G130" s="361" t="s">
        <v>320</v>
      </c>
      <c r="I130" s="334" t="s">
        <v>320</v>
      </c>
      <c r="J130" s="334" t="s">
        <v>529</v>
      </c>
      <c r="K130" s="334" t="s">
        <v>320</v>
      </c>
      <c r="L130" s="334" t="s">
        <v>320</v>
      </c>
      <c r="M130" s="334" t="s">
        <v>320</v>
      </c>
      <c r="N130" s="334" t="s">
        <v>320</v>
      </c>
      <c r="O130" s="334" t="s">
        <v>320</v>
      </c>
    </row>
    <row r="131" spans="1:15">
      <c r="A131" s="361">
        <v>1</v>
      </c>
      <c r="B131" s="362" t="s">
        <v>373</v>
      </c>
      <c r="D131" s="361"/>
      <c r="E131" s="361"/>
      <c r="F131" s="361"/>
      <c r="G131" s="361"/>
      <c r="I131" s="334"/>
      <c r="J131" s="334"/>
      <c r="K131" s="334"/>
      <c r="L131" s="334"/>
      <c r="M131" s="334"/>
      <c r="N131" s="334"/>
      <c r="O131" s="334"/>
    </row>
    <row r="132" spans="1:15">
      <c r="A132" s="361">
        <f>A131+1</f>
        <v>2</v>
      </c>
      <c r="B132" s="365">
        <v>301</v>
      </c>
      <c r="C132" s="358" t="s">
        <v>374</v>
      </c>
      <c r="D132" s="1243">
        <f t="shared" ref="D132:D137" si="15">G18</f>
        <v>521.20000000000005</v>
      </c>
      <c r="E132" s="1243">
        <v>0</v>
      </c>
      <c r="F132" s="1243">
        <v>0</v>
      </c>
      <c r="G132" s="1243">
        <f t="shared" ref="G132:G137" si="16">SUM(D132:F132)</f>
        <v>521.20000000000005</v>
      </c>
      <c r="H132" s="1243"/>
      <c r="I132" s="1243">
        <f t="shared" ref="I132:I137" si="17">O18</f>
        <v>0</v>
      </c>
      <c r="J132" s="1243"/>
      <c r="K132" s="1243">
        <v>0</v>
      </c>
      <c r="L132" s="1243">
        <v>0</v>
      </c>
      <c r="M132" s="1243">
        <f t="shared" ref="M132:M137" si="18">F132</f>
        <v>0</v>
      </c>
      <c r="N132" s="1243">
        <v>0</v>
      </c>
      <c r="O132" s="1243">
        <f t="shared" ref="O132:O137" si="19">I132+K132+L132+M132+N132</f>
        <v>0</v>
      </c>
    </row>
    <row r="133" spans="1:15">
      <c r="A133" s="361">
        <f t="shared" ref="A133:A138" si="20">A132+1</f>
        <v>3</v>
      </c>
      <c r="B133" s="365">
        <v>303</v>
      </c>
      <c r="C133" s="358" t="s">
        <v>375</v>
      </c>
      <c r="D133" s="1243">
        <f t="shared" si="15"/>
        <v>96334.51</v>
      </c>
      <c r="E133" s="1243">
        <v>0</v>
      </c>
      <c r="F133" s="1243">
        <v>0</v>
      </c>
      <c r="G133" s="1243">
        <f t="shared" si="16"/>
        <v>96334.51</v>
      </c>
      <c r="H133" s="1243"/>
      <c r="I133" s="1243">
        <f t="shared" si="17"/>
        <v>75918.89</v>
      </c>
      <c r="J133" s="1243"/>
      <c r="K133" s="1243">
        <v>267.60000000000002</v>
      </c>
      <c r="L133" s="1243">
        <v>0</v>
      </c>
      <c r="M133" s="1243">
        <f t="shared" si="18"/>
        <v>0</v>
      </c>
      <c r="N133" s="1243">
        <v>0</v>
      </c>
      <c r="O133" s="1243">
        <f t="shared" si="19"/>
        <v>76186.490000000005</v>
      </c>
    </row>
    <row r="134" spans="1:15">
      <c r="A134" s="361">
        <f t="shared" si="20"/>
        <v>4</v>
      </c>
      <c r="B134" s="365">
        <v>303.10000000000002</v>
      </c>
      <c r="C134" s="358" t="s">
        <v>376</v>
      </c>
      <c r="D134" s="1243">
        <f t="shared" si="15"/>
        <v>943.27</v>
      </c>
      <c r="E134" s="1243">
        <v>0</v>
      </c>
      <c r="F134" s="1243">
        <v>0</v>
      </c>
      <c r="G134" s="1243">
        <f t="shared" si="16"/>
        <v>943.27</v>
      </c>
      <c r="H134" s="1243"/>
      <c r="I134" s="1243">
        <f t="shared" si="17"/>
        <v>294.77000000000004</v>
      </c>
      <c r="J134" s="1243"/>
      <c r="K134" s="1243">
        <v>7.86</v>
      </c>
      <c r="L134" s="1243">
        <v>0</v>
      </c>
      <c r="M134" s="1243">
        <f t="shared" si="18"/>
        <v>0</v>
      </c>
      <c r="N134" s="1243">
        <v>0</v>
      </c>
      <c r="O134" s="1243">
        <f t="shared" si="19"/>
        <v>302.63000000000005</v>
      </c>
    </row>
    <row r="135" spans="1:15">
      <c r="A135" s="361">
        <f t="shared" si="20"/>
        <v>5</v>
      </c>
      <c r="B135" s="365">
        <v>303.2</v>
      </c>
      <c r="C135" s="358" t="s">
        <v>377</v>
      </c>
      <c r="D135" s="1243">
        <f t="shared" si="15"/>
        <v>0</v>
      </c>
      <c r="E135" s="1243">
        <v>0</v>
      </c>
      <c r="F135" s="1243">
        <v>0</v>
      </c>
      <c r="G135" s="1243">
        <f t="shared" si="16"/>
        <v>0</v>
      </c>
      <c r="H135" s="1243"/>
      <c r="I135" s="1243">
        <f t="shared" si="17"/>
        <v>0</v>
      </c>
      <c r="J135" s="1243"/>
      <c r="K135" s="1243">
        <v>0</v>
      </c>
      <c r="L135" s="1243">
        <v>0</v>
      </c>
      <c r="M135" s="1243">
        <f t="shared" si="18"/>
        <v>0</v>
      </c>
      <c r="N135" s="1243">
        <v>0</v>
      </c>
      <c r="O135" s="1243">
        <f t="shared" si="19"/>
        <v>0</v>
      </c>
    </row>
    <row r="136" spans="1:15">
      <c r="A136" s="361">
        <f t="shared" si="20"/>
        <v>6</v>
      </c>
      <c r="B136" s="365">
        <v>303.3</v>
      </c>
      <c r="C136" s="358" t="s">
        <v>378</v>
      </c>
      <c r="D136" s="1243">
        <f t="shared" si="15"/>
        <v>10548416.58</v>
      </c>
      <c r="E136" s="1243">
        <v>936807.92</v>
      </c>
      <c r="F136" s="1243">
        <v>-44206.97</v>
      </c>
      <c r="G136" s="1243">
        <f t="shared" si="16"/>
        <v>11441017.529999999</v>
      </c>
      <c r="H136" s="1243"/>
      <c r="I136" s="1243">
        <f t="shared" si="17"/>
        <v>4947485.28</v>
      </c>
      <c r="J136" s="1243"/>
      <c r="K136" s="1243">
        <v>187515.86000000002</v>
      </c>
      <c r="L136" s="1243">
        <v>0</v>
      </c>
      <c r="M136" s="1243">
        <f t="shared" si="18"/>
        <v>-44206.97</v>
      </c>
      <c r="N136" s="1243">
        <v>0</v>
      </c>
      <c r="O136" s="1243">
        <f t="shared" si="19"/>
        <v>5090794.1700000009</v>
      </c>
    </row>
    <row r="137" spans="1:15">
      <c r="A137" s="361">
        <f t="shared" si="20"/>
        <v>7</v>
      </c>
      <c r="B137" s="365">
        <v>303.99</v>
      </c>
      <c r="C137" s="358" t="s">
        <v>1129</v>
      </c>
      <c r="D137" s="1244">
        <f t="shared" si="15"/>
        <v>1809978.7300000002</v>
      </c>
      <c r="E137" s="1244">
        <v>30874.05</v>
      </c>
      <c r="F137" s="1244">
        <v>0</v>
      </c>
      <c r="G137" s="1244">
        <f t="shared" si="16"/>
        <v>1840852.7800000003</v>
      </c>
      <c r="H137" s="1243"/>
      <c r="I137" s="1244">
        <f t="shared" si="17"/>
        <v>672032.96</v>
      </c>
      <c r="J137" s="1243"/>
      <c r="K137" s="1244">
        <v>32177.48</v>
      </c>
      <c r="L137" s="1244">
        <v>0</v>
      </c>
      <c r="M137" s="1244">
        <f t="shared" si="18"/>
        <v>0</v>
      </c>
      <c r="N137" s="1244">
        <v>0</v>
      </c>
      <c r="O137" s="1244">
        <f t="shared" si="19"/>
        <v>704210.44</v>
      </c>
    </row>
    <row r="138" spans="1:15">
      <c r="A138" s="361">
        <f t="shared" si="20"/>
        <v>8</v>
      </c>
      <c r="B138" s="367"/>
      <c r="C138" s="358" t="s">
        <v>379</v>
      </c>
      <c r="D138" s="1243">
        <f>SUM(D132:D137)</f>
        <v>12456194.290000001</v>
      </c>
      <c r="E138" s="1243">
        <f>SUM(E132:E137)</f>
        <v>967681.97000000009</v>
      </c>
      <c r="F138" s="1243">
        <f>SUM(F132:F137)</f>
        <v>-44206.97</v>
      </c>
      <c r="G138" s="1243">
        <f>SUM(G132:G137)</f>
        <v>13379669.289999999</v>
      </c>
      <c r="H138" s="1243"/>
      <c r="I138" s="1243">
        <f>SUM(I132:I137)</f>
        <v>5695731.9000000004</v>
      </c>
      <c r="J138" s="1243"/>
      <c r="K138" s="1243">
        <f>SUM(K132:K137)</f>
        <v>219968.80000000002</v>
      </c>
      <c r="L138" s="1243">
        <f>SUM(L132:L137)</f>
        <v>0</v>
      </c>
      <c r="M138" s="1243">
        <f>SUM(M132:M137)</f>
        <v>-44206.97</v>
      </c>
      <c r="N138" s="1243">
        <f>SUM(N132:N137)</f>
        <v>0</v>
      </c>
      <c r="O138" s="1243">
        <f>SUM(O132:O137)</f>
        <v>5871493.7300000004</v>
      </c>
    </row>
    <row r="139" spans="1:15">
      <c r="A139" s="361"/>
      <c r="B139" s="367"/>
      <c r="C139" s="368"/>
      <c r="D139" s="1243"/>
      <c r="E139" s="1243"/>
      <c r="F139" s="1243"/>
      <c r="G139" s="1243"/>
      <c r="H139" s="1243"/>
      <c r="I139" s="1243"/>
      <c r="J139" s="1243"/>
      <c r="K139" s="1243"/>
      <c r="L139" s="1243"/>
      <c r="M139" s="1243"/>
      <c r="N139" s="1243"/>
      <c r="O139" s="1243"/>
    </row>
    <row r="140" spans="1:15">
      <c r="A140" s="361">
        <f>A138+1</f>
        <v>9</v>
      </c>
      <c r="B140" s="362" t="s">
        <v>1600</v>
      </c>
      <c r="C140" s="368"/>
      <c r="D140" s="1243"/>
      <c r="E140" s="1243"/>
      <c r="F140" s="1243"/>
      <c r="G140" s="1243"/>
      <c r="H140" s="1243"/>
      <c r="I140" s="1243"/>
      <c r="J140" s="1243"/>
      <c r="K140" s="1243"/>
      <c r="L140" s="1243"/>
      <c r="M140" s="1243"/>
      <c r="N140" s="1243"/>
      <c r="O140" s="1243"/>
    </row>
    <row r="141" spans="1:15">
      <c r="A141" s="361">
        <f t="shared" ref="A141:A171" si="21">A140+1</f>
        <v>10</v>
      </c>
      <c r="B141" s="365">
        <v>374.1</v>
      </c>
      <c r="C141" s="358" t="s">
        <v>382</v>
      </c>
      <c r="D141" s="1243">
        <f t="shared" ref="D141:D170" si="22">G27</f>
        <v>206</v>
      </c>
      <c r="E141" s="1243">
        <v>0</v>
      </c>
      <c r="F141" s="1243">
        <v>0</v>
      </c>
      <c r="G141" s="1243">
        <f>SUM(D141:F141)</f>
        <v>206</v>
      </c>
      <c r="H141" s="1243"/>
      <c r="I141" s="1243">
        <f t="shared" ref="I141:I170" si="23">O27</f>
        <v>0</v>
      </c>
      <c r="J141" s="1243"/>
      <c r="K141" s="1243">
        <v>0</v>
      </c>
      <c r="L141" s="1243">
        <v>0</v>
      </c>
      <c r="M141" s="1243">
        <f>F141</f>
        <v>0</v>
      </c>
      <c r="N141" s="1243">
        <v>0</v>
      </c>
      <c r="O141" s="1243">
        <f t="shared" ref="O141:O170" si="24">I141+K141+L141+M141+N141</f>
        <v>0</v>
      </c>
    </row>
    <row r="142" spans="1:15">
      <c r="A142" s="361">
        <f t="shared" si="21"/>
        <v>11</v>
      </c>
      <c r="B142" s="365">
        <v>374.2</v>
      </c>
      <c r="C142" s="358" t="s">
        <v>383</v>
      </c>
      <c r="D142" s="1243">
        <f t="shared" si="22"/>
        <v>876986.66</v>
      </c>
      <c r="E142" s="1243">
        <v>0</v>
      </c>
      <c r="F142" s="1243">
        <v>0</v>
      </c>
      <c r="G142" s="1243">
        <f t="shared" ref="G142:G170" si="25">SUM(D142:F142)</f>
        <v>876986.66</v>
      </c>
      <c r="H142" s="1243"/>
      <c r="I142" s="1243">
        <f t="shared" si="23"/>
        <v>-522.25</v>
      </c>
      <c r="J142" s="1243"/>
      <c r="K142" s="1243">
        <v>0</v>
      </c>
      <c r="L142" s="1243">
        <v>0</v>
      </c>
      <c r="M142" s="1243">
        <f t="shared" ref="M142:M170" si="26">F142</f>
        <v>0</v>
      </c>
      <c r="N142" s="1243">
        <v>0</v>
      </c>
      <c r="O142" s="1243">
        <f t="shared" si="24"/>
        <v>-522.25</v>
      </c>
    </row>
    <row r="143" spans="1:15">
      <c r="A143" s="361">
        <f t="shared" si="21"/>
        <v>12</v>
      </c>
      <c r="B143" s="365">
        <v>374.4</v>
      </c>
      <c r="C143" s="358" t="s">
        <v>384</v>
      </c>
      <c r="D143" s="1243">
        <f t="shared" si="22"/>
        <v>2749264.41</v>
      </c>
      <c r="E143" s="1243">
        <v>14000</v>
      </c>
      <c r="F143" s="1243">
        <v>0</v>
      </c>
      <c r="G143" s="1243">
        <f t="shared" si="25"/>
        <v>2763264.41</v>
      </c>
      <c r="H143" s="1243"/>
      <c r="I143" s="1243">
        <f t="shared" si="23"/>
        <v>335994.61</v>
      </c>
      <c r="J143" s="1243"/>
      <c r="K143" s="1243">
        <v>2917.05</v>
      </c>
      <c r="L143" s="1243">
        <v>0</v>
      </c>
      <c r="M143" s="1243">
        <f t="shared" si="26"/>
        <v>0</v>
      </c>
      <c r="N143" s="1243">
        <v>0</v>
      </c>
      <c r="O143" s="1243">
        <f t="shared" si="24"/>
        <v>338911.66</v>
      </c>
    </row>
    <row r="144" spans="1:15">
      <c r="A144" s="361">
        <f t="shared" si="21"/>
        <v>13</v>
      </c>
      <c r="B144" s="365">
        <v>374.5</v>
      </c>
      <c r="C144" s="358" t="s">
        <v>385</v>
      </c>
      <c r="D144" s="1243">
        <f t="shared" si="22"/>
        <v>2666577.16</v>
      </c>
      <c r="E144" s="1243">
        <v>0</v>
      </c>
      <c r="F144" s="1243">
        <v>0</v>
      </c>
      <c r="G144" s="1243">
        <f t="shared" si="25"/>
        <v>2666577.16</v>
      </c>
      <c r="H144" s="1243"/>
      <c r="I144" s="1243">
        <f t="shared" si="23"/>
        <v>1129411.51</v>
      </c>
      <c r="J144" s="1243"/>
      <c r="K144" s="1243">
        <v>2444.36</v>
      </c>
      <c r="L144" s="1243">
        <v>0</v>
      </c>
      <c r="M144" s="1243">
        <f t="shared" si="26"/>
        <v>0</v>
      </c>
      <c r="N144" s="1243">
        <v>0</v>
      </c>
      <c r="O144" s="1243">
        <f t="shared" si="24"/>
        <v>1131855.8700000001</v>
      </c>
    </row>
    <row r="145" spans="1:16">
      <c r="A145" s="361">
        <f t="shared" si="21"/>
        <v>14</v>
      </c>
      <c r="B145" s="365">
        <v>375.2</v>
      </c>
      <c r="C145" s="358" t="s">
        <v>386</v>
      </c>
      <c r="D145" s="1243">
        <f t="shared" si="22"/>
        <v>2124.98</v>
      </c>
      <c r="E145" s="1243">
        <v>0</v>
      </c>
      <c r="F145" s="1243">
        <v>0</v>
      </c>
      <c r="G145" s="1243">
        <f t="shared" si="25"/>
        <v>2124.98</v>
      </c>
      <c r="H145" s="1243"/>
      <c r="I145" s="1243">
        <f t="shared" si="23"/>
        <v>2053.81</v>
      </c>
      <c r="J145" s="1243"/>
      <c r="K145" s="1243">
        <v>0.73</v>
      </c>
      <c r="L145" s="1243">
        <v>0</v>
      </c>
      <c r="M145" s="1243">
        <f t="shared" si="26"/>
        <v>0</v>
      </c>
      <c r="N145" s="1243">
        <v>0</v>
      </c>
      <c r="O145" s="1243">
        <f t="shared" si="24"/>
        <v>2054.54</v>
      </c>
    </row>
    <row r="146" spans="1:16">
      <c r="A146" s="361">
        <f t="shared" si="21"/>
        <v>15</v>
      </c>
      <c r="B146" s="365">
        <v>375.3</v>
      </c>
      <c r="C146" s="358" t="s">
        <v>387</v>
      </c>
      <c r="D146" s="1243">
        <f t="shared" si="22"/>
        <v>0</v>
      </c>
      <c r="E146" s="1243">
        <v>0</v>
      </c>
      <c r="F146" s="1243">
        <v>0</v>
      </c>
      <c r="G146" s="1243">
        <f t="shared" si="25"/>
        <v>0</v>
      </c>
      <c r="H146" s="1243"/>
      <c r="I146" s="1243">
        <f t="shared" si="23"/>
        <v>-77.66</v>
      </c>
      <c r="J146" s="1243"/>
      <c r="K146" s="1243">
        <v>0</v>
      </c>
      <c r="L146" s="1243">
        <v>0</v>
      </c>
      <c r="M146" s="1243">
        <f t="shared" si="26"/>
        <v>0</v>
      </c>
      <c r="N146" s="1243">
        <v>0</v>
      </c>
      <c r="O146" s="1243">
        <f t="shared" si="24"/>
        <v>-77.66</v>
      </c>
    </row>
    <row r="147" spans="1:16">
      <c r="A147" s="361">
        <f t="shared" si="21"/>
        <v>16</v>
      </c>
      <c r="B147" s="365">
        <v>375.4</v>
      </c>
      <c r="C147" s="358" t="s">
        <v>388</v>
      </c>
      <c r="D147" s="1243">
        <f t="shared" si="22"/>
        <v>2817062.3499999996</v>
      </c>
      <c r="E147" s="1243">
        <v>2401.62</v>
      </c>
      <c r="F147" s="1243">
        <v>-400</v>
      </c>
      <c r="G147" s="1243">
        <f t="shared" si="25"/>
        <v>2819063.9699999997</v>
      </c>
      <c r="H147" s="1243"/>
      <c r="I147" s="1243">
        <f t="shared" si="23"/>
        <v>584978.82000000007</v>
      </c>
      <c r="J147" s="1243"/>
      <c r="K147" s="1243">
        <v>5096</v>
      </c>
      <c r="L147" s="1243">
        <v>0</v>
      </c>
      <c r="M147" s="1243">
        <f t="shared" si="26"/>
        <v>-400</v>
      </c>
      <c r="N147" s="1243">
        <v>0</v>
      </c>
      <c r="O147" s="1243">
        <f t="shared" si="24"/>
        <v>589674.82000000007</v>
      </c>
    </row>
    <row r="148" spans="1:16">
      <c r="A148" s="361">
        <f t="shared" si="21"/>
        <v>17</v>
      </c>
      <c r="B148" s="365">
        <v>375.6</v>
      </c>
      <c r="C148" s="358" t="s">
        <v>389</v>
      </c>
      <c r="D148" s="1243">
        <f t="shared" si="22"/>
        <v>0</v>
      </c>
      <c r="E148" s="1243">
        <v>0</v>
      </c>
      <c r="F148" s="1243">
        <v>0</v>
      </c>
      <c r="G148" s="1243">
        <f t="shared" si="25"/>
        <v>0</v>
      </c>
      <c r="H148" s="1243"/>
      <c r="I148" s="1243">
        <f t="shared" si="23"/>
        <v>0.02</v>
      </c>
      <c r="J148" s="1243"/>
      <c r="K148" s="1243">
        <v>0</v>
      </c>
      <c r="L148" s="1243">
        <v>0</v>
      </c>
      <c r="M148" s="1243">
        <f t="shared" si="26"/>
        <v>0</v>
      </c>
      <c r="N148" s="1243">
        <v>0</v>
      </c>
      <c r="O148" s="1243">
        <f t="shared" si="24"/>
        <v>0.02</v>
      </c>
    </row>
    <row r="149" spans="1:16">
      <c r="A149" s="361">
        <f t="shared" si="21"/>
        <v>18</v>
      </c>
      <c r="B149" s="365">
        <v>375.7</v>
      </c>
      <c r="C149" s="358" t="s">
        <v>390</v>
      </c>
      <c r="D149" s="1243">
        <f t="shared" si="22"/>
        <v>9007642.7000000011</v>
      </c>
      <c r="E149" s="1243">
        <v>75034.28</v>
      </c>
      <c r="F149" s="1243">
        <v>0</v>
      </c>
      <c r="G149" s="1243">
        <f t="shared" si="25"/>
        <v>9082676.9800000004</v>
      </c>
      <c r="H149" s="1243"/>
      <c r="I149" s="1243">
        <f t="shared" si="23"/>
        <v>4498641.4399999995</v>
      </c>
      <c r="J149" s="1243"/>
      <c r="K149" s="1243">
        <v>17638.060000000001</v>
      </c>
      <c r="L149" s="1243">
        <v>0</v>
      </c>
      <c r="M149" s="1243">
        <f t="shared" si="26"/>
        <v>0</v>
      </c>
      <c r="N149" s="1243">
        <v>0</v>
      </c>
      <c r="O149" s="1243">
        <f t="shared" si="24"/>
        <v>4516279.4999999991</v>
      </c>
    </row>
    <row r="150" spans="1:16">
      <c r="A150" s="361">
        <f t="shared" si="21"/>
        <v>19</v>
      </c>
      <c r="B150" s="365">
        <v>375.71</v>
      </c>
      <c r="C150" s="358" t="s">
        <v>391</v>
      </c>
      <c r="D150" s="1243">
        <f t="shared" si="22"/>
        <v>860196.63</v>
      </c>
      <c r="E150" s="1243">
        <v>16454.939999999999</v>
      </c>
      <c r="F150" s="1243">
        <v>0</v>
      </c>
      <c r="G150" s="1243">
        <f t="shared" si="25"/>
        <v>876651.57</v>
      </c>
      <c r="H150" s="1243"/>
      <c r="I150" s="1243">
        <f t="shared" si="23"/>
        <v>697427.4</v>
      </c>
      <c r="J150" s="1243"/>
      <c r="K150" s="1243">
        <v>7194.9100000000008</v>
      </c>
      <c r="L150" s="1243">
        <v>0</v>
      </c>
      <c r="M150" s="1243">
        <f t="shared" si="26"/>
        <v>0</v>
      </c>
      <c r="N150" s="1243">
        <v>0</v>
      </c>
      <c r="O150" s="1243">
        <f t="shared" si="24"/>
        <v>704622.31</v>
      </c>
    </row>
    <row r="151" spans="1:16">
      <c r="A151" s="361">
        <f t="shared" si="21"/>
        <v>20</v>
      </c>
      <c r="B151" s="365">
        <v>375.8</v>
      </c>
      <c r="C151" s="358" t="s">
        <v>392</v>
      </c>
      <c r="D151" s="1243">
        <f t="shared" si="22"/>
        <v>132125.04</v>
      </c>
      <c r="E151" s="1243">
        <v>0</v>
      </c>
      <c r="F151" s="1243">
        <v>0</v>
      </c>
      <c r="G151" s="1243">
        <f t="shared" si="25"/>
        <v>132125.04</v>
      </c>
      <c r="H151" s="1243"/>
      <c r="I151" s="1243">
        <f t="shared" si="23"/>
        <v>4383.68</v>
      </c>
      <c r="J151" s="1243"/>
      <c r="K151" s="1243">
        <v>585.75</v>
      </c>
      <c r="L151" s="1243">
        <v>0</v>
      </c>
      <c r="M151" s="1243">
        <f t="shared" si="26"/>
        <v>0</v>
      </c>
      <c r="N151" s="1243">
        <v>0</v>
      </c>
      <c r="O151" s="1243">
        <f t="shared" si="24"/>
        <v>4969.43</v>
      </c>
    </row>
    <row r="152" spans="1:16">
      <c r="A152" s="361">
        <f t="shared" si="21"/>
        <v>21</v>
      </c>
      <c r="B152" s="365">
        <v>376</v>
      </c>
      <c r="C152" s="358" t="s">
        <v>1621</v>
      </c>
      <c r="D152" s="1243">
        <f t="shared" si="22"/>
        <v>400597875.68000001</v>
      </c>
      <c r="E152" s="1243">
        <f>'WPB-2.1.D SMRP'!E73</f>
        <v>1256160.78</v>
      </c>
      <c r="F152" s="1243">
        <f>'WPB-2.1.D SMRP'!F73</f>
        <v>-67615.86</v>
      </c>
      <c r="G152" s="1243">
        <f t="shared" si="25"/>
        <v>401786420.59999996</v>
      </c>
      <c r="H152" s="1243"/>
      <c r="I152" s="1243">
        <f t="shared" si="23"/>
        <v>75405552.891000003</v>
      </c>
      <c r="J152" s="1243"/>
      <c r="K152" s="1243">
        <f>'WPB-2.1.D SMRP'!K73</f>
        <v>578380.78200000001</v>
      </c>
      <c r="L152" s="1243">
        <v>0</v>
      </c>
      <c r="M152" s="1243">
        <f>F152</f>
        <v>-67615.86</v>
      </c>
      <c r="N152" s="1243">
        <f>'WPB-2.1.D SMRP'!N73</f>
        <v>-3140.3899999999994</v>
      </c>
      <c r="O152" s="1243">
        <f t="shared" si="24"/>
        <v>75913177.423000008</v>
      </c>
    </row>
    <row r="153" spans="1:16">
      <c r="A153" s="361">
        <f t="shared" si="21"/>
        <v>22</v>
      </c>
      <c r="B153" s="365">
        <v>378.1</v>
      </c>
      <c r="C153" s="358" t="s">
        <v>394</v>
      </c>
      <c r="D153" s="1243">
        <f t="shared" si="22"/>
        <v>498218.33</v>
      </c>
      <c r="E153" s="1243">
        <v>0</v>
      </c>
      <c r="F153" s="1243">
        <v>-84.67</v>
      </c>
      <c r="G153" s="1243">
        <f t="shared" si="25"/>
        <v>498133.66000000003</v>
      </c>
      <c r="H153" s="1243"/>
      <c r="I153" s="1243">
        <f t="shared" si="23"/>
        <v>409273.7</v>
      </c>
      <c r="J153" s="1243"/>
      <c r="K153" s="1243">
        <v>1046.1600000000001</v>
      </c>
      <c r="L153" s="1243">
        <v>0</v>
      </c>
      <c r="M153" s="1243">
        <f t="shared" si="26"/>
        <v>-84.67</v>
      </c>
      <c r="N153" s="1243">
        <v>0</v>
      </c>
      <c r="O153" s="1243">
        <f t="shared" si="24"/>
        <v>410235.19</v>
      </c>
    </row>
    <row r="154" spans="1:16">
      <c r="A154" s="361">
        <f t="shared" si="21"/>
        <v>23</v>
      </c>
      <c r="B154" s="365">
        <v>378.2</v>
      </c>
      <c r="C154" s="358" t="s">
        <v>1622</v>
      </c>
      <c r="D154" s="1243">
        <f t="shared" si="22"/>
        <v>24944541.400000002</v>
      </c>
      <c r="E154" s="1243">
        <f>'WPB-2.1.D SMRP'!E77</f>
        <v>161.93</v>
      </c>
      <c r="F154" s="1243">
        <f>'WPB-2.1.D SMRP'!F77</f>
        <v>0</v>
      </c>
      <c r="G154" s="1243">
        <f t="shared" si="25"/>
        <v>24944703.330000002</v>
      </c>
      <c r="H154" s="1243"/>
      <c r="I154" s="1243">
        <f t="shared" si="23"/>
        <v>2868781.3150000004</v>
      </c>
      <c r="J154" s="1243"/>
      <c r="K154" s="1243">
        <f>'WPB-2.1.D SMRP'!K77</f>
        <v>52383.796999999999</v>
      </c>
      <c r="L154" s="1243">
        <v>0</v>
      </c>
      <c r="M154" s="1243">
        <f>F154</f>
        <v>0</v>
      </c>
      <c r="N154" s="1243">
        <f>'WPB-2.1.D SMRP'!N77</f>
        <v>-157.47</v>
      </c>
      <c r="O154" s="1243">
        <f t="shared" si="24"/>
        <v>2921007.642</v>
      </c>
      <c r="P154" s="332"/>
    </row>
    <row r="155" spans="1:16">
      <c r="A155" s="361">
        <f t="shared" si="21"/>
        <v>24</v>
      </c>
      <c r="B155" s="365">
        <v>378.3</v>
      </c>
      <c r="C155" s="358" t="s">
        <v>396</v>
      </c>
      <c r="D155" s="1243">
        <f t="shared" si="22"/>
        <v>45443.08</v>
      </c>
      <c r="E155" s="1243">
        <v>0</v>
      </c>
      <c r="F155" s="1243">
        <v>0</v>
      </c>
      <c r="G155" s="1243">
        <f t="shared" si="25"/>
        <v>45443.08</v>
      </c>
      <c r="H155" s="1243"/>
      <c r="I155" s="1243">
        <f t="shared" si="23"/>
        <v>42117.73</v>
      </c>
      <c r="J155" s="1243"/>
      <c r="K155" s="1243">
        <v>95.43</v>
      </c>
      <c r="L155" s="1243">
        <v>0</v>
      </c>
      <c r="M155" s="1243">
        <f t="shared" si="26"/>
        <v>0</v>
      </c>
      <c r="N155" s="1243">
        <v>0</v>
      </c>
      <c r="O155" s="1243">
        <f t="shared" si="24"/>
        <v>42213.16</v>
      </c>
    </row>
    <row r="156" spans="1:16">
      <c r="A156" s="361">
        <f t="shared" si="21"/>
        <v>25</v>
      </c>
      <c r="B156" s="365">
        <v>379.1</v>
      </c>
      <c r="C156" s="358" t="s">
        <v>397</v>
      </c>
      <c r="D156" s="1243">
        <f t="shared" si="22"/>
        <v>1554144.06</v>
      </c>
      <c r="E156" s="1243">
        <v>0</v>
      </c>
      <c r="F156" s="1243">
        <v>0</v>
      </c>
      <c r="G156" s="1243">
        <f t="shared" si="25"/>
        <v>1554144.06</v>
      </c>
      <c r="H156" s="1243"/>
      <c r="I156" s="1243">
        <f t="shared" si="23"/>
        <v>316908.72000000003</v>
      </c>
      <c r="J156" s="1243"/>
      <c r="K156" s="1243">
        <v>3134.19</v>
      </c>
      <c r="L156" s="1243">
        <v>0</v>
      </c>
      <c r="M156" s="1243">
        <f t="shared" si="26"/>
        <v>0</v>
      </c>
      <c r="N156" s="1243">
        <v>0</v>
      </c>
      <c r="O156" s="1243">
        <f t="shared" si="24"/>
        <v>320042.91000000003</v>
      </c>
    </row>
    <row r="157" spans="1:16">
      <c r="A157" s="361">
        <f t="shared" si="21"/>
        <v>26</v>
      </c>
      <c r="B157" s="365">
        <v>380</v>
      </c>
      <c r="C157" s="358" t="s">
        <v>1623</v>
      </c>
      <c r="D157" s="1243">
        <f t="shared" si="22"/>
        <v>193276764.85684374</v>
      </c>
      <c r="E157" s="1243">
        <f>'WPB-2.1.D SMRP'!E81</f>
        <v>615055.30000000005</v>
      </c>
      <c r="F157" s="1243">
        <f>'WPB-2.1.D SMRP'!F81</f>
        <v>-23184.978973063713</v>
      </c>
      <c r="G157" s="1243">
        <f t="shared" si="25"/>
        <v>193868635.17787069</v>
      </c>
      <c r="H157" s="1243"/>
      <c r="I157" s="1243">
        <f t="shared" si="23"/>
        <v>52610790.153207764</v>
      </c>
      <c r="J157" s="1243"/>
      <c r="K157" s="1243">
        <f>'WPB-2.1.D SMRP'!K81</f>
        <v>655145.57299999997</v>
      </c>
      <c r="L157" s="1243">
        <v>0</v>
      </c>
      <c r="M157" s="1243">
        <f>F157</f>
        <v>-23184.978973063713</v>
      </c>
      <c r="N157" s="1243">
        <f>'WPB-2.1.D SMRP'!N81</f>
        <v>-16699.062660000011</v>
      </c>
      <c r="O157" s="1243">
        <f t="shared" si="24"/>
        <v>53226051.684574701</v>
      </c>
    </row>
    <row r="158" spans="1:16">
      <c r="A158" s="361">
        <f t="shared" si="21"/>
        <v>27</v>
      </c>
      <c r="B158" s="365">
        <v>381</v>
      </c>
      <c r="C158" s="358" t="s">
        <v>399</v>
      </c>
      <c r="D158" s="1243">
        <f t="shared" si="22"/>
        <v>19019479.050000001</v>
      </c>
      <c r="E158" s="1243">
        <v>417523.43</v>
      </c>
      <c r="F158" s="1243">
        <v>0</v>
      </c>
      <c r="G158" s="1243">
        <f t="shared" si="25"/>
        <v>19437002.48</v>
      </c>
      <c r="H158" s="1243"/>
      <c r="I158" s="1243">
        <f t="shared" si="23"/>
        <v>4695731.84</v>
      </c>
      <c r="J158" s="1243"/>
      <c r="K158" s="1243">
        <v>41981.66</v>
      </c>
      <c r="L158" s="1243">
        <v>0</v>
      </c>
      <c r="M158" s="1243">
        <f t="shared" si="26"/>
        <v>0</v>
      </c>
      <c r="N158" s="1243">
        <v>0</v>
      </c>
      <c r="O158" s="1243">
        <f t="shared" si="24"/>
        <v>4737713.5</v>
      </c>
    </row>
    <row r="159" spans="1:16">
      <c r="A159" s="361">
        <f t="shared" si="21"/>
        <v>28</v>
      </c>
      <c r="B159" s="365">
        <v>381.1</v>
      </c>
      <c r="C159" s="358" t="s">
        <v>2366</v>
      </c>
      <c r="D159" s="1243">
        <f t="shared" si="22"/>
        <v>9970104.75</v>
      </c>
      <c r="E159" s="1243">
        <v>10749.73</v>
      </c>
      <c r="F159" s="1243">
        <v>0</v>
      </c>
      <c r="G159" s="1243">
        <f t="shared" si="25"/>
        <v>9980854.4800000004</v>
      </c>
      <c r="H159" s="1243"/>
      <c r="I159" s="1243">
        <f t="shared" si="23"/>
        <v>4676621.37</v>
      </c>
      <c r="J159" s="1243"/>
      <c r="K159" s="1243">
        <v>62337.78</v>
      </c>
      <c r="L159" s="1243">
        <v>0</v>
      </c>
      <c r="M159" s="1243">
        <f t="shared" si="26"/>
        <v>0</v>
      </c>
      <c r="N159" s="1243">
        <v>0</v>
      </c>
      <c r="O159" s="1243">
        <f t="shared" si="24"/>
        <v>4738959.1500000004</v>
      </c>
    </row>
    <row r="160" spans="1:16">
      <c r="A160" s="361">
        <f t="shared" si="21"/>
        <v>29</v>
      </c>
      <c r="B160" s="365">
        <v>382</v>
      </c>
      <c r="C160" s="358" t="s">
        <v>1624</v>
      </c>
      <c r="D160" s="1243">
        <f t="shared" si="22"/>
        <v>10098839.18</v>
      </c>
      <c r="E160" s="1243">
        <f>'WPB-2.1.D SMRP'!E85</f>
        <v>26242.959999999999</v>
      </c>
      <c r="F160" s="1243">
        <f>'WPB-2.1.D SMRP'!F85</f>
        <v>0</v>
      </c>
      <c r="G160" s="1243">
        <f t="shared" si="25"/>
        <v>10125082.140000001</v>
      </c>
      <c r="H160" s="1243"/>
      <c r="I160" s="1243">
        <f t="shared" si="23"/>
        <v>5676291.3569999998</v>
      </c>
      <c r="J160" s="1243"/>
      <c r="K160" s="1243">
        <f>'WPB-2.1.D SMRP'!K85</f>
        <v>14914.851000000001</v>
      </c>
      <c r="L160" s="1243">
        <v>0</v>
      </c>
      <c r="M160" s="1243">
        <f t="shared" si="26"/>
        <v>0</v>
      </c>
      <c r="N160" s="1243">
        <f>'WPB-2.1.D SMRP'!N85</f>
        <v>0</v>
      </c>
      <c r="O160" s="1243">
        <f t="shared" si="24"/>
        <v>5691206.2079999996</v>
      </c>
    </row>
    <row r="161" spans="1:16">
      <c r="A161" s="361">
        <f t="shared" si="21"/>
        <v>30</v>
      </c>
      <c r="B161" s="365">
        <v>383</v>
      </c>
      <c r="C161" s="358" t="s">
        <v>1625</v>
      </c>
      <c r="D161" s="1243">
        <f t="shared" si="22"/>
        <v>7150140.8399999999</v>
      </c>
      <c r="E161" s="1243">
        <f>'WPB-2.1.D SMRP'!E89</f>
        <v>11751.6</v>
      </c>
      <c r="F161" s="1243">
        <f>'WPB-2.1.D SMRP'!F89</f>
        <v>0</v>
      </c>
      <c r="G161" s="1243">
        <f t="shared" si="25"/>
        <v>7161892.4399999995</v>
      </c>
      <c r="H161" s="1243"/>
      <c r="I161" s="1243">
        <f t="shared" si="23"/>
        <v>2358024.6129999999</v>
      </c>
      <c r="J161" s="1243"/>
      <c r="K161" s="1243">
        <f>'WPB-2.1.D SMRP'!K89</f>
        <v>11568.585999999999</v>
      </c>
      <c r="L161" s="1243">
        <v>0</v>
      </c>
      <c r="M161" s="1243">
        <f t="shared" si="26"/>
        <v>0</v>
      </c>
      <c r="N161" s="1243">
        <f>'WPB-2.1.D SMRP'!N89</f>
        <v>0</v>
      </c>
      <c r="O161" s="1243">
        <f t="shared" si="24"/>
        <v>2369593.199</v>
      </c>
    </row>
    <row r="162" spans="1:16">
      <c r="A162" s="361">
        <f t="shared" si="21"/>
        <v>31</v>
      </c>
      <c r="B162" s="365">
        <v>384</v>
      </c>
      <c r="C162" s="358" t="s">
        <v>402</v>
      </c>
      <c r="D162" s="1243">
        <f t="shared" si="22"/>
        <v>2085058.65</v>
      </c>
      <c r="E162" s="1243">
        <v>0</v>
      </c>
      <c r="F162" s="1243">
        <v>0</v>
      </c>
      <c r="G162" s="1243">
        <f t="shared" si="25"/>
        <v>2085058.65</v>
      </c>
      <c r="H162" s="1243"/>
      <c r="I162" s="1243">
        <f t="shared" si="23"/>
        <v>1709399.83</v>
      </c>
      <c r="J162" s="1243"/>
      <c r="K162" s="1243">
        <v>1720.17</v>
      </c>
      <c r="L162" s="1243">
        <v>0</v>
      </c>
      <c r="M162" s="1243">
        <f t="shared" si="26"/>
        <v>0</v>
      </c>
      <c r="N162" s="1243">
        <v>0</v>
      </c>
      <c r="O162" s="1243">
        <f t="shared" si="24"/>
        <v>1711120</v>
      </c>
    </row>
    <row r="163" spans="1:16">
      <c r="A163" s="361">
        <f t="shared" si="21"/>
        <v>32</v>
      </c>
      <c r="B163" s="365">
        <v>385</v>
      </c>
      <c r="C163" s="358" t="s">
        <v>403</v>
      </c>
      <c r="D163" s="1243">
        <f t="shared" si="22"/>
        <v>6020104</v>
      </c>
      <c r="E163" s="1243">
        <v>22795.230000000003</v>
      </c>
      <c r="F163" s="1243">
        <v>-8771.09</v>
      </c>
      <c r="G163" s="1243">
        <f t="shared" si="25"/>
        <v>6034128.1400000006</v>
      </c>
      <c r="H163" s="1243"/>
      <c r="I163" s="1243">
        <f t="shared" si="23"/>
        <v>768329.37000000011</v>
      </c>
      <c r="J163" s="1243"/>
      <c r="K163" s="1243">
        <v>18734.28</v>
      </c>
      <c r="L163" s="1243">
        <v>0</v>
      </c>
      <c r="M163" s="1243">
        <f t="shared" si="26"/>
        <v>-8771.09</v>
      </c>
      <c r="N163" s="1243">
        <v>-1558.89</v>
      </c>
      <c r="O163" s="1243">
        <f t="shared" si="24"/>
        <v>776733.67000000016</v>
      </c>
    </row>
    <row r="164" spans="1:16">
      <c r="A164" s="361">
        <f t="shared" si="21"/>
        <v>33</v>
      </c>
      <c r="B164" s="365">
        <v>387.2</v>
      </c>
      <c r="C164" s="358" t="s">
        <v>404</v>
      </c>
      <c r="D164" s="1243">
        <f t="shared" si="22"/>
        <v>0</v>
      </c>
      <c r="E164" s="1243">
        <v>0</v>
      </c>
      <c r="F164" s="1243">
        <v>0</v>
      </c>
      <c r="G164" s="1243">
        <f t="shared" si="25"/>
        <v>0</v>
      </c>
      <c r="H164" s="1243"/>
      <c r="I164" s="1243">
        <f t="shared" si="23"/>
        <v>-59912.03</v>
      </c>
      <c r="J164" s="1243"/>
      <c r="K164" s="1243">
        <v>0</v>
      </c>
      <c r="L164" s="1243">
        <v>0</v>
      </c>
      <c r="M164" s="1243">
        <f t="shared" si="26"/>
        <v>0</v>
      </c>
      <c r="N164" s="1243">
        <v>0</v>
      </c>
      <c r="O164" s="1243">
        <f t="shared" si="24"/>
        <v>-59912.03</v>
      </c>
    </row>
    <row r="165" spans="1:16">
      <c r="A165" s="361">
        <f t="shared" si="21"/>
        <v>34</v>
      </c>
      <c r="B165" s="365">
        <v>387.41</v>
      </c>
      <c r="C165" s="358" t="s">
        <v>405</v>
      </c>
      <c r="D165" s="1243">
        <f t="shared" si="22"/>
        <v>735015.32000000007</v>
      </c>
      <c r="E165" s="1243">
        <v>0</v>
      </c>
      <c r="F165" s="1243">
        <v>0</v>
      </c>
      <c r="G165" s="1243">
        <f t="shared" si="25"/>
        <v>735015.32000000007</v>
      </c>
      <c r="H165" s="1243"/>
      <c r="I165" s="1243">
        <f t="shared" si="23"/>
        <v>524503.82999999996</v>
      </c>
      <c r="J165" s="1243"/>
      <c r="K165" s="1243">
        <v>1892.66</v>
      </c>
      <c r="L165" s="1243">
        <v>0</v>
      </c>
      <c r="M165" s="1243">
        <f t="shared" si="26"/>
        <v>0</v>
      </c>
      <c r="N165" s="1243">
        <v>0</v>
      </c>
      <c r="O165" s="1243">
        <f t="shared" si="24"/>
        <v>526396.49</v>
      </c>
    </row>
    <row r="166" spans="1:16">
      <c r="A166" s="361">
        <f t="shared" si="21"/>
        <v>35</v>
      </c>
      <c r="B166" s="365">
        <v>387.42</v>
      </c>
      <c r="C166" s="358" t="s">
        <v>406</v>
      </c>
      <c r="D166" s="1243">
        <f t="shared" si="22"/>
        <v>786896.82000000007</v>
      </c>
      <c r="E166" s="1243">
        <v>0</v>
      </c>
      <c r="F166" s="1243">
        <v>0</v>
      </c>
      <c r="G166" s="1243">
        <f t="shared" si="25"/>
        <v>786896.82000000007</v>
      </c>
      <c r="H166" s="1243"/>
      <c r="I166" s="1243">
        <f t="shared" si="23"/>
        <v>696310.85</v>
      </c>
      <c r="J166" s="1243"/>
      <c r="K166" s="1243">
        <v>2124.62</v>
      </c>
      <c r="L166" s="1243">
        <v>0</v>
      </c>
      <c r="M166" s="1243">
        <f t="shared" si="26"/>
        <v>0</v>
      </c>
      <c r="N166" s="1243">
        <v>0</v>
      </c>
      <c r="O166" s="1243">
        <f t="shared" si="24"/>
        <v>698435.47</v>
      </c>
    </row>
    <row r="167" spans="1:16">
      <c r="A167" s="361">
        <f t="shared" si="21"/>
        <v>36</v>
      </c>
      <c r="B167" s="365">
        <v>387.44</v>
      </c>
      <c r="C167" s="358" t="s">
        <v>407</v>
      </c>
      <c r="D167" s="1243">
        <f t="shared" si="22"/>
        <v>124678.76000000001</v>
      </c>
      <c r="E167" s="1243">
        <v>0</v>
      </c>
      <c r="F167" s="1243">
        <v>0</v>
      </c>
      <c r="G167" s="1243">
        <f t="shared" si="25"/>
        <v>124678.76000000001</v>
      </c>
      <c r="H167" s="1243"/>
      <c r="I167" s="1243">
        <f t="shared" si="23"/>
        <v>63712.49</v>
      </c>
      <c r="J167" s="1243"/>
      <c r="K167" s="1243">
        <v>336.63</v>
      </c>
      <c r="L167" s="1243">
        <v>0</v>
      </c>
      <c r="M167" s="1243">
        <f t="shared" si="26"/>
        <v>0</v>
      </c>
      <c r="N167" s="1243">
        <v>0</v>
      </c>
      <c r="O167" s="1243">
        <f t="shared" si="24"/>
        <v>64049.119999999995</v>
      </c>
    </row>
    <row r="168" spans="1:16">
      <c r="A168" s="361">
        <f t="shared" si="21"/>
        <v>37</v>
      </c>
      <c r="B168" s="365">
        <v>387.45</v>
      </c>
      <c r="C168" s="358" t="s">
        <v>408</v>
      </c>
      <c r="D168" s="1243">
        <f t="shared" si="22"/>
        <v>5760124.9900000002</v>
      </c>
      <c r="E168" s="1243">
        <v>0</v>
      </c>
      <c r="F168" s="1243">
        <v>-21511.84</v>
      </c>
      <c r="G168" s="1243">
        <f t="shared" si="25"/>
        <v>5738613.1500000004</v>
      </c>
      <c r="H168" s="1243"/>
      <c r="I168" s="1243">
        <f t="shared" si="23"/>
        <v>-74144.939999999988</v>
      </c>
      <c r="J168" s="1243"/>
      <c r="K168" s="1243">
        <v>15523.300000000001</v>
      </c>
      <c r="L168" s="1243">
        <v>0</v>
      </c>
      <c r="M168" s="1243">
        <f t="shared" si="26"/>
        <v>-21511.84</v>
      </c>
      <c r="N168" s="1243">
        <v>-890.80000000000007</v>
      </c>
      <c r="O168" s="1243">
        <f t="shared" si="24"/>
        <v>-81024.279999999984</v>
      </c>
    </row>
    <row r="169" spans="1:16">
      <c r="A169" s="361">
        <f t="shared" si="21"/>
        <v>38</v>
      </c>
      <c r="B169" s="365">
        <v>387.46</v>
      </c>
      <c r="C169" s="358" t="s">
        <v>409</v>
      </c>
      <c r="D169" s="1243">
        <f t="shared" si="22"/>
        <v>113644.47</v>
      </c>
      <c r="E169" s="1243">
        <v>0</v>
      </c>
      <c r="F169" s="1243">
        <v>0</v>
      </c>
      <c r="G169" s="1243">
        <f t="shared" si="25"/>
        <v>113644.47</v>
      </c>
      <c r="H169" s="1243"/>
      <c r="I169" s="1243">
        <f t="shared" si="23"/>
        <v>114497.07</v>
      </c>
      <c r="J169" s="1243"/>
      <c r="K169" s="1243">
        <v>0</v>
      </c>
      <c r="L169" s="1243">
        <v>0</v>
      </c>
      <c r="M169" s="1243">
        <f t="shared" si="26"/>
        <v>0</v>
      </c>
      <c r="N169" s="1243">
        <v>0</v>
      </c>
      <c r="O169" s="1243">
        <f t="shared" si="24"/>
        <v>114497.07</v>
      </c>
    </row>
    <row r="170" spans="1:16">
      <c r="A170" s="361">
        <f t="shared" si="21"/>
        <v>39</v>
      </c>
      <c r="B170" s="365">
        <v>387.5</v>
      </c>
      <c r="C170" s="358" t="s">
        <v>1075</v>
      </c>
      <c r="D170" s="1244">
        <f t="shared" si="22"/>
        <v>235051.94</v>
      </c>
      <c r="E170" s="1244">
        <v>0</v>
      </c>
      <c r="F170" s="1244">
        <v>0</v>
      </c>
      <c r="G170" s="1244">
        <f t="shared" si="25"/>
        <v>235051.94</v>
      </c>
      <c r="H170" s="1243"/>
      <c r="I170" s="1244">
        <f t="shared" si="23"/>
        <v>36005.08</v>
      </c>
      <c r="J170" s="1243"/>
      <c r="K170" s="1244">
        <v>605.26</v>
      </c>
      <c r="L170" s="1244">
        <v>0</v>
      </c>
      <c r="M170" s="1244">
        <f t="shared" si="26"/>
        <v>0</v>
      </c>
      <c r="N170" s="1244">
        <v>0</v>
      </c>
      <c r="O170" s="1244">
        <f t="shared" si="24"/>
        <v>36610.340000000004</v>
      </c>
    </row>
    <row r="171" spans="1:16">
      <c r="A171" s="361">
        <f t="shared" si="21"/>
        <v>40</v>
      </c>
      <c r="C171" s="358" t="s">
        <v>1601</v>
      </c>
      <c r="D171" s="1243">
        <f>SUM(D141:D170)</f>
        <v>702128312.10684383</v>
      </c>
      <c r="E171" s="1243">
        <f>SUM(E141:E170)</f>
        <v>2468331.8000000003</v>
      </c>
      <c r="F171" s="1243">
        <f>SUM(F141:F170)</f>
        <v>-121568.4389730637</v>
      </c>
      <c r="G171" s="1243">
        <f>SUM(G141:G170)</f>
        <v>704475075.46787083</v>
      </c>
      <c r="H171" s="1243"/>
      <c r="I171" s="1243">
        <f>SUM(I141:I170)</f>
        <v>160091086.61920783</v>
      </c>
      <c r="J171" s="1243"/>
      <c r="K171" s="1243">
        <f>SUM(K141:K170)</f>
        <v>1497802.5889999997</v>
      </c>
      <c r="L171" s="1243">
        <f>SUM(L141:L170)</f>
        <v>0</v>
      </c>
      <c r="M171" s="1243">
        <f>SUM(M141:M170)</f>
        <v>-121568.4389730637</v>
      </c>
      <c r="N171" s="1243">
        <f>SUM(N141:N170)</f>
        <v>-22446.61266000001</v>
      </c>
      <c r="O171" s="1243">
        <f>SUM(O141:O170)</f>
        <v>161444874.1565747</v>
      </c>
    </row>
    <row r="172" spans="1:16">
      <c r="B172" s="367"/>
      <c r="C172" s="368"/>
      <c r="D172" s="369"/>
      <c r="E172" s="369"/>
      <c r="F172" s="369"/>
      <c r="G172" s="369"/>
      <c r="I172" s="369"/>
      <c r="J172" s="369"/>
      <c r="K172" s="369"/>
      <c r="L172" s="369"/>
      <c r="M172" s="369"/>
      <c r="N172" s="369"/>
      <c r="O172" s="369"/>
    </row>
    <row r="173" spans="1:16">
      <c r="I173" s="369"/>
      <c r="J173" s="369"/>
      <c r="K173" s="369"/>
      <c r="L173" s="369"/>
      <c r="M173" s="369"/>
      <c r="N173" s="369"/>
      <c r="O173" s="369"/>
    </row>
    <row r="174" spans="1:16" s="291" customFormat="1">
      <c r="A174" s="1308" t="str">
        <f>$A$1</f>
        <v>COLUMBIA GAS OF KENTUCKY, INC.</v>
      </c>
      <c r="B174" s="1308"/>
      <c r="C174" s="1308"/>
      <c r="D174" s="1308"/>
      <c r="E174" s="1308"/>
      <c r="F174" s="1308"/>
      <c r="G174" s="1308"/>
      <c r="H174" s="1308"/>
      <c r="I174" s="1308"/>
      <c r="J174" s="1308"/>
      <c r="K174" s="1308"/>
      <c r="L174" s="1308"/>
      <c r="M174" s="1308"/>
      <c r="N174" s="1308"/>
      <c r="O174" s="1308"/>
    </row>
    <row r="175" spans="1:16" s="291" customFormat="1">
      <c r="A175" s="1308" t="str">
        <f>$A$2</f>
        <v>CASE NO. 2024 - 00092</v>
      </c>
      <c r="B175" s="1308"/>
      <c r="C175" s="1308"/>
      <c r="D175" s="1308"/>
      <c r="E175" s="1308"/>
      <c r="F175" s="1308"/>
      <c r="G175" s="1308"/>
      <c r="H175" s="1308"/>
      <c r="I175" s="1308"/>
      <c r="J175" s="1308"/>
      <c r="K175" s="1308"/>
      <c r="L175" s="1308"/>
      <c r="M175" s="1308"/>
      <c r="N175" s="1308"/>
      <c r="O175" s="1308"/>
    </row>
    <row r="176" spans="1:16" s="291" customFormat="1">
      <c r="A176" s="1308" t="str">
        <f>$A$3</f>
        <v>DETAIL OF ACTUAL &amp; FORECASTED PLANT, ACCUMULATED RESERVE &amp; DEPRECIATION EXPENSE</v>
      </c>
      <c r="B176" s="1308"/>
      <c r="C176" s="1308"/>
      <c r="D176" s="1308"/>
      <c r="E176" s="1308"/>
      <c r="F176" s="1308"/>
      <c r="G176" s="1308"/>
      <c r="H176" s="1308"/>
      <c r="I176" s="1308"/>
      <c r="J176" s="1308"/>
      <c r="K176" s="1308"/>
      <c r="L176" s="1308"/>
      <c r="M176" s="1308"/>
      <c r="N176" s="1308"/>
      <c r="O176" s="1308"/>
      <c r="P176" s="357"/>
    </row>
    <row r="177" spans="1:16" s="291" customFormat="1">
      <c r="A177" s="1308" t="str">
        <f>$A$4</f>
        <v>FROM JANUARY 01, 2023 THROUGH DECEMBER 31, 2025</v>
      </c>
      <c r="B177" s="1308"/>
      <c r="C177" s="1308"/>
      <c r="D177" s="1308"/>
      <c r="E177" s="1308"/>
      <c r="F177" s="1308"/>
      <c r="G177" s="1308"/>
      <c r="H177" s="1308"/>
      <c r="I177" s="1308"/>
      <c r="J177" s="1308"/>
      <c r="K177" s="1308"/>
      <c r="L177" s="1308"/>
      <c r="M177" s="1308"/>
      <c r="N177" s="1308"/>
      <c r="O177" s="1308"/>
    </row>
    <row r="178" spans="1:16" s="291" customFormat="1">
      <c r="B178" s="293"/>
      <c r="P178" s="312"/>
    </row>
    <row r="179" spans="1:16" s="291" customFormat="1">
      <c r="A179" s="297" t="str">
        <f>$A$6</f>
        <v xml:space="preserve">DATA: _X_ BASE PERIOD _X_ FORECASTED PERIOD     </v>
      </c>
      <c r="B179" s="293"/>
      <c r="O179" s="312" t="str">
        <f>$O$6</f>
        <v>WPB-2.1.C</v>
      </c>
      <c r="P179" s="312"/>
    </row>
    <row r="180" spans="1:16" s="291" customFormat="1">
      <c r="A180" s="297" t="str">
        <f>$A$7</f>
        <v>TYPE OF FILING:___X___ORIGINAL______UPDATED</v>
      </c>
      <c r="B180" s="293"/>
      <c r="O180" s="312" t="s">
        <v>2219</v>
      </c>
      <c r="P180" s="312"/>
    </row>
    <row r="181" spans="1:16" s="291" customFormat="1">
      <c r="A181" s="297" t="str">
        <f>$A$8</f>
        <v>WORKPAPER REFERENCE NO(S).:</v>
      </c>
      <c r="B181" s="293"/>
      <c r="O181" s="312" t="str">
        <f>$O$8</f>
        <v>WITNESS: GORE</v>
      </c>
    </row>
    <row r="182" spans="1:16">
      <c r="A182" s="918"/>
      <c r="B182" s="919"/>
      <c r="C182" s="918"/>
      <c r="D182" s="918"/>
      <c r="E182" s="918"/>
      <c r="F182" s="918"/>
      <c r="G182" s="918"/>
      <c r="H182" s="918"/>
      <c r="I182" s="918"/>
      <c r="J182" s="918"/>
      <c r="K182" s="918"/>
      <c r="L182" s="918"/>
      <c r="M182" s="918"/>
      <c r="N182" s="918"/>
      <c r="O182" s="920"/>
    </row>
    <row r="183" spans="1:16">
      <c r="D183" s="1311" t="s">
        <v>1768</v>
      </c>
      <c r="E183" s="1311"/>
      <c r="F183" s="1311"/>
      <c r="G183" s="1311"/>
      <c r="I183" s="1311" t="s">
        <v>1769</v>
      </c>
      <c r="J183" s="1311"/>
      <c r="K183" s="1311"/>
      <c r="L183" s="1311"/>
      <c r="M183" s="1311"/>
      <c r="N183" s="1311"/>
      <c r="O183" s="1311"/>
    </row>
    <row r="184" spans="1:16">
      <c r="D184" s="360">
        <f>D125</f>
        <v>44958</v>
      </c>
      <c r="G184" s="360">
        <f>G125</f>
        <v>44985</v>
      </c>
      <c r="I184" s="360">
        <f>D184</f>
        <v>44958</v>
      </c>
      <c r="O184" s="360">
        <f>G184</f>
        <v>44985</v>
      </c>
    </row>
    <row r="185" spans="1:16">
      <c r="D185" s="361" t="s">
        <v>1757</v>
      </c>
      <c r="G185" s="361" t="s">
        <v>1757</v>
      </c>
      <c r="I185" s="361" t="s">
        <v>1758</v>
      </c>
      <c r="J185" s="361" t="s">
        <v>488</v>
      </c>
      <c r="L185" s="361" t="s">
        <v>1758</v>
      </c>
      <c r="O185" s="361" t="s">
        <v>1758</v>
      </c>
    </row>
    <row r="186" spans="1:16">
      <c r="A186" s="361" t="s">
        <v>1770</v>
      </c>
      <c r="B186" s="361" t="s">
        <v>368</v>
      </c>
      <c r="C186" s="361"/>
      <c r="D186" s="361" t="s">
        <v>437</v>
      </c>
      <c r="G186" s="361" t="s">
        <v>439</v>
      </c>
      <c r="I186" s="361" t="s">
        <v>437</v>
      </c>
      <c r="J186" s="361" t="s">
        <v>1771</v>
      </c>
      <c r="K186" s="361" t="s">
        <v>1772</v>
      </c>
      <c r="L186" s="361" t="s">
        <v>1759</v>
      </c>
      <c r="N186" s="361" t="s">
        <v>1760</v>
      </c>
      <c r="O186" s="361" t="s">
        <v>439</v>
      </c>
    </row>
    <row r="187" spans="1:16">
      <c r="A187" s="364" t="s">
        <v>316</v>
      </c>
      <c r="B187" s="364" t="s">
        <v>316</v>
      </c>
      <c r="C187" s="364" t="s">
        <v>451</v>
      </c>
      <c r="D187" s="364" t="s">
        <v>441</v>
      </c>
      <c r="E187" s="364" t="s">
        <v>442</v>
      </c>
      <c r="F187" s="364" t="s">
        <v>443</v>
      </c>
      <c r="G187" s="364" t="s">
        <v>441</v>
      </c>
      <c r="I187" s="364" t="s">
        <v>441</v>
      </c>
      <c r="J187" s="364" t="s">
        <v>1773</v>
      </c>
      <c r="K187" s="364" t="s">
        <v>1771</v>
      </c>
      <c r="L187" s="364" t="s">
        <v>355</v>
      </c>
      <c r="M187" s="364" t="s">
        <v>443</v>
      </c>
      <c r="N187" s="364" t="s">
        <v>1763</v>
      </c>
      <c r="O187" s="364" t="s">
        <v>441</v>
      </c>
    </row>
    <row r="188" spans="1:16">
      <c r="D188" s="361" t="s">
        <v>532</v>
      </c>
      <c r="E188" s="361" t="s">
        <v>541</v>
      </c>
      <c r="F188" s="361" t="s">
        <v>542</v>
      </c>
      <c r="G188" s="361" t="s">
        <v>1764</v>
      </c>
      <c r="I188" s="334" t="str">
        <f>"(5)"</f>
        <v>(5)</v>
      </c>
      <c r="J188" s="334" t="str">
        <f>"(6)"</f>
        <v>(6)</v>
      </c>
      <c r="K188" s="334" t="str">
        <f>"(7)"</f>
        <v>(7)</v>
      </c>
      <c r="L188" s="334" t="str">
        <f>"(8)"</f>
        <v>(8)</v>
      </c>
      <c r="M188" s="334" t="str">
        <f>"(9)"</f>
        <v>(9)</v>
      </c>
      <c r="N188" s="334" t="str">
        <f>"(10)"</f>
        <v>(10)</v>
      </c>
      <c r="O188" s="334" t="str">
        <f>"(11=5+7+8+9+10)"</f>
        <v>(11=5+7+8+9+10)</v>
      </c>
    </row>
    <row r="189" spans="1:16">
      <c r="D189" s="361" t="s">
        <v>320</v>
      </c>
      <c r="E189" s="361" t="s">
        <v>320</v>
      </c>
      <c r="F189" s="361" t="s">
        <v>320</v>
      </c>
      <c r="G189" s="361" t="s">
        <v>320</v>
      </c>
      <c r="I189" s="334" t="s">
        <v>320</v>
      </c>
      <c r="J189" s="334" t="s">
        <v>529</v>
      </c>
      <c r="K189" s="334" t="s">
        <v>320</v>
      </c>
      <c r="L189" s="334" t="s">
        <v>320</v>
      </c>
      <c r="M189" s="334" t="s">
        <v>320</v>
      </c>
      <c r="N189" s="334" t="s">
        <v>320</v>
      </c>
      <c r="O189" s="334" t="s">
        <v>320</v>
      </c>
    </row>
    <row r="190" spans="1:16">
      <c r="A190" s="361">
        <v>1</v>
      </c>
      <c r="B190" s="363" t="s">
        <v>411</v>
      </c>
      <c r="D190" s="361"/>
      <c r="E190" s="361"/>
      <c r="F190" s="361"/>
      <c r="G190" s="361"/>
      <c r="I190" s="334"/>
      <c r="J190" s="334"/>
      <c r="K190" s="334"/>
      <c r="L190" s="334"/>
      <c r="M190" s="334"/>
      <c r="N190" s="334"/>
      <c r="O190" s="334"/>
    </row>
    <row r="191" spans="1:16">
      <c r="A191" s="361">
        <f>A190+1</f>
        <v>2</v>
      </c>
      <c r="B191" s="365">
        <v>391.1</v>
      </c>
      <c r="C191" s="358" t="s">
        <v>412</v>
      </c>
      <c r="D191" s="1243">
        <f t="shared" ref="D191:D204" si="27">G77</f>
        <v>735526.56</v>
      </c>
      <c r="E191" s="1243">
        <v>84840.1</v>
      </c>
      <c r="F191" s="1243">
        <v>0</v>
      </c>
      <c r="G191" s="1243">
        <f>SUM(D191:F191)</f>
        <v>820366.66</v>
      </c>
      <c r="H191" s="1243"/>
      <c r="I191" s="1245">
        <f t="shared" ref="I191:I204" si="28">O77</f>
        <v>71320.33</v>
      </c>
      <c r="J191" s="1243"/>
      <c r="K191" s="1243">
        <v>10963.36</v>
      </c>
      <c r="L191" s="1243">
        <v>0</v>
      </c>
      <c r="M191" s="1243">
        <f t="shared" ref="M191:M204" si="29">-F191</f>
        <v>0</v>
      </c>
      <c r="N191" s="1243">
        <v>0</v>
      </c>
      <c r="O191" s="1243">
        <f t="shared" ref="O191:O204" si="30">I191+K191+L191+M191+N191</f>
        <v>82283.69</v>
      </c>
    </row>
    <row r="192" spans="1:16">
      <c r="A192" s="361">
        <f t="shared" ref="A192:A205" si="31">A191+1</f>
        <v>3</v>
      </c>
      <c r="B192" s="365">
        <v>391.11</v>
      </c>
      <c r="C192" s="358" t="s">
        <v>413</v>
      </c>
      <c r="D192" s="1243">
        <f t="shared" si="27"/>
        <v>0</v>
      </c>
      <c r="E192" s="1243">
        <v>0</v>
      </c>
      <c r="F192" s="1243">
        <v>0</v>
      </c>
      <c r="G192" s="1243">
        <f t="shared" ref="G192:G199" si="32">SUM(D192:F192)</f>
        <v>0</v>
      </c>
      <c r="H192" s="1243"/>
      <c r="I192" s="1245">
        <f t="shared" si="28"/>
        <v>-19794.37</v>
      </c>
      <c r="J192" s="1243"/>
      <c r="K192" s="1243">
        <v>860.58</v>
      </c>
      <c r="L192" s="1243">
        <v>0</v>
      </c>
      <c r="M192" s="1243">
        <f t="shared" si="29"/>
        <v>0</v>
      </c>
      <c r="N192" s="1243">
        <v>0</v>
      </c>
      <c r="O192" s="1243">
        <f t="shared" si="30"/>
        <v>-18933.789999999997</v>
      </c>
    </row>
    <row r="193" spans="1:15">
      <c r="A193" s="361">
        <f t="shared" si="31"/>
        <v>4</v>
      </c>
      <c r="B193" s="365">
        <v>391.12</v>
      </c>
      <c r="C193" s="358" t="s">
        <v>414</v>
      </c>
      <c r="D193" s="1243">
        <f t="shared" si="27"/>
        <v>115834.19</v>
      </c>
      <c r="E193" s="1243">
        <v>0</v>
      </c>
      <c r="F193" s="1243">
        <v>-24700.93</v>
      </c>
      <c r="G193" s="1243">
        <f t="shared" si="32"/>
        <v>91133.260000000009</v>
      </c>
      <c r="H193" s="1243"/>
      <c r="I193" s="1245">
        <f t="shared" si="28"/>
        <v>56817.08</v>
      </c>
      <c r="J193" s="1243"/>
      <c r="K193" s="1243">
        <v>4565.1500000000005</v>
      </c>
      <c r="L193" s="1243">
        <v>0</v>
      </c>
      <c r="M193" s="1243">
        <f>F193</f>
        <v>-24700.93</v>
      </c>
      <c r="N193" s="1243">
        <v>0</v>
      </c>
      <c r="O193" s="1243">
        <f t="shared" si="30"/>
        <v>36681.300000000003</v>
      </c>
    </row>
    <row r="194" spans="1:15">
      <c r="A194" s="361">
        <f t="shared" si="31"/>
        <v>5</v>
      </c>
      <c r="B194" s="365">
        <v>392.2</v>
      </c>
      <c r="C194" s="358" t="s">
        <v>524</v>
      </c>
      <c r="D194" s="1243">
        <f t="shared" si="27"/>
        <v>95778</v>
      </c>
      <c r="E194" s="1243">
        <v>0</v>
      </c>
      <c r="F194" s="1243">
        <v>0</v>
      </c>
      <c r="G194" s="1243">
        <f t="shared" si="32"/>
        <v>95778</v>
      </c>
      <c r="H194" s="1243"/>
      <c r="I194" s="1245">
        <f t="shared" si="28"/>
        <v>63189.77</v>
      </c>
      <c r="J194" s="1243"/>
      <c r="K194" s="1243">
        <v>71.84</v>
      </c>
      <c r="L194" s="1243">
        <v>0</v>
      </c>
      <c r="M194" s="1243">
        <f t="shared" si="29"/>
        <v>0</v>
      </c>
      <c r="N194" s="1243">
        <v>0</v>
      </c>
      <c r="O194" s="1243">
        <f t="shared" si="30"/>
        <v>63261.609999999993</v>
      </c>
    </row>
    <row r="195" spans="1:15">
      <c r="A195" s="361">
        <f t="shared" si="31"/>
        <v>6</v>
      </c>
      <c r="B195" s="365">
        <v>392.21</v>
      </c>
      <c r="C195" s="358" t="s">
        <v>415</v>
      </c>
      <c r="D195" s="1243">
        <f t="shared" si="27"/>
        <v>24462.2</v>
      </c>
      <c r="E195" s="1243">
        <v>0</v>
      </c>
      <c r="F195" s="1243">
        <v>0</v>
      </c>
      <c r="G195" s="1243">
        <f t="shared" si="32"/>
        <v>24462.2</v>
      </c>
      <c r="H195" s="1243"/>
      <c r="I195" s="1245">
        <f t="shared" si="28"/>
        <v>44754.01</v>
      </c>
      <c r="J195" s="1243"/>
      <c r="K195" s="1243">
        <v>0</v>
      </c>
      <c r="L195" s="1243">
        <v>0</v>
      </c>
      <c r="M195" s="1243">
        <f t="shared" si="29"/>
        <v>0</v>
      </c>
      <c r="N195" s="1243">
        <v>0</v>
      </c>
      <c r="O195" s="1243">
        <f t="shared" si="30"/>
        <v>44754.01</v>
      </c>
    </row>
    <row r="196" spans="1:15">
      <c r="A196" s="361">
        <f t="shared" si="31"/>
        <v>7</v>
      </c>
      <c r="B196" s="365">
        <v>393</v>
      </c>
      <c r="C196" s="358" t="s">
        <v>416</v>
      </c>
      <c r="D196" s="1243">
        <f t="shared" si="27"/>
        <v>0</v>
      </c>
      <c r="E196" s="1243">
        <v>0</v>
      </c>
      <c r="F196" s="1243">
        <v>0</v>
      </c>
      <c r="G196" s="1243">
        <f t="shared" si="32"/>
        <v>0</v>
      </c>
      <c r="H196" s="1243"/>
      <c r="I196" s="1245">
        <f t="shared" si="28"/>
        <v>0</v>
      </c>
      <c r="J196" s="1243"/>
      <c r="K196" s="1243">
        <v>0</v>
      </c>
      <c r="L196" s="1243">
        <v>0</v>
      </c>
      <c r="M196" s="1243">
        <f t="shared" si="29"/>
        <v>0</v>
      </c>
      <c r="N196" s="1243">
        <v>0</v>
      </c>
      <c r="O196" s="1243">
        <f t="shared" si="30"/>
        <v>0</v>
      </c>
    </row>
    <row r="197" spans="1:15">
      <c r="A197" s="361">
        <f t="shared" si="31"/>
        <v>8</v>
      </c>
      <c r="B197" s="365">
        <v>394.1</v>
      </c>
      <c r="C197" s="358" t="s">
        <v>417</v>
      </c>
      <c r="D197" s="1243">
        <f t="shared" si="27"/>
        <v>9739</v>
      </c>
      <c r="E197" s="1243">
        <v>0</v>
      </c>
      <c r="F197" s="1243">
        <v>0</v>
      </c>
      <c r="G197" s="1243">
        <f t="shared" si="32"/>
        <v>9739</v>
      </c>
      <c r="H197" s="1243"/>
      <c r="I197" s="1245">
        <f t="shared" si="28"/>
        <v>3718.09</v>
      </c>
      <c r="J197" s="1243"/>
      <c r="K197" s="1243">
        <v>32.46</v>
      </c>
      <c r="L197" s="1243">
        <v>0</v>
      </c>
      <c r="M197" s="1243">
        <f t="shared" si="29"/>
        <v>0</v>
      </c>
      <c r="N197" s="1243">
        <v>0</v>
      </c>
      <c r="O197" s="1243">
        <f t="shared" si="30"/>
        <v>3750.55</v>
      </c>
    </row>
    <row r="198" spans="1:15">
      <c r="A198" s="361">
        <f t="shared" si="31"/>
        <v>9</v>
      </c>
      <c r="B198" s="365">
        <v>394.11</v>
      </c>
      <c r="C198" s="358" t="s">
        <v>418</v>
      </c>
      <c r="D198" s="1243">
        <f t="shared" si="27"/>
        <v>0</v>
      </c>
      <c r="E198" s="1243">
        <v>0</v>
      </c>
      <c r="F198" s="1243">
        <v>0</v>
      </c>
      <c r="G198" s="1243">
        <f t="shared" si="32"/>
        <v>0</v>
      </c>
      <c r="H198" s="1243"/>
      <c r="I198" s="1245">
        <f t="shared" si="28"/>
        <v>-24209.25</v>
      </c>
      <c r="J198" s="1243"/>
      <c r="K198" s="1243">
        <v>-1862.25</v>
      </c>
      <c r="L198" s="1243">
        <v>0</v>
      </c>
      <c r="M198" s="1243">
        <f t="shared" si="29"/>
        <v>0</v>
      </c>
      <c r="N198" s="1243">
        <v>0</v>
      </c>
      <c r="O198" s="1243">
        <f t="shared" si="30"/>
        <v>-26071.5</v>
      </c>
    </row>
    <row r="199" spans="1:15">
      <c r="A199" s="361">
        <f t="shared" si="31"/>
        <v>10</v>
      </c>
      <c r="B199" s="365">
        <v>394.13</v>
      </c>
      <c r="C199" s="358" t="s">
        <v>515</v>
      </c>
      <c r="D199" s="1243">
        <f t="shared" si="27"/>
        <v>0</v>
      </c>
      <c r="E199" s="1243">
        <v>0</v>
      </c>
      <c r="F199" s="1243">
        <v>0</v>
      </c>
      <c r="G199" s="1243">
        <f t="shared" si="32"/>
        <v>0</v>
      </c>
      <c r="H199" s="1243"/>
      <c r="I199" s="1245">
        <f t="shared" si="28"/>
        <v>37937.360000000001</v>
      </c>
      <c r="J199" s="1243"/>
      <c r="K199" s="1243">
        <v>0</v>
      </c>
      <c r="L199" s="1243">
        <v>0</v>
      </c>
      <c r="M199" s="1243">
        <f t="shared" si="29"/>
        <v>0</v>
      </c>
      <c r="N199" s="1243">
        <v>0</v>
      </c>
      <c r="O199" s="1243">
        <f t="shared" si="30"/>
        <v>37937.360000000001</v>
      </c>
    </row>
    <row r="200" spans="1:15">
      <c r="A200" s="361">
        <f t="shared" si="31"/>
        <v>11</v>
      </c>
      <c r="B200" s="365">
        <v>394.2</v>
      </c>
      <c r="C200" s="358" t="s">
        <v>420</v>
      </c>
      <c r="D200" s="1243">
        <f t="shared" si="27"/>
        <v>0</v>
      </c>
      <c r="E200" s="1243">
        <v>0</v>
      </c>
      <c r="F200" s="1243">
        <v>0</v>
      </c>
      <c r="G200" s="1243">
        <f>SUM(D200:F200)</f>
        <v>0</v>
      </c>
      <c r="H200" s="1243"/>
      <c r="I200" s="1245">
        <f t="shared" si="28"/>
        <v>185.21</v>
      </c>
      <c r="J200" s="1243"/>
      <c r="K200" s="1243">
        <v>0</v>
      </c>
      <c r="L200" s="1243">
        <v>0</v>
      </c>
      <c r="M200" s="1243">
        <f t="shared" si="29"/>
        <v>0</v>
      </c>
      <c r="N200" s="1243">
        <v>0</v>
      </c>
      <c r="O200" s="1243">
        <f t="shared" si="30"/>
        <v>185.21</v>
      </c>
    </row>
    <row r="201" spans="1:15">
      <c r="A201" s="361">
        <f t="shared" si="31"/>
        <v>12</v>
      </c>
      <c r="B201" s="365">
        <v>394.3</v>
      </c>
      <c r="C201" s="358" t="s">
        <v>1602</v>
      </c>
      <c r="D201" s="1243">
        <f t="shared" si="27"/>
        <v>4728100.1100000003</v>
      </c>
      <c r="E201" s="1243">
        <v>55534.99</v>
      </c>
      <c r="F201" s="1243">
        <v>0</v>
      </c>
      <c r="G201" s="1243">
        <f>SUM(D201:F201)</f>
        <v>4783635.1000000006</v>
      </c>
      <c r="H201" s="1243"/>
      <c r="I201" s="1245">
        <f t="shared" si="28"/>
        <v>1530109.63</v>
      </c>
      <c r="J201" s="1243"/>
      <c r="K201" s="1243">
        <v>15852.890000000001</v>
      </c>
      <c r="L201" s="1243">
        <v>0</v>
      </c>
      <c r="M201" s="1243">
        <f t="shared" si="29"/>
        <v>0</v>
      </c>
      <c r="N201" s="1243">
        <v>0</v>
      </c>
      <c r="O201" s="1243">
        <f t="shared" si="30"/>
        <v>1545962.5199999998</v>
      </c>
    </row>
    <row r="202" spans="1:15">
      <c r="A202" s="361">
        <f t="shared" si="31"/>
        <v>13</v>
      </c>
      <c r="B202" s="365">
        <v>395</v>
      </c>
      <c r="C202" s="358" t="s">
        <v>422</v>
      </c>
      <c r="D202" s="1243">
        <f t="shared" si="27"/>
        <v>4162.05</v>
      </c>
      <c r="E202" s="1243">
        <v>0</v>
      </c>
      <c r="F202" s="1243">
        <v>0</v>
      </c>
      <c r="G202" s="1243">
        <f>SUM(D202:F202)</f>
        <v>4162.05</v>
      </c>
      <c r="H202" s="1243"/>
      <c r="I202" s="1245">
        <f t="shared" si="28"/>
        <v>3861.61</v>
      </c>
      <c r="J202" s="1243"/>
      <c r="K202" s="1243">
        <v>17.670000000000002</v>
      </c>
      <c r="L202" s="1243">
        <v>0</v>
      </c>
      <c r="M202" s="1243">
        <f t="shared" si="29"/>
        <v>0</v>
      </c>
      <c r="N202" s="1243">
        <v>0</v>
      </c>
      <c r="O202" s="1243">
        <f t="shared" si="30"/>
        <v>3879.28</v>
      </c>
    </row>
    <row r="203" spans="1:15">
      <c r="A203" s="361">
        <f t="shared" si="31"/>
        <v>14</v>
      </c>
      <c r="B203" s="365">
        <v>396</v>
      </c>
      <c r="C203" s="358" t="s">
        <v>423</v>
      </c>
      <c r="D203" s="1243">
        <f t="shared" si="27"/>
        <v>185547</v>
      </c>
      <c r="E203" s="1243">
        <v>0</v>
      </c>
      <c r="F203" s="1243">
        <v>0</v>
      </c>
      <c r="G203" s="1243">
        <f>SUM(D203:F203)</f>
        <v>185547</v>
      </c>
      <c r="H203" s="1243"/>
      <c r="I203" s="1245">
        <f t="shared" si="28"/>
        <v>171938.14</v>
      </c>
      <c r="J203" s="1243"/>
      <c r="K203" s="1243">
        <v>0</v>
      </c>
      <c r="L203" s="1243">
        <v>0</v>
      </c>
      <c r="M203" s="1243">
        <f t="shared" si="29"/>
        <v>0</v>
      </c>
      <c r="N203" s="1243">
        <v>0</v>
      </c>
      <c r="O203" s="1243">
        <f t="shared" si="30"/>
        <v>171938.14</v>
      </c>
    </row>
    <row r="204" spans="1:15">
      <c r="A204" s="361">
        <f t="shared" si="31"/>
        <v>15</v>
      </c>
      <c r="B204" s="365">
        <v>398</v>
      </c>
      <c r="C204" s="358" t="s">
        <v>424</v>
      </c>
      <c r="D204" s="1244">
        <f t="shared" si="27"/>
        <v>101687.15000000001</v>
      </c>
      <c r="E204" s="1244">
        <v>10386.68</v>
      </c>
      <c r="F204" s="1244">
        <v>0</v>
      </c>
      <c r="G204" s="1244">
        <f>SUM(D204:F204)</f>
        <v>112073.83000000002</v>
      </c>
      <c r="H204" s="1243"/>
      <c r="I204" s="1246">
        <f t="shared" si="28"/>
        <v>61514.2</v>
      </c>
      <c r="J204" s="1243"/>
      <c r="K204" s="1244">
        <v>1072.5</v>
      </c>
      <c r="L204" s="1244">
        <v>0</v>
      </c>
      <c r="M204" s="1244">
        <f t="shared" si="29"/>
        <v>0</v>
      </c>
      <c r="N204" s="1244">
        <v>0</v>
      </c>
      <c r="O204" s="1244">
        <f t="shared" si="30"/>
        <v>62586.7</v>
      </c>
    </row>
    <row r="205" spans="1:15">
      <c r="A205" s="361">
        <f t="shared" si="31"/>
        <v>16</v>
      </c>
      <c r="B205" s="367"/>
      <c r="C205" s="358" t="s">
        <v>425</v>
      </c>
      <c r="D205" s="1243">
        <f>SUM(D191:D204)</f>
        <v>6000836.2600000007</v>
      </c>
      <c r="E205" s="1243">
        <f>SUM(E191:E204)</f>
        <v>150761.76999999999</v>
      </c>
      <c r="F205" s="1243">
        <f>SUM(F191:F204)</f>
        <v>-24700.93</v>
      </c>
      <c r="G205" s="1243">
        <f>SUM(G191:G204)</f>
        <v>6126897.1000000006</v>
      </c>
      <c r="H205" s="1243"/>
      <c r="I205" s="1243">
        <f>SUM(I191:I204)</f>
        <v>2001341.8099999998</v>
      </c>
      <c r="J205" s="1243"/>
      <c r="K205" s="1243">
        <f>SUM(K191:K204)</f>
        <v>31574.199999999997</v>
      </c>
      <c r="L205" s="1243">
        <f>SUM(L191:L204)</f>
        <v>0</v>
      </c>
      <c r="M205" s="1243">
        <f>SUM(M191:M204)</f>
        <v>-24700.93</v>
      </c>
      <c r="N205" s="1243">
        <f>SUM(N191:N204)</f>
        <v>0</v>
      </c>
      <c r="O205" s="1243">
        <f>SUM(O191:O204)</f>
        <v>2008215.0799999998</v>
      </c>
    </row>
    <row r="206" spans="1:15">
      <c r="A206" s="361"/>
      <c r="D206" s="1243"/>
      <c r="E206" s="1243"/>
      <c r="F206" s="1243"/>
      <c r="G206" s="1243"/>
      <c r="H206" s="1243"/>
      <c r="I206" s="1243"/>
      <c r="J206" s="1243"/>
      <c r="K206" s="1243"/>
      <c r="L206" s="1243"/>
      <c r="M206" s="1243"/>
      <c r="N206" s="1243"/>
      <c r="O206" s="1243"/>
    </row>
    <row r="207" spans="1:15">
      <c r="A207" s="361">
        <f>A205+1</f>
        <v>17</v>
      </c>
      <c r="B207" s="363" t="s">
        <v>1038</v>
      </c>
      <c r="D207" s="1243"/>
      <c r="E207" s="1243"/>
      <c r="F207" s="1243"/>
      <c r="G207" s="1243"/>
      <c r="H207" s="1243"/>
      <c r="I207" s="1243"/>
      <c r="J207" s="1243"/>
      <c r="K207" s="1243"/>
      <c r="L207" s="1243"/>
      <c r="M207" s="1243"/>
      <c r="N207" s="1243"/>
      <c r="O207" s="1243"/>
    </row>
    <row r="208" spans="1:15">
      <c r="A208" s="361">
        <f>A207+1</f>
        <v>18</v>
      </c>
      <c r="B208" s="365">
        <v>378.21</v>
      </c>
      <c r="C208" s="358" t="s">
        <v>1037</v>
      </c>
      <c r="D208" s="1244">
        <f>G94</f>
        <v>-777092</v>
      </c>
      <c r="E208" s="1244">
        <v>0</v>
      </c>
      <c r="F208" s="1244">
        <v>0</v>
      </c>
      <c r="G208" s="1244">
        <f>SUM(D208:F208)</f>
        <v>-777092</v>
      </c>
      <c r="H208" s="1243"/>
      <c r="I208" s="1244">
        <f>O94</f>
        <v>-180748.42</v>
      </c>
      <c r="J208" s="1243"/>
      <c r="K208" s="1244">
        <v>-2158.59</v>
      </c>
      <c r="L208" s="1244">
        <v>0</v>
      </c>
      <c r="M208" s="1244">
        <f>-F208</f>
        <v>0</v>
      </c>
      <c r="N208" s="1244">
        <v>0</v>
      </c>
      <c r="O208" s="1244">
        <f>I208+K208+L208+M208+N208</f>
        <v>-182907.01</v>
      </c>
    </row>
    <row r="209" spans="1:15">
      <c r="A209" s="361">
        <f>A208+1</f>
        <v>19</v>
      </c>
      <c r="B209" s="370"/>
      <c r="C209" s="358" t="s">
        <v>1579</v>
      </c>
      <c r="D209" s="1243">
        <f>SUM(D208)</f>
        <v>-777092</v>
      </c>
      <c r="E209" s="1243">
        <f>SUM(E208)</f>
        <v>0</v>
      </c>
      <c r="F209" s="1243">
        <f>SUM(F208)</f>
        <v>0</v>
      </c>
      <c r="G209" s="1243">
        <f>SUM(G208)</f>
        <v>-777092</v>
      </c>
      <c r="H209" s="1243"/>
      <c r="I209" s="1243">
        <f>SUM(I208)</f>
        <v>-180748.42</v>
      </c>
      <c r="J209" s="1243"/>
      <c r="K209" s="1243">
        <f>SUM(K208)</f>
        <v>-2158.59</v>
      </c>
      <c r="L209" s="1243">
        <f>SUM(L208)</f>
        <v>0</v>
      </c>
      <c r="M209" s="1243">
        <f>SUM(M208)</f>
        <v>0</v>
      </c>
      <c r="N209" s="1243">
        <f>SUM(N208)</f>
        <v>0</v>
      </c>
      <c r="O209" s="1243">
        <f>SUM(O208)</f>
        <v>-182907.01</v>
      </c>
    </row>
    <row r="210" spans="1:15">
      <c r="A210" s="361"/>
      <c r="B210" s="370"/>
      <c r="C210" s="368"/>
      <c r="D210" s="1243"/>
      <c r="E210" s="1243"/>
      <c r="F210" s="1243"/>
      <c r="G210" s="1243"/>
      <c r="H210" s="1243"/>
      <c r="I210" s="1243"/>
      <c r="J210" s="1243"/>
      <c r="K210" s="1243"/>
      <c r="L210" s="1243"/>
      <c r="M210" s="1243"/>
      <c r="N210" s="1243"/>
      <c r="O210" s="1243"/>
    </row>
    <row r="211" spans="1:15">
      <c r="A211" s="361">
        <f>A209+1</f>
        <v>20</v>
      </c>
      <c r="B211" s="370"/>
      <c r="C211" s="358" t="s">
        <v>2037</v>
      </c>
      <c r="D211" s="1243">
        <f>D138+D171+D205+D209</f>
        <v>719808250.65684378</v>
      </c>
      <c r="E211" s="1243">
        <f>E138+E171+E205+E209</f>
        <v>3586775.5400000005</v>
      </c>
      <c r="F211" s="1243">
        <f>F138+F171+F205+F209</f>
        <v>-190476.33897306368</v>
      </c>
      <c r="G211" s="1243">
        <f>G138+G171+G205+G209</f>
        <v>723204549.85787082</v>
      </c>
      <c r="H211" s="1243"/>
      <c r="I211" s="1243">
        <f>I138+I171+I205+I209</f>
        <v>167607411.90920785</v>
      </c>
      <c r="J211" s="1243"/>
      <c r="K211" s="1243">
        <f>K138+K171+K205+K209</f>
        <v>1747186.9989999996</v>
      </c>
      <c r="L211" s="1243">
        <f>L138+L171+L205+L209</f>
        <v>0</v>
      </c>
      <c r="M211" s="1243">
        <f>M138+M171+M205+M209</f>
        <v>-190476.33897306368</v>
      </c>
      <c r="N211" s="1243">
        <f>N138+N171+N205+N209</f>
        <v>-22446.61266000001</v>
      </c>
      <c r="O211" s="1243">
        <f>O138+O171+O205+O209</f>
        <v>169141675.95657471</v>
      </c>
    </row>
    <row r="212" spans="1:15">
      <c r="A212" s="361"/>
      <c r="B212" s="370"/>
      <c r="D212" s="1243"/>
      <c r="E212" s="1243"/>
      <c r="F212" s="1243"/>
      <c r="G212" s="1243"/>
      <c r="H212" s="1243"/>
      <c r="I212" s="1243"/>
      <c r="J212" s="1243"/>
      <c r="K212" s="1243"/>
      <c r="L212" s="1243"/>
      <c r="M212" s="1243"/>
      <c r="N212" s="1243"/>
      <c r="O212" s="1243"/>
    </row>
    <row r="213" spans="1:15">
      <c r="A213" s="361">
        <f>A211+1</f>
        <v>21</v>
      </c>
      <c r="B213" s="370"/>
      <c r="C213" s="358" t="s">
        <v>2038</v>
      </c>
      <c r="D213" s="1243">
        <v>0</v>
      </c>
      <c r="E213" s="1249">
        <v>0</v>
      </c>
      <c r="F213" s="1249">
        <v>0</v>
      </c>
      <c r="G213" s="1249">
        <f>SUM(D213:F213)</f>
        <v>0</v>
      </c>
      <c r="H213" s="1243"/>
      <c r="I213" s="1243">
        <f>O99</f>
        <v>-5651398.79</v>
      </c>
      <c r="J213" s="1243"/>
      <c r="K213" s="1243"/>
      <c r="L213" s="1243"/>
      <c r="M213" s="1243"/>
      <c r="N213" s="1243">
        <f>-34837.93</f>
        <v>-34837.93</v>
      </c>
      <c r="O213" s="1243">
        <f>I213+K213+L213+M213+N213</f>
        <v>-5686236.7199999997</v>
      </c>
    </row>
    <row r="214" spans="1:15">
      <c r="A214" s="361"/>
      <c r="B214" s="370"/>
      <c r="C214" s="368"/>
      <c r="D214" s="1243"/>
      <c r="E214" s="1243"/>
      <c r="F214" s="1243"/>
      <c r="G214" s="1243"/>
      <c r="H214" s="1243"/>
      <c r="I214" s="1243"/>
      <c r="J214" s="1243"/>
      <c r="K214" s="1243"/>
      <c r="L214" s="1243"/>
      <c r="M214" s="1243"/>
      <c r="N214" s="1243"/>
      <c r="O214" s="1243"/>
    </row>
    <row r="215" spans="1:15">
      <c r="A215" s="361">
        <f>A213+1</f>
        <v>22</v>
      </c>
      <c r="C215" s="358" t="s">
        <v>1603</v>
      </c>
      <c r="D215" s="1247">
        <f>D211+D213</f>
        <v>719808250.65684378</v>
      </c>
      <c r="E215" s="1247">
        <f t="shared" ref="E215:O215" si="33">E211+E213</f>
        <v>3586775.5400000005</v>
      </c>
      <c r="F215" s="1247">
        <f t="shared" si="33"/>
        <v>-190476.33897306368</v>
      </c>
      <c r="G215" s="1247">
        <f t="shared" si="33"/>
        <v>723204549.85787082</v>
      </c>
      <c r="H215" s="1243"/>
      <c r="I215" s="1247">
        <f t="shared" si="33"/>
        <v>161956013.11920786</v>
      </c>
      <c r="J215" s="1243"/>
      <c r="K215" s="1247">
        <f t="shared" si="33"/>
        <v>1747186.9989999996</v>
      </c>
      <c r="L215" s="1247">
        <f t="shared" si="33"/>
        <v>0</v>
      </c>
      <c r="M215" s="1247">
        <f t="shared" si="33"/>
        <v>-190476.33897306368</v>
      </c>
      <c r="N215" s="1247">
        <f t="shared" si="33"/>
        <v>-57284.542660000006</v>
      </c>
      <c r="O215" s="1247">
        <f t="shared" si="33"/>
        <v>163455439.23657471</v>
      </c>
    </row>
    <row r="216" spans="1:15">
      <c r="A216" s="361"/>
      <c r="D216" s="1243"/>
      <c r="E216" s="1243"/>
      <c r="F216" s="1243"/>
      <c r="G216" s="1243"/>
      <c r="H216" s="1243"/>
      <c r="I216" s="1243"/>
      <c r="J216" s="1243"/>
      <c r="K216" s="1243"/>
      <c r="L216" s="1243"/>
      <c r="M216" s="1243"/>
      <c r="N216" s="1243"/>
      <c r="O216" s="1243"/>
    </row>
    <row r="217" spans="1:15">
      <c r="A217" s="361"/>
      <c r="D217" s="1243"/>
      <c r="E217" s="1243"/>
      <c r="F217" s="1243"/>
      <c r="G217" s="1243"/>
      <c r="H217" s="1243"/>
      <c r="I217" s="1243"/>
      <c r="J217" s="1243"/>
      <c r="K217" s="1243"/>
      <c r="L217" s="1243"/>
      <c r="M217" s="1243"/>
      <c r="N217" s="1243"/>
      <c r="O217" s="1243"/>
    </row>
    <row r="218" spans="1:15">
      <c r="A218" s="361">
        <f>A215+1</f>
        <v>23</v>
      </c>
      <c r="B218" s="363" t="s">
        <v>1774</v>
      </c>
      <c r="D218" s="1243"/>
      <c r="E218" s="1243"/>
      <c r="F218" s="1243"/>
      <c r="G218" s="1243"/>
      <c r="H218" s="1243"/>
      <c r="I218" s="1243"/>
      <c r="J218" s="1243"/>
      <c r="K218" s="1243"/>
      <c r="L218" s="1243"/>
      <c r="M218" s="1243"/>
      <c r="N218" s="1243"/>
      <c r="O218" s="1243"/>
    </row>
    <row r="219" spans="1:15">
      <c r="A219" s="361">
        <f t="shared" ref="A219:A224" si="34">A218+1</f>
        <v>24</v>
      </c>
      <c r="B219" s="365">
        <v>376</v>
      </c>
      <c r="C219" s="358" t="s">
        <v>1775</v>
      </c>
      <c r="D219" s="1243">
        <f>G105</f>
        <v>79805.64</v>
      </c>
      <c r="E219" s="1243">
        <f>'WPB-2.1.D SMRP'!E64</f>
        <v>859141.8</v>
      </c>
      <c r="F219" s="1243">
        <f>'WPB-2.1.D SMRP'!F64</f>
        <v>0</v>
      </c>
      <c r="G219" s="1243">
        <f>SUM(D219:F219)</f>
        <v>938947.44000000006</v>
      </c>
      <c r="H219" s="1243"/>
      <c r="I219" s="1243">
        <f>O105</f>
        <v>57.859000000000002</v>
      </c>
      <c r="J219" s="1243"/>
      <c r="K219" s="1243">
        <f>'WPB-2.1.D SMRP'!K64</f>
        <v>738.87800000000004</v>
      </c>
      <c r="L219" s="1243">
        <v>0</v>
      </c>
      <c r="M219" s="1243">
        <f>F219</f>
        <v>0</v>
      </c>
      <c r="N219" s="1243">
        <f>'WPB-2.1.D SMRP'!N64</f>
        <v>-9794.68</v>
      </c>
      <c r="O219" s="1243">
        <f>I219+K219+L219+M219+N219</f>
        <v>-8997.9429999999993</v>
      </c>
    </row>
    <row r="220" spans="1:15">
      <c r="A220" s="361">
        <f t="shared" si="34"/>
        <v>25</v>
      </c>
      <c r="B220" s="365">
        <v>378.2</v>
      </c>
      <c r="C220" s="358" t="s">
        <v>1776</v>
      </c>
      <c r="D220" s="1243">
        <f>G106</f>
        <v>-7576.5300000000007</v>
      </c>
      <c r="E220" s="1243">
        <f>'WPB-2.1.D SMRP'!E65</f>
        <v>0</v>
      </c>
      <c r="F220" s="1243">
        <f>'WPB-2.1.D SMRP'!F65</f>
        <v>-6092.8</v>
      </c>
      <c r="G220" s="1243">
        <f>SUM(D220:F220)</f>
        <v>-13669.330000000002</v>
      </c>
      <c r="H220" s="1243"/>
      <c r="I220" s="1243">
        <f>O106</f>
        <v>-8270.3450000000012</v>
      </c>
      <c r="J220" s="1243"/>
      <c r="K220" s="1243">
        <f>'WPB-2.1.D SMRP'!K65</f>
        <v>-22.396999999999998</v>
      </c>
      <c r="L220" s="1243">
        <v>0</v>
      </c>
      <c r="M220" s="1243">
        <f>F220</f>
        <v>-6092.8</v>
      </c>
      <c r="N220" s="1243">
        <f>'WPB-2.1.D SMRP'!N65</f>
        <v>0</v>
      </c>
      <c r="O220" s="1243">
        <f>I220+K220+L220+M220+N220</f>
        <v>-14385.542000000001</v>
      </c>
    </row>
    <row r="221" spans="1:15">
      <c r="A221" s="361">
        <f t="shared" si="34"/>
        <v>26</v>
      </c>
      <c r="B221" s="365">
        <v>380</v>
      </c>
      <c r="C221" s="358" t="s">
        <v>1777</v>
      </c>
      <c r="D221" s="1243">
        <f>G107</f>
        <v>572254.09315623599</v>
      </c>
      <c r="E221" s="1243">
        <f>'WPB-2.1.D SMRP'!E66</f>
        <v>1027481.72</v>
      </c>
      <c r="F221" s="1243">
        <f>'WPB-2.1.D SMRP'!F66</f>
        <v>-116568.9110269363</v>
      </c>
      <c r="G221" s="1243">
        <f>SUM(D221:F221)</f>
        <v>1483166.9021292997</v>
      </c>
      <c r="H221" s="1243"/>
      <c r="I221" s="1243">
        <f>O107</f>
        <v>-743493.93320776394</v>
      </c>
      <c r="J221" s="1243"/>
      <c r="K221" s="1243">
        <f>'WPB-2.1.D SMRP'!K66</f>
        <v>3408.5969999999998</v>
      </c>
      <c r="L221" s="1243">
        <v>0</v>
      </c>
      <c r="M221" s="1243">
        <f>F221</f>
        <v>-116568.9110269363</v>
      </c>
      <c r="N221" s="1243">
        <f>'WPB-2.1.D SMRP'!N66</f>
        <v>-83958.337339999998</v>
      </c>
      <c r="O221" s="1243">
        <f>I221+K221+L221+M221+N221</f>
        <v>-940612.58457470022</v>
      </c>
    </row>
    <row r="222" spans="1:15">
      <c r="A222" s="361">
        <f t="shared" si="34"/>
        <v>27</v>
      </c>
      <c r="B222" s="365">
        <v>382</v>
      </c>
      <c r="C222" s="358" t="s">
        <v>1778</v>
      </c>
      <c r="D222" s="1243">
        <f>G108</f>
        <v>1156.1599999999999</v>
      </c>
      <c r="E222" s="1243">
        <f>'WPB-2.1.D SMRP'!E67</f>
        <v>0</v>
      </c>
      <c r="F222" s="1243">
        <f>'WPB-2.1.D SMRP'!F67</f>
        <v>-1574.7300000000002</v>
      </c>
      <c r="G222" s="1243">
        <f>SUM(D222:F222)</f>
        <v>-418.57000000000039</v>
      </c>
      <c r="H222" s="1243"/>
      <c r="I222" s="1243">
        <f>O108</f>
        <v>-488.29700000000003</v>
      </c>
      <c r="J222" s="1243"/>
      <c r="K222" s="1243">
        <f>'WPB-2.1.D SMRP'!K67</f>
        <v>0.83899999999999997</v>
      </c>
      <c r="L222" s="1243">
        <v>0</v>
      </c>
      <c r="M222" s="1243">
        <f>F222</f>
        <v>-1574.7300000000002</v>
      </c>
      <c r="N222" s="1243">
        <f>'WPB-2.1.D SMRP'!N67</f>
        <v>0</v>
      </c>
      <c r="O222" s="1243">
        <f>I222+K222+L222+M222+N222</f>
        <v>-2062.1880000000001</v>
      </c>
    </row>
    <row r="223" spans="1:15">
      <c r="A223" s="361">
        <f t="shared" si="34"/>
        <v>28</v>
      </c>
      <c r="B223" s="365">
        <v>383</v>
      </c>
      <c r="C223" s="358" t="s">
        <v>1779</v>
      </c>
      <c r="D223" s="1244">
        <f>G109</f>
        <v>-188.66000000000003</v>
      </c>
      <c r="E223" s="1244">
        <f>'WPB-2.1.D SMRP'!E68</f>
        <v>0</v>
      </c>
      <c r="F223" s="1244">
        <f>'WPB-2.1.D SMRP'!F68</f>
        <v>-230.70000000000002</v>
      </c>
      <c r="G223" s="1244">
        <f>SUM(D223:F223)</f>
        <v>-419.36</v>
      </c>
      <c r="H223" s="1243"/>
      <c r="I223" s="1244">
        <f>O109</f>
        <v>-188.81300000000002</v>
      </c>
      <c r="J223" s="1243"/>
      <c r="K223" s="1244">
        <f>'WPB-2.1.D SMRP'!K68</f>
        <v>-0.186</v>
      </c>
      <c r="L223" s="1244">
        <v>0</v>
      </c>
      <c r="M223" s="1244">
        <f>F223</f>
        <v>-230.70000000000002</v>
      </c>
      <c r="N223" s="1244">
        <f>'WPB-2.1.D SMRP'!N68</f>
        <v>0</v>
      </c>
      <c r="O223" s="1244">
        <f>I223+K223+L223+M223+N223</f>
        <v>-419.69900000000007</v>
      </c>
    </row>
    <row r="224" spans="1:15">
      <c r="A224" s="361">
        <f t="shared" si="34"/>
        <v>29</v>
      </c>
      <c r="C224" s="358" t="s">
        <v>1780</v>
      </c>
      <c r="D224" s="1243">
        <f>SUM(D219:D223)</f>
        <v>645450.70315623598</v>
      </c>
      <c r="E224" s="1243">
        <f>SUM(E219:E223)</f>
        <v>1886623.52</v>
      </c>
      <c r="F224" s="1243">
        <f>SUM(F219:F223)</f>
        <v>-124467.1410269363</v>
      </c>
      <c r="G224" s="1243">
        <f>SUM(G219:G223)</f>
        <v>2407607.0821293001</v>
      </c>
      <c r="H224" s="1243"/>
      <c r="I224" s="1243">
        <f>SUM(I219:I223)</f>
        <v>-752383.52920776396</v>
      </c>
      <c r="J224" s="1243"/>
      <c r="K224" s="1243">
        <f>SUM(K219:K223)</f>
        <v>4125.7309999999998</v>
      </c>
      <c r="L224" s="1243">
        <f>SUM(L219:L223)</f>
        <v>0</v>
      </c>
      <c r="M224" s="1243">
        <f>SUM(M219:M223)</f>
        <v>-124467.1410269363</v>
      </c>
      <c r="N224" s="1243">
        <f>SUM(N219:N223)</f>
        <v>-93753.017339999991</v>
      </c>
      <c r="O224" s="1243">
        <f>SUM(O219:O223)</f>
        <v>-966477.95657470019</v>
      </c>
    </row>
    <row r="225" spans="1:16">
      <c r="A225" s="361"/>
      <c r="D225" s="1243"/>
      <c r="E225" s="1243"/>
      <c r="F225" s="1243"/>
      <c r="G225" s="1243"/>
      <c r="H225" s="1243"/>
      <c r="I225" s="1243"/>
      <c r="J225" s="1243"/>
      <c r="K225" s="1243"/>
      <c r="L225" s="1243"/>
      <c r="M225" s="1243"/>
      <c r="N225" s="1243"/>
      <c r="O225" s="1243"/>
    </row>
    <row r="226" spans="1:16" ht="13.5" thickBot="1">
      <c r="A226" s="361">
        <f>A224+1</f>
        <v>30</v>
      </c>
      <c r="C226" s="358" t="s">
        <v>447</v>
      </c>
      <c r="D226" s="1248">
        <f>D215+D224</f>
        <v>720453701.36000001</v>
      </c>
      <c r="E226" s="1248">
        <f>E215+E224</f>
        <v>5473399.0600000005</v>
      </c>
      <c r="F226" s="1248">
        <f>F215+F224</f>
        <v>-314943.48</v>
      </c>
      <c r="G226" s="1248">
        <f>G215+G224</f>
        <v>725612156.94000018</v>
      </c>
      <c r="H226" s="1243"/>
      <c r="I226" s="1248">
        <f>I215+I224</f>
        <v>161203629.59000009</v>
      </c>
      <c r="J226" s="1243"/>
      <c r="K226" s="1248">
        <f>K215+K224</f>
        <v>1751312.7299999995</v>
      </c>
      <c r="L226" s="1248">
        <f>L215+L224</f>
        <v>0</v>
      </c>
      <c r="M226" s="1248">
        <f>M215+M224</f>
        <v>-314943.48</v>
      </c>
      <c r="N226" s="1248">
        <f>N215+N224</f>
        <v>-151037.56</v>
      </c>
      <c r="O226" s="1248">
        <f>O215+O224</f>
        <v>162488961.28</v>
      </c>
    </row>
    <row r="227" spans="1:16" ht="13.5" thickTop="1"/>
    <row r="228" spans="1:16">
      <c r="I228" s="369"/>
      <c r="K228" s="369"/>
      <c r="O228" s="369"/>
    </row>
    <row r="229" spans="1:16" s="291" customFormat="1">
      <c r="A229" s="1308" t="str">
        <f>$A$1</f>
        <v>COLUMBIA GAS OF KENTUCKY, INC.</v>
      </c>
      <c r="B229" s="1308"/>
      <c r="C229" s="1308"/>
      <c r="D229" s="1308"/>
      <c r="E229" s="1308"/>
      <c r="F229" s="1308"/>
      <c r="G229" s="1308"/>
      <c r="H229" s="1308"/>
      <c r="I229" s="1308"/>
      <c r="J229" s="1308"/>
      <c r="K229" s="1308"/>
      <c r="L229" s="1308"/>
      <c r="M229" s="1308"/>
      <c r="N229" s="1308"/>
      <c r="O229" s="1308"/>
    </row>
    <row r="230" spans="1:16" s="291" customFormat="1">
      <c r="A230" s="1308" t="str">
        <f>$A$2</f>
        <v>CASE NO. 2024 - 00092</v>
      </c>
      <c r="B230" s="1308"/>
      <c r="C230" s="1308"/>
      <c r="D230" s="1308"/>
      <c r="E230" s="1308"/>
      <c r="F230" s="1308"/>
      <c r="G230" s="1308"/>
      <c r="H230" s="1308"/>
      <c r="I230" s="1308"/>
      <c r="J230" s="1308"/>
      <c r="K230" s="1308"/>
      <c r="L230" s="1308"/>
      <c r="M230" s="1308"/>
      <c r="N230" s="1308"/>
      <c r="O230" s="1308"/>
    </row>
    <row r="231" spans="1:16" s="291" customFormat="1">
      <c r="A231" s="1308" t="str">
        <f>$A$3</f>
        <v>DETAIL OF ACTUAL &amp; FORECASTED PLANT, ACCUMULATED RESERVE &amp; DEPRECIATION EXPENSE</v>
      </c>
      <c r="B231" s="1308"/>
      <c r="C231" s="1308"/>
      <c r="D231" s="1308"/>
      <c r="E231" s="1308"/>
      <c r="F231" s="1308"/>
      <c r="G231" s="1308"/>
      <c r="H231" s="1308"/>
      <c r="I231" s="1308"/>
      <c r="J231" s="1308"/>
      <c r="K231" s="1308"/>
      <c r="L231" s="1308"/>
      <c r="M231" s="1308"/>
      <c r="N231" s="1308"/>
      <c r="O231" s="1308"/>
      <c r="P231" s="357"/>
    </row>
    <row r="232" spans="1:16" s="291" customFormat="1">
      <c r="A232" s="1308" t="str">
        <f>$A$4</f>
        <v>FROM JANUARY 01, 2023 THROUGH DECEMBER 31, 2025</v>
      </c>
      <c r="B232" s="1308"/>
      <c r="C232" s="1308"/>
      <c r="D232" s="1308"/>
      <c r="E232" s="1308"/>
      <c r="F232" s="1308"/>
      <c r="G232" s="1308"/>
      <c r="H232" s="1308"/>
      <c r="I232" s="1308"/>
      <c r="J232" s="1308"/>
      <c r="K232" s="1308"/>
      <c r="L232" s="1308"/>
      <c r="M232" s="1308"/>
      <c r="N232" s="1308"/>
      <c r="O232" s="1308"/>
    </row>
    <row r="233" spans="1:16" s="291" customFormat="1">
      <c r="B233" s="293"/>
      <c r="P233" s="312"/>
    </row>
    <row r="234" spans="1:16" s="291" customFormat="1">
      <c r="A234" s="297" t="str">
        <f>$A$6</f>
        <v xml:space="preserve">DATA: _X_ BASE PERIOD _X_ FORECASTED PERIOD     </v>
      </c>
      <c r="B234" s="293"/>
      <c r="O234" s="312" t="str">
        <f>$O$6</f>
        <v>WPB-2.1.C</v>
      </c>
      <c r="P234" s="312"/>
    </row>
    <row r="235" spans="1:16" s="291" customFormat="1">
      <c r="A235" s="297" t="str">
        <f>$A$7</f>
        <v>TYPE OF FILING:___X___ORIGINAL______UPDATED</v>
      </c>
      <c r="B235" s="293"/>
      <c r="O235" s="312" t="s">
        <v>2218</v>
      </c>
      <c r="P235" s="312"/>
    </row>
    <row r="236" spans="1:16" s="291" customFormat="1">
      <c r="A236" s="297" t="str">
        <f>$A$8</f>
        <v>WORKPAPER REFERENCE NO(S).:</v>
      </c>
      <c r="B236" s="293"/>
      <c r="O236" s="312" t="str">
        <f>$O$8</f>
        <v>WITNESS: GORE</v>
      </c>
    </row>
    <row r="237" spans="1:16">
      <c r="A237" s="918"/>
      <c r="B237" s="919"/>
      <c r="C237" s="918"/>
      <c r="D237" s="918"/>
      <c r="E237" s="918"/>
      <c r="F237" s="918"/>
      <c r="G237" s="918"/>
      <c r="H237" s="918"/>
      <c r="I237" s="918"/>
      <c r="J237" s="918"/>
      <c r="K237" s="918"/>
      <c r="L237" s="918"/>
      <c r="M237" s="918"/>
      <c r="N237" s="918"/>
      <c r="O237" s="920"/>
    </row>
    <row r="238" spans="1:16">
      <c r="D238" s="1311" t="s">
        <v>1768</v>
      </c>
      <c r="E238" s="1311"/>
      <c r="F238" s="1311"/>
      <c r="G238" s="1311"/>
      <c r="I238" s="1311" t="s">
        <v>1769</v>
      </c>
      <c r="J238" s="1311"/>
      <c r="K238" s="1311"/>
      <c r="L238" s="1311"/>
      <c r="M238" s="1311"/>
      <c r="N238" s="1311"/>
      <c r="O238" s="1311"/>
    </row>
    <row r="239" spans="1:16">
      <c r="D239" s="360">
        <f>G184+1</f>
        <v>44986</v>
      </c>
      <c r="G239" s="360">
        <f>D239+30</f>
        <v>45016</v>
      </c>
      <c r="I239" s="360">
        <f>D239</f>
        <v>44986</v>
      </c>
      <c r="O239" s="360">
        <f>G239</f>
        <v>45016</v>
      </c>
    </row>
    <row r="240" spans="1:16">
      <c r="D240" s="361" t="s">
        <v>1757</v>
      </c>
      <c r="G240" s="361" t="s">
        <v>1757</v>
      </c>
      <c r="I240" s="361" t="s">
        <v>1758</v>
      </c>
      <c r="J240" s="361" t="s">
        <v>488</v>
      </c>
      <c r="L240" s="361" t="s">
        <v>1758</v>
      </c>
      <c r="O240" s="361" t="s">
        <v>1758</v>
      </c>
    </row>
    <row r="241" spans="1:15">
      <c r="A241" s="361" t="s">
        <v>1770</v>
      </c>
      <c r="B241" s="361" t="s">
        <v>368</v>
      </c>
      <c r="C241" s="361"/>
      <c r="D241" s="361" t="s">
        <v>437</v>
      </c>
      <c r="G241" s="361" t="s">
        <v>439</v>
      </c>
      <c r="I241" s="361" t="s">
        <v>437</v>
      </c>
      <c r="J241" s="361" t="s">
        <v>1771</v>
      </c>
      <c r="K241" s="361" t="s">
        <v>1772</v>
      </c>
      <c r="L241" s="361" t="s">
        <v>1759</v>
      </c>
      <c r="N241" s="361" t="s">
        <v>1760</v>
      </c>
      <c r="O241" s="361" t="s">
        <v>439</v>
      </c>
    </row>
    <row r="242" spans="1:15">
      <c r="A242" s="364" t="s">
        <v>316</v>
      </c>
      <c r="B242" s="364" t="s">
        <v>316</v>
      </c>
      <c r="C242" s="364" t="s">
        <v>451</v>
      </c>
      <c r="D242" s="364" t="s">
        <v>441</v>
      </c>
      <c r="E242" s="364" t="s">
        <v>442</v>
      </c>
      <c r="F242" s="364" t="s">
        <v>443</v>
      </c>
      <c r="G242" s="364" t="s">
        <v>441</v>
      </c>
      <c r="I242" s="364" t="s">
        <v>441</v>
      </c>
      <c r="J242" s="364" t="s">
        <v>1773</v>
      </c>
      <c r="K242" s="364" t="s">
        <v>1771</v>
      </c>
      <c r="L242" s="364" t="s">
        <v>355</v>
      </c>
      <c r="M242" s="364" t="s">
        <v>443</v>
      </c>
      <c r="N242" s="364" t="s">
        <v>1763</v>
      </c>
      <c r="O242" s="364" t="s">
        <v>441</v>
      </c>
    </row>
    <row r="243" spans="1:15">
      <c r="D243" s="361" t="s">
        <v>532</v>
      </c>
      <c r="E243" s="361" t="s">
        <v>541</v>
      </c>
      <c r="F243" s="361" t="s">
        <v>542</v>
      </c>
      <c r="G243" s="361" t="s">
        <v>1764</v>
      </c>
      <c r="I243" s="334" t="str">
        <f>"(5)"</f>
        <v>(5)</v>
      </c>
      <c r="J243" s="334" t="str">
        <f>"(6)"</f>
        <v>(6)</v>
      </c>
      <c r="K243" s="334" t="str">
        <f>"(7)"</f>
        <v>(7)</v>
      </c>
      <c r="L243" s="334" t="str">
        <f>"(8)"</f>
        <v>(8)</v>
      </c>
      <c r="M243" s="334" t="str">
        <f>"(9)"</f>
        <v>(9)</v>
      </c>
      <c r="N243" s="334" t="str">
        <f>"(10)"</f>
        <v>(10)</v>
      </c>
      <c r="O243" s="334" t="str">
        <f>"(11=5+7+8+9+10)"</f>
        <v>(11=5+7+8+9+10)</v>
      </c>
    </row>
    <row r="244" spans="1:15">
      <c r="D244" s="361" t="s">
        <v>320</v>
      </c>
      <c r="E244" s="361" t="s">
        <v>320</v>
      </c>
      <c r="F244" s="361" t="s">
        <v>320</v>
      </c>
      <c r="G244" s="361" t="s">
        <v>320</v>
      </c>
      <c r="I244" s="334" t="s">
        <v>320</v>
      </c>
      <c r="J244" s="334" t="s">
        <v>529</v>
      </c>
      <c r="K244" s="334" t="s">
        <v>320</v>
      </c>
      <c r="L244" s="334" t="s">
        <v>320</v>
      </c>
      <c r="M244" s="334" t="s">
        <v>320</v>
      </c>
      <c r="N244" s="334" t="s">
        <v>320</v>
      </c>
      <c r="O244" s="334" t="s">
        <v>320</v>
      </c>
    </row>
    <row r="245" spans="1:15">
      <c r="A245" s="361">
        <v>1</v>
      </c>
      <c r="B245" s="362" t="s">
        <v>373</v>
      </c>
      <c r="D245" s="361"/>
      <c r="E245" s="361"/>
      <c r="F245" s="361"/>
      <c r="G245" s="361"/>
      <c r="I245" s="334"/>
      <c r="J245" s="334"/>
      <c r="K245" s="334"/>
      <c r="L245" s="334"/>
      <c r="M245" s="334"/>
      <c r="N245" s="334"/>
      <c r="O245" s="334"/>
    </row>
    <row r="246" spans="1:15">
      <c r="A246" s="361">
        <f>A245+1</f>
        <v>2</v>
      </c>
      <c r="B246" s="365">
        <v>301</v>
      </c>
      <c r="C246" s="358" t="s">
        <v>374</v>
      </c>
      <c r="D246" s="1243">
        <f t="shared" ref="D246:D251" si="35">G132</f>
        <v>521.20000000000005</v>
      </c>
      <c r="E246" s="1243">
        <v>0</v>
      </c>
      <c r="F246" s="1243">
        <v>0</v>
      </c>
      <c r="G246" s="1243">
        <f t="shared" ref="G246:G251" si="36">SUM(D246:F246)</f>
        <v>521.20000000000005</v>
      </c>
      <c r="H246" s="1243"/>
      <c r="I246" s="1243">
        <f t="shared" ref="I246:I251" si="37">O132</f>
        <v>0</v>
      </c>
      <c r="J246" s="1243"/>
      <c r="K246" s="1243">
        <v>0</v>
      </c>
      <c r="L246" s="1243">
        <v>0</v>
      </c>
      <c r="M246" s="1243">
        <f t="shared" ref="M246:M251" si="38">F246</f>
        <v>0</v>
      </c>
      <c r="N246" s="1243">
        <v>0</v>
      </c>
      <c r="O246" s="1243">
        <f t="shared" ref="O246:O251" si="39">I246+K246+L246+M246+N246</f>
        <v>0</v>
      </c>
    </row>
    <row r="247" spans="1:15">
      <c r="A247" s="361">
        <f t="shared" ref="A247:A252" si="40">A246+1</f>
        <v>3</v>
      </c>
      <c r="B247" s="365">
        <v>303</v>
      </c>
      <c r="C247" s="358" t="s">
        <v>375</v>
      </c>
      <c r="D247" s="1243">
        <f t="shared" si="35"/>
        <v>96334.51</v>
      </c>
      <c r="E247" s="1243">
        <v>0</v>
      </c>
      <c r="F247" s="1243">
        <v>0</v>
      </c>
      <c r="G247" s="1243">
        <f t="shared" si="36"/>
        <v>96334.51</v>
      </c>
      <c r="H247" s="1243"/>
      <c r="I247" s="1243">
        <f t="shared" si="37"/>
        <v>76186.490000000005</v>
      </c>
      <c r="J247" s="1243"/>
      <c r="K247" s="1243">
        <v>267.58</v>
      </c>
      <c r="L247" s="1243">
        <v>0</v>
      </c>
      <c r="M247" s="1243">
        <f t="shared" si="38"/>
        <v>0</v>
      </c>
      <c r="N247" s="1243">
        <v>0</v>
      </c>
      <c r="O247" s="1243">
        <f t="shared" si="39"/>
        <v>76454.070000000007</v>
      </c>
    </row>
    <row r="248" spans="1:15">
      <c r="A248" s="361">
        <f t="shared" si="40"/>
        <v>4</v>
      </c>
      <c r="B248" s="365">
        <v>303.10000000000002</v>
      </c>
      <c r="C248" s="358" t="s">
        <v>376</v>
      </c>
      <c r="D248" s="1243">
        <f t="shared" si="35"/>
        <v>943.27</v>
      </c>
      <c r="E248" s="1243">
        <v>0</v>
      </c>
      <c r="F248" s="1243">
        <v>0</v>
      </c>
      <c r="G248" s="1243">
        <f t="shared" si="36"/>
        <v>943.27</v>
      </c>
      <c r="H248" s="1243"/>
      <c r="I248" s="1243">
        <f t="shared" si="37"/>
        <v>302.63000000000005</v>
      </c>
      <c r="J248" s="1243"/>
      <c r="K248" s="1243">
        <v>7.86</v>
      </c>
      <c r="L248" s="1243">
        <v>0</v>
      </c>
      <c r="M248" s="1243">
        <f t="shared" si="38"/>
        <v>0</v>
      </c>
      <c r="N248" s="1243">
        <v>0</v>
      </c>
      <c r="O248" s="1243">
        <f t="shared" si="39"/>
        <v>310.49000000000007</v>
      </c>
    </row>
    <row r="249" spans="1:15">
      <c r="A249" s="361">
        <f t="shared" si="40"/>
        <v>5</v>
      </c>
      <c r="B249" s="365">
        <v>303.2</v>
      </c>
      <c r="C249" s="358" t="s">
        <v>377</v>
      </c>
      <c r="D249" s="1243">
        <f t="shared" si="35"/>
        <v>0</v>
      </c>
      <c r="E249" s="1243">
        <v>0</v>
      </c>
      <c r="F249" s="1243">
        <v>0</v>
      </c>
      <c r="G249" s="1243">
        <f t="shared" si="36"/>
        <v>0</v>
      </c>
      <c r="H249" s="1243"/>
      <c r="I249" s="1243">
        <f t="shared" si="37"/>
        <v>0</v>
      </c>
      <c r="J249" s="1243"/>
      <c r="K249" s="1243">
        <v>0</v>
      </c>
      <c r="L249" s="1243">
        <v>0</v>
      </c>
      <c r="M249" s="1243">
        <f t="shared" si="38"/>
        <v>0</v>
      </c>
      <c r="N249" s="1243">
        <v>0</v>
      </c>
      <c r="O249" s="1243">
        <f t="shared" si="39"/>
        <v>0</v>
      </c>
    </row>
    <row r="250" spans="1:15">
      <c r="A250" s="361">
        <f t="shared" si="40"/>
        <v>6</v>
      </c>
      <c r="B250" s="365">
        <v>303.3</v>
      </c>
      <c r="C250" s="358" t="s">
        <v>378</v>
      </c>
      <c r="D250" s="1243">
        <f t="shared" si="35"/>
        <v>11441017.529999999</v>
      </c>
      <c r="E250" s="1243">
        <v>5275.49</v>
      </c>
      <c r="F250" s="1243">
        <v>-23227.89</v>
      </c>
      <c r="G250" s="1243">
        <f t="shared" si="36"/>
        <v>11423065.129999999</v>
      </c>
      <c r="H250" s="1243"/>
      <c r="I250" s="1243">
        <f t="shared" si="37"/>
        <v>5090794.1700000009</v>
      </c>
      <c r="J250" s="1243"/>
      <c r="K250" s="1243">
        <v>179956.49</v>
      </c>
      <c r="L250" s="1243">
        <v>0</v>
      </c>
      <c r="M250" s="1243">
        <f t="shared" si="38"/>
        <v>-23227.89</v>
      </c>
      <c r="N250" s="1243">
        <v>0</v>
      </c>
      <c r="O250" s="1243">
        <f t="shared" si="39"/>
        <v>5247522.7700000014</v>
      </c>
    </row>
    <row r="251" spans="1:15">
      <c r="A251" s="361">
        <f t="shared" si="40"/>
        <v>7</v>
      </c>
      <c r="B251" s="365">
        <v>303.99</v>
      </c>
      <c r="C251" s="358" t="s">
        <v>1129</v>
      </c>
      <c r="D251" s="1244">
        <f t="shared" si="35"/>
        <v>1840852.7800000003</v>
      </c>
      <c r="E251" s="1244">
        <v>42472.65</v>
      </c>
      <c r="F251" s="1244">
        <v>0</v>
      </c>
      <c r="G251" s="1244">
        <f t="shared" si="36"/>
        <v>1883325.4300000002</v>
      </c>
      <c r="H251" s="1243"/>
      <c r="I251" s="1244">
        <f t="shared" si="37"/>
        <v>704210.44</v>
      </c>
      <c r="J251" s="1243"/>
      <c r="K251" s="1244">
        <v>34799.9</v>
      </c>
      <c r="L251" s="1244">
        <v>0</v>
      </c>
      <c r="M251" s="1244">
        <f t="shared" si="38"/>
        <v>0</v>
      </c>
      <c r="N251" s="1244">
        <v>0</v>
      </c>
      <c r="O251" s="1244">
        <f t="shared" si="39"/>
        <v>739010.34</v>
      </c>
    </row>
    <row r="252" spans="1:15">
      <c r="A252" s="361">
        <f t="shared" si="40"/>
        <v>8</v>
      </c>
      <c r="B252" s="367"/>
      <c r="C252" s="358" t="s">
        <v>379</v>
      </c>
      <c r="D252" s="1243">
        <f>SUM(D246:D251)</f>
        <v>13379669.289999999</v>
      </c>
      <c r="E252" s="1243">
        <f>SUM(E246:E251)</f>
        <v>47748.14</v>
      </c>
      <c r="F252" s="1243">
        <f>SUM(F246:F251)</f>
        <v>-23227.89</v>
      </c>
      <c r="G252" s="1243">
        <f>SUM(G246:G251)</f>
        <v>13404189.539999999</v>
      </c>
      <c r="H252" s="1243"/>
      <c r="I252" s="1243">
        <f>SUM(I246:I251)</f>
        <v>5871493.7300000004</v>
      </c>
      <c r="J252" s="1243"/>
      <c r="K252" s="1243">
        <f>SUM(K246:K251)</f>
        <v>215031.83</v>
      </c>
      <c r="L252" s="1243">
        <f>SUM(L246:L251)</f>
        <v>0</v>
      </c>
      <c r="M252" s="1243">
        <f>SUM(M246:M251)</f>
        <v>-23227.89</v>
      </c>
      <c r="N252" s="1243">
        <f>SUM(N246:N251)</f>
        <v>0</v>
      </c>
      <c r="O252" s="1243">
        <f>SUM(O246:O251)</f>
        <v>6063297.6700000009</v>
      </c>
    </row>
    <row r="253" spans="1:15">
      <c r="A253" s="361"/>
      <c r="B253" s="367"/>
      <c r="C253" s="368"/>
      <c r="D253" s="1243"/>
      <c r="E253" s="1243"/>
      <c r="F253" s="1243"/>
      <c r="G253" s="1243"/>
      <c r="H253" s="1243"/>
      <c r="I253" s="1243"/>
      <c r="J253" s="1243"/>
      <c r="K253" s="1243"/>
      <c r="L253" s="1243"/>
      <c r="M253" s="1243"/>
      <c r="N253" s="1243"/>
      <c r="O253" s="1243"/>
    </row>
    <row r="254" spans="1:15">
      <c r="A254" s="361">
        <f>A252+1</f>
        <v>9</v>
      </c>
      <c r="B254" s="362" t="s">
        <v>1600</v>
      </c>
      <c r="C254" s="368"/>
      <c r="D254" s="1243"/>
      <c r="E254" s="1243"/>
      <c r="F254" s="1243"/>
      <c r="G254" s="1243"/>
      <c r="H254" s="1243"/>
      <c r="I254" s="1243"/>
      <c r="J254" s="1243"/>
      <c r="K254" s="1243"/>
      <c r="L254" s="1243"/>
      <c r="M254" s="1243"/>
      <c r="N254" s="1243"/>
      <c r="O254" s="1243"/>
    </row>
    <row r="255" spans="1:15">
      <c r="A255" s="361">
        <f t="shared" ref="A255:A285" si="41">A254+1</f>
        <v>10</v>
      </c>
      <c r="B255" s="365">
        <v>374.1</v>
      </c>
      <c r="C255" s="358" t="s">
        <v>382</v>
      </c>
      <c r="D255" s="1243">
        <f t="shared" ref="D255:D284" si="42">G141</f>
        <v>206</v>
      </c>
      <c r="E255" s="1243">
        <v>0</v>
      </c>
      <c r="F255" s="1243">
        <v>0</v>
      </c>
      <c r="G255" s="1243">
        <f>SUM(D255:F255)</f>
        <v>206</v>
      </c>
      <c r="H255" s="1243"/>
      <c r="I255" s="1243">
        <f t="shared" ref="I255:I284" si="43">O141</f>
        <v>0</v>
      </c>
      <c r="J255" s="1243"/>
      <c r="K255" s="1243">
        <v>0</v>
      </c>
      <c r="L255" s="1243">
        <v>0</v>
      </c>
      <c r="M255" s="1243">
        <f>F255</f>
        <v>0</v>
      </c>
      <c r="N255" s="1243">
        <v>0</v>
      </c>
      <c r="O255" s="1243">
        <f t="shared" ref="O255:O284" si="44">I255+K255+L255+M255+N255</f>
        <v>0</v>
      </c>
    </row>
    <row r="256" spans="1:15">
      <c r="A256" s="361">
        <f t="shared" si="41"/>
        <v>11</v>
      </c>
      <c r="B256" s="365">
        <v>374.2</v>
      </c>
      <c r="C256" s="358" t="s">
        <v>383</v>
      </c>
      <c r="D256" s="1243">
        <f t="shared" si="42"/>
        <v>876986.66</v>
      </c>
      <c r="E256" s="1243">
        <v>0</v>
      </c>
      <c r="F256" s="1243">
        <v>0</v>
      </c>
      <c r="G256" s="1243">
        <f t="shared" ref="G256:G284" si="45">SUM(D256:F256)</f>
        <v>876986.66</v>
      </c>
      <c r="H256" s="1243"/>
      <c r="I256" s="1243">
        <f t="shared" si="43"/>
        <v>-522.25</v>
      </c>
      <c r="J256" s="1243"/>
      <c r="K256" s="1243">
        <v>0</v>
      </c>
      <c r="L256" s="1243">
        <v>0</v>
      </c>
      <c r="M256" s="1243">
        <f t="shared" ref="M256:M284" si="46">F256</f>
        <v>0</v>
      </c>
      <c r="N256" s="1243">
        <v>0</v>
      </c>
      <c r="O256" s="1243">
        <f t="shared" si="44"/>
        <v>-522.25</v>
      </c>
    </row>
    <row r="257" spans="1:15">
      <c r="A257" s="361">
        <f t="shared" si="41"/>
        <v>12</v>
      </c>
      <c r="B257" s="365">
        <v>374.4</v>
      </c>
      <c r="C257" s="358" t="s">
        <v>384</v>
      </c>
      <c r="D257" s="1243">
        <f t="shared" si="42"/>
        <v>2763264.41</v>
      </c>
      <c r="E257" s="1243">
        <v>0</v>
      </c>
      <c r="F257" s="1243">
        <v>0</v>
      </c>
      <c r="G257" s="1243">
        <f t="shared" si="45"/>
        <v>2763264.41</v>
      </c>
      <c r="H257" s="1243"/>
      <c r="I257" s="1243">
        <f t="shared" si="43"/>
        <v>338911.66</v>
      </c>
      <c r="J257" s="1243"/>
      <c r="K257" s="1243">
        <v>2924.4500000000003</v>
      </c>
      <c r="L257" s="1243">
        <v>0</v>
      </c>
      <c r="M257" s="1243">
        <f t="shared" si="46"/>
        <v>0</v>
      </c>
      <c r="N257" s="1243">
        <v>0</v>
      </c>
      <c r="O257" s="1243">
        <f t="shared" si="44"/>
        <v>341836.11</v>
      </c>
    </row>
    <row r="258" spans="1:15">
      <c r="A258" s="361">
        <f t="shared" si="41"/>
        <v>13</v>
      </c>
      <c r="B258" s="365">
        <v>374.5</v>
      </c>
      <c r="C258" s="358" t="s">
        <v>385</v>
      </c>
      <c r="D258" s="1243">
        <f t="shared" si="42"/>
        <v>2666577.16</v>
      </c>
      <c r="E258" s="1243">
        <v>0</v>
      </c>
      <c r="F258" s="1243">
        <v>0</v>
      </c>
      <c r="G258" s="1243">
        <f t="shared" si="45"/>
        <v>2666577.16</v>
      </c>
      <c r="H258" s="1243"/>
      <c r="I258" s="1243">
        <f t="shared" si="43"/>
        <v>1131855.8700000001</v>
      </c>
      <c r="J258" s="1243"/>
      <c r="K258" s="1243">
        <v>2444.36</v>
      </c>
      <c r="L258" s="1243">
        <v>0</v>
      </c>
      <c r="M258" s="1243">
        <f t="shared" si="46"/>
        <v>0</v>
      </c>
      <c r="N258" s="1243">
        <v>0</v>
      </c>
      <c r="O258" s="1243">
        <f t="shared" si="44"/>
        <v>1134300.2300000002</v>
      </c>
    </row>
    <row r="259" spans="1:15">
      <c r="A259" s="361">
        <f t="shared" si="41"/>
        <v>14</v>
      </c>
      <c r="B259" s="365">
        <v>375.2</v>
      </c>
      <c r="C259" s="358" t="s">
        <v>386</v>
      </c>
      <c r="D259" s="1243">
        <f t="shared" si="42"/>
        <v>2124.98</v>
      </c>
      <c r="E259" s="1243">
        <v>0</v>
      </c>
      <c r="F259" s="1243">
        <v>0</v>
      </c>
      <c r="G259" s="1243">
        <f t="shared" si="45"/>
        <v>2124.98</v>
      </c>
      <c r="H259" s="1243"/>
      <c r="I259" s="1243">
        <f t="shared" si="43"/>
        <v>2054.54</v>
      </c>
      <c r="J259" s="1243"/>
      <c r="K259" s="1243">
        <v>0.73</v>
      </c>
      <c r="L259" s="1243">
        <v>0</v>
      </c>
      <c r="M259" s="1243">
        <f t="shared" si="46"/>
        <v>0</v>
      </c>
      <c r="N259" s="1243">
        <v>0</v>
      </c>
      <c r="O259" s="1243">
        <f t="shared" si="44"/>
        <v>2055.27</v>
      </c>
    </row>
    <row r="260" spans="1:15">
      <c r="A260" s="361">
        <f t="shared" si="41"/>
        <v>15</v>
      </c>
      <c r="B260" s="365">
        <v>375.3</v>
      </c>
      <c r="C260" s="358" t="s">
        <v>387</v>
      </c>
      <c r="D260" s="1243">
        <f t="shared" si="42"/>
        <v>0</v>
      </c>
      <c r="E260" s="1243">
        <v>0</v>
      </c>
      <c r="F260" s="1243">
        <v>0</v>
      </c>
      <c r="G260" s="1243">
        <f t="shared" si="45"/>
        <v>0</v>
      </c>
      <c r="H260" s="1243"/>
      <c r="I260" s="1243">
        <f t="shared" si="43"/>
        <v>-77.66</v>
      </c>
      <c r="J260" s="1243"/>
      <c r="K260" s="1243">
        <v>0</v>
      </c>
      <c r="L260" s="1243">
        <v>0</v>
      </c>
      <c r="M260" s="1243">
        <f t="shared" si="46"/>
        <v>0</v>
      </c>
      <c r="N260" s="1243">
        <v>0</v>
      </c>
      <c r="O260" s="1243">
        <f t="shared" si="44"/>
        <v>-77.66</v>
      </c>
    </row>
    <row r="261" spans="1:15">
      <c r="A261" s="361">
        <f t="shared" si="41"/>
        <v>16</v>
      </c>
      <c r="B261" s="365">
        <v>375.4</v>
      </c>
      <c r="C261" s="358" t="s">
        <v>388</v>
      </c>
      <c r="D261" s="1243">
        <f t="shared" si="42"/>
        <v>2819063.9699999997</v>
      </c>
      <c r="E261" s="1243">
        <v>9657.36</v>
      </c>
      <c r="F261" s="1243">
        <v>-200</v>
      </c>
      <c r="G261" s="1243">
        <f t="shared" si="45"/>
        <v>2828521.3299999996</v>
      </c>
      <c r="H261" s="1243"/>
      <c r="I261" s="1243">
        <f t="shared" si="43"/>
        <v>589674.82000000007</v>
      </c>
      <c r="J261" s="1243"/>
      <c r="K261" s="1243">
        <v>5106.37</v>
      </c>
      <c r="L261" s="1243">
        <v>0</v>
      </c>
      <c r="M261" s="1243">
        <f t="shared" si="46"/>
        <v>-200</v>
      </c>
      <c r="N261" s="1243">
        <v>0</v>
      </c>
      <c r="O261" s="1243">
        <f t="shared" si="44"/>
        <v>594581.19000000006</v>
      </c>
    </row>
    <row r="262" spans="1:15">
      <c r="A262" s="361">
        <f t="shared" si="41"/>
        <v>17</v>
      </c>
      <c r="B262" s="365">
        <v>375.6</v>
      </c>
      <c r="C262" s="358" t="s">
        <v>389</v>
      </c>
      <c r="D262" s="1243">
        <f t="shared" si="42"/>
        <v>0</v>
      </c>
      <c r="E262" s="1243">
        <v>0</v>
      </c>
      <c r="F262" s="1243">
        <v>0</v>
      </c>
      <c r="G262" s="1243">
        <f t="shared" si="45"/>
        <v>0</v>
      </c>
      <c r="H262" s="1243"/>
      <c r="I262" s="1243">
        <f t="shared" si="43"/>
        <v>0.02</v>
      </c>
      <c r="J262" s="1243"/>
      <c r="K262" s="1243">
        <v>0</v>
      </c>
      <c r="L262" s="1243">
        <v>0</v>
      </c>
      <c r="M262" s="1243">
        <f t="shared" si="46"/>
        <v>0</v>
      </c>
      <c r="N262" s="1243">
        <v>0</v>
      </c>
      <c r="O262" s="1243">
        <f t="shared" si="44"/>
        <v>0.02</v>
      </c>
    </row>
    <row r="263" spans="1:15">
      <c r="A263" s="361">
        <f t="shared" si="41"/>
        <v>18</v>
      </c>
      <c r="B263" s="365">
        <v>375.7</v>
      </c>
      <c r="C263" s="358" t="s">
        <v>390</v>
      </c>
      <c r="D263" s="1243">
        <f t="shared" si="42"/>
        <v>9082676.9800000004</v>
      </c>
      <c r="E263" s="1243">
        <v>0</v>
      </c>
      <c r="F263" s="1243">
        <v>0</v>
      </c>
      <c r="G263" s="1243">
        <f t="shared" si="45"/>
        <v>9082676.9800000004</v>
      </c>
      <c r="H263" s="1243"/>
      <c r="I263" s="1243">
        <f t="shared" si="43"/>
        <v>4516279.4999999991</v>
      </c>
      <c r="J263" s="1243"/>
      <c r="K263" s="1243">
        <v>17711.22</v>
      </c>
      <c r="L263" s="1243">
        <v>0</v>
      </c>
      <c r="M263" s="1243">
        <f t="shared" si="46"/>
        <v>0</v>
      </c>
      <c r="N263" s="1243">
        <v>0</v>
      </c>
      <c r="O263" s="1243">
        <f t="shared" si="44"/>
        <v>4533990.7199999988</v>
      </c>
    </row>
    <row r="264" spans="1:15">
      <c r="A264" s="361">
        <f t="shared" si="41"/>
        <v>19</v>
      </c>
      <c r="B264" s="365">
        <v>375.71</v>
      </c>
      <c r="C264" s="358" t="s">
        <v>391</v>
      </c>
      <c r="D264" s="1243">
        <f t="shared" si="42"/>
        <v>876651.57</v>
      </c>
      <c r="E264" s="1243">
        <v>0</v>
      </c>
      <c r="F264" s="1243">
        <v>0</v>
      </c>
      <c r="G264" s="1243">
        <f t="shared" si="45"/>
        <v>876651.57</v>
      </c>
      <c r="H264" s="1243"/>
      <c r="I264" s="1243">
        <f t="shared" si="43"/>
        <v>704622.31</v>
      </c>
      <c r="J264" s="1243"/>
      <c r="K264" s="1243">
        <v>7305.9800000000005</v>
      </c>
      <c r="L264" s="1243">
        <v>0</v>
      </c>
      <c r="M264" s="1243">
        <f t="shared" si="46"/>
        <v>0</v>
      </c>
      <c r="N264" s="1243">
        <v>0</v>
      </c>
      <c r="O264" s="1243">
        <f t="shared" si="44"/>
        <v>711928.29</v>
      </c>
    </row>
    <row r="265" spans="1:15">
      <c r="A265" s="361">
        <f t="shared" si="41"/>
        <v>20</v>
      </c>
      <c r="B265" s="365">
        <v>375.8</v>
      </c>
      <c r="C265" s="358" t="s">
        <v>392</v>
      </c>
      <c r="D265" s="1243">
        <f t="shared" si="42"/>
        <v>132125.04</v>
      </c>
      <c r="E265" s="1243">
        <v>0</v>
      </c>
      <c r="F265" s="1243">
        <v>0</v>
      </c>
      <c r="G265" s="1243">
        <f t="shared" si="45"/>
        <v>132125.04</v>
      </c>
      <c r="H265" s="1243"/>
      <c r="I265" s="1243">
        <f t="shared" si="43"/>
        <v>4969.43</v>
      </c>
      <c r="J265" s="1243"/>
      <c r="K265" s="1243">
        <v>585.75</v>
      </c>
      <c r="L265" s="1243">
        <v>0</v>
      </c>
      <c r="M265" s="1243">
        <f t="shared" si="46"/>
        <v>0</v>
      </c>
      <c r="N265" s="1243">
        <v>0</v>
      </c>
      <c r="O265" s="1243">
        <f t="shared" si="44"/>
        <v>5555.18</v>
      </c>
    </row>
    <row r="266" spans="1:15">
      <c r="A266" s="361">
        <f t="shared" si="41"/>
        <v>21</v>
      </c>
      <c r="B266" s="365">
        <v>376</v>
      </c>
      <c r="C266" s="358" t="s">
        <v>1621</v>
      </c>
      <c r="D266" s="1243">
        <f t="shared" si="42"/>
        <v>401786420.59999996</v>
      </c>
      <c r="E266" s="1243">
        <f>'WPB-2.1.D SMRP'!E119</f>
        <v>302117.29999999842</v>
      </c>
      <c r="F266" s="1243">
        <f>'WPB-2.1.D SMRP'!F119</f>
        <v>-126444.81</v>
      </c>
      <c r="G266" s="1243">
        <f t="shared" si="45"/>
        <v>401962093.08999997</v>
      </c>
      <c r="H266" s="1243"/>
      <c r="I266" s="1243">
        <f t="shared" si="43"/>
        <v>75913177.423000008</v>
      </c>
      <c r="J266" s="1243"/>
      <c r="K266" s="1243">
        <f>'WPB-2.1.D SMRP'!K119</f>
        <v>579344.96900000004</v>
      </c>
      <c r="L266" s="1243">
        <v>0</v>
      </c>
      <c r="M266" s="1243">
        <f t="shared" si="46"/>
        <v>-126444.81</v>
      </c>
      <c r="N266" s="1243">
        <f>'WPB-2.1.D SMRP'!N119</f>
        <v>-20820.75</v>
      </c>
      <c r="O266" s="1243">
        <f t="shared" si="44"/>
        <v>76345256.832000002</v>
      </c>
    </row>
    <row r="267" spans="1:15">
      <c r="A267" s="361">
        <f t="shared" si="41"/>
        <v>22</v>
      </c>
      <c r="B267" s="365">
        <v>378.1</v>
      </c>
      <c r="C267" s="358" t="s">
        <v>394</v>
      </c>
      <c r="D267" s="1243">
        <f t="shared" si="42"/>
        <v>498133.66000000003</v>
      </c>
      <c r="E267" s="1243">
        <v>0</v>
      </c>
      <c r="F267" s="1243">
        <v>-3980.3</v>
      </c>
      <c r="G267" s="1243">
        <f t="shared" si="45"/>
        <v>494153.36000000004</v>
      </c>
      <c r="H267" s="1243"/>
      <c r="I267" s="1243">
        <f t="shared" si="43"/>
        <v>410235.19</v>
      </c>
      <c r="J267" s="1243"/>
      <c r="K267" s="1243">
        <v>1041.9000000000001</v>
      </c>
      <c r="L267" s="1243">
        <v>0</v>
      </c>
      <c r="M267" s="1243">
        <f t="shared" si="46"/>
        <v>-3980.3</v>
      </c>
      <c r="N267" s="1243">
        <v>0</v>
      </c>
      <c r="O267" s="1243">
        <f t="shared" si="44"/>
        <v>407296.79000000004</v>
      </c>
    </row>
    <row r="268" spans="1:15">
      <c r="A268" s="361">
        <f t="shared" si="41"/>
        <v>23</v>
      </c>
      <c r="B268" s="365">
        <v>378.2</v>
      </c>
      <c r="C268" s="358" t="s">
        <v>1622</v>
      </c>
      <c r="D268" s="1243">
        <f t="shared" si="42"/>
        <v>24944703.330000002</v>
      </c>
      <c r="E268" s="1243">
        <f>'WPB-2.1.D SMRP'!E123</f>
        <v>0</v>
      </c>
      <c r="F268" s="1243">
        <f>'WPB-2.1.D SMRP'!F123</f>
        <v>0</v>
      </c>
      <c r="G268" s="1243">
        <f t="shared" si="45"/>
        <v>24944703.330000002</v>
      </c>
      <c r="H268" s="1243"/>
      <c r="I268" s="1243">
        <f t="shared" si="43"/>
        <v>2921007.642</v>
      </c>
      <c r="J268" s="1243"/>
      <c r="K268" s="1243">
        <f>'WPB-2.1.D SMRP'!K123</f>
        <v>52384.165999999997</v>
      </c>
      <c r="L268" s="1243">
        <v>0</v>
      </c>
      <c r="M268" s="1243">
        <f t="shared" si="46"/>
        <v>0</v>
      </c>
      <c r="N268" s="1243">
        <f>'WPB-2.1.D SMRP'!N123</f>
        <v>-698.72000000000014</v>
      </c>
      <c r="O268" s="1243">
        <f t="shared" si="44"/>
        <v>2972693.088</v>
      </c>
    </row>
    <row r="269" spans="1:15">
      <c r="A269" s="361">
        <f t="shared" si="41"/>
        <v>24</v>
      </c>
      <c r="B269" s="365">
        <v>378.3</v>
      </c>
      <c r="C269" s="358" t="s">
        <v>396</v>
      </c>
      <c r="D269" s="1243">
        <f t="shared" si="42"/>
        <v>45443.08</v>
      </c>
      <c r="E269" s="1243">
        <v>0</v>
      </c>
      <c r="F269" s="1243">
        <v>0</v>
      </c>
      <c r="G269" s="1243">
        <f t="shared" si="45"/>
        <v>45443.08</v>
      </c>
      <c r="H269" s="1243"/>
      <c r="I269" s="1243">
        <f t="shared" si="43"/>
        <v>42213.16</v>
      </c>
      <c r="J269" s="1243"/>
      <c r="K269" s="1243">
        <v>95.43</v>
      </c>
      <c r="L269" s="1243">
        <v>0</v>
      </c>
      <c r="M269" s="1243">
        <f t="shared" si="46"/>
        <v>0</v>
      </c>
      <c r="N269" s="1243">
        <v>0</v>
      </c>
      <c r="O269" s="1243">
        <f t="shared" si="44"/>
        <v>42308.590000000004</v>
      </c>
    </row>
    <row r="270" spans="1:15">
      <c r="A270" s="361">
        <f t="shared" si="41"/>
        <v>25</v>
      </c>
      <c r="B270" s="365">
        <v>379.1</v>
      </c>
      <c r="C270" s="358" t="s">
        <v>397</v>
      </c>
      <c r="D270" s="1243">
        <f t="shared" si="42"/>
        <v>1554144.06</v>
      </c>
      <c r="E270" s="1243">
        <v>0</v>
      </c>
      <c r="F270" s="1243">
        <v>0</v>
      </c>
      <c r="G270" s="1243">
        <f t="shared" si="45"/>
        <v>1554144.06</v>
      </c>
      <c r="H270" s="1243"/>
      <c r="I270" s="1243">
        <f t="shared" si="43"/>
        <v>320042.91000000003</v>
      </c>
      <c r="J270" s="1243"/>
      <c r="K270" s="1243">
        <v>3134.19</v>
      </c>
      <c r="L270" s="1243">
        <v>0</v>
      </c>
      <c r="M270" s="1243">
        <f t="shared" si="46"/>
        <v>0</v>
      </c>
      <c r="N270" s="1243">
        <v>0</v>
      </c>
      <c r="O270" s="1243">
        <f t="shared" si="44"/>
        <v>323177.10000000003</v>
      </c>
    </row>
    <row r="271" spans="1:15">
      <c r="A271" s="361">
        <f t="shared" si="41"/>
        <v>26</v>
      </c>
      <c r="B271" s="365">
        <v>380</v>
      </c>
      <c r="C271" s="358" t="s">
        <v>1623</v>
      </c>
      <c r="D271" s="1243">
        <f t="shared" si="42"/>
        <v>193868635.17787069</v>
      </c>
      <c r="E271" s="1243">
        <f>'WPB-2.1.D SMRP'!E127</f>
        <v>737895.02</v>
      </c>
      <c r="F271" s="1243">
        <f>'WPB-2.1.D SMRP'!F127</f>
        <v>-38195.966517468012</v>
      </c>
      <c r="G271" s="1243">
        <f t="shared" si="45"/>
        <v>194568334.23135322</v>
      </c>
      <c r="H271" s="1243"/>
      <c r="I271" s="1243">
        <f t="shared" si="43"/>
        <v>53226051.684574701</v>
      </c>
      <c r="J271" s="1243"/>
      <c r="K271" s="1243">
        <f>'WPB-2.1.D SMRP'!K127</f>
        <v>629092.3820000001</v>
      </c>
      <c r="L271" s="1243">
        <v>0</v>
      </c>
      <c r="M271" s="1243">
        <f t="shared" si="46"/>
        <v>-38195.966517468012</v>
      </c>
      <c r="N271" s="1243">
        <f>'WPB-2.1.D SMRP'!N127</f>
        <v>-18448.026912000001</v>
      </c>
      <c r="O271" s="1243">
        <f t="shared" si="44"/>
        <v>53798500.073145233</v>
      </c>
    </row>
    <row r="272" spans="1:15">
      <c r="A272" s="361">
        <f t="shared" si="41"/>
        <v>27</v>
      </c>
      <c r="B272" s="365">
        <v>381</v>
      </c>
      <c r="C272" s="358" t="s">
        <v>399</v>
      </c>
      <c r="D272" s="1243">
        <f t="shared" si="42"/>
        <v>19437002.48</v>
      </c>
      <c r="E272" s="1243">
        <v>183790.13</v>
      </c>
      <c r="F272" s="1243">
        <v>-91883.58</v>
      </c>
      <c r="G272" s="1243">
        <f t="shared" si="45"/>
        <v>19528909.030000001</v>
      </c>
      <c r="H272" s="1243"/>
      <c r="I272" s="1243">
        <f t="shared" si="43"/>
        <v>4737713.5</v>
      </c>
      <c r="J272" s="1243"/>
      <c r="K272" s="1243">
        <v>42537.78</v>
      </c>
      <c r="L272" s="1243">
        <v>0</v>
      </c>
      <c r="M272" s="1243">
        <f t="shared" si="46"/>
        <v>-91883.58</v>
      </c>
      <c r="N272" s="1243">
        <v>0</v>
      </c>
      <c r="O272" s="1243">
        <f t="shared" si="44"/>
        <v>4688367.7</v>
      </c>
    </row>
    <row r="273" spans="1:16">
      <c r="A273" s="361">
        <f t="shared" si="41"/>
        <v>28</v>
      </c>
      <c r="B273" s="365">
        <v>381.1</v>
      </c>
      <c r="C273" s="358" t="s">
        <v>2366</v>
      </c>
      <c r="D273" s="1243">
        <f t="shared" si="42"/>
        <v>9980854.4800000004</v>
      </c>
      <c r="E273" s="1243">
        <v>0</v>
      </c>
      <c r="F273" s="1243">
        <v>0</v>
      </c>
      <c r="G273" s="1243">
        <f t="shared" si="45"/>
        <v>9980854.4800000004</v>
      </c>
      <c r="H273" s="1243"/>
      <c r="I273" s="1243">
        <f t="shared" si="43"/>
        <v>4738959.1500000004</v>
      </c>
      <c r="J273" s="1243"/>
      <c r="K273" s="1243">
        <v>62213.99</v>
      </c>
      <c r="L273" s="1243">
        <v>0</v>
      </c>
      <c r="M273" s="1243">
        <f t="shared" si="46"/>
        <v>0</v>
      </c>
      <c r="N273" s="1243">
        <v>0</v>
      </c>
      <c r="O273" s="1243">
        <f t="shared" si="44"/>
        <v>4801173.1400000006</v>
      </c>
    </row>
    <row r="274" spans="1:16">
      <c r="A274" s="361">
        <f t="shared" si="41"/>
        <v>29</v>
      </c>
      <c r="B274" s="365">
        <v>382</v>
      </c>
      <c r="C274" s="358" t="s">
        <v>1624</v>
      </c>
      <c r="D274" s="1243">
        <f t="shared" si="42"/>
        <v>10125082.140000001</v>
      </c>
      <c r="E274" s="1243">
        <f>'WPB-2.1.D SMRP'!E131</f>
        <v>17151.140000000003</v>
      </c>
      <c r="F274" s="1243">
        <f>'WPB-2.1.D SMRP'!F131</f>
        <v>0</v>
      </c>
      <c r="G274" s="1243">
        <f t="shared" si="45"/>
        <v>10142233.280000001</v>
      </c>
      <c r="H274" s="1243"/>
      <c r="I274" s="1243">
        <f t="shared" si="43"/>
        <v>5691206.2079999996</v>
      </c>
      <c r="J274" s="1243"/>
      <c r="K274" s="1243">
        <f>'WPB-2.1.D SMRP'!K131</f>
        <v>14947.53</v>
      </c>
      <c r="L274" s="1243">
        <v>0</v>
      </c>
      <c r="M274" s="1243">
        <f t="shared" si="46"/>
        <v>0</v>
      </c>
      <c r="N274" s="1243">
        <f>'WPB-2.1.D SMRP'!N131</f>
        <v>0</v>
      </c>
      <c r="O274" s="1243">
        <f t="shared" si="44"/>
        <v>5706153.7379999999</v>
      </c>
      <c r="P274" s="332"/>
    </row>
    <row r="275" spans="1:16">
      <c r="A275" s="361">
        <f t="shared" si="41"/>
        <v>30</v>
      </c>
      <c r="B275" s="365">
        <v>383</v>
      </c>
      <c r="C275" s="358" t="s">
        <v>1625</v>
      </c>
      <c r="D275" s="1243">
        <f t="shared" si="42"/>
        <v>7161892.4399999995</v>
      </c>
      <c r="E275" s="1243">
        <f>'WPB-2.1.D SMRP'!E135</f>
        <v>17539.78</v>
      </c>
      <c r="F275" s="1243">
        <f>'WPB-2.1.D SMRP'!F135</f>
        <v>0</v>
      </c>
      <c r="G275" s="1243">
        <f t="shared" si="45"/>
        <v>7179432.2199999997</v>
      </c>
      <c r="H275" s="1243"/>
      <c r="I275" s="1243">
        <f t="shared" si="43"/>
        <v>2369593.199</v>
      </c>
      <c r="J275" s="1243"/>
      <c r="K275" s="1243">
        <f>'WPB-2.1.D SMRP'!K135</f>
        <v>11592.887000000001</v>
      </c>
      <c r="L275" s="1243">
        <v>0</v>
      </c>
      <c r="M275" s="1243">
        <f t="shared" si="46"/>
        <v>0</v>
      </c>
      <c r="N275" s="1243">
        <f>'WPB-2.1.D SMRP'!N135</f>
        <v>0</v>
      </c>
      <c r="O275" s="1243">
        <f t="shared" si="44"/>
        <v>2381186.0860000001</v>
      </c>
      <c r="P275" s="332"/>
    </row>
    <row r="276" spans="1:16">
      <c r="A276" s="361">
        <f t="shared" si="41"/>
        <v>31</v>
      </c>
      <c r="B276" s="365">
        <v>384</v>
      </c>
      <c r="C276" s="358" t="s">
        <v>402</v>
      </c>
      <c r="D276" s="1243">
        <f t="shared" si="42"/>
        <v>2085058.65</v>
      </c>
      <c r="E276" s="1243">
        <v>0</v>
      </c>
      <c r="F276" s="1243">
        <v>0</v>
      </c>
      <c r="G276" s="1243">
        <f t="shared" si="45"/>
        <v>2085058.65</v>
      </c>
      <c r="H276" s="1243"/>
      <c r="I276" s="1243">
        <f t="shared" si="43"/>
        <v>1711120</v>
      </c>
      <c r="J276" s="1243"/>
      <c r="K276" s="1243">
        <v>1720.17</v>
      </c>
      <c r="L276" s="1243">
        <v>0</v>
      </c>
      <c r="M276" s="1243">
        <f t="shared" si="46"/>
        <v>0</v>
      </c>
      <c r="N276" s="1243">
        <v>0</v>
      </c>
      <c r="O276" s="1243">
        <f t="shared" si="44"/>
        <v>1712840.17</v>
      </c>
    </row>
    <row r="277" spans="1:16">
      <c r="A277" s="361">
        <f t="shared" si="41"/>
        <v>32</v>
      </c>
      <c r="B277" s="365">
        <v>385</v>
      </c>
      <c r="C277" s="358" t="s">
        <v>403</v>
      </c>
      <c r="D277" s="1243">
        <f t="shared" si="42"/>
        <v>6034128.1400000006</v>
      </c>
      <c r="E277" s="1243">
        <v>175459.89</v>
      </c>
      <c r="F277" s="1243">
        <v>-5874.74</v>
      </c>
      <c r="G277" s="1243">
        <f t="shared" si="45"/>
        <v>6203713.29</v>
      </c>
      <c r="H277" s="1243"/>
      <c r="I277" s="1243">
        <f t="shared" si="43"/>
        <v>776733.67000000016</v>
      </c>
      <c r="J277" s="1243"/>
      <c r="K277" s="1243">
        <v>19019.650000000001</v>
      </c>
      <c r="L277" s="1243">
        <v>0</v>
      </c>
      <c r="M277" s="1243">
        <f t="shared" si="46"/>
        <v>-5874.74</v>
      </c>
      <c r="N277" s="1243">
        <v>0</v>
      </c>
      <c r="O277" s="1243">
        <f t="shared" si="44"/>
        <v>789878.58000000019</v>
      </c>
    </row>
    <row r="278" spans="1:16">
      <c r="A278" s="361">
        <f t="shared" si="41"/>
        <v>33</v>
      </c>
      <c r="B278" s="365">
        <v>387.2</v>
      </c>
      <c r="C278" s="358" t="s">
        <v>404</v>
      </c>
      <c r="D278" s="1243">
        <f t="shared" si="42"/>
        <v>0</v>
      </c>
      <c r="E278" s="1243">
        <v>0</v>
      </c>
      <c r="F278" s="1243">
        <v>0</v>
      </c>
      <c r="G278" s="1243">
        <f t="shared" si="45"/>
        <v>0</v>
      </c>
      <c r="H278" s="1243"/>
      <c r="I278" s="1243">
        <f t="shared" si="43"/>
        <v>-59912.03</v>
      </c>
      <c r="J278" s="1243"/>
      <c r="K278" s="1243">
        <v>0</v>
      </c>
      <c r="L278" s="1243">
        <v>0</v>
      </c>
      <c r="M278" s="1243">
        <f t="shared" si="46"/>
        <v>0</v>
      </c>
      <c r="N278" s="1243">
        <v>0</v>
      </c>
      <c r="O278" s="1243">
        <f t="shared" si="44"/>
        <v>-59912.03</v>
      </c>
    </row>
    <row r="279" spans="1:16">
      <c r="A279" s="361">
        <f t="shared" si="41"/>
        <v>34</v>
      </c>
      <c r="B279" s="365">
        <v>387.41</v>
      </c>
      <c r="C279" s="358" t="s">
        <v>405</v>
      </c>
      <c r="D279" s="1243">
        <f t="shared" si="42"/>
        <v>735015.32000000007</v>
      </c>
      <c r="E279" s="1243">
        <v>0</v>
      </c>
      <c r="F279" s="1243">
        <v>0</v>
      </c>
      <c r="G279" s="1243">
        <f t="shared" si="45"/>
        <v>735015.32000000007</v>
      </c>
      <c r="H279" s="1243"/>
      <c r="I279" s="1243">
        <f t="shared" si="43"/>
        <v>526396.49</v>
      </c>
      <c r="J279" s="1243"/>
      <c r="K279" s="1243">
        <v>1892.66</v>
      </c>
      <c r="L279" s="1243">
        <v>0</v>
      </c>
      <c r="M279" s="1243">
        <f t="shared" si="46"/>
        <v>0</v>
      </c>
      <c r="N279" s="1243">
        <v>0</v>
      </c>
      <c r="O279" s="1243">
        <f t="shared" si="44"/>
        <v>528289.15</v>
      </c>
    </row>
    <row r="280" spans="1:16">
      <c r="A280" s="361">
        <f t="shared" si="41"/>
        <v>35</v>
      </c>
      <c r="B280" s="365">
        <v>387.42</v>
      </c>
      <c r="C280" s="358" t="s">
        <v>406</v>
      </c>
      <c r="D280" s="1243">
        <f t="shared" si="42"/>
        <v>786896.82000000007</v>
      </c>
      <c r="E280" s="1243">
        <v>0</v>
      </c>
      <c r="F280" s="1243">
        <v>0</v>
      </c>
      <c r="G280" s="1243">
        <f t="shared" si="45"/>
        <v>786896.82000000007</v>
      </c>
      <c r="H280" s="1243"/>
      <c r="I280" s="1243">
        <f t="shared" si="43"/>
        <v>698435.47</v>
      </c>
      <c r="J280" s="1243"/>
      <c r="K280" s="1243">
        <v>2124.62</v>
      </c>
      <c r="L280" s="1243">
        <v>0</v>
      </c>
      <c r="M280" s="1243">
        <f t="shared" si="46"/>
        <v>0</v>
      </c>
      <c r="N280" s="1243">
        <v>0</v>
      </c>
      <c r="O280" s="1243">
        <f t="shared" si="44"/>
        <v>700560.09</v>
      </c>
    </row>
    <row r="281" spans="1:16">
      <c r="A281" s="361">
        <f t="shared" si="41"/>
        <v>36</v>
      </c>
      <c r="B281" s="365">
        <v>387.44</v>
      </c>
      <c r="C281" s="358" t="s">
        <v>407</v>
      </c>
      <c r="D281" s="1243">
        <f t="shared" si="42"/>
        <v>124678.76000000001</v>
      </c>
      <c r="E281" s="1243">
        <v>0</v>
      </c>
      <c r="F281" s="1243">
        <v>0</v>
      </c>
      <c r="G281" s="1243">
        <f t="shared" si="45"/>
        <v>124678.76000000001</v>
      </c>
      <c r="H281" s="1243"/>
      <c r="I281" s="1243">
        <f t="shared" si="43"/>
        <v>64049.119999999995</v>
      </c>
      <c r="J281" s="1243"/>
      <c r="K281" s="1243">
        <v>336.63</v>
      </c>
      <c r="L281" s="1243">
        <v>0</v>
      </c>
      <c r="M281" s="1243">
        <f t="shared" si="46"/>
        <v>0</v>
      </c>
      <c r="N281" s="1243">
        <v>0</v>
      </c>
      <c r="O281" s="1243">
        <f t="shared" si="44"/>
        <v>64385.749999999993</v>
      </c>
    </row>
    <row r="282" spans="1:16">
      <c r="A282" s="361">
        <f t="shared" si="41"/>
        <v>37</v>
      </c>
      <c r="B282" s="365">
        <v>387.45</v>
      </c>
      <c r="C282" s="358" t="s">
        <v>408</v>
      </c>
      <c r="D282" s="1243">
        <f t="shared" si="42"/>
        <v>5738613.1500000004</v>
      </c>
      <c r="E282" s="1243">
        <v>30161.420000000002</v>
      </c>
      <c r="F282" s="1243">
        <v>0</v>
      </c>
      <c r="G282" s="1243">
        <f t="shared" si="45"/>
        <v>5768774.5700000003</v>
      </c>
      <c r="H282" s="1243"/>
      <c r="I282" s="1243">
        <f t="shared" si="43"/>
        <v>-81024.279999999984</v>
      </c>
      <c r="J282" s="1243"/>
      <c r="K282" s="1243">
        <v>15534.970000000001</v>
      </c>
      <c r="L282" s="1243">
        <v>0</v>
      </c>
      <c r="M282" s="1243">
        <f t="shared" si="46"/>
        <v>0</v>
      </c>
      <c r="N282" s="1243">
        <v>-1234.03</v>
      </c>
      <c r="O282" s="1243">
        <f t="shared" si="44"/>
        <v>-66723.339999999982</v>
      </c>
    </row>
    <row r="283" spans="1:16">
      <c r="A283" s="361">
        <f t="shared" si="41"/>
        <v>38</v>
      </c>
      <c r="B283" s="365">
        <v>387.46</v>
      </c>
      <c r="C283" s="358" t="s">
        <v>409</v>
      </c>
      <c r="D283" s="1243">
        <f t="shared" si="42"/>
        <v>113644.47</v>
      </c>
      <c r="E283" s="1243">
        <v>0</v>
      </c>
      <c r="F283" s="1243">
        <v>0</v>
      </c>
      <c r="G283" s="1243">
        <f t="shared" si="45"/>
        <v>113644.47</v>
      </c>
      <c r="H283" s="1243"/>
      <c r="I283" s="1243">
        <f t="shared" si="43"/>
        <v>114497.07</v>
      </c>
      <c r="J283" s="1243"/>
      <c r="K283" s="1243">
        <v>0</v>
      </c>
      <c r="L283" s="1243">
        <v>0</v>
      </c>
      <c r="M283" s="1243">
        <f t="shared" si="46"/>
        <v>0</v>
      </c>
      <c r="N283" s="1243">
        <v>0</v>
      </c>
      <c r="O283" s="1243">
        <f t="shared" si="44"/>
        <v>114497.07</v>
      </c>
    </row>
    <row r="284" spans="1:16">
      <c r="A284" s="361">
        <f t="shared" si="41"/>
        <v>39</v>
      </c>
      <c r="B284" s="365">
        <v>387.5</v>
      </c>
      <c r="C284" s="358" t="s">
        <v>1075</v>
      </c>
      <c r="D284" s="1244">
        <f t="shared" si="42"/>
        <v>235051.94</v>
      </c>
      <c r="E284" s="1244">
        <v>0</v>
      </c>
      <c r="F284" s="1244">
        <v>0</v>
      </c>
      <c r="G284" s="1244">
        <f t="shared" si="45"/>
        <v>235051.94</v>
      </c>
      <c r="H284" s="1243"/>
      <c r="I284" s="1244">
        <f t="shared" si="43"/>
        <v>36610.340000000004</v>
      </c>
      <c r="J284" s="1243"/>
      <c r="K284" s="1244">
        <v>605.26</v>
      </c>
      <c r="L284" s="1244">
        <v>0</v>
      </c>
      <c r="M284" s="1244">
        <f t="shared" si="46"/>
        <v>0</v>
      </c>
      <c r="N284" s="1244">
        <v>0</v>
      </c>
      <c r="O284" s="1244">
        <f t="shared" si="44"/>
        <v>37215.600000000006</v>
      </c>
    </row>
    <row r="285" spans="1:16">
      <c r="A285" s="361">
        <f t="shared" si="41"/>
        <v>40</v>
      </c>
      <c r="C285" s="358" t="s">
        <v>1601</v>
      </c>
      <c r="D285" s="1243">
        <f>SUM(D255:D284)</f>
        <v>704475075.46787083</v>
      </c>
      <c r="E285" s="1243">
        <f>SUM(E255:E284)</f>
        <v>1473772.0399999982</v>
      </c>
      <c r="F285" s="1243">
        <f>SUM(F255:F284)</f>
        <v>-266579.39651746803</v>
      </c>
      <c r="G285" s="1243">
        <f>SUM(G255:G284)</f>
        <v>705682268.1113534</v>
      </c>
      <c r="H285" s="1243"/>
      <c r="I285" s="1243">
        <f>SUM(I255:I284)</f>
        <v>161444874.1565747</v>
      </c>
      <c r="J285" s="1243"/>
      <c r="K285" s="1243">
        <f>SUM(K255:K284)</f>
        <v>1473698.044</v>
      </c>
      <c r="L285" s="1243">
        <f>SUM(L255:L284)</f>
        <v>0</v>
      </c>
      <c r="M285" s="1243">
        <f>SUM(M255:M284)</f>
        <v>-266579.39651746803</v>
      </c>
      <c r="N285" s="1243">
        <f>SUM(N255:N284)</f>
        <v>-41201.526912000001</v>
      </c>
      <c r="O285" s="1243">
        <f>SUM(O255:O284)</f>
        <v>162610791.27714524</v>
      </c>
    </row>
    <row r="286" spans="1:16">
      <c r="B286" s="367"/>
      <c r="D286" s="369"/>
      <c r="E286" s="369"/>
      <c r="F286" s="369"/>
      <c r="G286" s="369"/>
      <c r="I286" s="369"/>
      <c r="J286" s="369"/>
      <c r="K286" s="369"/>
      <c r="L286" s="369"/>
      <c r="M286" s="369"/>
      <c r="N286" s="369"/>
      <c r="O286" s="369"/>
    </row>
    <row r="287" spans="1:16">
      <c r="I287" s="369"/>
      <c r="J287" s="369"/>
      <c r="K287" s="369"/>
      <c r="L287" s="369"/>
      <c r="M287" s="369"/>
      <c r="N287" s="369"/>
      <c r="O287" s="369"/>
    </row>
    <row r="288" spans="1:16" s="291" customFormat="1">
      <c r="A288" s="1308" t="str">
        <f>$A$1</f>
        <v>COLUMBIA GAS OF KENTUCKY, INC.</v>
      </c>
      <c r="B288" s="1308"/>
      <c r="C288" s="1308"/>
      <c r="D288" s="1308"/>
      <c r="E288" s="1308"/>
      <c r="F288" s="1308"/>
      <c r="G288" s="1308"/>
      <c r="H288" s="1308"/>
      <c r="I288" s="1308"/>
      <c r="J288" s="1308"/>
      <c r="K288" s="1308"/>
      <c r="L288" s="1308"/>
      <c r="M288" s="1308"/>
      <c r="N288" s="1308"/>
      <c r="O288" s="1308"/>
    </row>
    <row r="289" spans="1:16" s="291" customFormat="1">
      <c r="A289" s="1308" t="str">
        <f>$A$2</f>
        <v>CASE NO. 2024 - 00092</v>
      </c>
      <c r="B289" s="1308"/>
      <c r="C289" s="1308"/>
      <c r="D289" s="1308"/>
      <c r="E289" s="1308"/>
      <c r="F289" s="1308"/>
      <c r="G289" s="1308"/>
      <c r="H289" s="1308"/>
      <c r="I289" s="1308"/>
      <c r="J289" s="1308"/>
      <c r="K289" s="1308"/>
      <c r="L289" s="1308"/>
      <c r="M289" s="1308"/>
      <c r="N289" s="1308"/>
      <c r="O289" s="1308"/>
    </row>
    <row r="290" spans="1:16" s="291" customFormat="1">
      <c r="A290" s="1308" t="str">
        <f>$A$3</f>
        <v>DETAIL OF ACTUAL &amp; FORECASTED PLANT, ACCUMULATED RESERVE &amp; DEPRECIATION EXPENSE</v>
      </c>
      <c r="B290" s="1308"/>
      <c r="C290" s="1308"/>
      <c r="D290" s="1308"/>
      <c r="E290" s="1308"/>
      <c r="F290" s="1308"/>
      <c r="G290" s="1308"/>
      <c r="H290" s="1308"/>
      <c r="I290" s="1308"/>
      <c r="J290" s="1308"/>
      <c r="K290" s="1308"/>
      <c r="L290" s="1308"/>
      <c r="M290" s="1308"/>
      <c r="N290" s="1308"/>
      <c r="O290" s="1308"/>
      <c r="P290" s="357"/>
    </row>
    <row r="291" spans="1:16" s="291" customFormat="1">
      <c r="A291" s="1308" t="str">
        <f>$A$4</f>
        <v>FROM JANUARY 01, 2023 THROUGH DECEMBER 31, 2025</v>
      </c>
      <c r="B291" s="1308"/>
      <c r="C291" s="1308"/>
      <c r="D291" s="1308"/>
      <c r="E291" s="1308"/>
      <c r="F291" s="1308"/>
      <c r="G291" s="1308"/>
      <c r="H291" s="1308"/>
      <c r="I291" s="1308"/>
      <c r="J291" s="1308"/>
      <c r="K291" s="1308"/>
      <c r="L291" s="1308"/>
      <c r="M291" s="1308"/>
      <c r="N291" s="1308"/>
      <c r="O291" s="1308"/>
    </row>
    <row r="292" spans="1:16" s="291" customFormat="1">
      <c r="B292" s="293"/>
      <c r="P292" s="312"/>
    </row>
    <row r="293" spans="1:16" s="291" customFormat="1">
      <c r="A293" s="297" t="str">
        <f>$A$6</f>
        <v xml:space="preserve">DATA: _X_ BASE PERIOD _X_ FORECASTED PERIOD     </v>
      </c>
      <c r="B293" s="293"/>
      <c r="O293" s="312" t="str">
        <f>$O$6</f>
        <v>WPB-2.1.C</v>
      </c>
      <c r="P293" s="312"/>
    </row>
    <row r="294" spans="1:16" s="291" customFormat="1">
      <c r="A294" s="297" t="str">
        <f>$A$7</f>
        <v>TYPE OF FILING:___X___ORIGINAL______UPDATED</v>
      </c>
      <c r="B294" s="293"/>
      <c r="O294" s="312" t="s">
        <v>2217</v>
      </c>
      <c r="P294" s="312"/>
    </row>
    <row r="295" spans="1:16" s="291" customFormat="1">
      <c r="A295" s="297" t="str">
        <f>$A$8</f>
        <v>WORKPAPER REFERENCE NO(S).:</v>
      </c>
      <c r="B295" s="293"/>
      <c r="O295" s="312" t="str">
        <f>$O$8</f>
        <v>WITNESS: GORE</v>
      </c>
    </row>
    <row r="296" spans="1:16">
      <c r="A296" s="918"/>
      <c r="B296" s="919"/>
      <c r="C296" s="918"/>
      <c r="D296" s="918"/>
      <c r="E296" s="918"/>
      <c r="F296" s="918"/>
      <c r="G296" s="918"/>
      <c r="H296" s="918"/>
      <c r="I296" s="918"/>
      <c r="J296" s="918"/>
      <c r="K296" s="918"/>
      <c r="L296" s="918"/>
      <c r="M296" s="918"/>
      <c r="N296" s="918"/>
      <c r="O296" s="920"/>
    </row>
    <row r="297" spans="1:16">
      <c r="D297" s="1311" t="s">
        <v>1768</v>
      </c>
      <c r="E297" s="1311"/>
      <c r="F297" s="1311"/>
      <c r="G297" s="1311"/>
      <c r="I297" s="1311" t="s">
        <v>1769</v>
      </c>
      <c r="J297" s="1311"/>
      <c r="K297" s="1311"/>
      <c r="L297" s="1311"/>
      <c r="M297" s="1311"/>
      <c r="N297" s="1311"/>
      <c r="O297" s="1311"/>
    </row>
    <row r="298" spans="1:16">
      <c r="D298" s="360">
        <f>D239</f>
        <v>44986</v>
      </c>
      <c r="G298" s="360">
        <f>G239</f>
        <v>45016</v>
      </c>
      <c r="I298" s="360">
        <f>D298</f>
        <v>44986</v>
      </c>
      <c r="O298" s="360">
        <f>G298</f>
        <v>45016</v>
      </c>
    </row>
    <row r="299" spans="1:16">
      <c r="D299" s="361" t="s">
        <v>1757</v>
      </c>
      <c r="G299" s="361" t="s">
        <v>1757</v>
      </c>
      <c r="I299" s="361" t="s">
        <v>1758</v>
      </c>
      <c r="J299" s="361" t="s">
        <v>488</v>
      </c>
      <c r="L299" s="361" t="s">
        <v>1758</v>
      </c>
      <c r="O299" s="361" t="s">
        <v>1758</v>
      </c>
    </row>
    <row r="300" spans="1:16">
      <c r="A300" s="361" t="s">
        <v>1770</v>
      </c>
      <c r="B300" s="361" t="s">
        <v>368</v>
      </c>
      <c r="C300" s="361"/>
      <c r="D300" s="361" t="s">
        <v>437</v>
      </c>
      <c r="G300" s="361" t="s">
        <v>439</v>
      </c>
      <c r="I300" s="361" t="s">
        <v>437</v>
      </c>
      <c r="J300" s="361" t="s">
        <v>1771</v>
      </c>
      <c r="K300" s="361" t="s">
        <v>1772</v>
      </c>
      <c r="L300" s="361" t="s">
        <v>1759</v>
      </c>
      <c r="N300" s="361" t="s">
        <v>1760</v>
      </c>
      <c r="O300" s="361" t="s">
        <v>439</v>
      </c>
    </row>
    <row r="301" spans="1:16">
      <c r="A301" s="364" t="s">
        <v>316</v>
      </c>
      <c r="B301" s="364" t="s">
        <v>316</v>
      </c>
      <c r="C301" s="364" t="s">
        <v>451</v>
      </c>
      <c r="D301" s="364" t="s">
        <v>441</v>
      </c>
      <c r="E301" s="364" t="s">
        <v>442</v>
      </c>
      <c r="F301" s="364" t="s">
        <v>443</v>
      </c>
      <c r="G301" s="364" t="s">
        <v>441</v>
      </c>
      <c r="I301" s="364" t="s">
        <v>441</v>
      </c>
      <c r="J301" s="364" t="s">
        <v>1773</v>
      </c>
      <c r="K301" s="364" t="s">
        <v>1771</v>
      </c>
      <c r="L301" s="364" t="s">
        <v>355</v>
      </c>
      <c r="M301" s="364" t="s">
        <v>443</v>
      </c>
      <c r="N301" s="364" t="s">
        <v>1763</v>
      </c>
      <c r="O301" s="364" t="s">
        <v>441</v>
      </c>
    </row>
    <row r="302" spans="1:16">
      <c r="D302" s="361" t="s">
        <v>532</v>
      </c>
      <c r="E302" s="361" t="s">
        <v>541</v>
      </c>
      <c r="F302" s="361" t="s">
        <v>542</v>
      </c>
      <c r="G302" s="361" t="s">
        <v>1764</v>
      </c>
      <c r="I302" s="334" t="str">
        <f>"(5)"</f>
        <v>(5)</v>
      </c>
      <c r="J302" s="334" t="str">
        <f>"(6)"</f>
        <v>(6)</v>
      </c>
      <c r="K302" s="334" t="str">
        <f>"(7)"</f>
        <v>(7)</v>
      </c>
      <c r="L302" s="334" t="str">
        <f>"(8)"</f>
        <v>(8)</v>
      </c>
      <c r="M302" s="334" t="str">
        <f>"(9)"</f>
        <v>(9)</v>
      </c>
      <c r="N302" s="334" t="str">
        <f>"(10)"</f>
        <v>(10)</v>
      </c>
      <c r="O302" s="334" t="str">
        <f>"(11=5+7+8+9+10)"</f>
        <v>(11=5+7+8+9+10)</v>
      </c>
    </row>
    <row r="303" spans="1:16">
      <c r="D303" s="361" t="s">
        <v>320</v>
      </c>
      <c r="E303" s="361" t="s">
        <v>320</v>
      </c>
      <c r="F303" s="361" t="s">
        <v>320</v>
      </c>
      <c r="G303" s="361" t="s">
        <v>320</v>
      </c>
      <c r="I303" s="334" t="s">
        <v>320</v>
      </c>
      <c r="J303" s="334" t="s">
        <v>529</v>
      </c>
      <c r="K303" s="334" t="s">
        <v>320</v>
      </c>
      <c r="L303" s="334" t="s">
        <v>320</v>
      </c>
      <c r="M303" s="334" t="s">
        <v>320</v>
      </c>
      <c r="N303" s="334" t="s">
        <v>320</v>
      </c>
      <c r="O303" s="334" t="s">
        <v>320</v>
      </c>
    </row>
    <row r="304" spans="1:16">
      <c r="A304" s="361">
        <v>1</v>
      </c>
      <c r="B304" s="363" t="s">
        <v>411</v>
      </c>
      <c r="D304" s="361"/>
      <c r="E304" s="361"/>
      <c r="F304" s="361"/>
      <c r="G304" s="361"/>
      <c r="I304" s="334"/>
      <c r="J304" s="334"/>
      <c r="K304" s="334"/>
      <c r="L304" s="334"/>
      <c r="M304" s="334"/>
      <c r="N304" s="334"/>
      <c r="O304" s="334"/>
    </row>
    <row r="305" spans="1:15">
      <c r="A305" s="361">
        <f>A304+1</f>
        <v>2</v>
      </c>
      <c r="B305" s="365">
        <v>391.1</v>
      </c>
      <c r="C305" s="358" t="s">
        <v>412</v>
      </c>
      <c r="D305" s="1243">
        <f t="shared" ref="D305:D318" si="47">G191</f>
        <v>820366.66</v>
      </c>
      <c r="E305" s="1243">
        <v>0</v>
      </c>
      <c r="F305" s="1243">
        <v>0</v>
      </c>
      <c r="G305" s="1243">
        <f>SUM(D305:F305)</f>
        <v>820366.66</v>
      </c>
      <c r="H305" s="1243"/>
      <c r="I305" s="1245">
        <f t="shared" ref="I305:I318" si="48">O191</f>
        <v>82283.69</v>
      </c>
      <c r="J305" s="1243"/>
      <c r="K305" s="1243">
        <v>3418.19</v>
      </c>
      <c r="L305" s="1243">
        <v>0</v>
      </c>
      <c r="M305" s="1243">
        <f>F305</f>
        <v>0</v>
      </c>
      <c r="N305" s="1243">
        <v>0</v>
      </c>
      <c r="O305" s="1243">
        <f t="shared" ref="O305:O318" si="49">I305+K305+L305+M305+N305</f>
        <v>85701.88</v>
      </c>
    </row>
    <row r="306" spans="1:15">
      <c r="A306" s="361">
        <f t="shared" ref="A306:A319" si="50">A305+1</f>
        <v>3</v>
      </c>
      <c r="B306" s="365">
        <v>391.11</v>
      </c>
      <c r="C306" s="358" t="s">
        <v>413</v>
      </c>
      <c r="D306" s="1243">
        <f t="shared" si="47"/>
        <v>0</v>
      </c>
      <c r="E306" s="1243">
        <v>0</v>
      </c>
      <c r="F306" s="1243">
        <v>0</v>
      </c>
      <c r="G306" s="1243">
        <f t="shared" ref="G306:G313" si="51">SUM(D306:F306)</f>
        <v>0</v>
      </c>
      <c r="H306" s="1243"/>
      <c r="I306" s="1245">
        <f t="shared" si="48"/>
        <v>-18933.789999999997</v>
      </c>
      <c r="J306" s="1243"/>
      <c r="K306" s="1243">
        <v>0</v>
      </c>
      <c r="L306" s="1243">
        <v>0</v>
      </c>
      <c r="M306" s="1243">
        <f t="shared" ref="M306:M318" si="52">F306</f>
        <v>0</v>
      </c>
      <c r="N306" s="1243">
        <v>0</v>
      </c>
      <c r="O306" s="1243">
        <f t="shared" si="49"/>
        <v>-18933.789999999997</v>
      </c>
    </row>
    <row r="307" spans="1:15">
      <c r="A307" s="361">
        <f t="shared" si="50"/>
        <v>4</v>
      </c>
      <c r="B307" s="365">
        <v>391.12</v>
      </c>
      <c r="C307" s="358" t="s">
        <v>414</v>
      </c>
      <c r="D307" s="1243">
        <f t="shared" si="47"/>
        <v>91133.260000000009</v>
      </c>
      <c r="E307" s="1243">
        <v>0</v>
      </c>
      <c r="F307" s="1243">
        <v>0</v>
      </c>
      <c r="G307" s="1243">
        <f t="shared" si="51"/>
        <v>91133.260000000009</v>
      </c>
      <c r="H307" s="1243"/>
      <c r="I307" s="1245">
        <f t="shared" si="48"/>
        <v>36681.300000000003</v>
      </c>
      <c r="J307" s="1243"/>
      <c r="K307" s="1243">
        <v>1518.89</v>
      </c>
      <c r="L307" s="1243">
        <v>0</v>
      </c>
      <c r="M307" s="1243">
        <f t="shared" si="52"/>
        <v>0</v>
      </c>
      <c r="N307" s="1243">
        <v>0</v>
      </c>
      <c r="O307" s="1243">
        <f t="shared" si="49"/>
        <v>38200.19</v>
      </c>
    </row>
    <row r="308" spans="1:15">
      <c r="A308" s="361">
        <f t="shared" si="50"/>
        <v>5</v>
      </c>
      <c r="B308" s="365">
        <v>392.2</v>
      </c>
      <c r="C308" s="358" t="s">
        <v>524</v>
      </c>
      <c r="D308" s="1243">
        <f t="shared" si="47"/>
        <v>95778</v>
      </c>
      <c r="E308" s="1243">
        <v>0</v>
      </c>
      <c r="F308" s="1243">
        <v>0</v>
      </c>
      <c r="G308" s="1243">
        <f t="shared" si="51"/>
        <v>95778</v>
      </c>
      <c r="H308" s="1243"/>
      <c r="I308" s="1245">
        <f t="shared" si="48"/>
        <v>63261.609999999993</v>
      </c>
      <c r="J308" s="1243"/>
      <c r="K308" s="1243">
        <v>71.84</v>
      </c>
      <c r="L308" s="1243">
        <v>0</v>
      </c>
      <c r="M308" s="1243">
        <f t="shared" si="52"/>
        <v>0</v>
      </c>
      <c r="N308" s="1243">
        <v>0</v>
      </c>
      <c r="O308" s="1243">
        <f t="shared" si="49"/>
        <v>63333.44999999999</v>
      </c>
    </row>
    <row r="309" spans="1:15">
      <c r="A309" s="361">
        <f t="shared" si="50"/>
        <v>6</v>
      </c>
      <c r="B309" s="365">
        <v>392.21</v>
      </c>
      <c r="C309" s="358" t="s">
        <v>415</v>
      </c>
      <c r="D309" s="1243">
        <f t="shared" si="47"/>
        <v>24462.2</v>
      </c>
      <c r="E309" s="1243">
        <v>0</v>
      </c>
      <c r="F309" s="1243">
        <v>0</v>
      </c>
      <c r="G309" s="1243">
        <f t="shared" si="51"/>
        <v>24462.2</v>
      </c>
      <c r="H309" s="1243"/>
      <c r="I309" s="1245">
        <f t="shared" si="48"/>
        <v>44754.01</v>
      </c>
      <c r="J309" s="1243"/>
      <c r="K309" s="1243">
        <v>0</v>
      </c>
      <c r="L309" s="1243">
        <v>0</v>
      </c>
      <c r="M309" s="1243">
        <f t="shared" si="52"/>
        <v>0</v>
      </c>
      <c r="N309" s="1243">
        <v>0</v>
      </c>
      <c r="O309" s="1243">
        <f t="shared" si="49"/>
        <v>44754.01</v>
      </c>
    </row>
    <row r="310" spans="1:15">
      <c r="A310" s="361">
        <f t="shared" si="50"/>
        <v>7</v>
      </c>
      <c r="B310" s="365">
        <v>393</v>
      </c>
      <c r="C310" s="358" t="s">
        <v>416</v>
      </c>
      <c r="D310" s="1243">
        <f t="shared" si="47"/>
        <v>0</v>
      </c>
      <c r="E310" s="1243">
        <v>0</v>
      </c>
      <c r="F310" s="1243">
        <v>0</v>
      </c>
      <c r="G310" s="1243">
        <f t="shared" si="51"/>
        <v>0</v>
      </c>
      <c r="H310" s="1243"/>
      <c r="I310" s="1245">
        <f t="shared" si="48"/>
        <v>0</v>
      </c>
      <c r="J310" s="1243"/>
      <c r="K310" s="1243">
        <v>0</v>
      </c>
      <c r="L310" s="1243">
        <v>0</v>
      </c>
      <c r="M310" s="1243">
        <f t="shared" si="52"/>
        <v>0</v>
      </c>
      <c r="N310" s="1243">
        <v>0</v>
      </c>
      <c r="O310" s="1243">
        <f t="shared" si="49"/>
        <v>0</v>
      </c>
    </row>
    <row r="311" spans="1:15">
      <c r="A311" s="361">
        <f t="shared" si="50"/>
        <v>8</v>
      </c>
      <c r="B311" s="365">
        <v>394.1</v>
      </c>
      <c r="C311" s="358" t="s">
        <v>417</v>
      </c>
      <c r="D311" s="1243">
        <f t="shared" si="47"/>
        <v>9739</v>
      </c>
      <c r="E311" s="1243">
        <v>0</v>
      </c>
      <c r="F311" s="1243">
        <v>0</v>
      </c>
      <c r="G311" s="1243">
        <f t="shared" si="51"/>
        <v>9739</v>
      </c>
      <c r="H311" s="1243"/>
      <c r="I311" s="1245">
        <f t="shared" si="48"/>
        <v>3750.55</v>
      </c>
      <c r="J311" s="1243"/>
      <c r="K311" s="1243">
        <v>32.46</v>
      </c>
      <c r="L311" s="1243">
        <v>0</v>
      </c>
      <c r="M311" s="1243">
        <f t="shared" si="52"/>
        <v>0</v>
      </c>
      <c r="N311" s="1243">
        <v>0</v>
      </c>
      <c r="O311" s="1243">
        <f t="shared" si="49"/>
        <v>3783.01</v>
      </c>
    </row>
    <row r="312" spans="1:15">
      <c r="A312" s="361">
        <f t="shared" si="50"/>
        <v>9</v>
      </c>
      <c r="B312" s="365">
        <v>394.11</v>
      </c>
      <c r="C312" s="358" t="s">
        <v>418</v>
      </c>
      <c r="D312" s="1243">
        <f t="shared" si="47"/>
        <v>0</v>
      </c>
      <c r="E312" s="1243">
        <v>0</v>
      </c>
      <c r="F312" s="1243">
        <v>0</v>
      </c>
      <c r="G312" s="1243">
        <f t="shared" si="51"/>
        <v>0</v>
      </c>
      <c r="H312" s="1243"/>
      <c r="I312" s="1245">
        <f t="shared" si="48"/>
        <v>-26071.5</v>
      </c>
      <c r="J312" s="1243"/>
      <c r="K312" s="1243">
        <v>0</v>
      </c>
      <c r="L312" s="1243">
        <v>0</v>
      </c>
      <c r="M312" s="1243">
        <f t="shared" si="52"/>
        <v>0</v>
      </c>
      <c r="N312" s="1243">
        <v>0</v>
      </c>
      <c r="O312" s="1243">
        <f t="shared" si="49"/>
        <v>-26071.5</v>
      </c>
    </row>
    <row r="313" spans="1:15">
      <c r="A313" s="361">
        <f t="shared" si="50"/>
        <v>10</v>
      </c>
      <c r="B313" s="365">
        <v>394.13</v>
      </c>
      <c r="C313" s="358" t="s">
        <v>515</v>
      </c>
      <c r="D313" s="1243">
        <f t="shared" si="47"/>
        <v>0</v>
      </c>
      <c r="E313" s="1243">
        <v>0</v>
      </c>
      <c r="F313" s="1243">
        <v>0</v>
      </c>
      <c r="G313" s="1243">
        <f t="shared" si="51"/>
        <v>0</v>
      </c>
      <c r="H313" s="1243"/>
      <c r="I313" s="1245">
        <f t="shared" si="48"/>
        <v>37937.360000000001</v>
      </c>
      <c r="J313" s="1243"/>
      <c r="K313" s="1243">
        <v>0</v>
      </c>
      <c r="L313" s="1243">
        <v>0</v>
      </c>
      <c r="M313" s="1243">
        <f t="shared" si="52"/>
        <v>0</v>
      </c>
      <c r="N313" s="1243">
        <v>0</v>
      </c>
      <c r="O313" s="1243">
        <f t="shared" si="49"/>
        <v>37937.360000000001</v>
      </c>
    </row>
    <row r="314" spans="1:15">
      <c r="A314" s="361">
        <f t="shared" si="50"/>
        <v>11</v>
      </c>
      <c r="B314" s="365">
        <v>394.2</v>
      </c>
      <c r="C314" s="358" t="s">
        <v>420</v>
      </c>
      <c r="D314" s="1243">
        <f t="shared" si="47"/>
        <v>0</v>
      </c>
      <c r="E314" s="1243">
        <v>0</v>
      </c>
      <c r="F314" s="1243">
        <v>0</v>
      </c>
      <c r="G314" s="1243">
        <f>SUM(D314:F314)</f>
        <v>0</v>
      </c>
      <c r="H314" s="1243"/>
      <c r="I314" s="1245">
        <f t="shared" si="48"/>
        <v>185.21</v>
      </c>
      <c r="J314" s="1243"/>
      <c r="K314" s="1243">
        <v>0</v>
      </c>
      <c r="L314" s="1243">
        <v>0</v>
      </c>
      <c r="M314" s="1243">
        <f t="shared" si="52"/>
        <v>0</v>
      </c>
      <c r="N314" s="1243">
        <v>0</v>
      </c>
      <c r="O314" s="1243">
        <f t="shared" si="49"/>
        <v>185.21</v>
      </c>
    </row>
    <row r="315" spans="1:15">
      <c r="A315" s="361">
        <f t="shared" si="50"/>
        <v>12</v>
      </c>
      <c r="B315" s="365">
        <v>394.3</v>
      </c>
      <c r="C315" s="358" t="s">
        <v>1602</v>
      </c>
      <c r="D315" s="1243">
        <f t="shared" si="47"/>
        <v>4783635.1000000006</v>
      </c>
      <c r="E315" s="1243">
        <v>58099.340000000004</v>
      </c>
      <c r="F315" s="1243">
        <v>0</v>
      </c>
      <c r="G315" s="1243">
        <f>SUM(D315:F315)</f>
        <v>4841734.4400000004</v>
      </c>
      <c r="H315" s="1243"/>
      <c r="I315" s="1245">
        <f t="shared" si="48"/>
        <v>1545962.5199999998</v>
      </c>
      <c r="J315" s="1243"/>
      <c r="K315" s="1243">
        <v>16042.28</v>
      </c>
      <c r="L315" s="1243">
        <v>0</v>
      </c>
      <c r="M315" s="1243">
        <f t="shared" si="52"/>
        <v>0</v>
      </c>
      <c r="N315" s="1243">
        <v>0</v>
      </c>
      <c r="O315" s="1243">
        <f t="shared" si="49"/>
        <v>1562004.7999999998</v>
      </c>
    </row>
    <row r="316" spans="1:15">
      <c r="A316" s="361">
        <f t="shared" si="50"/>
        <v>13</v>
      </c>
      <c r="B316" s="365">
        <v>395</v>
      </c>
      <c r="C316" s="358" t="s">
        <v>422</v>
      </c>
      <c r="D316" s="1243">
        <f t="shared" si="47"/>
        <v>4162.05</v>
      </c>
      <c r="E316" s="1243">
        <v>0</v>
      </c>
      <c r="F316" s="1243">
        <v>0</v>
      </c>
      <c r="G316" s="1243">
        <f>SUM(D316:F316)</f>
        <v>4162.05</v>
      </c>
      <c r="H316" s="1243"/>
      <c r="I316" s="1245">
        <f t="shared" si="48"/>
        <v>3879.28</v>
      </c>
      <c r="J316" s="1243"/>
      <c r="K316" s="1243">
        <v>17.34</v>
      </c>
      <c r="L316" s="1243">
        <v>0</v>
      </c>
      <c r="M316" s="1243">
        <f t="shared" si="52"/>
        <v>0</v>
      </c>
      <c r="N316" s="1243">
        <v>0</v>
      </c>
      <c r="O316" s="1243">
        <f t="shared" si="49"/>
        <v>3896.6200000000003</v>
      </c>
    </row>
    <row r="317" spans="1:15">
      <c r="A317" s="361">
        <f t="shared" si="50"/>
        <v>14</v>
      </c>
      <c r="B317" s="365">
        <v>396</v>
      </c>
      <c r="C317" s="358" t="s">
        <v>423</v>
      </c>
      <c r="D317" s="1243">
        <f t="shared" si="47"/>
        <v>185547</v>
      </c>
      <c r="E317" s="1243">
        <v>0</v>
      </c>
      <c r="F317" s="1243">
        <v>0</v>
      </c>
      <c r="G317" s="1243">
        <f>SUM(D317:F317)</f>
        <v>185547</v>
      </c>
      <c r="H317" s="1243"/>
      <c r="I317" s="1245">
        <f t="shared" si="48"/>
        <v>171938.14</v>
      </c>
      <c r="J317" s="1243"/>
      <c r="K317" s="1243">
        <v>0</v>
      </c>
      <c r="L317" s="1243">
        <v>0</v>
      </c>
      <c r="M317" s="1243">
        <f t="shared" si="52"/>
        <v>0</v>
      </c>
      <c r="N317" s="1243">
        <v>0</v>
      </c>
      <c r="O317" s="1243">
        <f t="shared" si="49"/>
        <v>171938.14</v>
      </c>
    </row>
    <row r="318" spans="1:15">
      <c r="A318" s="361">
        <f t="shared" si="50"/>
        <v>15</v>
      </c>
      <c r="B318" s="365">
        <v>398</v>
      </c>
      <c r="C318" s="358" t="s">
        <v>424</v>
      </c>
      <c r="D318" s="1244">
        <f t="shared" si="47"/>
        <v>112073.83000000002</v>
      </c>
      <c r="E318" s="1244">
        <v>0</v>
      </c>
      <c r="F318" s="1244">
        <v>0</v>
      </c>
      <c r="G318" s="1244">
        <f>SUM(D318:F318)</f>
        <v>112073.83000000002</v>
      </c>
      <c r="H318" s="1243"/>
      <c r="I318" s="1246">
        <f t="shared" si="48"/>
        <v>62586.7</v>
      </c>
      <c r="J318" s="1243"/>
      <c r="K318" s="1244">
        <v>622.94000000000005</v>
      </c>
      <c r="L318" s="1244">
        <v>0</v>
      </c>
      <c r="M318" s="1244">
        <f t="shared" si="52"/>
        <v>0</v>
      </c>
      <c r="N318" s="1244">
        <v>0</v>
      </c>
      <c r="O318" s="1244">
        <f t="shared" si="49"/>
        <v>63209.64</v>
      </c>
    </row>
    <row r="319" spans="1:15">
      <c r="A319" s="361">
        <f t="shared" si="50"/>
        <v>16</v>
      </c>
      <c r="B319" s="367"/>
      <c r="C319" s="358" t="s">
        <v>425</v>
      </c>
      <c r="D319" s="1243">
        <f>SUM(D305:D318)</f>
        <v>6126897.1000000006</v>
      </c>
      <c r="E319" s="1243">
        <f>SUM(E305:E318)</f>
        <v>58099.340000000004</v>
      </c>
      <c r="F319" s="1243">
        <f>SUM(F305:F318)</f>
        <v>0</v>
      </c>
      <c r="G319" s="1243">
        <f>SUM(G305:G318)</f>
        <v>6184996.4400000004</v>
      </c>
      <c r="H319" s="1243"/>
      <c r="I319" s="1243">
        <f>SUM(I305:I318)</f>
        <v>2008215.0799999998</v>
      </c>
      <c r="J319" s="1243"/>
      <c r="K319" s="1243">
        <f>SUM(K305:K318)</f>
        <v>21723.94</v>
      </c>
      <c r="L319" s="1243">
        <f>SUM(L305:L318)</f>
        <v>0</v>
      </c>
      <c r="M319" s="1243">
        <f>SUM(M305:M318)</f>
        <v>0</v>
      </c>
      <c r="N319" s="1243">
        <f>SUM(N305:N318)</f>
        <v>0</v>
      </c>
      <c r="O319" s="1243">
        <f>SUM(O305:O318)</f>
        <v>2029939.0199999998</v>
      </c>
    </row>
    <row r="320" spans="1:15">
      <c r="A320" s="361"/>
      <c r="D320" s="1243"/>
      <c r="E320" s="1243"/>
      <c r="F320" s="1243"/>
      <c r="G320" s="1243"/>
      <c r="H320" s="1243"/>
      <c r="I320" s="1243"/>
      <c r="J320" s="1243"/>
      <c r="K320" s="1243"/>
      <c r="L320" s="1243"/>
      <c r="M320" s="1243"/>
      <c r="N320" s="1243"/>
      <c r="O320" s="1243"/>
    </row>
    <row r="321" spans="1:15">
      <c r="A321" s="361">
        <f>A319+1</f>
        <v>17</v>
      </c>
      <c r="B321" s="363" t="s">
        <v>1038</v>
      </c>
      <c r="D321" s="1243"/>
      <c r="E321" s="1243"/>
      <c r="F321" s="1243"/>
      <c r="G321" s="1243"/>
      <c r="H321" s="1243"/>
      <c r="I321" s="1243"/>
      <c r="J321" s="1243"/>
      <c r="K321" s="1243"/>
      <c r="L321" s="1243"/>
      <c r="M321" s="1243"/>
      <c r="N321" s="1243"/>
      <c r="O321" s="1243"/>
    </row>
    <row r="322" spans="1:15">
      <c r="A322" s="361">
        <f>A321+1</f>
        <v>18</v>
      </c>
      <c r="B322" s="365">
        <v>378.21</v>
      </c>
      <c r="C322" s="358" t="s">
        <v>1037</v>
      </c>
      <c r="D322" s="1244">
        <f>G208</f>
        <v>-777092</v>
      </c>
      <c r="E322" s="1244">
        <v>0</v>
      </c>
      <c r="F322" s="1244">
        <v>0</v>
      </c>
      <c r="G322" s="1244">
        <f>SUM(D322:F322)</f>
        <v>-777092</v>
      </c>
      <c r="H322" s="1243"/>
      <c r="I322" s="1244">
        <f>O208</f>
        <v>-182907.01</v>
      </c>
      <c r="J322" s="1243"/>
      <c r="K322" s="1244">
        <v>-2158.59</v>
      </c>
      <c r="L322" s="1244">
        <v>0</v>
      </c>
      <c r="M322" s="1244">
        <f>F322</f>
        <v>0</v>
      </c>
      <c r="N322" s="1244">
        <v>0</v>
      </c>
      <c r="O322" s="1244">
        <f>I322+K322+L322+M322+N322</f>
        <v>-185065.60000000001</v>
      </c>
    </row>
    <row r="323" spans="1:15">
      <c r="A323" s="361">
        <f>A322+1</f>
        <v>19</v>
      </c>
      <c r="B323" s="370"/>
      <c r="C323" s="358" t="s">
        <v>1579</v>
      </c>
      <c r="D323" s="1243">
        <f>SUM(D322)</f>
        <v>-777092</v>
      </c>
      <c r="E323" s="1243">
        <f>SUM(E322)</f>
        <v>0</v>
      </c>
      <c r="F323" s="1243">
        <f>SUM(F322)</f>
        <v>0</v>
      </c>
      <c r="G323" s="1243">
        <f>SUM(G322)</f>
        <v>-777092</v>
      </c>
      <c r="H323" s="1243"/>
      <c r="I323" s="1243">
        <f>SUM(I322)</f>
        <v>-182907.01</v>
      </c>
      <c r="J323" s="1243"/>
      <c r="K323" s="1243">
        <f>SUM(K322)</f>
        <v>-2158.59</v>
      </c>
      <c r="L323" s="1243">
        <f>SUM(L322)</f>
        <v>0</v>
      </c>
      <c r="M323" s="1243">
        <f>SUM(M322)</f>
        <v>0</v>
      </c>
      <c r="N323" s="1243">
        <f>SUM(N322)</f>
        <v>0</v>
      </c>
      <c r="O323" s="1243">
        <f>SUM(O322)</f>
        <v>-185065.60000000001</v>
      </c>
    </row>
    <row r="324" spans="1:15">
      <c r="A324" s="361"/>
      <c r="B324" s="370"/>
      <c r="D324" s="1243"/>
      <c r="E324" s="1243"/>
      <c r="F324" s="1243"/>
      <c r="G324" s="1243"/>
      <c r="H324" s="1243"/>
      <c r="I324" s="1243"/>
      <c r="J324" s="1243"/>
      <c r="K324" s="1243"/>
      <c r="L324" s="1243"/>
      <c r="M324" s="1243"/>
      <c r="N324" s="1243"/>
      <c r="O324" s="1243"/>
    </row>
    <row r="325" spans="1:15">
      <c r="A325" s="361">
        <f>A323+1</f>
        <v>20</v>
      </c>
      <c r="B325" s="370"/>
      <c r="C325" s="358" t="s">
        <v>2037</v>
      </c>
      <c r="D325" s="1243">
        <f>D252+D285+D319+D323</f>
        <v>723204549.85787082</v>
      </c>
      <c r="E325" s="1243">
        <f>E252+E285+E319+E323</f>
        <v>1579619.5199999982</v>
      </c>
      <c r="F325" s="1243">
        <f>F252+F285+F319+F323</f>
        <v>-289807.28651746805</v>
      </c>
      <c r="G325" s="1243">
        <f>G252+G285+G319+G323</f>
        <v>724494362.09135342</v>
      </c>
      <c r="H325" s="1243"/>
      <c r="I325" s="1243">
        <f>I252+I285+I319+I323</f>
        <v>169141675.95657471</v>
      </c>
      <c r="J325" s="1243"/>
      <c r="K325" s="1243">
        <f>K252+K285+K319+K323</f>
        <v>1708295.2239999999</v>
      </c>
      <c r="L325" s="1243">
        <f>L252+L285+L319+L323</f>
        <v>0</v>
      </c>
      <c r="M325" s="1243">
        <f>M252+M285+M319+M323</f>
        <v>-289807.28651746805</v>
      </c>
      <c r="N325" s="1243">
        <f>N252+N285+N319+N323</f>
        <v>-41201.526912000001</v>
      </c>
      <c r="O325" s="1243">
        <f>O252+O285+O319+O323</f>
        <v>170518962.36714524</v>
      </c>
    </row>
    <row r="326" spans="1:15">
      <c r="A326" s="361"/>
      <c r="B326" s="370"/>
      <c r="D326" s="1243"/>
      <c r="E326" s="1243"/>
      <c r="F326" s="1243"/>
      <c r="G326" s="1243"/>
      <c r="H326" s="1243"/>
      <c r="I326" s="1243"/>
      <c r="J326" s="1243"/>
      <c r="K326" s="1243"/>
      <c r="L326" s="1243"/>
      <c r="M326" s="1243"/>
      <c r="N326" s="1243"/>
      <c r="O326" s="1243"/>
    </row>
    <row r="327" spans="1:15">
      <c r="A327" s="361">
        <f>A325+1</f>
        <v>21</v>
      </c>
      <c r="B327" s="370"/>
      <c r="C327" s="358" t="s">
        <v>2038</v>
      </c>
      <c r="D327" s="1243">
        <v>0</v>
      </c>
      <c r="E327" s="1249">
        <v>0</v>
      </c>
      <c r="F327" s="1249">
        <v>0</v>
      </c>
      <c r="G327" s="1249">
        <f>SUM(D327:F327)</f>
        <v>0</v>
      </c>
      <c r="H327" s="1243"/>
      <c r="I327" s="1243">
        <f>O213</f>
        <v>-5686236.7199999997</v>
      </c>
      <c r="J327" s="1243"/>
      <c r="K327" s="1243"/>
      <c r="L327" s="1243"/>
      <c r="M327" s="1243"/>
      <c r="N327" s="1243">
        <v>-47153.16</v>
      </c>
      <c r="O327" s="1243">
        <f>I327+K327+L327+M327+N327</f>
        <v>-5733389.8799999999</v>
      </c>
    </row>
    <row r="328" spans="1:15">
      <c r="A328" s="361"/>
      <c r="B328" s="370"/>
      <c r="C328" s="368"/>
      <c r="D328" s="1243"/>
      <c r="E328" s="1243"/>
      <c r="F328" s="1243"/>
      <c r="G328" s="1243"/>
      <c r="H328" s="1243"/>
      <c r="I328" s="1243"/>
      <c r="J328" s="1243"/>
      <c r="K328" s="1243"/>
      <c r="L328" s="1243"/>
      <c r="M328" s="1243"/>
      <c r="N328" s="1243"/>
      <c r="O328" s="1243"/>
    </row>
    <row r="329" spans="1:15">
      <c r="A329" s="361">
        <f>A327+1</f>
        <v>22</v>
      </c>
      <c r="C329" s="358" t="s">
        <v>1603</v>
      </c>
      <c r="D329" s="1247">
        <f>D325+D327</f>
        <v>723204549.85787082</v>
      </c>
      <c r="E329" s="1247">
        <f t="shared" ref="E329:O329" si="53">E325+E327</f>
        <v>1579619.5199999982</v>
      </c>
      <c r="F329" s="1247">
        <f t="shared" si="53"/>
        <v>-289807.28651746805</v>
      </c>
      <c r="G329" s="1247">
        <f t="shared" si="53"/>
        <v>724494362.09135342</v>
      </c>
      <c r="H329" s="1243"/>
      <c r="I329" s="1247">
        <f t="shared" si="53"/>
        <v>163455439.23657471</v>
      </c>
      <c r="J329" s="1243"/>
      <c r="K329" s="1247">
        <f t="shared" si="53"/>
        <v>1708295.2239999999</v>
      </c>
      <c r="L329" s="1247">
        <f t="shared" si="53"/>
        <v>0</v>
      </c>
      <c r="M329" s="1247">
        <f t="shared" si="53"/>
        <v>-289807.28651746805</v>
      </c>
      <c r="N329" s="1247">
        <f t="shared" si="53"/>
        <v>-88354.686912000005</v>
      </c>
      <c r="O329" s="1247">
        <f t="shared" si="53"/>
        <v>164785572.48714525</v>
      </c>
    </row>
    <row r="330" spans="1:15">
      <c r="A330" s="361"/>
      <c r="D330" s="1243"/>
      <c r="E330" s="1243"/>
      <c r="F330" s="1243"/>
      <c r="G330" s="1243"/>
      <c r="H330" s="1243"/>
      <c r="I330" s="1243"/>
      <c r="J330" s="1243"/>
      <c r="K330" s="1243"/>
      <c r="L330" s="1243"/>
      <c r="M330" s="1243"/>
      <c r="N330" s="1243"/>
      <c r="O330" s="1243"/>
    </row>
    <row r="331" spans="1:15">
      <c r="A331" s="361"/>
      <c r="D331" s="1243"/>
      <c r="E331" s="1243"/>
      <c r="F331" s="1243"/>
      <c r="G331" s="1243"/>
      <c r="H331" s="1243"/>
      <c r="I331" s="1243"/>
      <c r="J331" s="1243"/>
      <c r="K331" s="1243"/>
      <c r="L331" s="1243"/>
      <c r="M331" s="1243"/>
      <c r="N331" s="1243"/>
      <c r="O331" s="1243"/>
    </row>
    <row r="332" spans="1:15">
      <c r="A332" s="361">
        <f>A329+1</f>
        <v>23</v>
      </c>
      <c r="B332" s="363" t="s">
        <v>1774</v>
      </c>
      <c r="D332" s="1243"/>
      <c r="E332" s="1243"/>
      <c r="F332" s="1243"/>
      <c r="G332" s="1243"/>
      <c r="H332" s="1243"/>
      <c r="I332" s="1243"/>
      <c r="J332" s="1243"/>
      <c r="K332" s="1243"/>
      <c r="L332" s="1243"/>
      <c r="M332" s="1243"/>
      <c r="N332" s="1243"/>
      <c r="O332" s="1243"/>
    </row>
    <row r="333" spans="1:15">
      <c r="A333" s="361">
        <f t="shared" ref="A333:A338" si="54">A332+1</f>
        <v>24</v>
      </c>
      <c r="B333" s="365">
        <v>376</v>
      </c>
      <c r="C333" s="358" t="s">
        <v>1775</v>
      </c>
      <c r="D333" s="1243">
        <f>G219</f>
        <v>938947.44000000006</v>
      </c>
      <c r="E333" s="1243">
        <f>'WPB-2.1.D SMRP'!E110</f>
        <v>3925560.5700000008</v>
      </c>
      <c r="F333" s="1243">
        <f>'WPB-2.1.D SMRP'!F110</f>
        <v>0</v>
      </c>
      <c r="G333" s="1243">
        <f>SUM(D333:F333)</f>
        <v>4864508.0100000007</v>
      </c>
      <c r="H333" s="1243"/>
      <c r="I333" s="1243">
        <f>O219</f>
        <v>-8997.9429999999993</v>
      </c>
      <c r="J333" s="1243"/>
      <c r="K333" s="1243">
        <f>'WPB-2.1.D SMRP'!K110</f>
        <v>4207.0309999999999</v>
      </c>
      <c r="L333" s="1243">
        <v>0</v>
      </c>
      <c r="M333" s="1243">
        <f>F333</f>
        <v>0</v>
      </c>
      <c r="N333" s="1243">
        <f>'WPB-2.1.D SMRP'!N110</f>
        <v>0</v>
      </c>
      <c r="O333" s="1243">
        <f>I333+K333+L333+M333+N333</f>
        <v>-4790.9119999999994</v>
      </c>
    </row>
    <row r="334" spans="1:15">
      <c r="A334" s="361">
        <f t="shared" si="54"/>
        <v>25</v>
      </c>
      <c r="B334" s="365">
        <v>378.2</v>
      </c>
      <c r="C334" s="358" t="s">
        <v>1776</v>
      </c>
      <c r="D334" s="1243">
        <f>G220</f>
        <v>-13669.330000000002</v>
      </c>
      <c r="E334" s="1243">
        <f>'WPB-2.1.D SMRP'!E111</f>
        <v>0</v>
      </c>
      <c r="F334" s="1243">
        <f>'WPB-2.1.D SMRP'!F111</f>
        <v>-17244.22</v>
      </c>
      <c r="G334" s="1243">
        <f>SUM(D334:F334)</f>
        <v>-30913.550000000003</v>
      </c>
      <c r="H334" s="1243"/>
      <c r="I334" s="1243">
        <f>O220</f>
        <v>-14385.542000000001</v>
      </c>
      <c r="J334" s="1243"/>
      <c r="K334" s="1243">
        <f>'WPB-2.1.D SMRP'!K111</f>
        <v>-47.106000000000002</v>
      </c>
      <c r="L334" s="1243">
        <v>0</v>
      </c>
      <c r="M334" s="1243">
        <f>F334</f>
        <v>-17244.22</v>
      </c>
      <c r="N334" s="1243">
        <f>'WPB-2.1.D SMRP'!N111</f>
        <v>-970.13</v>
      </c>
      <c r="O334" s="1243">
        <f>I334+K334+L334+M334+N334</f>
        <v>-32646.998000000003</v>
      </c>
    </row>
    <row r="335" spans="1:15">
      <c r="A335" s="361">
        <f t="shared" si="54"/>
        <v>26</v>
      </c>
      <c r="B335" s="365">
        <v>380</v>
      </c>
      <c r="C335" s="358" t="s">
        <v>1777</v>
      </c>
      <c r="D335" s="1243">
        <f>G221</f>
        <v>1483166.9021292997</v>
      </c>
      <c r="E335" s="1243">
        <f>'WPB-2.1.D SMRP'!E112</f>
        <v>1095911.02</v>
      </c>
      <c r="F335" s="1243">
        <f>'WPB-2.1.D SMRP'!F112</f>
        <v>-192040.81348253199</v>
      </c>
      <c r="G335" s="1243">
        <f>SUM(D335:F335)</f>
        <v>2387037.1086467677</v>
      </c>
      <c r="H335" s="1243"/>
      <c r="I335" s="1243">
        <f>O221</f>
        <v>-940612.58457470022</v>
      </c>
      <c r="J335" s="1243"/>
      <c r="K335" s="1243">
        <f>'WPB-2.1.D SMRP'!K112</f>
        <v>6417.9179999999997</v>
      </c>
      <c r="L335" s="1243">
        <v>0</v>
      </c>
      <c r="M335" s="1243">
        <f>F335</f>
        <v>-192040.81348253199</v>
      </c>
      <c r="N335" s="1243">
        <f>'WPB-2.1.D SMRP'!N112</f>
        <v>-92751.653088000006</v>
      </c>
      <c r="O335" s="1243">
        <f>I335+K335+L335+M335+N335</f>
        <v>-1218987.1331452322</v>
      </c>
    </row>
    <row r="336" spans="1:15">
      <c r="A336" s="361">
        <f t="shared" si="54"/>
        <v>27</v>
      </c>
      <c r="B336" s="365">
        <v>382</v>
      </c>
      <c r="C336" s="358" t="s">
        <v>1778</v>
      </c>
      <c r="D336" s="1243">
        <f>G222</f>
        <v>-418.57000000000039</v>
      </c>
      <c r="E336" s="1243">
        <f>'WPB-2.1.D SMRP'!E113</f>
        <v>1219.19</v>
      </c>
      <c r="F336" s="1243">
        <f>'WPB-2.1.D SMRP'!F113</f>
        <v>-2045.7900000000002</v>
      </c>
      <c r="G336" s="1243">
        <f>SUM(D336:F336)</f>
        <v>-1245.1700000000005</v>
      </c>
      <c r="H336" s="1243"/>
      <c r="I336" s="1243">
        <f>O222</f>
        <v>-2062.1880000000001</v>
      </c>
      <c r="J336" s="1243"/>
      <c r="K336" s="1243">
        <f>'WPB-2.1.D SMRP'!K113</f>
        <v>-1.6099999999999999</v>
      </c>
      <c r="L336" s="1243">
        <v>0</v>
      </c>
      <c r="M336" s="1243">
        <f>F336</f>
        <v>-2045.7900000000002</v>
      </c>
      <c r="N336" s="1243">
        <f>'WPB-2.1.D SMRP'!N113</f>
        <v>0</v>
      </c>
      <c r="O336" s="1243">
        <f>I336+K336+L336+M336+N336</f>
        <v>-4109.5880000000006</v>
      </c>
    </row>
    <row r="337" spans="1:16">
      <c r="A337" s="361">
        <f t="shared" si="54"/>
        <v>28</v>
      </c>
      <c r="B337" s="365">
        <v>383</v>
      </c>
      <c r="C337" s="358" t="s">
        <v>1779</v>
      </c>
      <c r="D337" s="1244">
        <f>G223</f>
        <v>-419.36</v>
      </c>
      <c r="E337" s="1244">
        <f>'WPB-2.1.D SMRP'!E114</f>
        <v>0</v>
      </c>
      <c r="F337" s="1244">
        <f>'WPB-2.1.D SMRP'!F114</f>
        <v>-156.80000000000001</v>
      </c>
      <c r="G337" s="1244">
        <f>SUM(D337:F337)</f>
        <v>-576.16000000000008</v>
      </c>
      <c r="H337" s="1243"/>
      <c r="I337" s="1244">
        <f>O223</f>
        <v>-419.69900000000007</v>
      </c>
      <c r="J337" s="1243"/>
      <c r="K337" s="1244">
        <f>'WPB-2.1.D SMRP'!K114</f>
        <v>-1.127</v>
      </c>
      <c r="L337" s="1244">
        <v>0</v>
      </c>
      <c r="M337" s="1244">
        <f>F337</f>
        <v>-156.80000000000001</v>
      </c>
      <c r="N337" s="1244">
        <f>'WPB-2.1.D SMRP'!N114</f>
        <v>0</v>
      </c>
      <c r="O337" s="1244">
        <f>I337+K337+L337+M337+N337</f>
        <v>-577.62600000000009</v>
      </c>
    </row>
    <row r="338" spans="1:16">
      <c r="A338" s="361">
        <f t="shared" si="54"/>
        <v>29</v>
      </c>
      <c r="C338" s="358" t="s">
        <v>1780</v>
      </c>
      <c r="D338" s="1243">
        <f>SUM(D333:D337)</f>
        <v>2407607.0821293001</v>
      </c>
      <c r="E338" s="1243">
        <f>SUM(E333:E337)</f>
        <v>5022690.7800000012</v>
      </c>
      <c r="F338" s="1243">
        <f>SUM(F333:F337)</f>
        <v>-211487.62348253198</v>
      </c>
      <c r="G338" s="1243">
        <f>SUM(G333:G337)</f>
        <v>7218810.238646768</v>
      </c>
      <c r="H338" s="1243"/>
      <c r="I338" s="1243">
        <f>SUM(I333:I337)</f>
        <v>-966477.95657470019</v>
      </c>
      <c r="J338" s="1243"/>
      <c r="K338" s="1243">
        <f>SUM(K333:K337)</f>
        <v>10575.106</v>
      </c>
      <c r="L338" s="1243">
        <f>SUM(L333:L337)</f>
        <v>0</v>
      </c>
      <c r="M338" s="1243">
        <f>SUM(M333:M337)</f>
        <v>-211487.62348253198</v>
      </c>
      <c r="N338" s="1243">
        <f>SUM(N333:N337)</f>
        <v>-93721.783088000011</v>
      </c>
      <c r="O338" s="1243">
        <f>SUM(O333:O337)</f>
        <v>-1261112.2571452321</v>
      </c>
    </row>
    <row r="339" spans="1:16">
      <c r="A339" s="361"/>
      <c r="D339" s="1243"/>
      <c r="E339" s="1243"/>
      <c r="F339" s="1243"/>
      <c r="G339" s="1243"/>
      <c r="H339" s="1243"/>
      <c r="I339" s="1243"/>
      <c r="J339" s="1243"/>
      <c r="K339" s="1243"/>
      <c r="L339" s="1243"/>
      <c r="M339" s="1243"/>
      <c r="N339" s="1243"/>
      <c r="O339" s="1243"/>
    </row>
    <row r="340" spans="1:16" ht="13.5" thickBot="1">
      <c r="A340" s="361">
        <f>A338+1</f>
        <v>30</v>
      </c>
      <c r="C340" s="358" t="s">
        <v>447</v>
      </c>
      <c r="D340" s="1248">
        <f>D329+D338</f>
        <v>725612156.94000018</v>
      </c>
      <c r="E340" s="1248">
        <f>E329+E338</f>
        <v>6602310.2999999989</v>
      </c>
      <c r="F340" s="1248">
        <f>F329+F338</f>
        <v>-501294.91000000003</v>
      </c>
      <c r="G340" s="1248">
        <f>G329+G338</f>
        <v>731713172.33000016</v>
      </c>
      <c r="H340" s="1243"/>
      <c r="I340" s="1248">
        <f>I329+I338</f>
        <v>162488961.28</v>
      </c>
      <c r="J340" s="1243"/>
      <c r="K340" s="1248">
        <f>K329+K338</f>
        <v>1718870.3299999998</v>
      </c>
      <c r="L340" s="1248">
        <f>L329+L338</f>
        <v>0</v>
      </c>
      <c r="M340" s="1248">
        <f>M329+M338</f>
        <v>-501294.91000000003</v>
      </c>
      <c r="N340" s="1248">
        <f>N329+N338</f>
        <v>-182076.47000000003</v>
      </c>
      <c r="O340" s="1248">
        <f>O329+O338</f>
        <v>163524460.23000002</v>
      </c>
    </row>
    <row r="341" spans="1:16" ht="13.5" thickTop="1"/>
    <row r="343" spans="1:16" s="291" customFormat="1">
      <c r="A343" s="1308" t="str">
        <f>$A$1</f>
        <v>COLUMBIA GAS OF KENTUCKY, INC.</v>
      </c>
      <c r="B343" s="1308"/>
      <c r="C343" s="1308"/>
      <c r="D343" s="1308"/>
      <c r="E343" s="1308"/>
      <c r="F343" s="1308"/>
      <c r="G343" s="1308"/>
      <c r="H343" s="1308"/>
      <c r="I343" s="1308"/>
      <c r="J343" s="1308"/>
      <c r="K343" s="1308"/>
      <c r="L343" s="1308"/>
      <c r="M343" s="1308"/>
      <c r="N343" s="1308"/>
      <c r="O343" s="1308"/>
    </row>
    <row r="344" spans="1:16" s="291" customFormat="1">
      <c r="A344" s="1308" t="str">
        <f>$A$2</f>
        <v>CASE NO. 2024 - 00092</v>
      </c>
      <c r="B344" s="1308"/>
      <c r="C344" s="1308"/>
      <c r="D344" s="1308"/>
      <c r="E344" s="1308"/>
      <c r="F344" s="1308"/>
      <c r="G344" s="1308"/>
      <c r="H344" s="1308"/>
      <c r="I344" s="1308"/>
      <c r="J344" s="1308"/>
      <c r="K344" s="1308"/>
      <c r="L344" s="1308"/>
      <c r="M344" s="1308"/>
      <c r="N344" s="1308"/>
      <c r="O344" s="1308"/>
    </row>
    <row r="345" spans="1:16" s="291" customFormat="1">
      <c r="A345" s="1308" t="str">
        <f>$A$3</f>
        <v>DETAIL OF ACTUAL &amp; FORECASTED PLANT, ACCUMULATED RESERVE &amp; DEPRECIATION EXPENSE</v>
      </c>
      <c r="B345" s="1308"/>
      <c r="C345" s="1308"/>
      <c r="D345" s="1308"/>
      <c r="E345" s="1308"/>
      <c r="F345" s="1308"/>
      <c r="G345" s="1308"/>
      <c r="H345" s="1308"/>
      <c r="I345" s="1308"/>
      <c r="J345" s="1308"/>
      <c r="K345" s="1308"/>
      <c r="L345" s="1308"/>
      <c r="M345" s="1308"/>
      <c r="N345" s="1308"/>
      <c r="O345" s="1308"/>
      <c r="P345" s="357"/>
    </row>
    <row r="346" spans="1:16" s="291" customFormat="1">
      <c r="A346" s="1308" t="str">
        <f>$A$4</f>
        <v>FROM JANUARY 01, 2023 THROUGH DECEMBER 31, 2025</v>
      </c>
      <c r="B346" s="1308"/>
      <c r="C346" s="1308"/>
      <c r="D346" s="1308"/>
      <c r="E346" s="1308"/>
      <c r="F346" s="1308"/>
      <c r="G346" s="1308"/>
      <c r="H346" s="1308"/>
      <c r="I346" s="1308"/>
      <c r="J346" s="1308"/>
      <c r="K346" s="1308"/>
      <c r="L346" s="1308"/>
      <c r="M346" s="1308"/>
      <c r="N346" s="1308"/>
      <c r="O346" s="1308"/>
    </row>
    <row r="347" spans="1:16" s="291" customFormat="1">
      <c r="B347" s="293"/>
      <c r="P347" s="312"/>
    </row>
    <row r="348" spans="1:16" s="291" customFormat="1">
      <c r="A348" s="297" t="str">
        <f>$A$6</f>
        <v xml:space="preserve">DATA: _X_ BASE PERIOD _X_ FORECASTED PERIOD     </v>
      </c>
      <c r="B348" s="293"/>
      <c r="O348" s="312" t="str">
        <f>$O$6</f>
        <v>WPB-2.1.C</v>
      </c>
      <c r="P348" s="312"/>
    </row>
    <row r="349" spans="1:16" s="291" customFormat="1">
      <c r="A349" s="297" t="str">
        <f>$A$7</f>
        <v>TYPE OF FILING:___X___ORIGINAL______UPDATED</v>
      </c>
      <c r="B349" s="293"/>
      <c r="O349" s="312" t="s">
        <v>2216</v>
      </c>
      <c r="P349" s="312"/>
    </row>
    <row r="350" spans="1:16" s="291" customFormat="1">
      <c r="A350" s="297" t="str">
        <f>$A$8</f>
        <v>WORKPAPER REFERENCE NO(S).:</v>
      </c>
      <c r="B350" s="293"/>
      <c r="O350" s="312" t="str">
        <f>$O$8</f>
        <v>WITNESS: GORE</v>
      </c>
    </row>
    <row r="351" spans="1:16">
      <c r="A351" s="918"/>
      <c r="B351" s="919"/>
      <c r="C351" s="918"/>
      <c r="D351" s="918"/>
      <c r="E351" s="918"/>
      <c r="F351" s="918"/>
      <c r="G351" s="918"/>
      <c r="H351" s="918"/>
      <c r="I351" s="918"/>
      <c r="J351" s="918"/>
      <c r="K351" s="918"/>
      <c r="L351" s="918"/>
      <c r="M351" s="918"/>
      <c r="N351" s="918"/>
      <c r="O351" s="920"/>
    </row>
    <row r="352" spans="1:16">
      <c r="D352" s="1311" t="s">
        <v>1768</v>
      </c>
      <c r="E352" s="1311"/>
      <c r="F352" s="1311"/>
      <c r="G352" s="1311"/>
      <c r="I352" s="1311" t="s">
        <v>1769</v>
      </c>
      <c r="J352" s="1311"/>
      <c r="K352" s="1311"/>
      <c r="L352" s="1311"/>
      <c r="M352" s="1311"/>
      <c r="N352" s="1311"/>
      <c r="O352" s="1311"/>
    </row>
    <row r="353" spans="1:15">
      <c r="D353" s="360">
        <f>G298+1</f>
        <v>45017</v>
      </c>
      <c r="G353" s="360">
        <f>D353+29</f>
        <v>45046</v>
      </c>
      <c r="I353" s="360">
        <f>D353</f>
        <v>45017</v>
      </c>
      <c r="O353" s="360">
        <f>G353</f>
        <v>45046</v>
      </c>
    </row>
    <row r="354" spans="1:15">
      <c r="D354" s="361" t="s">
        <v>1757</v>
      </c>
      <c r="G354" s="361" t="s">
        <v>1757</v>
      </c>
      <c r="I354" s="361" t="s">
        <v>1758</v>
      </c>
      <c r="J354" s="361" t="s">
        <v>488</v>
      </c>
      <c r="L354" s="361" t="s">
        <v>1758</v>
      </c>
      <c r="O354" s="361" t="s">
        <v>1758</v>
      </c>
    </row>
    <row r="355" spans="1:15">
      <c r="A355" s="361" t="s">
        <v>1770</v>
      </c>
      <c r="B355" s="361" t="s">
        <v>368</v>
      </c>
      <c r="C355" s="361"/>
      <c r="D355" s="361" t="s">
        <v>437</v>
      </c>
      <c r="G355" s="361" t="s">
        <v>439</v>
      </c>
      <c r="I355" s="361" t="s">
        <v>437</v>
      </c>
      <c r="J355" s="361" t="s">
        <v>1771</v>
      </c>
      <c r="K355" s="361" t="s">
        <v>1772</v>
      </c>
      <c r="L355" s="361" t="s">
        <v>1759</v>
      </c>
      <c r="N355" s="361" t="s">
        <v>1760</v>
      </c>
      <c r="O355" s="361" t="s">
        <v>439</v>
      </c>
    </row>
    <row r="356" spans="1:15">
      <c r="A356" s="364" t="s">
        <v>316</v>
      </c>
      <c r="B356" s="364" t="s">
        <v>316</v>
      </c>
      <c r="C356" s="364" t="s">
        <v>451</v>
      </c>
      <c r="D356" s="364" t="s">
        <v>441</v>
      </c>
      <c r="E356" s="364" t="s">
        <v>442</v>
      </c>
      <c r="F356" s="364" t="s">
        <v>443</v>
      </c>
      <c r="G356" s="364" t="s">
        <v>441</v>
      </c>
      <c r="I356" s="364" t="s">
        <v>441</v>
      </c>
      <c r="J356" s="364" t="s">
        <v>1773</v>
      </c>
      <c r="K356" s="364" t="s">
        <v>1771</v>
      </c>
      <c r="L356" s="364" t="s">
        <v>355</v>
      </c>
      <c r="M356" s="364" t="s">
        <v>443</v>
      </c>
      <c r="N356" s="364" t="s">
        <v>1763</v>
      </c>
      <c r="O356" s="364" t="s">
        <v>441</v>
      </c>
    </row>
    <row r="357" spans="1:15">
      <c r="D357" s="361" t="s">
        <v>532</v>
      </c>
      <c r="E357" s="361" t="s">
        <v>541</v>
      </c>
      <c r="F357" s="361" t="s">
        <v>542</v>
      </c>
      <c r="G357" s="361" t="s">
        <v>1764</v>
      </c>
      <c r="I357" s="334" t="str">
        <f>"(5)"</f>
        <v>(5)</v>
      </c>
      <c r="J357" s="334" t="str">
        <f>"(6)"</f>
        <v>(6)</v>
      </c>
      <c r="K357" s="334" t="str">
        <f>"(7)"</f>
        <v>(7)</v>
      </c>
      <c r="L357" s="334" t="str">
        <f>"(8)"</f>
        <v>(8)</v>
      </c>
      <c r="M357" s="334" t="str">
        <f>"(9)"</f>
        <v>(9)</v>
      </c>
      <c r="N357" s="334" t="str">
        <f>"(10)"</f>
        <v>(10)</v>
      </c>
      <c r="O357" s="334" t="str">
        <f>"(11=5+7+8+9+10)"</f>
        <v>(11=5+7+8+9+10)</v>
      </c>
    </row>
    <row r="358" spans="1:15">
      <c r="D358" s="361" t="s">
        <v>320</v>
      </c>
      <c r="E358" s="361" t="s">
        <v>320</v>
      </c>
      <c r="F358" s="361" t="s">
        <v>320</v>
      </c>
      <c r="G358" s="361" t="s">
        <v>320</v>
      </c>
      <c r="I358" s="334" t="s">
        <v>320</v>
      </c>
      <c r="J358" s="334" t="s">
        <v>529</v>
      </c>
      <c r="K358" s="334" t="s">
        <v>320</v>
      </c>
      <c r="L358" s="334" t="s">
        <v>320</v>
      </c>
      <c r="M358" s="334" t="s">
        <v>320</v>
      </c>
      <c r="N358" s="334" t="s">
        <v>320</v>
      </c>
      <c r="O358" s="334" t="s">
        <v>320</v>
      </c>
    </row>
    <row r="359" spans="1:15">
      <c r="A359" s="361">
        <v>1</v>
      </c>
      <c r="B359" s="362" t="s">
        <v>373</v>
      </c>
      <c r="D359" s="361"/>
      <c r="E359" s="361"/>
      <c r="F359" s="361"/>
      <c r="G359" s="361"/>
      <c r="I359" s="334"/>
      <c r="J359" s="334"/>
      <c r="K359" s="334"/>
      <c r="L359" s="334"/>
      <c r="M359" s="334"/>
      <c r="N359" s="334"/>
      <c r="O359" s="334"/>
    </row>
    <row r="360" spans="1:15">
      <c r="A360" s="361">
        <f>A359+1</f>
        <v>2</v>
      </c>
      <c r="B360" s="365">
        <v>301</v>
      </c>
      <c r="C360" s="358" t="s">
        <v>374</v>
      </c>
      <c r="D360" s="1243">
        <f t="shared" ref="D360:D365" si="55">G246</f>
        <v>521.20000000000005</v>
      </c>
      <c r="E360" s="1243">
        <v>0</v>
      </c>
      <c r="F360" s="1243">
        <v>0</v>
      </c>
      <c r="G360" s="1243">
        <f t="shared" ref="G360:G365" si="56">SUM(D360:F360)</f>
        <v>521.20000000000005</v>
      </c>
      <c r="H360" s="1243"/>
      <c r="I360" s="1243">
        <f t="shared" ref="I360:I365" si="57">O246</f>
        <v>0</v>
      </c>
      <c r="J360" s="1243"/>
      <c r="K360" s="1243">
        <v>0</v>
      </c>
      <c r="L360" s="1243">
        <v>0</v>
      </c>
      <c r="M360" s="1243">
        <f t="shared" ref="M360:M365" si="58">F360</f>
        <v>0</v>
      </c>
      <c r="N360" s="1243">
        <v>0</v>
      </c>
      <c r="O360" s="1243">
        <f t="shared" ref="O360:O365" si="59">I360+K360+L360+M360+N360</f>
        <v>0</v>
      </c>
    </row>
    <row r="361" spans="1:15">
      <c r="A361" s="361">
        <f t="shared" ref="A361:A366" si="60">A360+1</f>
        <v>3</v>
      </c>
      <c r="B361" s="365">
        <v>303</v>
      </c>
      <c r="C361" s="358" t="s">
        <v>375</v>
      </c>
      <c r="D361" s="1243">
        <f t="shared" si="55"/>
        <v>96334.51</v>
      </c>
      <c r="E361" s="1243">
        <v>0</v>
      </c>
      <c r="F361" s="1243">
        <v>0</v>
      </c>
      <c r="G361" s="1243">
        <f t="shared" si="56"/>
        <v>96334.51</v>
      </c>
      <c r="H361" s="1243"/>
      <c r="I361" s="1243">
        <f t="shared" si="57"/>
        <v>76454.070000000007</v>
      </c>
      <c r="J361" s="1243"/>
      <c r="K361" s="1243">
        <v>267.60000000000002</v>
      </c>
      <c r="L361" s="1243">
        <v>0</v>
      </c>
      <c r="M361" s="1243">
        <f t="shared" si="58"/>
        <v>0</v>
      </c>
      <c r="N361" s="1243">
        <v>0</v>
      </c>
      <c r="O361" s="1243">
        <f t="shared" si="59"/>
        <v>76721.670000000013</v>
      </c>
    </row>
    <row r="362" spans="1:15">
      <c r="A362" s="361">
        <f t="shared" si="60"/>
        <v>4</v>
      </c>
      <c r="B362" s="365">
        <v>303.10000000000002</v>
      </c>
      <c r="C362" s="358" t="s">
        <v>376</v>
      </c>
      <c r="D362" s="1243">
        <f t="shared" si="55"/>
        <v>943.27</v>
      </c>
      <c r="E362" s="1243">
        <v>0</v>
      </c>
      <c r="F362" s="1243">
        <v>0</v>
      </c>
      <c r="G362" s="1243">
        <f t="shared" si="56"/>
        <v>943.27</v>
      </c>
      <c r="H362" s="1243"/>
      <c r="I362" s="1243">
        <f t="shared" si="57"/>
        <v>310.49000000000007</v>
      </c>
      <c r="J362" s="1243"/>
      <c r="K362" s="1243">
        <v>7.86</v>
      </c>
      <c r="L362" s="1243">
        <v>0</v>
      </c>
      <c r="M362" s="1243">
        <f t="shared" si="58"/>
        <v>0</v>
      </c>
      <c r="N362" s="1243">
        <v>0</v>
      </c>
      <c r="O362" s="1243">
        <f t="shared" si="59"/>
        <v>318.35000000000008</v>
      </c>
    </row>
    <row r="363" spans="1:15">
      <c r="A363" s="361">
        <f t="shared" si="60"/>
        <v>5</v>
      </c>
      <c r="B363" s="365">
        <v>303.2</v>
      </c>
      <c r="C363" s="358" t="s">
        <v>377</v>
      </c>
      <c r="D363" s="1243">
        <f t="shared" si="55"/>
        <v>0</v>
      </c>
      <c r="E363" s="1243">
        <v>0</v>
      </c>
      <c r="F363" s="1243">
        <v>0</v>
      </c>
      <c r="G363" s="1243">
        <f t="shared" si="56"/>
        <v>0</v>
      </c>
      <c r="H363" s="1243"/>
      <c r="I363" s="1243">
        <f t="shared" si="57"/>
        <v>0</v>
      </c>
      <c r="J363" s="1243"/>
      <c r="K363" s="1243">
        <v>0</v>
      </c>
      <c r="L363" s="1243">
        <v>0</v>
      </c>
      <c r="M363" s="1243">
        <f t="shared" si="58"/>
        <v>0</v>
      </c>
      <c r="N363" s="1243">
        <v>0</v>
      </c>
      <c r="O363" s="1243">
        <f t="shared" si="59"/>
        <v>0</v>
      </c>
    </row>
    <row r="364" spans="1:15">
      <c r="A364" s="361">
        <f t="shared" si="60"/>
        <v>6</v>
      </c>
      <c r="B364" s="365">
        <v>303.3</v>
      </c>
      <c r="C364" s="358" t="s">
        <v>378</v>
      </c>
      <c r="D364" s="1243">
        <f t="shared" si="55"/>
        <v>11423065.129999999</v>
      </c>
      <c r="E364" s="1243">
        <v>101334.64</v>
      </c>
      <c r="F364" s="1243">
        <v>-11622.77</v>
      </c>
      <c r="G364" s="1243">
        <f t="shared" si="56"/>
        <v>11512777</v>
      </c>
      <c r="H364" s="1243"/>
      <c r="I364" s="1243">
        <f t="shared" si="57"/>
        <v>5247522.7700000014</v>
      </c>
      <c r="J364" s="1243"/>
      <c r="K364" s="1243">
        <v>180934.18</v>
      </c>
      <c r="L364" s="1243">
        <v>0</v>
      </c>
      <c r="M364" s="1243">
        <f t="shared" si="58"/>
        <v>-11622.77</v>
      </c>
      <c r="N364" s="1243">
        <v>0</v>
      </c>
      <c r="O364" s="1243">
        <f t="shared" si="59"/>
        <v>5416834.1800000016</v>
      </c>
    </row>
    <row r="365" spans="1:15">
      <c r="A365" s="361">
        <f t="shared" si="60"/>
        <v>7</v>
      </c>
      <c r="B365" s="365">
        <v>303.99</v>
      </c>
      <c r="C365" s="358" t="s">
        <v>1129</v>
      </c>
      <c r="D365" s="1244">
        <f t="shared" si="55"/>
        <v>1883325.4300000002</v>
      </c>
      <c r="E365" s="1244">
        <v>-726.27</v>
      </c>
      <c r="F365" s="1244">
        <v>0</v>
      </c>
      <c r="G365" s="1244">
        <f t="shared" si="56"/>
        <v>1882599.1600000001</v>
      </c>
      <c r="H365" s="1243"/>
      <c r="I365" s="1244">
        <f t="shared" si="57"/>
        <v>739010.34</v>
      </c>
      <c r="J365" s="1243"/>
      <c r="K365" s="1244">
        <v>32334.560000000001</v>
      </c>
      <c r="L365" s="1244">
        <v>0</v>
      </c>
      <c r="M365" s="1244">
        <f t="shared" si="58"/>
        <v>0</v>
      </c>
      <c r="N365" s="1244">
        <v>0</v>
      </c>
      <c r="O365" s="1244">
        <f t="shared" si="59"/>
        <v>771344.9</v>
      </c>
    </row>
    <row r="366" spans="1:15">
      <c r="A366" s="361">
        <f t="shared" si="60"/>
        <v>8</v>
      </c>
      <c r="B366" s="367"/>
      <c r="C366" s="358" t="s">
        <v>379</v>
      </c>
      <c r="D366" s="1243">
        <f>SUM(D360:D365)</f>
        <v>13404189.539999999</v>
      </c>
      <c r="E366" s="1243">
        <f>SUM(E360:E365)</f>
        <v>100608.37</v>
      </c>
      <c r="F366" s="1243">
        <f>SUM(F360:F365)</f>
        <v>-11622.77</v>
      </c>
      <c r="G366" s="1243">
        <f>SUM(G360:G365)</f>
        <v>13493175.140000001</v>
      </c>
      <c r="H366" s="1243"/>
      <c r="I366" s="1243">
        <f>SUM(I360:I365)</f>
        <v>6063297.6700000009</v>
      </c>
      <c r="J366" s="1243"/>
      <c r="K366" s="1243">
        <f>SUM(K360:K365)</f>
        <v>213544.19999999998</v>
      </c>
      <c r="L366" s="1243">
        <f>SUM(L360:L365)</f>
        <v>0</v>
      </c>
      <c r="M366" s="1243">
        <f>SUM(M360:M365)</f>
        <v>-11622.77</v>
      </c>
      <c r="N366" s="1243">
        <f>SUM(N360:N365)</f>
        <v>0</v>
      </c>
      <c r="O366" s="1243">
        <f>SUM(O360:O365)</f>
        <v>6265219.1000000015</v>
      </c>
    </row>
    <row r="367" spans="1:15">
      <c r="A367" s="361"/>
      <c r="B367" s="367"/>
      <c r="C367" s="368"/>
      <c r="D367" s="1243"/>
      <c r="E367" s="1243"/>
      <c r="F367" s="1243"/>
      <c r="G367" s="1243"/>
      <c r="H367" s="1243"/>
      <c r="I367" s="1243"/>
      <c r="J367" s="1243"/>
      <c r="K367" s="1243"/>
      <c r="L367" s="1243"/>
      <c r="M367" s="1243"/>
      <c r="N367" s="1243"/>
      <c r="O367" s="1243"/>
    </row>
    <row r="368" spans="1:15">
      <c r="A368" s="361">
        <f>A366+1</f>
        <v>9</v>
      </c>
      <c r="B368" s="362" t="s">
        <v>1600</v>
      </c>
      <c r="C368" s="368"/>
      <c r="D368" s="1243"/>
      <c r="E368" s="1243"/>
      <c r="F368" s="1243"/>
      <c r="G368" s="1243"/>
      <c r="H368" s="1243"/>
      <c r="I368" s="1243"/>
      <c r="J368" s="1243"/>
      <c r="K368" s="1243"/>
      <c r="L368" s="1243"/>
      <c r="M368" s="1243"/>
      <c r="N368" s="1243"/>
      <c r="O368" s="1243"/>
    </row>
    <row r="369" spans="1:15">
      <c r="A369" s="361">
        <f t="shared" ref="A369:A399" si="61">A368+1</f>
        <v>10</v>
      </c>
      <c r="B369" s="365">
        <v>374.1</v>
      </c>
      <c r="C369" s="358" t="s">
        <v>382</v>
      </c>
      <c r="D369" s="1243">
        <f t="shared" ref="D369:D398" si="62">G255</f>
        <v>206</v>
      </c>
      <c r="E369" s="1243">
        <v>0</v>
      </c>
      <c r="F369" s="1243">
        <v>0</v>
      </c>
      <c r="G369" s="1243">
        <f>SUM(D369:F369)</f>
        <v>206</v>
      </c>
      <c r="H369" s="1243"/>
      <c r="I369" s="1243">
        <f t="shared" ref="I369:I398" si="63">O255</f>
        <v>0</v>
      </c>
      <c r="J369" s="1243"/>
      <c r="K369" s="1243">
        <v>0</v>
      </c>
      <c r="L369" s="1243">
        <v>0</v>
      </c>
      <c r="M369" s="1243">
        <f>F369</f>
        <v>0</v>
      </c>
      <c r="N369" s="1243">
        <v>0</v>
      </c>
      <c r="O369" s="1243">
        <f t="shared" ref="O369:O398" si="64">I369+K369+L369+M369+N369</f>
        <v>0</v>
      </c>
    </row>
    <row r="370" spans="1:15">
      <c r="A370" s="361">
        <f t="shared" si="61"/>
        <v>11</v>
      </c>
      <c r="B370" s="365">
        <v>374.2</v>
      </c>
      <c r="C370" s="358" t="s">
        <v>383</v>
      </c>
      <c r="D370" s="1243">
        <f t="shared" si="62"/>
        <v>876986.66</v>
      </c>
      <c r="E370" s="1243">
        <v>0</v>
      </c>
      <c r="F370" s="1243">
        <v>0</v>
      </c>
      <c r="G370" s="1243">
        <f t="shared" ref="G370:G398" si="65">SUM(D370:F370)</f>
        <v>876986.66</v>
      </c>
      <c r="H370" s="1243"/>
      <c r="I370" s="1243">
        <f t="shared" si="63"/>
        <v>-522.25</v>
      </c>
      <c r="J370" s="1243"/>
      <c r="K370" s="1243">
        <v>0</v>
      </c>
      <c r="L370" s="1243">
        <v>0</v>
      </c>
      <c r="M370" s="1243">
        <f t="shared" ref="M370:M398" si="66">F370</f>
        <v>0</v>
      </c>
      <c r="N370" s="1243">
        <v>0</v>
      </c>
      <c r="O370" s="1243">
        <f t="shared" si="64"/>
        <v>-522.25</v>
      </c>
    </row>
    <row r="371" spans="1:15">
      <c r="A371" s="361">
        <f t="shared" si="61"/>
        <v>12</v>
      </c>
      <c r="B371" s="365">
        <v>374.4</v>
      </c>
      <c r="C371" s="358" t="s">
        <v>384</v>
      </c>
      <c r="D371" s="1243">
        <f t="shared" si="62"/>
        <v>2763264.41</v>
      </c>
      <c r="E371" s="1243">
        <v>0</v>
      </c>
      <c r="F371" s="1243">
        <v>0</v>
      </c>
      <c r="G371" s="1243">
        <f t="shared" si="65"/>
        <v>2763264.41</v>
      </c>
      <c r="H371" s="1243"/>
      <c r="I371" s="1243">
        <f t="shared" si="63"/>
        <v>341836.11</v>
      </c>
      <c r="J371" s="1243"/>
      <c r="K371" s="1243">
        <v>2924.4500000000003</v>
      </c>
      <c r="L371" s="1243">
        <v>0</v>
      </c>
      <c r="M371" s="1243">
        <f t="shared" si="66"/>
        <v>0</v>
      </c>
      <c r="N371" s="1243">
        <v>0</v>
      </c>
      <c r="O371" s="1243">
        <f t="shared" si="64"/>
        <v>344760.56</v>
      </c>
    </row>
    <row r="372" spans="1:15">
      <c r="A372" s="361">
        <f t="shared" si="61"/>
        <v>13</v>
      </c>
      <c r="B372" s="365">
        <v>374.5</v>
      </c>
      <c r="C372" s="358" t="s">
        <v>385</v>
      </c>
      <c r="D372" s="1243">
        <f t="shared" si="62"/>
        <v>2666577.16</v>
      </c>
      <c r="E372" s="1243">
        <v>0</v>
      </c>
      <c r="F372" s="1243">
        <v>0</v>
      </c>
      <c r="G372" s="1243">
        <f t="shared" si="65"/>
        <v>2666577.16</v>
      </c>
      <c r="H372" s="1243"/>
      <c r="I372" s="1243">
        <f t="shared" si="63"/>
        <v>1134300.2300000002</v>
      </c>
      <c r="J372" s="1243"/>
      <c r="K372" s="1243">
        <v>2444.36</v>
      </c>
      <c r="L372" s="1243">
        <v>0</v>
      </c>
      <c r="M372" s="1243">
        <f t="shared" si="66"/>
        <v>0</v>
      </c>
      <c r="N372" s="1243">
        <v>0</v>
      </c>
      <c r="O372" s="1243">
        <f t="shared" si="64"/>
        <v>1136744.5900000003</v>
      </c>
    </row>
    <row r="373" spans="1:15">
      <c r="A373" s="361">
        <f t="shared" si="61"/>
        <v>14</v>
      </c>
      <c r="B373" s="365">
        <v>375.2</v>
      </c>
      <c r="C373" s="358" t="s">
        <v>386</v>
      </c>
      <c r="D373" s="1243">
        <f t="shared" si="62"/>
        <v>2124.98</v>
      </c>
      <c r="E373" s="1243">
        <v>0</v>
      </c>
      <c r="F373" s="1243">
        <v>0</v>
      </c>
      <c r="G373" s="1243">
        <f t="shared" si="65"/>
        <v>2124.98</v>
      </c>
      <c r="H373" s="1243"/>
      <c r="I373" s="1243">
        <f t="shared" si="63"/>
        <v>2055.27</v>
      </c>
      <c r="J373" s="1243"/>
      <c r="K373" s="1243">
        <v>0.73</v>
      </c>
      <c r="L373" s="1243">
        <v>0</v>
      </c>
      <c r="M373" s="1243">
        <f t="shared" si="66"/>
        <v>0</v>
      </c>
      <c r="N373" s="1243">
        <v>0</v>
      </c>
      <c r="O373" s="1243">
        <f t="shared" si="64"/>
        <v>2056</v>
      </c>
    </row>
    <row r="374" spans="1:15">
      <c r="A374" s="361">
        <f t="shared" si="61"/>
        <v>15</v>
      </c>
      <c r="B374" s="365">
        <v>375.3</v>
      </c>
      <c r="C374" s="358" t="s">
        <v>387</v>
      </c>
      <c r="D374" s="1243">
        <f t="shared" si="62"/>
        <v>0</v>
      </c>
      <c r="E374" s="1243">
        <v>0</v>
      </c>
      <c r="F374" s="1243">
        <v>0</v>
      </c>
      <c r="G374" s="1243">
        <f t="shared" si="65"/>
        <v>0</v>
      </c>
      <c r="H374" s="1243"/>
      <c r="I374" s="1243">
        <f t="shared" si="63"/>
        <v>-77.66</v>
      </c>
      <c r="J374" s="1243"/>
      <c r="K374" s="1243">
        <v>0</v>
      </c>
      <c r="L374" s="1243">
        <v>0</v>
      </c>
      <c r="M374" s="1243">
        <f t="shared" si="66"/>
        <v>0</v>
      </c>
      <c r="N374" s="1243">
        <v>0</v>
      </c>
      <c r="O374" s="1243">
        <f t="shared" si="64"/>
        <v>-77.66</v>
      </c>
    </row>
    <row r="375" spans="1:15">
      <c r="A375" s="361">
        <f t="shared" si="61"/>
        <v>16</v>
      </c>
      <c r="B375" s="365">
        <v>375.4</v>
      </c>
      <c r="C375" s="358" t="s">
        <v>388</v>
      </c>
      <c r="D375" s="1243">
        <f t="shared" si="62"/>
        <v>2828521.3299999996</v>
      </c>
      <c r="E375" s="1243">
        <v>186.02999999999884</v>
      </c>
      <c r="F375" s="1243">
        <v>0</v>
      </c>
      <c r="G375" s="1243">
        <f t="shared" si="65"/>
        <v>2828707.3599999994</v>
      </c>
      <c r="H375" s="1243"/>
      <c r="I375" s="1243">
        <f t="shared" si="63"/>
        <v>594581.19000000006</v>
      </c>
      <c r="J375" s="1243"/>
      <c r="K375" s="1243">
        <v>5115.07</v>
      </c>
      <c r="L375" s="1243">
        <v>0</v>
      </c>
      <c r="M375" s="1243">
        <f t="shared" si="66"/>
        <v>0</v>
      </c>
      <c r="N375" s="1243">
        <v>0</v>
      </c>
      <c r="O375" s="1243">
        <f t="shared" si="64"/>
        <v>599696.26</v>
      </c>
    </row>
    <row r="376" spans="1:15">
      <c r="A376" s="361">
        <f t="shared" si="61"/>
        <v>17</v>
      </c>
      <c r="B376" s="365">
        <v>375.6</v>
      </c>
      <c r="C376" s="358" t="s">
        <v>389</v>
      </c>
      <c r="D376" s="1243">
        <f t="shared" si="62"/>
        <v>0</v>
      </c>
      <c r="E376" s="1243">
        <v>0</v>
      </c>
      <c r="F376" s="1243">
        <v>0</v>
      </c>
      <c r="G376" s="1243">
        <f t="shared" si="65"/>
        <v>0</v>
      </c>
      <c r="H376" s="1243"/>
      <c r="I376" s="1243">
        <f t="shared" si="63"/>
        <v>0.02</v>
      </c>
      <c r="J376" s="1243"/>
      <c r="K376" s="1243">
        <v>0</v>
      </c>
      <c r="L376" s="1243">
        <v>0</v>
      </c>
      <c r="M376" s="1243">
        <f t="shared" si="66"/>
        <v>0</v>
      </c>
      <c r="N376" s="1243">
        <v>0</v>
      </c>
      <c r="O376" s="1243">
        <f t="shared" si="64"/>
        <v>0.02</v>
      </c>
    </row>
    <row r="377" spans="1:15">
      <c r="A377" s="361">
        <f t="shared" si="61"/>
        <v>18</v>
      </c>
      <c r="B377" s="365">
        <v>375.7</v>
      </c>
      <c r="C377" s="358" t="s">
        <v>390</v>
      </c>
      <c r="D377" s="1243">
        <f t="shared" si="62"/>
        <v>9082676.9800000004</v>
      </c>
      <c r="E377" s="1243">
        <v>0</v>
      </c>
      <c r="F377" s="1243">
        <v>0</v>
      </c>
      <c r="G377" s="1243">
        <f t="shared" si="65"/>
        <v>9082676.9800000004</v>
      </c>
      <c r="H377" s="1243"/>
      <c r="I377" s="1243">
        <f t="shared" si="63"/>
        <v>4533990.7199999988</v>
      </c>
      <c r="J377" s="1243"/>
      <c r="K377" s="1243">
        <v>17711.22</v>
      </c>
      <c r="L377" s="1243">
        <v>0</v>
      </c>
      <c r="M377" s="1243">
        <f t="shared" si="66"/>
        <v>0</v>
      </c>
      <c r="N377" s="1243">
        <v>0</v>
      </c>
      <c r="O377" s="1243">
        <f t="shared" si="64"/>
        <v>4551701.9399999985</v>
      </c>
    </row>
    <row r="378" spans="1:15">
      <c r="A378" s="361">
        <f t="shared" si="61"/>
        <v>19</v>
      </c>
      <c r="B378" s="365">
        <v>375.71</v>
      </c>
      <c r="C378" s="358" t="s">
        <v>391</v>
      </c>
      <c r="D378" s="1243">
        <f t="shared" si="62"/>
        <v>876651.57</v>
      </c>
      <c r="E378" s="1243">
        <v>0</v>
      </c>
      <c r="F378" s="1243">
        <v>0</v>
      </c>
      <c r="G378" s="1243">
        <f t="shared" si="65"/>
        <v>876651.57</v>
      </c>
      <c r="H378" s="1243"/>
      <c r="I378" s="1243">
        <f t="shared" si="63"/>
        <v>711928.29</v>
      </c>
      <c r="J378" s="1243"/>
      <c r="K378" s="1243">
        <v>4743.54</v>
      </c>
      <c r="L378" s="1243">
        <v>0</v>
      </c>
      <c r="M378" s="1243">
        <f t="shared" si="66"/>
        <v>0</v>
      </c>
      <c r="N378" s="1243">
        <v>0</v>
      </c>
      <c r="O378" s="1243">
        <f t="shared" si="64"/>
        <v>716671.83000000007</v>
      </c>
    </row>
    <row r="379" spans="1:15">
      <c r="A379" s="361">
        <f t="shared" si="61"/>
        <v>20</v>
      </c>
      <c r="B379" s="365">
        <v>375.8</v>
      </c>
      <c r="C379" s="358" t="s">
        <v>392</v>
      </c>
      <c r="D379" s="1243">
        <f t="shared" si="62"/>
        <v>132125.04</v>
      </c>
      <c r="E379" s="1243">
        <v>0</v>
      </c>
      <c r="F379" s="1243">
        <v>0</v>
      </c>
      <c r="G379" s="1243">
        <f t="shared" si="65"/>
        <v>132125.04</v>
      </c>
      <c r="H379" s="1243"/>
      <c r="I379" s="1243">
        <f t="shared" si="63"/>
        <v>5555.18</v>
      </c>
      <c r="J379" s="1243"/>
      <c r="K379" s="1243">
        <v>585.75</v>
      </c>
      <c r="L379" s="1243">
        <v>0</v>
      </c>
      <c r="M379" s="1243">
        <f t="shared" si="66"/>
        <v>0</v>
      </c>
      <c r="N379" s="1243">
        <v>0</v>
      </c>
      <c r="O379" s="1243">
        <f t="shared" si="64"/>
        <v>6140.93</v>
      </c>
    </row>
    <row r="380" spans="1:15">
      <c r="A380" s="361">
        <f t="shared" si="61"/>
        <v>21</v>
      </c>
      <c r="B380" s="365">
        <v>376</v>
      </c>
      <c r="C380" s="358" t="s">
        <v>1621</v>
      </c>
      <c r="D380" s="1243">
        <f t="shared" si="62"/>
        <v>401962093.08999997</v>
      </c>
      <c r="E380" s="1243">
        <f>'WPB-2.1.D SMRP'!E165</f>
        <v>281792.29000000074</v>
      </c>
      <c r="F380" s="1243">
        <f>'WPB-2.1.D SMRP'!F165</f>
        <v>-286844.15000000002</v>
      </c>
      <c r="G380" s="1243">
        <f t="shared" si="65"/>
        <v>401957041.23000002</v>
      </c>
      <c r="H380" s="1243"/>
      <c r="I380" s="1243">
        <f t="shared" si="63"/>
        <v>76345256.832000002</v>
      </c>
      <c r="J380" s="1243"/>
      <c r="K380" s="1243">
        <f>'WPB-2.1.D SMRP'!K165</f>
        <v>579447.299</v>
      </c>
      <c r="L380" s="1243">
        <v>0</v>
      </c>
      <c r="M380" s="1243">
        <f>F380</f>
        <v>-286844.15000000002</v>
      </c>
      <c r="N380" s="1243">
        <f>'WPB-2.1.D SMRP'!N165</f>
        <v>-31095.9</v>
      </c>
      <c r="O380" s="1243">
        <f t="shared" si="64"/>
        <v>76606764.080999985</v>
      </c>
    </row>
    <row r="381" spans="1:15">
      <c r="A381" s="361">
        <f t="shared" si="61"/>
        <v>22</v>
      </c>
      <c r="B381" s="365">
        <v>378.1</v>
      </c>
      <c r="C381" s="358" t="s">
        <v>394</v>
      </c>
      <c r="D381" s="1243">
        <f t="shared" si="62"/>
        <v>494153.36000000004</v>
      </c>
      <c r="E381" s="1243">
        <v>0</v>
      </c>
      <c r="F381" s="1243">
        <v>-1222.27</v>
      </c>
      <c r="G381" s="1243">
        <f t="shared" si="65"/>
        <v>492931.09</v>
      </c>
      <c r="H381" s="1243"/>
      <c r="I381" s="1243">
        <f t="shared" si="63"/>
        <v>407296.79000000004</v>
      </c>
      <c r="J381" s="1243"/>
      <c r="K381" s="1243">
        <v>1036.44</v>
      </c>
      <c r="L381" s="1243">
        <v>0</v>
      </c>
      <c r="M381" s="1243">
        <f t="shared" si="66"/>
        <v>-1222.27</v>
      </c>
      <c r="N381" s="1243">
        <v>-1038.8</v>
      </c>
      <c r="O381" s="1243">
        <f t="shared" si="64"/>
        <v>406072.16000000003</v>
      </c>
    </row>
    <row r="382" spans="1:15">
      <c r="A382" s="361">
        <f t="shared" si="61"/>
        <v>23</v>
      </c>
      <c r="B382" s="365">
        <v>378.2</v>
      </c>
      <c r="C382" s="358" t="s">
        <v>1622</v>
      </c>
      <c r="D382" s="1243">
        <f t="shared" si="62"/>
        <v>24944703.330000002</v>
      </c>
      <c r="E382" s="1243">
        <f>'WPB-2.1.D SMRP'!E169</f>
        <v>0</v>
      </c>
      <c r="F382" s="1243">
        <f>'WPB-2.1.D SMRP'!F169</f>
        <v>-27168.59</v>
      </c>
      <c r="G382" s="1243">
        <f t="shared" si="65"/>
        <v>24917534.740000002</v>
      </c>
      <c r="H382" s="1243"/>
      <c r="I382" s="1243">
        <f t="shared" si="63"/>
        <v>2972693.088</v>
      </c>
      <c r="J382" s="1243"/>
      <c r="K382" s="1243">
        <f>'WPB-2.1.D SMRP'!K169</f>
        <v>52349.984000000004</v>
      </c>
      <c r="L382" s="1243">
        <v>0</v>
      </c>
      <c r="M382" s="1243">
        <f>F382</f>
        <v>-27168.59</v>
      </c>
      <c r="N382" s="1243">
        <f>'WPB-2.1.D SMRP'!N169</f>
        <v>-5074.0800000000008</v>
      </c>
      <c r="O382" s="1243">
        <f t="shared" si="64"/>
        <v>2992800.4020000002</v>
      </c>
    </row>
    <row r="383" spans="1:15">
      <c r="A383" s="361">
        <f t="shared" si="61"/>
        <v>24</v>
      </c>
      <c r="B383" s="365">
        <v>378.3</v>
      </c>
      <c r="C383" s="358" t="s">
        <v>396</v>
      </c>
      <c r="D383" s="1243">
        <f t="shared" si="62"/>
        <v>45443.08</v>
      </c>
      <c r="E383" s="1243">
        <v>0</v>
      </c>
      <c r="F383" s="1243">
        <v>0</v>
      </c>
      <c r="G383" s="1243">
        <f t="shared" si="65"/>
        <v>45443.08</v>
      </c>
      <c r="H383" s="1243"/>
      <c r="I383" s="1243">
        <f t="shared" si="63"/>
        <v>42308.590000000004</v>
      </c>
      <c r="J383" s="1243"/>
      <c r="K383" s="1243">
        <v>95.43</v>
      </c>
      <c r="L383" s="1243">
        <v>0</v>
      </c>
      <c r="M383" s="1243">
        <f t="shared" si="66"/>
        <v>0</v>
      </c>
      <c r="N383" s="1243">
        <v>0</v>
      </c>
      <c r="O383" s="1243">
        <f t="shared" si="64"/>
        <v>42404.020000000004</v>
      </c>
    </row>
    <row r="384" spans="1:15">
      <c r="A384" s="361">
        <f t="shared" si="61"/>
        <v>25</v>
      </c>
      <c r="B384" s="365">
        <v>379.1</v>
      </c>
      <c r="C384" s="358" t="s">
        <v>397</v>
      </c>
      <c r="D384" s="1243">
        <f t="shared" si="62"/>
        <v>1554144.06</v>
      </c>
      <c r="E384" s="1243">
        <v>0</v>
      </c>
      <c r="F384" s="1243">
        <v>0</v>
      </c>
      <c r="G384" s="1243">
        <f t="shared" si="65"/>
        <v>1554144.06</v>
      </c>
      <c r="H384" s="1243"/>
      <c r="I384" s="1243">
        <f t="shared" si="63"/>
        <v>323177.10000000003</v>
      </c>
      <c r="J384" s="1243"/>
      <c r="K384" s="1243">
        <v>3134.19</v>
      </c>
      <c r="L384" s="1243">
        <v>0</v>
      </c>
      <c r="M384" s="1243">
        <f t="shared" si="66"/>
        <v>0</v>
      </c>
      <c r="N384" s="1243">
        <v>0</v>
      </c>
      <c r="O384" s="1243">
        <f t="shared" si="64"/>
        <v>326311.29000000004</v>
      </c>
    </row>
    <row r="385" spans="1:15">
      <c r="A385" s="361">
        <f t="shared" si="61"/>
        <v>26</v>
      </c>
      <c r="B385" s="365">
        <v>380</v>
      </c>
      <c r="C385" s="358" t="s">
        <v>1623</v>
      </c>
      <c r="D385" s="1243">
        <f t="shared" si="62"/>
        <v>194568334.23135322</v>
      </c>
      <c r="E385" s="1243">
        <f>'WPB-2.1.D SMRP'!E173</f>
        <v>795249.53</v>
      </c>
      <c r="F385" s="1243">
        <f>'WPB-2.1.D SMRP'!F173</f>
        <v>-37604.148037570383</v>
      </c>
      <c r="G385" s="1243">
        <f t="shared" si="65"/>
        <v>195325979.61331564</v>
      </c>
      <c r="H385" s="1243"/>
      <c r="I385" s="1243">
        <f t="shared" si="63"/>
        <v>53798500.073145233</v>
      </c>
      <c r="J385" s="1243"/>
      <c r="K385" s="1243">
        <f>'WPB-2.1.D SMRP'!K173</f>
        <v>684374.85499999998</v>
      </c>
      <c r="L385" s="1243">
        <v>0</v>
      </c>
      <c r="M385" s="1243">
        <f>F385</f>
        <v>-37604.148037570383</v>
      </c>
      <c r="N385" s="1243">
        <f>'WPB-2.1.D SMRP'!N173</f>
        <v>-24917.695572000011</v>
      </c>
      <c r="O385" s="1243">
        <f t="shared" si="64"/>
        <v>54420353.084535658</v>
      </c>
    </row>
    <row r="386" spans="1:15">
      <c r="A386" s="361">
        <f t="shared" si="61"/>
        <v>27</v>
      </c>
      <c r="B386" s="365">
        <v>381</v>
      </c>
      <c r="C386" s="358" t="s">
        <v>399</v>
      </c>
      <c r="D386" s="1243">
        <f t="shared" si="62"/>
        <v>19528909.030000001</v>
      </c>
      <c r="E386" s="1243">
        <v>299459.25</v>
      </c>
      <c r="F386" s="1243">
        <v>-1955644.3900000001</v>
      </c>
      <c r="G386" s="1243">
        <f t="shared" si="65"/>
        <v>17872723.890000001</v>
      </c>
      <c r="H386" s="1243"/>
      <c r="I386" s="1243">
        <f t="shared" si="63"/>
        <v>4688367.7</v>
      </c>
      <c r="J386" s="1243"/>
      <c r="K386" s="1243">
        <v>40830.120000000003</v>
      </c>
      <c r="L386" s="1243">
        <v>0</v>
      </c>
      <c r="M386" s="1243">
        <f t="shared" si="66"/>
        <v>-1955644.3900000001</v>
      </c>
      <c r="N386" s="1243">
        <v>0</v>
      </c>
      <c r="O386" s="1243">
        <f t="shared" si="64"/>
        <v>2773553.43</v>
      </c>
    </row>
    <row r="387" spans="1:15">
      <c r="A387" s="361">
        <f t="shared" si="61"/>
        <v>28</v>
      </c>
      <c r="B387" s="365">
        <v>381.1</v>
      </c>
      <c r="C387" s="358" t="s">
        <v>2366</v>
      </c>
      <c r="D387" s="1243">
        <f t="shared" si="62"/>
        <v>9980854.4800000004</v>
      </c>
      <c r="E387" s="1243">
        <v>0</v>
      </c>
      <c r="F387" s="1243">
        <v>0</v>
      </c>
      <c r="G387" s="1243">
        <f t="shared" si="65"/>
        <v>9980854.4800000004</v>
      </c>
      <c r="H387" s="1243"/>
      <c r="I387" s="1243">
        <f t="shared" si="63"/>
        <v>4801173.1400000006</v>
      </c>
      <c r="J387" s="1243"/>
      <c r="K387" s="1243">
        <v>62213.99</v>
      </c>
      <c r="L387" s="1243">
        <v>0</v>
      </c>
      <c r="M387" s="1243">
        <f t="shared" si="66"/>
        <v>0</v>
      </c>
      <c r="N387" s="1243">
        <v>0</v>
      </c>
      <c r="O387" s="1243">
        <f t="shared" si="64"/>
        <v>4863387.1300000008</v>
      </c>
    </row>
    <row r="388" spans="1:15">
      <c r="A388" s="361">
        <f t="shared" si="61"/>
        <v>29</v>
      </c>
      <c r="B388" s="365">
        <v>382</v>
      </c>
      <c r="C388" s="358" t="s">
        <v>1624</v>
      </c>
      <c r="D388" s="1243">
        <f t="shared" si="62"/>
        <v>10142233.280000001</v>
      </c>
      <c r="E388" s="1243">
        <f>'WPB-2.1.D SMRP'!E177</f>
        <v>14616.35</v>
      </c>
      <c r="F388" s="1243">
        <f>'WPB-2.1.D SMRP'!F177</f>
        <v>0</v>
      </c>
      <c r="G388" s="1243">
        <f t="shared" si="65"/>
        <v>10156849.630000001</v>
      </c>
      <c r="H388" s="1243"/>
      <c r="I388" s="1243">
        <f t="shared" si="63"/>
        <v>5706153.7379999999</v>
      </c>
      <c r="J388" s="1243"/>
      <c r="K388" s="1243">
        <f>'WPB-2.1.D SMRP'!K177</f>
        <v>14970.739</v>
      </c>
      <c r="L388" s="1243">
        <v>0</v>
      </c>
      <c r="M388" s="1243">
        <f t="shared" si="66"/>
        <v>0</v>
      </c>
      <c r="N388" s="1243">
        <f>'WPB-2.1.D SMRP'!N177</f>
        <v>0</v>
      </c>
      <c r="O388" s="1243">
        <f t="shared" si="64"/>
        <v>5721124.477</v>
      </c>
    </row>
    <row r="389" spans="1:15">
      <c r="A389" s="361">
        <f t="shared" si="61"/>
        <v>30</v>
      </c>
      <c r="B389" s="365">
        <v>383</v>
      </c>
      <c r="C389" s="358" t="s">
        <v>1625</v>
      </c>
      <c r="D389" s="1243">
        <f t="shared" si="62"/>
        <v>7179432.2199999997</v>
      </c>
      <c r="E389" s="1243">
        <f>'WPB-2.1.D SMRP'!E181</f>
        <v>3370.27</v>
      </c>
      <c r="F389" s="1243">
        <f>'WPB-2.1.D SMRP'!F181</f>
        <v>0</v>
      </c>
      <c r="G389" s="1243">
        <f t="shared" si="65"/>
        <v>7182802.4899999993</v>
      </c>
      <c r="H389" s="1243"/>
      <c r="I389" s="1243">
        <f t="shared" si="63"/>
        <v>2381186.0860000001</v>
      </c>
      <c r="J389" s="1243"/>
      <c r="K389" s="1243">
        <f>'WPB-2.1.D SMRP'!K181</f>
        <v>11609.538999999999</v>
      </c>
      <c r="L389" s="1243">
        <v>0</v>
      </c>
      <c r="M389" s="1243">
        <f t="shared" si="66"/>
        <v>0</v>
      </c>
      <c r="N389" s="1243">
        <f>'WPB-2.1.D SMRP'!N181</f>
        <v>0</v>
      </c>
      <c r="O389" s="1243">
        <f t="shared" si="64"/>
        <v>2392795.625</v>
      </c>
    </row>
    <row r="390" spans="1:15">
      <c r="A390" s="361">
        <f t="shared" si="61"/>
        <v>31</v>
      </c>
      <c r="B390" s="365">
        <v>384</v>
      </c>
      <c r="C390" s="358" t="s">
        <v>402</v>
      </c>
      <c r="D390" s="1243">
        <f t="shared" si="62"/>
        <v>2085058.65</v>
      </c>
      <c r="E390" s="1243">
        <v>0</v>
      </c>
      <c r="F390" s="1243">
        <v>0</v>
      </c>
      <c r="G390" s="1243">
        <f t="shared" si="65"/>
        <v>2085058.65</v>
      </c>
      <c r="H390" s="1243"/>
      <c r="I390" s="1243">
        <f t="shared" si="63"/>
        <v>1712840.17</v>
      </c>
      <c r="J390" s="1243"/>
      <c r="K390" s="1243">
        <v>1720.17</v>
      </c>
      <c r="L390" s="1243">
        <v>0</v>
      </c>
      <c r="M390" s="1243">
        <f t="shared" si="66"/>
        <v>0</v>
      </c>
      <c r="N390" s="1243">
        <v>0</v>
      </c>
      <c r="O390" s="1243">
        <f t="shared" si="64"/>
        <v>1714560.3399999999</v>
      </c>
    </row>
    <row r="391" spans="1:15">
      <c r="A391" s="361">
        <f t="shared" si="61"/>
        <v>32</v>
      </c>
      <c r="B391" s="365">
        <v>385</v>
      </c>
      <c r="C391" s="358" t="s">
        <v>403</v>
      </c>
      <c r="D391" s="1243">
        <f t="shared" si="62"/>
        <v>6203713.29</v>
      </c>
      <c r="E391" s="1243">
        <v>-137299.88</v>
      </c>
      <c r="F391" s="1243">
        <v>-19843.05</v>
      </c>
      <c r="G391" s="1243">
        <f t="shared" si="65"/>
        <v>6046570.3600000003</v>
      </c>
      <c r="H391" s="1243"/>
      <c r="I391" s="1243">
        <f t="shared" si="63"/>
        <v>789878.58000000019</v>
      </c>
      <c r="J391" s="1243"/>
      <c r="K391" s="1243">
        <v>19038.98</v>
      </c>
      <c r="L391" s="1243">
        <v>0</v>
      </c>
      <c r="M391" s="1243">
        <f t="shared" si="66"/>
        <v>-19843.05</v>
      </c>
      <c r="N391" s="1243">
        <v>-30009.48</v>
      </c>
      <c r="O391" s="1243">
        <f t="shared" si="64"/>
        <v>759065.03000000014</v>
      </c>
    </row>
    <row r="392" spans="1:15">
      <c r="A392" s="361">
        <f t="shared" si="61"/>
        <v>33</v>
      </c>
      <c r="B392" s="365">
        <v>387.2</v>
      </c>
      <c r="C392" s="358" t="s">
        <v>404</v>
      </c>
      <c r="D392" s="1243">
        <f t="shared" si="62"/>
        <v>0</v>
      </c>
      <c r="E392" s="1243">
        <v>0</v>
      </c>
      <c r="F392" s="1243">
        <v>0</v>
      </c>
      <c r="G392" s="1243">
        <f t="shared" si="65"/>
        <v>0</v>
      </c>
      <c r="H392" s="1243"/>
      <c r="I392" s="1243">
        <f t="shared" si="63"/>
        <v>-59912.03</v>
      </c>
      <c r="J392" s="1243"/>
      <c r="K392" s="1243">
        <v>0</v>
      </c>
      <c r="L392" s="1243">
        <v>0</v>
      </c>
      <c r="M392" s="1243">
        <f t="shared" si="66"/>
        <v>0</v>
      </c>
      <c r="N392" s="1243">
        <v>0</v>
      </c>
      <c r="O392" s="1243">
        <f t="shared" si="64"/>
        <v>-59912.03</v>
      </c>
    </row>
    <row r="393" spans="1:15">
      <c r="A393" s="361">
        <f t="shared" si="61"/>
        <v>34</v>
      </c>
      <c r="B393" s="365">
        <v>387.41</v>
      </c>
      <c r="C393" s="358" t="s">
        <v>405</v>
      </c>
      <c r="D393" s="1243">
        <f t="shared" si="62"/>
        <v>735015.32000000007</v>
      </c>
      <c r="E393" s="1243">
        <v>0</v>
      </c>
      <c r="F393" s="1243">
        <v>-474476.86</v>
      </c>
      <c r="G393" s="1243">
        <f t="shared" si="65"/>
        <v>260538.46000000008</v>
      </c>
      <c r="H393" s="1243"/>
      <c r="I393" s="1243">
        <f t="shared" si="63"/>
        <v>528289.15</v>
      </c>
      <c r="J393" s="1243"/>
      <c r="K393" s="1243">
        <v>1281.78</v>
      </c>
      <c r="L393" s="1243">
        <v>0</v>
      </c>
      <c r="M393" s="1243">
        <f t="shared" si="66"/>
        <v>-474476.86</v>
      </c>
      <c r="N393" s="1243">
        <v>0</v>
      </c>
      <c r="O393" s="1243">
        <f t="shared" si="64"/>
        <v>55094.070000000065</v>
      </c>
    </row>
    <row r="394" spans="1:15">
      <c r="A394" s="361">
        <f t="shared" si="61"/>
        <v>35</v>
      </c>
      <c r="B394" s="365">
        <v>387.42</v>
      </c>
      <c r="C394" s="358" t="s">
        <v>406</v>
      </c>
      <c r="D394" s="1243">
        <f t="shared" si="62"/>
        <v>786896.82000000007</v>
      </c>
      <c r="E394" s="1243">
        <v>0</v>
      </c>
      <c r="F394" s="1243">
        <v>-367529.42</v>
      </c>
      <c r="G394" s="1243">
        <f t="shared" si="65"/>
        <v>419367.40000000008</v>
      </c>
      <c r="H394" s="1243"/>
      <c r="I394" s="1243">
        <f t="shared" si="63"/>
        <v>700560.09</v>
      </c>
      <c r="J394" s="1243"/>
      <c r="K394" s="1243">
        <v>1628.46</v>
      </c>
      <c r="L394" s="1243">
        <v>0</v>
      </c>
      <c r="M394" s="1243">
        <f t="shared" si="66"/>
        <v>-367529.42</v>
      </c>
      <c r="N394" s="1243">
        <v>-318.22000000000003</v>
      </c>
      <c r="O394" s="1243">
        <f t="shared" si="64"/>
        <v>334340.90999999997</v>
      </c>
    </row>
    <row r="395" spans="1:15">
      <c r="A395" s="361">
        <f t="shared" si="61"/>
        <v>36</v>
      </c>
      <c r="B395" s="365">
        <v>387.44</v>
      </c>
      <c r="C395" s="358" t="s">
        <v>407</v>
      </c>
      <c r="D395" s="1243">
        <f t="shared" si="62"/>
        <v>124678.76000000001</v>
      </c>
      <c r="E395" s="1243">
        <v>0</v>
      </c>
      <c r="F395" s="1243">
        <v>0</v>
      </c>
      <c r="G395" s="1243">
        <f t="shared" si="65"/>
        <v>124678.76000000001</v>
      </c>
      <c r="H395" s="1243"/>
      <c r="I395" s="1243">
        <f t="shared" si="63"/>
        <v>64385.749999999993</v>
      </c>
      <c r="J395" s="1243"/>
      <c r="K395" s="1243">
        <v>336.63</v>
      </c>
      <c r="L395" s="1243">
        <v>0</v>
      </c>
      <c r="M395" s="1243">
        <f t="shared" si="66"/>
        <v>0</v>
      </c>
      <c r="N395" s="1243">
        <v>-9.2900000000000009</v>
      </c>
      <c r="O395" s="1243">
        <f t="shared" si="64"/>
        <v>64713.089999999989</v>
      </c>
    </row>
    <row r="396" spans="1:15">
      <c r="A396" s="361">
        <f t="shared" si="61"/>
        <v>37</v>
      </c>
      <c r="B396" s="365">
        <v>387.45</v>
      </c>
      <c r="C396" s="358" t="s">
        <v>408</v>
      </c>
      <c r="D396" s="1243">
        <f t="shared" si="62"/>
        <v>5768774.5700000003</v>
      </c>
      <c r="E396" s="1243">
        <v>171484.96000000002</v>
      </c>
      <c r="F396" s="1243">
        <v>-410499.4</v>
      </c>
      <c r="G396" s="1243">
        <f t="shared" si="65"/>
        <v>5529760.1299999999</v>
      </c>
      <c r="H396" s="1243"/>
      <c r="I396" s="1243">
        <f t="shared" si="63"/>
        <v>-66723.339999999982</v>
      </c>
      <c r="J396" s="1243"/>
      <c r="K396" s="1243">
        <v>15253.02</v>
      </c>
      <c r="L396" s="1243">
        <v>0</v>
      </c>
      <c r="M396" s="1243">
        <f t="shared" si="66"/>
        <v>-410499.4</v>
      </c>
      <c r="N396" s="1243">
        <v>-1192.83</v>
      </c>
      <c r="O396" s="1243">
        <f t="shared" si="64"/>
        <v>-463162.55</v>
      </c>
    </row>
    <row r="397" spans="1:15">
      <c r="A397" s="361">
        <f t="shared" si="61"/>
        <v>38</v>
      </c>
      <c r="B397" s="365">
        <v>387.46</v>
      </c>
      <c r="C397" s="358" t="s">
        <v>409</v>
      </c>
      <c r="D397" s="1243">
        <f t="shared" si="62"/>
        <v>113644.47</v>
      </c>
      <c r="E397" s="1243">
        <v>0</v>
      </c>
      <c r="F397" s="1243">
        <v>0</v>
      </c>
      <c r="G397" s="1243">
        <f t="shared" si="65"/>
        <v>113644.47</v>
      </c>
      <c r="H397" s="1243"/>
      <c r="I397" s="1243">
        <f t="shared" si="63"/>
        <v>114497.07</v>
      </c>
      <c r="J397" s="1243"/>
      <c r="K397" s="1243">
        <v>0</v>
      </c>
      <c r="L397" s="1243">
        <v>0</v>
      </c>
      <c r="M397" s="1243">
        <f t="shared" si="66"/>
        <v>0</v>
      </c>
      <c r="N397" s="1243">
        <v>0</v>
      </c>
      <c r="O397" s="1243">
        <f t="shared" si="64"/>
        <v>114497.07</v>
      </c>
    </row>
    <row r="398" spans="1:15">
      <c r="A398" s="361">
        <f t="shared" si="61"/>
        <v>39</v>
      </c>
      <c r="B398" s="365">
        <v>387.5</v>
      </c>
      <c r="C398" s="358" t="s">
        <v>1075</v>
      </c>
      <c r="D398" s="1244">
        <f t="shared" si="62"/>
        <v>235051.94</v>
      </c>
      <c r="E398" s="1244">
        <v>0</v>
      </c>
      <c r="F398" s="1244">
        <v>0</v>
      </c>
      <c r="G398" s="1244">
        <f t="shared" si="65"/>
        <v>235051.94</v>
      </c>
      <c r="H398" s="1243"/>
      <c r="I398" s="1244">
        <f t="shared" si="63"/>
        <v>37215.600000000006</v>
      </c>
      <c r="J398" s="1243"/>
      <c r="K398" s="1244">
        <v>605.26</v>
      </c>
      <c r="L398" s="1244">
        <v>0</v>
      </c>
      <c r="M398" s="1244">
        <f t="shared" si="66"/>
        <v>0</v>
      </c>
      <c r="N398" s="1244">
        <v>0</v>
      </c>
      <c r="O398" s="1244">
        <f t="shared" si="64"/>
        <v>37820.860000000008</v>
      </c>
    </row>
    <row r="399" spans="1:15">
      <c r="A399" s="361">
        <f t="shared" si="61"/>
        <v>40</v>
      </c>
      <c r="C399" s="365" t="s">
        <v>1601</v>
      </c>
      <c r="D399" s="1243">
        <f>SUM(D369:D398)</f>
        <v>705682268.1113534</v>
      </c>
      <c r="E399" s="1243">
        <f>SUM(E369:E398)</f>
        <v>1428858.8000000007</v>
      </c>
      <c r="F399" s="1243">
        <f>SUM(F369:F398)</f>
        <v>-3580832.27803757</v>
      </c>
      <c r="G399" s="1243">
        <f>SUM(G369:G398)</f>
        <v>703530294.6333158</v>
      </c>
      <c r="H399" s="1243"/>
      <c r="I399" s="1243">
        <f>SUM(I369:I398)</f>
        <v>162610791.27714524</v>
      </c>
      <c r="J399" s="1243"/>
      <c r="K399" s="1243">
        <f>SUM(K369:K398)</f>
        <v>1523452.0060000001</v>
      </c>
      <c r="L399" s="1243">
        <f>SUM(L369:L398)</f>
        <v>0</v>
      </c>
      <c r="M399" s="1243">
        <f>SUM(M369:M398)</f>
        <v>-3580832.27803757</v>
      </c>
      <c r="N399" s="1243">
        <f>SUM(N369:N398)</f>
        <v>-93656.295572000003</v>
      </c>
      <c r="O399" s="1243">
        <f>SUM(O369:O398)</f>
        <v>160459754.70953563</v>
      </c>
    </row>
    <row r="400" spans="1:15">
      <c r="B400" s="367"/>
      <c r="C400" s="368"/>
      <c r="D400" s="369"/>
      <c r="E400" s="369"/>
      <c r="F400" s="369"/>
      <c r="G400" s="369"/>
      <c r="I400" s="369"/>
      <c r="J400" s="369"/>
      <c r="K400" s="369"/>
      <c r="L400" s="369"/>
      <c r="M400" s="369"/>
      <c r="N400" s="369"/>
      <c r="O400" s="369"/>
    </row>
    <row r="401" spans="1:16">
      <c r="I401" s="369"/>
      <c r="J401" s="369"/>
      <c r="K401" s="369"/>
      <c r="L401" s="369"/>
      <c r="M401" s="369"/>
      <c r="N401" s="369"/>
      <c r="O401" s="369"/>
    </row>
    <row r="402" spans="1:16" s="291" customFormat="1">
      <c r="A402" s="1308" t="str">
        <f>$A$1</f>
        <v>COLUMBIA GAS OF KENTUCKY, INC.</v>
      </c>
      <c r="B402" s="1308"/>
      <c r="C402" s="1308"/>
      <c r="D402" s="1308"/>
      <c r="E402" s="1308"/>
      <c r="F402" s="1308"/>
      <c r="G402" s="1308"/>
      <c r="H402" s="1308"/>
      <c r="I402" s="1308"/>
      <c r="J402" s="1308"/>
      <c r="K402" s="1308"/>
      <c r="L402" s="1308"/>
      <c r="M402" s="1308"/>
      <c r="N402" s="1308"/>
      <c r="O402" s="1308"/>
    </row>
    <row r="403" spans="1:16" s="291" customFormat="1">
      <c r="A403" s="1308" t="str">
        <f>$A$2</f>
        <v>CASE NO. 2024 - 00092</v>
      </c>
      <c r="B403" s="1308"/>
      <c r="C403" s="1308"/>
      <c r="D403" s="1308"/>
      <c r="E403" s="1308"/>
      <c r="F403" s="1308"/>
      <c r="G403" s="1308"/>
      <c r="H403" s="1308"/>
      <c r="I403" s="1308"/>
      <c r="J403" s="1308"/>
      <c r="K403" s="1308"/>
      <c r="L403" s="1308"/>
      <c r="M403" s="1308"/>
      <c r="N403" s="1308"/>
      <c r="O403" s="1308"/>
    </row>
    <row r="404" spans="1:16" s="291" customFormat="1">
      <c r="A404" s="1308" t="str">
        <f>$A$3</f>
        <v>DETAIL OF ACTUAL &amp; FORECASTED PLANT, ACCUMULATED RESERVE &amp; DEPRECIATION EXPENSE</v>
      </c>
      <c r="B404" s="1308"/>
      <c r="C404" s="1308"/>
      <c r="D404" s="1308"/>
      <c r="E404" s="1308"/>
      <c r="F404" s="1308"/>
      <c r="G404" s="1308"/>
      <c r="H404" s="1308"/>
      <c r="I404" s="1308"/>
      <c r="J404" s="1308"/>
      <c r="K404" s="1308"/>
      <c r="L404" s="1308"/>
      <c r="M404" s="1308"/>
      <c r="N404" s="1308"/>
      <c r="O404" s="1308"/>
      <c r="P404" s="357"/>
    </row>
    <row r="405" spans="1:16" s="291" customFormat="1">
      <c r="A405" s="1308" t="str">
        <f>$A$4</f>
        <v>FROM JANUARY 01, 2023 THROUGH DECEMBER 31, 2025</v>
      </c>
      <c r="B405" s="1308"/>
      <c r="C405" s="1308"/>
      <c r="D405" s="1308"/>
      <c r="E405" s="1308"/>
      <c r="F405" s="1308"/>
      <c r="G405" s="1308"/>
      <c r="H405" s="1308"/>
      <c r="I405" s="1308"/>
      <c r="J405" s="1308"/>
      <c r="K405" s="1308"/>
      <c r="L405" s="1308"/>
      <c r="M405" s="1308"/>
      <c r="N405" s="1308"/>
      <c r="O405" s="1308"/>
    </row>
    <row r="406" spans="1:16" s="291" customFormat="1">
      <c r="B406" s="293"/>
      <c r="P406" s="312"/>
    </row>
    <row r="407" spans="1:16" s="291" customFormat="1">
      <c r="A407" s="297" t="str">
        <f>$A$6</f>
        <v xml:space="preserve">DATA: _X_ BASE PERIOD _X_ FORECASTED PERIOD     </v>
      </c>
      <c r="B407" s="293"/>
      <c r="O407" s="312" t="str">
        <f>$O$6</f>
        <v>WPB-2.1.C</v>
      </c>
      <c r="P407" s="312"/>
    </row>
    <row r="408" spans="1:16" s="291" customFormat="1">
      <c r="A408" s="297" t="str">
        <f>$A$7</f>
        <v>TYPE OF FILING:___X___ORIGINAL______UPDATED</v>
      </c>
      <c r="B408" s="293"/>
      <c r="O408" s="312" t="s">
        <v>2215</v>
      </c>
      <c r="P408" s="312"/>
    </row>
    <row r="409" spans="1:16" s="291" customFormat="1">
      <c r="A409" s="297" t="str">
        <f>$A$8</f>
        <v>WORKPAPER REFERENCE NO(S).:</v>
      </c>
      <c r="B409" s="293"/>
      <c r="O409" s="312" t="str">
        <f>$O$8</f>
        <v>WITNESS: GORE</v>
      </c>
    </row>
    <row r="410" spans="1:16">
      <c r="A410" s="918"/>
      <c r="B410" s="919"/>
      <c r="C410" s="918"/>
      <c r="D410" s="918"/>
      <c r="E410" s="918"/>
      <c r="F410" s="918"/>
      <c r="G410" s="918"/>
      <c r="H410" s="918"/>
      <c r="I410" s="918"/>
      <c r="J410" s="918"/>
      <c r="K410" s="918"/>
      <c r="L410" s="918"/>
      <c r="M410" s="918"/>
      <c r="N410" s="918"/>
      <c r="O410" s="920"/>
    </row>
    <row r="411" spans="1:16">
      <c r="D411" s="1311" t="s">
        <v>1768</v>
      </c>
      <c r="E411" s="1311"/>
      <c r="F411" s="1311"/>
      <c r="G411" s="1311"/>
      <c r="I411" s="1311" t="s">
        <v>1769</v>
      </c>
      <c r="J411" s="1311"/>
      <c r="K411" s="1311"/>
      <c r="L411" s="1311"/>
      <c r="M411" s="1311"/>
      <c r="N411" s="1311"/>
      <c r="O411" s="1311"/>
    </row>
    <row r="412" spans="1:16">
      <c r="D412" s="360">
        <f>D353</f>
        <v>45017</v>
      </c>
      <c r="G412" s="360">
        <f>G353</f>
        <v>45046</v>
      </c>
      <c r="I412" s="360">
        <f>D412</f>
        <v>45017</v>
      </c>
      <c r="O412" s="360">
        <f>G412</f>
        <v>45046</v>
      </c>
    </row>
    <row r="413" spans="1:16">
      <c r="D413" s="361" t="s">
        <v>1757</v>
      </c>
      <c r="G413" s="361" t="s">
        <v>1757</v>
      </c>
      <c r="I413" s="361" t="s">
        <v>1758</v>
      </c>
      <c r="J413" s="361" t="s">
        <v>488</v>
      </c>
      <c r="L413" s="361" t="s">
        <v>1758</v>
      </c>
      <c r="O413" s="361" t="s">
        <v>1758</v>
      </c>
    </row>
    <row r="414" spans="1:16">
      <c r="A414" s="361" t="s">
        <v>1770</v>
      </c>
      <c r="B414" s="361" t="s">
        <v>368</v>
      </c>
      <c r="C414" s="361"/>
      <c r="D414" s="361" t="s">
        <v>437</v>
      </c>
      <c r="G414" s="361" t="s">
        <v>439</v>
      </c>
      <c r="I414" s="361" t="s">
        <v>437</v>
      </c>
      <c r="J414" s="361" t="s">
        <v>1771</v>
      </c>
      <c r="K414" s="361" t="s">
        <v>1772</v>
      </c>
      <c r="L414" s="361" t="s">
        <v>1759</v>
      </c>
      <c r="N414" s="361" t="s">
        <v>1760</v>
      </c>
      <c r="O414" s="361" t="s">
        <v>439</v>
      </c>
    </row>
    <row r="415" spans="1:16">
      <c r="A415" s="364" t="s">
        <v>316</v>
      </c>
      <c r="B415" s="364" t="s">
        <v>316</v>
      </c>
      <c r="C415" s="364" t="s">
        <v>451</v>
      </c>
      <c r="D415" s="364" t="s">
        <v>441</v>
      </c>
      <c r="E415" s="364" t="s">
        <v>442</v>
      </c>
      <c r="F415" s="364" t="s">
        <v>443</v>
      </c>
      <c r="G415" s="364" t="s">
        <v>441</v>
      </c>
      <c r="I415" s="364" t="s">
        <v>441</v>
      </c>
      <c r="J415" s="364" t="s">
        <v>1773</v>
      </c>
      <c r="K415" s="364" t="s">
        <v>1771</v>
      </c>
      <c r="L415" s="364" t="s">
        <v>355</v>
      </c>
      <c r="M415" s="364" t="s">
        <v>443</v>
      </c>
      <c r="N415" s="364" t="s">
        <v>1763</v>
      </c>
      <c r="O415" s="364" t="s">
        <v>441</v>
      </c>
    </row>
    <row r="416" spans="1:16">
      <c r="D416" s="361" t="s">
        <v>532</v>
      </c>
      <c r="E416" s="361" t="s">
        <v>541</v>
      </c>
      <c r="F416" s="361" t="s">
        <v>542</v>
      </c>
      <c r="G416" s="361" t="s">
        <v>1764</v>
      </c>
      <c r="I416" s="334" t="str">
        <f>"(5)"</f>
        <v>(5)</v>
      </c>
      <c r="J416" s="334" t="str">
        <f>"(6)"</f>
        <v>(6)</v>
      </c>
      <c r="K416" s="334" t="str">
        <f>"(7)"</f>
        <v>(7)</v>
      </c>
      <c r="L416" s="334" t="str">
        <f>"(8)"</f>
        <v>(8)</v>
      </c>
      <c r="M416" s="334" t="str">
        <f>"(9)"</f>
        <v>(9)</v>
      </c>
      <c r="N416" s="334" t="str">
        <f>"(10)"</f>
        <v>(10)</v>
      </c>
      <c r="O416" s="334" t="str">
        <f>"(11=5+7+8+9+10)"</f>
        <v>(11=5+7+8+9+10)</v>
      </c>
    </row>
    <row r="417" spans="1:15">
      <c r="D417" s="361" t="s">
        <v>320</v>
      </c>
      <c r="E417" s="361" t="s">
        <v>320</v>
      </c>
      <c r="F417" s="361" t="s">
        <v>320</v>
      </c>
      <c r="G417" s="361" t="s">
        <v>320</v>
      </c>
      <c r="I417" s="334" t="s">
        <v>320</v>
      </c>
      <c r="J417" s="334" t="s">
        <v>529</v>
      </c>
      <c r="K417" s="334" t="s">
        <v>320</v>
      </c>
      <c r="L417" s="334" t="s">
        <v>320</v>
      </c>
      <c r="M417" s="334" t="s">
        <v>320</v>
      </c>
      <c r="N417" s="334" t="s">
        <v>320</v>
      </c>
      <c r="O417" s="334" t="s">
        <v>320</v>
      </c>
    </row>
    <row r="418" spans="1:15">
      <c r="A418" s="361">
        <v>1</v>
      </c>
      <c r="B418" s="363" t="s">
        <v>411</v>
      </c>
      <c r="D418" s="361"/>
      <c r="E418" s="361"/>
      <c r="F418" s="361"/>
      <c r="G418" s="361"/>
      <c r="I418" s="334"/>
      <c r="J418" s="334"/>
      <c r="K418" s="334"/>
      <c r="L418" s="334"/>
      <c r="M418" s="334"/>
      <c r="N418" s="334"/>
      <c r="O418" s="334"/>
    </row>
    <row r="419" spans="1:15">
      <c r="A419" s="361">
        <f>A418+1</f>
        <v>2</v>
      </c>
      <c r="B419" s="365">
        <v>391.1</v>
      </c>
      <c r="C419" s="358" t="s">
        <v>412</v>
      </c>
      <c r="D419" s="1243">
        <f t="shared" ref="D419:D432" si="67">G305</f>
        <v>820366.66</v>
      </c>
      <c r="E419" s="1243">
        <v>0</v>
      </c>
      <c r="F419" s="1243">
        <v>0</v>
      </c>
      <c r="G419" s="1243">
        <f>SUM(D419:F419)</f>
        <v>820366.66</v>
      </c>
      <c r="H419" s="1243"/>
      <c r="I419" s="1245">
        <f t="shared" ref="I419:I432" si="68">O305</f>
        <v>85701.88</v>
      </c>
      <c r="J419" s="1243"/>
      <c r="K419" s="1243">
        <v>3418.19</v>
      </c>
      <c r="L419" s="1243">
        <v>0</v>
      </c>
      <c r="M419" s="1243">
        <f>F419</f>
        <v>0</v>
      </c>
      <c r="N419" s="1243">
        <v>0</v>
      </c>
      <c r="O419" s="1243">
        <f t="shared" ref="O419:O432" si="69">I419+K419+L419+M419+N419</f>
        <v>89120.07</v>
      </c>
    </row>
    <row r="420" spans="1:15">
      <c r="A420" s="361">
        <f t="shared" ref="A420:A433" si="70">A419+1</f>
        <v>3</v>
      </c>
      <c r="B420" s="365">
        <v>391.11</v>
      </c>
      <c r="C420" s="358" t="s">
        <v>413</v>
      </c>
      <c r="D420" s="1243">
        <f t="shared" si="67"/>
        <v>0</v>
      </c>
      <c r="E420" s="1243">
        <v>0</v>
      </c>
      <c r="F420" s="1243">
        <v>0</v>
      </c>
      <c r="G420" s="1243">
        <f t="shared" ref="G420:G427" si="71">SUM(D420:F420)</f>
        <v>0</v>
      </c>
      <c r="H420" s="1243"/>
      <c r="I420" s="1245">
        <f t="shared" si="68"/>
        <v>-18933.789999999997</v>
      </c>
      <c r="J420" s="1243"/>
      <c r="K420" s="1243">
        <v>0</v>
      </c>
      <c r="L420" s="1243">
        <v>0</v>
      </c>
      <c r="M420" s="1243">
        <f t="shared" ref="M420:M432" si="72">F420</f>
        <v>0</v>
      </c>
      <c r="N420" s="1243">
        <v>0</v>
      </c>
      <c r="O420" s="1243">
        <f t="shared" si="69"/>
        <v>-18933.789999999997</v>
      </c>
    </row>
    <row r="421" spans="1:15">
      <c r="A421" s="361">
        <f t="shared" si="70"/>
        <v>4</v>
      </c>
      <c r="B421" s="365">
        <v>391.12</v>
      </c>
      <c r="C421" s="358" t="s">
        <v>414</v>
      </c>
      <c r="D421" s="1243">
        <f t="shared" si="67"/>
        <v>91133.260000000009</v>
      </c>
      <c r="E421" s="1243">
        <v>0</v>
      </c>
      <c r="F421" s="1243">
        <v>0</v>
      </c>
      <c r="G421" s="1243">
        <f t="shared" si="71"/>
        <v>91133.260000000009</v>
      </c>
      <c r="H421" s="1243"/>
      <c r="I421" s="1245">
        <f t="shared" si="68"/>
        <v>38200.19</v>
      </c>
      <c r="J421" s="1243"/>
      <c r="K421" s="1243">
        <v>1518.89</v>
      </c>
      <c r="L421" s="1243">
        <v>0</v>
      </c>
      <c r="M421" s="1243">
        <f t="shared" si="72"/>
        <v>0</v>
      </c>
      <c r="N421" s="1243">
        <v>0</v>
      </c>
      <c r="O421" s="1243">
        <f t="shared" si="69"/>
        <v>39719.08</v>
      </c>
    </row>
    <row r="422" spans="1:15">
      <c r="A422" s="361">
        <f t="shared" si="70"/>
        <v>5</v>
      </c>
      <c r="B422" s="365">
        <v>392.2</v>
      </c>
      <c r="C422" s="358" t="s">
        <v>524</v>
      </c>
      <c r="D422" s="1243">
        <f t="shared" si="67"/>
        <v>95778</v>
      </c>
      <c r="E422" s="1243">
        <v>0</v>
      </c>
      <c r="F422" s="1243">
        <v>0</v>
      </c>
      <c r="G422" s="1243">
        <f t="shared" si="71"/>
        <v>95778</v>
      </c>
      <c r="H422" s="1243"/>
      <c r="I422" s="1245">
        <f t="shared" si="68"/>
        <v>63333.44999999999</v>
      </c>
      <c r="J422" s="1243"/>
      <c r="K422" s="1243">
        <v>71.84</v>
      </c>
      <c r="L422" s="1243">
        <v>0</v>
      </c>
      <c r="M422" s="1243">
        <f t="shared" si="72"/>
        <v>0</v>
      </c>
      <c r="N422" s="1243">
        <v>0</v>
      </c>
      <c r="O422" s="1243">
        <f t="shared" si="69"/>
        <v>63405.289999999986</v>
      </c>
    </row>
    <row r="423" spans="1:15">
      <c r="A423" s="361">
        <f t="shared" si="70"/>
        <v>6</v>
      </c>
      <c r="B423" s="365">
        <v>392.21</v>
      </c>
      <c r="C423" s="358" t="s">
        <v>415</v>
      </c>
      <c r="D423" s="1243">
        <f t="shared" si="67"/>
        <v>24462.2</v>
      </c>
      <c r="E423" s="1243">
        <v>0</v>
      </c>
      <c r="F423" s="1243">
        <v>0</v>
      </c>
      <c r="G423" s="1243">
        <f t="shared" si="71"/>
        <v>24462.2</v>
      </c>
      <c r="H423" s="1243"/>
      <c r="I423" s="1245">
        <f t="shared" si="68"/>
        <v>44754.01</v>
      </c>
      <c r="J423" s="1243"/>
      <c r="K423" s="1243">
        <v>0</v>
      </c>
      <c r="L423" s="1243">
        <v>0</v>
      </c>
      <c r="M423" s="1243">
        <f t="shared" si="72"/>
        <v>0</v>
      </c>
      <c r="N423" s="1243">
        <v>0</v>
      </c>
      <c r="O423" s="1243">
        <f t="shared" si="69"/>
        <v>44754.01</v>
      </c>
    </row>
    <row r="424" spans="1:15">
      <c r="A424" s="361">
        <f t="shared" si="70"/>
        <v>7</v>
      </c>
      <c r="B424" s="365">
        <v>393</v>
      </c>
      <c r="C424" s="358" t="s">
        <v>416</v>
      </c>
      <c r="D424" s="1243">
        <f t="shared" si="67"/>
        <v>0</v>
      </c>
      <c r="E424" s="1243">
        <v>0</v>
      </c>
      <c r="F424" s="1243">
        <v>0</v>
      </c>
      <c r="G424" s="1243">
        <f t="shared" si="71"/>
        <v>0</v>
      </c>
      <c r="H424" s="1243"/>
      <c r="I424" s="1245">
        <f t="shared" si="68"/>
        <v>0</v>
      </c>
      <c r="J424" s="1243"/>
      <c r="K424" s="1243">
        <v>0</v>
      </c>
      <c r="L424" s="1243">
        <v>0</v>
      </c>
      <c r="M424" s="1243">
        <f t="shared" si="72"/>
        <v>0</v>
      </c>
      <c r="N424" s="1243">
        <v>0</v>
      </c>
      <c r="O424" s="1243">
        <f t="shared" si="69"/>
        <v>0</v>
      </c>
    </row>
    <row r="425" spans="1:15">
      <c r="A425" s="361">
        <f t="shared" si="70"/>
        <v>8</v>
      </c>
      <c r="B425" s="365">
        <v>394.1</v>
      </c>
      <c r="C425" s="358" t="s">
        <v>417</v>
      </c>
      <c r="D425" s="1243">
        <f t="shared" si="67"/>
        <v>9739</v>
      </c>
      <c r="E425" s="1243">
        <v>0</v>
      </c>
      <c r="F425" s="1243">
        <v>0</v>
      </c>
      <c r="G425" s="1243">
        <f t="shared" si="71"/>
        <v>9739</v>
      </c>
      <c r="H425" s="1243"/>
      <c r="I425" s="1245">
        <f t="shared" si="68"/>
        <v>3783.01</v>
      </c>
      <c r="J425" s="1243"/>
      <c r="K425" s="1243">
        <v>32.46</v>
      </c>
      <c r="L425" s="1243">
        <v>0</v>
      </c>
      <c r="M425" s="1243">
        <f t="shared" si="72"/>
        <v>0</v>
      </c>
      <c r="N425" s="1243">
        <v>0</v>
      </c>
      <c r="O425" s="1243">
        <f t="shared" si="69"/>
        <v>3815.4700000000003</v>
      </c>
    </row>
    <row r="426" spans="1:15">
      <c r="A426" s="361">
        <f t="shared" si="70"/>
        <v>9</v>
      </c>
      <c r="B426" s="365">
        <v>394.11</v>
      </c>
      <c r="C426" s="358" t="s">
        <v>418</v>
      </c>
      <c r="D426" s="1243">
        <f t="shared" si="67"/>
        <v>0</v>
      </c>
      <c r="E426" s="1243">
        <v>0</v>
      </c>
      <c r="F426" s="1243">
        <v>0</v>
      </c>
      <c r="G426" s="1243">
        <f t="shared" si="71"/>
        <v>0</v>
      </c>
      <c r="H426" s="1243"/>
      <c r="I426" s="1245">
        <f t="shared" si="68"/>
        <v>-26071.5</v>
      </c>
      <c r="J426" s="1243"/>
      <c r="K426" s="1243">
        <v>0</v>
      </c>
      <c r="L426" s="1243">
        <v>0</v>
      </c>
      <c r="M426" s="1243">
        <f t="shared" si="72"/>
        <v>0</v>
      </c>
      <c r="N426" s="1243">
        <v>0</v>
      </c>
      <c r="O426" s="1243">
        <f t="shared" si="69"/>
        <v>-26071.5</v>
      </c>
    </row>
    <row r="427" spans="1:15">
      <c r="A427" s="361">
        <f t="shared" si="70"/>
        <v>10</v>
      </c>
      <c r="B427" s="365">
        <v>394.13</v>
      </c>
      <c r="C427" s="358" t="s">
        <v>515</v>
      </c>
      <c r="D427" s="1243">
        <f t="shared" si="67"/>
        <v>0</v>
      </c>
      <c r="E427" s="1243">
        <v>0</v>
      </c>
      <c r="F427" s="1243">
        <v>0</v>
      </c>
      <c r="G427" s="1243">
        <f t="shared" si="71"/>
        <v>0</v>
      </c>
      <c r="H427" s="1243"/>
      <c r="I427" s="1245">
        <f t="shared" si="68"/>
        <v>37937.360000000001</v>
      </c>
      <c r="J427" s="1243"/>
      <c r="K427" s="1243">
        <v>0</v>
      </c>
      <c r="L427" s="1243">
        <v>0</v>
      </c>
      <c r="M427" s="1243">
        <f t="shared" si="72"/>
        <v>0</v>
      </c>
      <c r="N427" s="1243">
        <v>0</v>
      </c>
      <c r="O427" s="1243">
        <f t="shared" si="69"/>
        <v>37937.360000000001</v>
      </c>
    </row>
    <row r="428" spans="1:15">
      <c r="A428" s="361">
        <f t="shared" si="70"/>
        <v>11</v>
      </c>
      <c r="B428" s="365">
        <v>394.2</v>
      </c>
      <c r="C428" s="358" t="s">
        <v>420</v>
      </c>
      <c r="D428" s="1243">
        <f t="shared" si="67"/>
        <v>0</v>
      </c>
      <c r="E428" s="1243">
        <v>0</v>
      </c>
      <c r="F428" s="1243">
        <v>0</v>
      </c>
      <c r="G428" s="1243">
        <f>SUM(D428:F428)</f>
        <v>0</v>
      </c>
      <c r="H428" s="1243"/>
      <c r="I428" s="1245">
        <f t="shared" si="68"/>
        <v>185.21</v>
      </c>
      <c r="J428" s="1243"/>
      <c r="K428" s="1243">
        <v>0</v>
      </c>
      <c r="L428" s="1243">
        <v>0</v>
      </c>
      <c r="M428" s="1243">
        <f t="shared" si="72"/>
        <v>0</v>
      </c>
      <c r="N428" s="1243">
        <v>0</v>
      </c>
      <c r="O428" s="1243">
        <f t="shared" si="69"/>
        <v>185.21</v>
      </c>
    </row>
    <row r="429" spans="1:15">
      <c r="A429" s="361">
        <f t="shared" si="70"/>
        <v>12</v>
      </c>
      <c r="B429" s="365">
        <v>394.3</v>
      </c>
      <c r="C429" s="358" t="s">
        <v>1602</v>
      </c>
      <c r="D429" s="1243">
        <f t="shared" si="67"/>
        <v>4841734.4400000004</v>
      </c>
      <c r="E429" s="1243">
        <v>30363.75</v>
      </c>
      <c r="F429" s="1243">
        <v>-7066.68</v>
      </c>
      <c r="G429" s="1243">
        <f>SUM(D429:F429)</f>
        <v>4865031.5100000007</v>
      </c>
      <c r="H429" s="1243"/>
      <c r="I429" s="1245">
        <f t="shared" si="68"/>
        <v>1562004.7999999998</v>
      </c>
      <c r="J429" s="1243"/>
      <c r="K429" s="1243">
        <v>16177.94</v>
      </c>
      <c r="L429" s="1243">
        <v>0</v>
      </c>
      <c r="M429" s="1243">
        <f t="shared" si="72"/>
        <v>-7066.68</v>
      </c>
      <c r="N429" s="1243">
        <v>0</v>
      </c>
      <c r="O429" s="1243">
        <f t="shared" si="69"/>
        <v>1571116.0599999998</v>
      </c>
    </row>
    <row r="430" spans="1:15">
      <c r="A430" s="361">
        <f t="shared" si="70"/>
        <v>13</v>
      </c>
      <c r="B430" s="365">
        <v>395</v>
      </c>
      <c r="C430" s="358" t="s">
        <v>422</v>
      </c>
      <c r="D430" s="1243">
        <f t="shared" si="67"/>
        <v>4162.05</v>
      </c>
      <c r="E430" s="1243">
        <v>0</v>
      </c>
      <c r="F430" s="1243">
        <v>0</v>
      </c>
      <c r="G430" s="1243">
        <f>SUM(D430:F430)</f>
        <v>4162.05</v>
      </c>
      <c r="H430" s="1243"/>
      <c r="I430" s="1245">
        <f t="shared" si="68"/>
        <v>3896.6200000000003</v>
      </c>
      <c r="J430" s="1243"/>
      <c r="K430" s="1243">
        <v>17.34</v>
      </c>
      <c r="L430" s="1243">
        <v>0</v>
      </c>
      <c r="M430" s="1243">
        <f t="shared" si="72"/>
        <v>0</v>
      </c>
      <c r="N430" s="1243">
        <v>0</v>
      </c>
      <c r="O430" s="1243">
        <f t="shared" si="69"/>
        <v>3913.9600000000005</v>
      </c>
    </row>
    <row r="431" spans="1:15">
      <c r="A431" s="361">
        <f t="shared" si="70"/>
        <v>14</v>
      </c>
      <c r="B431" s="365">
        <v>396</v>
      </c>
      <c r="C431" s="358" t="s">
        <v>423</v>
      </c>
      <c r="D431" s="1243">
        <f t="shared" si="67"/>
        <v>185547</v>
      </c>
      <c r="E431" s="1243">
        <v>0</v>
      </c>
      <c r="F431" s="1243">
        <v>0</v>
      </c>
      <c r="G431" s="1243">
        <f>SUM(D431:F431)</f>
        <v>185547</v>
      </c>
      <c r="H431" s="1243"/>
      <c r="I431" s="1245">
        <f t="shared" si="68"/>
        <v>171938.14</v>
      </c>
      <c r="J431" s="1243"/>
      <c r="K431" s="1243">
        <v>0</v>
      </c>
      <c r="L431" s="1243">
        <v>0</v>
      </c>
      <c r="M431" s="1243">
        <f t="shared" si="72"/>
        <v>0</v>
      </c>
      <c r="N431" s="1243">
        <v>0</v>
      </c>
      <c r="O431" s="1243">
        <f t="shared" si="69"/>
        <v>171938.14</v>
      </c>
    </row>
    <row r="432" spans="1:15">
      <c r="A432" s="361">
        <f t="shared" si="70"/>
        <v>15</v>
      </c>
      <c r="B432" s="365">
        <v>398</v>
      </c>
      <c r="C432" s="358" t="s">
        <v>424</v>
      </c>
      <c r="D432" s="1244">
        <f t="shared" si="67"/>
        <v>112073.83000000002</v>
      </c>
      <c r="E432" s="1244">
        <v>11315.49</v>
      </c>
      <c r="F432" s="1244">
        <v>0</v>
      </c>
      <c r="G432" s="1244">
        <f>SUM(D432:F432)</f>
        <v>123389.32000000002</v>
      </c>
      <c r="H432" s="1243"/>
      <c r="I432" s="1246">
        <f t="shared" si="68"/>
        <v>63209.64</v>
      </c>
      <c r="J432" s="1243"/>
      <c r="K432" s="1244">
        <v>654.39</v>
      </c>
      <c r="L432" s="1244">
        <v>0</v>
      </c>
      <c r="M432" s="1244">
        <f t="shared" si="72"/>
        <v>0</v>
      </c>
      <c r="N432" s="1244">
        <v>0</v>
      </c>
      <c r="O432" s="1244">
        <f t="shared" si="69"/>
        <v>63864.03</v>
      </c>
    </row>
    <row r="433" spans="1:15">
      <c r="A433" s="361">
        <f t="shared" si="70"/>
        <v>16</v>
      </c>
      <c r="B433" s="367"/>
      <c r="C433" s="358" t="s">
        <v>425</v>
      </c>
      <c r="D433" s="1243">
        <f>SUM(D419:D432)</f>
        <v>6184996.4400000004</v>
      </c>
      <c r="E433" s="1243">
        <f>SUM(E419:E432)</f>
        <v>41679.24</v>
      </c>
      <c r="F433" s="1243">
        <f>SUM(F419:F432)</f>
        <v>-7066.68</v>
      </c>
      <c r="G433" s="1243">
        <f>SUM(G419:G432)</f>
        <v>6219609.0000000009</v>
      </c>
      <c r="H433" s="1243"/>
      <c r="I433" s="1243">
        <f>SUM(I419:I432)</f>
        <v>2029939.0199999998</v>
      </c>
      <c r="J433" s="1243"/>
      <c r="K433" s="1243">
        <f>SUM(K419:K432)</f>
        <v>21891.05</v>
      </c>
      <c r="L433" s="1243">
        <f>SUM(L419:L432)</f>
        <v>0</v>
      </c>
      <c r="M433" s="1243">
        <f>SUM(M419:M432)</f>
        <v>-7066.68</v>
      </c>
      <c r="N433" s="1243">
        <f>SUM(N419:N432)</f>
        <v>0</v>
      </c>
      <c r="O433" s="1243">
        <f>SUM(O419:O432)</f>
        <v>2044763.39</v>
      </c>
    </row>
    <row r="434" spans="1:15">
      <c r="A434" s="361"/>
      <c r="D434" s="1243"/>
      <c r="E434" s="1243"/>
      <c r="F434" s="1243"/>
      <c r="G434" s="1243"/>
      <c r="H434" s="1243"/>
      <c r="I434" s="1243"/>
      <c r="J434" s="1243"/>
      <c r="K434" s="1243"/>
      <c r="L434" s="1243"/>
      <c r="M434" s="1243"/>
      <c r="N434" s="1243"/>
      <c r="O434" s="1243"/>
    </row>
    <row r="435" spans="1:15">
      <c r="A435" s="361">
        <f>A433+1</f>
        <v>17</v>
      </c>
      <c r="B435" s="363" t="s">
        <v>1038</v>
      </c>
      <c r="D435" s="1243"/>
      <c r="E435" s="1243"/>
      <c r="F435" s="1243"/>
      <c r="G435" s="1243"/>
      <c r="H435" s="1243"/>
      <c r="I435" s="1243"/>
      <c r="J435" s="1243"/>
      <c r="K435" s="1243"/>
      <c r="L435" s="1243"/>
      <c r="M435" s="1243"/>
      <c r="N435" s="1243"/>
      <c r="O435" s="1243"/>
    </row>
    <row r="436" spans="1:15">
      <c r="A436" s="361">
        <f>A435+1</f>
        <v>18</v>
      </c>
      <c r="B436" s="365">
        <v>378.21</v>
      </c>
      <c r="C436" s="358" t="s">
        <v>1037</v>
      </c>
      <c r="D436" s="1244">
        <f>G322</f>
        <v>-777092</v>
      </c>
      <c r="E436" s="1244">
        <v>0</v>
      </c>
      <c r="F436" s="1244">
        <v>0</v>
      </c>
      <c r="G436" s="1244">
        <f>SUM(D436:F436)</f>
        <v>-777092</v>
      </c>
      <c r="H436" s="1243"/>
      <c r="I436" s="1244">
        <f>O322</f>
        <v>-185065.60000000001</v>
      </c>
      <c r="J436" s="1243"/>
      <c r="K436" s="1244">
        <v>-2151.38</v>
      </c>
      <c r="L436" s="1244">
        <v>0</v>
      </c>
      <c r="M436" s="1244"/>
      <c r="N436" s="1244">
        <v>0</v>
      </c>
      <c r="O436" s="1244">
        <f>I436+K436+L436+M436+N436</f>
        <v>-187216.98</v>
      </c>
    </row>
    <row r="437" spans="1:15">
      <c r="A437" s="361">
        <f>A436+1</f>
        <v>19</v>
      </c>
      <c r="B437" s="370"/>
      <c r="C437" s="358" t="s">
        <v>1579</v>
      </c>
      <c r="D437" s="1243">
        <f>SUM(D436)</f>
        <v>-777092</v>
      </c>
      <c r="E437" s="1243">
        <f>SUM(E436)</f>
        <v>0</v>
      </c>
      <c r="F437" s="1243">
        <f>SUM(F436)</f>
        <v>0</v>
      </c>
      <c r="G437" s="1243">
        <f>SUM(G436)</f>
        <v>-777092</v>
      </c>
      <c r="H437" s="1243"/>
      <c r="I437" s="1243">
        <f>SUM(I436)</f>
        <v>-185065.60000000001</v>
      </c>
      <c r="J437" s="1243"/>
      <c r="K437" s="1243">
        <f>SUM(K436)</f>
        <v>-2151.38</v>
      </c>
      <c r="L437" s="1243">
        <f>SUM(L436)</f>
        <v>0</v>
      </c>
      <c r="M437" s="1243">
        <f>SUM(M436)</f>
        <v>0</v>
      </c>
      <c r="N437" s="1243">
        <f>SUM(N436)</f>
        <v>0</v>
      </c>
      <c r="O437" s="1243">
        <f>SUM(O436)</f>
        <v>-187216.98</v>
      </c>
    </row>
    <row r="438" spans="1:15">
      <c r="A438" s="361"/>
      <c r="B438" s="370"/>
      <c r="D438" s="1243"/>
      <c r="E438" s="1243"/>
      <c r="F438" s="1243"/>
      <c r="G438" s="1243"/>
      <c r="H438" s="1243"/>
      <c r="I438" s="1243"/>
      <c r="J438" s="1243"/>
      <c r="K438" s="1243"/>
      <c r="L438" s="1243"/>
      <c r="M438" s="1243"/>
      <c r="N438" s="1243"/>
      <c r="O438" s="1243"/>
    </row>
    <row r="439" spans="1:15">
      <c r="A439" s="361">
        <f>A437+1</f>
        <v>20</v>
      </c>
      <c r="B439" s="370"/>
      <c r="C439" s="358" t="s">
        <v>2037</v>
      </c>
      <c r="D439" s="1243">
        <f>D366+D399+D433+D437</f>
        <v>724494362.09135342</v>
      </c>
      <c r="E439" s="1243">
        <f>E366+E399+E433+E437</f>
        <v>1571146.4100000008</v>
      </c>
      <c r="F439" s="1243">
        <f>F366+F399+F433+F437</f>
        <v>-3599521.7280375701</v>
      </c>
      <c r="G439" s="1243">
        <f>G366+G399+G433+G437</f>
        <v>722465986.77331579</v>
      </c>
      <c r="H439" s="1243"/>
      <c r="I439" s="1243">
        <f>I366+I399+I433+I437</f>
        <v>170518962.36714524</v>
      </c>
      <c r="J439" s="1243"/>
      <c r="K439" s="1243">
        <f>K366+K399+K433+K437</f>
        <v>1756735.8760000002</v>
      </c>
      <c r="L439" s="1243">
        <f>L366+L399+L433+L437</f>
        <v>0</v>
      </c>
      <c r="M439" s="1243">
        <f>M366+M399+M433+M437</f>
        <v>-3599521.7280375701</v>
      </c>
      <c r="N439" s="1243">
        <f>N366+N399+N433+N437</f>
        <v>-93656.295572000003</v>
      </c>
      <c r="O439" s="1243">
        <f>O366+O399+O433+O437</f>
        <v>168582520.21953562</v>
      </c>
    </row>
    <row r="440" spans="1:15">
      <c r="A440" s="361"/>
      <c r="B440" s="370"/>
      <c r="D440" s="1243"/>
      <c r="E440" s="1243"/>
      <c r="F440" s="1243"/>
      <c r="G440" s="1243"/>
      <c r="H440" s="1243"/>
      <c r="I440" s="1243"/>
      <c r="J440" s="1243"/>
      <c r="K440" s="1243"/>
      <c r="L440" s="1243"/>
      <c r="M440" s="1243"/>
      <c r="N440" s="1243"/>
      <c r="O440" s="1243"/>
    </row>
    <row r="441" spans="1:15">
      <c r="A441" s="361">
        <f>A439+1</f>
        <v>21</v>
      </c>
      <c r="B441" s="370"/>
      <c r="C441" s="358" t="s">
        <v>2038</v>
      </c>
      <c r="D441" s="1243">
        <v>0</v>
      </c>
      <c r="E441" s="1249">
        <v>0</v>
      </c>
      <c r="F441" s="1249">
        <v>0</v>
      </c>
      <c r="G441" s="1249">
        <f>SUM(D441:F441)</f>
        <v>0</v>
      </c>
      <c r="H441" s="1243"/>
      <c r="I441" s="1243">
        <f>O327</f>
        <v>-5733389.8799999999</v>
      </c>
      <c r="J441" s="1243"/>
      <c r="K441" s="1243"/>
      <c r="L441" s="1243"/>
      <c r="M441" s="1243"/>
      <c r="N441" s="1243">
        <v>73059.509999999995</v>
      </c>
      <c r="O441" s="1243">
        <f>I441+K441+L441+M441+N441</f>
        <v>-5660330.3700000001</v>
      </c>
    </row>
    <row r="442" spans="1:15">
      <c r="A442" s="361"/>
      <c r="B442" s="370"/>
      <c r="C442" s="368"/>
      <c r="D442" s="1243"/>
      <c r="E442" s="1243"/>
      <c r="F442" s="1243"/>
      <c r="G442" s="1243"/>
      <c r="H442" s="1243"/>
      <c r="I442" s="1243"/>
      <c r="J442" s="1243"/>
      <c r="K442" s="1243"/>
      <c r="L442" s="1243"/>
      <c r="M442" s="1243"/>
      <c r="N442" s="1243"/>
      <c r="O442" s="1243"/>
    </row>
    <row r="443" spans="1:15">
      <c r="A443" s="361">
        <f>A441+1</f>
        <v>22</v>
      </c>
      <c r="C443" s="358" t="s">
        <v>1603</v>
      </c>
      <c r="D443" s="1247">
        <f>D439+D441</f>
        <v>724494362.09135342</v>
      </c>
      <c r="E443" s="1247">
        <f t="shared" ref="E443:O443" si="73">E439+E441</f>
        <v>1571146.4100000008</v>
      </c>
      <c r="F443" s="1247">
        <f t="shared" si="73"/>
        <v>-3599521.7280375701</v>
      </c>
      <c r="G443" s="1247">
        <f t="shared" si="73"/>
        <v>722465986.77331579</v>
      </c>
      <c r="H443" s="1243"/>
      <c r="I443" s="1247">
        <f t="shared" si="73"/>
        <v>164785572.48714525</v>
      </c>
      <c r="J443" s="1243"/>
      <c r="K443" s="1247">
        <f t="shared" si="73"/>
        <v>1756735.8760000002</v>
      </c>
      <c r="L443" s="1247">
        <f t="shared" si="73"/>
        <v>0</v>
      </c>
      <c r="M443" s="1247">
        <f t="shared" si="73"/>
        <v>-3599521.7280375701</v>
      </c>
      <c r="N443" s="1247">
        <f t="shared" si="73"/>
        <v>-20596.785572000008</v>
      </c>
      <c r="O443" s="1247">
        <f t="shared" si="73"/>
        <v>162922189.84953561</v>
      </c>
    </row>
    <row r="444" spans="1:15">
      <c r="A444" s="361"/>
      <c r="D444" s="1243"/>
      <c r="E444" s="1243"/>
      <c r="F444" s="1243"/>
      <c r="G444" s="1243"/>
      <c r="H444" s="1243"/>
      <c r="I444" s="1243"/>
      <c r="J444" s="1243"/>
      <c r="K444" s="1243"/>
      <c r="L444" s="1243"/>
      <c r="M444" s="1243"/>
      <c r="N444" s="1243"/>
      <c r="O444" s="1243"/>
    </row>
    <row r="445" spans="1:15">
      <c r="A445" s="361"/>
      <c r="D445" s="1243"/>
      <c r="E445" s="1243"/>
      <c r="F445" s="1243"/>
      <c r="G445" s="1243"/>
      <c r="H445" s="1243"/>
      <c r="I445" s="1243"/>
      <c r="J445" s="1243"/>
      <c r="K445" s="1243"/>
      <c r="L445" s="1243"/>
      <c r="M445" s="1243"/>
      <c r="N445" s="1243"/>
      <c r="O445" s="1243"/>
    </row>
    <row r="446" spans="1:15">
      <c r="A446" s="361">
        <f>A443+1</f>
        <v>23</v>
      </c>
      <c r="B446" s="363" t="s">
        <v>1774</v>
      </c>
      <c r="D446" s="1243"/>
      <c r="E446" s="1243"/>
      <c r="F446" s="1243"/>
      <c r="G446" s="1243"/>
      <c r="H446" s="1243"/>
      <c r="I446" s="1243"/>
      <c r="J446" s="1243"/>
      <c r="K446" s="1243"/>
      <c r="L446" s="1243"/>
      <c r="M446" s="1243"/>
      <c r="N446" s="1243"/>
      <c r="O446" s="1243"/>
    </row>
    <row r="447" spans="1:15">
      <c r="A447" s="361">
        <f t="shared" ref="A447:A452" si="74">A446+1</f>
        <v>24</v>
      </c>
      <c r="B447" s="365">
        <v>376</v>
      </c>
      <c r="C447" s="358" t="s">
        <v>1775</v>
      </c>
      <c r="D447" s="1243">
        <f>G333</f>
        <v>4864508.0100000007</v>
      </c>
      <c r="E447" s="1243">
        <f>'WPB-2.1.D SMRP'!E156</f>
        <v>805780.17999999993</v>
      </c>
      <c r="F447" s="1243">
        <f>'WPB-2.1.D SMRP'!F156</f>
        <v>0</v>
      </c>
      <c r="G447" s="1243">
        <f>SUM(D447:F447)</f>
        <v>5670288.1900000004</v>
      </c>
      <c r="H447" s="1243"/>
      <c r="I447" s="1243">
        <f>O333</f>
        <v>-4790.9119999999994</v>
      </c>
      <c r="J447" s="1243"/>
      <c r="K447" s="1243">
        <f>'WPB-2.1.D SMRP'!K156</f>
        <v>7638.1909999999998</v>
      </c>
      <c r="L447" s="1243">
        <v>0</v>
      </c>
      <c r="M447" s="1243">
        <f>F447</f>
        <v>0</v>
      </c>
      <c r="N447" s="1243">
        <f>'WPB-2.1.D SMRP'!N156</f>
        <v>-2568.83</v>
      </c>
      <c r="O447" s="1243">
        <f>I447+K447+L447+M447+N447</f>
        <v>278.44900000000052</v>
      </c>
    </row>
    <row r="448" spans="1:15">
      <c r="A448" s="361">
        <f t="shared" si="74"/>
        <v>25</v>
      </c>
      <c r="B448" s="365">
        <v>378.2</v>
      </c>
      <c r="C448" s="358" t="s">
        <v>1776</v>
      </c>
      <c r="D448" s="1243">
        <f>G334</f>
        <v>-30913.550000000003</v>
      </c>
      <c r="E448" s="1243">
        <f>'WPB-2.1.D SMRP'!E157</f>
        <v>0</v>
      </c>
      <c r="F448" s="1243">
        <f>'WPB-2.1.D SMRP'!F157</f>
        <v>-1679.98</v>
      </c>
      <c r="G448" s="1243">
        <f>SUM(D448:F448)</f>
        <v>-32593.530000000002</v>
      </c>
      <c r="H448" s="1243"/>
      <c r="I448" s="1243">
        <f>O334</f>
        <v>-32646.998000000003</v>
      </c>
      <c r="J448" s="1243"/>
      <c r="K448" s="1243">
        <f>'WPB-2.1.D SMRP'!K157</f>
        <v>-66.763999999999996</v>
      </c>
      <c r="L448" s="1243">
        <v>0</v>
      </c>
      <c r="M448" s="1243">
        <f>F448</f>
        <v>-1679.98</v>
      </c>
      <c r="N448" s="1243">
        <f>'WPB-2.1.D SMRP'!N157</f>
        <v>-5246.21</v>
      </c>
      <c r="O448" s="1243">
        <f>I448+K448+L448+M448+N448</f>
        <v>-39639.952000000005</v>
      </c>
    </row>
    <row r="449" spans="1:16">
      <c r="A449" s="361">
        <f t="shared" si="74"/>
        <v>26</v>
      </c>
      <c r="B449" s="365">
        <v>380</v>
      </c>
      <c r="C449" s="358" t="s">
        <v>1777</v>
      </c>
      <c r="D449" s="1243">
        <f>G335</f>
        <v>2387037.1086467677</v>
      </c>
      <c r="E449" s="1243">
        <f>'WPB-2.1.D SMRP'!E158</f>
        <v>1074077.54</v>
      </c>
      <c r="F449" s="1243">
        <f>'WPB-2.1.D SMRP'!F158</f>
        <v>-189065.28196242961</v>
      </c>
      <c r="G449" s="1243">
        <f>SUM(D449:F449)</f>
        <v>3272049.3666843381</v>
      </c>
      <c r="H449" s="1243"/>
      <c r="I449" s="1243">
        <f>O335</f>
        <v>-1218987.1331452322</v>
      </c>
      <c r="J449" s="1243"/>
      <c r="K449" s="1243">
        <f>'WPB-2.1.D SMRP'!K158</f>
        <v>9384.6450000000004</v>
      </c>
      <c r="L449" s="1243">
        <v>0</v>
      </c>
      <c r="M449" s="1243">
        <f>F449</f>
        <v>-189065.28196242961</v>
      </c>
      <c r="N449" s="1243">
        <f>'WPB-2.1.D SMRP'!N158</f>
        <v>-125279.384428</v>
      </c>
      <c r="O449" s="1243">
        <f>I449+K449+L449+M449+N449</f>
        <v>-1523947.1545356619</v>
      </c>
    </row>
    <row r="450" spans="1:16">
      <c r="A450" s="361">
        <f t="shared" si="74"/>
        <v>27</v>
      </c>
      <c r="B450" s="365">
        <v>382</v>
      </c>
      <c r="C450" s="358" t="s">
        <v>1778</v>
      </c>
      <c r="D450" s="1243">
        <f>G336</f>
        <v>-1245.1700000000005</v>
      </c>
      <c r="E450" s="1243">
        <f>'WPB-2.1.D SMRP'!E159</f>
        <v>374.88</v>
      </c>
      <c r="F450" s="1243">
        <f>'WPB-2.1.D SMRP'!F159</f>
        <v>-5647.4500000000007</v>
      </c>
      <c r="G450" s="1243">
        <f>SUM(D450:F450)</f>
        <v>-6517.7400000000016</v>
      </c>
      <c r="H450" s="1243"/>
      <c r="I450" s="1243">
        <f>O336</f>
        <v>-4109.5880000000006</v>
      </c>
      <c r="J450" s="1243"/>
      <c r="K450" s="1243">
        <f>'WPB-2.1.D SMRP'!K159</f>
        <v>-5.8889999999999993</v>
      </c>
      <c r="L450" s="1243">
        <v>0</v>
      </c>
      <c r="M450" s="1243">
        <f>F450</f>
        <v>-5647.4500000000007</v>
      </c>
      <c r="N450" s="1243">
        <f>'WPB-2.1.D SMRP'!N159</f>
        <v>0</v>
      </c>
      <c r="O450" s="1243">
        <f>I450+K450+L450+M450+N450</f>
        <v>-9762.9270000000015</v>
      </c>
    </row>
    <row r="451" spans="1:16">
      <c r="A451" s="361">
        <f t="shared" si="74"/>
        <v>28</v>
      </c>
      <c r="B451" s="365">
        <v>383</v>
      </c>
      <c r="C451" s="358" t="s">
        <v>1779</v>
      </c>
      <c r="D451" s="1244">
        <f>G337</f>
        <v>-576.16000000000008</v>
      </c>
      <c r="E451" s="1244">
        <f>'WPB-2.1.D SMRP'!E160</f>
        <v>0</v>
      </c>
      <c r="F451" s="1244">
        <f>'WPB-2.1.D SMRP'!F160</f>
        <v>-171.39000000000001</v>
      </c>
      <c r="G451" s="1244">
        <f>SUM(D451:F451)</f>
        <v>-747.55000000000007</v>
      </c>
      <c r="H451" s="1243"/>
      <c r="I451" s="1244">
        <f>O337</f>
        <v>-577.62600000000009</v>
      </c>
      <c r="J451" s="1243"/>
      <c r="K451" s="1244">
        <f>'WPB-2.1.D SMRP'!K160</f>
        <v>-1.139</v>
      </c>
      <c r="L451" s="1244">
        <v>0</v>
      </c>
      <c r="M451" s="1244">
        <f>F451</f>
        <v>-171.39000000000001</v>
      </c>
      <c r="N451" s="1244">
        <f>'WPB-2.1.D SMRP'!N160</f>
        <v>0</v>
      </c>
      <c r="O451" s="1244">
        <f>I451+K451+L451+M451+N451</f>
        <v>-750.15500000000009</v>
      </c>
    </row>
    <row r="452" spans="1:16">
      <c r="A452" s="361">
        <f t="shared" si="74"/>
        <v>29</v>
      </c>
      <c r="C452" s="358" t="s">
        <v>1780</v>
      </c>
      <c r="D452" s="1243">
        <f>SUM(D447:D451)</f>
        <v>7218810.238646768</v>
      </c>
      <c r="E452" s="1243">
        <f>SUM(E447:E451)</f>
        <v>1880232.5999999999</v>
      </c>
      <c r="F452" s="1243">
        <f>SUM(F447:F451)</f>
        <v>-196564.10196242965</v>
      </c>
      <c r="G452" s="1243">
        <f>SUM(G447:G451)</f>
        <v>8902478.7366843373</v>
      </c>
      <c r="H452" s="1243"/>
      <c r="I452" s="1243">
        <f>SUM(I447:I451)</f>
        <v>-1261112.2571452321</v>
      </c>
      <c r="J452" s="1243"/>
      <c r="K452" s="1243">
        <f>SUM(K447:K451)</f>
        <v>16949.044000000002</v>
      </c>
      <c r="L452" s="1243">
        <f>SUM(L447:L451)</f>
        <v>0</v>
      </c>
      <c r="M452" s="1243">
        <f>SUM(M447:M451)</f>
        <v>-196564.10196242965</v>
      </c>
      <c r="N452" s="1243">
        <f>SUM(N447:N451)</f>
        <v>-133094.424428</v>
      </c>
      <c r="O452" s="1243">
        <f>SUM(O447:O451)</f>
        <v>-1573821.7395356619</v>
      </c>
    </row>
    <row r="453" spans="1:16">
      <c r="A453" s="361"/>
      <c r="D453" s="1243"/>
      <c r="E453" s="1243"/>
      <c r="F453" s="1243"/>
      <c r="G453" s="1243"/>
      <c r="H453" s="1243"/>
      <c r="I453" s="1243"/>
      <c r="J453" s="1243"/>
      <c r="K453" s="1243"/>
      <c r="L453" s="1243"/>
      <c r="M453" s="1243"/>
      <c r="N453" s="1243"/>
      <c r="O453" s="1243"/>
    </row>
    <row r="454" spans="1:16" ht="13.5" thickBot="1">
      <c r="A454" s="361">
        <f>A452+1</f>
        <v>30</v>
      </c>
      <c r="C454" s="358" t="s">
        <v>447</v>
      </c>
      <c r="D454" s="1248">
        <f>D443+D452</f>
        <v>731713172.33000016</v>
      </c>
      <c r="E454" s="1248">
        <f>E443+E452</f>
        <v>3451379.0100000007</v>
      </c>
      <c r="F454" s="1248">
        <f>F443+F452</f>
        <v>-3796085.8299999996</v>
      </c>
      <c r="G454" s="1248">
        <f>G443+G452</f>
        <v>731368465.51000011</v>
      </c>
      <c r="H454" s="1243"/>
      <c r="I454" s="1248">
        <f>I443+I452</f>
        <v>163524460.23000002</v>
      </c>
      <c r="J454" s="1243"/>
      <c r="K454" s="1248">
        <f>K443+K452</f>
        <v>1773684.9200000002</v>
      </c>
      <c r="L454" s="1248">
        <f>L443+L452</f>
        <v>0</v>
      </c>
      <c r="M454" s="1248">
        <f>M443+M452</f>
        <v>-3796085.8299999996</v>
      </c>
      <c r="N454" s="1248">
        <f>N443+N452</f>
        <v>-153691.21000000002</v>
      </c>
      <c r="O454" s="1248">
        <f>O443+O452</f>
        <v>161348368.10999995</v>
      </c>
    </row>
    <row r="455" spans="1:16" ht="13.5" thickTop="1"/>
    <row r="457" spans="1:16" s="291" customFormat="1">
      <c r="A457" s="1308" t="str">
        <f>$A$1</f>
        <v>COLUMBIA GAS OF KENTUCKY, INC.</v>
      </c>
      <c r="B457" s="1308"/>
      <c r="C457" s="1308"/>
      <c r="D457" s="1308"/>
      <c r="E457" s="1308"/>
      <c r="F457" s="1308"/>
      <c r="G457" s="1308"/>
      <c r="H457" s="1308"/>
      <c r="I457" s="1308"/>
      <c r="J457" s="1308"/>
      <c r="K457" s="1308"/>
      <c r="L457" s="1308"/>
      <c r="M457" s="1308"/>
      <c r="N457" s="1308"/>
      <c r="O457" s="1308"/>
    </row>
    <row r="458" spans="1:16" s="291" customFormat="1">
      <c r="A458" s="1308" t="str">
        <f>$A$2</f>
        <v>CASE NO. 2024 - 00092</v>
      </c>
      <c r="B458" s="1308"/>
      <c r="C458" s="1308"/>
      <c r="D458" s="1308"/>
      <c r="E458" s="1308"/>
      <c r="F458" s="1308"/>
      <c r="G458" s="1308"/>
      <c r="H458" s="1308"/>
      <c r="I458" s="1308"/>
      <c r="J458" s="1308"/>
      <c r="K458" s="1308"/>
      <c r="L458" s="1308"/>
      <c r="M458" s="1308"/>
      <c r="N458" s="1308"/>
      <c r="O458" s="1308"/>
    </row>
    <row r="459" spans="1:16" s="291" customFormat="1">
      <c r="A459" s="1308" t="str">
        <f>$A$3</f>
        <v>DETAIL OF ACTUAL &amp; FORECASTED PLANT, ACCUMULATED RESERVE &amp; DEPRECIATION EXPENSE</v>
      </c>
      <c r="B459" s="1308"/>
      <c r="C459" s="1308"/>
      <c r="D459" s="1308"/>
      <c r="E459" s="1308"/>
      <c r="F459" s="1308"/>
      <c r="G459" s="1308"/>
      <c r="H459" s="1308"/>
      <c r="I459" s="1308"/>
      <c r="J459" s="1308"/>
      <c r="K459" s="1308"/>
      <c r="L459" s="1308"/>
      <c r="M459" s="1308"/>
      <c r="N459" s="1308"/>
      <c r="O459" s="1308"/>
      <c r="P459" s="357"/>
    </row>
    <row r="460" spans="1:16" s="291" customFormat="1">
      <c r="A460" s="1308" t="str">
        <f>$A$4</f>
        <v>FROM JANUARY 01, 2023 THROUGH DECEMBER 31, 2025</v>
      </c>
      <c r="B460" s="1308"/>
      <c r="C460" s="1308"/>
      <c r="D460" s="1308"/>
      <c r="E460" s="1308"/>
      <c r="F460" s="1308"/>
      <c r="G460" s="1308"/>
      <c r="H460" s="1308"/>
      <c r="I460" s="1308"/>
      <c r="J460" s="1308"/>
      <c r="K460" s="1308"/>
      <c r="L460" s="1308"/>
      <c r="M460" s="1308"/>
      <c r="N460" s="1308"/>
      <c r="O460" s="1308"/>
    </row>
    <row r="461" spans="1:16" s="291" customFormat="1">
      <c r="B461" s="293"/>
      <c r="P461" s="312"/>
    </row>
    <row r="462" spans="1:16" s="291" customFormat="1">
      <c r="A462" s="297" t="str">
        <f>$A$6</f>
        <v xml:space="preserve">DATA: _X_ BASE PERIOD _X_ FORECASTED PERIOD     </v>
      </c>
      <c r="B462" s="293"/>
      <c r="O462" s="312" t="str">
        <f>$O$6</f>
        <v>WPB-2.1.C</v>
      </c>
      <c r="P462" s="312"/>
    </row>
    <row r="463" spans="1:16" s="291" customFormat="1">
      <c r="A463" s="297" t="str">
        <f>$A$7</f>
        <v>TYPE OF FILING:___X___ORIGINAL______UPDATED</v>
      </c>
      <c r="B463" s="293"/>
      <c r="O463" s="312" t="s">
        <v>2214</v>
      </c>
      <c r="P463" s="312"/>
    </row>
    <row r="464" spans="1:16" s="291" customFormat="1">
      <c r="A464" s="297" t="str">
        <f>$A$8</f>
        <v>WORKPAPER REFERENCE NO(S).:</v>
      </c>
      <c r="B464" s="293"/>
      <c r="O464" s="312" t="str">
        <f>$O$8</f>
        <v>WITNESS: GORE</v>
      </c>
    </row>
    <row r="465" spans="1:15">
      <c r="A465" s="918"/>
      <c r="B465" s="919"/>
      <c r="C465" s="918"/>
      <c r="D465" s="918"/>
      <c r="E465" s="918"/>
      <c r="F465" s="918"/>
      <c r="G465" s="918"/>
      <c r="H465" s="918"/>
      <c r="I465" s="918"/>
      <c r="J465" s="918"/>
      <c r="K465" s="918"/>
      <c r="L465" s="918"/>
      <c r="M465" s="918"/>
      <c r="N465" s="918"/>
      <c r="O465" s="920"/>
    </row>
    <row r="466" spans="1:15">
      <c r="D466" s="1311" t="s">
        <v>1768</v>
      </c>
      <c r="E466" s="1311"/>
      <c r="F466" s="1311"/>
      <c r="G466" s="1311"/>
      <c r="I466" s="1311" t="s">
        <v>1769</v>
      </c>
      <c r="J466" s="1311"/>
      <c r="K466" s="1311"/>
      <c r="L466" s="1311"/>
      <c r="M466" s="1311"/>
      <c r="N466" s="1311"/>
      <c r="O466" s="1311"/>
    </row>
    <row r="467" spans="1:15">
      <c r="D467" s="360">
        <f>G412+1</f>
        <v>45047</v>
      </c>
      <c r="G467" s="360">
        <f>D467+30</f>
        <v>45077</v>
      </c>
      <c r="I467" s="360">
        <f>D467</f>
        <v>45047</v>
      </c>
      <c r="O467" s="360">
        <f>G467</f>
        <v>45077</v>
      </c>
    </row>
    <row r="468" spans="1:15">
      <c r="D468" s="361" t="s">
        <v>1757</v>
      </c>
      <c r="G468" s="361" t="s">
        <v>1757</v>
      </c>
      <c r="I468" s="361" t="s">
        <v>1758</v>
      </c>
      <c r="J468" s="361" t="s">
        <v>488</v>
      </c>
      <c r="L468" s="361" t="s">
        <v>1758</v>
      </c>
      <c r="O468" s="361" t="s">
        <v>1758</v>
      </c>
    </row>
    <row r="469" spans="1:15">
      <c r="A469" s="361" t="s">
        <v>1770</v>
      </c>
      <c r="B469" s="361" t="s">
        <v>368</v>
      </c>
      <c r="C469" s="361"/>
      <c r="D469" s="361" t="s">
        <v>437</v>
      </c>
      <c r="G469" s="361" t="s">
        <v>439</v>
      </c>
      <c r="I469" s="361" t="s">
        <v>437</v>
      </c>
      <c r="J469" s="361" t="s">
        <v>1771</v>
      </c>
      <c r="K469" s="361" t="s">
        <v>1772</v>
      </c>
      <c r="L469" s="361" t="s">
        <v>1759</v>
      </c>
      <c r="N469" s="361" t="s">
        <v>1760</v>
      </c>
      <c r="O469" s="361" t="s">
        <v>439</v>
      </c>
    </row>
    <row r="470" spans="1:15">
      <c r="A470" s="364" t="s">
        <v>316</v>
      </c>
      <c r="B470" s="364" t="s">
        <v>316</v>
      </c>
      <c r="C470" s="364" t="s">
        <v>451</v>
      </c>
      <c r="D470" s="364" t="s">
        <v>441</v>
      </c>
      <c r="E470" s="364" t="s">
        <v>442</v>
      </c>
      <c r="F470" s="364" t="s">
        <v>443</v>
      </c>
      <c r="G470" s="364" t="s">
        <v>441</v>
      </c>
      <c r="I470" s="364" t="s">
        <v>441</v>
      </c>
      <c r="J470" s="364" t="s">
        <v>1773</v>
      </c>
      <c r="K470" s="364" t="s">
        <v>1771</v>
      </c>
      <c r="L470" s="364" t="s">
        <v>355</v>
      </c>
      <c r="M470" s="364" t="s">
        <v>443</v>
      </c>
      <c r="N470" s="364" t="s">
        <v>1763</v>
      </c>
      <c r="O470" s="364" t="s">
        <v>441</v>
      </c>
    </row>
    <row r="471" spans="1:15">
      <c r="D471" s="361" t="s">
        <v>532</v>
      </c>
      <c r="E471" s="361" t="s">
        <v>541</v>
      </c>
      <c r="F471" s="361" t="s">
        <v>542</v>
      </c>
      <c r="G471" s="361" t="s">
        <v>1764</v>
      </c>
      <c r="I471" s="334" t="str">
        <f>"(5)"</f>
        <v>(5)</v>
      </c>
      <c r="J471" s="334" t="str">
        <f>"(6)"</f>
        <v>(6)</v>
      </c>
      <c r="K471" s="334" t="str">
        <f>"(7)"</f>
        <v>(7)</v>
      </c>
      <c r="L471" s="334" t="str">
        <f>"(8)"</f>
        <v>(8)</v>
      </c>
      <c r="M471" s="334" t="str">
        <f>"(9)"</f>
        <v>(9)</v>
      </c>
      <c r="N471" s="334" t="str">
        <f>"(10)"</f>
        <v>(10)</v>
      </c>
      <c r="O471" s="334" t="str">
        <f>"(11=5+7+8+9+10)"</f>
        <v>(11=5+7+8+9+10)</v>
      </c>
    </row>
    <row r="472" spans="1:15">
      <c r="D472" s="361" t="s">
        <v>320</v>
      </c>
      <c r="E472" s="361" t="s">
        <v>320</v>
      </c>
      <c r="F472" s="361" t="s">
        <v>320</v>
      </c>
      <c r="G472" s="361" t="s">
        <v>320</v>
      </c>
      <c r="I472" s="334" t="s">
        <v>320</v>
      </c>
      <c r="J472" s="334" t="s">
        <v>529</v>
      </c>
      <c r="K472" s="334" t="s">
        <v>320</v>
      </c>
      <c r="L472" s="334" t="s">
        <v>320</v>
      </c>
      <c r="M472" s="334" t="s">
        <v>320</v>
      </c>
      <c r="N472" s="334" t="s">
        <v>320</v>
      </c>
      <c r="O472" s="334" t="s">
        <v>320</v>
      </c>
    </row>
    <row r="473" spans="1:15">
      <c r="A473" s="361">
        <v>1</v>
      </c>
      <c r="B473" s="362" t="s">
        <v>373</v>
      </c>
      <c r="D473" s="361"/>
      <c r="E473" s="361"/>
      <c r="F473" s="361"/>
      <c r="G473" s="361"/>
      <c r="I473" s="334"/>
      <c r="J473" s="334"/>
      <c r="K473" s="334"/>
      <c r="L473" s="334"/>
      <c r="M473" s="334"/>
      <c r="N473" s="334"/>
      <c r="O473" s="334"/>
    </row>
    <row r="474" spans="1:15">
      <c r="A474" s="361">
        <f>A473+1</f>
        <v>2</v>
      </c>
      <c r="B474" s="365">
        <v>301</v>
      </c>
      <c r="C474" s="358" t="s">
        <v>374</v>
      </c>
      <c r="D474" s="1243">
        <f t="shared" ref="D474:D479" si="75">G360</f>
        <v>521.20000000000005</v>
      </c>
      <c r="E474" s="1243">
        <v>0</v>
      </c>
      <c r="F474" s="1243">
        <v>0</v>
      </c>
      <c r="G474" s="1243">
        <f t="shared" ref="G474:G479" si="76">SUM(D474:F474)</f>
        <v>521.20000000000005</v>
      </c>
      <c r="H474" s="1243"/>
      <c r="I474" s="1243">
        <f t="shared" ref="I474:I479" si="77">O360</f>
        <v>0</v>
      </c>
      <c r="J474" s="1243"/>
      <c r="K474" s="1243">
        <v>0</v>
      </c>
      <c r="L474" s="1243">
        <v>0</v>
      </c>
      <c r="M474" s="1243">
        <f t="shared" ref="M474:M479" si="78">F474</f>
        <v>0</v>
      </c>
      <c r="N474" s="1243">
        <v>0</v>
      </c>
      <c r="O474" s="1243">
        <f t="shared" ref="O474:O479" si="79">I474+K474+L474+M474+N474</f>
        <v>0</v>
      </c>
    </row>
    <row r="475" spans="1:15">
      <c r="A475" s="361">
        <f t="shared" ref="A475:A480" si="80">A474+1</f>
        <v>3</v>
      </c>
      <c r="B475" s="365">
        <v>303</v>
      </c>
      <c r="C475" s="358" t="s">
        <v>375</v>
      </c>
      <c r="D475" s="1243">
        <f t="shared" si="75"/>
        <v>96334.51</v>
      </c>
      <c r="E475" s="1243">
        <v>0</v>
      </c>
      <c r="F475" s="1243">
        <v>0</v>
      </c>
      <c r="G475" s="1243">
        <f t="shared" si="76"/>
        <v>96334.51</v>
      </c>
      <c r="H475" s="1243"/>
      <c r="I475" s="1243">
        <f t="shared" si="77"/>
        <v>76721.670000000013</v>
      </c>
      <c r="J475" s="1243"/>
      <c r="K475" s="1243">
        <v>267.58</v>
      </c>
      <c r="L475" s="1243">
        <v>0</v>
      </c>
      <c r="M475" s="1243">
        <f t="shared" si="78"/>
        <v>0</v>
      </c>
      <c r="N475" s="1243">
        <v>0</v>
      </c>
      <c r="O475" s="1243">
        <f t="shared" si="79"/>
        <v>76989.250000000015</v>
      </c>
    </row>
    <row r="476" spans="1:15">
      <c r="A476" s="361">
        <f t="shared" si="80"/>
        <v>4</v>
      </c>
      <c r="B476" s="365">
        <v>303.10000000000002</v>
      </c>
      <c r="C476" s="358" t="s">
        <v>376</v>
      </c>
      <c r="D476" s="1243">
        <f t="shared" si="75"/>
        <v>943.27</v>
      </c>
      <c r="E476" s="1243">
        <v>0</v>
      </c>
      <c r="F476" s="1243">
        <v>0</v>
      </c>
      <c r="G476" s="1243">
        <f t="shared" si="76"/>
        <v>943.27</v>
      </c>
      <c r="H476" s="1243"/>
      <c r="I476" s="1243">
        <f t="shared" si="77"/>
        <v>318.35000000000008</v>
      </c>
      <c r="J476" s="1243"/>
      <c r="K476" s="1243">
        <v>0</v>
      </c>
      <c r="L476" s="1243">
        <v>0</v>
      </c>
      <c r="M476" s="1243">
        <f t="shared" si="78"/>
        <v>0</v>
      </c>
      <c r="N476" s="1243">
        <v>0</v>
      </c>
      <c r="O476" s="1243">
        <f t="shared" si="79"/>
        <v>318.35000000000008</v>
      </c>
    </row>
    <row r="477" spans="1:15">
      <c r="A477" s="361">
        <f t="shared" si="80"/>
        <v>5</v>
      </c>
      <c r="B477" s="365">
        <v>303.2</v>
      </c>
      <c r="C477" s="358" t="s">
        <v>377</v>
      </c>
      <c r="D477" s="1243">
        <f t="shared" si="75"/>
        <v>0</v>
      </c>
      <c r="E477" s="1243">
        <v>0</v>
      </c>
      <c r="F477" s="1243">
        <v>0</v>
      </c>
      <c r="G477" s="1243">
        <f t="shared" si="76"/>
        <v>0</v>
      </c>
      <c r="H477" s="1243"/>
      <c r="I477" s="1243">
        <f t="shared" si="77"/>
        <v>0</v>
      </c>
      <c r="J477" s="1243"/>
      <c r="K477" s="1243">
        <v>0</v>
      </c>
      <c r="L477" s="1243">
        <v>0</v>
      </c>
      <c r="M477" s="1243">
        <f t="shared" si="78"/>
        <v>0</v>
      </c>
      <c r="N477" s="1243">
        <v>0</v>
      </c>
      <c r="O477" s="1243">
        <f t="shared" si="79"/>
        <v>0</v>
      </c>
    </row>
    <row r="478" spans="1:15">
      <c r="A478" s="361">
        <f t="shared" si="80"/>
        <v>6</v>
      </c>
      <c r="B478" s="365">
        <v>303.3</v>
      </c>
      <c r="C478" s="358" t="s">
        <v>378</v>
      </c>
      <c r="D478" s="1243">
        <f t="shared" si="75"/>
        <v>11512777</v>
      </c>
      <c r="E478" s="1243">
        <v>562811.97</v>
      </c>
      <c r="F478" s="1243">
        <v>0</v>
      </c>
      <c r="G478" s="1243">
        <f t="shared" si="76"/>
        <v>12075588.970000001</v>
      </c>
      <c r="H478" s="1243"/>
      <c r="I478" s="1243">
        <f t="shared" si="77"/>
        <v>5416834.1800000016</v>
      </c>
      <c r="J478" s="1243"/>
      <c r="K478" s="1243">
        <v>206452.99</v>
      </c>
      <c r="L478" s="1243">
        <v>0</v>
      </c>
      <c r="M478" s="1243">
        <f t="shared" si="78"/>
        <v>0</v>
      </c>
      <c r="N478" s="1243">
        <v>0</v>
      </c>
      <c r="O478" s="1243">
        <f t="shared" si="79"/>
        <v>5623287.1700000018</v>
      </c>
    </row>
    <row r="479" spans="1:15">
      <c r="A479" s="361">
        <f t="shared" si="80"/>
        <v>7</v>
      </c>
      <c r="B479" s="365">
        <v>303.99</v>
      </c>
      <c r="C479" s="358" t="s">
        <v>1129</v>
      </c>
      <c r="D479" s="1244">
        <f t="shared" si="75"/>
        <v>1882599.1600000001</v>
      </c>
      <c r="E479" s="1244">
        <v>-527.27</v>
      </c>
      <c r="F479" s="1244">
        <v>0</v>
      </c>
      <c r="G479" s="1244">
        <f t="shared" si="76"/>
        <v>1882071.8900000001</v>
      </c>
      <c r="H479" s="1243"/>
      <c r="I479" s="1244">
        <f t="shared" si="77"/>
        <v>771344.9</v>
      </c>
      <c r="J479" s="1243"/>
      <c r="K479" s="1244">
        <v>32323.11</v>
      </c>
      <c r="L479" s="1244">
        <v>0</v>
      </c>
      <c r="M479" s="1244">
        <f t="shared" si="78"/>
        <v>0</v>
      </c>
      <c r="N479" s="1244">
        <v>0</v>
      </c>
      <c r="O479" s="1244">
        <f t="shared" si="79"/>
        <v>803668.01</v>
      </c>
    </row>
    <row r="480" spans="1:15">
      <c r="A480" s="361">
        <f t="shared" si="80"/>
        <v>8</v>
      </c>
      <c r="B480" s="367"/>
      <c r="C480" s="358" t="s">
        <v>601</v>
      </c>
      <c r="D480" s="1243">
        <f>SUM(D474:D479)</f>
        <v>13493175.140000001</v>
      </c>
      <c r="E480" s="1243">
        <f>SUM(E474:E479)</f>
        <v>562284.69999999995</v>
      </c>
      <c r="F480" s="1243">
        <f>SUM(F474:F479)</f>
        <v>0</v>
      </c>
      <c r="G480" s="1243">
        <f>SUM(G474:G479)</f>
        <v>14055459.840000002</v>
      </c>
      <c r="H480" s="1243"/>
      <c r="I480" s="1243">
        <f>SUM(I474:I479)</f>
        <v>6265219.1000000015</v>
      </c>
      <c r="J480" s="1243"/>
      <c r="K480" s="1243">
        <f>SUM(K474:K479)</f>
        <v>239043.68</v>
      </c>
      <c r="L480" s="1243">
        <f>SUM(L474:L479)</f>
        <v>0</v>
      </c>
      <c r="M480" s="1243">
        <f>SUM(M474:M479)</f>
        <v>0</v>
      </c>
      <c r="N480" s="1243">
        <f>SUM(N474:N479)</f>
        <v>0</v>
      </c>
      <c r="O480" s="1243">
        <f>SUM(O474:O479)</f>
        <v>6504262.7800000012</v>
      </c>
    </row>
    <row r="481" spans="1:15">
      <c r="A481" s="361"/>
      <c r="B481" s="367"/>
      <c r="C481" s="368"/>
      <c r="D481" s="1243"/>
      <c r="E481" s="1243"/>
      <c r="F481" s="1243"/>
      <c r="G481" s="1243"/>
      <c r="H481" s="1243"/>
      <c r="I481" s="1243"/>
      <c r="J481" s="1243"/>
      <c r="K481" s="1243"/>
      <c r="L481" s="1243"/>
      <c r="M481" s="1243"/>
      <c r="N481" s="1243"/>
      <c r="O481" s="1243"/>
    </row>
    <row r="482" spans="1:15">
      <c r="A482" s="361">
        <f>A480+1</f>
        <v>9</v>
      </c>
      <c r="B482" s="362" t="s">
        <v>1600</v>
      </c>
      <c r="C482" s="368"/>
      <c r="D482" s="1243"/>
      <c r="E482" s="1243"/>
      <c r="F482" s="1243"/>
      <c r="G482" s="1243"/>
      <c r="H482" s="1243"/>
      <c r="I482" s="1243"/>
      <c r="J482" s="1243"/>
      <c r="K482" s="1243"/>
      <c r="L482" s="1243"/>
      <c r="M482" s="1243"/>
      <c r="N482" s="1243"/>
      <c r="O482" s="1243"/>
    </row>
    <row r="483" spans="1:15">
      <c r="A483" s="361">
        <f t="shared" ref="A483:A513" si="81">A482+1</f>
        <v>10</v>
      </c>
      <c r="B483" s="365">
        <v>374.1</v>
      </c>
      <c r="C483" s="358" t="s">
        <v>382</v>
      </c>
      <c r="D483" s="1243">
        <f t="shared" ref="D483:D512" si="82">G369</f>
        <v>206</v>
      </c>
      <c r="E483" s="1243">
        <v>0</v>
      </c>
      <c r="F483" s="1243">
        <v>0</v>
      </c>
      <c r="G483" s="1243">
        <f>SUM(D483:F483)</f>
        <v>206</v>
      </c>
      <c r="H483" s="1243"/>
      <c r="I483" s="1243">
        <f t="shared" ref="I483:I512" si="83">O369</f>
        <v>0</v>
      </c>
      <c r="J483" s="1243"/>
      <c r="K483" s="1243">
        <v>0</v>
      </c>
      <c r="L483" s="1243">
        <v>0</v>
      </c>
      <c r="M483" s="1243">
        <f>F483</f>
        <v>0</v>
      </c>
      <c r="N483" s="1243">
        <v>0</v>
      </c>
      <c r="O483" s="1243">
        <f t="shared" ref="O483:O512" si="84">I483+K483+L483+M483+N483</f>
        <v>0</v>
      </c>
    </row>
    <row r="484" spans="1:15">
      <c r="A484" s="361">
        <f t="shared" si="81"/>
        <v>11</v>
      </c>
      <c r="B484" s="365">
        <v>374.2</v>
      </c>
      <c r="C484" s="358" t="s">
        <v>383</v>
      </c>
      <c r="D484" s="1243">
        <f t="shared" si="82"/>
        <v>876986.66</v>
      </c>
      <c r="E484" s="1243">
        <v>0</v>
      </c>
      <c r="F484" s="1243">
        <v>0</v>
      </c>
      <c r="G484" s="1243">
        <f t="shared" ref="G484:G512" si="85">SUM(D484:F484)</f>
        <v>876986.66</v>
      </c>
      <c r="H484" s="1243"/>
      <c r="I484" s="1243">
        <f t="shared" si="83"/>
        <v>-522.25</v>
      </c>
      <c r="J484" s="1243"/>
      <c r="K484" s="1243">
        <v>0</v>
      </c>
      <c r="L484" s="1243">
        <v>0</v>
      </c>
      <c r="M484" s="1243">
        <f t="shared" ref="M484:M512" si="86">F484</f>
        <v>0</v>
      </c>
      <c r="N484" s="1243">
        <v>0</v>
      </c>
      <c r="O484" s="1243">
        <f t="shared" si="84"/>
        <v>-522.25</v>
      </c>
    </row>
    <row r="485" spans="1:15">
      <c r="A485" s="361">
        <f t="shared" si="81"/>
        <v>12</v>
      </c>
      <c r="B485" s="365">
        <v>374.4</v>
      </c>
      <c r="C485" s="358" t="s">
        <v>384</v>
      </c>
      <c r="D485" s="1243">
        <f t="shared" si="82"/>
        <v>2763264.41</v>
      </c>
      <c r="E485" s="1243">
        <v>0</v>
      </c>
      <c r="F485" s="1243">
        <v>0</v>
      </c>
      <c r="G485" s="1243">
        <f t="shared" si="85"/>
        <v>2763264.41</v>
      </c>
      <c r="H485" s="1243"/>
      <c r="I485" s="1243">
        <f t="shared" si="83"/>
        <v>344760.56</v>
      </c>
      <c r="J485" s="1243"/>
      <c r="K485" s="1243">
        <v>2924.4500000000003</v>
      </c>
      <c r="L485" s="1243">
        <v>0</v>
      </c>
      <c r="M485" s="1243">
        <f t="shared" si="86"/>
        <v>0</v>
      </c>
      <c r="N485" s="1243">
        <v>0</v>
      </c>
      <c r="O485" s="1243">
        <f t="shared" si="84"/>
        <v>347685.01</v>
      </c>
    </row>
    <row r="486" spans="1:15">
      <c r="A486" s="361">
        <f t="shared" si="81"/>
        <v>13</v>
      </c>
      <c r="B486" s="365">
        <v>374.5</v>
      </c>
      <c r="C486" s="358" t="s">
        <v>385</v>
      </c>
      <c r="D486" s="1243">
        <f t="shared" si="82"/>
        <v>2666577.16</v>
      </c>
      <c r="E486" s="1243">
        <v>0</v>
      </c>
      <c r="F486" s="1243">
        <v>0</v>
      </c>
      <c r="G486" s="1243">
        <f t="shared" si="85"/>
        <v>2666577.16</v>
      </c>
      <c r="H486" s="1243"/>
      <c r="I486" s="1243">
        <f t="shared" si="83"/>
        <v>1136744.5900000003</v>
      </c>
      <c r="J486" s="1243"/>
      <c r="K486" s="1243">
        <v>2444.36</v>
      </c>
      <c r="L486" s="1243">
        <v>0</v>
      </c>
      <c r="M486" s="1243">
        <f t="shared" si="86"/>
        <v>0</v>
      </c>
      <c r="N486" s="1243">
        <v>0</v>
      </c>
      <c r="O486" s="1243">
        <f t="shared" si="84"/>
        <v>1139188.9500000004</v>
      </c>
    </row>
    <row r="487" spans="1:15">
      <c r="A487" s="361">
        <f t="shared" si="81"/>
        <v>14</v>
      </c>
      <c r="B487" s="365">
        <v>375.2</v>
      </c>
      <c r="C487" s="358" t="s">
        <v>386</v>
      </c>
      <c r="D487" s="1243">
        <f t="shared" si="82"/>
        <v>2124.98</v>
      </c>
      <c r="E487" s="1243">
        <v>0</v>
      </c>
      <c r="F487" s="1243">
        <v>0</v>
      </c>
      <c r="G487" s="1243">
        <f t="shared" si="85"/>
        <v>2124.98</v>
      </c>
      <c r="H487" s="1243"/>
      <c r="I487" s="1243">
        <f t="shared" si="83"/>
        <v>2056</v>
      </c>
      <c r="J487" s="1243"/>
      <c r="K487" s="1243">
        <v>0.73</v>
      </c>
      <c r="L487" s="1243">
        <v>0</v>
      </c>
      <c r="M487" s="1243">
        <f t="shared" si="86"/>
        <v>0</v>
      </c>
      <c r="N487" s="1243">
        <v>0</v>
      </c>
      <c r="O487" s="1243">
        <f t="shared" si="84"/>
        <v>2056.73</v>
      </c>
    </row>
    <row r="488" spans="1:15">
      <c r="A488" s="361">
        <f t="shared" si="81"/>
        <v>15</v>
      </c>
      <c r="B488" s="365">
        <v>375.3</v>
      </c>
      <c r="C488" s="358" t="s">
        <v>387</v>
      </c>
      <c r="D488" s="1243">
        <f t="shared" si="82"/>
        <v>0</v>
      </c>
      <c r="E488" s="1243">
        <v>0</v>
      </c>
      <c r="F488" s="1243">
        <v>0</v>
      </c>
      <c r="G488" s="1243">
        <f t="shared" si="85"/>
        <v>0</v>
      </c>
      <c r="H488" s="1243"/>
      <c r="I488" s="1243">
        <f t="shared" si="83"/>
        <v>-77.66</v>
      </c>
      <c r="J488" s="1243"/>
      <c r="K488" s="1243">
        <v>0</v>
      </c>
      <c r="L488" s="1243">
        <v>0</v>
      </c>
      <c r="M488" s="1243">
        <f t="shared" si="86"/>
        <v>0</v>
      </c>
      <c r="N488" s="1243">
        <v>0</v>
      </c>
      <c r="O488" s="1243">
        <f t="shared" si="84"/>
        <v>-77.66</v>
      </c>
    </row>
    <row r="489" spans="1:15">
      <c r="A489" s="361">
        <f t="shared" si="81"/>
        <v>16</v>
      </c>
      <c r="B489" s="365">
        <v>375.4</v>
      </c>
      <c r="C489" s="358" t="s">
        <v>388</v>
      </c>
      <c r="D489" s="1243">
        <f t="shared" si="82"/>
        <v>2828707.3599999994</v>
      </c>
      <c r="E489" s="1243">
        <v>131288.39000000001</v>
      </c>
      <c r="F489" s="1243">
        <v>-1030.0999999999999</v>
      </c>
      <c r="G489" s="1243">
        <f t="shared" si="85"/>
        <v>2958965.6499999994</v>
      </c>
      <c r="H489" s="1243"/>
      <c r="I489" s="1243">
        <f t="shared" si="83"/>
        <v>599696.26</v>
      </c>
      <c r="J489" s="1243"/>
      <c r="K489" s="1243">
        <v>5233.0200000000004</v>
      </c>
      <c r="L489" s="1243">
        <v>0</v>
      </c>
      <c r="M489" s="1243">
        <f t="shared" si="86"/>
        <v>-1030.0999999999999</v>
      </c>
      <c r="N489" s="1243">
        <v>-30417.02</v>
      </c>
      <c r="O489" s="1243">
        <f t="shared" si="84"/>
        <v>573482.16</v>
      </c>
    </row>
    <row r="490" spans="1:15">
      <c r="A490" s="361">
        <f t="shared" si="81"/>
        <v>17</v>
      </c>
      <c r="B490" s="365">
        <v>375.6</v>
      </c>
      <c r="C490" s="358" t="s">
        <v>389</v>
      </c>
      <c r="D490" s="1243">
        <f t="shared" si="82"/>
        <v>0</v>
      </c>
      <c r="E490" s="1243">
        <v>0</v>
      </c>
      <c r="F490" s="1243">
        <v>0</v>
      </c>
      <c r="G490" s="1243">
        <f t="shared" si="85"/>
        <v>0</v>
      </c>
      <c r="H490" s="1243"/>
      <c r="I490" s="1243">
        <f t="shared" si="83"/>
        <v>0.02</v>
      </c>
      <c r="J490" s="1243"/>
      <c r="K490" s="1243">
        <v>0</v>
      </c>
      <c r="L490" s="1243">
        <v>0</v>
      </c>
      <c r="M490" s="1243">
        <f t="shared" si="86"/>
        <v>0</v>
      </c>
      <c r="N490" s="1243">
        <v>0</v>
      </c>
      <c r="O490" s="1243">
        <f t="shared" si="84"/>
        <v>0.02</v>
      </c>
    </row>
    <row r="491" spans="1:15">
      <c r="A491" s="361">
        <f t="shared" si="81"/>
        <v>18</v>
      </c>
      <c r="B491" s="365">
        <v>375.7</v>
      </c>
      <c r="C491" s="358" t="s">
        <v>390</v>
      </c>
      <c r="D491" s="1243">
        <f t="shared" si="82"/>
        <v>9082676.9800000004</v>
      </c>
      <c r="E491" s="1243">
        <v>0</v>
      </c>
      <c r="F491" s="1243">
        <v>0</v>
      </c>
      <c r="G491" s="1243">
        <f t="shared" si="85"/>
        <v>9082676.9800000004</v>
      </c>
      <c r="H491" s="1243"/>
      <c r="I491" s="1243">
        <f t="shared" si="83"/>
        <v>4551701.9399999985</v>
      </c>
      <c r="J491" s="1243"/>
      <c r="K491" s="1243">
        <v>17711.22</v>
      </c>
      <c r="L491" s="1243">
        <v>0</v>
      </c>
      <c r="M491" s="1243">
        <f t="shared" si="86"/>
        <v>0</v>
      </c>
      <c r="N491" s="1243">
        <v>0</v>
      </c>
      <c r="O491" s="1243">
        <f t="shared" si="84"/>
        <v>4569413.1599999983</v>
      </c>
    </row>
    <row r="492" spans="1:15">
      <c r="A492" s="361">
        <f t="shared" si="81"/>
        <v>19</v>
      </c>
      <c r="B492" s="365">
        <v>375.71</v>
      </c>
      <c r="C492" s="358" t="s">
        <v>391</v>
      </c>
      <c r="D492" s="1243">
        <f t="shared" si="82"/>
        <v>876651.57</v>
      </c>
      <c r="E492" s="1243">
        <v>0</v>
      </c>
      <c r="F492" s="1243">
        <v>0</v>
      </c>
      <c r="G492" s="1243">
        <f t="shared" si="85"/>
        <v>876651.57</v>
      </c>
      <c r="H492" s="1243"/>
      <c r="I492" s="1243">
        <f t="shared" si="83"/>
        <v>716671.83000000007</v>
      </c>
      <c r="J492" s="1243"/>
      <c r="K492" s="1243">
        <v>4743.53</v>
      </c>
      <c r="L492" s="1243">
        <v>0</v>
      </c>
      <c r="M492" s="1243">
        <f t="shared" si="86"/>
        <v>0</v>
      </c>
      <c r="N492" s="1243">
        <v>0</v>
      </c>
      <c r="O492" s="1243">
        <f t="shared" si="84"/>
        <v>721415.3600000001</v>
      </c>
    </row>
    <row r="493" spans="1:15">
      <c r="A493" s="361">
        <f t="shared" si="81"/>
        <v>20</v>
      </c>
      <c r="B493" s="365">
        <v>375.8</v>
      </c>
      <c r="C493" s="358" t="s">
        <v>392</v>
      </c>
      <c r="D493" s="1243">
        <f t="shared" si="82"/>
        <v>132125.04</v>
      </c>
      <c r="E493" s="1243">
        <v>0</v>
      </c>
      <c r="F493" s="1243">
        <v>0</v>
      </c>
      <c r="G493" s="1243">
        <f t="shared" si="85"/>
        <v>132125.04</v>
      </c>
      <c r="H493" s="1243"/>
      <c r="I493" s="1243">
        <f t="shared" si="83"/>
        <v>6140.93</v>
      </c>
      <c r="J493" s="1243"/>
      <c r="K493" s="1243">
        <v>585.75</v>
      </c>
      <c r="L493" s="1243">
        <v>0</v>
      </c>
      <c r="M493" s="1243">
        <f t="shared" si="86"/>
        <v>0</v>
      </c>
      <c r="N493" s="1243">
        <v>0</v>
      </c>
      <c r="O493" s="1243">
        <f t="shared" si="84"/>
        <v>6726.68</v>
      </c>
    </row>
    <row r="494" spans="1:15">
      <c r="A494" s="361">
        <f t="shared" si="81"/>
        <v>21</v>
      </c>
      <c r="B494" s="365">
        <v>376</v>
      </c>
      <c r="C494" s="358" t="s">
        <v>1621</v>
      </c>
      <c r="D494" s="1243">
        <f t="shared" si="82"/>
        <v>401957041.23000002</v>
      </c>
      <c r="E494" s="1243">
        <f>'WPB-2.1.D SMRP'!E211</f>
        <v>2029115.0499999993</v>
      </c>
      <c r="F494" s="1243">
        <f>'WPB-2.1.D SMRP'!F211</f>
        <v>-121094.08999999998</v>
      </c>
      <c r="G494" s="1243">
        <f t="shared" si="85"/>
        <v>403865062.19000006</v>
      </c>
      <c r="H494" s="1243"/>
      <c r="I494" s="1243">
        <f t="shared" si="83"/>
        <v>76606764.080999985</v>
      </c>
      <c r="J494" s="1243"/>
      <c r="K494" s="1243">
        <f>'WPB-2.1.D SMRP'!K211</f>
        <v>580803.603</v>
      </c>
      <c r="L494" s="1243">
        <v>0</v>
      </c>
      <c r="M494" s="1243">
        <f>F494</f>
        <v>-121094.08999999998</v>
      </c>
      <c r="N494" s="1243">
        <f>'WPB-2.1.D SMRP'!N211</f>
        <v>-5099.91</v>
      </c>
      <c r="O494" s="1243">
        <f t="shared" si="84"/>
        <v>77061373.683999985</v>
      </c>
    </row>
    <row r="495" spans="1:15">
      <c r="A495" s="361">
        <f t="shared" si="81"/>
        <v>22</v>
      </c>
      <c r="B495" s="365">
        <v>378.1</v>
      </c>
      <c r="C495" s="358" t="s">
        <v>394</v>
      </c>
      <c r="D495" s="1243">
        <f t="shared" si="82"/>
        <v>492931.09</v>
      </c>
      <c r="E495" s="1243">
        <v>79990.83</v>
      </c>
      <c r="F495" s="1243">
        <v>0</v>
      </c>
      <c r="G495" s="1243">
        <f t="shared" si="85"/>
        <v>572921.92000000004</v>
      </c>
      <c r="H495" s="1243"/>
      <c r="I495" s="1243">
        <f t="shared" si="83"/>
        <v>406072.16000000003</v>
      </c>
      <c r="J495" s="1243"/>
      <c r="K495" s="1243">
        <v>1035.1600000000001</v>
      </c>
      <c r="L495" s="1243">
        <v>0</v>
      </c>
      <c r="M495" s="1243">
        <f t="shared" si="86"/>
        <v>0</v>
      </c>
      <c r="N495" s="1243">
        <v>0</v>
      </c>
      <c r="O495" s="1243">
        <f t="shared" si="84"/>
        <v>407107.32</v>
      </c>
    </row>
    <row r="496" spans="1:15">
      <c r="A496" s="361">
        <f t="shared" si="81"/>
        <v>23</v>
      </c>
      <c r="B496" s="365">
        <v>378.2</v>
      </c>
      <c r="C496" s="358" t="s">
        <v>1622</v>
      </c>
      <c r="D496" s="1243">
        <f t="shared" si="82"/>
        <v>24917534.740000002</v>
      </c>
      <c r="E496" s="1243">
        <f>'WPB-2.1.D SMRP'!E215</f>
        <v>324846.16000000003</v>
      </c>
      <c r="F496" s="1243">
        <f>'WPB-2.1.D SMRP'!F215</f>
        <v>-949.3700000000008</v>
      </c>
      <c r="G496" s="1243">
        <f t="shared" si="85"/>
        <v>25241431.530000001</v>
      </c>
      <c r="H496" s="1243"/>
      <c r="I496" s="1243">
        <f t="shared" si="83"/>
        <v>2992800.4020000002</v>
      </c>
      <c r="J496" s="1243"/>
      <c r="K496" s="1243">
        <f>'WPB-2.1.D SMRP'!K215</f>
        <v>52739.563000000002</v>
      </c>
      <c r="L496" s="1243">
        <v>0</v>
      </c>
      <c r="M496" s="1243">
        <f>F496</f>
        <v>-949.3700000000008</v>
      </c>
      <c r="N496" s="1243">
        <f>'WPB-2.1.D SMRP'!N215</f>
        <v>0</v>
      </c>
      <c r="O496" s="1243">
        <f t="shared" si="84"/>
        <v>3044590.5950000002</v>
      </c>
    </row>
    <row r="497" spans="1:15">
      <c r="A497" s="361">
        <f t="shared" si="81"/>
        <v>24</v>
      </c>
      <c r="B497" s="365">
        <v>378.3</v>
      </c>
      <c r="C497" s="358" t="s">
        <v>396</v>
      </c>
      <c r="D497" s="1243">
        <f t="shared" si="82"/>
        <v>45443.08</v>
      </c>
      <c r="E497" s="1243">
        <v>0</v>
      </c>
      <c r="F497" s="1243">
        <v>0</v>
      </c>
      <c r="G497" s="1243">
        <f t="shared" si="85"/>
        <v>45443.08</v>
      </c>
      <c r="H497" s="1243"/>
      <c r="I497" s="1243">
        <f t="shared" si="83"/>
        <v>42404.020000000004</v>
      </c>
      <c r="J497" s="1243"/>
      <c r="K497" s="1243">
        <v>95.43</v>
      </c>
      <c r="L497" s="1243">
        <v>0</v>
      </c>
      <c r="M497" s="1243">
        <f t="shared" si="86"/>
        <v>0</v>
      </c>
      <c r="N497" s="1243">
        <v>0</v>
      </c>
      <c r="O497" s="1243">
        <f t="shared" si="84"/>
        <v>42499.450000000004</v>
      </c>
    </row>
    <row r="498" spans="1:15">
      <c r="A498" s="361">
        <f t="shared" si="81"/>
        <v>25</v>
      </c>
      <c r="B498" s="365">
        <v>379.1</v>
      </c>
      <c r="C498" s="358" t="s">
        <v>397</v>
      </c>
      <c r="D498" s="1243">
        <f t="shared" si="82"/>
        <v>1554144.06</v>
      </c>
      <c r="E498" s="1243">
        <v>0</v>
      </c>
      <c r="F498" s="1243">
        <v>0</v>
      </c>
      <c r="G498" s="1243">
        <f t="shared" si="85"/>
        <v>1554144.06</v>
      </c>
      <c r="H498" s="1243"/>
      <c r="I498" s="1243">
        <f t="shared" si="83"/>
        <v>326311.29000000004</v>
      </c>
      <c r="J498" s="1243"/>
      <c r="K498" s="1243">
        <v>3134.19</v>
      </c>
      <c r="L498" s="1243">
        <v>0</v>
      </c>
      <c r="M498" s="1243">
        <f t="shared" si="86"/>
        <v>0</v>
      </c>
      <c r="N498" s="1243">
        <v>0</v>
      </c>
      <c r="O498" s="1243">
        <f t="shared" si="84"/>
        <v>329445.48000000004</v>
      </c>
    </row>
    <row r="499" spans="1:15">
      <c r="A499" s="361">
        <f t="shared" si="81"/>
        <v>26</v>
      </c>
      <c r="B499" s="365">
        <v>380</v>
      </c>
      <c r="C499" s="358" t="s">
        <v>1623</v>
      </c>
      <c r="D499" s="1243">
        <f t="shared" si="82"/>
        <v>195325979.61331564</v>
      </c>
      <c r="E499" s="1243">
        <f>'WPB-2.1.D SMRP'!E219</f>
        <v>798641.08999999985</v>
      </c>
      <c r="F499" s="1243">
        <f>'WPB-2.1.D SMRP'!F219</f>
        <v>-58114.681822556711</v>
      </c>
      <c r="G499" s="1243">
        <f t="shared" si="85"/>
        <v>196066506.02149308</v>
      </c>
      <c r="H499" s="1243"/>
      <c r="I499" s="1243">
        <f t="shared" si="83"/>
        <v>54420353.084535658</v>
      </c>
      <c r="J499" s="1243"/>
      <c r="K499" s="1243">
        <f>'WPB-2.1.D SMRP'!K219</f>
        <v>697234.61100000003</v>
      </c>
      <c r="L499" s="1243">
        <v>0</v>
      </c>
      <c r="M499" s="1243">
        <f>F499</f>
        <v>-58114.681822556711</v>
      </c>
      <c r="N499" s="1243">
        <f>'WPB-2.1.D SMRP'!N219</f>
        <v>-27227.386892999988</v>
      </c>
      <c r="O499" s="1243">
        <f t="shared" si="84"/>
        <v>55032245.62682011</v>
      </c>
    </row>
    <row r="500" spans="1:15">
      <c r="A500" s="361">
        <f t="shared" si="81"/>
        <v>27</v>
      </c>
      <c r="B500" s="365">
        <v>381</v>
      </c>
      <c r="C500" s="358" t="s">
        <v>399</v>
      </c>
      <c r="D500" s="1243">
        <f t="shared" si="82"/>
        <v>17872723.890000001</v>
      </c>
      <c r="E500" s="1243">
        <v>365086.52</v>
      </c>
      <c r="F500" s="1243">
        <v>-131610.87</v>
      </c>
      <c r="G500" s="1243">
        <f t="shared" si="85"/>
        <v>18106199.539999999</v>
      </c>
      <c r="H500" s="1243"/>
      <c r="I500" s="1243">
        <f t="shared" si="83"/>
        <v>2773553.43</v>
      </c>
      <c r="J500" s="1243"/>
      <c r="K500" s="1243">
        <v>39277</v>
      </c>
      <c r="L500" s="1243">
        <v>0</v>
      </c>
      <c r="M500" s="1243">
        <f t="shared" si="86"/>
        <v>-131610.87</v>
      </c>
      <c r="N500" s="1243">
        <v>0</v>
      </c>
      <c r="O500" s="1243">
        <f t="shared" si="84"/>
        <v>2681219.56</v>
      </c>
    </row>
    <row r="501" spans="1:15">
      <c r="A501" s="361">
        <f t="shared" si="81"/>
        <v>28</v>
      </c>
      <c r="B501" s="365">
        <v>381.1</v>
      </c>
      <c r="C501" s="358" t="s">
        <v>2366</v>
      </c>
      <c r="D501" s="1243">
        <f t="shared" si="82"/>
        <v>9980854.4800000004</v>
      </c>
      <c r="E501" s="1243">
        <v>0</v>
      </c>
      <c r="F501" s="1243">
        <v>0</v>
      </c>
      <c r="G501" s="1243">
        <f t="shared" si="85"/>
        <v>9980854.4800000004</v>
      </c>
      <c r="H501" s="1243"/>
      <c r="I501" s="1243">
        <f t="shared" si="83"/>
        <v>4863387.1300000008</v>
      </c>
      <c r="J501" s="1243"/>
      <c r="K501" s="1243">
        <v>62213.99</v>
      </c>
      <c r="L501" s="1243">
        <v>0</v>
      </c>
      <c r="M501" s="1243">
        <f t="shared" si="86"/>
        <v>0</v>
      </c>
      <c r="N501" s="1243">
        <v>0</v>
      </c>
      <c r="O501" s="1243">
        <f t="shared" si="84"/>
        <v>4925601.120000001</v>
      </c>
    </row>
    <row r="502" spans="1:15">
      <c r="A502" s="361">
        <f t="shared" si="81"/>
        <v>29</v>
      </c>
      <c r="B502" s="365">
        <v>382</v>
      </c>
      <c r="C502" s="358" t="s">
        <v>1624</v>
      </c>
      <c r="D502" s="1243">
        <f t="shared" si="82"/>
        <v>10156849.630000001</v>
      </c>
      <c r="E502" s="1243">
        <f>'WPB-2.1.D SMRP'!E223</f>
        <v>12038.09</v>
      </c>
      <c r="F502" s="1243">
        <f>'WPB-2.1.D SMRP'!F223</f>
        <v>0</v>
      </c>
      <c r="G502" s="1243">
        <f t="shared" si="85"/>
        <v>10168887.720000001</v>
      </c>
      <c r="H502" s="1243"/>
      <c r="I502" s="1243">
        <f t="shared" si="83"/>
        <v>5721124.477</v>
      </c>
      <c r="J502" s="1243"/>
      <c r="K502" s="1243">
        <f>'WPB-2.1.D SMRP'!K223</f>
        <v>14990.621999999999</v>
      </c>
      <c r="L502" s="1243">
        <v>0</v>
      </c>
      <c r="M502" s="1243">
        <f t="shared" si="86"/>
        <v>0</v>
      </c>
      <c r="N502" s="1243">
        <f>'WPB-2.1.D SMRP'!N223</f>
        <v>0</v>
      </c>
      <c r="O502" s="1243">
        <f t="shared" si="84"/>
        <v>5736115.0990000004</v>
      </c>
    </row>
    <row r="503" spans="1:15">
      <c r="A503" s="361">
        <f t="shared" si="81"/>
        <v>30</v>
      </c>
      <c r="B503" s="365">
        <v>383</v>
      </c>
      <c r="C503" s="358" t="s">
        <v>1625</v>
      </c>
      <c r="D503" s="1243">
        <f t="shared" si="82"/>
        <v>7182802.4899999993</v>
      </c>
      <c r="E503" s="1243">
        <f>'WPB-2.1.D SMRP'!E227</f>
        <v>5712.37</v>
      </c>
      <c r="F503" s="1243">
        <f>'WPB-2.1.D SMRP'!F227</f>
        <v>0</v>
      </c>
      <c r="G503" s="1243">
        <f t="shared" si="85"/>
        <v>7188514.8599999994</v>
      </c>
      <c r="H503" s="1243"/>
      <c r="I503" s="1243">
        <f t="shared" si="83"/>
        <v>2392795.625</v>
      </c>
      <c r="J503" s="1243"/>
      <c r="K503" s="1243">
        <f>'WPB-2.1.D SMRP'!K227</f>
        <v>11616.611999999999</v>
      </c>
      <c r="L503" s="1243">
        <v>0</v>
      </c>
      <c r="M503" s="1243">
        <f t="shared" si="86"/>
        <v>0</v>
      </c>
      <c r="N503" s="1243">
        <f>'WPB-2.1.D SMRP'!N227</f>
        <v>0</v>
      </c>
      <c r="O503" s="1243">
        <f t="shared" si="84"/>
        <v>2404412.2370000002</v>
      </c>
    </row>
    <row r="504" spans="1:15">
      <c r="A504" s="361">
        <f t="shared" si="81"/>
        <v>31</v>
      </c>
      <c r="B504" s="365">
        <v>384</v>
      </c>
      <c r="C504" s="358" t="s">
        <v>402</v>
      </c>
      <c r="D504" s="1243">
        <f t="shared" si="82"/>
        <v>2085058.65</v>
      </c>
      <c r="E504" s="1243">
        <v>0</v>
      </c>
      <c r="F504" s="1243">
        <v>0</v>
      </c>
      <c r="G504" s="1243">
        <f t="shared" si="85"/>
        <v>2085058.65</v>
      </c>
      <c r="H504" s="1243"/>
      <c r="I504" s="1243">
        <f t="shared" si="83"/>
        <v>1714560.3399999999</v>
      </c>
      <c r="J504" s="1243"/>
      <c r="K504" s="1243">
        <v>1720.17</v>
      </c>
      <c r="L504" s="1243">
        <v>0</v>
      </c>
      <c r="M504" s="1243">
        <f t="shared" si="86"/>
        <v>0</v>
      </c>
      <c r="N504" s="1243">
        <v>0</v>
      </c>
      <c r="O504" s="1243">
        <f t="shared" si="84"/>
        <v>1716280.5099999998</v>
      </c>
    </row>
    <row r="505" spans="1:15">
      <c r="A505" s="361">
        <f t="shared" si="81"/>
        <v>32</v>
      </c>
      <c r="B505" s="365">
        <v>385</v>
      </c>
      <c r="C505" s="358" t="s">
        <v>403</v>
      </c>
      <c r="D505" s="1243">
        <f t="shared" si="82"/>
        <v>6046570.3600000003</v>
      </c>
      <c r="E505" s="1243">
        <v>8482.2299999999959</v>
      </c>
      <c r="F505" s="1243">
        <v>-10694.53</v>
      </c>
      <c r="G505" s="1243">
        <f t="shared" si="85"/>
        <v>6044358.0600000005</v>
      </c>
      <c r="H505" s="1243"/>
      <c r="I505" s="1243">
        <f t="shared" si="83"/>
        <v>759065.03000000014</v>
      </c>
      <c r="J505" s="1243"/>
      <c r="K505" s="1243">
        <v>18791.32</v>
      </c>
      <c r="L505" s="1243">
        <v>0</v>
      </c>
      <c r="M505" s="1243">
        <f t="shared" si="86"/>
        <v>-10694.53</v>
      </c>
      <c r="N505" s="1243">
        <v>-1660</v>
      </c>
      <c r="O505" s="1243">
        <f t="shared" si="84"/>
        <v>765501.82000000007</v>
      </c>
    </row>
    <row r="506" spans="1:15">
      <c r="A506" s="361">
        <f t="shared" si="81"/>
        <v>33</v>
      </c>
      <c r="B506" s="365">
        <v>387.2</v>
      </c>
      <c r="C506" s="358" t="s">
        <v>404</v>
      </c>
      <c r="D506" s="1243">
        <f t="shared" si="82"/>
        <v>0</v>
      </c>
      <c r="E506" s="1243">
        <v>0</v>
      </c>
      <c r="F506" s="1243">
        <v>0</v>
      </c>
      <c r="G506" s="1243">
        <f t="shared" si="85"/>
        <v>0</v>
      </c>
      <c r="H506" s="1243"/>
      <c r="I506" s="1243">
        <f t="shared" si="83"/>
        <v>-59912.03</v>
      </c>
      <c r="J506" s="1243"/>
      <c r="K506" s="1243">
        <v>0</v>
      </c>
      <c r="L506" s="1243">
        <v>0</v>
      </c>
      <c r="M506" s="1243">
        <f t="shared" si="86"/>
        <v>0</v>
      </c>
      <c r="N506" s="1243">
        <v>0</v>
      </c>
      <c r="O506" s="1243">
        <f t="shared" si="84"/>
        <v>-59912.03</v>
      </c>
    </row>
    <row r="507" spans="1:15">
      <c r="A507" s="361">
        <f t="shared" si="81"/>
        <v>34</v>
      </c>
      <c r="B507" s="365">
        <v>387.41</v>
      </c>
      <c r="C507" s="358" t="s">
        <v>405</v>
      </c>
      <c r="D507" s="1243">
        <f t="shared" si="82"/>
        <v>260538.46000000008</v>
      </c>
      <c r="E507" s="1243">
        <v>0</v>
      </c>
      <c r="F507" s="1243">
        <v>0</v>
      </c>
      <c r="G507" s="1243">
        <f t="shared" si="85"/>
        <v>260538.46000000008</v>
      </c>
      <c r="H507" s="1243"/>
      <c r="I507" s="1243">
        <f t="shared" si="83"/>
        <v>55094.070000000065</v>
      </c>
      <c r="J507" s="1243"/>
      <c r="K507" s="1243">
        <v>670.89</v>
      </c>
      <c r="L507" s="1243">
        <v>0</v>
      </c>
      <c r="M507" s="1243">
        <f t="shared" si="86"/>
        <v>0</v>
      </c>
      <c r="N507" s="1243">
        <v>0</v>
      </c>
      <c r="O507" s="1243">
        <f t="shared" si="84"/>
        <v>55764.960000000065</v>
      </c>
    </row>
    <row r="508" spans="1:15">
      <c r="A508" s="361">
        <f t="shared" si="81"/>
        <v>35</v>
      </c>
      <c r="B508" s="365">
        <v>387.42</v>
      </c>
      <c r="C508" s="358" t="s">
        <v>406</v>
      </c>
      <c r="D508" s="1243">
        <f t="shared" si="82"/>
        <v>419367.40000000008</v>
      </c>
      <c r="E508" s="1243">
        <v>0</v>
      </c>
      <c r="F508" s="1243">
        <v>0</v>
      </c>
      <c r="G508" s="1243">
        <f t="shared" si="85"/>
        <v>419367.40000000008</v>
      </c>
      <c r="H508" s="1243"/>
      <c r="I508" s="1243">
        <f t="shared" si="83"/>
        <v>334340.90999999997</v>
      </c>
      <c r="J508" s="1243"/>
      <c r="K508" s="1243">
        <v>1132.29</v>
      </c>
      <c r="L508" s="1243">
        <v>0</v>
      </c>
      <c r="M508" s="1243">
        <f t="shared" si="86"/>
        <v>0</v>
      </c>
      <c r="N508" s="1243">
        <v>0</v>
      </c>
      <c r="O508" s="1243">
        <f t="shared" si="84"/>
        <v>335473.19999999995</v>
      </c>
    </row>
    <row r="509" spans="1:15">
      <c r="A509" s="361">
        <f t="shared" si="81"/>
        <v>36</v>
      </c>
      <c r="B509" s="365">
        <v>387.44</v>
      </c>
      <c r="C509" s="358" t="s">
        <v>407</v>
      </c>
      <c r="D509" s="1243">
        <f t="shared" si="82"/>
        <v>124678.76000000001</v>
      </c>
      <c r="E509" s="1243">
        <v>0</v>
      </c>
      <c r="F509" s="1243">
        <v>0</v>
      </c>
      <c r="G509" s="1243">
        <f t="shared" si="85"/>
        <v>124678.76000000001</v>
      </c>
      <c r="H509" s="1243"/>
      <c r="I509" s="1243">
        <f t="shared" si="83"/>
        <v>64713.089999999989</v>
      </c>
      <c r="J509" s="1243"/>
      <c r="K509" s="1243">
        <v>336.63</v>
      </c>
      <c r="L509" s="1243">
        <v>0</v>
      </c>
      <c r="M509" s="1243">
        <f t="shared" si="86"/>
        <v>0</v>
      </c>
      <c r="N509" s="1243">
        <v>0</v>
      </c>
      <c r="O509" s="1243">
        <f t="shared" si="84"/>
        <v>65049.719999999987</v>
      </c>
    </row>
    <row r="510" spans="1:15">
      <c r="A510" s="361">
        <f t="shared" si="81"/>
        <v>37</v>
      </c>
      <c r="B510" s="365">
        <v>387.45</v>
      </c>
      <c r="C510" s="358" t="s">
        <v>408</v>
      </c>
      <c r="D510" s="1243">
        <f t="shared" si="82"/>
        <v>5529760.1299999999</v>
      </c>
      <c r="E510" s="1243">
        <v>94210.3</v>
      </c>
      <c r="F510" s="1243">
        <v>-201258.4</v>
      </c>
      <c r="G510" s="1243">
        <f t="shared" si="85"/>
        <v>5422712.0299999993</v>
      </c>
      <c r="H510" s="1243"/>
      <c r="I510" s="1243">
        <f t="shared" si="83"/>
        <v>-463162.55</v>
      </c>
      <c r="J510" s="1243"/>
      <c r="K510" s="1243">
        <v>14785.84</v>
      </c>
      <c r="L510" s="1243">
        <v>0</v>
      </c>
      <c r="M510" s="1243">
        <f t="shared" si="86"/>
        <v>-201258.4</v>
      </c>
      <c r="N510" s="1243">
        <v>0</v>
      </c>
      <c r="O510" s="1243">
        <f t="shared" si="84"/>
        <v>-649635.11</v>
      </c>
    </row>
    <row r="511" spans="1:15">
      <c r="A511" s="361">
        <f t="shared" si="81"/>
        <v>38</v>
      </c>
      <c r="B511" s="365">
        <v>387.46</v>
      </c>
      <c r="C511" s="358" t="s">
        <v>409</v>
      </c>
      <c r="D511" s="1243">
        <f t="shared" si="82"/>
        <v>113644.47</v>
      </c>
      <c r="E511" s="1243">
        <v>0</v>
      </c>
      <c r="F511" s="1243">
        <v>0</v>
      </c>
      <c r="G511" s="1243">
        <f t="shared" si="85"/>
        <v>113644.47</v>
      </c>
      <c r="H511" s="1243"/>
      <c r="I511" s="1243">
        <f t="shared" si="83"/>
        <v>114497.07</v>
      </c>
      <c r="J511" s="1243"/>
      <c r="K511" s="1243">
        <v>0</v>
      </c>
      <c r="L511" s="1243">
        <v>0</v>
      </c>
      <c r="M511" s="1243">
        <f t="shared" si="86"/>
        <v>0</v>
      </c>
      <c r="N511" s="1243">
        <v>0</v>
      </c>
      <c r="O511" s="1243">
        <f t="shared" si="84"/>
        <v>114497.07</v>
      </c>
    </row>
    <row r="512" spans="1:15">
      <c r="A512" s="361">
        <f t="shared" si="81"/>
        <v>39</v>
      </c>
      <c r="B512" s="365">
        <v>387.5</v>
      </c>
      <c r="C512" s="358" t="s">
        <v>1075</v>
      </c>
      <c r="D512" s="1244">
        <f t="shared" si="82"/>
        <v>235051.94</v>
      </c>
      <c r="E512" s="1244">
        <v>0</v>
      </c>
      <c r="F512" s="1244">
        <v>0</v>
      </c>
      <c r="G512" s="1244">
        <f t="shared" si="85"/>
        <v>235051.94</v>
      </c>
      <c r="H512" s="1243"/>
      <c r="I512" s="1244">
        <f t="shared" si="83"/>
        <v>37820.860000000008</v>
      </c>
      <c r="J512" s="1243"/>
      <c r="K512" s="1244">
        <v>605.26</v>
      </c>
      <c r="L512" s="1244">
        <v>0</v>
      </c>
      <c r="M512" s="1244">
        <f t="shared" si="86"/>
        <v>0</v>
      </c>
      <c r="N512" s="1244">
        <v>0</v>
      </c>
      <c r="O512" s="1244">
        <f t="shared" si="84"/>
        <v>38426.12000000001</v>
      </c>
    </row>
    <row r="513" spans="1:16">
      <c r="A513" s="361">
        <f t="shared" si="81"/>
        <v>40</v>
      </c>
      <c r="C513" s="365" t="s">
        <v>1601</v>
      </c>
      <c r="D513" s="1243">
        <f>SUM(D483:D512)</f>
        <v>703530294.6333158</v>
      </c>
      <c r="E513" s="1243">
        <f>SUM(E483:E512)</f>
        <v>3849411.0299999993</v>
      </c>
      <c r="F513" s="1243">
        <f>SUM(F483:F512)</f>
        <v>-524752.04182255676</v>
      </c>
      <c r="G513" s="1243">
        <f>SUM(G483:G512)</f>
        <v>706854953.6214931</v>
      </c>
      <c r="H513" s="1243"/>
      <c r="I513" s="1243">
        <f>SUM(I483:I512)</f>
        <v>160459754.70953563</v>
      </c>
      <c r="J513" s="1243"/>
      <c r="K513" s="1243">
        <f>SUM(K483:K512)</f>
        <v>1534826.2409999999</v>
      </c>
      <c r="L513" s="1243">
        <f>SUM(L483:L512)</f>
        <v>0</v>
      </c>
      <c r="M513" s="1243">
        <f>SUM(M483:M512)</f>
        <v>-524752.04182255676</v>
      </c>
      <c r="N513" s="1243">
        <f>SUM(N483:N512)</f>
        <v>-64404.316892999988</v>
      </c>
      <c r="O513" s="1243">
        <f>SUM(O483:O512)</f>
        <v>161405424.59182006</v>
      </c>
    </row>
    <row r="514" spans="1:16">
      <c r="B514" s="367"/>
      <c r="C514" s="368"/>
      <c r="D514" s="369"/>
      <c r="E514" s="369"/>
      <c r="F514" s="369"/>
      <c r="G514" s="369"/>
      <c r="I514" s="369"/>
      <c r="J514" s="369"/>
      <c r="K514" s="369"/>
      <c r="L514" s="369"/>
      <c r="M514" s="369"/>
      <c r="N514" s="369"/>
      <c r="O514" s="369"/>
    </row>
    <row r="515" spans="1:16">
      <c r="I515" s="369"/>
      <c r="J515" s="369"/>
      <c r="K515" s="369"/>
      <c r="L515" s="369"/>
      <c r="M515" s="369"/>
      <c r="N515" s="369"/>
      <c r="O515" s="369"/>
    </row>
    <row r="516" spans="1:16" s="291" customFormat="1">
      <c r="A516" s="1308" t="str">
        <f>$A$1</f>
        <v>COLUMBIA GAS OF KENTUCKY, INC.</v>
      </c>
      <c r="B516" s="1308"/>
      <c r="C516" s="1308"/>
      <c r="D516" s="1308"/>
      <c r="E516" s="1308"/>
      <c r="F516" s="1308"/>
      <c r="G516" s="1308"/>
      <c r="H516" s="1308"/>
      <c r="I516" s="1308"/>
      <c r="J516" s="1308"/>
      <c r="K516" s="1308"/>
      <c r="L516" s="1308"/>
      <c r="M516" s="1308"/>
      <c r="N516" s="1308"/>
      <c r="O516" s="1308"/>
    </row>
    <row r="517" spans="1:16" s="291" customFormat="1">
      <c r="A517" s="1308" t="str">
        <f>$A$2</f>
        <v>CASE NO. 2024 - 00092</v>
      </c>
      <c r="B517" s="1308"/>
      <c r="C517" s="1308"/>
      <c r="D517" s="1308"/>
      <c r="E517" s="1308"/>
      <c r="F517" s="1308"/>
      <c r="G517" s="1308"/>
      <c r="H517" s="1308"/>
      <c r="I517" s="1308"/>
      <c r="J517" s="1308"/>
      <c r="K517" s="1308"/>
      <c r="L517" s="1308"/>
      <c r="M517" s="1308"/>
      <c r="N517" s="1308"/>
      <c r="O517" s="1308"/>
    </row>
    <row r="518" spans="1:16" s="291" customFormat="1">
      <c r="A518" s="1308" t="str">
        <f>$A$3</f>
        <v>DETAIL OF ACTUAL &amp; FORECASTED PLANT, ACCUMULATED RESERVE &amp; DEPRECIATION EXPENSE</v>
      </c>
      <c r="B518" s="1308"/>
      <c r="C518" s="1308"/>
      <c r="D518" s="1308"/>
      <c r="E518" s="1308"/>
      <c r="F518" s="1308"/>
      <c r="G518" s="1308"/>
      <c r="H518" s="1308"/>
      <c r="I518" s="1308"/>
      <c r="J518" s="1308"/>
      <c r="K518" s="1308"/>
      <c r="L518" s="1308"/>
      <c r="M518" s="1308"/>
      <c r="N518" s="1308"/>
      <c r="O518" s="1308"/>
      <c r="P518" s="357"/>
    </row>
    <row r="519" spans="1:16" s="291" customFormat="1">
      <c r="A519" s="1308" t="str">
        <f>$A$4</f>
        <v>FROM JANUARY 01, 2023 THROUGH DECEMBER 31, 2025</v>
      </c>
      <c r="B519" s="1308"/>
      <c r="C519" s="1308"/>
      <c r="D519" s="1308"/>
      <c r="E519" s="1308"/>
      <c r="F519" s="1308"/>
      <c r="G519" s="1308"/>
      <c r="H519" s="1308"/>
      <c r="I519" s="1308"/>
      <c r="J519" s="1308"/>
      <c r="K519" s="1308"/>
      <c r="L519" s="1308"/>
      <c r="M519" s="1308"/>
      <c r="N519" s="1308"/>
      <c r="O519" s="1308"/>
    </row>
    <row r="520" spans="1:16" s="291" customFormat="1">
      <c r="B520" s="293"/>
      <c r="P520" s="312"/>
    </row>
    <row r="521" spans="1:16" s="291" customFormat="1">
      <c r="A521" s="297" t="str">
        <f>$A$6</f>
        <v xml:space="preserve">DATA: _X_ BASE PERIOD _X_ FORECASTED PERIOD     </v>
      </c>
      <c r="B521" s="293"/>
      <c r="O521" s="312" t="str">
        <f>$O$6</f>
        <v>WPB-2.1.C</v>
      </c>
      <c r="P521" s="312"/>
    </row>
    <row r="522" spans="1:16" s="291" customFormat="1">
      <c r="A522" s="297" t="str">
        <f>$A$7</f>
        <v>TYPE OF FILING:___X___ORIGINAL______UPDATED</v>
      </c>
      <c r="B522" s="293"/>
      <c r="O522" s="312" t="s">
        <v>2213</v>
      </c>
      <c r="P522" s="312"/>
    </row>
    <row r="523" spans="1:16" s="291" customFormat="1">
      <c r="A523" s="297" t="str">
        <f>$A$8</f>
        <v>WORKPAPER REFERENCE NO(S).:</v>
      </c>
      <c r="B523" s="293"/>
      <c r="O523" s="312" t="str">
        <f>$O$8</f>
        <v>WITNESS: GORE</v>
      </c>
    </row>
    <row r="524" spans="1:16">
      <c r="A524" s="918"/>
      <c r="B524" s="919"/>
      <c r="C524" s="918"/>
      <c r="D524" s="918"/>
      <c r="E524" s="918"/>
      <c r="F524" s="918"/>
      <c r="G524" s="918"/>
      <c r="H524" s="918"/>
      <c r="I524" s="918"/>
      <c r="J524" s="918"/>
      <c r="K524" s="918"/>
      <c r="L524" s="918"/>
      <c r="M524" s="918"/>
      <c r="N524" s="918"/>
      <c r="O524" s="920"/>
    </row>
    <row r="525" spans="1:16">
      <c r="D525" s="1311" t="s">
        <v>1768</v>
      </c>
      <c r="E525" s="1311"/>
      <c r="F525" s="1311"/>
      <c r="G525" s="1311"/>
      <c r="I525" s="1311" t="s">
        <v>1769</v>
      </c>
      <c r="J525" s="1311"/>
      <c r="K525" s="1311"/>
      <c r="L525" s="1311"/>
      <c r="M525" s="1311"/>
      <c r="N525" s="1311"/>
      <c r="O525" s="1311"/>
    </row>
    <row r="526" spans="1:16">
      <c r="D526" s="360">
        <f>D467</f>
        <v>45047</v>
      </c>
      <c r="G526" s="360">
        <f>G467</f>
        <v>45077</v>
      </c>
      <c r="I526" s="360">
        <f>D526</f>
        <v>45047</v>
      </c>
      <c r="O526" s="360">
        <f>G526</f>
        <v>45077</v>
      </c>
    </row>
    <row r="527" spans="1:16">
      <c r="D527" s="361" t="s">
        <v>1757</v>
      </c>
      <c r="G527" s="361" t="s">
        <v>1757</v>
      </c>
      <c r="I527" s="361" t="s">
        <v>1758</v>
      </c>
      <c r="J527" s="361" t="s">
        <v>488</v>
      </c>
      <c r="L527" s="361" t="s">
        <v>1758</v>
      </c>
      <c r="O527" s="361" t="s">
        <v>1758</v>
      </c>
    </row>
    <row r="528" spans="1:16">
      <c r="A528" s="361" t="s">
        <v>1770</v>
      </c>
      <c r="B528" s="361" t="s">
        <v>368</v>
      </c>
      <c r="C528" s="361"/>
      <c r="D528" s="361" t="s">
        <v>437</v>
      </c>
      <c r="G528" s="361" t="s">
        <v>439</v>
      </c>
      <c r="I528" s="361" t="s">
        <v>437</v>
      </c>
      <c r="J528" s="361" t="s">
        <v>1771</v>
      </c>
      <c r="K528" s="361" t="s">
        <v>1772</v>
      </c>
      <c r="L528" s="361" t="s">
        <v>1759</v>
      </c>
      <c r="N528" s="361" t="s">
        <v>1760</v>
      </c>
      <c r="O528" s="361" t="s">
        <v>439</v>
      </c>
    </row>
    <row r="529" spans="1:15">
      <c r="A529" s="364" t="s">
        <v>316</v>
      </c>
      <c r="B529" s="364" t="s">
        <v>316</v>
      </c>
      <c r="C529" s="364" t="s">
        <v>451</v>
      </c>
      <c r="D529" s="364" t="s">
        <v>441</v>
      </c>
      <c r="E529" s="364" t="s">
        <v>442</v>
      </c>
      <c r="F529" s="364" t="s">
        <v>443</v>
      </c>
      <c r="G529" s="364" t="s">
        <v>441</v>
      </c>
      <c r="I529" s="364" t="s">
        <v>441</v>
      </c>
      <c r="J529" s="364" t="s">
        <v>1773</v>
      </c>
      <c r="K529" s="364" t="s">
        <v>1771</v>
      </c>
      <c r="L529" s="364" t="s">
        <v>355</v>
      </c>
      <c r="M529" s="364" t="s">
        <v>443</v>
      </c>
      <c r="N529" s="364" t="s">
        <v>1763</v>
      </c>
      <c r="O529" s="364" t="s">
        <v>441</v>
      </c>
    </row>
    <row r="530" spans="1:15">
      <c r="D530" s="361" t="s">
        <v>532</v>
      </c>
      <c r="E530" s="361" t="s">
        <v>541</v>
      </c>
      <c r="F530" s="361" t="s">
        <v>542</v>
      </c>
      <c r="G530" s="361" t="s">
        <v>1764</v>
      </c>
      <c r="I530" s="334" t="str">
        <f>"(5)"</f>
        <v>(5)</v>
      </c>
      <c r="J530" s="334" t="str">
        <f>"(6)"</f>
        <v>(6)</v>
      </c>
      <c r="K530" s="334" t="str">
        <f>"(7)"</f>
        <v>(7)</v>
      </c>
      <c r="L530" s="334" t="str">
        <f>"(8)"</f>
        <v>(8)</v>
      </c>
      <c r="M530" s="334" t="str">
        <f>"(9)"</f>
        <v>(9)</v>
      </c>
      <c r="N530" s="334" t="str">
        <f>"(10)"</f>
        <v>(10)</v>
      </c>
      <c r="O530" s="334" t="str">
        <f>"(11=5+7+8+9+10)"</f>
        <v>(11=5+7+8+9+10)</v>
      </c>
    </row>
    <row r="531" spans="1:15">
      <c r="D531" s="361" t="s">
        <v>320</v>
      </c>
      <c r="E531" s="361" t="s">
        <v>320</v>
      </c>
      <c r="F531" s="361" t="s">
        <v>320</v>
      </c>
      <c r="G531" s="361" t="s">
        <v>320</v>
      </c>
      <c r="I531" s="334" t="s">
        <v>320</v>
      </c>
      <c r="J531" s="334" t="s">
        <v>529</v>
      </c>
      <c r="K531" s="334" t="s">
        <v>320</v>
      </c>
      <c r="L531" s="334" t="s">
        <v>320</v>
      </c>
      <c r="M531" s="334" t="s">
        <v>320</v>
      </c>
      <c r="N531" s="334" t="s">
        <v>320</v>
      </c>
      <c r="O531" s="334" t="s">
        <v>320</v>
      </c>
    </row>
    <row r="532" spans="1:15">
      <c r="A532" s="361">
        <v>1</v>
      </c>
      <c r="B532" s="363" t="s">
        <v>411</v>
      </c>
      <c r="D532" s="361"/>
      <c r="E532" s="361"/>
      <c r="F532" s="361"/>
      <c r="G532" s="361"/>
      <c r="I532" s="334"/>
      <c r="J532" s="334"/>
      <c r="K532" s="334"/>
      <c r="L532" s="334"/>
      <c r="M532" s="334"/>
      <c r="N532" s="334"/>
      <c r="O532" s="334"/>
    </row>
    <row r="533" spans="1:15">
      <c r="A533" s="361">
        <f>A532+1</f>
        <v>2</v>
      </c>
      <c r="B533" s="365">
        <v>391.1</v>
      </c>
      <c r="C533" s="358" t="s">
        <v>412</v>
      </c>
      <c r="D533" s="1243">
        <f t="shared" ref="D533:D546" si="87">G419</f>
        <v>820366.66</v>
      </c>
      <c r="E533" s="1243">
        <v>0</v>
      </c>
      <c r="F533" s="1243">
        <v>0</v>
      </c>
      <c r="G533" s="1243">
        <f>SUM(D533:F533)</f>
        <v>820366.66</v>
      </c>
      <c r="H533" s="1243"/>
      <c r="I533" s="1245">
        <f t="shared" ref="I533:I546" si="88">O419</f>
        <v>89120.07</v>
      </c>
      <c r="J533" s="1243"/>
      <c r="K533" s="1243">
        <v>3418.19</v>
      </c>
      <c r="L533" s="1243">
        <v>0</v>
      </c>
      <c r="M533" s="1243">
        <f>F533</f>
        <v>0</v>
      </c>
      <c r="N533" s="1243">
        <v>0</v>
      </c>
      <c r="O533" s="1243">
        <f t="shared" ref="O533:O546" si="89">I533+K533+L533+M533+N533</f>
        <v>92538.260000000009</v>
      </c>
    </row>
    <row r="534" spans="1:15">
      <c r="A534" s="361">
        <f t="shared" ref="A534:A547" si="90">A533+1</f>
        <v>3</v>
      </c>
      <c r="B534" s="365">
        <v>391.11</v>
      </c>
      <c r="C534" s="358" t="s">
        <v>413</v>
      </c>
      <c r="D534" s="1243">
        <f t="shared" si="87"/>
        <v>0</v>
      </c>
      <c r="E534" s="1243">
        <v>0</v>
      </c>
      <c r="F534" s="1243">
        <v>0</v>
      </c>
      <c r="G534" s="1243">
        <f t="shared" ref="G534:G541" si="91">SUM(D534:F534)</f>
        <v>0</v>
      </c>
      <c r="H534" s="1243"/>
      <c r="I534" s="1245">
        <f t="shared" si="88"/>
        <v>-18933.789999999997</v>
      </c>
      <c r="J534" s="1243"/>
      <c r="K534" s="1243">
        <v>0</v>
      </c>
      <c r="L534" s="1243">
        <v>0</v>
      </c>
      <c r="M534" s="1243">
        <f t="shared" ref="M534:M546" si="92">F534</f>
        <v>0</v>
      </c>
      <c r="N534" s="1243">
        <v>0</v>
      </c>
      <c r="O534" s="1243">
        <f t="shared" si="89"/>
        <v>-18933.789999999997</v>
      </c>
    </row>
    <row r="535" spans="1:15">
      <c r="A535" s="361">
        <f t="shared" si="90"/>
        <v>4</v>
      </c>
      <c r="B535" s="365">
        <v>391.12</v>
      </c>
      <c r="C535" s="358" t="s">
        <v>414</v>
      </c>
      <c r="D535" s="1243">
        <f t="shared" si="87"/>
        <v>91133.260000000009</v>
      </c>
      <c r="E535" s="1243">
        <v>0</v>
      </c>
      <c r="F535" s="1243">
        <v>0</v>
      </c>
      <c r="G535" s="1243">
        <f t="shared" si="91"/>
        <v>91133.260000000009</v>
      </c>
      <c r="H535" s="1243"/>
      <c r="I535" s="1245">
        <f t="shared" si="88"/>
        <v>39719.08</v>
      </c>
      <c r="J535" s="1243"/>
      <c r="K535" s="1243">
        <v>1518.89</v>
      </c>
      <c r="L535" s="1243">
        <v>0</v>
      </c>
      <c r="M535" s="1243">
        <f t="shared" si="92"/>
        <v>0</v>
      </c>
      <c r="N535" s="1243">
        <v>0</v>
      </c>
      <c r="O535" s="1243">
        <f t="shared" si="89"/>
        <v>41237.97</v>
      </c>
    </row>
    <row r="536" spans="1:15">
      <c r="A536" s="361">
        <f t="shared" si="90"/>
        <v>5</v>
      </c>
      <c r="B536" s="365">
        <v>392.2</v>
      </c>
      <c r="C536" s="358" t="s">
        <v>524</v>
      </c>
      <c r="D536" s="1243">
        <f t="shared" si="87"/>
        <v>95778</v>
      </c>
      <c r="E536" s="1243">
        <v>0</v>
      </c>
      <c r="F536" s="1243">
        <v>0</v>
      </c>
      <c r="G536" s="1243">
        <f t="shared" si="91"/>
        <v>95778</v>
      </c>
      <c r="H536" s="1243"/>
      <c r="I536" s="1245">
        <f t="shared" si="88"/>
        <v>63405.289999999986</v>
      </c>
      <c r="J536" s="1243"/>
      <c r="K536" s="1243">
        <v>71.84</v>
      </c>
      <c r="L536" s="1243">
        <v>0</v>
      </c>
      <c r="M536" s="1243">
        <f t="shared" si="92"/>
        <v>0</v>
      </c>
      <c r="N536" s="1243">
        <v>0</v>
      </c>
      <c r="O536" s="1243">
        <f t="shared" si="89"/>
        <v>63477.129999999983</v>
      </c>
    </row>
    <row r="537" spans="1:15">
      <c r="A537" s="361">
        <f t="shared" si="90"/>
        <v>6</v>
      </c>
      <c r="B537" s="365">
        <v>392.21</v>
      </c>
      <c r="C537" s="358" t="s">
        <v>415</v>
      </c>
      <c r="D537" s="1243">
        <f t="shared" si="87"/>
        <v>24462.2</v>
      </c>
      <c r="E537" s="1243">
        <v>0</v>
      </c>
      <c r="F537" s="1243">
        <v>0</v>
      </c>
      <c r="G537" s="1243">
        <f t="shared" si="91"/>
        <v>24462.2</v>
      </c>
      <c r="H537" s="1243"/>
      <c r="I537" s="1245">
        <f t="shared" si="88"/>
        <v>44754.01</v>
      </c>
      <c r="J537" s="1243"/>
      <c r="K537" s="1243">
        <v>0</v>
      </c>
      <c r="L537" s="1243">
        <v>0</v>
      </c>
      <c r="M537" s="1243">
        <f t="shared" si="92"/>
        <v>0</v>
      </c>
      <c r="N537" s="1243">
        <v>0</v>
      </c>
      <c r="O537" s="1243">
        <f t="shared" si="89"/>
        <v>44754.01</v>
      </c>
    </row>
    <row r="538" spans="1:15">
      <c r="A538" s="361">
        <f t="shared" si="90"/>
        <v>7</v>
      </c>
      <c r="B538" s="365">
        <v>393</v>
      </c>
      <c r="C538" s="358" t="s">
        <v>416</v>
      </c>
      <c r="D538" s="1243">
        <f t="shared" si="87"/>
        <v>0</v>
      </c>
      <c r="E538" s="1243">
        <v>0</v>
      </c>
      <c r="F538" s="1243">
        <v>0</v>
      </c>
      <c r="G538" s="1243">
        <f t="shared" si="91"/>
        <v>0</v>
      </c>
      <c r="H538" s="1243"/>
      <c r="I538" s="1245">
        <f t="shared" si="88"/>
        <v>0</v>
      </c>
      <c r="J538" s="1243"/>
      <c r="K538" s="1243">
        <v>0</v>
      </c>
      <c r="L538" s="1243">
        <v>0</v>
      </c>
      <c r="M538" s="1243">
        <f t="shared" si="92"/>
        <v>0</v>
      </c>
      <c r="N538" s="1243">
        <v>0</v>
      </c>
      <c r="O538" s="1243">
        <f t="shared" si="89"/>
        <v>0</v>
      </c>
    </row>
    <row r="539" spans="1:15">
      <c r="A539" s="361">
        <f t="shared" si="90"/>
        <v>8</v>
      </c>
      <c r="B539" s="365">
        <v>394.1</v>
      </c>
      <c r="C539" s="358" t="s">
        <v>417</v>
      </c>
      <c r="D539" s="1243">
        <f t="shared" si="87"/>
        <v>9739</v>
      </c>
      <c r="E539" s="1243">
        <v>0</v>
      </c>
      <c r="F539" s="1243">
        <v>0</v>
      </c>
      <c r="G539" s="1243">
        <f t="shared" si="91"/>
        <v>9739</v>
      </c>
      <c r="H539" s="1243"/>
      <c r="I539" s="1245">
        <f t="shared" si="88"/>
        <v>3815.4700000000003</v>
      </c>
      <c r="J539" s="1243"/>
      <c r="K539" s="1243">
        <v>32.46</v>
      </c>
      <c r="L539" s="1243">
        <v>0</v>
      </c>
      <c r="M539" s="1243">
        <f t="shared" si="92"/>
        <v>0</v>
      </c>
      <c r="N539" s="1243">
        <v>0</v>
      </c>
      <c r="O539" s="1243">
        <f t="shared" si="89"/>
        <v>3847.9300000000003</v>
      </c>
    </row>
    <row r="540" spans="1:15">
      <c r="A540" s="361">
        <f t="shared" si="90"/>
        <v>9</v>
      </c>
      <c r="B540" s="365">
        <v>394.11</v>
      </c>
      <c r="C540" s="358" t="s">
        <v>418</v>
      </c>
      <c r="D540" s="1243">
        <f t="shared" si="87"/>
        <v>0</v>
      </c>
      <c r="E540" s="1243">
        <v>0</v>
      </c>
      <c r="F540" s="1243">
        <v>0</v>
      </c>
      <c r="G540" s="1243">
        <f t="shared" si="91"/>
        <v>0</v>
      </c>
      <c r="H540" s="1243"/>
      <c r="I540" s="1245">
        <f t="shared" si="88"/>
        <v>-26071.5</v>
      </c>
      <c r="J540" s="1243"/>
      <c r="K540" s="1243">
        <v>0</v>
      </c>
      <c r="L540" s="1243">
        <v>0</v>
      </c>
      <c r="M540" s="1243">
        <f t="shared" si="92"/>
        <v>0</v>
      </c>
      <c r="N540" s="1243">
        <v>0</v>
      </c>
      <c r="O540" s="1243">
        <f t="shared" si="89"/>
        <v>-26071.5</v>
      </c>
    </row>
    <row r="541" spans="1:15">
      <c r="A541" s="361">
        <f t="shared" si="90"/>
        <v>10</v>
      </c>
      <c r="B541" s="365">
        <v>394.13</v>
      </c>
      <c r="C541" s="358" t="s">
        <v>515</v>
      </c>
      <c r="D541" s="1243">
        <f t="shared" si="87"/>
        <v>0</v>
      </c>
      <c r="E541" s="1243">
        <v>0</v>
      </c>
      <c r="F541" s="1243">
        <v>0</v>
      </c>
      <c r="G541" s="1243">
        <f t="shared" si="91"/>
        <v>0</v>
      </c>
      <c r="H541" s="1243"/>
      <c r="I541" s="1245">
        <f t="shared" si="88"/>
        <v>37937.360000000001</v>
      </c>
      <c r="J541" s="1243"/>
      <c r="K541" s="1243">
        <v>0</v>
      </c>
      <c r="L541" s="1243">
        <v>0</v>
      </c>
      <c r="M541" s="1243">
        <f t="shared" si="92"/>
        <v>0</v>
      </c>
      <c r="N541" s="1243">
        <v>0</v>
      </c>
      <c r="O541" s="1243">
        <f t="shared" si="89"/>
        <v>37937.360000000001</v>
      </c>
    </row>
    <row r="542" spans="1:15">
      <c r="A542" s="361">
        <f t="shared" si="90"/>
        <v>11</v>
      </c>
      <c r="B542" s="365">
        <v>394.2</v>
      </c>
      <c r="C542" s="358" t="s">
        <v>420</v>
      </c>
      <c r="D542" s="1243">
        <f t="shared" si="87"/>
        <v>0</v>
      </c>
      <c r="E542" s="1243">
        <v>0</v>
      </c>
      <c r="F542" s="1243">
        <v>0</v>
      </c>
      <c r="G542" s="1243">
        <f>SUM(D542:F542)</f>
        <v>0</v>
      </c>
      <c r="H542" s="1243"/>
      <c r="I542" s="1245">
        <f t="shared" si="88"/>
        <v>185.21</v>
      </c>
      <c r="J542" s="1243"/>
      <c r="K542" s="1243">
        <v>0</v>
      </c>
      <c r="L542" s="1243">
        <v>0</v>
      </c>
      <c r="M542" s="1243">
        <f t="shared" si="92"/>
        <v>0</v>
      </c>
      <c r="N542" s="1243">
        <v>0</v>
      </c>
      <c r="O542" s="1243">
        <f t="shared" si="89"/>
        <v>185.21</v>
      </c>
    </row>
    <row r="543" spans="1:15">
      <c r="A543" s="361">
        <f t="shared" si="90"/>
        <v>12</v>
      </c>
      <c r="B543" s="365">
        <v>394.3</v>
      </c>
      <c r="C543" s="358" t="s">
        <v>1602</v>
      </c>
      <c r="D543" s="1243">
        <f t="shared" si="87"/>
        <v>4865031.5100000007</v>
      </c>
      <c r="E543" s="1243">
        <v>132426.78</v>
      </c>
      <c r="F543" s="1243">
        <v>-92223.41</v>
      </c>
      <c r="G543" s="1243">
        <f>SUM(D543:F543)</f>
        <v>4905234.8800000008</v>
      </c>
      <c r="H543" s="1243"/>
      <c r="I543" s="1245">
        <f t="shared" si="88"/>
        <v>1571116.0599999998</v>
      </c>
      <c r="J543" s="1243"/>
      <c r="K543" s="1243">
        <v>16283.78</v>
      </c>
      <c r="L543" s="1243">
        <v>0</v>
      </c>
      <c r="M543" s="1243">
        <f t="shared" si="92"/>
        <v>-92223.41</v>
      </c>
      <c r="N543" s="1243">
        <v>0</v>
      </c>
      <c r="O543" s="1243">
        <f t="shared" si="89"/>
        <v>1495176.43</v>
      </c>
    </row>
    <row r="544" spans="1:15">
      <c r="A544" s="361">
        <f t="shared" si="90"/>
        <v>13</v>
      </c>
      <c r="B544" s="365">
        <v>395</v>
      </c>
      <c r="C544" s="358" t="s">
        <v>422</v>
      </c>
      <c r="D544" s="1243">
        <f t="shared" si="87"/>
        <v>4162.05</v>
      </c>
      <c r="E544" s="1243">
        <v>0</v>
      </c>
      <c r="F544" s="1243">
        <v>0</v>
      </c>
      <c r="G544" s="1243">
        <f>SUM(D544:F544)</f>
        <v>4162.05</v>
      </c>
      <c r="H544" s="1243"/>
      <c r="I544" s="1245">
        <f t="shared" si="88"/>
        <v>3913.9600000000005</v>
      </c>
      <c r="J544" s="1243"/>
      <c r="K544" s="1243">
        <v>17.34</v>
      </c>
      <c r="L544" s="1243">
        <v>0</v>
      </c>
      <c r="M544" s="1243">
        <f t="shared" si="92"/>
        <v>0</v>
      </c>
      <c r="N544" s="1243">
        <v>0</v>
      </c>
      <c r="O544" s="1243">
        <f t="shared" si="89"/>
        <v>3931.3000000000006</v>
      </c>
    </row>
    <row r="545" spans="1:15">
      <c r="A545" s="361">
        <f t="shared" si="90"/>
        <v>14</v>
      </c>
      <c r="B545" s="365">
        <v>396</v>
      </c>
      <c r="C545" s="358" t="s">
        <v>423</v>
      </c>
      <c r="D545" s="1243">
        <f t="shared" si="87"/>
        <v>185547</v>
      </c>
      <c r="E545" s="1243">
        <v>0</v>
      </c>
      <c r="F545" s="1243">
        <v>0</v>
      </c>
      <c r="G545" s="1243">
        <f>SUM(D545:F545)</f>
        <v>185547</v>
      </c>
      <c r="H545" s="1243"/>
      <c r="I545" s="1245">
        <f t="shared" si="88"/>
        <v>171938.14</v>
      </c>
      <c r="J545" s="1243"/>
      <c r="K545" s="1243">
        <v>0</v>
      </c>
      <c r="L545" s="1243">
        <v>0</v>
      </c>
      <c r="M545" s="1243">
        <f t="shared" si="92"/>
        <v>0</v>
      </c>
      <c r="N545" s="1243">
        <v>0</v>
      </c>
      <c r="O545" s="1243">
        <f t="shared" si="89"/>
        <v>171938.14</v>
      </c>
    </row>
    <row r="546" spans="1:15">
      <c r="A546" s="361">
        <f t="shared" si="90"/>
        <v>15</v>
      </c>
      <c r="B546" s="365">
        <v>398</v>
      </c>
      <c r="C546" s="358" t="s">
        <v>424</v>
      </c>
      <c r="D546" s="1244">
        <f t="shared" si="87"/>
        <v>123389.32000000002</v>
      </c>
      <c r="E546" s="1244">
        <v>0</v>
      </c>
      <c r="F546" s="1244">
        <v>0</v>
      </c>
      <c r="G546" s="1244">
        <f>SUM(D546:F546)</f>
        <v>123389.32000000002</v>
      </c>
      <c r="H546" s="1243"/>
      <c r="I546" s="1246">
        <f t="shared" si="88"/>
        <v>63864.03</v>
      </c>
      <c r="J546" s="1243"/>
      <c r="K546" s="1244">
        <v>685.84</v>
      </c>
      <c r="L546" s="1244">
        <v>0</v>
      </c>
      <c r="M546" s="1244">
        <f t="shared" si="92"/>
        <v>0</v>
      </c>
      <c r="N546" s="1244">
        <v>0</v>
      </c>
      <c r="O546" s="1244">
        <f t="shared" si="89"/>
        <v>64549.869999999995</v>
      </c>
    </row>
    <row r="547" spans="1:15">
      <c r="A547" s="361">
        <f t="shared" si="90"/>
        <v>16</v>
      </c>
      <c r="B547" s="367"/>
      <c r="C547" s="358" t="s">
        <v>425</v>
      </c>
      <c r="D547" s="1243">
        <f>SUM(D533:D546)</f>
        <v>6219609.0000000009</v>
      </c>
      <c r="E547" s="1243">
        <f>SUM(E533:E546)</f>
        <v>132426.78</v>
      </c>
      <c r="F547" s="1243">
        <f>SUM(F533:F546)</f>
        <v>-92223.41</v>
      </c>
      <c r="G547" s="1243">
        <f>SUM(G533:G546)</f>
        <v>6259812.370000001</v>
      </c>
      <c r="H547" s="1243"/>
      <c r="I547" s="1243">
        <f>SUM(I533:I546)</f>
        <v>2044763.39</v>
      </c>
      <c r="J547" s="1243"/>
      <c r="K547" s="1243">
        <f>SUM(K533:K546)</f>
        <v>22028.34</v>
      </c>
      <c r="L547" s="1243">
        <f>SUM(L533:L546)</f>
        <v>0</v>
      </c>
      <c r="M547" s="1243">
        <f>SUM(M533:M546)</f>
        <v>-92223.41</v>
      </c>
      <c r="N547" s="1243">
        <f>SUM(N533:N546)</f>
        <v>0</v>
      </c>
      <c r="O547" s="1243">
        <f>SUM(O533:O546)</f>
        <v>1974568.3200000003</v>
      </c>
    </row>
    <row r="548" spans="1:15">
      <c r="A548" s="361"/>
      <c r="D548" s="1243"/>
      <c r="E548" s="1243"/>
      <c r="F548" s="1243"/>
      <c r="G548" s="1243"/>
      <c r="H548" s="1243"/>
      <c r="I548" s="1243"/>
      <c r="J548" s="1243"/>
      <c r="K548" s="1243"/>
      <c r="L548" s="1243"/>
      <c r="M548" s="1243"/>
      <c r="N548" s="1243"/>
      <c r="O548" s="1243"/>
    </row>
    <row r="549" spans="1:15">
      <c r="A549" s="361">
        <f>A547+1</f>
        <v>17</v>
      </c>
      <c r="B549" s="363" t="s">
        <v>1038</v>
      </c>
      <c r="D549" s="1243"/>
      <c r="E549" s="1243"/>
      <c r="F549" s="1243"/>
      <c r="G549" s="1243"/>
      <c r="H549" s="1243"/>
      <c r="I549" s="1243"/>
      <c r="J549" s="1243"/>
      <c r="K549" s="1243"/>
      <c r="L549" s="1243"/>
      <c r="M549" s="1243"/>
      <c r="N549" s="1243"/>
      <c r="O549" s="1243"/>
    </row>
    <row r="550" spans="1:15">
      <c r="A550" s="361">
        <f>A549+1</f>
        <v>18</v>
      </c>
      <c r="B550" s="365">
        <v>378.21</v>
      </c>
      <c r="C550" s="358" t="s">
        <v>1037</v>
      </c>
      <c r="D550" s="1244">
        <f>G436</f>
        <v>-777092</v>
      </c>
      <c r="E550" s="1244">
        <v>0</v>
      </c>
      <c r="F550" s="1244">
        <v>0</v>
      </c>
      <c r="G550" s="1244">
        <f>SUM(D550:F550)</f>
        <v>-777092</v>
      </c>
      <c r="H550" s="1243"/>
      <c r="I550" s="1244">
        <f>O436</f>
        <v>-187216.98</v>
      </c>
      <c r="J550" s="1243"/>
      <c r="K550" s="1244">
        <v>-2144.17</v>
      </c>
      <c r="L550" s="1244">
        <v>0</v>
      </c>
      <c r="M550" s="1244">
        <f>F550</f>
        <v>0</v>
      </c>
      <c r="N550" s="1244"/>
      <c r="O550" s="1244">
        <f>I550+K550+L550+M550+N550</f>
        <v>-189361.15000000002</v>
      </c>
    </row>
    <row r="551" spans="1:15">
      <c r="A551" s="361">
        <f>A550+1</f>
        <v>19</v>
      </c>
      <c r="B551" s="370"/>
      <c r="C551" s="358" t="s">
        <v>1579</v>
      </c>
      <c r="D551" s="1243">
        <f>SUM(D550)</f>
        <v>-777092</v>
      </c>
      <c r="E551" s="1243">
        <f>SUM(E550)</f>
        <v>0</v>
      </c>
      <c r="F551" s="1243">
        <f>SUM(F550)</f>
        <v>0</v>
      </c>
      <c r="G551" s="1243">
        <f>SUM(G550)</f>
        <v>-777092</v>
      </c>
      <c r="H551" s="1243"/>
      <c r="I551" s="1243">
        <f>SUM(I550)</f>
        <v>-187216.98</v>
      </c>
      <c r="J551" s="1243"/>
      <c r="K551" s="1243">
        <f>SUM(K550)</f>
        <v>-2144.17</v>
      </c>
      <c r="L551" s="1243">
        <f>SUM(L550)</f>
        <v>0</v>
      </c>
      <c r="M551" s="1243">
        <f>SUM(M550)</f>
        <v>0</v>
      </c>
      <c r="N551" s="1243">
        <f>SUM(N550)</f>
        <v>0</v>
      </c>
      <c r="O551" s="1243">
        <f>SUM(O550)</f>
        <v>-189361.15000000002</v>
      </c>
    </row>
    <row r="552" spans="1:15">
      <c r="A552" s="361"/>
      <c r="B552" s="370"/>
      <c r="C552" s="368"/>
      <c r="D552" s="1243"/>
      <c r="E552" s="1243"/>
      <c r="F552" s="1243"/>
      <c r="G552" s="1243"/>
      <c r="H552" s="1243"/>
      <c r="I552" s="1243"/>
      <c r="J552" s="1243"/>
      <c r="K552" s="1243"/>
      <c r="L552" s="1243"/>
      <c r="M552" s="1243"/>
      <c r="N552" s="1243"/>
      <c r="O552" s="1243"/>
    </row>
    <row r="553" spans="1:15">
      <c r="A553" s="361">
        <f>A551+1</f>
        <v>20</v>
      </c>
      <c r="B553" s="370"/>
      <c r="C553" s="358" t="s">
        <v>2037</v>
      </c>
      <c r="D553" s="1243">
        <f>D480+D513+D547+D551</f>
        <v>722465986.77331579</v>
      </c>
      <c r="E553" s="1243">
        <f>E480+E513+E547+E551</f>
        <v>4544122.51</v>
      </c>
      <c r="F553" s="1243">
        <f>F480+F513+F547+F551</f>
        <v>-616975.45182255679</v>
      </c>
      <c r="G553" s="1243">
        <f>G480+G513+G547+G551</f>
        <v>726393133.83149314</v>
      </c>
      <c r="H553" s="1243"/>
      <c r="I553" s="1243">
        <f>I480+I513+I547+I551</f>
        <v>168582520.21953562</v>
      </c>
      <c r="J553" s="1243"/>
      <c r="K553" s="1243">
        <f>K480+K513+K547+K551</f>
        <v>1793754.091</v>
      </c>
      <c r="L553" s="1243">
        <f>L480+L513+L547+L551</f>
        <v>0</v>
      </c>
      <c r="M553" s="1243">
        <f>M480+M513+M547+M551</f>
        <v>-616975.45182255679</v>
      </c>
      <c r="N553" s="1243">
        <f>N480+N513+N547+N551</f>
        <v>-64404.316892999988</v>
      </c>
      <c r="O553" s="1243">
        <f>O480+O513+O547+O551</f>
        <v>169694894.54182005</v>
      </c>
    </row>
    <row r="554" spans="1:15">
      <c r="A554" s="361"/>
      <c r="B554" s="370"/>
      <c r="D554" s="1243"/>
      <c r="E554" s="1243"/>
      <c r="F554" s="1243"/>
      <c r="G554" s="1243"/>
      <c r="H554" s="1243"/>
      <c r="I554" s="1243"/>
      <c r="J554" s="1243"/>
      <c r="K554" s="1243"/>
      <c r="L554" s="1243"/>
      <c r="M554" s="1243"/>
      <c r="N554" s="1243"/>
      <c r="O554" s="1243"/>
    </row>
    <row r="555" spans="1:15">
      <c r="A555" s="361">
        <f>A553+1</f>
        <v>21</v>
      </c>
      <c r="B555" s="370"/>
      <c r="C555" s="358" t="s">
        <v>2038</v>
      </c>
      <c r="D555" s="1243">
        <v>0</v>
      </c>
      <c r="E555" s="1249">
        <v>0</v>
      </c>
      <c r="F555" s="1249">
        <v>0</v>
      </c>
      <c r="G555" s="1249">
        <f>SUM(D555:F555)</f>
        <v>0</v>
      </c>
      <c r="H555" s="1243"/>
      <c r="I555" s="1243">
        <f>O441</f>
        <v>-5660330.3700000001</v>
      </c>
      <c r="J555" s="1243"/>
      <c r="K555" s="1243"/>
      <c r="L555" s="1243"/>
      <c r="M555" s="1243"/>
      <c r="N555" s="1243">
        <v>-70315.19</v>
      </c>
      <c r="O555" s="1243">
        <f>I555+K555+L555+M555+N555</f>
        <v>-5730645.5600000005</v>
      </c>
    </row>
    <row r="556" spans="1:15">
      <c r="A556" s="361"/>
      <c r="B556" s="370"/>
      <c r="C556" s="368"/>
      <c r="D556" s="1243"/>
      <c r="E556" s="1243"/>
      <c r="F556" s="1243"/>
      <c r="G556" s="1243"/>
      <c r="H556" s="1243"/>
      <c r="I556" s="1243"/>
      <c r="J556" s="1243"/>
      <c r="K556" s="1243"/>
      <c r="L556" s="1243"/>
      <c r="M556" s="1243"/>
      <c r="N556" s="1243"/>
      <c r="O556" s="1243"/>
    </row>
    <row r="557" spans="1:15">
      <c r="A557" s="361">
        <f>A555+1</f>
        <v>22</v>
      </c>
      <c r="C557" s="358" t="s">
        <v>1603</v>
      </c>
      <c r="D557" s="1247">
        <f>D553+D555</f>
        <v>722465986.77331579</v>
      </c>
      <c r="E557" s="1247">
        <f t="shared" ref="E557:O557" si="93">E553+E555</f>
        <v>4544122.51</v>
      </c>
      <c r="F557" s="1247">
        <f t="shared" si="93"/>
        <v>-616975.45182255679</v>
      </c>
      <c r="G557" s="1247">
        <f t="shared" si="93"/>
        <v>726393133.83149314</v>
      </c>
      <c r="H557" s="1243"/>
      <c r="I557" s="1247">
        <f t="shared" si="93"/>
        <v>162922189.84953561</v>
      </c>
      <c r="J557" s="1243"/>
      <c r="K557" s="1247">
        <f t="shared" si="93"/>
        <v>1793754.091</v>
      </c>
      <c r="L557" s="1247">
        <f t="shared" si="93"/>
        <v>0</v>
      </c>
      <c r="M557" s="1247">
        <f t="shared" si="93"/>
        <v>-616975.45182255679</v>
      </c>
      <c r="N557" s="1247">
        <f t="shared" si="93"/>
        <v>-134719.50689299998</v>
      </c>
      <c r="O557" s="1247">
        <f t="shared" si="93"/>
        <v>163964248.98182005</v>
      </c>
    </row>
    <row r="558" spans="1:15">
      <c r="A558" s="361"/>
      <c r="D558" s="1243"/>
      <c r="E558" s="1243"/>
      <c r="F558" s="1243"/>
      <c r="G558" s="1243"/>
      <c r="H558" s="1243"/>
      <c r="I558" s="1243"/>
      <c r="J558" s="1243"/>
      <c r="K558" s="1243"/>
      <c r="L558" s="1243"/>
      <c r="M558" s="1243"/>
      <c r="N558" s="1243"/>
      <c r="O558" s="1243"/>
    </row>
    <row r="559" spans="1:15">
      <c r="A559" s="361"/>
      <c r="D559" s="1243"/>
      <c r="E559" s="1243"/>
      <c r="F559" s="1243"/>
      <c r="G559" s="1243"/>
      <c r="H559" s="1243"/>
      <c r="I559" s="1243"/>
      <c r="J559" s="1243"/>
      <c r="K559" s="1243"/>
      <c r="L559" s="1243"/>
      <c r="M559" s="1243"/>
      <c r="N559" s="1243"/>
      <c r="O559" s="1243"/>
    </row>
    <row r="560" spans="1:15">
      <c r="A560" s="361">
        <f>A557+1</f>
        <v>23</v>
      </c>
      <c r="B560" s="363" t="s">
        <v>1774</v>
      </c>
      <c r="D560" s="1243"/>
      <c r="E560" s="1243"/>
      <c r="F560" s="1243"/>
      <c r="G560" s="1243"/>
      <c r="H560" s="1243"/>
      <c r="I560" s="1243"/>
      <c r="J560" s="1243"/>
      <c r="K560" s="1243"/>
      <c r="L560" s="1243"/>
      <c r="M560" s="1243"/>
      <c r="N560" s="1243"/>
      <c r="O560" s="1243"/>
    </row>
    <row r="561" spans="1:16">
      <c r="A561" s="361">
        <f t="shared" ref="A561:A566" si="94">A560+1</f>
        <v>24</v>
      </c>
      <c r="B561" s="365">
        <v>376</v>
      </c>
      <c r="C561" s="358" t="s">
        <v>1775</v>
      </c>
      <c r="D561" s="1243">
        <f>G447</f>
        <v>5670288.1900000004</v>
      </c>
      <c r="E561" s="1243">
        <f>'WPB-2.1.D SMRP'!E202</f>
        <v>3005341.4100000006</v>
      </c>
      <c r="F561" s="1243">
        <f>'WPB-2.1.D SMRP'!F202</f>
        <v>-14490.58</v>
      </c>
      <c r="G561" s="1243">
        <f>SUM(D561:F561)</f>
        <v>8661139.0200000014</v>
      </c>
      <c r="H561" s="1243"/>
      <c r="I561" s="1243">
        <f>O447</f>
        <v>278.44900000000052</v>
      </c>
      <c r="J561" s="1243"/>
      <c r="K561" s="1243">
        <f>'WPB-2.1.D SMRP'!K202</f>
        <v>10390.367</v>
      </c>
      <c r="L561" s="1243">
        <v>0</v>
      </c>
      <c r="M561" s="1243">
        <f>F561</f>
        <v>-14490.58</v>
      </c>
      <c r="N561" s="1243">
        <f>'WPB-2.1.D SMRP'!N202</f>
        <v>-939.63</v>
      </c>
      <c r="O561" s="1243">
        <f>I561+K561+L561+M561+N561</f>
        <v>-4761.3939999999993</v>
      </c>
    </row>
    <row r="562" spans="1:16">
      <c r="A562" s="361">
        <f t="shared" si="94"/>
        <v>25</v>
      </c>
      <c r="B562" s="365">
        <v>378.2</v>
      </c>
      <c r="C562" s="358" t="s">
        <v>1776</v>
      </c>
      <c r="D562" s="1243">
        <f>G448</f>
        <v>-32593.530000000002</v>
      </c>
      <c r="E562" s="1243">
        <f>'WPB-2.1.D SMRP'!E203</f>
        <v>0</v>
      </c>
      <c r="F562" s="1243">
        <f>'WPB-2.1.D SMRP'!F203</f>
        <v>-9507.9599999999991</v>
      </c>
      <c r="G562" s="1243">
        <f>SUM(D562:F562)</f>
        <v>-42101.490000000005</v>
      </c>
      <c r="H562" s="1243"/>
      <c r="I562" s="1243">
        <f>O448</f>
        <v>-39639.952000000005</v>
      </c>
      <c r="J562" s="1243"/>
      <c r="K562" s="1243">
        <f>'WPB-2.1.D SMRP'!K203</f>
        <v>-77.983000000000004</v>
      </c>
      <c r="L562" s="1243">
        <v>0</v>
      </c>
      <c r="M562" s="1243">
        <f>F562</f>
        <v>-9507.9599999999991</v>
      </c>
      <c r="N562" s="1243">
        <f>'WPB-2.1.D SMRP'!N203</f>
        <v>-4099.3599999999997</v>
      </c>
      <c r="O562" s="1243">
        <f>I562+K562+L562+M562+N562</f>
        <v>-53325.255000000005</v>
      </c>
    </row>
    <row r="563" spans="1:16">
      <c r="A563" s="361">
        <f t="shared" si="94"/>
        <v>26</v>
      </c>
      <c r="B563" s="365">
        <v>380</v>
      </c>
      <c r="C563" s="358" t="s">
        <v>1777</v>
      </c>
      <c r="D563" s="1243">
        <f>G449</f>
        <v>3272049.3666843381</v>
      </c>
      <c r="E563" s="1243">
        <f>'WPB-2.1.D SMRP'!E204</f>
        <v>1261171.98</v>
      </c>
      <c r="F563" s="1243">
        <f>'WPB-2.1.D SMRP'!F204</f>
        <v>-292187.67817744327</v>
      </c>
      <c r="G563" s="1243">
        <f>SUM(D563:F563)</f>
        <v>4241033.6685068952</v>
      </c>
      <c r="H563" s="1243"/>
      <c r="I563" s="1243">
        <f>O449</f>
        <v>-1523947.1545356619</v>
      </c>
      <c r="J563" s="1243"/>
      <c r="K563" s="1243">
        <f>'WPB-2.1.D SMRP'!K204</f>
        <v>12458.898999999999</v>
      </c>
      <c r="L563" s="1243">
        <v>0</v>
      </c>
      <c r="M563" s="1243">
        <f>F563</f>
        <v>-292187.67817744327</v>
      </c>
      <c r="N563" s="1243">
        <f>'WPB-2.1.D SMRP'!N204</f>
        <v>-136891.883107</v>
      </c>
      <c r="O563" s="1243">
        <f>I563+K563+L563+M563+N563</f>
        <v>-1940567.8168201053</v>
      </c>
    </row>
    <row r="564" spans="1:16">
      <c r="A564" s="361">
        <f t="shared" si="94"/>
        <v>27</v>
      </c>
      <c r="B564" s="365">
        <v>382</v>
      </c>
      <c r="C564" s="358" t="s">
        <v>1778</v>
      </c>
      <c r="D564" s="1243">
        <f>G450</f>
        <v>-6517.7400000000016</v>
      </c>
      <c r="E564" s="1243">
        <f>'WPB-2.1.D SMRP'!E205</f>
        <v>2800.4300000000003</v>
      </c>
      <c r="F564" s="1243">
        <f>'WPB-2.1.D SMRP'!F205</f>
        <v>-3453.44</v>
      </c>
      <c r="G564" s="1243">
        <f>SUM(D564:F564)</f>
        <v>-7170.7500000000018</v>
      </c>
      <c r="H564" s="1243"/>
      <c r="I564" s="1243">
        <f>O450</f>
        <v>-9762.9270000000015</v>
      </c>
      <c r="J564" s="1243"/>
      <c r="K564" s="1243">
        <f>'WPB-2.1.D SMRP'!K205</f>
        <v>-10.481999999999999</v>
      </c>
      <c r="L564" s="1243">
        <v>0</v>
      </c>
      <c r="M564" s="1243">
        <f>F564</f>
        <v>-3453.44</v>
      </c>
      <c r="N564" s="1243">
        <f>'WPB-2.1.D SMRP'!N205</f>
        <v>0</v>
      </c>
      <c r="O564" s="1243">
        <f>I564+K564+L564+M564+N564</f>
        <v>-13226.849000000002</v>
      </c>
    </row>
    <row r="565" spans="1:16">
      <c r="A565" s="361">
        <f t="shared" si="94"/>
        <v>28</v>
      </c>
      <c r="B565" s="365">
        <v>383</v>
      </c>
      <c r="C565" s="358" t="s">
        <v>1779</v>
      </c>
      <c r="D565" s="1244">
        <f>G451</f>
        <v>-747.55000000000007</v>
      </c>
      <c r="E565" s="1244">
        <f>'WPB-2.1.D SMRP'!E206</f>
        <v>0</v>
      </c>
      <c r="F565" s="1244">
        <f>'WPB-2.1.D SMRP'!F206</f>
        <v>-348.81</v>
      </c>
      <c r="G565" s="1244">
        <f>SUM(D565:F565)</f>
        <v>-1096.3600000000001</v>
      </c>
      <c r="H565" s="1243"/>
      <c r="I565" s="1244">
        <f>O451</f>
        <v>-750.15500000000009</v>
      </c>
      <c r="J565" s="1243"/>
      <c r="K565" s="1244">
        <f>'WPB-2.1.D SMRP'!K206</f>
        <v>-1.282</v>
      </c>
      <c r="L565" s="1244">
        <v>0</v>
      </c>
      <c r="M565" s="1244">
        <f>F565</f>
        <v>-348.81</v>
      </c>
      <c r="N565" s="1244">
        <f>'WPB-2.1.D SMRP'!N206</f>
        <v>0</v>
      </c>
      <c r="O565" s="1244">
        <f>I565+K565+L565+M565+N565</f>
        <v>-1100.2470000000001</v>
      </c>
    </row>
    <row r="566" spans="1:16">
      <c r="A566" s="361">
        <f t="shared" si="94"/>
        <v>29</v>
      </c>
      <c r="C566" s="358" t="s">
        <v>1780</v>
      </c>
      <c r="D566" s="1243">
        <f>SUM(D561:D565)</f>
        <v>8902478.7366843373</v>
      </c>
      <c r="E566" s="1243">
        <f>SUM(E561:E565)</f>
        <v>4269313.82</v>
      </c>
      <c r="F566" s="1243">
        <f>SUM(F561:F565)</f>
        <v>-319988.46817744325</v>
      </c>
      <c r="G566" s="1243">
        <f>SUM(G561:G565)</f>
        <v>12851804.088506896</v>
      </c>
      <c r="H566" s="1243"/>
      <c r="I566" s="1243">
        <f>SUM(I561:I565)</f>
        <v>-1573821.7395356619</v>
      </c>
      <c r="J566" s="1243"/>
      <c r="K566" s="1243">
        <f>SUM(K561:K565)</f>
        <v>22759.519</v>
      </c>
      <c r="L566" s="1243">
        <f>SUM(L561:L565)</f>
        <v>0</v>
      </c>
      <c r="M566" s="1243">
        <f>SUM(M561:M565)</f>
        <v>-319988.46817744325</v>
      </c>
      <c r="N566" s="1243">
        <f>SUM(N561:N565)</f>
        <v>-141930.87310699999</v>
      </c>
      <c r="O566" s="1243">
        <f>SUM(O561:O565)</f>
        <v>-2012981.5618201052</v>
      </c>
    </row>
    <row r="567" spans="1:16">
      <c r="A567" s="361"/>
      <c r="D567" s="1243"/>
      <c r="E567" s="1243"/>
      <c r="F567" s="1243"/>
      <c r="G567" s="1243"/>
      <c r="H567" s="1243"/>
      <c r="I567" s="1243"/>
      <c r="J567" s="1243"/>
      <c r="K567" s="1243"/>
      <c r="L567" s="1243"/>
      <c r="M567" s="1243"/>
      <c r="N567" s="1243"/>
      <c r="O567" s="1243"/>
    </row>
    <row r="568" spans="1:16" ht="13.5" thickBot="1">
      <c r="A568" s="361">
        <f>A566+1</f>
        <v>30</v>
      </c>
      <c r="C568" s="358" t="s">
        <v>447</v>
      </c>
      <c r="D568" s="1248">
        <f>D557+D566</f>
        <v>731368465.51000011</v>
      </c>
      <c r="E568" s="1248">
        <f>E557+E566</f>
        <v>8813436.3300000001</v>
      </c>
      <c r="F568" s="1248">
        <f>F557+F566</f>
        <v>-936963.92</v>
      </c>
      <c r="G568" s="1248">
        <f>G557+G566</f>
        <v>739244937.92000008</v>
      </c>
      <c r="H568" s="1243"/>
      <c r="I568" s="1248">
        <f>I557+I566</f>
        <v>161348368.10999995</v>
      </c>
      <c r="J568" s="1243"/>
      <c r="K568" s="1248">
        <f>K557+K566</f>
        <v>1816513.61</v>
      </c>
      <c r="L568" s="1248">
        <f>L557+L566</f>
        <v>0</v>
      </c>
      <c r="M568" s="1248">
        <f>M557+M566</f>
        <v>-936963.92</v>
      </c>
      <c r="N568" s="1248">
        <f>N557+N566</f>
        <v>-276650.38</v>
      </c>
      <c r="O568" s="1248">
        <f>O557+O566</f>
        <v>161951267.41999993</v>
      </c>
    </row>
    <row r="569" spans="1:16" ht="13.5" thickTop="1"/>
    <row r="571" spans="1:16" s="291" customFormat="1">
      <c r="A571" s="1308" t="str">
        <f>$A$1</f>
        <v>COLUMBIA GAS OF KENTUCKY, INC.</v>
      </c>
      <c r="B571" s="1308"/>
      <c r="C571" s="1308"/>
      <c r="D571" s="1308"/>
      <c r="E571" s="1308"/>
      <c r="F571" s="1308"/>
      <c r="G571" s="1308"/>
      <c r="H571" s="1308"/>
      <c r="I571" s="1308"/>
      <c r="J571" s="1308"/>
      <c r="K571" s="1308"/>
      <c r="L571" s="1308"/>
      <c r="M571" s="1308"/>
      <c r="N571" s="1308"/>
      <c r="O571" s="1308"/>
    </row>
    <row r="572" spans="1:16" s="291" customFormat="1">
      <c r="A572" s="1308" t="str">
        <f>$A$2</f>
        <v>CASE NO. 2024 - 00092</v>
      </c>
      <c r="B572" s="1308"/>
      <c r="C572" s="1308"/>
      <c r="D572" s="1308"/>
      <c r="E572" s="1308"/>
      <c r="F572" s="1308"/>
      <c r="G572" s="1308"/>
      <c r="H572" s="1308"/>
      <c r="I572" s="1308"/>
      <c r="J572" s="1308"/>
      <c r="K572" s="1308"/>
      <c r="L572" s="1308"/>
      <c r="M572" s="1308"/>
      <c r="N572" s="1308"/>
      <c r="O572" s="1308"/>
    </row>
    <row r="573" spans="1:16" s="291" customFormat="1">
      <c r="A573" s="1308" t="str">
        <f>$A$3</f>
        <v>DETAIL OF ACTUAL &amp; FORECASTED PLANT, ACCUMULATED RESERVE &amp; DEPRECIATION EXPENSE</v>
      </c>
      <c r="B573" s="1308"/>
      <c r="C573" s="1308"/>
      <c r="D573" s="1308"/>
      <c r="E573" s="1308"/>
      <c r="F573" s="1308"/>
      <c r="G573" s="1308"/>
      <c r="H573" s="1308"/>
      <c r="I573" s="1308"/>
      <c r="J573" s="1308"/>
      <c r="K573" s="1308"/>
      <c r="L573" s="1308"/>
      <c r="M573" s="1308"/>
      <c r="N573" s="1308"/>
      <c r="O573" s="1308"/>
      <c r="P573" s="357"/>
    </row>
    <row r="574" spans="1:16" s="291" customFormat="1">
      <c r="A574" s="1308" t="str">
        <f>$A$4</f>
        <v>FROM JANUARY 01, 2023 THROUGH DECEMBER 31, 2025</v>
      </c>
      <c r="B574" s="1308"/>
      <c r="C574" s="1308"/>
      <c r="D574" s="1308"/>
      <c r="E574" s="1308"/>
      <c r="F574" s="1308"/>
      <c r="G574" s="1308"/>
      <c r="H574" s="1308"/>
      <c r="I574" s="1308"/>
      <c r="J574" s="1308"/>
      <c r="K574" s="1308"/>
      <c r="L574" s="1308"/>
      <c r="M574" s="1308"/>
      <c r="N574" s="1308"/>
      <c r="O574" s="1308"/>
    </row>
    <row r="575" spans="1:16" s="291" customFormat="1">
      <c r="B575" s="293"/>
      <c r="P575" s="312"/>
    </row>
    <row r="576" spans="1:16" s="291" customFormat="1">
      <c r="A576" s="297" t="str">
        <f>$A$6</f>
        <v xml:space="preserve">DATA: _X_ BASE PERIOD _X_ FORECASTED PERIOD     </v>
      </c>
      <c r="B576" s="293"/>
      <c r="O576" s="312" t="str">
        <f>$O$6</f>
        <v>WPB-2.1.C</v>
      </c>
      <c r="P576" s="312"/>
    </row>
    <row r="577" spans="1:16" s="291" customFormat="1">
      <c r="A577" s="297" t="str">
        <f>$A$7</f>
        <v>TYPE OF FILING:___X___ORIGINAL______UPDATED</v>
      </c>
      <c r="B577" s="293"/>
      <c r="O577" s="312" t="s">
        <v>2212</v>
      </c>
      <c r="P577" s="312"/>
    </row>
    <row r="578" spans="1:16" s="291" customFormat="1">
      <c r="A578" s="297" t="str">
        <f>$A$8</f>
        <v>WORKPAPER REFERENCE NO(S).:</v>
      </c>
      <c r="B578" s="293"/>
      <c r="O578" s="312" t="str">
        <f>$O$8</f>
        <v>WITNESS: GORE</v>
      </c>
    </row>
    <row r="579" spans="1:16">
      <c r="A579" s="918"/>
      <c r="B579" s="919"/>
      <c r="C579" s="918"/>
      <c r="D579" s="918"/>
      <c r="E579" s="918"/>
      <c r="F579" s="918"/>
      <c r="G579" s="918"/>
      <c r="H579" s="918"/>
      <c r="I579" s="918"/>
      <c r="J579" s="918"/>
      <c r="K579" s="918"/>
      <c r="L579" s="918"/>
      <c r="M579" s="918"/>
      <c r="N579" s="918"/>
      <c r="O579" s="920"/>
    </row>
    <row r="580" spans="1:16">
      <c r="D580" s="1311" t="s">
        <v>1768</v>
      </c>
      <c r="E580" s="1311"/>
      <c r="F580" s="1311"/>
      <c r="G580" s="1311"/>
      <c r="I580" s="1311" t="s">
        <v>1769</v>
      </c>
      <c r="J580" s="1311"/>
      <c r="K580" s="1311"/>
      <c r="L580" s="1311"/>
      <c r="M580" s="1311"/>
      <c r="N580" s="1311"/>
      <c r="O580" s="1311"/>
    </row>
    <row r="581" spans="1:16">
      <c r="D581" s="360">
        <f>G526+1</f>
        <v>45078</v>
      </c>
      <c r="G581" s="360">
        <f>D581+29</f>
        <v>45107</v>
      </c>
      <c r="I581" s="360">
        <f>D581</f>
        <v>45078</v>
      </c>
      <c r="O581" s="360">
        <f>G581</f>
        <v>45107</v>
      </c>
    </row>
    <row r="582" spans="1:16">
      <c r="D582" s="361" t="s">
        <v>1757</v>
      </c>
      <c r="G582" s="361" t="s">
        <v>1757</v>
      </c>
      <c r="I582" s="361" t="s">
        <v>1758</v>
      </c>
      <c r="J582" s="361" t="s">
        <v>488</v>
      </c>
      <c r="L582" s="361" t="s">
        <v>1758</v>
      </c>
      <c r="O582" s="361" t="s">
        <v>1758</v>
      </c>
    </row>
    <row r="583" spans="1:16">
      <c r="A583" s="361" t="s">
        <v>1770</v>
      </c>
      <c r="B583" s="361" t="s">
        <v>368</v>
      </c>
      <c r="C583" s="361"/>
      <c r="D583" s="361" t="s">
        <v>437</v>
      </c>
      <c r="G583" s="361" t="s">
        <v>439</v>
      </c>
      <c r="I583" s="361" t="s">
        <v>437</v>
      </c>
      <c r="J583" s="361" t="s">
        <v>1771</v>
      </c>
      <c r="K583" s="361" t="s">
        <v>1772</v>
      </c>
      <c r="L583" s="361" t="s">
        <v>1759</v>
      </c>
      <c r="N583" s="361" t="s">
        <v>1760</v>
      </c>
      <c r="O583" s="361" t="s">
        <v>439</v>
      </c>
    </row>
    <row r="584" spans="1:16">
      <c r="A584" s="364" t="s">
        <v>316</v>
      </c>
      <c r="B584" s="364" t="s">
        <v>316</v>
      </c>
      <c r="C584" s="364" t="s">
        <v>451</v>
      </c>
      <c r="D584" s="364" t="s">
        <v>441</v>
      </c>
      <c r="E584" s="364" t="s">
        <v>442</v>
      </c>
      <c r="F584" s="364" t="s">
        <v>443</v>
      </c>
      <c r="G584" s="364" t="s">
        <v>441</v>
      </c>
      <c r="I584" s="364" t="s">
        <v>441</v>
      </c>
      <c r="J584" s="364" t="s">
        <v>1773</v>
      </c>
      <c r="K584" s="364" t="s">
        <v>1771</v>
      </c>
      <c r="L584" s="364" t="s">
        <v>355</v>
      </c>
      <c r="M584" s="364" t="s">
        <v>443</v>
      </c>
      <c r="N584" s="364" t="s">
        <v>1763</v>
      </c>
      <c r="O584" s="364" t="s">
        <v>441</v>
      </c>
    </row>
    <row r="585" spans="1:16">
      <c r="D585" s="361" t="s">
        <v>532</v>
      </c>
      <c r="E585" s="361" t="s">
        <v>541</v>
      </c>
      <c r="F585" s="361" t="s">
        <v>542</v>
      </c>
      <c r="G585" s="361" t="s">
        <v>1764</v>
      </c>
      <c r="I585" s="334" t="str">
        <f>"(5)"</f>
        <v>(5)</v>
      </c>
      <c r="J585" s="334" t="str">
        <f>"(6)"</f>
        <v>(6)</v>
      </c>
      <c r="K585" s="334" t="str">
        <f>"(7)"</f>
        <v>(7)</v>
      </c>
      <c r="L585" s="334" t="str">
        <f>"(8)"</f>
        <v>(8)</v>
      </c>
      <c r="M585" s="334" t="str">
        <f>"(9)"</f>
        <v>(9)</v>
      </c>
      <c r="N585" s="334" t="str">
        <f>"(10)"</f>
        <v>(10)</v>
      </c>
      <c r="O585" s="334" t="str">
        <f>"(11=5+7+8+9+10)"</f>
        <v>(11=5+7+8+9+10)</v>
      </c>
    </row>
    <row r="586" spans="1:16">
      <c r="D586" s="361" t="s">
        <v>320</v>
      </c>
      <c r="E586" s="361" t="s">
        <v>320</v>
      </c>
      <c r="F586" s="361" t="s">
        <v>320</v>
      </c>
      <c r="G586" s="361" t="s">
        <v>320</v>
      </c>
      <c r="I586" s="334" t="s">
        <v>320</v>
      </c>
      <c r="J586" s="334" t="s">
        <v>529</v>
      </c>
      <c r="K586" s="334" t="s">
        <v>320</v>
      </c>
      <c r="L586" s="334" t="s">
        <v>320</v>
      </c>
      <c r="M586" s="334" t="s">
        <v>320</v>
      </c>
      <c r="N586" s="334" t="s">
        <v>320</v>
      </c>
      <c r="O586" s="334" t="s">
        <v>320</v>
      </c>
    </row>
    <row r="587" spans="1:16">
      <c r="A587" s="361">
        <v>1</v>
      </c>
      <c r="B587" s="362" t="s">
        <v>373</v>
      </c>
      <c r="D587" s="361"/>
      <c r="E587" s="361"/>
      <c r="F587" s="361"/>
      <c r="G587" s="361"/>
      <c r="I587" s="334"/>
      <c r="J587" s="334"/>
      <c r="K587" s="334"/>
      <c r="L587" s="334"/>
      <c r="M587" s="334"/>
      <c r="N587" s="334"/>
      <c r="O587" s="334"/>
    </row>
    <row r="588" spans="1:16">
      <c r="A588" s="361">
        <f>A587+1</f>
        <v>2</v>
      </c>
      <c r="B588" s="365">
        <v>301</v>
      </c>
      <c r="C588" s="358" t="s">
        <v>374</v>
      </c>
      <c r="D588" s="1243">
        <f t="shared" ref="D588:D593" si="95">G474</f>
        <v>521.20000000000005</v>
      </c>
      <c r="E588" s="1243">
        <v>0</v>
      </c>
      <c r="F588" s="1243">
        <v>0</v>
      </c>
      <c r="G588" s="1243">
        <f t="shared" ref="G588:G593" si="96">SUM(D588:F588)</f>
        <v>521.20000000000005</v>
      </c>
      <c r="H588" s="1243"/>
      <c r="I588" s="1243">
        <f t="shared" ref="I588:I593" si="97">O474</f>
        <v>0</v>
      </c>
      <c r="J588" s="1243"/>
      <c r="K588" s="1243">
        <v>0</v>
      </c>
      <c r="L588" s="1243">
        <v>0</v>
      </c>
      <c r="M588" s="1243">
        <f t="shared" ref="M588:M593" si="98">F588</f>
        <v>0</v>
      </c>
      <c r="N588" s="1243">
        <v>0</v>
      </c>
      <c r="O588" s="1243">
        <f t="shared" ref="O588:O593" si="99">I588+K588+L588+M588+N588</f>
        <v>0</v>
      </c>
    </row>
    <row r="589" spans="1:16">
      <c r="A589" s="361">
        <f t="shared" ref="A589:A594" si="100">A588+1</f>
        <v>3</v>
      </c>
      <c r="B589" s="365">
        <v>303</v>
      </c>
      <c r="C589" s="358" t="s">
        <v>375</v>
      </c>
      <c r="D589" s="1243">
        <f t="shared" si="95"/>
        <v>96334.51</v>
      </c>
      <c r="E589" s="1243">
        <v>0</v>
      </c>
      <c r="F589" s="1243">
        <v>0</v>
      </c>
      <c r="G589" s="1243">
        <f t="shared" si="96"/>
        <v>96334.51</v>
      </c>
      <c r="H589" s="1243"/>
      <c r="I589" s="1243">
        <f t="shared" si="97"/>
        <v>76989.250000000015</v>
      </c>
      <c r="J589" s="1243"/>
      <c r="K589" s="1243">
        <v>267.60000000000002</v>
      </c>
      <c r="L589" s="1243">
        <v>0</v>
      </c>
      <c r="M589" s="1243">
        <f t="shared" si="98"/>
        <v>0</v>
      </c>
      <c r="N589" s="1243">
        <v>0</v>
      </c>
      <c r="O589" s="1243">
        <f t="shared" si="99"/>
        <v>77256.85000000002</v>
      </c>
    </row>
    <row r="590" spans="1:16">
      <c r="A590" s="361">
        <f t="shared" si="100"/>
        <v>4</v>
      </c>
      <c r="B590" s="365">
        <v>303.10000000000002</v>
      </c>
      <c r="C590" s="358" t="s">
        <v>376</v>
      </c>
      <c r="D590" s="1243">
        <f t="shared" si="95"/>
        <v>943.27</v>
      </c>
      <c r="E590" s="1243">
        <v>0</v>
      </c>
      <c r="F590" s="1243">
        <v>0</v>
      </c>
      <c r="G590" s="1243">
        <f t="shared" si="96"/>
        <v>943.27</v>
      </c>
      <c r="H590" s="1243"/>
      <c r="I590" s="1243">
        <f t="shared" si="97"/>
        <v>318.35000000000008</v>
      </c>
      <c r="J590" s="1243"/>
      <c r="K590" s="1243">
        <v>0</v>
      </c>
      <c r="L590" s="1243">
        <v>0</v>
      </c>
      <c r="M590" s="1243">
        <f t="shared" si="98"/>
        <v>0</v>
      </c>
      <c r="N590" s="1243">
        <v>0</v>
      </c>
      <c r="O590" s="1243">
        <f t="shared" si="99"/>
        <v>318.35000000000008</v>
      </c>
    </row>
    <row r="591" spans="1:16">
      <c r="A591" s="361">
        <f t="shared" si="100"/>
        <v>5</v>
      </c>
      <c r="B591" s="365">
        <v>303.2</v>
      </c>
      <c r="C591" s="358" t="s">
        <v>377</v>
      </c>
      <c r="D591" s="1243">
        <f t="shared" si="95"/>
        <v>0</v>
      </c>
      <c r="E591" s="1243">
        <v>0</v>
      </c>
      <c r="F591" s="1243">
        <v>0</v>
      </c>
      <c r="G591" s="1243">
        <f t="shared" si="96"/>
        <v>0</v>
      </c>
      <c r="H591" s="1243"/>
      <c r="I591" s="1243">
        <f t="shared" si="97"/>
        <v>0</v>
      </c>
      <c r="J591" s="1243"/>
      <c r="K591" s="1243">
        <v>0</v>
      </c>
      <c r="L591" s="1243">
        <v>0</v>
      </c>
      <c r="M591" s="1243">
        <f t="shared" si="98"/>
        <v>0</v>
      </c>
      <c r="N591" s="1243">
        <v>0</v>
      </c>
      <c r="O591" s="1243">
        <f t="shared" si="99"/>
        <v>0</v>
      </c>
    </row>
    <row r="592" spans="1:16">
      <c r="A592" s="361">
        <f t="shared" si="100"/>
        <v>6</v>
      </c>
      <c r="B592" s="365">
        <v>303.3</v>
      </c>
      <c r="C592" s="358" t="s">
        <v>378</v>
      </c>
      <c r="D592" s="1243">
        <f t="shared" si="95"/>
        <v>12075588.970000001</v>
      </c>
      <c r="E592" s="1243">
        <v>46873.14</v>
      </c>
      <c r="F592" s="1243">
        <v>0</v>
      </c>
      <c r="G592" s="1243">
        <f t="shared" si="96"/>
        <v>12122462.110000001</v>
      </c>
      <c r="H592" s="1243"/>
      <c r="I592" s="1243">
        <f t="shared" si="97"/>
        <v>5623287.1700000018</v>
      </c>
      <c r="J592" s="1243"/>
      <c r="K592" s="1243">
        <v>191924.34</v>
      </c>
      <c r="L592" s="1243">
        <v>0</v>
      </c>
      <c r="M592" s="1243">
        <f t="shared" si="98"/>
        <v>0</v>
      </c>
      <c r="N592" s="1243">
        <v>0</v>
      </c>
      <c r="O592" s="1243">
        <f t="shared" si="99"/>
        <v>5815211.5100000016</v>
      </c>
    </row>
    <row r="593" spans="1:15">
      <c r="A593" s="361">
        <f t="shared" si="100"/>
        <v>7</v>
      </c>
      <c r="B593" s="365">
        <v>303.99</v>
      </c>
      <c r="C593" s="358" t="s">
        <v>1129</v>
      </c>
      <c r="D593" s="1244">
        <f t="shared" si="95"/>
        <v>1882071.8900000001</v>
      </c>
      <c r="E593" s="1244">
        <v>59.81</v>
      </c>
      <c r="F593" s="1244">
        <v>0</v>
      </c>
      <c r="G593" s="1244">
        <f t="shared" si="96"/>
        <v>1882131.7000000002</v>
      </c>
      <c r="H593" s="1243"/>
      <c r="I593" s="1244">
        <f t="shared" si="97"/>
        <v>803668.01</v>
      </c>
      <c r="J593" s="1243"/>
      <c r="K593" s="1244">
        <v>32318.68</v>
      </c>
      <c r="L593" s="1244">
        <v>0</v>
      </c>
      <c r="M593" s="1244">
        <f t="shared" si="98"/>
        <v>0</v>
      </c>
      <c r="N593" s="1244">
        <v>0</v>
      </c>
      <c r="O593" s="1244">
        <f t="shared" si="99"/>
        <v>835986.69000000006</v>
      </c>
    </row>
    <row r="594" spans="1:15">
      <c r="A594" s="361">
        <f t="shared" si="100"/>
        <v>8</v>
      </c>
      <c r="B594" s="367"/>
      <c r="C594" s="358" t="s">
        <v>379</v>
      </c>
      <c r="D594" s="1243">
        <f>SUM(D588:D593)</f>
        <v>14055459.840000002</v>
      </c>
      <c r="E594" s="1243">
        <f>SUM(E588:E593)</f>
        <v>46932.95</v>
      </c>
      <c r="F594" s="1243">
        <f>SUM(F588:F593)</f>
        <v>0</v>
      </c>
      <c r="G594" s="1243">
        <f>SUM(G588:G593)</f>
        <v>14102392.790000003</v>
      </c>
      <c r="H594" s="1243"/>
      <c r="I594" s="1243">
        <f>SUM(I588:I593)</f>
        <v>6504262.7800000012</v>
      </c>
      <c r="J594" s="1243"/>
      <c r="K594" s="1243">
        <f>SUM(K588:K593)</f>
        <v>224510.62</v>
      </c>
      <c r="L594" s="1243">
        <f>SUM(L588:L593)</f>
        <v>0</v>
      </c>
      <c r="M594" s="1243">
        <f>SUM(M588:M593)</f>
        <v>0</v>
      </c>
      <c r="N594" s="1243">
        <f>SUM(N588:N593)</f>
        <v>0</v>
      </c>
      <c r="O594" s="1243">
        <f>SUM(O588:O593)</f>
        <v>6728773.4000000022</v>
      </c>
    </row>
    <row r="595" spans="1:15">
      <c r="A595" s="361"/>
      <c r="B595" s="367"/>
      <c r="C595" s="368"/>
      <c r="D595" s="1243"/>
      <c r="E595" s="1243"/>
      <c r="F595" s="1243"/>
      <c r="G595" s="1243"/>
      <c r="H595" s="1243"/>
      <c r="I595" s="1243"/>
      <c r="J595" s="1243"/>
      <c r="K595" s="1243"/>
      <c r="L595" s="1243"/>
      <c r="M595" s="1243"/>
      <c r="N595" s="1243"/>
      <c r="O595" s="1243"/>
    </row>
    <row r="596" spans="1:15">
      <c r="A596" s="361">
        <f>A594+1</f>
        <v>9</v>
      </c>
      <c r="B596" s="362" t="s">
        <v>1600</v>
      </c>
      <c r="C596" s="368"/>
      <c r="D596" s="1243"/>
      <c r="E596" s="1243"/>
      <c r="F596" s="1243"/>
      <c r="G596" s="1243"/>
      <c r="H596" s="1243"/>
      <c r="I596" s="1243"/>
      <c r="J596" s="1243"/>
      <c r="K596" s="1243"/>
      <c r="L596" s="1243"/>
      <c r="M596" s="1243"/>
      <c r="N596" s="1243"/>
      <c r="O596" s="1243"/>
    </row>
    <row r="597" spans="1:15">
      <c r="A597" s="361">
        <f t="shared" ref="A597:A627" si="101">A596+1</f>
        <v>10</v>
      </c>
      <c r="B597" s="365">
        <v>374.1</v>
      </c>
      <c r="C597" s="358" t="s">
        <v>382</v>
      </c>
      <c r="D597" s="1243">
        <f t="shared" ref="D597:D626" si="102">G483</f>
        <v>206</v>
      </c>
      <c r="E597" s="1243">
        <v>0</v>
      </c>
      <c r="F597" s="1243">
        <v>0</v>
      </c>
      <c r="G597" s="1243">
        <f>SUM(D597:F597)</f>
        <v>206</v>
      </c>
      <c r="H597" s="1243"/>
      <c r="I597" s="1243">
        <f t="shared" ref="I597:I626" si="103">O483</f>
        <v>0</v>
      </c>
      <c r="J597" s="1243"/>
      <c r="K597" s="1243">
        <v>0</v>
      </c>
      <c r="L597" s="1243">
        <v>0</v>
      </c>
      <c r="M597" s="1243">
        <f>F597</f>
        <v>0</v>
      </c>
      <c r="N597" s="1243">
        <v>0</v>
      </c>
      <c r="O597" s="1243">
        <f t="shared" ref="O597:O626" si="104">I597+K597+L597+M597+N597</f>
        <v>0</v>
      </c>
    </row>
    <row r="598" spans="1:15">
      <c r="A598" s="361">
        <f t="shared" si="101"/>
        <v>11</v>
      </c>
      <c r="B598" s="365">
        <v>374.2</v>
      </c>
      <c r="C598" s="358" t="s">
        <v>383</v>
      </c>
      <c r="D598" s="1243">
        <f t="shared" si="102"/>
        <v>876986.66</v>
      </c>
      <c r="E598" s="1243">
        <v>0</v>
      </c>
      <c r="F598" s="1243">
        <v>0</v>
      </c>
      <c r="G598" s="1243">
        <f t="shared" ref="G598:G626" si="105">SUM(D598:F598)</f>
        <v>876986.66</v>
      </c>
      <c r="H598" s="1243"/>
      <c r="I598" s="1243">
        <f t="shared" si="103"/>
        <v>-522.25</v>
      </c>
      <c r="J598" s="1243"/>
      <c r="K598" s="1243">
        <v>0</v>
      </c>
      <c r="L598" s="1243">
        <v>0</v>
      </c>
      <c r="M598" s="1243">
        <f t="shared" ref="M598:M607" si="106">F598</f>
        <v>0</v>
      </c>
      <c r="N598" s="1243">
        <v>0</v>
      </c>
      <c r="O598" s="1243">
        <f t="shared" si="104"/>
        <v>-522.25</v>
      </c>
    </row>
    <row r="599" spans="1:15">
      <c r="A599" s="361">
        <f t="shared" si="101"/>
        <v>12</v>
      </c>
      <c r="B599" s="365">
        <v>374.4</v>
      </c>
      <c r="C599" s="358" t="s">
        <v>384</v>
      </c>
      <c r="D599" s="1243">
        <f t="shared" si="102"/>
        <v>2763264.41</v>
      </c>
      <c r="E599" s="1243">
        <v>0</v>
      </c>
      <c r="F599" s="1243">
        <v>0</v>
      </c>
      <c r="G599" s="1243">
        <f t="shared" si="105"/>
        <v>2763264.41</v>
      </c>
      <c r="H599" s="1243"/>
      <c r="I599" s="1243">
        <f t="shared" si="103"/>
        <v>347685.01</v>
      </c>
      <c r="J599" s="1243"/>
      <c r="K599" s="1243">
        <v>2924.4500000000003</v>
      </c>
      <c r="L599" s="1243">
        <v>0</v>
      </c>
      <c r="M599" s="1243">
        <f t="shared" si="106"/>
        <v>0</v>
      </c>
      <c r="N599" s="1243">
        <v>0</v>
      </c>
      <c r="O599" s="1243">
        <f t="shared" si="104"/>
        <v>350609.46</v>
      </c>
    </row>
    <row r="600" spans="1:15">
      <c r="A600" s="361">
        <f t="shared" si="101"/>
        <v>13</v>
      </c>
      <c r="B600" s="365">
        <v>374.5</v>
      </c>
      <c r="C600" s="358" t="s">
        <v>385</v>
      </c>
      <c r="D600" s="1243">
        <f t="shared" si="102"/>
        <v>2666577.16</v>
      </c>
      <c r="E600" s="1243">
        <v>0</v>
      </c>
      <c r="F600" s="1243">
        <v>0</v>
      </c>
      <c r="G600" s="1243">
        <f t="shared" si="105"/>
        <v>2666577.16</v>
      </c>
      <c r="H600" s="1243"/>
      <c r="I600" s="1243">
        <f t="shared" si="103"/>
        <v>1139188.9500000004</v>
      </c>
      <c r="J600" s="1243"/>
      <c r="K600" s="1243">
        <v>2444.36</v>
      </c>
      <c r="L600" s="1243">
        <v>0</v>
      </c>
      <c r="M600" s="1243">
        <f t="shared" si="106"/>
        <v>0</v>
      </c>
      <c r="N600" s="1243">
        <v>0</v>
      </c>
      <c r="O600" s="1243">
        <f t="shared" si="104"/>
        <v>1141633.3100000005</v>
      </c>
    </row>
    <row r="601" spans="1:15">
      <c r="A601" s="361">
        <f t="shared" si="101"/>
        <v>14</v>
      </c>
      <c r="B601" s="365">
        <v>375.2</v>
      </c>
      <c r="C601" s="358" t="s">
        <v>386</v>
      </c>
      <c r="D601" s="1243">
        <f t="shared" si="102"/>
        <v>2124.98</v>
      </c>
      <c r="E601" s="1243">
        <v>0</v>
      </c>
      <c r="F601" s="1243">
        <v>0</v>
      </c>
      <c r="G601" s="1243">
        <f t="shared" si="105"/>
        <v>2124.98</v>
      </c>
      <c r="H601" s="1243"/>
      <c r="I601" s="1243">
        <f t="shared" si="103"/>
        <v>2056.73</v>
      </c>
      <c r="J601" s="1243"/>
      <c r="K601" s="1243">
        <v>0.73</v>
      </c>
      <c r="L601" s="1243">
        <v>0</v>
      </c>
      <c r="M601" s="1243">
        <f t="shared" si="106"/>
        <v>0</v>
      </c>
      <c r="N601" s="1243">
        <v>0</v>
      </c>
      <c r="O601" s="1243">
        <f t="shared" si="104"/>
        <v>2057.46</v>
      </c>
    </row>
    <row r="602" spans="1:15">
      <c r="A602" s="361">
        <f t="shared" si="101"/>
        <v>15</v>
      </c>
      <c r="B602" s="365">
        <v>375.3</v>
      </c>
      <c r="C602" s="358" t="s">
        <v>387</v>
      </c>
      <c r="D602" s="1243">
        <f t="shared" si="102"/>
        <v>0</v>
      </c>
      <c r="E602" s="1243">
        <v>0</v>
      </c>
      <c r="F602" s="1243">
        <v>0</v>
      </c>
      <c r="G602" s="1243">
        <f t="shared" si="105"/>
        <v>0</v>
      </c>
      <c r="H602" s="1243"/>
      <c r="I602" s="1243">
        <f t="shared" si="103"/>
        <v>-77.66</v>
      </c>
      <c r="J602" s="1243"/>
      <c r="K602" s="1243">
        <v>0</v>
      </c>
      <c r="L602" s="1243">
        <v>0</v>
      </c>
      <c r="M602" s="1243">
        <f t="shared" si="106"/>
        <v>0</v>
      </c>
      <c r="N602" s="1243">
        <v>0</v>
      </c>
      <c r="O602" s="1243">
        <f t="shared" si="104"/>
        <v>-77.66</v>
      </c>
    </row>
    <row r="603" spans="1:15">
      <c r="A603" s="361">
        <f t="shared" si="101"/>
        <v>16</v>
      </c>
      <c r="B603" s="365">
        <v>375.4</v>
      </c>
      <c r="C603" s="358" t="s">
        <v>388</v>
      </c>
      <c r="D603" s="1243">
        <f t="shared" si="102"/>
        <v>2958965.6499999994</v>
      </c>
      <c r="E603" s="1243">
        <v>13592.67</v>
      </c>
      <c r="F603" s="1243">
        <v>0</v>
      </c>
      <c r="G603" s="1243">
        <f t="shared" si="105"/>
        <v>2972558.3199999994</v>
      </c>
      <c r="H603" s="1243"/>
      <c r="I603" s="1243">
        <f t="shared" si="103"/>
        <v>573482.16</v>
      </c>
      <c r="J603" s="1243"/>
      <c r="K603" s="1243">
        <v>5363.09</v>
      </c>
      <c r="L603" s="1243">
        <v>0</v>
      </c>
      <c r="M603" s="1243">
        <f t="shared" si="106"/>
        <v>0</v>
      </c>
      <c r="N603" s="1243">
        <v>0</v>
      </c>
      <c r="O603" s="1243">
        <f t="shared" si="104"/>
        <v>578845.25</v>
      </c>
    </row>
    <row r="604" spans="1:15">
      <c r="A604" s="361">
        <f t="shared" si="101"/>
        <v>17</v>
      </c>
      <c r="B604" s="365">
        <v>375.6</v>
      </c>
      <c r="C604" s="358" t="s">
        <v>389</v>
      </c>
      <c r="D604" s="1243">
        <f t="shared" si="102"/>
        <v>0</v>
      </c>
      <c r="E604" s="1243">
        <v>0</v>
      </c>
      <c r="F604" s="1243">
        <v>0</v>
      </c>
      <c r="G604" s="1243">
        <f t="shared" si="105"/>
        <v>0</v>
      </c>
      <c r="H604" s="1243"/>
      <c r="I604" s="1243">
        <f t="shared" si="103"/>
        <v>0.02</v>
      </c>
      <c r="J604" s="1243"/>
      <c r="K604" s="1243">
        <v>0</v>
      </c>
      <c r="L604" s="1243">
        <v>0</v>
      </c>
      <c r="M604" s="1243">
        <f t="shared" si="106"/>
        <v>0</v>
      </c>
      <c r="N604" s="1243">
        <v>0</v>
      </c>
      <c r="O604" s="1243">
        <f t="shared" si="104"/>
        <v>0.02</v>
      </c>
    </row>
    <row r="605" spans="1:15">
      <c r="A605" s="361">
        <f t="shared" si="101"/>
        <v>18</v>
      </c>
      <c r="B605" s="365">
        <v>375.7</v>
      </c>
      <c r="C605" s="358" t="s">
        <v>390</v>
      </c>
      <c r="D605" s="1243">
        <f t="shared" si="102"/>
        <v>9082676.9800000004</v>
      </c>
      <c r="E605" s="1243">
        <v>0</v>
      </c>
      <c r="F605" s="1243">
        <v>0</v>
      </c>
      <c r="G605" s="1243">
        <f t="shared" si="105"/>
        <v>9082676.9800000004</v>
      </c>
      <c r="H605" s="1243"/>
      <c r="I605" s="1243">
        <f t="shared" si="103"/>
        <v>4569413.1599999983</v>
      </c>
      <c r="J605" s="1243"/>
      <c r="K605" s="1243">
        <v>17711.22</v>
      </c>
      <c r="L605" s="1243">
        <v>0</v>
      </c>
      <c r="M605" s="1243">
        <f t="shared" si="106"/>
        <v>0</v>
      </c>
      <c r="N605" s="1243">
        <v>0</v>
      </c>
      <c r="O605" s="1243">
        <f t="shared" si="104"/>
        <v>4587124.379999998</v>
      </c>
    </row>
    <row r="606" spans="1:15">
      <c r="A606" s="361">
        <f t="shared" si="101"/>
        <v>19</v>
      </c>
      <c r="B606" s="365">
        <v>375.71</v>
      </c>
      <c r="C606" s="358" t="s">
        <v>391</v>
      </c>
      <c r="D606" s="1243">
        <f t="shared" si="102"/>
        <v>876651.57</v>
      </c>
      <c r="E606" s="1243">
        <v>0</v>
      </c>
      <c r="F606" s="1243">
        <v>0</v>
      </c>
      <c r="G606" s="1243">
        <f t="shared" si="105"/>
        <v>876651.57</v>
      </c>
      <c r="H606" s="1243"/>
      <c r="I606" s="1243">
        <f t="shared" si="103"/>
        <v>721415.3600000001</v>
      </c>
      <c r="J606" s="1243"/>
      <c r="K606" s="1243">
        <v>4743.54</v>
      </c>
      <c r="L606" s="1243">
        <v>0</v>
      </c>
      <c r="M606" s="1243">
        <f t="shared" si="106"/>
        <v>0</v>
      </c>
      <c r="N606" s="1243">
        <v>0</v>
      </c>
      <c r="O606" s="1243">
        <f t="shared" si="104"/>
        <v>726158.90000000014</v>
      </c>
    </row>
    <row r="607" spans="1:15">
      <c r="A607" s="361">
        <f t="shared" si="101"/>
        <v>20</v>
      </c>
      <c r="B607" s="365">
        <v>375.8</v>
      </c>
      <c r="C607" s="358" t="s">
        <v>392</v>
      </c>
      <c r="D607" s="1243">
        <f t="shared" si="102"/>
        <v>132125.04</v>
      </c>
      <c r="E607" s="1243">
        <v>0</v>
      </c>
      <c r="F607" s="1243">
        <v>0</v>
      </c>
      <c r="G607" s="1243">
        <f t="shared" si="105"/>
        <v>132125.04</v>
      </c>
      <c r="H607" s="1243"/>
      <c r="I607" s="1243">
        <f t="shared" si="103"/>
        <v>6726.68</v>
      </c>
      <c r="J607" s="1243"/>
      <c r="K607" s="1243">
        <v>585.75</v>
      </c>
      <c r="L607" s="1243">
        <v>0</v>
      </c>
      <c r="M607" s="1243">
        <f t="shared" si="106"/>
        <v>0</v>
      </c>
      <c r="N607" s="1243">
        <v>0</v>
      </c>
      <c r="O607" s="1243">
        <f t="shared" si="104"/>
        <v>7312.43</v>
      </c>
    </row>
    <row r="608" spans="1:15">
      <c r="A608" s="361">
        <f t="shared" si="101"/>
        <v>21</v>
      </c>
      <c r="B608" s="365">
        <v>376</v>
      </c>
      <c r="C608" s="358" t="s">
        <v>1621</v>
      </c>
      <c r="D608" s="1243">
        <f t="shared" si="102"/>
        <v>403865062.19000006</v>
      </c>
      <c r="E608" s="1243">
        <f>'WPB-2.1.D SMRP'!E257</f>
        <v>526070.57999999914</v>
      </c>
      <c r="F608" s="1243">
        <f>'WPB-2.1.D SMRP'!F257</f>
        <v>-140884.80000000002</v>
      </c>
      <c r="G608" s="1243">
        <f t="shared" si="105"/>
        <v>404250247.97000003</v>
      </c>
      <c r="H608" s="1243"/>
      <c r="I608" s="1243">
        <f t="shared" si="103"/>
        <v>77061373.683999985</v>
      </c>
      <c r="J608" s="1243"/>
      <c r="K608" s="1243">
        <f>'WPB-2.1.D SMRP'!K257</f>
        <v>582427.82200000004</v>
      </c>
      <c r="L608" s="1243">
        <v>0</v>
      </c>
      <c r="M608" s="1243">
        <f t="shared" ref="M608:M613" si="107">F608</f>
        <v>-140884.80000000002</v>
      </c>
      <c r="N608" s="1243">
        <f>'WPB-2.1.D SMRP'!N257</f>
        <v>-3511.94</v>
      </c>
      <c r="O608" s="1243">
        <f t="shared" si="104"/>
        <v>77499404.765999988</v>
      </c>
    </row>
    <row r="609" spans="1:15">
      <c r="A609" s="361">
        <f t="shared" si="101"/>
        <v>22</v>
      </c>
      <c r="B609" s="365">
        <v>378.1</v>
      </c>
      <c r="C609" s="358" t="s">
        <v>394</v>
      </c>
      <c r="D609" s="1243">
        <f t="shared" si="102"/>
        <v>572921.92000000004</v>
      </c>
      <c r="E609" s="1243">
        <v>0</v>
      </c>
      <c r="F609" s="1243">
        <v>0</v>
      </c>
      <c r="G609" s="1243">
        <f t="shared" si="105"/>
        <v>572921.92000000004</v>
      </c>
      <c r="H609" s="1243"/>
      <c r="I609" s="1243">
        <f t="shared" si="103"/>
        <v>407107.32</v>
      </c>
      <c r="J609" s="1243"/>
      <c r="K609" s="1243">
        <v>1035.1600000000001</v>
      </c>
      <c r="L609" s="1243">
        <v>0</v>
      </c>
      <c r="M609" s="1243">
        <f t="shared" si="107"/>
        <v>0</v>
      </c>
      <c r="N609" s="1243">
        <v>-89.4</v>
      </c>
      <c r="O609" s="1243">
        <f t="shared" si="104"/>
        <v>408053.07999999996</v>
      </c>
    </row>
    <row r="610" spans="1:15">
      <c r="A610" s="361">
        <f t="shared" si="101"/>
        <v>23</v>
      </c>
      <c r="B610" s="365">
        <v>378.2</v>
      </c>
      <c r="C610" s="358" t="s">
        <v>1622</v>
      </c>
      <c r="D610" s="1243">
        <f t="shared" si="102"/>
        <v>25241431.530000001</v>
      </c>
      <c r="E610" s="1243">
        <f>'WPB-2.1.D SMRP'!E261</f>
        <v>10172.579999999987</v>
      </c>
      <c r="F610" s="1243">
        <f>'WPB-2.1.D SMRP'!F261</f>
        <v>0</v>
      </c>
      <c r="G610" s="1243">
        <f t="shared" si="105"/>
        <v>25251604.109999999</v>
      </c>
      <c r="H610" s="1243"/>
      <c r="I610" s="1243">
        <f t="shared" si="103"/>
        <v>3044590.5950000002</v>
      </c>
      <c r="J610" s="1243"/>
      <c r="K610" s="1243">
        <f>'WPB-2.1.D SMRP'!K261</f>
        <v>53174.347999999998</v>
      </c>
      <c r="L610" s="1243">
        <v>0</v>
      </c>
      <c r="M610" s="1243">
        <f t="shared" si="107"/>
        <v>0</v>
      </c>
      <c r="N610" s="1243">
        <f>'WPB-2.1.D SMRP'!N261</f>
        <v>0</v>
      </c>
      <c r="O610" s="1243">
        <f t="shared" si="104"/>
        <v>3097764.943</v>
      </c>
    </row>
    <row r="611" spans="1:15">
      <c r="A611" s="361">
        <f t="shared" si="101"/>
        <v>24</v>
      </c>
      <c r="B611" s="365">
        <v>378.3</v>
      </c>
      <c r="C611" s="358" t="s">
        <v>396</v>
      </c>
      <c r="D611" s="1243">
        <f t="shared" si="102"/>
        <v>45443.08</v>
      </c>
      <c r="E611" s="1243">
        <v>0</v>
      </c>
      <c r="F611" s="1243">
        <v>0</v>
      </c>
      <c r="G611" s="1243">
        <f t="shared" si="105"/>
        <v>45443.08</v>
      </c>
      <c r="H611" s="1243"/>
      <c r="I611" s="1243">
        <f t="shared" si="103"/>
        <v>42499.450000000004</v>
      </c>
      <c r="J611" s="1243"/>
      <c r="K611" s="1243">
        <v>95.43</v>
      </c>
      <c r="L611" s="1243">
        <v>0</v>
      </c>
      <c r="M611" s="1243">
        <f t="shared" si="107"/>
        <v>0</v>
      </c>
      <c r="N611" s="1243">
        <v>0</v>
      </c>
      <c r="O611" s="1243">
        <f t="shared" si="104"/>
        <v>42594.880000000005</v>
      </c>
    </row>
    <row r="612" spans="1:15">
      <c r="A612" s="361">
        <f t="shared" si="101"/>
        <v>25</v>
      </c>
      <c r="B612" s="365">
        <v>379.1</v>
      </c>
      <c r="C612" s="358" t="s">
        <v>397</v>
      </c>
      <c r="D612" s="1243">
        <f t="shared" si="102"/>
        <v>1554144.06</v>
      </c>
      <c r="E612" s="1243">
        <v>0</v>
      </c>
      <c r="F612" s="1243">
        <v>0</v>
      </c>
      <c r="G612" s="1243">
        <f t="shared" si="105"/>
        <v>1554144.06</v>
      </c>
      <c r="H612" s="1243"/>
      <c r="I612" s="1243">
        <f t="shared" si="103"/>
        <v>329445.48000000004</v>
      </c>
      <c r="J612" s="1243"/>
      <c r="K612" s="1243">
        <v>3134.19</v>
      </c>
      <c r="L612" s="1243">
        <v>0</v>
      </c>
      <c r="M612" s="1243">
        <f t="shared" si="107"/>
        <v>0</v>
      </c>
      <c r="N612" s="1243">
        <v>0</v>
      </c>
      <c r="O612" s="1243">
        <f t="shared" si="104"/>
        <v>332579.67000000004</v>
      </c>
    </row>
    <row r="613" spans="1:15">
      <c r="A613" s="361">
        <f t="shared" si="101"/>
        <v>26</v>
      </c>
      <c r="B613" s="365">
        <v>380</v>
      </c>
      <c r="C613" s="358" t="s">
        <v>1623</v>
      </c>
      <c r="D613" s="1243">
        <f t="shared" si="102"/>
        <v>196066506.02149308</v>
      </c>
      <c r="E613" s="1243">
        <f>'WPB-2.1.D SMRP'!E265</f>
        <v>749677.84000000008</v>
      </c>
      <c r="F613" s="1243">
        <f>'WPB-2.1.D SMRP'!F265</f>
        <v>-71336.515677339456</v>
      </c>
      <c r="G613" s="1243">
        <f t="shared" si="105"/>
        <v>196744847.34581575</v>
      </c>
      <c r="H613" s="1243"/>
      <c r="I613" s="1243">
        <f t="shared" si="103"/>
        <v>55032245.62682011</v>
      </c>
      <c r="J613" s="1243"/>
      <c r="K613" s="1243">
        <f>'WPB-2.1.D SMRP'!K265</f>
        <v>681512.09700000007</v>
      </c>
      <c r="L613" s="1243">
        <v>0</v>
      </c>
      <c r="M613" s="1243">
        <f t="shared" si="107"/>
        <v>-71336.515677339456</v>
      </c>
      <c r="N613" s="1243">
        <f>'WPB-2.1.D SMRP'!N265</f>
        <v>-26505.624011999986</v>
      </c>
      <c r="O613" s="1243">
        <f t="shared" si="104"/>
        <v>55615915.584130771</v>
      </c>
    </row>
    <row r="614" spans="1:15">
      <c r="A614" s="361">
        <f t="shared" si="101"/>
        <v>27</v>
      </c>
      <c r="B614" s="365">
        <v>381</v>
      </c>
      <c r="C614" s="358" t="s">
        <v>399</v>
      </c>
      <c r="D614" s="1243">
        <f t="shared" si="102"/>
        <v>18106199.539999999</v>
      </c>
      <c r="E614" s="1243">
        <v>58236.42</v>
      </c>
      <c r="F614" s="1243">
        <v>-84885.27</v>
      </c>
      <c r="G614" s="1243">
        <f t="shared" si="105"/>
        <v>18079550.690000001</v>
      </c>
      <c r="H614" s="1243"/>
      <c r="I614" s="1243">
        <f t="shared" si="103"/>
        <v>2681219.56</v>
      </c>
      <c r="J614" s="1243"/>
      <c r="K614" s="1243">
        <v>39502.78</v>
      </c>
      <c r="L614" s="1243">
        <v>0</v>
      </c>
      <c r="M614" s="1243">
        <f t="shared" ref="M614:M626" si="108">F614</f>
        <v>-84885.27</v>
      </c>
      <c r="N614" s="1243">
        <v>0</v>
      </c>
      <c r="O614" s="1243">
        <f t="shared" si="104"/>
        <v>2635837.0699999998</v>
      </c>
    </row>
    <row r="615" spans="1:15">
      <c r="A615" s="361">
        <f t="shared" si="101"/>
        <v>28</v>
      </c>
      <c r="B615" s="365">
        <v>381.1</v>
      </c>
      <c r="C615" s="358" t="s">
        <v>2366</v>
      </c>
      <c r="D615" s="1243">
        <f t="shared" si="102"/>
        <v>9980854.4800000004</v>
      </c>
      <c r="E615" s="1243">
        <v>0</v>
      </c>
      <c r="F615" s="1243">
        <v>0</v>
      </c>
      <c r="G615" s="1243">
        <f t="shared" si="105"/>
        <v>9980854.4800000004</v>
      </c>
      <c r="H615" s="1243"/>
      <c r="I615" s="1243">
        <f t="shared" si="103"/>
        <v>4925601.120000001</v>
      </c>
      <c r="J615" s="1243"/>
      <c r="K615" s="1243">
        <v>62213.99</v>
      </c>
      <c r="L615" s="1243">
        <v>0</v>
      </c>
      <c r="M615" s="1243">
        <f t="shared" si="108"/>
        <v>0</v>
      </c>
      <c r="N615" s="1243">
        <v>0</v>
      </c>
      <c r="O615" s="1243">
        <f t="shared" si="104"/>
        <v>4987815.1100000013</v>
      </c>
    </row>
    <row r="616" spans="1:15">
      <c r="A616" s="361">
        <f t="shared" si="101"/>
        <v>29</v>
      </c>
      <c r="B616" s="365">
        <v>382</v>
      </c>
      <c r="C616" s="358" t="s">
        <v>1624</v>
      </c>
      <c r="D616" s="1243">
        <f t="shared" si="102"/>
        <v>10168887.720000001</v>
      </c>
      <c r="E616" s="1243">
        <f>'WPB-2.1.D SMRP'!E269</f>
        <v>17686.11</v>
      </c>
      <c r="F616" s="1243">
        <f>'WPB-2.1.D SMRP'!F269</f>
        <v>0</v>
      </c>
      <c r="G616" s="1243">
        <f t="shared" si="105"/>
        <v>10186573.83</v>
      </c>
      <c r="H616" s="1243"/>
      <c r="I616" s="1243">
        <f t="shared" si="103"/>
        <v>5736115.0990000004</v>
      </c>
      <c r="J616" s="1243"/>
      <c r="K616" s="1243">
        <f>'WPB-2.1.D SMRP'!K269</f>
        <v>15012.576000000001</v>
      </c>
      <c r="L616" s="1243">
        <v>0</v>
      </c>
      <c r="M616" s="1243">
        <f t="shared" si="108"/>
        <v>0</v>
      </c>
      <c r="N616" s="1243">
        <f>'WPB-2.1.D SMRP'!N269</f>
        <v>0</v>
      </c>
      <c r="O616" s="1243">
        <f t="shared" si="104"/>
        <v>5751127.6750000007</v>
      </c>
    </row>
    <row r="617" spans="1:15">
      <c r="A617" s="361">
        <f t="shared" si="101"/>
        <v>30</v>
      </c>
      <c r="B617" s="365">
        <v>383</v>
      </c>
      <c r="C617" s="358" t="s">
        <v>1625</v>
      </c>
      <c r="D617" s="1243">
        <f t="shared" si="102"/>
        <v>7188514.8599999994</v>
      </c>
      <c r="E617" s="1243">
        <f>'WPB-2.1.D SMRP'!E273</f>
        <v>20823.150000000001</v>
      </c>
      <c r="F617" s="1243">
        <f>'WPB-2.1.D SMRP'!F273</f>
        <v>0</v>
      </c>
      <c r="G617" s="1243">
        <f t="shared" si="105"/>
        <v>7209338.0099999998</v>
      </c>
      <c r="H617" s="1243"/>
      <c r="I617" s="1243">
        <f t="shared" si="103"/>
        <v>2404412.2370000002</v>
      </c>
      <c r="J617" s="1243"/>
      <c r="K617" s="1243">
        <f>'WPB-2.1.D SMRP'!K273</f>
        <v>11638.493</v>
      </c>
      <c r="L617" s="1243">
        <v>0</v>
      </c>
      <c r="M617" s="1243">
        <f t="shared" si="108"/>
        <v>0</v>
      </c>
      <c r="N617" s="1243">
        <f>'WPB-2.1.D SMRP'!N273</f>
        <v>0</v>
      </c>
      <c r="O617" s="1243">
        <f t="shared" si="104"/>
        <v>2416050.73</v>
      </c>
    </row>
    <row r="618" spans="1:15">
      <c r="A618" s="361">
        <f t="shared" si="101"/>
        <v>31</v>
      </c>
      <c r="B618" s="365">
        <v>384</v>
      </c>
      <c r="C618" s="358" t="s">
        <v>402</v>
      </c>
      <c r="D618" s="1243">
        <f t="shared" si="102"/>
        <v>2085058.65</v>
      </c>
      <c r="E618" s="1243">
        <v>0</v>
      </c>
      <c r="F618" s="1243">
        <v>0</v>
      </c>
      <c r="G618" s="1243">
        <f t="shared" si="105"/>
        <v>2085058.65</v>
      </c>
      <c r="H618" s="1243"/>
      <c r="I618" s="1243">
        <f t="shared" si="103"/>
        <v>1716280.5099999998</v>
      </c>
      <c r="J618" s="1243"/>
      <c r="K618" s="1243">
        <v>1720.17</v>
      </c>
      <c r="L618" s="1243">
        <v>0</v>
      </c>
      <c r="M618" s="1243">
        <f t="shared" si="108"/>
        <v>0</v>
      </c>
      <c r="N618" s="1243">
        <v>0</v>
      </c>
      <c r="O618" s="1243">
        <f t="shared" si="104"/>
        <v>1718000.6799999997</v>
      </c>
    </row>
    <row r="619" spans="1:15">
      <c r="A619" s="361">
        <f t="shared" si="101"/>
        <v>32</v>
      </c>
      <c r="B619" s="365">
        <v>385</v>
      </c>
      <c r="C619" s="358" t="s">
        <v>403</v>
      </c>
      <c r="D619" s="1243">
        <f t="shared" si="102"/>
        <v>6044358.0600000005</v>
      </c>
      <c r="E619" s="1243">
        <v>135.93999999999505</v>
      </c>
      <c r="F619" s="1243">
        <v>-71076.990000000005</v>
      </c>
      <c r="G619" s="1243">
        <f t="shared" si="105"/>
        <v>5973417.0100000007</v>
      </c>
      <c r="H619" s="1243"/>
      <c r="I619" s="1243">
        <f t="shared" si="103"/>
        <v>765501.82000000007</v>
      </c>
      <c r="J619" s="1243"/>
      <c r="K619" s="1243">
        <v>18677.63</v>
      </c>
      <c r="L619" s="1243">
        <v>0</v>
      </c>
      <c r="M619" s="1243">
        <f t="shared" si="108"/>
        <v>-71076.990000000005</v>
      </c>
      <c r="N619" s="1243">
        <v>-1051.54</v>
      </c>
      <c r="O619" s="1243">
        <f t="shared" si="104"/>
        <v>712050.92</v>
      </c>
    </row>
    <row r="620" spans="1:15">
      <c r="A620" s="361">
        <f t="shared" si="101"/>
        <v>33</v>
      </c>
      <c r="B620" s="365">
        <v>387.2</v>
      </c>
      <c r="C620" s="358" t="s">
        <v>404</v>
      </c>
      <c r="D620" s="1243">
        <f t="shared" si="102"/>
        <v>0</v>
      </c>
      <c r="E620" s="1243">
        <v>0</v>
      </c>
      <c r="F620" s="1243">
        <v>0</v>
      </c>
      <c r="G620" s="1243">
        <f t="shared" si="105"/>
        <v>0</v>
      </c>
      <c r="H620" s="1243"/>
      <c r="I620" s="1243">
        <f t="shared" si="103"/>
        <v>-59912.03</v>
      </c>
      <c r="J620" s="1243"/>
      <c r="K620" s="1243">
        <v>0</v>
      </c>
      <c r="L620" s="1243">
        <v>0</v>
      </c>
      <c r="M620" s="1243">
        <f t="shared" si="108"/>
        <v>0</v>
      </c>
      <c r="N620" s="1243">
        <v>0</v>
      </c>
      <c r="O620" s="1243">
        <f t="shared" si="104"/>
        <v>-59912.03</v>
      </c>
    </row>
    <row r="621" spans="1:15">
      <c r="A621" s="361">
        <f t="shared" si="101"/>
        <v>34</v>
      </c>
      <c r="B621" s="365">
        <v>387.41</v>
      </c>
      <c r="C621" s="358" t="s">
        <v>405</v>
      </c>
      <c r="D621" s="1243">
        <f t="shared" si="102"/>
        <v>260538.46000000008</v>
      </c>
      <c r="E621" s="1243">
        <v>0</v>
      </c>
      <c r="F621" s="1243">
        <v>0</v>
      </c>
      <c r="G621" s="1243">
        <f t="shared" si="105"/>
        <v>260538.46000000008</v>
      </c>
      <c r="H621" s="1243"/>
      <c r="I621" s="1243">
        <f t="shared" si="103"/>
        <v>55764.960000000065</v>
      </c>
      <c r="J621" s="1243"/>
      <c r="K621" s="1243">
        <v>670.89</v>
      </c>
      <c r="L621" s="1243">
        <v>0</v>
      </c>
      <c r="M621" s="1243">
        <f t="shared" si="108"/>
        <v>0</v>
      </c>
      <c r="N621" s="1243">
        <v>0</v>
      </c>
      <c r="O621" s="1243">
        <f t="shared" si="104"/>
        <v>56435.850000000064</v>
      </c>
    </row>
    <row r="622" spans="1:15">
      <c r="A622" s="361">
        <f t="shared" si="101"/>
        <v>35</v>
      </c>
      <c r="B622" s="365">
        <v>387.42</v>
      </c>
      <c r="C622" s="358" t="s">
        <v>406</v>
      </c>
      <c r="D622" s="1243">
        <f t="shared" si="102"/>
        <v>419367.40000000008</v>
      </c>
      <c r="E622" s="1243">
        <v>0</v>
      </c>
      <c r="F622" s="1243">
        <v>0</v>
      </c>
      <c r="G622" s="1243">
        <f t="shared" si="105"/>
        <v>419367.40000000008</v>
      </c>
      <c r="H622" s="1243"/>
      <c r="I622" s="1243">
        <f t="shared" si="103"/>
        <v>335473.19999999995</v>
      </c>
      <c r="J622" s="1243"/>
      <c r="K622" s="1243">
        <v>1132.29</v>
      </c>
      <c r="L622" s="1243">
        <v>0</v>
      </c>
      <c r="M622" s="1243">
        <f t="shared" si="108"/>
        <v>0</v>
      </c>
      <c r="N622" s="1243">
        <v>0</v>
      </c>
      <c r="O622" s="1243">
        <f t="shared" si="104"/>
        <v>336605.48999999993</v>
      </c>
    </row>
    <row r="623" spans="1:15">
      <c r="A623" s="361">
        <f t="shared" si="101"/>
        <v>36</v>
      </c>
      <c r="B623" s="365">
        <v>387.44</v>
      </c>
      <c r="C623" s="358" t="s">
        <v>407</v>
      </c>
      <c r="D623" s="1243">
        <f t="shared" si="102"/>
        <v>124678.76000000001</v>
      </c>
      <c r="E623" s="1243">
        <v>0</v>
      </c>
      <c r="F623" s="1243">
        <v>0</v>
      </c>
      <c r="G623" s="1243">
        <f t="shared" si="105"/>
        <v>124678.76000000001</v>
      </c>
      <c r="H623" s="1243"/>
      <c r="I623" s="1243">
        <f t="shared" si="103"/>
        <v>65049.719999999987</v>
      </c>
      <c r="J623" s="1243"/>
      <c r="K623" s="1243">
        <v>336.63</v>
      </c>
      <c r="L623" s="1243">
        <v>0</v>
      </c>
      <c r="M623" s="1243">
        <f t="shared" si="108"/>
        <v>0</v>
      </c>
      <c r="N623" s="1243">
        <v>0</v>
      </c>
      <c r="O623" s="1243">
        <f t="shared" si="104"/>
        <v>65386.349999999984</v>
      </c>
    </row>
    <row r="624" spans="1:15">
      <c r="A624" s="361">
        <f t="shared" si="101"/>
        <v>37</v>
      </c>
      <c r="B624" s="365">
        <v>387.45</v>
      </c>
      <c r="C624" s="358" t="s">
        <v>408</v>
      </c>
      <c r="D624" s="1243">
        <f t="shared" si="102"/>
        <v>5422712.0299999993</v>
      </c>
      <c r="E624" s="1243">
        <v>0</v>
      </c>
      <c r="F624" s="1243">
        <v>-11630.09</v>
      </c>
      <c r="G624" s="1243">
        <f t="shared" si="105"/>
        <v>5411081.9399999995</v>
      </c>
      <c r="H624" s="1243"/>
      <c r="I624" s="1243">
        <f t="shared" si="103"/>
        <v>-649635.11</v>
      </c>
      <c r="J624" s="1243"/>
      <c r="K624" s="1243">
        <v>14625.62</v>
      </c>
      <c r="L624" s="1243">
        <v>0</v>
      </c>
      <c r="M624" s="1243">
        <f t="shared" si="108"/>
        <v>-11630.09</v>
      </c>
      <c r="N624" s="1243">
        <v>-483.27</v>
      </c>
      <c r="O624" s="1243">
        <f t="shared" si="104"/>
        <v>-647122.85</v>
      </c>
    </row>
    <row r="625" spans="1:16">
      <c r="A625" s="361">
        <f t="shared" si="101"/>
        <v>38</v>
      </c>
      <c r="B625" s="365">
        <v>387.46</v>
      </c>
      <c r="C625" s="358" t="s">
        <v>409</v>
      </c>
      <c r="D625" s="1243">
        <f t="shared" si="102"/>
        <v>113644.47</v>
      </c>
      <c r="E625" s="1243">
        <v>0</v>
      </c>
      <c r="F625" s="1243">
        <v>0</v>
      </c>
      <c r="G625" s="1243">
        <f t="shared" si="105"/>
        <v>113644.47</v>
      </c>
      <c r="H625" s="1243"/>
      <c r="I625" s="1243">
        <f t="shared" si="103"/>
        <v>114497.07</v>
      </c>
      <c r="J625" s="1243"/>
      <c r="K625" s="1243">
        <v>0</v>
      </c>
      <c r="L625" s="1243">
        <v>0</v>
      </c>
      <c r="M625" s="1243">
        <f t="shared" si="108"/>
        <v>0</v>
      </c>
      <c r="N625" s="1243">
        <v>0</v>
      </c>
      <c r="O625" s="1243">
        <f t="shared" si="104"/>
        <v>114497.07</v>
      </c>
    </row>
    <row r="626" spans="1:16">
      <c r="A626" s="361">
        <f t="shared" si="101"/>
        <v>39</v>
      </c>
      <c r="B626" s="365">
        <v>387.5</v>
      </c>
      <c r="C626" s="358" t="s">
        <v>1075</v>
      </c>
      <c r="D626" s="1244">
        <f t="shared" si="102"/>
        <v>235051.94</v>
      </c>
      <c r="E626" s="1244">
        <v>0</v>
      </c>
      <c r="F626" s="1244">
        <v>0</v>
      </c>
      <c r="G626" s="1244">
        <f t="shared" si="105"/>
        <v>235051.94</v>
      </c>
      <c r="H626" s="1243"/>
      <c r="I626" s="1244">
        <f t="shared" si="103"/>
        <v>38426.12000000001</v>
      </c>
      <c r="J626" s="1243"/>
      <c r="K626" s="1244">
        <v>605.26</v>
      </c>
      <c r="L626" s="1244">
        <v>0</v>
      </c>
      <c r="M626" s="1244">
        <f t="shared" si="108"/>
        <v>0</v>
      </c>
      <c r="N626" s="1244">
        <v>0</v>
      </c>
      <c r="O626" s="1244">
        <f t="shared" si="104"/>
        <v>39031.380000000012</v>
      </c>
    </row>
    <row r="627" spans="1:16">
      <c r="A627" s="361">
        <f t="shared" si="101"/>
        <v>40</v>
      </c>
      <c r="C627" s="365" t="s">
        <v>1601</v>
      </c>
      <c r="D627" s="1243">
        <f>SUM(D597:D626)</f>
        <v>706854953.6214931</v>
      </c>
      <c r="E627" s="1243">
        <f>SUM(E597:E626)</f>
        <v>1396395.2899999991</v>
      </c>
      <c r="F627" s="1243">
        <f>SUM(F597:F626)</f>
        <v>-379813.66567733948</v>
      </c>
      <c r="G627" s="1243">
        <f>SUM(G597:G626)</f>
        <v>707871535.24581599</v>
      </c>
      <c r="H627" s="1243"/>
      <c r="I627" s="1243">
        <f>SUM(I597:I626)</f>
        <v>161405424.59182006</v>
      </c>
      <c r="J627" s="1243"/>
      <c r="K627" s="1243">
        <f>SUM(K597:K626)</f>
        <v>1521288.5160000001</v>
      </c>
      <c r="L627" s="1243">
        <f>SUM(L597:L626)</f>
        <v>0</v>
      </c>
      <c r="M627" s="1243">
        <f>SUM(M597:M626)</f>
        <v>-379813.66567733948</v>
      </c>
      <c r="N627" s="1243">
        <f>SUM(N597:N626)</f>
        <v>-31641.774011999987</v>
      </c>
      <c r="O627" s="1243">
        <f>SUM(O597:O626)</f>
        <v>162515257.66813076</v>
      </c>
    </row>
    <row r="628" spans="1:16">
      <c r="B628" s="367"/>
      <c r="C628" s="368"/>
      <c r="D628" s="369"/>
      <c r="E628" s="369"/>
      <c r="F628" s="369"/>
      <c r="G628" s="369"/>
      <c r="I628" s="369"/>
      <c r="J628" s="369"/>
      <c r="K628" s="369"/>
      <c r="L628" s="369"/>
      <c r="M628" s="369"/>
      <c r="N628" s="369"/>
      <c r="O628" s="369"/>
    </row>
    <row r="629" spans="1:16">
      <c r="I629" s="369"/>
      <c r="J629" s="369"/>
      <c r="K629" s="369"/>
      <c r="L629" s="369"/>
      <c r="M629" s="369"/>
      <c r="N629" s="369"/>
      <c r="O629" s="369"/>
    </row>
    <row r="630" spans="1:16" s="291" customFormat="1" ht="12" customHeight="1">
      <c r="A630" s="1308" t="str">
        <f>$A$1</f>
        <v>COLUMBIA GAS OF KENTUCKY, INC.</v>
      </c>
      <c r="B630" s="1308"/>
      <c r="C630" s="1308"/>
      <c r="D630" s="1308"/>
      <c r="E630" s="1308"/>
      <c r="F630" s="1308"/>
      <c r="G630" s="1308"/>
      <c r="H630" s="1308"/>
      <c r="I630" s="1308"/>
      <c r="J630" s="1308"/>
      <c r="K630" s="1308"/>
      <c r="L630" s="1308"/>
      <c r="M630" s="1308"/>
      <c r="N630" s="1308"/>
      <c r="O630" s="1308"/>
    </row>
    <row r="631" spans="1:16" s="291" customFormat="1">
      <c r="A631" s="1308" t="str">
        <f>$A$2</f>
        <v>CASE NO. 2024 - 00092</v>
      </c>
      <c r="B631" s="1308"/>
      <c r="C631" s="1308"/>
      <c r="D631" s="1308"/>
      <c r="E631" s="1308"/>
      <c r="F631" s="1308"/>
      <c r="G631" s="1308"/>
      <c r="H631" s="1308"/>
      <c r="I631" s="1308"/>
      <c r="J631" s="1308"/>
      <c r="K631" s="1308"/>
      <c r="L631" s="1308"/>
      <c r="M631" s="1308"/>
      <c r="N631" s="1308"/>
      <c r="O631" s="1308"/>
    </row>
    <row r="632" spans="1:16" s="291" customFormat="1">
      <c r="A632" s="1308" t="str">
        <f>$A$3</f>
        <v>DETAIL OF ACTUAL &amp; FORECASTED PLANT, ACCUMULATED RESERVE &amp; DEPRECIATION EXPENSE</v>
      </c>
      <c r="B632" s="1308"/>
      <c r="C632" s="1308"/>
      <c r="D632" s="1308"/>
      <c r="E632" s="1308"/>
      <c r="F632" s="1308"/>
      <c r="G632" s="1308"/>
      <c r="H632" s="1308"/>
      <c r="I632" s="1308"/>
      <c r="J632" s="1308"/>
      <c r="K632" s="1308"/>
      <c r="L632" s="1308"/>
      <c r="M632" s="1308"/>
      <c r="N632" s="1308"/>
      <c r="O632" s="1308"/>
      <c r="P632" s="357"/>
    </row>
    <row r="633" spans="1:16" s="291" customFormat="1">
      <c r="A633" s="1308" t="str">
        <f>$A$4</f>
        <v>FROM JANUARY 01, 2023 THROUGH DECEMBER 31, 2025</v>
      </c>
      <c r="B633" s="1308"/>
      <c r="C633" s="1308"/>
      <c r="D633" s="1308"/>
      <c r="E633" s="1308"/>
      <c r="F633" s="1308"/>
      <c r="G633" s="1308"/>
      <c r="H633" s="1308"/>
      <c r="I633" s="1308"/>
      <c r="J633" s="1308"/>
      <c r="K633" s="1308"/>
      <c r="L633" s="1308"/>
      <c r="M633" s="1308"/>
      <c r="N633" s="1308"/>
      <c r="O633" s="1308"/>
    </row>
    <row r="634" spans="1:16" s="291" customFormat="1">
      <c r="B634" s="293"/>
      <c r="P634" s="312"/>
    </row>
    <row r="635" spans="1:16" s="291" customFormat="1">
      <c r="A635" s="297" t="str">
        <f>$A$6</f>
        <v xml:space="preserve">DATA: _X_ BASE PERIOD _X_ FORECASTED PERIOD     </v>
      </c>
      <c r="B635" s="293"/>
      <c r="O635" s="312" t="str">
        <f>$O$6</f>
        <v>WPB-2.1.C</v>
      </c>
      <c r="P635" s="312"/>
    </row>
    <row r="636" spans="1:16" s="291" customFormat="1">
      <c r="A636" s="297" t="str">
        <f>$A$7</f>
        <v>TYPE OF FILING:___X___ORIGINAL______UPDATED</v>
      </c>
      <c r="B636" s="293"/>
      <c r="O636" s="312" t="s">
        <v>2211</v>
      </c>
      <c r="P636" s="312"/>
    </row>
    <row r="637" spans="1:16" s="291" customFormat="1">
      <c r="A637" s="297" t="str">
        <f>$A$8</f>
        <v>WORKPAPER REFERENCE NO(S).:</v>
      </c>
      <c r="B637" s="293"/>
      <c r="O637" s="312" t="str">
        <f>$O$8</f>
        <v>WITNESS: GORE</v>
      </c>
    </row>
    <row r="638" spans="1:16">
      <c r="A638" s="918"/>
      <c r="B638" s="919"/>
      <c r="C638" s="918"/>
      <c r="D638" s="918"/>
      <c r="E638" s="918"/>
      <c r="F638" s="918"/>
      <c r="G638" s="918"/>
      <c r="H638" s="918"/>
      <c r="I638" s="918"/>
      <c r="J638" s="918"/>
      <c r="K638" s="918"/>
      <c r="L638" s="918"/>
      <c r="M638" s="918"/>
      <c r="N638" s="918"/>
      <c r="O638" s="920"/>
    </row>
    <row r="639" spans="1:16">
      <c r="D639" s="1311" t="s">
        <v>1768</v>
      </c>
      <c r="E639" s="1311"/>
      <c r="F639" s="1311"/>
      <c r="G639" s="1311"/>
      <c r="I639" s="1311" t="s">
        <v>1769</v>
      </c>
      <c r="J639" s="1311"/>
      <c r="K639" s="1311"/>
      <c r="L639" s="1311"/>
      <c r="M639" s="1311"/>
      <c r="N639" s="1311"/>
      <c r="O639" s="1311"/>
    </row>
    <row r="640" spans="1:16">
      <c r="D640" s="360">
        <f>D581</f>
        <v>45078</v>
      </c>
      <c r="G640" s="360">
        <f>G581</f>
        <v>45107</v>
      </c>
      <c r="I640" s="360">
        <f>D640</f>
        <v>45078</v>
      </c>
      <c r="O640" s="360">
        <f>G640</f>
        <v>45107</v>
      </c>
    </row>
    <row r="641" spans="1:15">
      <c r="D641" s="361" t="s">
        <v>1757</v>
      </c>
      <c r="G641" s="361" t="s">
        <v>1757</v>
      </c>
      <c r="I641" s="361" t="s">
        <v>1758</v>
      </c>
      <c r="J641" s="361" t="s">
        <v>488</v>
      </c>
      <c r="L641" s="361" t="s">
        <v>1758</v>
      </c>
      <c r="O641" s="361" t="s">
        <v>1758</v>
      </c>
    </row>
    <row r="642" spans="1:15">
      <c r="A642" s="361" t="s">
        <v>1770</v>
      </c>
      <c r="B642" s="361" t="s">
        <v>368</v>
      </c>
      <c r="C642" s="361"/>
      <c r="D642" s="361" t="s">
        <v>437</v>
      </c>
      <c r="G642" s="361" t="s">
        <v>439</v>
      </c>
      <c r="I642" s="361" t="s">
        <v>437</v>
      </c>
      <c r="J642" s="361" t="s">
        <v>1771</v>
      </c>
      <c r="K642" s="361" t="s">
        <v>1772</v>
      </c>
      <c r="L642" s="361" t="s">
        <v>1759</v>
      </c>
      <c r="N642" s="361" t="s">
        <v>1760</v>
      </c>
      <c r="O642" s="361" t="s">
        <v>439</v>
      </c>
    </row>
    <row r="643" spans="1:15">
      <c r="A643" s="364" t="s">
        <v>316</v>
      </c>
      <c r="B643" s="364" t="s">
        <v>316</v>
      </c>
      <c r="C643" s="364" t="s">
        <v>451</v>
      </c>
      <c r="D643" s="364" t="s">
        <v>441</v>
      </c>
      <c r="E643" s="364" t="s">
        <v>442</v>
      </c>
      <c r="F643" s="364" t="s">
        <v>443</v>
      </c>
      <c r="G643" s="364" t="s">
        <v>441</v>
      </c>
      <c r="I643" s="364" t="s">
        <v>441</v>
      </c>
      <c r="J643" s="364" t="s">
        <v>1773</v>
      </c>
      <c r="K643" s="364" t="s">
        <v>1771</v>
      </c>
      <c r="L643" s="364" t="s">
        <v>355</v>
      </c>
      <c r="M643" s="364" t="s">
        <v>443</v>
      </c>
      <c r="N643" s="364" t="s">
        <v>1763</v>
      </c>
      <c r="O643" s="364" t="s">
        <v>441</v>
      </c>
    </row>
    <row r="644" spans="1:15">
      <c r="D644" s="361" t="s">
        <v>532</v>
      </c>
      <c r="E644" s="361" t="s">
        <v>541</v>
      </c>
      <c r="F644" s="361" t="s">
        <v>542</v>
      </c>
      <c r="G644" s="361" t="s">
        <v>1764</v>
      </c>
      <c r="I644" s="334" t="str">
        <f>"(5)"</f>
        <v>(5)</v>
      </c>
      <c r="J644" s="334" t="str">
        <f>"(6)"</f>
        <v>(6)</v>
      </c>
      <c r="K644" s="334" t="str">
        <f>"(7)"</f>
        <v>(7)</v>
      </c>
      <c r="L644" s="334" t="str">
        <f>"(8)"</f>
        <v>(8)</v>
      </c>
      <c r="M644" s="334" t="str">
        <f>"(9)"</f>
        <v>(9)</v>
      </c>
      <c r="N644" s="334" t="str">
        <f>"(10)"</f>
        <v>(10)</v>
      </c>
      <c r="O644" s="334" t="str">
        <f>"(11=5+7+8+9+10)"</f>
        <v>(11=5+7+8+9+10)</v>
      </c>
    </row>
    <row r="645" spans="1:15">
      <c r="D645" s="361" t="s">
        <v>320</v>
      </c>
      <c r="E645" s="361" t="s">
        <v>320</v>
      </c>
      <c r="F645" s="361" t="s">
        <v>320</v>
      </c>
      <c r="G645" s="361" t="s">
        <v>320</v>
      </c>
      <c r="I645" s="334" t="s">
        <v>320</v>
      </c>
      <c r="J645" s="334" t="s">
        <v>529</v>
      </c>
      <c r="K645" s="334" t="s">
        <v>320</v>
      </c>
      <c r="L645" s="334" t="s">
        <v>320</v>
      </c>
      <c r="M645" s="334" t="s">
        <v>320</v>
      </c>
      <c r="N645" s="334" t="s">
        <v>320</v>
      </c>
      <c r="O645" s="334" t="s">
        <v>320</v>
      </c>
    </row>
    <row r="646" spans="1:15">
      <c r="A646" s="361">
        <v>1</v>
      </c>
      <c r="B646" s="363" t="s">
        <v>411</v>
      </c>
      <c r="D646" s="361"/>
      <c r="E646" s="361"/>
      <c r="F646" s="361"/>
      <c r="G646" s="361"/>
      <c r="I646" s="334"/>
      <c r="J646" s="334"/>
      <c r="K646" s="334"/>
      <c r="L646" s="334"/>
      <c r="M646" s="334"/>
      <c r="N646" s="334"/>
      <c r="O646" s="334"/>
    </row>
    <row r="647" spans="1:15">
      <c r="A647" s="361">
        <f>A646+1</f>
        <v>2</v>
      </c>
      <c r="B647" s="365">
        <v>391.1</v>
      </c>
      <c r="C647" s="358" t="s">
        <v>412</v>
      </c>
      <c r="D647" s="1243">
        <f t="shared" ref="D647:D660" si="109">G533</f>
        <v>820366.66</v>
      </c>
      <c r="E647" s="1243">
        <v>0</v>
      </c>
      <c r="F647" s="1243">
        <v>0</v>
      </c>
      <c r="G647" s="1243">
        <f>SUM(D647:F647)</f>
        <v>820366.66</v>
      </c>
      <c r="H647" s="1243"/>
      <c r="I647" s="1245">
        <f t="shared" ref="I647:I660" si="110">O533</f>
        <v>92538.260000000009</v>
      </c>
      <c r="J647" s="1243"/>
      <c r="K647" s="1243">
        <v>3418.19</v>
      </c>
      <c r="L647" s="1243">
        <v>0</v>
      </c>
      <c r="M647" s="1243">
        <f>F647</f>
        <v>0</v>
      </c>
      <c r="N647" s="1243">
        <v>0</v>
      </c>
      <c r="O647" s="1243">
        <f t="shared" ref="O647:O660" si="111">I647+K647+L647+M647+N647</f>
        <v>95956.450000000012</v>
      </c>
    </row>
    <row r="648" spans="1:15">
      <c r="A648" s="361">
        <f t="shared" ref="A648:A661" si="112">A647+1</f>
        <v>3</v>
      </c>
      <c r="B648" s="365">
        <v>391.11</v>
      </c>
      <c r="C648" s="358" t="s">
        <v>413</v>
      </c>
      <c r="D648" s="1243">
        <f t="shared" si="109"/>
        <v>0</v>
      </c>
      <c r="E648" s="1243">
        <v>0</v>
      </c>
      <c r="F648" s="1243">
        <v>0</v>
      </c>
      <c r="G648" s="1243">
        <f t="shared" ref="G648:G655" si="113">SUM(D648:F648)</f>
        <v>0</v>
      </c>
      <c r="H648" s="1243"/>
      <c r="I648" s="1245">
        <f t="shared" si="110"/>
        <v>-18933.789999999997</v>
      </c>
      <c r="J648" s="1243"/>
      <c r="K648" s="1243">
        <v>0</v>
      </c>
      <c r="L648" s="1243">
        <v>0</v>
      </c>
      <c r="M648" s="1243">
        <f t="shared" ref="M648:M660" si="114">F648</f>
        <v>0</v>
      </c>
      <c r="N648" s="1243">
        <v>0</v>
      </c>
      <c r="O648" s="1243">
        <f t="shared" si="111"/>
        <v>-18933.789999999997</v>
      </c>
    </row>
    <row r="649" spans="1:15">
      <c r="A649" s="361">
        <f t="shared" si="112"/>
        <v>4</v>
      </c>
      <c r="B649" s="365">
        <v>391.12</v>
      </c>
      <c r="C649" s="358" t="s">
        <v>414</v>
      </c>
      <c r="D649" s="1243">
        <f t="shared" si="109"/>
        <v>91133.260000000009</v>
      </c>
      <c r="E649" s="1243">
        <v>0</v>
      </c>
      <c r="F649" s="1243">
        <v>0</v>
      </c>
      <c r="G649" s="1243">
        <f t="shared" si="113"/>
        <v>91133.260000000009</v>
      </c>
      <c r="H649" s="1243"/>
      <c r="I649" s="1245">
        <f t="shared" si="110"/>
        <v>41237.97</v>
      </c>
      <c r="J649" s="1243"/>
      <c r="K649" s="1243">
        <v>1518.89</v>
      </c>
      <c r="L649" s="1243">
        <v>0</v>
      </c>
      <c r="M649" s="1243">
        <f t="shared" si="114"/>
        <v>0</v>
      </c>
      <c r="N649" s="1243">
        <v>0</v>
      </c>
      <c r="O649" s="1243">
        <f t="shared" si="111"/>
        <v>42756.86</v>
      </c>
    </row>
    <row r="650" spans="1:15">
      <c r="A650" s="361">
        <f t="shared" si="112"/>
        <v>5</v>
      </c>
      <c r="B650" s="365">
        <v>392.2</v>
      </c>
      <c r="C650" s="358" t="s">
        <v>524</v>
      </c>
      <c r="D650" s="1243">
        <f t="shared" si="109"/>
        <v>95778</v>
      </c>
      <c r="E650" s="1243">
        <v>0</v>
      </c>
      <c r="F650" s="1243">
        <v>0</v>
      </c>
      <c r="G650" s="1243">
        <f t="shared" si="113"/>
        <v>95778</v>
      </c>
      <c r="H650" s="1243"/>
      <c r="I650" s="1245">
        <f t="shared" si="110"/>
        <v>63477.129999999983</v>
      </c>
      <c r="J650" s="1243"/>
      <c r="K650" s="1243">
        <v>71.84</v>
      </c>
      <c r="L650" s="1243">
        <v>0</v>
      </c>
      <c r="M650" s="1243">
        <f t="shared" si="114"/>
        <v>0</v>
      </c>
      <c r="N650" s="1243">
        <v>0</v>
      </c>
      <c r="O650" s="1243">
        <f t="shared" si="111"/>
        <v>63548.969999999979</v>
      </c>
    </row>
    <row r="651" spans="1:15">
      <c r="A651" s="361">
        <f t="shared" si="112"/>
        <v>6</v>
      </c>
      <c r="B651" s="365">
        <v>392.21</v>
      </c>
      <c r="C651" s="358" t="s">
        <v>415</v>
      </c>
      <c r="D651" s="1243">
        <f t="shared" si="109"/>
        <v>24462.2</v>
      </c>
      <c r="E651" s="1243">
        <v>0</v>
      </c>
      <c r="F651" s="1243">
        <v>0</v>
      </c>
      <c r="G651" s="1243">
        <f t="shared" si="113"/>
        <v>24462.2</v>
      </c>
      <c r="H651" s="1243"/>
      <c r="I651" s="1245">
        <f t="shared" si="110"/>
        <v>44754.01</v>
      </c>
      <c r="J651" s="1243"/>
      <c r="K651" s="1243">
        <v>0</v>
      </c>
      <c r="L651" s="1243">
        <v>0</v>
      </c>
      <c r="M651" s="1243">
        <f t="shared" si="114"/>
        <v>0</v>
      </c>
      <c r="N651" s="1243">
        <v>0</v>
      </c>
      <c r="O651" s="1243">
        <f t="shared" si="111"/>
        <v>44754.01</v>
      </c>
    </row>
    <row r="652" spans="1:15">
      <c r="A652" s="361">
        <f t="shared" si="112"/>
        <v>7</v>
      </c>
      <c r="B652" s="365">
        <v>393</v>
      </c>
      <c r="C652" s="358" t="s">
        <v>416</v>
      </c>
      <c r="D652" s="1243">
        <f t="shared" si="109"/>
        <v>0</v>
      </c>
      <c r="E652" s="1243">
        <v>0</v>
      </c>
      <c r="F652" s="1243">
        <v>0</v>
      </c>
      <c r="G652" s="1243">
        <f t="shared" si="113"/>
        <v>0</v>
      </c>
      <c r="H652" s="1243"/>
      <c r="I652" s="1245">
        <f t="shared" si="110"/>
        <v>0</v>
      </c>
      <c r="J652" s="1243"/>
      <c r="K652" s="1243">
        <v>0</v>
      </c>
      <c r="L652" s="1243">
        <v>0</v>
      </c>
      <c r="M652" s="1243">
        <f t="shared" si="114"/>
        <v>0</v>
      </c>
      <c r="N652" s="1243">
        <v>0</v>
      </c>
      <c r="O652" s="1243">
        <f t="shared" si="111"/>
        <v>0</v>
      </c>
    </row>
    <row r="653" spans="1:15">
      <c r="A653" s="361">
        <f t="shared" si="112"/>
        <v>8</v>
      </c>
      <c r="B653" s="365">
        <v>394.1</v>
      </c>
      <c r="C653" s="358" t="s">
        <v>417</v>
      </c>
      <c r="D653" s="1243">
        <f t="shared" si="109"/>
        <v>9739</v>
      </c>
      <c r="E653" s="1243">
        <v>0</v>
      </c>
      <c r="F653" s="1243">
        <v>0</v>
      </c>
      <c r="G653" s="1243">
        <f t="shared" si="113"/>
        <v>9739</v>
      </c>
      <c r="H653" s="1243"/>
      <c r="I653" s="1245">
        <f t="shared" si="110"/>
        <v>3847.9300000000003</v>
      </c>
      <c r="J653" s="1243"/>
      <c r="K653" s="1243">
        <v>32.46</v>
      </c>
      <c r="L653" s="1243">
        <v>0</v>
      </c>
      <c r="M653" s="1243">
        <f t="shared" si="114"/>
        <v>0</v>
      </c>
      <c r="N653" s="1243">
        <v>0</v>
      </c>
      <c r="O653" s="1243">
        <f t="shared" si="111"/>
        <v>3880.3900000000003</v>
      </c>
    </row>
    <row r="654" spans="1:15">
      <c r="A654" s="361">
        <f t="shared" si="112"/>
        <v>9</v>
      </c>
      <c r="B654" s="365">
        <v>394.11</v>
      </c>
      <c r="C654" s="358" t="s">
        <v>418</v>
      </c>
      <c r="D654" s="1243">
        <f t="shared" si="109"/>
        <v>0</v>
      </c>
      <c r="E654" s="1243">
        <v>0</v>
      </c>
      <c r="F654" s="1243">
        <v>0</v>
      </c>
      <c r="G654" s="1243">
        <f t="shared" si="113"/>
        <v>0</v>
      </c>
      <c r="H654" s="1243"/>
      <c r="I654" s="1245">
        <f t="shared" si="110"/>
        <v>-26071.5</v>
      </c>
      <c r="J654" s="1243"/>
      <c r="K654" s="1243">
        <v>0</v>
      </c>
      <c r="L654" s="1243">
        <v>0</v>
      </c>
      <c r="M654" s="1243">
        <f t="shared" si="114"/>
        <v>0</v>
      </c>
      <c r="N654" s="1243">
        <v>0</v>
      </c>
      <c r="O654" s="1243">
        <f t="shared" si="111"/>
        <v>-26071.5</v>
      </c>
    </row>
    <row r="655" spans="1:15">
      <c r="A655" s="361">
        <f t="shared" si="112"/>
        <v>10</v>
      </c>
      <c r="B655" s="365">
        <v>394.13</v>
      </c>
      <c r="C655" s="358" t="s">
        <v>515</v>
      </c>
      <c r="D655" s="1243">
        <f t="shared" si="109"/>
        <v>0</v>
      </c>
      <c r="E655" s="1243">
        <v>0</v>
      </c>
      <c r="F655" s="1243">
        <v>0</v>
      </c>
      <c r="G655" s="1243">
        <f t="shared" si="113"/>
        <v>0</v>
      </c>
      <c r="H655" s="1243"/>
      <c r="I655" s="1245">
        <f t="shared" si="110"/>
        <v>37937.360000000001</v>
      </c>
      <c r="J655" s="1243"/>
      <c r="K655" s="1243">
        <v>0</v>
      </c>
      <c r="L655" s="1243">
        <v>0</v>
      </c>
      <c r="M655" s="1243">
        <f t="shared" si="114"/>
        <v>0</v>
      </c>
      <c r="N655" s="1243">
        <v>0</v>
      </c>
      <c r="O655" s="1243">
        <f t="shared" si="111"/>
        <v>37937.360000000001</v>
      </c>
    </row>
    <row r="656" spans="1:15">
      <c r="A656" s="361">
        <f t="shared" si="112"/>
        <v>11</v>
      </c>
      <c r="B656" s="365">
        <v>394.2</v>
      </c>
      <c r="C656" s="358" t="s">
        <v>420</v>
      </c>
      <c r="D656" s="1243">
        <f t="shared" si="109"/>
        <v>0</v>
      </c>
      <c r="E656" s="1243">
        <v>0</v>
      </c>
      <c r="F656" s="1243">
        <v>0</v>
      </c>
      <c r="G656" s="1243">
        <f>SUM(D656:F656)</f>
        <v>0</v>
      </c>
      <c r="H656" s="1243"/>
      <c r="I656" s="1245">
        <f t="shared" si="110"/>
        <v>185.21</v>
      </c>
      <c r="J656" s="1243"/>
      <c r="K656" s="1243">
        <v>0</v>
      </c>
      <c r="L656" s="1243">
        <v>0</v>
      </c>
      <c r="M656" s="1243">
        <f t="shared" si="114"/>
        <v>0</v>
      </c>
      <c r="N656" s="1243">
        <v>0</v>
      </c>
      <c r="O656" s="1243">
        <f t="shared" si="111"/>
        <v>185.21</v>
      </c>
    </row>
    <row r="657" spans="1:15">
      <c r="A657" s="361">
        <f t="shared" si="112"/>
        <v>12</v>
      </c>
      <c r="B657" s="365">
        <v>394.3</v>
      </c>
      <c r="C657" s="358" t="s">
        <v>1602</v>
      </c>
      <c r="D657" s="1243">
        <f t="shared" si="109"/>
        <v>4905234.8800000008</v>
      </c>
      <c r="E657" s="1243">
        <v>15262.68</v>
      </c>
      <c r="F657" s="1243">
        <v>0</v>
      </c>
      <c r="G657" s="1243">
        <f>SUM(D657:F657)</f>
        <v>4920497.5600000005</v>
      </c>
      <c r="H657" s="1243"/>
      <c r="I657" s="1245">
        <f t="shared" si="110"/>
        <v>1495176.43</v>
      </c>
      <c r="J657" s="1243"/>
      <c r="K657" s="1243">
        <v>16376.220000000001</v>
      </c>
      <c r="L657" s="1243">
        <v>0</v>
      </c>
      <c r="M657" s="1243">
        <f t="shared" si="114"/>
        <v>0</v>
      </c>
      <c r="N657" s="1243">
        <v>0</v>
      </c>
      <c r="O657" s="1243">
        <f t="shared" si="111"/>
        <v>1511552.65</v>
      </c>
    </row>
    <row r="658" spans="1:15">
      <c r="A658" s="361">
        <f t="shared" si="112"/>
        <v>13</v>
      </c>
      <c r="B658" s="365">
        <v>395</v>
      </c>
      <c r="C658" s="358" t="s">
        <v>422</v>
      </c>
      <c r="D658" s="1243">
        <f t="shared" si="109"/>
        <v>4162.05</v>
      </c>
      <c r="E658" s="1243">
        <v>0</v>
      </c>
      <c r="F658" s="1243">
        <v>0</v>
      </c>
      <c r="G658" s="1243">
        <f>SUM(D658:F658)</f>
        <v>4162.05</v>
      </c>
      <c r="H658" s="1243"/>
      <c r="I658" s="1245">
        <f t="shared" si="110"/>
        <v>3931.3000000000006</v>
      </c>
      <c r="J658" s="1243"/>
      <c r="K658" s="1243">
        <v>17.34</v>
      </c>
      <c r="L658" s="1243">
        <v>0</v>
      </c>
      <c r="M658" s="1243">
        <f t="shared" si="114"/>
        <v>0</v>
      </c>
      <c r="N658" s="1243">
        <v>0</v>
      </c>
      <c r="O658" s="1243">
        <f t="shared" si="111"/>
        <v>3948.6400000000008</v>
      </c>
    </row>
    <row r="659" spans="1:15">
      <c r="A659" s="361">
        <f t="shared" si="112"/>
        <v>14</v>
      </c>
      <c r="B659" s="365">
        <v>396</v>
      </c>
      <c r="C659" s="358" t="s">
        <v>423</v>
      </c>
      <c r="D659" s="1243">
        <f t="shared" si="109"/>
        <v>185547</v>
      </c>
      <c r="E659" s="1243">
        <v>0</v>
      </c>
      <c r="F659" s="1243">
        <v>0</v>
      </c>
      <c r="G659" s="1243">
        <f>SUM(D659:F659)</f>
        <v>185547</v>
      </c>
      <c r="H659" s="1243"/>
      <c r="I659" s="1245">
        <f t="shared" si="110"/>
        <v>171938.14</v>
      </c>
      <c r="J659" s="1243"/>
      <c r="K659" s="1243">
        <v>0</v>
      </c>
      <c r="L659" s="1243">
        <v>0</v>
      </c>
      <c r="M659" s="1243">
        <f t="shared" si="114"/>
        <v>0</v>
      </c>
      <c r="N659" s="1243">
        <v>0</v>
      </c>
      <c r="O659" s="1243">
        <f t="shared" si="111"/>
        <v>171938.14</v>
      </c>
    </row>
    <row r="660" spans="1:15">
      <c r="A660" s="361">
        <f t="shared" si="112"/>
        <v>15</v>
      </c>
      <c r="B660" s="365">
        <v>398</v>
      </c>
      <c r="C660" s="358" t="s">
        <v>424</v>
      </c>
      <c r="D660" s="1244">
        <f t="shared" si="109"/>
        <v>123389.32000000002</v>
      </c>
      <c r="E660" s="1244">
        <v>0</v>
      </c>
      <c r="F660" s="1244">
        <v>0</v>
      </c>
      <c r="G660" s="1244">
        <f>SUM(D660:F660)</f>
        <v>123389.32000000002</v>
      </c>
      <c r="H660" s="1243"/>
      <c r="I660" s="1246">
        <f t="shared" si="110"/>
        <v>64549.869999999995</v>
      </c>
      <c r="J660" s="1243"/>
      <c r="K660" s="1244">
        <v>685.84</v>
      </c>
      <c r="L660" s="1244">
        <v>0</v>
      </c>
      <c r="M660" s="1244">
        <f t="shared" si="114"/>
        <v>0</v>
      </c>
      <c r="N660" s="1244">
        <v>0</v>
      </c>
      <c r="O660" s="1244">
        <f t="shared" si="111"/>
        <v>65235.709999999992</v>
      </c>
    </row>
    <row r="661" spans="1:15">
      <c r="A661" s="361">
        <f t="shared" si="112"/>
        <v>16</v>
      </c>
      <c r="B661" s="367"/>
      <c r="C661" s="358" t="s">
        <v>425</v>
      </c>
      <c r="D661" s="1243">
        <f>SUM(D647:D660)</f>
        <v>6259812.370000001</v>
      </c>
      <c r="E661" s="1243">
        <f>SUM(E647:E660)</f>
        <v>15262.68</v>
      </c>
      <c r="F661" s="1243">
        <f>SUM(F647:F660)</f>
        <v>0</v>
      </c>
      <c r="G661" s="1243">
        <f>SUM(G647:G660)</f>
        <v>6275075.0500000007</v>
      </c>
      <c r="H661" s="1243"/>
      <c r="I661" s="1243">
        <f>SUM(I647:I660)</f>
        <v>1974568.3200000003</v>
      </c>
      <c r="J661" s="1243"/>
      <c r="K661" s="1243">
        <f>SUM(K647:K660)</f>
        <v>22120.780000000002</v>
      </c>
      <c r="L661" s="1243">
        <f>SUM(L647:L660)</f>
        <v>0</v>
      </c>
      <c r="M661" s="1243">
        <f>SUM(M647:M660)</f>
        <v>0</v>
      </c>
      <c r="N661" s="1243">
        <f>SUM(N647:N660)</f>
        <v>0</v>
      </c>
      <c r="O661" s="1243">
        <f>SUM(O647:O660)</f>
        <v>1996689.0999999996</v>
      </c>
    </row>
    <row r="662" spans="1:15">
      <c r="A662" s="361"/>
      <c r="D662" s="1243"/>
      <c r="E662" s="1243"/>
      <c r="F662" s="1243"/>
      <c r="G662" s="1243"/>
      <c r="H662" s="1243"/>
      <c r="I662" s="1243"/>
      <c r="J662" s="1243"/>
      <c r="K662" s="1243"/>
      <c r="L662" s="1243"/>
      <c r="M662" s="1243"/>
      <c r="N662" s="1243"/>
      <c r="O662" s="1243"/>
    </row>
    <row r="663" spans="1:15">
      <c r="A663" s="361">
        <f>A661+1</f>
        <v>17</v>
      </c>
      <c r="B663" s="363" t="s">
        <v>1038</v>
      </c>
      <c r="D663" s="1243"/>
      <c r="E663" s="1243"/>
      <c r="F663" s="1243"/>
      <c r="G663" s="1243"/>
      <c r="H663" s="1243"/>
      <c r="I663" s="1243"/>
      <c r="J663" s="1243"/>
      <c r="K663" s="1243"/>
      <c r="L663" s="1243"/>
      <c r="M663" s="1243"/>
      <c r="N663" s="1243"/>
      <c r="O663" s="1243"/>
    </row>
    <row r="664" spans="1:15">
      <c r="A664" s="361">
        <f>A663+1</f>
        <v>18</v>
      </c>
      <c r="B664" s="365">
        <v>378.21</v>
      </c>
      <c r="C664" s="358" t="s">
        <v>1037</v>
      </c>
      <c r="D664" s="1244">
        <f>G550</f>
        <v>-777092</v>
      </c>
      <c r="E664" s="1244">
        <v>0</v>
      </c>
      <c r="F664" s="1244">
        <v>0</v>
      </c>
      <c r="G664" s="1244">
        <f>SUM(D664:F664)</f>
        <v>-777092</v>
      </c>
      <c r="H664" s="1243"/>
      <c r="I664" s="1244">
        <f>O550</f>
        <v>-189361.15000000002</v>
      </c>
      <c r="J664" s="1243"/>
      <c r="K664" s="1244">
        <v>-2144.17</v>
      </c>
      <c r="L664" s="1244">
        <v>0</v>
      </c>
      <c r="M664" s="1244">
        <f>F664</f>
        <v>0</v>
      </c>
      <c r="N664" s="1244">
        <v>0</v>
      </c>
      <c r="O664" s="1244">
        <f>I664+K664+L664+M664+N664</f>
        <v>-191505.32000000004</v>
      </c>
    </row>
    <row r="665" spans="1:15">
      <c r="A665" s="361">
        <f>A664+1</f>
        <v>19</v>
      </c>
      <c r="B665" s="370"/>
      <c r="C665" s="358" t="s">
        <v>1579</v>
      </c>
      <c r="D665" s="1243">
        <f>SUM(D664)</f>
        <v>-777092</v>
      </c>
      <c r="E665" s="1243">
        <f>SUM(E664)</f>
        <v>0</v>
      </c>
      <c r="F665" s="1243">
        <f>SUM(F664)</f>
        <v>0</v>
      </c>
      <c r="G665" s="1243">
        <f>SUM(G664)</f>
        <v>-777092</v>
      </c>
      <c r="H665" s="1243"/>
      <c r="I665" s="1243">
        <f>SUM(I664)</f>
        <v>-189361.15000000002</v>
      </c>
      <c r="J665" s="1243"/>
      <c r="K665" s="1243">
        <f>SUM(K664)</f>
        <v>-2144.17</v>
      </c>
      <c r="L665" s="1243">
        <f>SUM(L664)</f>
        <v>0</v>
      </c>
      <c r="M665" s="1243">
        <f>SUM(M664)</f>
        <v>0</v>
      </c>
      <c r="N665" s="1243">
        <f>SUM(N664)</f>
        <v>0</v>
      </c>
      <c r="O665" s="1243">
        <f>SUM(O664)</f>
        <v>-191505.32000000004</v>
      </c>
    </row>
    <row r="666" spans="1:15" ht="12" customHeight="1">
      <c r="A666" s="361"/>
      <c r="B666" s="370"/>
      <c r="D666" s="1243"/>
      <c r="E666" s="1243"/>
      <c r="F666" s="1243"/>
      <c r="G666" s="1243"/>
      <c r="H666" s="1243"/>
      <c r="I666" s="1243"/>
      <c r="J666" s="1243"/>
      <c r="K666" s="1243"/>
      <c r="L666" s="1243"/>
      <c r="M666" s="1243"/>
      <c r="N666" s="1243"/>
      <c r="O666" s="1243"/>
    </row>
    <row r="667" spans="1:15" ht="12" customHeight="1">
      <c r="A667" s="361">
        <f>A665+1</f>
        <v>20</v>
      </c>
      <c r="B667" s="370"/>
      <c r="C667" s="358" t="s">
        <v>2037</v>
      </c>
      <c r="D667" s="1243">
        <f>D594+D627+D661+D665</f>
        <v>726393133.83149314</v>
      </c>
      <c r="E667" s="1243">
        <f>E594+E627+E661+E665</f>
        <v>1458590.919999999</v>
      </c>
      <c r="F667" s="1243">
        <f>F594+F627+F661+F665</f>
        <v>-379813.66567733948</v>
      </c>
      <c r="G667" s="1243">
        <f>G594+G627+G661+G665</f>
        <v>727471911.08581591</v>
      </c>
      <c r="H667" s="1243"/>
      <c r="I667" s="1243">
        <f>I594+I627+I661+I665</f>
        <v>169694894.54182005</v>
      </c>
      <c r="J667" s="1243"/>
      <c r="K667" s="1243">
        <f>K594+K627+K661+K665</f>
        <v>1765775.746</v>
      </c>
      <c r="L667" s="1243">
        <f>L594+L627+L661+L665</f>
        <v>0</v>
      </c>
      <c r="M667" s="1243">
        <f>M594+M627+M661+M665</f>
        <v>-379813.66567733948</v>
      </c>
      <c r="N667" s="1243">
        <f>N594+N627+N661+N665</f>
        <v>-31641.774011999987</v>
      </c>
      <c r="O667" s="1243">
        <f>O594+O627+O661+O665</f>
        <v>171049214.84813076</v>
      </c>
    </row>
    <row r="668" spans="1:15" ht="12" customHeight="1">
      <c r="A668" s="361"/>
      <c r="B668" s="370"/>
      <c r="D668" s="1243"/>
      <c r="E668" s="1243"/>
      <c r="F668" s="1243"/>
      <c r="G668" s="1243"/>
      <c r="H668" s="1243"/>
      <c r="I668" s="1243"/>
      <c r="J668" s="1243"/>
      <c r="K668" s="1243"/>
      <c r="L668" s="1243"/>
      <c r="M668" s="1243"/>
      <c r="N668" s="1243"/>
      <c r="O668" s="1243"/>
    </row>
    <row r="669" spans="1:15" ht="12" customHeight="1">
      <c r="A669" s="361">
        <f>A667+1</f>
        <v>21</v>
      </c>
      <c r="B669" s="370"/>
      <c r="C669" s="358" t="s">
        <v>2038</v>
      </c>
      <c r="D669" s="1243">
        <v>0</v>
      </c>
      <c r="E669" s="1249">
        <v>0</v>
      </c>
      <c r="F669" s="1249">
        <v>0</v>
      </c>
      <c r="G669" s="1249">
        <f>SUM(D669:F669)</f>
        <v>0</v>
      </c>
      <c r="H669" s="1243"/>
      <c r="I669" s="1243">
        <f>O555</f>
        <v>-5730645.5600000005</v>
      </c>
      <c r="J669" s="1243"/>
      <c r="K669" s="1243"/>
      <c r="L669" s="1243"/>
      <c r="M669" s="1243"/>
      <c r="N669" s="1243">
        <v>-288138.05</v>
      </c>
      <c r="O669" s="1243">
        <f>I669+K669+L669+M669+N669</f>
        <v>-6018783.6100000003</v>
      </c>
    </row>
    <row r="670" spans="1:15" ht="12" customHeight="1">
      <c r="A670" s="361"/>
      <c r="B670" s="370"/>
      <c r="C670" s="368"/>
      <c r="D670" s="1243"/>
      <c r="E670" s="1243"/>
      <c r="F670" s="1243"/>
      <c r="G670" s="1243"/>
      <c r="H670" s="1243"/>
      <c r="I670" s="1243"/>
      <c r="J670" s="1243"/>
      <c r="K670" s="1243"/>
      <c r="L670" s="1243"/>
      <c r="M670" s="1243"/>
      <c r="N670" s="1243"/>
      <c r="O670" s="1243"/>
    </row>
    <row r="671" spans="1:15">
      <c r="A671" s="361">
        <f>A669+1</f>
        <v>22</v>
      </c>
      <c r="C671" s="358" t="s">
        <v>1603</v>
      </c>
      <c r="D671" s="1247">
        <f>D667+D669</f>
        <v>726393133.83149314</v>
      </c>
      <c r="E671" s="1247">
        <f t="shared" ref="E671:O671" si="115">E667+E669</f>
        <v>1458590.919999999</v>
      </c>
      <c r="F671" s="1247">
        <f t="shared" si="115"/>
        <v>-379813.66567733948</v>
      </c>
      <c r="G671" s="1247">
        <f t="shared" si="115"/>
        <v>727471911.08581591</v>
      </c>
      <c r="H671" s="1243"/>
      <c r="I671" s="1247">
        <f t="shared" si="115"/>
        <v>163964248.98182005</v>
      </c>
      <c r="J671" s="1243"/>
      <c r="K671" s="1247">
        <f t="shared" si="115"/>
        <v>1765775.746</v>
      </c>
      <c r="L671" s="1247">
        <f t="shared" si="115"/>
        <v>0</v>
      </c>
      <c r="M671" s="1247">
        <f t="shared" si="115"/>
        <v>-379813.66567733948</v>
      </c>
      <c r="N671" s="1247">
        <f t="shared" si="115"/>
        <v>-319779.824012</v>
      </c>
      <c r="O671" s="1247">
        <f t="shared" si="115"/>
        <v>165030431.23813075</v>
      </c>
    </row>
    <row r="672" spans="1:15">
      <c r="A672" s="361"/>
      <c r="D672" s="1243"/>
      <c r="E672" s="1243"/>
      <c r="F672" s="1243"/>
      <c r="G672" s="1243"/>
      <c r="H672" s="1243"/>
      <c r="I672" s="1243"/>
      <c r="J672" s="1243"/>
      <c r="K672" s="1243"/>
      <c r="L672" s="1243"/>
      <c r="M672" s="1243"/>
      <c r="N672" s="1243"/>
      <c r="O672" s="1243"/>
    </row>
    <row r="673" spans="1:16">
      <c r="A673" s="361"/>
      <c r="D673" s="1243"/>
      <c r="E673" s="1243"/>
      <c r="F673" s="1243"/>
      <c r="G673" s="1243"/>
      <c r="H673" s="1243"/>
      <c r="I673" s="1243"/>
      <c r="J673" s="1243"/>
      <c r="K673" s="1243"/>
      <c r="L673" s="1243"/>
      <c r="M673" s="1243"/>
      <c r="N673" s="1243"/>
      <c r="O673" s="1243"/>
    </row>
    <row r="674" spans="1:16">
      <c r="A674" s="361">
        <f>A671+1</f>
        <v>23</v>
      </c>
      <c r="B674" s="363" t="s">
        <v>1774</v>
      </c>
      <c r="D674" s="1243"/>
      <c r="E674" s="1243"/>
      <c r="F674" s="1243"/>
      <c r="G674" s="1243"/>
      <c r="H674" s="1243"/>
      <c r="I674" s="1243"/>
      <c r="J674" s="1243"/>
      <c r="K674" s="1243"/>
      <c r="L674" s="1243"/>
      <c r="M674" s="1243"/>
      <c r="N674" s="1243"/>
      <c r="O674" s="1243"/>
    </row>
    <row r="675" spans="1:16">
      <c r="A675" s="361">
        <f t="shared" ref="A675:A680" si="116">A674+1</f>
        <v>24</v>
      </c>
      <c r="B675" s="365">
        <v>376</v>
      </c>
      <c r="C675" s="358" t="s">
        <v>1775</v>
      </c>
      <c r="D675" s="1243">
        <f>G561</f>
        <v>8661139.0200000014</v>
      </c>
      <c r="E675" s="1243">
        <f>'WPB-2.1.D SMRP'!E248</f>
        <v>3854453.0500000007</v>
      </c>
      <c r="F675" s="1243">
        <f>'WPB-2.1.D SMRP'!F248</f>
        <v>-207</v>
      </c>
      <c r="G675" s="1243">
        <f>SUM(D675:F675)</f>
        <v>12515385.070000002</v>
      </c>
      <c r="H675" s="1243"/>
      <c r="I675" s="1243">
        <f>O561</f>
        <v>-4761.3939999999993</v>
      </c>
      <c r="J675" s="1243"/>
      <c r="K675" s="1243">
        <f>'WPB-2.1.D SMRP'!K248</f>
        <v>15353.328</v>
      </c>
      <c r="L675" s="1243">
        <v>0</v>
      </c>
      <c r="M675" s="1243">
        <f>F675</f>
        <v>-207</v>
      </c>
      <c r="N675" s="1243">
        <f>'WPB-2.1.D SMRP'!N248</f>
        <v>0</v>
      </c>
      <c r="O675" s="1243">
        <f>I675+K675+L675+M675+N675</f>
        <v>10384.934000000001</v>
      </c>
    </row>
    <row r="676" spans="1:16">
      <c r="A676" s="361">
        <f t="shared" si="116"/>
        <v>25</v>
      </c>
      <c r="B676" s="365">
        <v>378.2</v>
      </c>
      <c r="C676" s="358" t="s">
        <v>1776</v>
      </c>
      <c r="D676" s="1243">
        <f>G562</f>
        <v>-42101.490000000005</v>
      </c>
      <c r="E676" s="1243">
        <f>'WPB-2.1.D SMRP'!E249</f>
        <v>0</v>
      </c>
      <c r="F676" s="1243">
        <f>'WPB-2.1.D SMRP'!F249</f>
        <v>-98607.48000000001</v>
      </c>
      <c r="G676" s="1243">
        <f>SUM(D676:F676)</f>
        <v>-140708.97000000003</v>
      </c>
      <c r="H676" s="1243"/>
      <c r="I676" s="1243">
        <f>O562</f>
        <v>-53325.255000000005</v>
      </c>
      <c r="J676" s="1243"/>
      <c r="K676" s="1243">
        <f>'WPB-2.1.D SMRP'!K249</f>
        <v>-191.53800000000001</v>
      </c>
      <c r="L676" s="1243">
        <v>0</v>
      </c>
      <c r="M676" s="1243">
        <f>F676</f>
        <v>-98607.48000000001</v>
      </c>
      <c r="N676" s="1243">
        <f>'WPB-2.1.D SMRP'!N249</f>
        <v>-9703.0300000000007</v>
      </c>
      <c r="O676" s="1243">
        <f>I676+K676+L676+M676+N676</f>
        <v>-161827.30300000001</v>
      </c>
    </row>
    <row r="677" spans="1:16">
      <c r="A677" s="361">
        <f t="shared" si="116"/>
        <v>26</v>
      </c>
      <c r="B677" s="365">
        <v>380</v>
      </c>
      <c r="C677" s="358" t="s">
        <v>1777</v>
      </c>
      <c r="D677" s="1243">
        <f>G563</f>
        <v>4241033.6685068952</v>
      </c>
      <c r="E677" s="1243">
        <f>'WPB-2.1.D SMRP'!E250</f>
        <v>1124603.45</v>
      </c>
      <c r="F677" s="1243">
        <f>'WPB-2.1.D SMRP'!F250</f>
        <v>-358664.11432266055</v>
      </c>
      <c r="G677" s="1243">
        <f>SUM(D677:F677)</f>
        <v>5006973.0041842349</v>
      </c>
      <c r="H677" s="1243"/>
      <c r="I677" s="1243">
        <f>O563</f>
        <v>-1940567.8168201053</v>
      </c>
      <c r="J677" s="1243"/>
      <c r="K677" s="1243">
        <f>'WPB-2.1.D SMRP'!K250</f>
        <v>15336.183000000001</v>
      </c>
      <c r="L677" s="1243">
        <v>0</v>
      </c>
      <c r="M677" s="1243">
        <f>F677</f>
        <v>-358664.11432266055</v>
      </c>
      <c r="N677" s="1243">
        <f>'WPB-2.1.D SMRP'!N250</f>
        <v>-133263.05598800001</v>
      </c>
      <c r="O677" s="1243">
        <f>I677+K677+L677+M677+N677</f>
        <v>-2417158.8041307656</v>
      </c>
    </row>
    <row r="678" spans="1:16">
      <c r="A678" s="361">
        <f t="shared" si="116"/>
        <v>27</v>
      </c>
      <c r="B678" s="365">
        <v>382</v>
      </c>
      <c r="C678" s="358" t="s">
        <v>1778</v>
      </c>
      <c r="D678" s="1243">
        <f>G564</f>
        <v>-7170.7500000000018</v>
      </c>
      <c r="E678" s="1243">
        <f>'WPB-2.1.D SMRP'!E251</f>
        <v>4551.3500000000004</v>
      </c>
      <c r="F678" s="1243">
        <f>'WPB-2.1.D SMRP'!F251</f>
        <v>-3705.5099999999998</v>
      </c>
      <c r="G678" s="1243">
        <f>SUM(D678:F678)</f>
        <v>-6324.9100000000017</v>
      </c>
      <c r="H678" s="1243"/>
      <c r="I678" s="1243">
        <f>O564</f>
        <v>-13226.849000000002</v>
      </c>
      <c r="J678" s="1243"/>
      <c r="K678" s="1243">
        <f>'WPB-2.1.D SMRP'!K251</f>
        <v>-10.375999999999999</v>
      </c>
      <c r="L678" s="1243">
        <v>0</v>
      </c>
      <c r="M678" s="1243">
        <f>F678</f>
        <v>-3705.5099999999998</v>
      </c>
      <c r="N678" s="1243">
        <f>'WPB-2.1.D SMRP'!N251</f>
        <v>0</v>
      </c>
      <c r="O678" s="1243">
        <f>I678+K678+L678+M678+N678</f>
        <v>-16942.735000000001</v>
      </c>
    </row>
    <row r="679" spans="1:16">
      <c r="A679" s="361">
        <f t="shared" si="116"/>
        <v>28</v>
      </c>
      <c r="B679" s="365">
        <v>383</v>
      </c>
      <c r="C679" s="358" t="s">
        <v>1779</v>
      </c>
      <c r="D679" s="1244">
        <f>G565</f>
        <v>-1096.3600000000001</v>
      </c>
      <c r="E679" s="1244">
        <f>'WPB-2.1.D SMRP'!E252</f>
        <v>0</v>
      </c>
      <c r="F679" s="1244">
        <f>'WPB-2.1.D SMRP'!F252</f>
        <v>-226.33</v>
      </c>
      <c r="G679" s="1244">
        <f>SUM(D679:F679)</f>
        <v>-1322.69</v>
      </c>
      <c r="H679" s="1243"/>
      <c r="I679" s="1244">
        <f>O565</f>
        <v>-1100.2470000000001</v>
      </c>
      <c r="J679" s="1243"/>
      <c r="K679" s="1244">
        <f>'WPB-2.1.D SMRP'!K252</f>
        <v>-2.1829999999999998</v>
      </c>
      <c r="L679" s="1244">
        <v>0</v>
      </c>
      <c r="M679" s="1244">
        <f>F679</f>
        <v>-226.33</v>
      </c>
      <c r="N679" s="1244">
        <f>'WPB-2.1.D SMRP'!N252</f>
        <v>0</v>
      </c>
      <c r="O679" s="1244">
        <f>I679+K679+L679+M679+N679</f>
        <v>-1328.76</v>
      </c>
    </row>
    <row r="680" spans="1:16">
      <c r="A680" s="361">
        <f t="shared" si="116"/>
        <v>29</v>
      </c>
      <c r="C680" s="358" t="s">
        <v>1780</v>
      </c>
      <c r="D680" s="1243">
        <f>SUM(D675:D679)</f>
        <v>12851804.088506896</v>
      </c>
      <c r="E680" s="1243">
        <f>SUM(E675:E679)</f>
        <v>4983607.8500000006</v>
      </c>
      <c r="F680" s="1243">
        <f>SUM(F675:F679)</f>
        <v>-461410.43432266061</v>
      </c>
      <c r="G680" s="1243">
        <f>SUM(G675:G679)</f>
        <v>17374001.504184235</v>
      </c>
      <c r="H680" s="1243"/>
      <c r="I680" s="1243">
        <f>SUM(I675:I679)</f>
        <v>-2012981.5618201052</v>
      </c>
      <c r="J680" s="1243"/>
      <c r="K680" s="1243">
        <f>SUM(K675:K679)</f>
        <v>30485.413999999997</v>
      </c>
      <c r="L680" s="1243">
        <f>SUM(L675:L679)</f>
        <v>0</v>
      </c>
      <c r="M680" s="1243">
        <f>SUM(M675:M679)</f>
        <v>-461410.43432266061</v>
      </c>
      <c r="N680" s="1243">
        <f>SUM(N675:N679)</f>
        <v>-142966.08598800001</v>
      </c>
      <c r="O680" s="1243">
        <f>SUM(O675:O679)</f>
        <v>-2586872.6681307652</v>
      </c>
    </row>
    <row r="681" spans="1:16">
      <c r="A681" s="361"/>
      <c r="D681" s="1243"/>
      <c r="E681" s="1243"/>
      <c r="F681" s="1243"/>
      <c r="G681" s="1243"/>
      <c r="H681" s="1243"/>
      <c r="I681" s="1243"/>
      <c r="J681" s="1243"/>
      <c r="K681" s="1243"/>
      <c r="L681" s="1243"/>
      <c r="M681" s="1243"/>
      <c r="N681" s="1243"/>
      <c r="O681" s="1243"/>
    </row>
    <row r="682" spans="1:16" ht="13.5" thickBot="1">
      <c r="A682" s="361">
        <f>A680+1</f>
        <v>30</v>
      </c>
      <c r="C682" s="358" t="s">
        <v>447</v>
      </c>
      <c r="D682" s="1248">
        <f>D671+D680</f>
        <v>739244937.92000008</v>
      </c>
      <c r="E682" s="1248">
        <f>E671+E680</f>
        <v>6442198.7699999996</v>
      </c>
      <c r="F682" s="1248">
        <f>F671+F680</f>
        <v>-841224.10000000009</v>
      </c>
      <c r="G682" s="1248">
        <f>G671+G680</f>
        <v>744845912.59000015</v>
      </c>
      <c r="H682" s="1243"/>
      <c r="I682" s="1248">
        <f>I671+I680</f>
        <v>161951267.41999993</v>
      </c>
      <c r="J682" s="1243"/>
      <c r="K682" s="1248">
        <f>K671+K680</f>
        <v>1796261.1600000001</v>
      </c>
      <c r="L682" s="1248">
        <f>L671+L680</f>
        <v>0</v>
      </c>
      <c r="M682" s="1248">
        <f>M671+M680</f>
        <v>-841224.10000000009</v>
      </c>
      <c r="N682" s="1248">
        <f>N671+N680</f>
        <v>-462745.91000000003</v>
      </c>
      <c r="O682" s="1248">
        <f>O671+O680</f>
        <v>162443558.56999999</v>
      </c>
    </row>
    <row r="683" spans="1:16" ht="13.5" thickTop="1"/>
    <row r="685" spans="1:16" s="291" customFormat="1">
      <c r="A685" s="1308" t="str">
        <f>$A$1</f>
        <v>COLUMBIA GAS OF KENTUCKY, INC.</v>
      </c>
      <c r="B685" s="1308"/>
      <c r="C685" s="1308"/>
      <c r="D685" s="1308"/>
      <c r="E685" s="1308"/>
      <c r="F685" s="1308"/>
      <c r="G685" s="1308"/>
      <c r="H685" s="1308"/>
      <c r="I685" s="1308"/>
      <c r="J685" s="1308"/>
      <c r="K685" s="1308"/>
      <c r="L685" s="1308"/>
      <c r="M685" s="1308"/>
      <c r="N685" s="1308"/>
      <c r="O685" s="1308"/>
    </row>
    <row r="686" spans="1:16" s="291" customFormat="1">
      <c r="A686" s="1308" t="str">
        <f>$A$2</f>
        <v>CASE NO. 2024 - 00092</v>
      </c>
      <c r="B686" s="1308"/>
      <c r="C686" s="1308"/>
      <c r="D686" s="1308"/>
      <c r="E686" s="1308"/>
      <c r="F686" s="1308"/>
      <c r="G686" s="1308"/>
      <c r="H686" s="1308"/>
      <c r="I686" s="1308"/>
      <c r="J686" s="1308"/>
      <c r="K686" s="1308"/>
      <c r="L686" s="1308"/>
      <c r="M686" s="1308"/>
      <c r="N686" s="1308"/>
      <c r="O686" s="1308"/>
    </row>
    <row r="687" spans="1:16" s="291" customFormat="1">
      <c r="A687" s="1308" t="str">
        <f>$A$3</f>
        <v>DETAIL OF ACTUAL &amp; FORECASTED PLANT, ACCUMULATED RESERVE &amp; DEPRECIATION EXPENSE</v>
      </c>
      <c r="B687" s="1308"/>
      <c r="C687" s="1308"/>
      <c r="D687" s="1308"/>
      <c r="E687" s="1308"/>
      <c r="F687" s="1308"/>
      <c r="G687" s="1308"/>
      <c r="H687" s="1308"/>
      <c r="I687" s="1308"/>
      <c r="J687" s="1308"/>
      <c r="K687" s="1308"/>
      <c r="L687" s="1308"/>
      <c r="M687" s="1308"/>
      <c r="N687" s="1308"/>
      <c r="O687" s="1308"/>
      <c r="P687" s="357"/>
    </row>
    <row r="688" spans="1:16" s="291" customFormat="1">
      <c r="A688" s="1308" t="str">
        <f>$A$4</f>
        <v>FROM JANUARY 01, 2023 THROUGH DECEMBER 31, 2025</v>
      </c>
      <c r="B688" s="1308"/>
      <c r="C688" s="1308"/>
      <c r="D688" s="1308"/>
      <c r="E688" s="1308"/>
      <c r="F688" s="1308"/>
      <c r="G688" s="1308"/>
      <c r="H688" s="1308"/>
      <c r="I688" s="1308"/>
      <c r="J688" s="1308"/>
      <c r="K688" s="1308"/>
      <c r="L688" s="1308"/>
      <c r="M688" s="1308"/>
      <c r="N688" s="1308"/>
      <c r="O688" s="1308"/>
    </row>
    <row r="689" spans="1:16" s="291" customFormat="1">
      <c r="B689" s="293"/>
      <c r="P689" s="312"/>
    </row>
    <row r="690" spans="1:16" s="291" customFormat="1">
      <c r="A690" s="297" t="str">
        <f>$A$6</f>
        <v xml:space="preserve">DATA: _X_ BASE PERIOD _X_ FORECASTED PERIOD     </v>
      </c>
      <c r="B690" s="293"/>
      <c r="O690" s="312" t="str">
        <f>$O$6</f>
        <v>WPB-2.1.C</v>
      </c>
      <c r="P690" s="312"/>
    </row>
    <row r="691" spans="1:16" s="291" customFormat="1">
      <c r="A691" s="297" t="str">
        <f>$A$7</f>
        <v>TYPE OF FILING:___X___ORIGINAL______UPDATED</v>
      </c>
      <c r="B691" s="293"/>
      <c r="O691" s="312" t="s">
        <v>2210</v>
      </c>
      <c r="P691" s="312"/>
    </row>
    <row r="692" spans="1:16" s="291" customFormat="1">
      <c r="A692" s="297" t="str">
        <f>$A$8</f>
        <v>WORKPAPER REFERENCE NO(S).:</v>
      </c>
      <c r="B692" s="293"/>
      <c r="O692" s="312" t="str">
        <f>$O$8</f>
        <v>WITNESS: GORE</v>
      </c>
    </row>
    <row r="693" spans="1:16">
      <c r="A693" s="918"/>
      <c r="B693" s="919"/>
      <c r="C693" s="918"/>
      <c r="D693" s="918"/>
      <c r="E693" s="918"/>
      <c r="F693" s="918"/>
      <c r="G693" s="918"/>
      <c r="H693" s="918"/>
      <c r="I693" s="918"/>
      <c r="J693" s="918"/>
      <c r="K693" s="918"/>
      <c r="L693" s="918"/>
      <c r="M693" s="918"/>
      <c r="N693" s="918"/>
      <c r="O693" s="920"/>
    </row>
    <row r="694" spans="1:16">
      <c r="D694" s="1311" t="s">
        <v>1768</v>
      </c>
      <c r="E694" s="1311"/>
      <c r="F694" s="1311"/>
      <c r="G694" s="1311"/>
      <c r="I694" s="1311" t="s">
        <v>1769</v>
      </c>
      <c r="J694" s="1311"/>
      <c r="K694" s="1311"/>
      <c r="L694" s="1311"/>
      <c r="M694" s="1311"/>
      <c r="N694" s="1311"/>
      <c r="O694" s="1311"/>
    </row>
    <row r="695" spans="1:16">
      <c r="D695" s="360">
        <f>G640+1</f>
        <v>45108</v>
      </c>
      <c r="G695" s="360">
        <f>D695+30</f>
        <v>45138</v>
      </c>
      <c r="I695" s="360">
        <f>D695</f>
        <v>45108</v>
      </c>
      <c r="O695" s="360">
        <f>G695</f>
        <v>45138</v>
      </c>
    </row>
    <row r="696" spans="1:16">
      <c r="D696" s="361" t="s">
        <v>1757</v>
      </c>
      <c r="G696" s="361" t="s">
        <v>1757</v>
      </c>
      <c r="I696" s="361" t="s">
        <v>1758</v>
      </c>
      <c r="J696" s="361" t="s">
        <v>488</v>
      </c>
      <c r="L696" s="361" t="s">
        <v>1758</v>
      </c>
      <c r="O696" s="361" t="s">
        <v>1758</v>
      </c>
    </row>
    <row r="697" spans="1:16">
      <c r="A697" s="361" t="s">
        <v>1770</v>
      </c>
      <c r="B697" s="361" t="s">
        <v>368</v>
      </c>
      <c r="C697" s="361"/>
      <c r="D697" s="361" t="s">
        <v>437</v>
      </c>
      <c r="G697" s="361" t="s">
        <v>439</v>
      </c>
      <c r="I697" s="361" t="s">
        <v>437</v>
      </c>
      <c r="J697" s="361" t="s">
        <v>1771</v>
      </c>
      <c r="K697" s="361" t="s">
        <v>1772</v>
      </c>
      <c r="L697" s="361" t="s">
        <v>1759</v>
      </c>
      <c r="N697" s="361" t="s">
        <v>1760</v>
      </c>
      <c r="O697" s="361" t="s">
        <v>439</v>
      </c>
    </row>
    <row r="698" spans="1:16">
      <c r="A698" s="364" t="s">
        <v>316</v>
      </c>
      <c r="B698" s="364" t="s">
        <v>316</v>
      </c>
      <c r="C698" s="364" t="s">
        <v>451</v>
      </c>
      <c r="D698" s="364" t="s">
        <v>441</v>
      </c>
      <c r="E698" s="364" t="s">
        <v>442</v>
      </c>
      <c r="F698" s="364" t="s">
        <v>443</v>
      </c>
      <c r="G698" s="364" t="s">
        <v>441</v>
      </c>
      <c r="I698" s="364" t="s">
        <v>441</v>
      </c>
      <c r="J698" s="364" t="s">
        <v>1773</v>
      </c>
      <c r="K698" s="364" t="s">
        <v>1771</v>
      </c>
      <c r="L698" s="364" t="s">
        <v>355</v>
      </c>
      <c r="M698" s="364" t="s">
        <v>443</v>
      </c>
      <c r="N698" s="364" t="s">
        <v>1763</v>
      </c>
      <c r="O698" s="364" t="s">
        <v>441</v>
      </c>
    </row>
    <row r="699" spans="1:16">
      <c r="D699" s="361" t="s">
        <v>532</v>
      </c>
      <c r="E699" s="361" t="s">
        <v>541</v>
      </c>
      <c r="F699" s="361" t="s">
        <v>542</v>
      </c>
      <c r="G699" s="361" t="s">
        <v>1764</v>
      </c>
      <c r="I699" s="334" t="str">
        <f>"(5)"</f>
        <v>(5)</v>
      </c>
      <c r="J699" s="334" t="str">
        <f>"(6)"</f>
        <v>(6)</v>
      </c>
      <c r="K699" s="334" t="str">
        <f>"(7)"</f>
        <v>(7)</v>
      </c>
      <c r="L699" s="334" t="str">
        <f>"(8)"</f>
        <v>(8)</v>
      </c>
      <c r="M699" s="334" t="str">
        <f>"(9)"</f>
        <v>(9)</v>
      </c>
      <c r="N699" s="334" t="str">
        <f>"(10)"</f>
        <v>(10)</v>
      </c>
      <c r="O699" s="334" t="str">
        <f>"(11=5+7+8+9+10)"</f>
        <v>(11=5+7+8+9+10)</v>
      </c>
    </row>
    <row r="700" spans="1:16">
      <c r="D700" s="361" t="s">
        <v>320</v>
      </c>
      <c r="E700" s="361" t="s">
        <v>320</v>
      </c>
      <c r="F700" s="361" t="s">
        <v>320</v>
      </c>
      <c r="G700" s="361" t="s">
        <v>320</v>
      </c>
      <c r="I700" s="334" t="s">
        <v>320</v>
      </c>
      <c r="J700" s="334" t="s">
        <v>529</v>
      </c>
      <c r="K700" s="334" t="s">
        <v>320</v>
      </c>
      <c r="L700" s="334" t="s">
        <v>320</v>
      </c>
      <c r="M700" s="334" t="s">
        <v>320</v>
      </c>
      <c r="N700" s="334" t="s">
        <v>320</v>
      </c>
      <c r="O700" s="334" t="s">
        <v>320</v>
      </c>
    </row>
    <row r="701" spans="1:16">
      <c r="A701" s="361">
        <v>1</v>
      </c>
      <c r="B701" s="362" t="s">
        <v>373</v>
      </c>
      <c r="D701" s="361"/>
      <c r="E701" s="361"/>
      <c r="F701" s="361"/>
      <c r="G701" s="361"/>
      <c r="I701" s="334"/>
      <c r="J701" s="334"/>
      <c r="K701" s="334"/>
      <c r="L701" s="334"/>
      <c r="M701" s="334"/>
      <c r="N701" s="334"/>
      <c r="O701" s="334"/>
    </row>
    <row r="702" spans="1:16">
      <c r="A702" s="361">
        <f>A701+1</f>
        <v>2</v>
      </c>
      <c r="B702" s="365">
        <v>301</v>
      </c>
      <c r="C702" s="358" t="s">
        <v>374</v>
      </c>
      <c r="D702" s="1243">
        <f t="shared" ref="D702:D707" si="117">G588</f>
        <v>521.20000000000005</v>
      </c>
      <c r="E702" s="1243">
        <v>0</v>
      </c>
      <c r="F702" s="1243">
        <v>0</v>
      </c>
      <c r="G702" s="1243">
        <f t="shared" ref="G702:G707" si="118">SUM(D702:F702)</f>
        <v>521.20000000000005</v>
      </c>
      <c r="H702" s="1243"/>
      <c r="I702" s="1243">
        <f t="shared" ref="I702:I707" si="119">O588</f>
        <v>0</v>
      </c>
      <c r="J702" s="1243"/>
      <c r="K702" s="1243">
        <v>0</v>
      </c>
      <c r="L702" s="1243">
        <v>0</v>
      </c>
      <c r="M702" s="1243">
        <f t="shared" ref="M702:M707" si="120">F702</f>
        <v>0</v>
      </c>
      <c r="N702" s="1243">
        <v>0</v>
      </c>
      <c r="O702" s="1243">
        <f t="shared" ref="O702:O707" si="121">I702+K702+L702+M702+N702</f>
        <v>0</v>
      </c>
    </row>
    <row r="703" spans="1:16">
      <c r="A703" s="361">
        <f t="shared" ref="A703:A708" si="122">A702+1</f>
        <v>3</v>
      </c>
      <c r="B703" s="365">
        <v>303</v>
      </c>
      <c r="C703" s="358" t="s">
        <v>375</v>
      </c>
      <c r="D703" s="1243">
        <f t="shared" si="117"/>
        <v>96334.51</v>
      </c>
      <c r="E703" s="1243">
        <v>0</v>
      </c>
      <c r="F703" s="1243">
        <v>0</v>
      </c>
      <c r="G703" s="1243">
        <f t="shared" si="118"/>
        <v>96334.51</v>
      </c>
      <c r="H703" s="1243"/>
      <c r="I703" s="1243">
        <f t="shared" si="119"/>
        <v>77256.85000000002</v>
      </c>
      <c r="J703" s="1243"/>
      <c r="K703" s="1243">
        <v>267.57</v>
      </c>
      <c r="L703" s="1243">
        <v>0</v>
      </c>
      <c r="M703" s="1243">
        <f t="shared" si="120"/>
        <v>0</v>
      </c>
      <c r="N703" s="1243">
        <v>0</v>
      </c>
      <c r="O703" s="1243">
        <f t="shared" si="121"/>
        <v>77524.420000000027</v>
      </c>
    </row>
    <row r="704" spans="1:16">
      <c r="A704" s="361">
        <f t="shared" si="122"/>
        <v>4</v>
      </c>
      <c r="B704" s="365">
        <v>303.10000000000002</v>
      </c>
      <c r="C704" s="358" t="s">
        <v>376</v>
      </c>
      <c r="D704" s="1243">
        <f t="shared" si="117"/>
        <v>943.27</v>
      </c>
      <c r="E704" s="1243">
        <v>0</v>
      </c>
      <c r="F704" s="1243">
        <v>0</v>
      </c>
      <c r="G704" s="1243">
        <f t="shared" si="118"/>
        <v>943.27</v>
      </c>
      <c r="H704" s="1243"/>
      <c r="I704" s="1243">
        <f t="shared" si="119"/>
        <v>318.35000000000008</v>
      </c>
      <c r="J704" s="1243"/>
      <c r="K704" s="1243">
        <v>0</v>
      </c>
      <c r="L704" s="1243">
        <v>0</v>
      </c>
      <c r="M704" s="1243">
        <f t="shared" si="120"/>
        <v>0</v>
      </c>
      <c r="N704" s="1243">
        <v>0</v>
      </c>
      <c r="O704" s="1243">
        <f t="shared" si="121"/>
        <v>318.35000000000008</v>
      </c>
    </row>
    <row r="705" spans="1:15">
      <c r="A705" s="361">
        <f t="shared" si="122"/>
        <v>5</v>
      </c>
      <c r="B705" s="365">
        <v>303.2</v>
      </c>
      <c r="C705" s="358" t="s">
        <v>377</v>
      </c>
      <c r="D705" s="1243">
        <f t="shared" si="117"/>
        <v>0</v>
      </c>
      <c r="E705" s="1243">
        <v>0</v>
      </c>
      <c r="F705" s="1243">
        <v>0</v>
      </c>
      <c r="G705" s="1243">
        <f t="shared" si="118"/>
        <v>0</v>
      </c>
      <c r="H705" s="1243"/>
      <c r="I705" s="1243">
        <f t="shared" si="119"/>
        <v>0</v>
      </c>
      <c r="J705" s="1243"/>
      <c r="K705" s="1243">
        <v>0</v>
      </c>
      <c r="L705" s="1243">
        <v>0</v>
      </c>
      <c r="M705" s="1243">
        <f t="shared" si="120"/>
        <v>0</v>
      </c>
      <c r="N705" s="1243">
        <v>0</v>
      </c>
      <c r="O705" s="1243">
        <f t="shared" si="121"/>
        <v>0</v>
      </c>
    </row>
    <row r="706" spans="1:15">
      <c r="A706" s="361">
        <f t="shared" si="122"/>
        <v>6</v>
      </c>
      <c r="B706" s="365">
        <v>303.3</v>
      </c>
      <c r="C706" s="358" t="s">
        <v>378</v>
      </c>
      <c r="D706" s="1243">
        <f t="shared" si="117"/>
        <v>12122462.110000001</v>
      </c>
      <c r="E706" s="1243">
        <v>55718.91</v>
      </c>
      <c r="F706" s="1243">
        <v>0</v>
      </c>
      <c r="G706" s="1243">
        <f t="shared" si="118"/>
        <v>12178181.020000001</v>
      </c>
      <c r="H706" s="1243"/>
      <c r="I706" s="1243">
        <f t="shared" si="119"/>
        <v>5815211.5100000016</v>
      </c>
      <c r="J706" s="1243"/>
      <c r="K706" s="1243">
        <v>193296.36000000002</v>
      </c>
      <c r="L706" s="1243">
        <v>0</v>
      </c>
      <c r="M706" s="1243">
        <f t="shared" si="120"/>
        <v>0</v>
      </c>
      <c r="N706" s="1243">
        <v>0</v>
      </c>
      <c r="O706" s="1243">
        <f t="shared" si="121"/>
        <v>6008507.870000002</v>
      </c>
    </row>
    <row r="707" spans="1:15">
      <c r="A707" s="361">
        <f t="shared" si="122"/>
        <v>7</v>
      </c>
      <c r="B707" s="365">
        <v>303.99</v>
      </c>
      <c r="C707" s="358" t="s">
        <v>1129</v>
      </c>
      <c r="D707" s="1244">
        <f t="shared" si="117"/>
        <v>1882131.7000000002</v>
      </c>
      <c r="E707" s="1244">
        <v>11246.94</v>
      </c>
      <c r="F707" s="1244">
        <v>0</v>
      </c>
      <c r="G707" s="1244">
        <f t="shared" si="118"/>
        <v>1893378.6400000001</v>
      </c>
      <c r="H707" s="1243"/>
      <c r="I707" s="1244">
        <f t="shared" si="119"/>
        <v>835986.69000000006</v>
      </c>
      <c r="J707" s="1243"/>
      <c r="K707" s="1244">
        <v>32477.97</v>
      </c>
      <c r="L707" s="1244">
        <v>0</v>
      </c>
      <c r="M707" s="1244">
        <f t="shared" si="120"/>
        <v>0</v>
      </c>
      <c r="N707" s="1244">
        <v>0</v>
      </c>
      <c r="O707" s="1244">
        <f t="shared" si="121"/>
        <v>868464.66</v>
      </c>
    </row>
    <row r="708" spans="1:15">
      <c r="A708" s="361">
        <f t="shared" si="122"/>
        <v>8</v>
      </c>
      <c r="B708" s="367"/>
      <c r="C708" s="358" t="s">
        <v>601</v>
      </c>
      <c r="D708" s="1243">
        <f>SUM(D702:D707)</f>
        <v>14102392.790000003</v>
      </c>
      <c r="E708" s="1243">
        <f>SUM(E702:E707)</f>
        <v>66965.850000000006</v>
      </c>
      <c r="F708" s="1243">
        <f>SUM(F702:F707)</f>
        <v>0</v>
      </c>
      <c r="G708" s="1243">
        <f>SUM(G702:G707)</f>
        <v>14169358.640000002</v>
      </c>
      <c r="H708" s="1243"/>
      <c r="I708" s="1243">
        <f>SUM(I702:I707)</f>
        <v>6728773.4000000022</v>
      </c>
      <c r="J708" s="1243"/>
      <c r="K708" s="1243">
        <f>SUM(K702:K707)</f>
        <v>226041.90000000002</v>
      </c>
      <c r="L708" s="1243">
        <f>SUM(L702:L707)</f>
        <v>0</v>
      </c>
      <c r="M708" s="1243">
        <f>SUM(M702:M707)</f>
        <v>0</v>
      </c>
      <c r="N708" s="1243">
        <f>SUM(N702:N707)</f>
        <v>0</v>
      </c>
      <c r="O708" s="1243">
        <f>SUM(O702:O707)</f>
        <v>6954815.3000000026</v>
      </c>
    </row>
    <row r="709" spans="1:15">
      <c r="A709" s="361"/>
      <c r="B709" s="367"/>
      <c r="C709" s="368"/>
      <c r="D709" s="1243"/>
      <c r="E709" s="1243"/>
      <c r="F709" s="1243"/>
      <c r="G709" s="1243"/>
      <c r="H709" s="1243"/>
      <c r="I709" s="1243"/>
      <c r="J709" s="1243"/>
      <c r="K709" s="1243"/>
      <c r="L709" s="1243"/>
      <c r="M709" s="1243"/>
      <c r="N709" s="1243"/>
      <c r="O709" s="1243"/>
    </row>
    <row r="710" spans="1:15">
      <c r="A710" s="361">
        <f>A708+1</f>
        <v>9</v>
      </c>
      <c r="B710" s="362" t="s">
        <v>1600</v>
      </c>
      <c r="C710" s="368"/>
      <c r="D710" s="1243"/>
      <c r="E710" s="1243"/>
      <c r="F710" s="1243"/>
      <c r="G710" s="1243"/>
      <c r="H710" s="1243"/>
      <c r="I710" s="1243"/>
      <c r="J710" s="1243"/>
      <c r="K710" s="1243"/>
      <c r="L710" s="1243"/>
      <c r="M710" s="1243"/>
      <c r="N710" s="1243"/>
      <c r="O710" s="1243"/>
    </row>
    <row r="711" spans="1:15">
      <c r="A711" s="361">
        <f t="shared" ref="A711:A741" si="123">A710+1</f>
        <v>10</v>
      </c>
      <c r="B711" s="365">
        <v>374.1</v>
      </c>
      <c r="C711" s="358" t="s">
        <v>382</v>
      </c>
      <c r="D711" s="1243">
        <f t="shared" ref="D711:D740" si="124">G597</f>
        <v>206</v>
      </c>
      <c r="E711" s="1243">
        <v>0</v>
      </c>
      <c r="F711" s="1243">
        <v>0</v>
      </c>
      <c r="G711" s="1243">
        <f>SUM(D711:F711)</f>
        <v>206</v>
      </c>
      <c r="H711" s="1243"/>
      <c r="I711" s="1243">
        <f t="shared" ref="I711:I740" si="125">O597</f>
        <v>0</v>
      </c>
      <c r="J711" s="1243"/>
      <c r="K711" s="1243">
        <v>0</v>
      </c>
      <c r="L711" s="1243">
        <v>0</v>
      </c>
      <c r="M711" s="1243">
        <f>F711</f>
        <v>0</v>
      </c>
      <c r="N711" s="1243">
        <v>0</v>
      </c>
      <c r="O711" s="1243">
        <f t="shared" ref="O711:O740" si="126">I711+K711+L711+M711+N711</f>
        <v>0</v>
      </c>
    </row>
    <row r="712" spans="1:15">
      <c r="A712" s="361">
        <f t="shared" si="123"/>
        <v>11</v>
      </c>
      <c r="B712" s="365">
        <v>374.2</v>
      </c>
      <c r="C712" s="358" t="s">
        <v>383</v>
      </c>
      <c r="D712" s="1243">
        <f t="shared" si="124"/>
        <v>876986.66</v>
      </c>
      <c r="E712" s="1243">
        <v>0</v>
      </c>
      <c r="F712" s="1243">
        <v>0</v>
      </c>
      <c r="G712" s="1243">
        <f t="shared" ref="G712:G740" si="127">SUM(D712:F712)</f>
        <v>876986.66</v>
      </c>
      <c r="H712" s="1243"/>
      <c r="I712" s="1243">
        <f t="shared" si="125"/>
        <v>-522.25</v>
      </c>
      <c r="J712" s="1243"/>
      <c r="K712" s="1243">
        <v>0</v>
      </c>
      <c r="L712" s="1243">
        <v>0</v>
      </c>
      <c r="M712" s="1243">
        <f t="shared" ref="M712:M740" si="128">F712</f>
        <v>0</v>
      </c>
      <c r="N712" s="1243">
        <v>0</v>
      </c>
      <c r="O712" s="1243">
        <f t="shared" si="126"/>
        <v>-522.25</v>
      </c>
    </row>
    <row r="713" spans="1:15">
      <c r="A713" s="361">
        <f t="shared" si="123"/>
        <v>12</v>
      </c>
      <c r="B713" s="365">
        <v>374.4</v>
      </c>
      <c r="C713" s="358" t="s">
        <v>384</v>
      </c>
      <c r="D713" s="1243">
        <f t="shared" si="124"/>
        <v>2763264.41</v>
      </c>
      <c r="E713" s="1243">
        <v>96291.170000000013</v>
      </c>
      <c r="F713" s="1243">
        <v>0</v>
      </c>
      <c r="G713" s="1243">
        <f t="shared" si="127"/>
        <v>2859555.58</v>
      </c>
      <c r="H713" s="1243"/>
      <c r="I713" s="1243">
        <f t="shared" si="125"/>
        <v>350609.46</v>
      </c>
      <c r="J713" s="1243"/>
      <c r="K713" s="1243">
        <v>2975.41</v>
      </c>
      <c r="L713" s="1243">
        <v>0</v>
      </c>
      <c r="M713" s="1243">
        <f t="shared" si="128"/>
        <v>0</v>
      </c>
      <c r="N713" s="1243">
        <v>0</v>
      </c>
      <c r="O713" s="1243">
        <f t="shared" si="126"/>
        <v>353584.87</v>
      </c>
    </row>
    <row r="714" spans="1:15">
      <c r="A714" s="361">
        <f t="shared" si="123"/>
        <v>13</v>
      </c>
      <c r="B714" s="365">
        <v>374.5</v>
      </c>
      <c r="C714" s="358" t="s">
        <v>385</v>
      </c>
      <c r="D714" s="1243">
        <f t="shared" si="124"/>
        <v>2666577.16</v>
      </c>
      <c r="E714" s="1243">
        <v>0</v>
      </c>
      <c r="F714" s="1243">
        <v>0</v>
      </c>
      <c r="G714" s="1243">
        <f t="shared" si="127"/>
        <v>2666577.16</v>
      </c>
      <c r="H714" s="1243"/>
      <c r="I714" s="1243">
        <f t="shared" si="125"/>
        <v>1141633.3100000005</v>
      </c>
      <c r="J714" s="1243"/>
      <c r="K714" s="1243">
        <v>2444.36</v>
      </c>
      <c r="L714" s="1243">
        <v>0</v>
      </c>
      <c r="M714" s="1243">
        <f t="shared" si="128"/>
        <v>0</v>
      </c>
      <c r="N714" s="1243">
        <v>0</v>
      </c>
      <c r="O714" s="1243">
        <f t="shared" si="126"/>
        <v>1144077.6700000006</v>
      </c>
    </row>
    <row r="715" spans="1:15">
      <c r="A715" s="361">
        <f t="shared" si="123"/>
        <v>14</v>
      </c>
      <c r="B715" s="365">
        <v>375.2</v>
      </c>
      <c r="C715" s="358" t="s">
        <v>386</v>
      </c>
      <c r="D715" s="1243">
        <f t="shared" si="124"/>
        <v>2124.98</v>
      </c>
      <c r="E715" s="1243">
        <v>0</v>
      </c>
      <c r="F715" s="1243">
        <v>0</v>
      </c>
      <c r="G715" s="1243">
        <f t="shared" si="127"/>
        <v>2124.98</v>
      </c>
      <c r="H715" s="1243"/>
      <c r="I715" s="1243">
        <f t="shared" si="125"/>
        <v>2057.46</v>
      </c>
      <c r="J715" s="1243"/>
      <c r="K715" s="1243">
        <v>0.73</v>
      </c>
      <c r="L715" s="1243">
        <v>0</v>
      </c>
      <c r="M715" s="1243">
        <f t="shared" si="128"/>
        <v>0</v>
      </c>
      <c r="N715" s="1243">
        <v>0</v>
      </c>
      <c r="O715" s="1243">
        <f t="shared" si="126"/>
        <v>2058.19</v>
      </c>
    </row>
    <row r="716" spans="1:15">
      <c r="A716" s="361">
        <f t="shared" si="123"/>
        <v>15</v>
      </c>
      <c r="B716" s="365">
        <v>375.3</v>
      </c>
      <c r="C716" s="358" t="s">
        <v>387</v>
      </c>
      <c r="D716" s="1243">
        <f t="shared" si="124"/>
        <v>0</v>
      </c>
      <c r="E716" s="1243">
        <v>0</v>
      </c>
      <c r="F716" s="1243">
        <v>0</v>
      </c>
      <c r="G716" s="1243">
        <f t="shared" si="127"/>
        <v>0</v>
      </c>
      <c r="H716" s="1243"/>
      <c r="I716" s="1243">
        <f t="shared" si="125"/>
        <v>-77.66</v>
      </c>
      <c r="J716" s="1243"/>
      <c r="K716" s="1243">
        <v>0</v>
      </c>
      <c r="L716" s="1243">
        <v>0</v>
      </c>
      <c r="M716" s="1243">
        <f t="shared" si="128"/>
        <v>0</v>
      </c>
      <c r="N716" s="1243">
        <v>0</v>
      </c>
      <c r="O716" s="1243">
        <f t="shared" si="126"/>
        <v>-77.66</v>
      </c>
    </row>
    <row r="717" spans="1:15">
      <c r="A717" s="361">
        <f t="shared" si="123"/>
        <v>16</v>
      </c>
      <c r="B717" s="365">
        <v>375.4</v>
      </c>
      <c r="C717" s="358" t="s">
        <v>388</v>
      </c>
      <c r="D717" s="1243">
        <f t="shared" si="124"/>
        <v>2972558.3199999994</v>
      </c>
      <c r="E717" s="1243">
        <v>14538.61</v>
      </c>
      <c r="F717" s="1243">
        <v>0</v>
      </c>
      <c r="G717" s="1243">
        <f t="shared" si="127"/>
        <v>2987096.9299999992</v>
      </c>
      <c r="H717" s="1243"/>
      <c r="I717" s="1243">
        <f t="shared" si="125"/>
        <v>578845.25</v>
      </c>
      <c r="J717" s="1243"/>
      <c r="K717" s="1243">
        <v>5388.52</v>
      </c>
      <c r="L717" s="1243">
        <v>0</v>
      </c>
      <c r="M717" s="1243">
        <f t="shared" si="128"/>
        <v>0</v>
      </c>
      <c r="N717" s="1243">
        <v>-3200.63</v>
      </c>
      <c r="O717" s="1243">
        <f t="shared" si="126"/>
        <v>581033.14</v>
      </c>
    </row>
    <row r="718" spans="1:15">
      <c r="A718" s="361">
        <f t="shared" si="123"/>
        <v>17</v>
      </c>
      <c r="B718" s="365">
        <v>375.6</v>
      </c>
      <c r="C718" s="358" t="s">
        <v>389</v>
      </c>
      <c r="D718" s="1243">
        <f t="shared" si="124"/>
        <v>0</v>
      </c>
      <c r="E718" s="1243">
        <v>0</v>
      </c>
      <c r="F718" s="1243">
        <v>0</v>
      </c>
      <c r="G718" s="1243">
        <f t="shared" si="127"/>
        <v>0</v>
      </c>
      <c r="H718" s="1243"/>
      <c r="I718" s="1243">
        <f t="shared" si="125"/>
        <v>0.02</v>
      </c>
      <c r="J718" s="1243"/>
      <c r="K718" s="1243">
        <v>0</v>
      </c>
      <c r="L718" s="1243">
        <v>0</v>
      </c>
      <c r="M718" s="1243">
        <f t="shared" si="128"/>
        <v>0</v>
      </c>
      <c r="N718" s="1243">
        <v>0</v>
      </c>
      <c r="O718" s="1243">
        <f t="shared" si="126"/>
        <v>0.02</v>
      </c>
    </row>
    <row r="719" spans="1:15">
      <c r="A719" s="361">
        <f t="shared" si="123"/>
        <v>18</v>
      </c>
      <c r="B719" s="365">
        <v>375.7</v>
      </c>
      <c r="C719" s="358" t="s">
        <v>390</v>
      </c>
      <c r="D719" s="1243">
        <f t="shared" si="124"/>
        <v>9082676.9800000004</v>
      </c>
      <c r="E719" s="1243">
        <v>4334.0200000000004</v>
      </c>
      <c r="F719" s="1243">
        <v>0</v>
      </c>
      <c r="G719" s="1243">
        <f t="shared" si="127"/>
        <v>9087011</v>
      </c>
      <c r="H719" s="1243"/>
      <c r="I719" s="1243">
        <f t="shared" si="125"/>
        <v>4587124.379999998</v>
      </c>
      <c r="J719" s="1243"/>
      <c r="K719" s="1243">
        <v>17715.45</v>
      </c>
      <c r="L719" s="1243">
        <v>0</v>
      </c>
      <c r="M719" s="1243">
        <f t="shared" si="128"/>
        <v>0</v>
      </c>
      <c r="N719" s="1243">
        <v>0</v>
      </c>
      <c r="O719" s="1243">
        <f t="shared" si="126"/>
        <v>4604839.8299999982</v>
      </c>
    </row>
    <row r="720" spans="1:15">
      <c r="A720" s="361">
        <f t="shared" si="123"/>
        <v>19</v>
      </c>
      <c r="B720" s="365">
        <v>375.71</v>
      </c>
      <c r="C720" s="358" t="s">
        <v>391</v>
      </c>
      <c r="D720" s="1243">
        <f t="shared" si="124"/>
        <v>876651.57</v>
      </c>
      <c r="E720" s="1243">
        <v>4343.0200000000004</v>
      </c>
      <c r="F720" s="1243">
        <v>0</v>
      </c>
      <c r="G720" s="1243">
        <f t="shared" si="127"/>
        <v>880994.59</v>
      </c>
      <c r="H720" s="1243"/>
      <c r="I720" s="1243">
        <f t="shared" si="125"/>
        <v>726158.90000000014</v>
      </c>
      <c r="J720" s="1243"/>
      <c r="K720" s="1243">
        <v>6915.04</v>
      </c>
      <c r="L720" s="1243">
        <v>0</v>
      </c>
      <c r="M720" s="1243">
        <f t="shared" si="128"/>
        <v>0</v>
      </c>
      <c r="N720" s="1243">
        <v>0</v>
      </c>
      <c r="O720" s="1243">
        <f t="shared" si="126"/>
        <v>733073.94000000018</v>
      </c>
    </row>
    <row r="721" spans="1:15">
      <c r="A721" s="361">
        <f t="shared" si="123"/>
        <v>20</v>
      </c>
      <c r="B721" s="365">
        <v>375.8</v>
      </c>
      <c r="C721" s="358" t="s">
        <v>392</v>
      </c>
      <c r="D721" s="1243">
        <f t="shared" si="124"/>
        <v>132125.04</v>
      </c>
      <c r="E721" s="1243">
        <v>0</v>
      </c>
      <c r="F721" s="1243">
        <v>0</v>
      </c>
      <c r="G721" s="1243">
        <f t="shared" si="127"/>
        <v>132125.04</v>
      </c>
      <c r="H721" s="1243"/>
      <c r="I721" s="1243">
        <f t="shared" si="125"/>
        <v>7312.43</v>
      </c>
      <c r="J721" s="1243"/>
      <c r="K721" s="1243">
        <v>585.75</v>
      </c>
      <c r="L721" s="1243">
        <v>0</v>
      </c>
      <c r="M721" s="1243">
        <f t="shared" si="128"/>
        <v>0</v>
      </c>
      <c r="N721" s="1243">
        <v>0</v>
      </c>
      <c r="O721" s="1243">
        <f t="shared" si="126"/>
        <v>7898.18</v>
      </c>
    </row>
    <row r="722" spans="1:15">
      <c r="A722" s="361">
        <f t="shared" si="123"/>
        <v>21</v>
      </c>
      <c r="B722" s="365">
        <v>376</v>
      </c>
      <c r="C722" s="358" t="s">
        <v>1621</v>
      </c>
      <c r="D722" s="1243">
        <f t="shared" si="124"/>
        <v>404250247.97000003</v>
      </c>
      <c r="E722" s="1243">
        <f>'WPB-2.1.D SMRP'!E303</f>
        <v>421173.50999999978</v>
      </c>
      <c r="F722" s="1243">
        <f>'WPB-2.1.D SMRP'!F303</f>
        <v>-149295.55000000002</v>
      </c>
      <c r="G722" s="1243">
        <f t="shared" si="127"/>
        <v>404522125.93000001</v>
      </c>
      <c r="H722" s="1243"/>
      <c r="I722" s="1243">
        <f t="shared" si="125"/>
        <v>77499404.765999988</v>
      </c>
      <c r="J722" s="1243"/>
      <c r="K722" s="1243">
        <f>'WPB-2.1.D SMRP'!K303</f>
        <v>582873.03300000005</v>
      </c>
      <c r="L722" s="1243">
        <v>0</v>
      </c>
      <c r="M722" s="1243">
        <f>F722</f>
        <v>-149295.55000000002</v>
      </c>
      <c r="N722" s="1243">
        <f>'WPB-2.1.D SMRP'!N303</f>
        <v>-28725</v>
      </c>
      <c r="O722" s="1243">
        <f t="shared" si="126"/>
        <v>77904257.248999998</v>
      </c>
    </row>
    <row r="723" spans="1:15">
      <c r="A723" s="361">
        <f t="shared" si="123"/>
        <v>22</v>
      </c>
      <c r="B723" s="365">
        <v>378.1</v>
      </c>
      <c r="C723" s="358" t="s">
        <v>394</v>
      </c>
      <c r="D723" s="1243">
        <f t="shared" si="124"/>
        <v>572921.92000000004</v>
      </c>
      <c r="E723" s="1243">
        <v>0</v>
      </c>
      <c r="F723" s="1243">
        <v>0</v>
      </c>
      <c r="G723" s="1243">
        <f t="shared" si="127"/>
        <v>572921.92000000004</v>
      </c>
      <c r="H723" s="1243"/>
      <c r="I723" s="1243">
        <f t="shared" si="125"/>
        <v>408053.07999999996</v>
      </c>
      <c r="J723" s="1243"/>
      <c r="K723" s="1243">
        <v>1035.1600000000001</v>
      </c>
      <c r="L723" s="1243">
        <v>0</v>
      </c>
      <c r="M723" s="1243">
        <f t="shared" si="128"/>
        <v>0</v>
      </c>
      <c r="N723" s="1243">
        <v>0</v>
      </c>
      <c r="O723" s="1243">
        <f t="shared" si="126"/>
        <v>409088.23999999993</v>
      </c>
    </row>
    <row r="724" spans="1:15">
      <c r="A724" s="361">
        <f t="shared" si="123"/>
        <v>23</v>
      </c>
      <c r="B724" s="365">
        <v>378.2</v>
      </c>
      <c r="C724" s="358" t="s">
        <v>1622</v>
      </c>
      <c r="D724" s="1243">
        <f t="shared" si="124"/>
        <v>25251604.109999999</v>
      </c>
      <c r="E724" s="1243">
        <f>'WPB-2.1.D SMRP'!E307</f>
        <v>30584.920000000002</v>
      </c>
      <c r="F724" s="1243">
        <f>'WPB-2.1.D SMRP'!F307</f>
        <v>0</v>
      </c>
      <c r="G724" s="1243">
        <f t="shared" si="127"/>
        <v>25282189.030000001</v>
      </c>
      <c r="H724" s="1243"/>
      <c r="I724" s="1243">
        <f t="shared" si="125"/>
        <v>3097764.943</v>
      </c>
      <c r="J724" s="1243"/>
      <c r="K724" s="1243">
        <f>'WPB-2.1.D SMRP'!K307</f>
        <v>53217.076000000008</v>
      </c>
      <c r="L724" s="1243">
        <v>0</v>
      </c>
      <c r="M724" s="1243">
        <f>F724</f>
        <v>0</v>
      </c>
      <c r="N724" s="1243">
        <f>'WPB-2.1.D SMRP'!N307</f>
        <v>0</v>
      </c>
      <c r="O724" s="1243">
        <f t="shared" si="126"/>
        <v>3150982.0189999999</v>
      </c>
    </row>
    <row r="725" spans="1:15">
      <c r="A725" s="361">
        <f t="shared" si="123"/>
        <v>24</v>
      </c>
      <c r="B725" s="365">
        <v>378.3</v>
      </c>
      <c r="C725" s="358" t="s">
        <v>396</v>
      </c>
      <c r="D725" s="1243">
        <f t="shared" si="124"/>
        <v>45443.08</v>
      </c>
      <c r="E725" s="1243">
        <v>0</v>
      </c>
      <c r="F725" s="1243">
        <v>0</v>
      </c>
      <c r="G725" s="1243">
        <f t="shared" si="127"/>
        <v>45443.08</v>
      </c>
      <c r="H725" s="1243"/>
      <c r="I725" s="1243">
        <f t="shared" si="125"/>
        <v>42594.880000000005</v>
      </c>
      <c r="J725" s="1243"/>
      <c r="K725" s="1243">
        <v>95.43</v>
      </c>
      <c r="L725" s="1243">
        <v>0</v>
      </c>
      <c r="M725" s="1243">
        <f t="shared" si="128"/>
        <v>0</v>
      </c>
      <c r="N725" s="1243">
        <v>0</v>
      </c>
      <c r="O725" s="1243">
        <f t="shared" si="126"/>
        <v>42690.310000000005</v>
      </c>
    </row>
    <row r="726" spans="1:15">
      <c r="A726" s="361">
        <f t="shared" si="123"/>
        <v>25</v>
      </c>
      <c r="B726" s="365">
        <v>379.1</v>
      </c>
      <c r="C726" s="358" t="s">
        <v>397</v>
      </c>
      <c r="D726" s="1243">
        <f t="shared" si="124"/>
        <v>1554144.06</v>
      </c>
      <c r="E726" s="1243">
        <v>0</v>
      </c>
      <c r="F726" s="1243">
        <v>0</v>
      </c>
      <c r="G726" s="1243">
        <f t="shared" si="127"/>
        <v>1554144.06</v>
      </c>
      <c r="H726" s="1243"/>
      <c r="I726" s="1243">
        <f t="shared" si="125"/>
        <v>332579.67000000004</v>
      </c>
      <c r="J726" s="1243"/>
      <c r="K726" s="1243">
        <v>3134.19</v>
      </c>
      <c r="L726" s="1243">
        <v>0</v>
      </c>
      <c r="M726" s="1243">
        <f t="shared" si="128"/>
        <v>0</v>
      </c>
      <c r="N726" s="1243">
        <v>0</v>
      </c>
      <c r="O726" s="1243">
        <f t="shared" si="126"/>
        <v>335713.86000000004</v>
      </c>
    </row>
    <row r="727" spans="1:15">
      <c r="A727" s="361">
        <f t="shared" si="123"/>
        <v>26</v>
      </c>
      <c r="B727" s="365">
        <v>380</v>
      </c>
      <c r="C727" s="358" t="s">
        <v>1623</v>
      </c>
      <c r="D727" s="1243">
        <f t="shared" si="124"/>
        <v>196744847.34581575</v>
      </c>
      <c r="E727" s="1243">
        <f>'WPB-2.1.D SMRP'!E311</f>
        <v>555059.29999999981</v>
      </c>
      <c r="F727" s="1243">
        <f>'WPB-2.1.D SMRP'!F311</f>
        <v>-45969.604734800378</v>
      </c>
      <c r="G727" s="1243">
        <f t="shared" si="127"/>
        <v>197253937.04108095</v>
      </c>
      <c r="H727" s="1243"/>
      <c r="I727" s="1243">
        <f t="shared" si="125"/>
        <v>55615915.584130771</v>
      </c>
      <c r="J727" s="1243"/>
      <c r="K727" s="1243">
        <f>'WPB-2.1.D SMRP'!K311</f>
        <v>679616.54599999997</v>
      </c>
      <c r="L727" s="1243">
        <v>0</v>
      </c>
      <c r="M727" s="1243">
        <f>F727</f>
        <v>-45969.604734800378</v>
      </c>
      <c r="N727" s="1243">
        <f>'WPB-2.1.D SMRP'!N311</f>
        <v>-29384.913074999989</v>
      </c>
      <c r="O727" s="1243">
        <f t="shared" si="126"/>
        <v>56220177.612320967</v>
      </c>
    </row>
    <row r="728" spans="1:15">
      <c r="A728" s="361">
        <f t="shared" si="123"/>
        <v>27</v>
      </c>
      <c r="B728" s="365">
        <v>381</v>
      </c>
      <c r="C728" s="358" t="s">
        <v>399</v>
      </c>
      <c r="D728" s="1243">
        <f t="shared" si="124"/>
        <v>18079550.690000001</v>
      </c>
      <c r="E728" s="1243">
        <v>165785.21</v>
      </c>
      <c r="F728" s="1243">
        <v>-88892.09</v>
      </c>
      <c r="G728" s="1243">
        <f t="shared" si="127"/>
        <v>18156443.810000002</v>
      </c>
      <c r="H728" s="1243"/>
      <c r="I728" s="1243">
        <f t="shared" si="125"/>
        <v>2635837.0699999998</v>
      </c>
      <c r="J728" s="1243"/>
      <c r="K728" s="1243">
        <v>39903.700000000004</v>
      </c>
      <c r="L728" s="1243">
        <v>0</v>
      </c>
      <c r="M728" s="1243">
        <f t="shared" si="128"/>
        <v>-88892.09</v>
      </c>
      <c r="N728" s="1243">
        <v>0</v>
      </c>
      <c r="O728" s="1243">
        <f t="shared" si="126"/>
        <v>2586848.6800000002</v>
      </c>
    </row>
    <row r="729" spans="1:15">
      <c r="A729" s="361">
        <f t="shared" si="123"/>
        <v>28</v>
      </c>
      <c r="B729" s="365">
        <v>381.1</v>
      </c>
      <c r="C729" s="358" t="s">
        <v>2366</v>
      </c>
      <c r="D729" s="1243">
        <f t="shared" si="124"/>
        <v>9980854.4800000004</v>
      </c>
      <c r="E729" s="1243">
        <v>0</v>
      </c>
      <c r="F729" s="1243">
        <v>0</v>
      </c>
      <c r="G729" s="1243">
        <f t="shared" si="127"/>
        <v>9980854.4800000004</v>
      </c>
      <c r="H729" s="1243"/>
      <c r="I729" s="1243">
        <f t="shared" si="125"/>
        <v>4987815.1100000013</v>
      </c>
      <c r="J729" s="1243"/>
      <c r="K729" s="1243">
        <v>62213.99</v>
      </c>
      <c r="L729" s="1243">
        <v>0</v>
      </c>
      <c r="M729" s="1243">
        <f t="shared" si="128"/>
        <v>0</v>
      </c>
      <c r="N729" s="1243">
        <v>0</v>
      </c>
      <c r="O729" s="1243">
        <f t="shared" si="126"/>
        <v>5050029.1000000015</v>
      </c>
    </row>
    <row r="730" spans="1:15">
      <c r="A730" s="361">
        <f t="shared" si="123"/>
        <v>29</v>
      </c>
      <c r="B730" s="365">
        <v>382</v>
      </c>
      <c r="C730" s="358" t="s">
        <v>1624</v>
      </c>
      <c r="D730" s="1243">
        <f t="shared" si="124"/>
        <v>10186573.83</v>
      </c>
      <c r="E730" s="1243">
        <f>'WPB-2.1.D SMRP'!E315</f>
        <v>16616.580000000002</v>
      </c>
      <c r="F730" s="1243">
        <f>'WPB-2.1.D SMRP'!F315</f>
        <v>0</v>
      </c>
      <c r="G730" s="1243">
        <f t="shared" si="127"/>
        <v>10203190.41</v>
      </c>
      <c r="H730" s="1243"/>
      <c r="I730" s="1243">
        <f t="shared" si="125"/>
        <v>5751127.6750000007</v>
      </c>
      <c r="J730" s="1243"/>
      <c r="K730" s="1243">
        <f>'WPB-2.1.D SMRP'!K315</f>
        <v>15037.119000000001</v>
      </c>
      <c r="L730" s="1243">
        <v>0</v>
      </c>
      <c r="M730" s="1243">
        <f t="shared" si="128"/>
        <v>0</v>
      </c>
      <c r="N730" s="1243">
        <f>'WPB-2.1.D SMRP'!N315</f>
        <v>0</v>
      </c>
      <c r="O730" s="1243">
        <f t="shared" si="126"/>
        <v>5766164.7940000007</v>
      </c>
    </row>
    <row r="731" spans="1:15">
      <c r="A731" s="361">
        <f t="shared" si="123"/>
        <v>30</v>
      </c>
      <c r="B731" s="365">
        <v>383</v>
      </c>
      <c r="C731" s="358" t="s">
        <v>1625</v>
      </c>
      <c r="D731" s="1243">
        <f t="shared" si="124"/>
        <v>7209338.0099999998</v>
      </c>
      <c r="E731" s="1243">
        <f>'WPB-2.1.D SMRP'!E319</f>
        <v>3311.4900000000002</v>
      </c>
      <c r="F731" s="1243">
        <f>'WPB-2.1.D SMRP'!F319</f>
        <v>0</v>
      </c>
      <c r="G731" s="1243">
        <f t="shared" si="127"/>
        <v>7212649.5</v>
      </c>
      <c r="H731" s="1243"/>
      <c r="I731" s="1243">
        <f t="shared" si="125"/>
        <v>2416050.73</v>
      </c>
      <c r="J731" s="1243"/>
      <c r="K731" s="1243">
        <f>'WPB-2.1.D SMRP'!K319</f>
        <v>11657.63</v>
      </c>
      <c r="L731" s="1243">
        <v>0</v>
      </c>
      <c r="M731" s="1243">
        <f t="shared" si="128"/>
        <v>0</v>
      </c>
      <c r="N731" s="1243">
        <f>'WPB-2.1.D SMRP'!N319</f>
        <v>0</v>
      </c>
      <c r="O731" s="1243">
        <f t="shared" si="126"/>
        <v>2427708.36</v>
      </c>
    </row>
    <row r="732" spans="1:15">
      <c r="A732" s="361">
        <f t="shared" si="123"/>
        <v>31</v>
      </c>
      <c r="B732" s="365">
        <v>384</v>
      </c>
      <c r="C732" s="358" t="s">
        <v>402</v>
      </c>
      <c r="D732" s="1243">
        <f t="shared" si="124"/>
        <v>2085058.65</v>
      </c>
      <c r="E732" s="1243">
        <v>0</v>
      </c>
      <c r="F732" s="1243">
        <v>0</v>
      </c>
      <c r="G732" s="1243">
        <f t="shared" si="127"/>
        <v>2085058.65</v>
      </c>
      <c r="H732" s="1243"/>
      <c r="I732" s="1243">
        <f t="shared" si="125"/>
        <v>1718000.6799999997</v>
      </c>
      <c r="J732" s="1243"/>
      <c r="K732" s="1243">
        <v>1720.17</v>
      </c>
      <c r="L732" s="1243">
        <v>0</v>
      </c>
      <c r="M732" s="1243">
        <f t="shared" si="128"/>
        <v>0</v>
      </c>
      <c r="N732" s="1243">
        <v>0</v>
      </c>
      <c r="O732" s="1243">
        <f t="shared" si="126"/>
        <v>1719720.8499999996</v>
      </c>
    </row>
    <row r="733" spans="1:15">
      <c r="A733" s="361">
        <f t="shared" si="123"/>
        <v>32</v>
      </c>
      <c r="B733" s="365">
        <v>385</v>
      </c>
      <c r="C733" s="358" t="s">
        <v>403</v>
      </c>
      <c r="D733" s="1243">
        <f t="shared" si="124"/>
        <v>5973417.0100000007</v>
      </c>
      <c r="E733" s="1243">
        <v>3046.9799999999996</v>
      </c>
      <c r="F733" s="1243">
        <v>-22575.78</v>
      </c>
      <c r="G733" s="1243">
        <f t="shared" si="127"/>
        <v>5953888.2100000009</v>
      </c>
      <c r="H733" s="1243"/>
      <c r="I733" s="1243">
        <f t="shared" si="125"/>
        <v>712050.92</v>
      </c>
      <c r="J733" s="1243"/>
      <c r="K733" s="1243">
        <v>18537.02</v>
      </c>
      <c r="L733" s="1243">
        <v>0</v>
      </c>
      <c r="M733" s="1243">
        <f t="shared" si="128"/>
        <v>-22575.78</v>
      </c>
      <c r="N733" s="1243">
        <v>-1382.49</v>
      </c>
      <c r="O733" s="1243">
        <f t="shared" si="126"/>
        <v>706629.67</v>
      </c>
    </row>
    <row r="734" spans="1:15">
      <c r="A734" s="361">
        <f t="shared" si="123"/>
        <v>33</v>
      </c>
      <c r="B734" s="365">
        <v>387.2</v>
      </c>
      <c r="C734" s="358" t="s">
        <v>404</v>
      </c>
      <c r="D734" s="1243">
        <f t="shared" si="124"/>
        <v>0</v>
      </c>
      <c r="E734" s="1243">
        <v>0</v>
      </c>
      <c r="F734" s="1243">
        <v>0</v>
      </c>
      <c r="G734" s="1243">
        <f t="shared" si="127"/>
        <v>0</v>
      </c>
      <c r="H734" s="1243"/>
      <c r="I734" s="1243">
        <f t="shared" si="125"/>
        <v>-59912.03</v>
      </c>
      <c r="J734" s="1243"/>
      <c r="K734" s="1243">
        <v>0</v>
      </c>
      <c r="L734" s="1243">
        <v>0</v>
      </c>
      <c r="M734" s="1243">
        <f t="shared" si="128"/>
        <v>0</v>
      </c>
      <c r="N734" s="1243">
        <v>0</v>
      </c>
      <c r="O734" s="1243">
        <f t="shared" si="126"/>
        <v>-59912.03</v>
      </c>
    </row>
    <row r="735" spans="1:15">
      <c r="A735" s="361">
        <f t="shared" si="123"/>
        <v>34</v>
      </c>
      <c r="B735" s="365">
        <v>387.41</v>
      </c>
      <c r="C735" s="358" t="s">
        <v>405</v>
      </c>
      <c r="D735" s="1243">
        <f t="shared" si="124"/>
        <v>260538.46000000008</v>
      </c>
      <c r="E735" s="1243">
        <v>0</v>
      </c>
      <c r="F735" s="1243">
        <v>0</v>
      </c>
      <c r="G735" s="1243">
        <f t="shared" si="127"/>
        <v>260538.46000000008</v>
      </c>
      <c r="H735" s="1243"/>
      <c r="I735" s="1243">
        <f t="shared" si="125"/>
        <v>56435.850000000064</v>
      </c>
      <c r="J735" s="1243"/>
      <c r="K735" s="1243">
        <v>670.89</v>
      </c>
      <c r="L735" s="1243">
        <v>0</v>
      </c>
      <c r="M735" s="1243">
        <f t="shared" si="128"/>
        <v>0</v>
      </c>
      <c r="N735" s="1243">
        <v>0</v>
      </c>
      <c r="O735" s="1243">
        <f t="shared" si="126"/>
        <v>57106.740000000063</v>
      </c>
    </row>
    <row r="736" spans="1:15">
      <c r="A736" s="361">
        <f t="shared" si="123"/>
        <v>35</v>
      </c>
      <c r="B736" s="365">
        <v>387.42</v>
      </c>
      <c r="C736" s="358" t="s">
        <v>406</v>
      </c>
      <c r="D736" s="1243">
        <f t="shared" si="124"/>
        <v>419367.40000000008</v>
      </c>
      <c r="E736" s="1243">
        <v>0</v>
      </c>
      <c r="F736" s="1243">
        <v>0</v>
      </c>
      <c r="G736" s="1243">
        <f t="shared" si="127"/>
        <v>419367.40000000008</v>
      </c>
      <c r="H736" s="1243"/>
      <c r="I736" s="1243">
        <f t="shared" si="125"/>
        <v>336605.48999999993</v>
      </c>
      <c r="J736" s="1243"/>
      <c r="K736" s="1243">
        <v>1132.29</v>
      </c>
      <c r="L736" s="1243">
        <v>0</v>
      </c>
      <c r="M736" s="1243">
        <f t="shared" si="128"/>
        <v>0</v>
      </c>
      <c r="N736" s="1243">
        <v>0</v>
      </c>
      <c r="O736" s="1243">
        <f t="shared" si="126"/>
        <v>337737.77999999991</v>
      </c>
    </row>
    <row r="737" spans="1:16">
      <c r="A737" s="361">
        <f t="shared" si="123"/>
        <v>36</v>
      </c>
      <c r="B737" s="365">
        <v>387.44</v>
      </c>
      <c r="C737" s="358" t="s">
        <v>407</v>
      </c>
      <c r="D737" s="1243">
        <f t="shared" si="124"/>
        <v>124678.76000000001</v>
      </c>
      <c r="E737" s="1243">
        <v>0</v>
      </c>
      <c r="F737" s="1243">
        <v>0</v>
      </c>
      <c r="G737" s="1243">
        <f t="shared" si="127"/>
        <v>124678.76000000001</v>
      </c>
      <c r="H737" s="1243"/>
      <c r="I737" s="1243">
        <f t="shared" si="125"/>
        <v>65386.349999999984</v>
      </c>
      <c r="J737" s="1243"/>
      <c r="K737" s="1243">
        <v>336.63</v>
      </c>
      <c r="L737" s="1243">
        <v>0</v>
      </c>
      <c r="M737" s="1243">
        <f t="shared" si="128"/>
        <v>0</v>
      </c>
      <c r="N737" s="1243">
        <v>0</v>
      </c>
      <c r="O737" s="1243">
        <f t="shared" si="126"/>
        <v>65722.979999999981</v>
      </c>
    </row>
    <row r="738" spans="1:16">
      <c r="A738" s="361">
        <f t="shared" si="123"/>
        <v>37</v>
      </c>
      <c r="B738" s="365">
        <v>387.45</v>
      </c>
      <c r="C738" s="358" t="s">
        <v>408</v>
      </c>
      <c r="D738" s="1243">
        <f t="shared" si="124"/>
        <v>5411081.9399999995</v>
      </c>
      <c r="E738" s="1243">
        <v>31830.879999999997</v>
      </c>
      <c r="F738" s="1243">
        <v>0</v>
      </c>
      <c r="G738" s="1243">
        <f t="shared" si="127"/>
        <v>5442912.8199999994</v>
      </c>
      <c r="H738" s="1243"/>
      <c r="I738" s="1243">
        <f t="shared" si="125"/>
        <v>-647122.85</v>
      </c>
      <c r="J738" s="1243"/>
      <c r="K738" s="1243">
        <v>14652.89</v>
      </c>
      <c r="L738" s="1243">
        <v>0</v>
      </c>
      <c r="M738" s="1243">
        <f t="shared" si="128"/>
        <v>0</v>
      </c>
      <c r="N738" s="1243">
        <v>0</v>
      </c>
      <c r="O738" s="1243">
        <f t="shared" si="126"/>
        <v>-632469.96</v>
      </c>
    </row>
    <row r="739" spans="1:16">
      <c r="A739" s="361">
        <f t="shared" si="123"/>
        <v>38</v>
      </c>
      <c r="B739" s="365">
        <v>387.46</v>
      </c>
      <c r="C739" s="358" t="s">
        <v>409</v>
      </c>
      <c r="D739" s="1243">
        <f t="shared" si="124"/>
        <v>113644.47</v>
      </c>
      <c r="E739" s="1243">
        <v>0</v>
      </c>
      <c r="F739" s="1243">
        <v>0</v>
      </c>
      <c r="G739" s="1243">
        <f t="shared" si="127"/>
        <v>113644.47</v>
      </c>
      <c r="H739" s="1243"/>
      <c r="I739" s="1243">
        <f t="shared" si="125"/>
        <v>114497.07</v>
      </c>
      <c r="J739" s="1243"/>
      <c r="K739" s="1243">
        <v>0</v>
      </c>
      <c r="L739" s="1243">
        <v>0</v>
      </c>
      <c r="M739" s="1243">
        <f t="shared" si="128"/>
        <v>0</v>
      </c>
      <c r="N739" s="1243">
        <v>0</v>
      </c>
      <c r="O739" s="1243">
        <f t="shared" si="126"/>
        <v>114497.07</v>
      </c>
    </row>
    <row r="740" spans="1:16">
      <c r="A740" s="361">
        <f t="shared" si="123"/>
        <v>39</v>
      </c>
      <c r="B740" s="365">
        <v>387.5</v>
      </c>
      <c r="C740" s="358" t="s">
        <v>1075</v>
      </c>
      <c r="D740" s="1244">
        <f t="shared" si="124"/>
        <v>235051.94</v>
      </c>
      <c r="E740" s="1244">
        <v>0</v>
      </c>
      <c r="F740" s="1244">
        <v>0</v>
      </c>
      <c r="G740" s="1244">
        <f t="shared" si="127"/>
        <v>235051.94</v>
      </c>
      <c r="H740" s="1243"/>
      <c r="I740" s="1244">
        <f t="shared" si="125"/>
        <v>39031.380000000012</v>
      </c>
      <c r="J740" s="1243"/>
      <c r="K740" s="1244">
        <v>605.26</v>
      </c>
      <c r="L740" s="1244">
        <v>0</v>
      </c>
      <c r="M740" s="1244">
        <f t="shared" si="128"/>
        <v>0</v>
      </c>
      <c r="N740" s="1244">
        <v>0</v>
      </c>
      <c r="O740" s="1244">
        <f t="shared" si="126"/>
        <v>39636.640000000014</v>
      </c>
    </row>
    <row r="741" spans="1:16">
      <c r="A741" s="361">
        <f t="shared" si="123"/>
        <v>40</v>
      </c>
      <c r="C741" s="365" t="s">
        <v>1601</v>
      </c>
      <c r="D741" s="1243">
        <f>SUM(D711:D740)</f>
        <v>707871535.24581599</v>
      </c>
      <c r="E741" s="1243">
        <f>SUM(E711:E740)</f>
        <v>1346915.6899999997</v>
      </c>
      <c r="F741" s="1243">
        <f>SUM(F711:F740)</f>
        <v>-306733.02473480045</v>
      </c>
      <c r="G741" s="1243">
        <f>SUM(G711:G740)</f>
        <v>708911717.91108108</v>
      </c>
      <c r="H741" s="1243"/>
      <c r="I741" s="1243">
        <f>SUM(I711:I740)</f>
        <v>162515257.66813076</v>
      </c>
      <c r="J741" s="1243"/>
      <c r="K741" s="1243">
        <f>SUM(K711:K740)</f>
        <v>1522464.2839999995</v>
      </c>
      <c r="L741" s="1243">
        <f>SUM(L711:L740)</f>
        <v>0</v>
      </c>
      <c r="M741" s="1243">
        <f>SUM(M711:M740)</f>
        <v>-306733.02473480045</v>
      </c>
      <c r="N741" s="1243">
        <f>SUM(N711:N740)</f>
        <v>-62693.033074999992</v>
      </c>
      <c r="O741" s="1243">
        <f>SUM(O711:O740)</f>
        <v>163668295.89432091</v>
      </c>
    </row>
    <row r="742" spans="1:16">
      <c r="B742" s="367"/>
      <c r="C742" s="368"/>
      <c r="D742" s="369"/>
      <c r="E742" s="369"/>
      <c r="F742" s="369"/>
      <c r="G742" s="369"/>
      <c r="I742" s="369"/>
      <c r="J742" s="369"/>
      <c r="K742" s="369"/>
      <c r="L742" s="369"/>
      <c r="M742" s="369"/>
      <c r="N742" s="369"/>
      <c r="O742" s="369"/>
    </row>
    <row r="743" spans="1:16">
      <c r="I743" s="369"/>
      <c r="J743" s="369"/>
      <c r="K743" s="369"/>
      <c r="L743" s="369"/>
      <c r="M743" s="369"/>
      <c r="N743" s="369"/>
      <c r="O743" s="369"/>
    </row>
    <row r="744" spans="1:16" s="291" customFormat="1">
      <c r="A744" s="1308" t="str">
        <f>$A$1</f>
        <v>COLUMBIA GAS OF KENTUCKY, INC.</v>
      </c>
      <c r="B744" s="1308"/>
      <c r="C744" s="1308"/>
      <c r="D744" s="1308"/>
      <c r="E744" s="1308"/>
      <c r="F744" s="1308"/>
      <c r="G744" s="1308"/>
      <c r="H744" s="1308"/>
      <c r="I744" s="1308"/>
      <c r="J744" s="1308"/>
      <c r="K744" s="1308"/>
      <c r="L744" s="1308"/>
      <c r="M744" s="1308"/>
      <c r="N744" s="1308"/>
      <c r="O744" s="1308"/>
    </row>
    <row r="745" spans="1:16" s="291" customFormat="1">
      <c r="A745" s="1308" t="str">
        <f>$A$2</f>
        <v>CASE NO. 2024 - 00092</v>
      </c>
      <c r="B745" s="1308"/>
      <c r="C745" s="1308"/>
      <c r="D745" s="1308"/>
      <c r="E745" s="1308"/>
      <c r="F745" s="1308"/>
      <c r="G745" s="1308"/>
      <c r="H745" s="1308"/>
      <c r="I745" s="1308"/>
      <c r="J745" s="1308"/>
      <c r="K745" s="1308"/>
      <c r="L745" s="1308"/>
      <c r="M745" s="1308"/>
      <c r="N745" s="1308"/>
      <c r="O745" s="1308"/>
    </row>
    <row r="746" spans="1:16" s="291" customFormat="1">
      <c r="A746" s="1308" t="str">
        <f>$A$3</f>
        <v>DETAIL OF ACTUAL &amp; FORECASTED PLANT, ACCUMULATED RESERVE &amp; DEPRECIATION EXPENSE</v>
      </c>
      <c r="B746" s="1308"/>
      <c r="C746" s="1308"/>
      <c r="D746" s="1308"/>
      <c r="E746" s="1308"/>
      <c r="F746" s="1308"/>
      <c r="G746" s="1308"/>
      <c r="H746" s="1308"/>
      <c r="I746" s="1308"/>
      <c r="J746" s="1308"/>
      <c r="K746" s="1308"/>
      <c r="L746" s="1308"/>
      <c r="M746" s="1308"/>
      <c r="N746" s="1308"/>
      <c r="O746" s="1308"/>
      <c r="P746" s="357"/>
    </row>
    <row r="747" spans="1:16" s="291" customFormat="1">
      <c r="A747" s="1308" t="str">
        <f>$A$4</f>
        <v>FROM JANUARY 01, 2023 THROUGH DECEMBER 31, 2025</v>
      </c>
      <c r="B747" s="1308"/>
      <c r="C747" s="1308"/>
      <c r="D747" s="1308"/>
      <c r="E747" s="1308"/>
      <c r="F747" s="1308"/>
      <c r="G747" s="1308"/>
      <c r="H747" s="1308"/>
      <c r="I747" s="1308"/>
      <c r="J747" s="1308"/>
      <c r="K747" s="1308"/>
      <c r="L747" s="1308"/>
      <c r="M747" s="1308"/>
      <c r="N747" s="1308"/>
      <c r="O747" s="1308"/>
    </row>
    <row r="748" spans="1:16" s="291" customFormat="1">
      <c r="B748" s="293"/>
      <c r="P748" s="312"/>
    </row>
    <row r="749" spans="1:16" s="291" customFormat="1">
      <c r="A749" s="297" t="str">
        <f>$A$6</f>
        <v xml:space="preserve">DATA: _X_ BASE PERIOD _X_ FORECASTED PERIOD     </v>
      </c>
      <c r="B749" s="293"/>
      <c r="O749" s="312" t="str">
        <f>$O$6</f>
        <v>WPB-2.1.C</v>
      </c>
      <c r="P749" s="312"/>
    </row>
    <row r="750" spans="1:16" s="291" customFormat="1">
      <c r="A750" s="297" t="str">
        <f>$A$7</f>
        <v>TYPE OF FILING:___X___ORIGINAL______UPDATED</v>
      </c>
      <c r="B750" s="293"/>
      <c r="O750" s="312" t="s">
        <v>2209</v>
      </c>
      <c r="P750" s="312"/>
    </row>
    <row r="751" spans="1:16" s="291" customFormat="1">
      <c r="A751" s="297" t="str">
        <f>$A$8</f>
        <v>WORKPAPER REFERENCE NO(S).:</v>
      </c>
      <c r="B751" s="293"/>
      <c r="O751" s="312" t="str">
        <f>$O$8</f>
        <v>WITNESS: GORE</v>
      </c>
    </row>
    <row r="752" spans="1:16">
      <c r="A752" s="918"/>
      <c r="B752" s="919"/>
      <c r="C752" s="918"/>
      <c r="D752" s="918"/>
      <c r="E752" s="918"/>
      <c r="F752" s="918"/>
      <c r="G752" s="918"/>
      <c r="H752" s="918"/>
      <c r="I752" s="918"/>
      <c r="J752" s="918"/>
      <c r="K752" s="918"/>
      <c r="L752" s="918"/>
      <c r="M752" s="918"/>
      <c r="N752" s="918"/>
      <c r="O752" s="920"/>
    </row>
    <row r="753" spans="1:15">
      <c r="D753" s="1311" t="s">
        <v>1768</v>
      </c>
      <c r="E753" s="1311"/>
      <c r="F753" s="1311"/>
      <c r="G753" s="1311"/>
      <c r="I753" s="1311" t="s">
        <v>1769</v>
      </c>
      <c r="J753" s="1311"/>
      <c r="K753" s="1311"/>
      <c r="L753" s="1311"/>
      <c r="M753" s="1311"/>
      <c r="N753" s="1311"/>
      <c r="O753" s="1311"/>
    </row>
    <row r="754" spans="1:15">
      <c r="D754" s="360">
        <f>D695</f>
        <v>45108</v>
      </c>
      <c r="G754" s="360">
        <f>G695</f>
        <v>45138</v>
      </c>
      <c r="I754" s="360">
        <f>D754</f>
        <v>45108</v>
      </c>
      <c r="O754" s="360">
        <f>G754</f>
        <v>45138</v>
      </c>
    </row>
    <row r="755" spans="1:15">
      <c r="D755" s="361" t="s">
        <v>1757</v>
      </c>
      <c r="G755" s="361" t="s">
        <v>1757</v>
      </c>
      <c r="I755" s="361" t="s">
        <v>1758</v>
      </c>
      <c r="J755" s="361" t="s">
        <v>488</v>
      </c>
      <c r="L755" s="361" t="s">
        <v>1758</v>
      </c>
      <c r="O755" s="361" t="s">
        <v>1758</v>
      </c>
    </row>
    <row r="756" spans="1:15">
      <c r="A756" s="361" t="s">
        <v>1770</v>
      </c>
      <c r="B756" s="361" t="s">
        <v>368</v>
      </c>
      <c r="C756" s="361"/>
      <c r="D756" s="361" t="s">
        <v>437</v>
      </c>
      <c r="G756" s="361" t="s">
        <v>439</v>
      </c>
      <c r="I756" s="361" t="s">
        <v>437</v>
      </c>
      <c r="J756" s="361" t="s">
        <v>1771</v>
      </c>
      <c r="K756" s="361" t="s">
        <v>1772</v>
      </c>
      <c r="L756" s="361" t="s">
        <v>1759</v>
      </c>
      <c r="N756" s="361" t="s">
        <v>1760</v>
      </c>
      <c r="O756" s="361" t="s">
        <v>439</v>
      </c>
    </row>
    <row r="757" spans="1:15">
      <c r="A757" s="364" t="s">
        <v>316</v>
      </c>
      <c r="B757" s="364" t="s">
        <v>316</v>
      </c>
      <c r="C757" s="364" t="s">
        <v>451</v>
      </c>
      <c r="D757" s="364" t="s">
        <v>441</v>
      </c>
      <c r="E757" s="364" t="s">
        <v>442</v>
      </c>
      <c r="F757" s="364" t="s">
        <v>443</v>
      </c>
      <c r="G757" s="364" t="s">
        <v>441</v>
      </c>
      <c r="I757" s="364" t="s">
        <v>441</v>
      </c>
      <c r="J757" s="364" t="s">
        <v>1773</v>
      </c>
      <c r="K757" s="364" t="s">
        <v>1771</v>
      </c>
      <c r="L757" s="364" t="s">
        <v>355</v>
      </c>
      <c r="M757" s="364" t="s">
        <v>443</v>
      </c>
      <c r="N757" s="364" t="s">
        <v>1763</v>
      </c>
      <c r="O757" s="364" t="s">
        <v>441</v>
      </c>
    </row>
    <row r="758" spans="1:15">
      <c r="D758" s="361" t="s">
        <v>532</v>
      </c>
      <c r="E758" s="361" t="s">
        <v>541</v>
      </c>
      <c r="F758" s="361" t="s">
        <v>542</v>
      </c>
      <c r="G758" s="361" t="s">
        <v>1764</v>
      </c>
      <c r="I758" s="334" t="str">
        <f>"(5)"</f>
        <v>(5)</v>
      </c>
      <c r="J758" s="334" t="str">
        <f>"(6)"</f>
        <v>(6)</v>
      </c>
      <c r="K758" s="334" t="str">
        <f>"(7)"</f>
        <v>(7)</v>
      </c>
      <c r="L758" s="334" t="str">
        <f>"(8)"</f>
        <v>(8)</v>
      </c>
      <c r="M758" s="334" t="str">
        <f>"(9)"</f>
        <v>(9)</v>
      </c>
      <c r="N758" s="334" t="str">
        <f>"(10)"</f>
        <v>(10)</v>
      </c>
      <c r="O758" s="334" t="str">
        <f>"(11=5+7+8+9+10)"</f>
        <v>(11=5+7+8+9+10)</v>
      </c>
    </row>
    <row r="759" spans="1:15">
      <c r="D759" s="361" t="s">
        <v>320</v>
      </c>
      <c r="E759" s="361" t="s">
        <v>320</v>
      </c>
      <c r="F759" s="361" t="s">
        <v>320</v>
      </c>
      <c r="G759" s="361" t="s">
        <v>320</v>
      </c>
      <c r="I759" s="334" t="s">
        <v>320</v>
      </c>
      <c r="J759" s="334" t="s">
        <v>529</v>
      </c>
      <c r="K759" s="334" t="s">
        <v>320</v>
      </c>
      <c r="L759" s="334" t="s">
        <v>320</v>
      </c>
      <c r="M759" s="334" t="s">
        <v>320</v>
      </c>
      <c r="N759" s="334" t="s">
        <v>320</v>
      </c>
      <c r="O759" s="334" t="s">
        <v>320</v>
      </c>
    </row>
    <row r="760" spans="1:15">
      <c r="A760" s="361">
        <v>1</v>
      </c>
      <c r="B760" s="363" t="s">
        <v>411</v>
      </c>
      <c r="D760" s="361"/>
      <c r="E760" s="361"/>
      <c r="F760" s="361"/>
      <c r="G760" s="361"/>
      <c r="I760" s="334"/>
      <c r="J760" s="334"/>
      <c r="K760" s="334"/>
      <c r="L760" s="334"/>
      <c r="M760" s="334"/>
      <c r="N760" s="334"/>
      <c r="O760" s="334"/>
    </row>
    <row r="761" spans="1:15">
      <c r="A761" s="361">
        <f>A760+1</f>
        <v>2</v>
      </c>
      <c r="B761" s="365">
        <v>391.1</v>
      </c>
      <c r="C761" s="358" t="s">
        <v>412</v>
      </c>
      <c r="D761" s="1243">
        <f t="shared" ref="D761:D774" si="129">G647</f>
        <v>820366.66</v>
      </c>
      <c r="E761" s="1243">
        <v>0</v>
      </c>
      <c r="F761" s="1243">
        <v>0</v>
      </c>
      <c r="G761" s="1243">
        <f>SUM(D761:F761)</f>
        <v>820366.66</v>
      </c>
      <c r="H761" s="1243"/>
      <c r="I761" s="1245">
        <f t="shared" ref="I761:I774" si="130">O647</f>
        <v>95956.450000000012</v>
      </c>
      <c r="J761" s="1243"/>
      <c r="K761" s="1243">
        <v>3418.19</v>
      </c>
      <c r="L761" s="1243">
        <v>0</v>
      </c>
      <c r="M761" s="1243">
        <f t="shared" ref="M761:M774" si="131">F761</f>
        <v>0</v>
      </c>
      <c r="N761" s="1243">
        <v>0</v>
      </c>
      <c r="O761" s="1243">
        <f t="shared" ref="O761:O774" si="132">I761+K761+L761+M761+N761</f>
        <v>99374.640000000014</v>
      </c>
    </row>
    <row r="762" spans="1:15">
      <c r="A762" s="361">
        <f t="shared" ref="A762:A775" si="133">A761+1</f>
        <v>3</v>
      </c>
      <c r="B762" s="365">
        <v>391.11</v>
      </c>
      <c r="C762" s="358" t="s">
        <v>413</v>
      </c>
      <c r="D762" s="1243">
        <f t="shared" si="129"/>
        <v>0</v>
      </c>
      <c r="E762" s="1243">
        <v>0</v>
      </c>
      <c r="F762" s="1243">
        <v>0</v>
      </c>
      <c r="G762" s="1243">
        <f t="shared" ref="G762:G769" si="134">SUM(D762:F762)</f>
        <v>0</v>
      </c>
      <c r="H762" s="1243"/>
      <c r="I762" s="1245">
        <f t="shared" si="130"/>
        <v>-18933.789999999997</v>
      </c>
      <c r="J762" s="1243"/>
      <c r="K762" s="1243">
        <v>0</v>
      </c>
      <c r="L762" s="1243">
        <v>0</v>
      </c>
      <c r="M762" s="1243">
        <f t="shared" si="131"/>
        <v>0</v>
      </c>
      <c r="N762" s="1243">
        <v>0</v>
      </c>
      <c r="O762" s="1243">
        <f t="shared" si="132"/>
        <v>-18933.789999999997</v>
      </c>
    </row>
    <row r="763" spans="1:15">
      <c r="A763" s="361">
        <f t="shared" si="133"/>
        <v>4</v>
      </c>
      <c r="B763" s="365">
        <v>391.12</v>
      </c>
      <c r="C763" s="358" t="s">
        <v>414</v>
      </c>
      <c r="D763" s="1243">
        <f t="shared" si="129"/>
        <v>91133.260000000009</v>
      </c>
      <c r="E763" s="1243">
        <v>0</v>
      </c>
      <c r="F763" s="1243">
        <v>0</v>
      </c>
      <c r="G763" s="1243">
        <f t="shared" si="134"/>
        <v>91133.260000000009</v>
      </c>
      <c r="H763" s="1243"/>
      <c r="I763" s="1245">
        <f t="shared" si="130"/>
        <v>42756.86</v>
      </c>
      <c r="J763" s="1243"/>
      <c r="K763" s="1243">
        <v>1518.89</v>
      </c>
      <c r="L763" s="1243">
        <v>0</v>
      </c>
      <c r="M763" s="1243">
        <f t="shared" si="131"/>
        <v>0</v>
      </c>
      <c r="N763" s="1243">
        <v>0</v>
      </c>
      <c r="O763" s="1243">
        <f t="shared" si="132"/>
        <v>44275.75</v>
      </c>
    </row>
    <row r="764" spans="1:15">
      <c r="A764" s="361">
        <f t="shared" si="133"/>
        <v>5</v>
      </c>
      <c r="B764" s="365">
        <v>392.2</v>
      </c>
      <c r="C764" s="358" t="s">
        <v>524</v>
      </c>
      <c r="D764" s="1243">
        <f t="shared" si="129"/>
        <v>95778</v>
      </c>
      <c r="E764" s="1243">
        <v>0</v>
      </c>
      <c r="F764" s="1243">
        <v>0</v>
      </c>
      <c r="G764" s="1243">
        <f t="shared" si="134"/>
        <v>95778</v>
      </c>
      <c r="H764" s="1243"/>
      <c r="I764" s="1245">
        <f t="shared" si="130"/>
        <v>63548.969999999979</v>
      </c>
      <c r="J764" s="1243"/>
      <c r="K764" s="1243">
        <v>71.84</v>
      </c>
      <c r="L764" s="1243">
        <v>0</v>
      </c>
      <c r="M764" s="1243">
        <f t="shared" si="131"/>
        <v>0</v>
      </c>
      <c r="N764" s="1243">
        <v>0</v>
      </c>
      <c r="O764" s="1243">
        <f t="shared" si="132"/>
        <v>63620.809999999976</v>
      </c>
    </row>
    <row r="765" spans="1:15">
      <c r="A765" s="361">
        <f t="shared" si="133"/>
        <v>6</v>
      </c>
      <c r="B765" s="365">
        <v>392.21</v>
      </c>
      <c r="C765" s="358" t="s">
        <v>415</v>
      </c>
      <c r="D765" s="1243">
        <f t="shared" si="129"/>
        <v>24462.2</v>
      </c>
      <c r="E765" s="1243">
        <v>0</v>
      </c>
      <c r="F765" s="1243">
        <v>0</v>
      </c>
      <c r="G765" s="1243">
        <f t="shared" si="134"/>
        <v>24462.2</v>
      </c>
      <c r="H765" s="1243"/>
      <c r="I765" s="1245">
        <f t="shared" si="130"/>
        <v>44754.01</v>
      </c>
      <c r="J765" s="1243"/>
      <c r="K765" s="1243">
        <v>0</v>
      </c>
      <c r="L765" s="1243">
        <v>0</v>
      </c>
      <c r="M765" s="1243">
        <f t="shared" si="131"/>
        <v>0</v>
      </c>
      <c r="N765" s="1243">
        <v>0</v>
      </c>
      <c r="O765" s="1243">
        <f t="shared" si="132"/>
        <v>44754.01</v>
      </c>
    </row>
    <row r="766" spans="1:15">
      <c r="A766" s="361">
        <f t="shared" si="133"/>
        <v>7</v>
      </c>
      <c r="B766" s="365">
        <v>393</v>
      </c>
      <c r="C766" s="358" t="s">
        <v>416</v>
      </c>
      <c r="D766" s="1243">
        <f t="shared" si="129"/>
        <v>0</v>
      </c>
      <c r="E766" s="1243">
        <v>0</v>
      </c>
      <c r="F766" s="1243">
        <v>0</v>
      </c>
      <c r="G766" s="1243">
        <f t="shared" si="134"/>
        <v>0</v>
      </c>
      <c r="H766" s="1243"/>
      <c r="I766" s="1245">
        <f t="shared" si="130"/>
        <v>0</v>
      </c>
      <c r="J766" s="1243"/>
      <c r="K766" s="1243">
        <v>0</v>
      </c>
      <c r="L766" s="1243">
        <v>0</v>
      </c>
      <c r="M766" s="1243">
        <f t="shared" si="131"/>
        <v>0</v>
      </c>
      <c r="N766" s="1243">
        <v>0</v>
      </c>
      <c r="O766" s="1243">
        <f t="shared" si="132"/>
        <v>0</v>
      </c>
    </row>
    <row r="767" spans="1:15">
      <c r="A767" s="361">
        <f t="shared" si="133"/>
        <v>8</v>
      </c>
      <c r="B767" s="365">
        <v>394.1</v>
      </c>
      <c r="C767" s="358" t="s">
        <v>417</v>
      </c>
      <c r="D767" s="1243">
        <f t="shared" si="129"/>
        <v>9739</v>
      </c>
      <c r="E767" s="1243">
        <v>0</v>
      </c>
      <c r="F767" s="1243">
        <v>0</v>
      </c>
      <c r="G767" s="1243">
        <f t="shared" si="134"/>
        <v>9739</v>
      </c>
      <c r="H767" s="1243"/>
      <c r="I767" s="1245">
        <f t="shared" si="130"/>
        <v>3880.3900000000003</v>
      </c>
      <c r="J767" s="1243"/>
      <c r="K767" s="1243">
        <v>32.46</v>
      </c>
      <c r="L767" s="1243">
        <v>0</v>
      </c>
      <c r="M767" s="1243">
        <f t="shared" si="131"/>
        <v>0</v>
      </c>
      <c r="N767" s="1243">
        <v>0</v>
      </c>
      <c r="O767" s="1243">
        <f t="shared" si="132"/>
        <v>3912.8500000000004</v>
      </c>
    </row>
    <row r="768" spans="1:15">
      <c r="A768" s="361">
        <f t="shared" si="133"/>
        <v>9</v>
      </c>
      <c r="B768" s="365">
        <v>394.11</v>
      </c>
      <c r="C768" s="358" t="s">
        <v>418</v>
      </c>
      <c r="D768" s="1243">
        <f t="shared" si="129"/>
        <v>0</v>
      </c>
      <c r="E768" s="1243">
        <v>0</v>
      </c>
      <c r="F768" s="1243">
        <v>0</v>
      </c>
      <c r="G768" s="1243">
        <f t="shared" si="134"/>
        <v>0</v>
      </c>
      <c r="H768" s="1243"/>
      <c r="I768" s="1245">
        <f t="shared" si="130"/>
        <v>-26071.5</v>
      </c>
      <c r="J768" s="1243"/>
      <c r="K768" s="1243">
        <v>0</v>
      </c>
      <c r="L768" s="1243">
        <v>0</v>
      </c>
      <c r="M768" s="1243">
        <f t="shared" si="131"/>
        <v>0</v>
      </c>
      <c r="N768" s="1243">
        <v>0</v>
      </c>
      <c r="O768" s="1243">
        <f t="shared" si="132"/>
        <v>-26071.5</v>
      </c>
    </row>
    <row r="769" spans="1:15">
      <c r="A769" s="361">
        <f t="shared" si="133"/>
        <v>10</v>
      </c>
      <c r="B769" s="365">
        <v>394.13</v>
      </c>
      <c r="C769" s="358" t="s">
        <v>515</v>
      </c>
      <c r="D769" s="1243">
        <f t="shared" si="129"/>
        <v>0</v>
      </c>
      <c r="E769" s="1243">
        <v>0</v>
      </c>
      <c r="F769" s="1243">
        <v>0</v>
      </c>
      <c r="G769" s="1243">
        <f t="shared" si="134"/>
        <v>0</v>
      </c>
      <c r="H769" s="1243"/>
      <c r="I769" s="1245">
        <f t="shared" si="130"/>
        <v>37937.360000000001</v>
      </c>
      <c r="J769" s="1243"/>
      <c r="K769" s="1243">
        <v>0</v>
      </c>
      <c r="L769" s="1243">
        <v>0</v>
      </c>
      <c r="M769" s="1243">
        <f t="shared" si="131"/>
        <v>0</v>
      </c>
      <c r="N769" s="1243">
        <v>0</v>
      </c>
      <c r="O769" s="1243">
        <f t="shared" si="132"/>
        <v>37937.360000000001</v>
      </c>
    </row>
    <row r="770" spans="1:15">
      <c r="A770" s="361">
        <f t="shared" si="133"/>
        <v>11</v>
      </c>
      <c r="B770" s="365">
        <v>394.2</v>
      </c>
      <c r="C770" s="358" t="s">
        <v>420</v>
      </c>
      <c r="D770" s="1243">
        <f t="shared" si="129"/>
        <v>0</v>
      </c>
      <c r="E770" s="1243">
        <v>0</v>
      </c>
      <c r="F770" s="1243">
        <v>0</v>
      </c>
      <c r="G770" s="1243">
        <f>SUM(D770:F770)</f>
        <v>0</v>
      </c>
      <c r="H770" s="1243"/>
      <c r="I770" s="1245">
        <f t="shared" si="130"/>
        <v>185.21</v>
      </c>
      <c r="J770" s="1243"/>
      <c r="K770" s="1243">
        <v>0</v>
      </c>
      <c r="L770" s="1243">
        <v>0</v>
      </c>
      <c r="M770" s="1243">
        <f t="shared" si="131"/>
        <v>0</v>
      </c>
      <c r="N770" s="1243">
        <v>0</v>
      </c>
      <c r="O770" s="1243">
        <f t="shared" si="132"/>
        <v>185.21</v>
      </c>
    </row>
    <row r="771" spans="1:15">
      <c r="A771" s="361">
        <f t="shared" si="133"/>
        <v>12</v>
      </c>
      <c r="B771" s="365">
        <v>394.3</v>
      </c>
      <c r="C771" s="358" t="s">
        <v>1602</v>
      </c>
      <c r="D771" s="1243">
        <f t="shared" si="129"/>
        <v>4920497.5600000005</v>
      </c>
      <c r="E771" s="1243">
        <v>23221.91</v>
      </c>
      <c r="F771" s="1243">
        <v>0</v>
      </c>
      <c r="G771" s="1243">
        <f>SUM(D771:F771)</f>
        <v>4943719.4700000007</v>
      </c>
      <c r="H771" s="1243"/>
      <c r="I771" s="1245">
        <f t="shared" si="130"/>
        <v>1511552.65</v>
      </c>
      <c r="J771" s="1243"/>
      <c r="K771" s="1243">
        <v>16440.36</v>
      </c>
      <c r="L771" s="1243">
        <v>0</v>
      </c>
      <c r="M771" s="1243">
        <f t="shared" si="131"/>
        <v>0</v>
      </c>
      <c r="N771" s="1243">
        <v>0</v>
      </c>
      <c r="O771" s="1243">
        <f t="shared" si="132"/>
        <v>1527993.01</v>
      </c>
    </row>
    <row r="772" spans="1:15">
      <c r="A772" s="361">
        <f t="shared" si="133"/>
        <v>13</v>
      </c>
      <c r="B772" s="365">
        <v>395</v>
      </c>
      <c r="C772" s="358" t="s">
        <v>422</v>
      </c>
      <c r="D772" s="1243">
        <f t="shared" si="129"/>
        <v>4162.05</v>
      </c>
      <c r="E772" s="1243">
        <v>0</v>
      </c>
      <c r="F772" s="1243">
        <v>0</v>
      </c>
      <c r="G772" s="1243">
        <f>SUM(D772:F772)</f>
        <v>4162.05</v>
      </c>
      <c r="H772" s="1243"/>
      <c r="I772" s="1245">
        <f t="shared" si="130"/>
        <v>3948.6400000000008</v>
      </c>
      <c r="J772" s="1243"/>
      <c r="K772" s="1243">
        <v>17.34</v>
      </c>
      <c r="L772" s="1243">
        <v>0</v>
      </c>
      <c r="M772" s="1243">
        <f t="shared" si="131"/>
        <v>0</v>
      </c>
      <c r="N772" s="1243">
        <v>0</v>
      </c>
      <c r="O772" s="1243">
        <f t="shared" si="132"/>
        <v>3965.9800000000009</v>
      </c>
    </row>
    <row r="773" spans="1:15">
      <c r="A773" s="361">
        <f t="shared" si="133"/>
        <v>14</v>
      </c>
      <c r="B773" s="365">
        <v>396</v>
      </c>
      <c r="C773" s="358" t="s">
        <v>423</v>
      </c>
      <c r="D773" s="1243">
        <f t="shared" si="129"/>
        <v>185547</v>
      </c>
      <c r="E773" s="1243">
        <v>0</v>
      </c>
      <c r="F773" s="1243">
        <v>0</v>
      </c>
      <c r="G773" s="1243">
        <f>SUM(D773:F773)</f>
        <v>185547</v>
      </c>
      <c r="H773" s="1243"/>
      <c r="I773" s="1245">
        <f t="shared" si="130"/>
        <v>171938.14</v>
      </c>
      <c r="J773" s="1243"/>
      <c r="K773" s="1243">
        <v>0</v>
      </c>
      <c r="L773" s="1243">
        <v>0</v>
      </c>
      <c r="M773" s="1243">
        <f t="shared" si="131"/>
        <v>0</v>
      </c>
      <c r="N773" s="1243">
        <v>0</v>
      </c>
      <c r="O773" s="1243">
        <f t="shared" si="132"/>
        <v>171938.14</v>
      </c>
    </row>
    <row r="774" spans="1:15">
      <c r="A774" s="361">
        <f t="shared" si="133"/>
        <v>15</v>
      </c>
      <c r="B774" s="365">
        <v>398</v>
      </c>
      <c r="C774" s="358" t="s">
        <v>424</v>
      </c>
      <c r="D774" s="1244">
        <f t="shared" si="129"/>
        <v>123389.32000000002</v>
      </c>
      <c r="E774" s="1244">
        <v>24638.880000000001</v>
      </c>
      <c r="F774" s="1244">
        <v>0</v>
      </c>
      <c r="G774" s="1244">
        <f>SUM(D774:F774)</f>
        <v>148028.20000000001</v>
      </c>
      <c r="H774" s="1243"/>
      <c r="I774" s="1246">
        <f t="shared" si="130"/>
        <v>65235.709999999992</v>
      </c>
      <c r="J774" s="1243"/>
      <c r="K774" s="1244">
        <v>754.31000000000006</v>
      </c>
      <c r="L774" s="1244">
        <v>0</v>
      </c>
      <c r="M774" s="1244">
        <f t="shared" si="131"/>
        <v>0</v>
      </c>
      <c r="N774" s="1244">
        <v>0</v>
      </c>
      <c r="O774" s="1244">
        <f t="shared" si="132"/>
        <v>65990.01999999999</v>
      </c>
    </row>
    <row r="775" spans="1:15">
      <c r="A775" s="361">
        <f t="shared" si="133"/>
        <v>16</v>
      </c>
      <c r="B775" s="367"/>
      <c r="C775" s="358" t="s">
        <v>425</v>
      </c>
      <c r="D775" s="1243">
        <f>SUM(D761:D774)</f>
        <v>6275075.0500000007</v>
      </c>
      <c r="E775" s="1243">
        <f>SUM(E761:E774)</f>
        <v>47860.79</v>
      </c>
      <c r="F775" s="1243">
        <f>SUM(F761:F774)</f>
        <v>0</v>
      </c>
      <c r="G775" s="1243">
        <f>SUM(G761:G774)</f>
        <v>6322935.8400000008</v>
      </c>
      <c r="H775" s="1243"/>
      <c r="I775" s="1243">
        <f>SUM(I761:I774)</f>
        <v>1996689.0999999996</v>
      </c>
      <c r="J775" s="1243"/>
      <c r="K775" s="1243">
        <f>SUM(K761:K774)</f>
        <v>22253.390000000003</v>
      </c>
      <c r="L775" s="1243">
        <f>SUM(L761:L774)</f>
        <v>0</v>
      </c>
      <c r="M775" s="1243">
        <f>SUM(M761:M774)</f>
        <v>0</v>
      </c>
      <c r="N775" s="1243">
        <f>SUM(N761:N774)</f>
        <v>0</v>
      </c>
      <c r="O775" s="1243">
        <f>SUM(O761:O774)</f>
        <v>2018942.4900000002</v>
      </c>
    </row>
    <row r="776" spans="1:15">
      <c r="A776" s="361"/>
      <c r="D776" s="1243"/>
      <c r="E776" s="1243"/>
      <c r="F776" s="1243"/>
      <c r="G776" s="1243"/>
      <c r="H776" s="1243"/>
      <c r="I776" s="1243"/>
      <c r="J776" s="1243"/>
      <c r="K776" s="1243"/>
      <c r="L776" s="1243"/>
      <c r="M776" s="1243"/>
      <c r="N776" s="1243"/>
      <c r="O776" s="1243"/>
    </row>
    <row r="777" spans="1:15">
      <c r="A777" s="361">
        <f>A775+1</f>
        <v>17</v>
      </c>
      <c r="B777" s="363" t="s">
        <v>1038</v>
      </c>
      <c r="D777" s="1243"/>
      <c r="E777" s="1243"/>
      <c r="F777" s="1243"/>
      <c r="G777" s="1243"/>
      <c r="H777" s="1243"/>
      <c r="I777" s="1243"/>
      <c r="J777" s="1243"/>
      <c r="K777" s="1243"/>
      <c r="L777" s="1243"/>
      <c r="M777" s="1243"/>
      <c r="N777" s="1243"/>
      <c r="O777" s="1243"/>
    </row>
    <row r="778" spans="1:15">
      <c r="A778" s="361">
        <f>A777+1</f>
        <v>18</v>
      </c>
      <c r="B778" s="365">
        <v>378.21</v>
      </c>
      <c r="C778" s="358" t="s">
        <v>1037</v>
      </c>
      <c r="D778" s="1244">
        <f>G664</f>
        <v>-777092</v>
      </c>
      <c r="E778" s="1244">
        <v>0</v>
      </c>
      <c r="F778" s="1244">
        <v>0</v>
      </c>
      <c r="G778" s="1244">
        <f>SUM(D778:F778)</f>
        <v>-777092</v>
      </c>
      <c r="H778" s="1243"/>
      <c r="I778" s="1244">
        <f>O664</f>
        <v>-191505.32000000004</v>
      </c>
      <c r="J778" s="1243"/>
      <c r="K778" s="1244">
        <v>-2144.17</v>
      </c>
      <c r="L778" s="1244">
        <v>0</v>
      </c>
      <c r="M778" s="1244">
        <f>F778</f>
        <v>0</v>
      </c>
      <c r="N778" s="1244">
        <v>0</v>
      </c>
      <c r="O778" s="1244">
        <f>I778+K778+L778+M778+N778</f>
        <v>-193649.49000000005</v>
      </c>
    </row>
    <row r="779" spans="1:15">
      <c r="A779" s="361">
        <f>A778+1</f>
        <v>19</v>
      </c>
      <c r="B779" s="370"/>
      <c r="C779" s="358" t="s">
        <v>1579</v>
      </c>
      <c r="D779" s="1243">
        <f>SUM(D778)</f>
        <v>-777092</v>
      </c>
      <c r="E779" s="1243">
        <f>SUM(E778)</f>
        <v>0</v>
      </c>
      <c r="F779" s="1243">
        <f>SUM(F778)</f>
        <v>0</v>
      </c>
      <c r="G779" s="1243">
        <f>SUM(G778)</f>
        <v>-777092</v>
      </c>
      <c r="H779" s="1243"/>
      <c r="I779" s="1243">
        <f>SUM(I778)</f>
        <v>-191505.32000000004</v>
      </c>
      <c r="J779" s="1243"/>
      <c r="K779" s="1243">
        <f>SUM(K778)</f>
        <v>-2144.17</v>
      </c>
      <c r="L779" s="1243">
        <f>SUM(L778)</f>
        <v>0</v>
      </c>
      <c r="M779" s="1243">
        <f>SUM(M778)</f>
        <v>0</v>
      </c>
      <c r="N779" s="1243">
        <f>SUM(N778)</f>
        <v>0</v>
      </c>
      <c r="O779" s="1243">
        <f>SUM(O778)</f>
        <v>-193649.49000000005</v>
      </c>
    </row>
    <row r="780" spans="1:15">
      <c r="A780" s="361"/>
      <c r="B780" s="370"/>
      <c r="D780" s="1243"/>
      <c r="E780" s="1243"/>
      <c r="F780" s="1243"/>
      <c r="G780" s="1243"/>
      <c r="H780" s="1243"/>
      <c r="I780" s="1243"/>
      <c r="J780" s="1243"/>
      <c r="K780" s="1243"/>
      <c r="L780" s="1243"/>
      <c r="M780" s="1243"/>
      <c r="N780" s="1243"/>
      <c r="O780" s="1243"/>
    </row>
    <row r="781" spans="1:15">
      <c r="A781" s="361">
        <f>A779+1</f>
        <v>20</v>
      </c>
      <c r="B781" s="370"/>
      <c r="C781" s="358" t="s">
        <v>2037</v>
      </c>
      <c r="D781" s="1243">
        <f>D708+D741+D775+D779</f>
        <v>727471911.08581591</v>
      </c>
      <c r="E781" s="1243">
        <f>E708+E741+E775+E779</f>
        <v>1461742.3299999998</v>
      </c>
      <c r="F781" s="1243">
        <f>F708+F741+F775+F779</f>
        <v>-306733.02473480045</v>
      </c>
      <c r="G781" s="1243">
        <f>G708+G741+G775+G779</f>
        <v>728626920.39108109</v>
      </c>
      <c r="H781" s="1243"/>
      <c r="I781" s="1243">
        <f>I708+I741+I775+I779</f>
        <v>171049214.84813076</v>
      </c>
      <c r="J781" s="1243"/>
      <c r="K781" s="1243">
        <f>K708+K741+K775+K779</f>
        <v>1768615.4039999994</v>
      </c>
      <c r="L781" s="1243">
        <f>L708+L741+L775+L779</f>
        <v>0</v>
      </c>
      <c r="M781" s="1243">
        <f>M708+M741+M775+M779</f>
        <v>-306733.02473480045</v>
      </c>
      <c r="N781" s="1243">
        <f>N708+N741+N775+N779</f>
        <v>-62693.033074999992</v>
      </c>
      <c r="O781" s="1243">
        <f>O708+O741+O775+O779</f>
        <v>172448404.19432092</v>
      </c>
    </row>
    <row r="782" spans="1:15">
      <c r="A782" s="361"/>
      <c r="B782" s="370"/>
      <c r="D782" s="1243"/>
      <c r="E782" s="1243"/>
      <c r="F782" s="1243"/>
      <c r="G782" s="1243"/>
      <c r="H782" s="1243"/>
      <c r="I782" s="1243"/>
      <c r="J782" s="1243"/>
      <c r="K782" s="1243"/>
      <c r="L782" s="1243"/>
      <c r="M782" s="1243"/>
      <c r="N782" s="1243"/>
      <c r="O782" s="1243"/>
    </row>
    <row r="783" spans="1:15">
      <c r="A783" s="361">
        <f>A781+1</f>
        <v>21</v>
      </c>
      <c r="B783" s="370"/>
      <c r="C783" s="358" t="s">
        <v>2038</v>
      </c>
      <c r="D783" s="1243">
        <v>0</v>
      </c>
      <c r="E783" s="1249">
        <v>0</v>
      </c>
      <c r="F783" s="1249">
        <v>0</v>
      </c>
      <c r="G783" s="1249">
        <f>SUM(D783:F783)</f>
        <v>0</v>
      </c>
      <c r="H783" s="1243"/>
      <c r="I783" s="1243">
        <f>O669</f>
        <v>-6018783.6100000003</v>
      </c>
      <c r="J783" s="1243"/>
      <c r="K783" s="1243"/>
      <c r="L783" s="1243"/>
      <c r="M783" s="1243"/>
      <c r="N783" s="1243">
        <v>-299779.38</v>
      </c>
      <c r="O783" s="1243">
        <f>I783+K783+L783+M783+N783</f>
        <v>-6318562.9900000002</v>
      </c>
    </row>
    <row r="784" spans="1:15">
      <c r="A784" s="361"/>
      <c r="B784" s="370"/>
      <c r="C784" s="368"/>
      <c r="D784" s="1243"/>
      <c r="E784" s="1243"/>
      <c r="F784" s="1243"/>
      <c r="G784" s="1243"/>
      <c r="H784" s="1243"/>
      <c r="I784" s="1243"/>
      <c r="J784" s="1243"/>
      <c r="K784" s="1243"/>
      <c r="L784" s="1243"/>
      <c r="M784" s="1243"/>
      <c r="N784" s="1243"/>
      <c r="O784" s="1243"/>
    </row>
    <row r="785" spans="1:15">
      <c r="A785" s="361">
        <f>A783+1</f>
        <v>22</v>
      </c>
      <c r="C785" s="358" t="s">
        <v>1603</v>
      </c>
      <c r="D785" s="1247">
        <f>D781+D783</f>
        <v>727471911.08581591</v>
      </c>
      <c r="E785" s="1247">
        <f t="shared" ref="E785:O785" si="135">E781+E783</f>
        <v>1461742.3299999998</v>
      </c>
      <c r="F785" s="1247">
        <f t="shared" si="135"/>
        <v>-306733.02473480045</v>
      </c>
      <c r="G785" s="1247">
        <f t="shared" si="135"/>
        <v>728626920.39108109</v>
      </c>
      <c r="H785" s="1243"/>
      <c r="I785" s="1247">
        <f t="shared" si="135"/>
        <v>165030431.23813075</v>
      </c>
      <c r="J785" s="1243"/>
      <c r="K785" s="1247">
        <f t="shared" si="135"/>
        <v>1768615.4039999994</v>
      </c>
      <c r="L785" s="1247">
        <f t="shared" si="135"/>
        <v>0</v>
      </c>
      <c r="M785" s="1247">
        <f t="shared" si="135"/>
        <v>-306733.02473480045</v>
      </c>
      <c r="N785" s="1247">
        <f t="shared" si="135"/>
        <v>-362472.41307499999</v>
      </c>
      <c r="O785" s="1247">
        <f t="shared" si="135"/>
        <v>166129841.20432091</v>
      </c>
    </row>
    <row r="786" spans="1:15">
      <c r="A786" s="361"/>
      <c r="D786" s="1243"/>
      <c r="E786" s="1243"/>
      <c r="F786" s="1243"/>
      <c r="G786" s="1243"/>
      <c r="H786" s="1243"/>
      <c r="I786" s="1243"/>
      <c r="J786" s="1243"/>
      <c r="K786" s="1243"/>
      <c r="L786" s="1243"/>
      <c r="M786" s="1243"/>
      <c r="N786" s="1243"/>
      <c r="O786" s="1243"/>
    </row>
    <row r="787" spans="1:15">
      <c r="A787" s="361"/>
      <c r="D787" s="1243"/>
      <c r="E787" s="1243"/>
      <c r="F787" s="1243"/>
      <c r="G787" s="1243"/>
      <c r="H787" s="1243"/>
      <c r="I787" s="1243"/>
      <c r="J787" s="1243"/>
      <c r="K787" s="1243"/>
      <c r="L787" s="1243"/>
      <c r="M787" s="1243"/>
      <c r="N787" s="1243"/>
      <c r="O787" s="1243"/>
    </row>
    <row r="788" spans="1:15">
      <c r="A788" s="361">
        <f>A785+1</f>
        <v>23</v>
      </c>
      <c r="B788" s="363" t="s">
        <v>1774</v>
      </c>
      <c r="D788" s="1243"/>
      <c r="E788" s="1243"/>
      <c r="F788" s="1243"/>
      <c r="G788" s="1243"/>
      <c r="H788" s="1243"/>
      <c r="I788" s="1243"/>
      <c r="J788" s="1243"/>
      <c r="K788" s="1243"/>
      <c r="L788" s="1243"/>
      <c r="M788" s="1243"/>
      <c r="N788" s="1243"/>
      <c r="O788" s="1243"/>
    </row>
    <row r="789" spans="1:15">
      <c r="A789" s="361">
        <f t="shared" ref="A789:A794" si="136">A788+1</f>
        <v>24</v>
      </c>
      <c r="B789" s="365">
        <v>376</v>
      </c>
      <c r="C789" s="358" t="s">
        <v>1775</v>
      </c>
      <c r="D789" s="1243">
        <f>G675</f>
        <v>12515385.070000002</v>
      </c>
      <c r="E789" s="1243">
        <f>'WPB-2.1.D SMRP'!E294</f>
        <v>3124046.71</v>
      </c>
      <c r="F789" s="1243">
        <f>'WPB-2.1.D SMRP'!F294</f>
        <v>-64.34</v>
      </c>
      <c r="G789" s="1243">
        <f>SUM(D789:F789)</f>
        <v>15639367.440000001</v>
      </c>
      <c r="H789" s="1243"/>
      <c r="I789" s="1243">
        <f>O675</f>
        <v>10384.934000000001</v>
      </c>
      <c r="J789" s="1243"/>
      <c r="K789" s="1243">
        <f>'WPB-2.1.D SMRP'!K294</f>
        <v>20411.886999999999</v>
      </c>
      <c r="L789" s="1243">
        <v>0</v>
      </c>
      <c r="M789" s="1243">
        <f>F789</f>
        <v>-64.34</v>
      </c>
      <c r="N789" s="1243">
        <f>'WPB-2.1.D SMRP'!N294</f>
        <v>-8203.5400000000009</v>
      </c>
      <c r="O789" s="1243">
        <f>I789+K789+L789+M789+N789</f>
        <v>22528.940999999999</v>
      </c>
    </row>
    <row r="790" spans="1:15">
      <c r="A790" s="361">
        <f t="shared" si="136"/>
        <v>25</v>
      </c>
      <c r="B790" s="365">
        <v>378.2</v>
      </c>
      <c r="C790" s="358" t="s">
        <v>1776</v>
      </c>
      <c r="D790" s="1243">
        <f>G676</f>
        <v>-140708.97000000003</v>
      </c>
      <c r="E790" s="1243">
        <f>'WPB-2.1.D SMRP'!E295</f>
        <v>0</v>
      </c>
      <c r="F790" s="1243">
        <f>'WPB-2.1.D SMRP'!F295</f>
        <v>-90900.479999999996</v>
      </c>
      <c r="G790" s="1243">
        <f>SUM(D790:F790)</f>
        <v>-231609.45</v>
      </c>
      <c r="H790" s="1243"/>
      <c r="I790" s="1243">
        <f>O676</f>
        <v>-161827.30300000001</v>
      </c>
      <c r="J790" s="1243"/>
      <c r="K790" s="1243">
        <f>'WPB-2.1.D SMRP'!K295</f>
        <v>-390.44600000000003</v>
      </c>
      <c r="L790" s="1243">
        <v>0</v>
      </c>
      <c r="M790" s="1243">
        <f>F790</f>
        <v>-90900.479999999996</v>
      </c>
      <c r="N790" s="1243">
        <f>'WPB-2.1.D SMRP'!N295</f>
        <v>-3350.24</v>
      </c>
      <c r="O790" s="1243">
        <f>I790+K790+L790+M790+N790</f>
        <v>-256468.46899999998</v>
      </c>
    </row>
    <row r="791" spans="1:15">
      <c r="A791" s="361">
        <f t="shared" si="136"/>
        <v>26</v>
      </c>
      <c r="B791" s="365">
        <v>380</v>
      </c>
      <c r="C791" s="358" t="s">
        <v>1777</v>
      </c>
      <c r="D791" s="1243">
        <f>G677</f>
        <v>5006973.0041842349</v>
      </c>
      <c r="E791" s="1243">
        <f>'WPB-2.1.D SMRP'!E296</f>
        <v>946236.83000000007</v>
      </c>
      <c r="F791" s="1243">
        <f>'WPB-2.1.D SMRP'!F296</f>
        <v>-231124.9352651996</v>
      </c>
      <c r="G791" s="1243">
        <f>SUM(D791:F791)</f>
        <v>5722084.8989190357</v>
      </c>
      <c r="H791" s="1243"/>
      <c r="I791" s="1243">
        <f>O677</f>
        <v>-2417158.8041307656</v>
      </c>
      <c r="J791" s="1243"/>
      <c r="K791" s="1243">
        <f>'WPB-2.1.D SMRP'!K296</f>
        <v>17791.894</v>
      </c>
      <c r="L791" s="1243">
        <v>0</v>
      </c>
      <c r="M791" s="1243">
        <f>F791</f>
        <v>-231124.9352651996</v>
      </c>
      <c r="N791" s="1243">
        <f>'WPB-2.1.D SMRP'!N296</f>
        <v>-147739.33692500001</v>
      </c>
      <c r="O791" s="1243">
        <f>I791+K791+L791+M791+N791</f>
        <v>-2778231.1823209655</v>
      </c>
    </row>
    <row r="792" spans="1:15">
      <c r="A792" s="361">
        <f t="shared" si="136"/>
        <v>27</v>
      </c>
      <c r="B792" s="365">
        <v>382</v>
      </c>
      <c r="C792" s="358" t="s">
        <v>1778</v>
      </c>
      <c r="D792" s="1243">
        <f>G678</f>
        <v>-6324.9100000000017</v>
      </c>
      <c r="E792" s="1243">
        <f>'WPB-2.1.D SMRP'!E297</f>
        <v>7084.41</v>
      </c>
      <c r="F792" s="1243">
        <f>'WPB-2.1.D SMRP'!F297</f>
        <v>-5252.36</v>
      </c>
      <c r="G792" s="1243">
        <f>SUM(D792:F792)</f>
        <v>-4492.8600000000015</v>
      </c>
      <c r="H792" s="1243"/>
      <c r="I792" s="1243">
        <f>O678</f>
        <v>-16942.735000000001</v>
      </c>
      <c r="J792" s="1243"/>
      <c r="K792" s="1243">
        <f>'WPB-2.1.D SMRP'!K297</f>
        <v>-7.649</v>
      </c>
      <c r="L792" s="1243">
        <v>0</v>
      </c>
      <c r="M792" s="1243">
        <f>F792</f>
        <v>-5252.36</v>
      </c>
      <c r="N792" s="1243">
        <f>'WPB-2.1.D SMRP'!N297</f>
        <v>0</v>
      </c>
      <c r="O792" s="1243">
        <f>I792+K792+L792+M792+N792</f>
        <v>-22202.744000000002</v>
      </c>
    </row>
    <row r="793" spans="1:15">
      <c r="A793" s="361">
        <f t="shared" si="136"/>
        <v>28</v>
      </c>
      <c r="B793" s="365">
        <v>383</v>
      </c>
      <c r="C793" s="358" t="s">
        <v>1779</v>
      </c>
      <c r="D793" s="1244">
        <f>G679</f>
        <v>-1322.69</v>
      </c>
      <c r="E793" s="1244">
        <f>'WPB-2.1.D SMRP'!E298</f>
        <v>0</v>
      </c>
      <c r="F793" s="1244">
        <f>'WPB-2.1.D SMRP'!F298</f>
        <v>-3043.2999999999997</v>
      </c>
      <c r="G793" s="1244">
        <f>SUM(D793:F793)</f>
        <v>-4365.99</v>
      </c>
      <c r="H793" s="1243"/>
      <c r="I793" s="1244">
        <f>O679</f>
        <v>-1328.76</v>
      </c>
      <c r="J793" s="1243"/>
      <c r="K793" s="1244">
        <f>'WPB-2.1.D SMRP'!K298</f>
        <v>-4.46</v>
      </c>
      <c r="L793" s="1244">
        <v>0</v>
      </c>
      <c r="M793" s="1244">
        <f>F793</f>
        <v>-3043.2999999999997</v>
      </c>
      <c r="N793" s="1244">
        <f>'WPB-2.1.D SMRP'!N298</f>
        <v>0</v>
      </c>
      <c r="O793" s="1244">
        <f>I793+K793+L793+M793+N793</f>
        <v>-4376.5199999999995</v>
      </c>
    </row>
    <row r="794" spans="1:15">
      <c r="A794" s="361">
        <f t="shared" si="136"/>
        <v>29</v>
      </c>
      <c r="C794" s="358" t="s">
        <v>1783</v>
      </c>
      <c r="D794" s="1243">
        <f>SUM(D789:D793)</f>
        <v>17374001.504184235</v>
      </c>
      <c r="E794" s="1243">
        <f>SUM(E789:E793)</f>
        <v>4077367.95</v>
      </c>
      <c r="F794" s="1243">
        <f>SUM(F789:F793)</f>
        <v>-330385.41526519955</v>
      </c>
      <c r="G794" s="1243">
        <f>SUM(G789:G793)</f>
        <v>21120984.038919039</v>
      </c>
      <c r="H794" s="1243"/>
      <c r="I794" s="1243">
        <f>SUM(I789:I793)</f>
        <v>-2586872.6681307652</v>
      </c>
      <c r="J794" s="1243"/>
      <c r="K794" s="1243">
        <f>SUM(K789:K793)</f>
        <v>37801.226000000002</v>
      </c>
      <c r="L794" s="1243">
        <f>SUM(L789:L793)</f>
        <v>0</v>
      </c>
      <c r="M794" s="1243">
        <f>SUM(M789:M793)</f>
        <v>-330385.41526519955</v>
      </c>
      <c r="N794" s="1243">
        <f>SUM(N789:N793)</f>
        <v>-159293.11692500001</v>
      </c>
      <c r="O794" s="1243">
        <f>SUM(O789:O793)</f>
        <v>-3038749.9743209654</v>
      </c>
    </row>
    <row r="795" spans="1:15">
      <c r="A795" s="361"/>
      <c r="D795" s="1243"/>
      <c r="E795" s="1243"/>
      <c r="F795" s="1243"/>
      <c r="G795" s="1243"/>
      <c r="H795" s="1243"/>
      <c r="I795" s="1243"/>
      <c r="J795" s="1243"/>
      <c r="K795" s="1243"/>
      <c r="L795" s="1243"/>
      <c r="M795" s="1243"/>
      <c r="N795" s="1243"/>
      <c r="O795" s="1243"/>
    </row>
    <row r="796" spans="1:15" ht="13.5" thickBot="1">
      <c r="A796" s="361">
        <f>A794+1</f>
        <v>30</v>
      </c>
      <c r="C796" s="358" t="s">
        <v>447</v>
      </c>
      <c r="D796" s="1248">
        <f>D785+D794</f>
        <v>744845912.59000015</v>
      </c>
      <c r="E796" s="1248">
        <f>E785+E794</f>
        <v>5539110.2800000003</v>
      </c>
      <c r="F796" s="1248">
        <f>F785+F794</f>
        <v>-637118.43999999994</v>
      </c>
      <c r="G796" s="1248">
        <f>G785+G794</f>
        <v>749747904.43000019</v>
      </c>
      <c r="H796" s="1243"/>
      <c r="I796" s="1248">
        <f>I785+I794</f>
        <v>162443558.56999999</v>
      </c>
      <c r="J796" s="1243"/>
      <c r="K796" s="1248">
        <f>K785+K794</f>
        <v>1806416.6299999994</v>
      </c>
      <c r="L796" s="1248">
        <f>L785+L794</f>
        <v>0</v>
      </c>
      <c r="M796" s="1248">
        <f>M785+M794</f>
        <v>-637118.43999999994</v>
      </c>
      <c r="N796" s="1248">
        <f>N785+N794</f>
        <v>-521765.53</v>
      </c>
      <c r="O796" s="1248">
        <f>O785+O794</f>
        <v>163091091.22999993</v>
      </c>
    </row>
    <row r="797" spans="1:15" ht="13.5" thickTop="1"/>
    <row r="799" spans="1:15" s="291" customFormat="1">
      <c r="A799" s="1308" t="str">
        <f>$A$1</f>
        <v>COLUMBIA GAS OF KENTUCKY, INC.</v>
      </c>
      <c r="B799" s="1308"/>
      <c r="C799" s="1308"/>
      <c r="D799" s="1308"/>
      <c r="E799" s="1308"/>
      <c r="F799" s="1308"/>
      <c r="G799" s="1308"/>
      <c r="H799" s="1308"/>
      <c r="I799" s="1308"/>
      <c r="J799" s="1308"/>
      <c r="K799" s="1308"/>
      <c r="L799" s="1308"/>
      <c r="M799" s="1308"/>
      <c r="N799" s="1308"/>
      <c r="O799" s="1308"/>
    </row>
    <row r="800" spans="1:15" s="291" customFormat="1">
      <c r="A800" s="1308" t="str">
        <f>$A$2</f>
        <v>CASE NO. 2024 - 00092</v>
      </c>
      <c r="B800" s="1308"/>
      <c r="C800" s="1308"/>
      <c r="D800" s="1308"/>
      <c r="E800" s="1308"/>
      <c r="F800" s="1308"/>
      <c r="G800" s="1308"/>
      <c r="H800" s="1308"/>
      <c r="I800" s="1308"/>
      <c r="J800" s="1308"/>
      <c r="K800" s="1308"/>
      <c r="L800" s="1308"/>
      <c r="M800" s="1308"/>
      <c r="N800" s="1308"/>
      <c r="O800" s="1308"/>
    </row>
    <row r="801" spans="1:16" s="291" customFormat="1">
      <c r="A801" s="1308" t="str">
        <f>$A$3</f>
        <v>DETAIL OF ACTUAL &amp; FORECASTED PLANT, ACCUMULATED RESERVE &amp; DEPRECIATION EXPENSE</v>
      </c>
      <c r="B801" s="1308"/>
      <c r="C801" s="1308"/>
      <c r="D801" s="1308"/>
      <c r="E801" s="1308"/>
      <c r="F801" s="1308"/>
      <c r="G801" s="1308"/>
      <c r="H801" s="1308"/>
      <c r="I801" s="1308"/>
      <c r="J801" s="1308"/>
      <c r="K801" s="1308"/>
      <c r="L801" s="1308"/>
      <c r="M801" s="1308"/>
      <c r="N801" s="1308"/>
      <c r="O801" s="1308"/>
      <c r="P801" s="357"/>
    </row>
    <row r="802" spans="1:16" s="291" customFormat="1">
      <c r="A802" s="1308" t="str">
        <f>$A$4</f>
        <v>FROM JANUARY 01, 2023 THROUGH DECEMBER 31, 2025</v>
      </c>
      <c r="B802" s="1308"/>
      <c r="C802" s="1308"/>
      <c r="D802" s="1308"/>
      <c r="E802" s="1308"/>
      <c r="F802" s="1308"/>
      <c r="G802" s="1308"/>
      <c r="H802" s="1308"/>
      <c r="I802" s="1308"/>
      <c r="J802" s="1308"/>
      <c r="K802" s="1308"/>
      <c r="L802" s="1308"/>
      <c r="M802" s="1308"/>
      <c r="N802" s="1308"/>
      <c r="O802" s="1308"/>
    </row>
    <row r="803" spans="1:16" s="291" customFormat="1">
      <c r="B803" s="293"/>
      <c r="P803" s="312"/>
    </row>
    <row r="804" spans="1:16" s="291" customFormat="1">
      <c r="A804" s="297" t="str">
        <f>$A$6</f>
        <v xml:space="preserve">DATA: _X_ BASE PERIOD _X_ FORECASTED PERIOD     </v>
      </c>
      <c r="B804" s="293"/>
      <c r="O804" s="312" t="str">
        <f>$O$6</f>
        <v>WPB-2.1.C</v>
      </c>
      <c r="P804" s="312"/>
    </row>
    <row r="805" spans="1:16" s="291" customFormat="1">
      <c r="A805" s="297" t="str">
        <f>$A$7</f>
        <v>TYPE OF FILING:___X___ORIGINAL______UPDATED</v>
      </c>
      <c r="B805" s="293"/>
      <c r="O805" s="312" t="s">
        <v>2208</v>
      </c>
      <c r="P805" s="312"/>
    </row>
    <row r="806" spans="1:16" s="291" customFormat="1">
      <c r="A806" s="297" t="str">
        <f>$A$8</f>
        <v>WORKPAPER REFERENCE NO(S).:</v>
      </c>
      <c r="B806" s="293"/>
      <c r="O806" s="312" t="str">
        <f>$O$8</f>
        <v>WITNESS: GORE</v>
      </c>
    </row>
    <row r="807" spans="1:16">
      <c r="A807" s="918"/>
      <c r="B807" s="919"/>
      <c r="C807" s="918"/>
      <c r="D807" s="918"/>
      <c r="E807" s="918"/>
      <c r="F807" s="918"/>
      <c r="G807" s="918"/>
      <c r="H807" s="918"/>
      <c r="I807" s="918"/>
      <c r="J807" s="918"/>
      <c r="K807" s="918"/>
      <c r="L807" s="918"/>
      <c r="M807" s="918"/>
      <c r="N807" s="918"/>
      <c r="O807" s="920"/>
    </row>
    <row r="808" spans="1:16">
      <c r="D808" s="1311" t="s">
        <v>1768</v>
      </c>
      <c r="E808" s="1311"/>
      <c r="F808" s="1311"/>
      <c r="G808" s="1311"/>
      <c r="I808" s="1311" t="s">
        <v>1769</v>
      </c>
      <c r="J808" s="1311"/>
      <c r="K808" s="1311"/>
      <c r="L808" s="1311"/>
      <c r="M808" s="1311"/>
      <c r="N808" s="1311"/>
      <c r="O808" s="1311"/>
    </row>
    <row r="809" spans="1:16">
      <c r="D809" s="360">
        <f>G754+1</f>
        <v>45139</v>
      </c>
      <c r="G809" s="360">
        <f>D809+30</f>
        <v>45169</v>
      </c>
      <c r="I809" s="360">
        <f>D809</f>
        <v>45139</v>
      </c>
      <c r="O809" s="360">
        <f>G809</f>
        <v>45169</v>
      </c>
    </row>
    <row r="810" spans="1:16">
      <c r="D810" s="361" t="s">
        <v>1757</v>
      </c>
      <c r="G810" s="361" t="s">
        <v>1757</v>
      </c>
      <c r="I810" s="361" t="s">
        <v>1758</v>
      </c>
      <c r="J810" s="361" t="s">
        <v>488</v>
      </c>
      <c r="L810" s="361" t="s">
        <v>1758</v>
      </c>
      <c r="O810" s="361" t="s">
        <v>1758</v>
      </c>
    </row>
    <row r="811" spans="1:16">
      <c r="A811" s="361" t="s">
        <v>1770</v>
      </c>
      <c r="B811" s="361" t="s">
        <v>368</v>
      </c>
      <c r="C811" s="361"/>
      <c r="D811" s="361" t="s">
        <v>437</v>
      </c>
      <c r="G811" s="361" t="s">
        <v>439</v>
      </c>
      <c r="I811" s="361" t="s">
        <v>437</v>
      </c>
      <c r="J811" s="361" t="s">
        <v>1771</v>
      </c>
      <c r="K811" s="361" t="s">
        <v>1772</v>
      </c>
      <c r="L811" s="361" t="s">
        <v>1759</v>
      </c>
      <c r="N811" s="361" t="s">
        <v>1760</v>
      </c>
      <c r="O811" s="361" t="s">
        <v>439</v>
      </c>
    </row>
    <row r="812" spans="1:16">
      <c r="A812" s="364" t="s">
        <v>316</v>
      </c>
      <c r="B812" s="364" t="s">
        <v>316</v>
      </c>
      <c r="C812" s="364" t="s">
        <v>451</v>
      </c>
      <c r="D812" s="364" t="s">
        <v>441</v>
      </c>
      <c r="E812" s="364" t="s">
        <v>442</v>
      </c>
      <c r="F812" s="364" t="s">
        <v>443</v>
      </c>
      <c r="G812" s="364" t="s">
        <v>441</v>
      </c>
      <c r="I812" s="364" t="s">
        <v>441</v>
      </c>
      <c r="J812" s="364" t="s">
        <v>1773</v>
      </c>
      <c r="K812" s="364" t="s">
        <v>1771</v>
      </c>
      <c r="L812" s="364" t="s">
        <v>355</v>
      </c>
      <c r="M812" s="364" t="s">
        <v>443</v>
      </c>
      <c r="N812" s="364" t="s">
        <v>1763</v>
      </c>
      <c r="O812" s="364" t="s">
        <v>441</v>
      </c>
    </row>
    <row r="813" spans="1:16">
      <c r="D813" s="361" t="s">
        <v>532</v>
      </c>
      <c r="E813" s="361" t="s">
        <v>541</v>
      </c>
      <c r="F813" s="361" t="s">
        <v>542</v>
      </c>
      <c r="G813" s="361" t="s">
        <v>1764</v>
      </c>
      <c r="I813" s="334" t="str">
        <f>"(5)"</f>
        <v>(5)</v>
      </c>
      <c r="J813" s="334" t="str">
        <f>"(6)"</f>
        <v>(6)</v>
      </c>
      <c r="K813" s="334" t="str">
        <f>"(7)"</f>
        <v>(7)</v>
      </c>
      <c r="L813" s="334" t="str">
        <f>"(8)"</f>
        <v>(8)</v>
      </c>
      <c r="M813" s="334" t="str">
        <f>"(9)"</f>
        <v>(9)</v>
      </c>
      <c r="N813" s="334" t="str">
        <f>"(10)"</f>
        <v>(10)</v>
      </c>
      <c r="O813" s="334" t="str">
        <f>"(11=5+7+8+9+10)"</f>
        <v>(11=5+7+8+9+10)</v>
      </c>
    </row>
    <row r="814" spans="1:16">
      <c r="D814" s="361" t="s">
        <v>320</v>
      </c>
      <c r="E814" s="361" t="s">
        <v>320</v>
      </c>
      <c r="F814" s="361" t="s">
        <v>320</v>
      </c>
      <c r="G814" s="361" t="s">
        <v>320</v>
      </c>
      <c r="I814" s="334" t="s">
        <v>320</v>
      </c>
      <c r="J814" s="334" t="s">
        <v>529</v>
      </c>
      <c r="K814" s="334" t="s">
        <v>320</v>
      </c>
      <c r="L814" s="334" t="s">
        <v>320</v>
      </c>
      <c r="M814" s="334" t="s">
        <v>320</v>
      </c>
      <c r="N814" s="334" t="s">
        <v>320</v>
      </c>
      <c r="O814" s="334" t="s">
        <v>320</v>
      </c>
    </row>
    <row r="815" spans="1:16">
      <c r="A815" s="361">
        <v>1</v>
      </c>
      <c r="B815" s="362" t="s">
        <v>373</v>
      </c>
      <c r="D815" s="361"/>
      <c r="E815" s="361"/>
      <c r="F815" s="361"/>
      <c r="G815" s="361"/>
      <c r="I815" s="334"/>
      <c r="J815" s="334"/>
      <c r="K815" s="334"/>
      <c r="L815" s="334"/>
      <c r="M815" s="334"/>
      <c r="N815" s="334"/>
      <c r="O815" s="334"/>
    </row>
    <row r="816" spans="1:16">
      <c r="A816" s="361">
        <f>A815+1</f>
        <v>2</v>
      </c>
      <c r="B816" s="365">
        <v>301</v>
      </c>
      <c r="C816" s="358" t="s">
        <v>374</v>
      </c>
      <c r="D816" s="1243">
        <f t="shared" ref="D816:D821" si="137">G702</f>
        <v>521.20000000000005</v>
      </c>
      <c r="E816" s="1243">
        <v>0</v>
      </c>
      <c r="F816" s="1243">
        <v>0</v>
      </c>
      <c r="G816" s="1243">
        <f t="shared" ref="G816:G821" si="138">SUM(D816:F816)</f>
        <v>521.20000000000005</v>
      </c>
      <c r="H816" s="1243"/>
      <c r="I816" s="1243">
        <f t="shared" ref="I816:I821" si="139">O702</f>
        <v>0</v>
      </c>
      <c r="J816" s="1243"/>
      <c r="K816" s="1243">
        <v>0</v>
      </c>
      <c r="L816" s="1243">
        <v>0</v>
      </c>
      <c r="M816" s="1243">
        <f t="shared" ref="M816:M821" si="140">F816</f>
        <v>0</v>
      </c>
      <c r="N816" s="1243">
        <v>0</v>
      </c>
      <c r="O816" s="1243">
        <f t="shared" ref="O816:O821" si="141">I816+K816+L816+M816+N816</f>
        <v>0</v>
      </c>
    </row>
    <row r="817" spans="1:15">
      <c r="A817" s="361">
        <f t="shared" ref="A817:A822" si="142">A816+1</f>
        <v>3</v>
      </c>
      <c r="B817" s="365">
        <v>303</v>
      </c>
      <c r="C817" s="358" t="s">
        <v>375</v>
      </c>
      <c r="D817" s="1243">
        <f t="shared" si="137"/>
        <v>96334.51</v>
      </c>
      <c r="E817" s="1243">
        <v>0</v>
      </c>
      <c r="F817" s="1243">
        <v>0</v>
      </c>
      <c r="G817" s="1243">
        <f t="shared" si="138"/>
        <v>96334.51</v>
      </c>
      <c r="H817" s="1243"/>
      <c r="I817" s="1243">
        <f t="shared" si="139"/>
        <v>77524.420000000027</v>
      </c>
      <c r="J817" s="1243"/>
      <c r="K817" s="1243">
        <v>267.61</v>
      </c>
      <c r="L817" s="1243">
        <v>0</v>
      </c>
      <c r="M817" s="1243">
        <f t="shared" si="140"/>
        <v>0</v>
      </c>
      <c r="N817" s="1243">
        <v>0</v>
      </c>
      <c r="O817" s="1243">
        <f t="shared" si="141"/>
        <v>77792.030000000028</v>
      </c>
    </row>
    <row r="818" spans="1:15">
      <c r="A818" s="361">
        <f t="shared" si="142"/>
        <v>4</v>
      </c>
      <c r="B818" s="365">
        <v>303.10000000000002</v>
      </c>
      <c r="C818" s="358" t="s">
        <v>376</v>
      </c>
      <c r="D818" s="1243">
        <f t="shared" si="137"/>
        <v>943.27</v>
      </c>
      <c r="E818" s="1243">
        <v>0</v>
      </c>
      <c r="F818" s="1243">
        <v>0</v>
      </c>
      <c r="G818" s="1243">
        <f t="shared" si="138"/>
        <v>943.27</v>
      </c>
      <c r="H818" s="1243"/>
      <c r="I818" s="1243">
        <f t="shared" si="139"/>
        <v>318.35000000000008</v>
      </c>
      <c r="J818" s="1243"/>
      <c r="K818" s="1243">
        <v>0</v>
      </c>
      <c r="L818" s="1243">
        <v>0</v>
      </c>
      <c r="M818" s="1243">
        <f t="shared" si="140"/>
        <v>0</v>
      </c>
      <c r="N818" s="1243">
        <v>0</v>
      </c>
      <c r="O818" s="1243">
        <f t="shared" si="141"/>
        <v>318.35000000000008</v>
      </c>
    </row>
    <row r="819" spans="1:15">
      <c r="A819" s="361">
        <f t="shared" si="142"/>
        <v>5</v>
      </c>
      <c r="B819" s="365">
        <v>303.2</v>
      </c>
      <c r="C819" s="358" t="s">
        <v>377</v>
      </c>
      <c r="D819" s="1243">
        <f t="shared" si="137"/>
        <v>0</v>
      </c>
      <c r="E819" s="1243">
        <v>0</v>
      </c>
      <c r="F819" s="1243">
        <v>0</v>
      </c>
      <c r="G819" s="1243">
        <f t="shared" si="138"/>
        <v>0</v>
      </c>
      <c r="H819" s="1243"/>
      <c r="I819" s="1243">
        <f t="shared" si="139"/>
        <v>0</v>
      </c>
      <c r="J819" s="1243"/>
      <c r="K819" s="1243">
        <v>0</v>
      </c>
      <c r="L819" s="1243">
        <v>0</v>
      </c>
      <c r="M819" s="1243">
        <f t="shared" si="140"/>
        <v>0</v>
      </c>
      <c r="N819" s="1243">
        <v>0</v>
      </c>
      <c r="O819" s="1243">
        <f t="shared" si="141"/>
        <v>0</v>
      </c>
    </row>
    <row r="820" spans="1:15">
      <c r="A820" s="361">
        <f t="shared" si="142"/>
        <v>6</v>
      </c>
      <c r="B820" s="365">
        <v>303.3</v>
      </c>
      <c r="C820" s="358" t="s">
        <v>378</v>
      </c>
      <c r="D820" s="1243">
        <f t="shared" si="137"/>
        <v>12178181.020000001</v>
      </c>
      <c r="E820" s="1243">
        <v>399046.51</v>
      </c>
      <c r="F820" s="1243">
        <v>0</v>
      </c>
      <c r="G820" s="1243">
        <f t="shared" si="138"/>
        <v>12577227.530000001</v>
      </c>
      <c r="H820" s="1243"/>
      <c r="I820" s="1243">
        <f t="shared" si="139"/>
        <v>6008507.870000002</v>
      </c>
      <c r="J820" s="1243"/>
      <c r="K820" s="1243">
        <v>214238.91</v>
      </c>
      <c r="L820" s="1243">
        <v>0</v>
      </c>
      <c r="M820" s="1243">
        <f t="shared" si="140"/>
        <v>0</v>
      </c>
      <c r="N820" s="1243">
        <v>0</v>
      </c>
      <c r="O820" s="1243">
        <f t="shared" si="141"/>
        <v>6222746.7800000021</v>
      </c>
    </row>
    <row r="821" spans="1:15">
      <c r="A821" s="361">
        <f t="shared" si="142"/>
        <v>7</v>
      </c>
      <c r="B821" s="365">
        <v>303.99</v>
      </c>
      <c r="C821" s="358" t="s">
        <v>1129</v>
      </c>
      <c r="D821" s="1244">
        <f t="shared" si="137"/>
        <v>1893378.6400000001</v>
      </c>
      <c r="E821" s="1244">
        <v>63187.07</v>
      </c>
      <c r="F821" s="1244">
        <v>0</v>
      </c>
      <c r="G821" s="1244">
        <f t="shared" si="138"/>
        <v>1956565.7100000002</v>
      </c>
      <c r="H821" s="1243"/>
      <c r="I821" s="1244">
        <f t="shared" si="139"/>
        <v>868464.66</v>
      </c>
      <c r="J821" s="1243"/>
      <c r="K821" s="1244">
        <v>36321.54</v>
      </c>
      <c r="L821" s="1244">
        <v>0</v>
      </c>
      <c r="M821" s="1244">
        <f t="shared" si="140"/>
        <v>0</v>
      </c>
      <c r="N821" s="1244">
        <v>0</v>
      </c>
      <c r="O821" s="1244">
        <f t="shared" si="141"/>
        <v>904786.20000000007</v>
      </c>
    </row>
    <row r="822" spans="1:15">
      <c r="A822" s="361">
        <f t="shared" si="142"/>
        <v>8</v>
      </c>
      <c r="B822" s="367"/>
      <c r="C822" s="358" t="s">
        <v>379</v>
      </c>
      <c r="D822" s="1243">
        <f>SUM(D816:D821)</f>
        <v>14169358.640000002</v>
      </c>
      <c r="E822" s="1243">
        <f>SUM(E816:E821)</f>
        <v>462233.58</v>
      </c>
      <c r="F822" s="1243">
        <f>SUM(F816:F821)</f>
        <v>0</v>
      </c>
      <c r="G822" s="1243">
        <f>SUM(G816:G821)</f>
        <v>14631592.220000003</v>
      </c>
      <c r="H822" s="1243"/>
      <c r="I822" s="1243">
        <f>SUM(I816:I821)</f>
        <v>6954815.3000000026</v>
      </c>
      <c r="J822" s="1243"/>
      <c r="K822" s="1243">
        <f>SUM(K816:K821)</f>
        <v>250828.06</v>
      </c>
      <c r="L822" s="1243">
        <f>SUM(L816:L821)</f>
        <v>0</v>
      </c>
      <c r="M822" s="1243">
        <f>SUM(M816:M821)</f>
        <v>0</v>
      </c>
      <c r="N822" s="1243">
        <f>SUM(N816:N821)</f>
        <v>0</v>
      </c>
      <c r="O822" s="1243">
        <f>SUM(O816:O821)</f>
        <v>7205643.3600000022</v>
      </c>
    </row>
    <row r="823" spans="1:15">
      <c r="A823" s="361"/>
      <c r="B823" s="367"/>
      <c r="C823" s="368"/>
      <c r="D823" s="1243"/>
      <c r="E823" s="1243"/>
      <c r="F823" s="1243"/>
      <c r="G823" s="1243"/>
      <c r="H823" s="1243"/>
      <c r="I823" s="1243"/>
      <c r="J823" s="1243"/>
      <c r="K823" s="1243"/>
      <c r="L823" s="1243"/>
      <c r="M823" s="1243"/>
      <c r="N823" s="1243"/>
      <c r="O823" s="1243"/>
    </row>
    <row r="824" spans="1:15">
      <c r="A824" s="361">
        <f>A822+1</f>
        <v>9</v>
      </c>
      <c r="B824" s="362" t="s">
        <v>1600</v>
      </c>
      <c r="C824" s="368"/>
      <c r="D824" s="1243"/>
      <c r="E824" s="1243"/>
      <c r="F824" s="1243"/>
      <c r="G824" s="1243"/>
      <c r="H824" s="1243"/>
      <c r="I824" s="1243"/>
      <c r="J824" s="1243"/>
      <c r="K824" s="1243"/>
      <c r="L824" s="1243"/>
      <c r="M824" s="1243"/>
      <c r="N824" s="1243"/>
      <c r="O824" s="1243"/>
    </row>
    <row r="825" spans="1:15">
      <c r="A825" s="361">
        <f t="shared" ref="A825:A855" si="143">A824+1</f>
        <v>10</v>
      </c>
      <c r="B825" s="365">
        <v>374.1</v>
      </c>
      <c r="C825" s="358" t="s">
        <v>382</v>
      </c>
      <c r="D825" s="1243">
        <f t="shared" ref="D825:D854" si="144">G711</f>
        <v>206</v>
      </c>
      <c r="E825" s="1243">
        <v>0</v>
      </c>
      <c r="F825" s="1243">
        <v>0</v>
      </c>
      <c r="G825" s="1243">
        <f>SUM(D825:F825)</f>
        <v>206</v>
      </c>
      <c r="H825" s="1243"/>
      <c r="I825" s="1243">
        <f t="shared" ref="I825:I854" si="145">O711</f>
        <v>0</v>
      </c>
      <c r="J825" s="1243"/>
      <c r="K825" s="1243">
        <v>0</v>
      </c>
      <c r="L825" s="1243">
        <v>0</v>
      </c>
      <c r="M825" s="1243">
        <f t="shared" ref="M825:M854" si="146">F825</f>
        <v>0</v>
      </c>
      <c r="N825" s="1243">
        <v>0</v>
      </c>
      <c r="O825" s="1243">
        <f t="shared" ref="O825:O854" si="147">I825+K825+L825+M825+N825</f>
        <v>0</v>
      </c>
    </row>
    <row r="826" spans="1:15">
      <c r="A826" s="361">
        <f t="shared" si="143"/>
        <v>11</v>
      </c>
      <c r="B826" s="365">
        <v>374.2</v>
      </c>
      <c r="C826" s="358" t="s">
        <v>383</v>
      </c>
      <c r="D826" s="1243">
        <f t="shared" si="144"/>
        <v>876986.66</v>
      </c>
      <c r="E826" s="1243">
        <v>0</v>
      </c>
      <c r="F826" s="1243">
        <v>0</v>
      </c>
      <c r="G826" s="1243">
        <f t="shared" ref="G826:G854" si="148">SUM(D826:F826)</f>
        <v>876986.66</v>
      </c>
      <c r="H826" s="1243"/>
      <c r="I826" s="1243">
        <f t="shared" si="145"/>
        <v>-522.25</v>
      </c>
      <c r="J826" s="1243"/>
      <c r="K826" s="1243">
        <v>0</v>
      </c>
      <c r="L826" s="1243">
        <v>0</v>
      </c>
      <c r="M826" s="1243">
        <f t="shared" si="146"/>
        <v>0</v>
      </c>
      <c r="N826" s="1243">
        <v>0</v>
      </c>
      <c r="O826" s="1243">
        <f t="shared" si="147"/>
        <v>-522.25</v>
      </c>
    </row>
    <row r="827" spans="1:15">
      <c r="A827" s="361">
        <f t="shared" si="143"/>
        <v>12</v>
      </c>
      <c r="B827" s="365">
        <v>374.4</v>
      </c>
      <c r="C827" s="358" t="s">
        <v>384</v>
      </c>
      <c r="D827" s="1243">
        <f t="shared" si="144"/>
        <v>2859555.58</v>
      </c>
      <c r="E827" s="1243">
        <v>1552.6000000000001</v>
      </c>
      <c r="F827" s="1243">
        <v>0</v>
      </c>
      <c r="G827" s="1243">
        <f t="shared" si="148"/>
        <v>2861108.18</v>
      </c>
      <c r="H827" s="1243"/>
      <c r="I827" s="1243">
        <f t="shared" si="145"/>
        <v>353584.87</v>
      </c>
      <c r="J827" s="1243"/>
      <c r="K827" s="1243">
        <v>3027.18</v>
      </c>
      <c r="L827" s="1243">
        <v>0</v>
      </c>
      <c r="M827" s="1243">
        <f t="shared" si="146"/>
        <v>0</v>
      </c>
      <c r="N827" s="1243">
        <v>0</v>
      </c>
      <c r="O827" s="1243">
        <f t="shared" si="147"/>
        <v>356612.05</v>
      </c>
    </row>
    <row r="828" spans="1:15">
      <c r="A828" s="361">
        <f t="shared" si="143"/>
        <v>13</v>
      </c>
      <c r="B828" s="365">
        <v>374.5</v>
      </c>
      <c r="C828" s="358" t="s">
        <v>385</v>
      </c>
      <c r="D828" s="1243">
        <f t="shared" si="144"/>
        <v>2666577.16</v>
      </c>
      <c r="E828" s="1243">
        <v>0</v>
      </c>
      <c r="F828" s="1243">
        <v>0</v>
      </c>
      <c r="G828" s="1243">
        <f t="shared" si="148"/>
        <v>2666577.16</v>
      </c>
      <c r="H828" s="1243"/>
      <c r="I828" s="1243">
        <f t="shared" si="145"/>
        <v>1144077.6700000006</v>
      </c>
      <c r="J828" s="1243"/>
      <c r="K828" s="1243">
        <v>2444.36</v>
      </c>
      <c r="L828" s="1243">
        <v>0</v>
      </c>
      <c r="M828" s="1243">
        <f t="shared" si="146"/>
        <v>0</v>
      </c>
      <c r="N828" s="1243">
        <v>0</v>
      </c>
      <c r="O828" s="1243">
        <f t="shared" si="147"/>
        <v>1146522.0300000007</v>
      </c>
    </row>
    <row r="829" spans="1:15">
      <c r="A829" s="361">
        <f t="shared" si="143"/>
        <v>14</v>
      </c>
      <c r="B829" s="365">
        <v>375.2</v>
      </c>
      <c r="C829" s="358" t="s">
        <v>386</v>
      </c>
      <c r="D829" s="1243">
        <f t="shared" si="144"/>
        <v>2124.98</v>
      </c>
      <c r="E829" s="1243">
        <v>0</v>
      </c>
      <c r="F829" s="1243">
        <v>0</v>
      </c>
      <c r="G829" s="1243">
        <f t="shared" si="148"/>
        <v>2124.98</v>
      </c>
      <c r="H829" s="1243"/>
      <c r="I829" s="1243">
        <f t="shared" si="145"/>
        <v>2058.19</v>
      </c>
      <c r="J829" s="1243"/>
      <c r="K829" s="1243">
        <v>0.73</v>
      </c>
      <c r="L829" s="1243">
        <v>0</v>
      </c>
      <c r="M829" s="1243">
        <f t="shared" si="146"/>
        <v>0</v>
      </c>
      <c r="N829" s="1243">
        <v>0</v>
      </c>
      <c r="O829" s="1243">
        <f t="shared" si="147"/>
        <v>2058.92</v>
      </c>
    </row>
    <row r="830" spans="1:15">
      <c r="A830" s="361">
        <f t="shared" si="143"/>
        <v>15</v>
      </c>
      <c r="B830" s="365">
        <v>375.3</v>
      </c>
      <c r="C830" s="358" t="s">
        <v>387</v>
      </c>
      <c r="D830" s="1243">
        <f t="shared" si="144"/>
        <v>0</v>
      </c>
      <c r="E830" s="1243">
        <v>0</v>
      </c>
      <c r="F830" s="1243">
        <v>0</v>
      </c>
      <c r="G830" s="1243">
        <f t="shared" si="148"/>
        <v>0</v>
      </c>
      <c r="H830" s="1243"/>
      <c r="I830" s="1243">
        <f t="shared" si="145"/>
        <v>-77.66</v>
      </c>
      <c r="J830" s="1243"/>
      <c r="K830" s="1243">
        <v>0</v>
      </c>
      <c r="L830" s="1243">
        <v>0</v>
      </c>
      <c r="M830" s="1243">
        <f t="shared" si="146"/>
        <v>0</v>
      </c>
      <c r="N830" s="1243">
        <v>0</v>
      </c>
      <c r="O830" s="1243">
        <f t="shared" si="147"/>
        <v>-77.66</v>
      </c>
    </row>
    <row r="831" spans="1:15">
      <c r="A831" s="361">
        <f t="shared" si="143"/>
        <v>16</v>
      </c>
      <c r="B831" s="365">
        <v>375.4</v>
      </c>
      <c r="C831" s="358" t="s">
        <v>388</v>
      </c>
      <c r="D831" s="1243">
        <f t="shared" si="144"/>
        <v>2987096.9299999992</v>
      </c>
      <c r="E831" s="1243">
        <v>0</v>
      </c>
      <c r="F831" s="1243">
        <v>0</v>
      </c>
      <c r="G831" s="1243">
        <f t="shared" si="148"/>
        <v>2987096.9299999992</v>
      </c>
      <c r="H831" s="1243"/>
      <c r="I831" s="1243">
        <f t="shared" si="145"/>
        <v>581033.14</v>
      </c>
      <c r="J831" s="1243"/>
      <c r="K831" s="1243">
        <v>5401.66</v>
      </c>
      <c r="L831" s="1243">
        <v>0</v>
      </c>
      <c r="M831" s="1243">
        <f t="shared" si="146"/>
        <v>0</v>
      </c>
      <c r="N831" s="1243">
        <v>0</v>
      </c>
      <c r="O831" s="1243">
        <f t="shared" si="147"/>
        <v>586434.80000000005</v>
      </c>
    </row>
    <row r="832" spans="1:15">
      <c r="A832" s="361">
        <f t="shared" si="143"/>
        <v>17</v>
      </c>
      <c r="B832" s="365">
        <v>375.6</v>
      </c>
      <c r="C832" s="358" t="s">
        <v>389</v>
      </c>
      <c r="D832" s="1243">
        <f t="shared" si="144"/>
        <v>0</v>
      </c>
      <c r="E832" s="1243">
        <v>0</v>
      </c>
      <c r="F832" s="1243">
        <v>0</v>
      </c>
      <c r="G832" s="1243">
        <f t="shared" si="148"/>
        <v>0</v>
      </c>
      <c r="H832" s="1243"/>
      <c r="I832" s="1243">
        <f t="shared" si="145"/>
        <v>0.02</v>
      </c>
      <c r="J832" s="1243"/>
      <c r="K832" s="1243">
        <v>0</v>
      </c>
      <c r="L832" s="1243">
        <v>0</v>
      </c>
      <c r="M832" s="1243">
        <f t="shared" si="146"/>
        <v>0</v>
      </c>
      <c r="N832" s="1243">
        <v>0</v>
      </c>
      <c r="O832" s="1243">
        <f t="shared" si="147"/>
        <v>0.02</v>
      </c>
    </row>
    <row r="833" spans="1:15">
      <c r="A833" s="361">
        <f t="shared" si="143"/>
        <v>18</v>
      </c>
      <c r="B833" s="365">
        <v>375.7</v>
      </c>
      <c r="C833" s="358" t="s">
        <v>390</v>
      </c>
      <c r="D833" s="1243">
        <f t="shared" si="144"/>
        <v>9087011</v>
      </c>
      <c r="E833" s="1243">
        <v>336405.19</v>
      </c>
      <c r="F833" s="1243">
        <v>0</v>
      </c>
      <c r="G833" s="1243">
        <f t="shared" si="148"/>
        <v>9423416.1899999995</v>
      </c>
      <c r="H833" s="1243"/>
      <c r="I833" s="1243">
        <f t="shared" si="145"/>
        <v>4604839.8299999982</v>
      </c>
      <c r="J833" s="1243"/>
      <c r="K833" s="1243">
        <v>18047.670000000002</v>
      </c>
      <c r="L833" s="1243">
        <v>0</v>
      </c>
      <c r="M833" s="1243">
        <f t="shared" si="146"/>
        <v>0</v>
      </c>
      <c r="N833" s="1243">
        <v>0</v>
      </c>
      <c r="O833" s="1243">
        <f t="shared" si="147"/>
        <v>4622887.4999999981</v>
      </c>
    </row>
    <row r="834" spans="1:15">
      <c r="A834" s="361">
        <f t="shared" si="143"/>
        <v>19</v>
      </c>
      <c r="B834" s="365">
        <v>375.71</v>
      </c>
      <c r="C834" s="358" t="s">
        <v>391</v>
      </c>
      <c r="D834" s="1243">
        <f t="shared" si="144"/>
        <v>880994.59</v>
      </c>
      <c r="E834" s="1243">
        <v>0</v>
      </c>
      <c r="F834" s="1243">
        <v>0</v>
      </c>
      <c r="G834" s="1243">
        <f t="shared" si="148"/>
        <v>880994.59</v>
      </c>
      <c r="H834" s="1243"/>
      <c r="I834" s="1243">
        <f t="shared" si="145"/>
        <v>733073.94000000018</v>
      </c>
      <c r="J834" s="1243"/>
      <c r="K834" s="1243">
        <v>6915.05</v>
      </c>
      <c r="L834" s="1243">
        <v>0</v>
      </c>
      <c r="M834" s="1243">
        <f t="shared" si="146"/>
        <v>0</v>
      </c>
      <c r="N834" s="1243">
        <v>0</v>
      </c>
      <c r="O834" s="1243">
        <f t="shared" si="147"/>
        <v>739988.99000000022</v>
      </c>
    </row>
    <row r="835" spans="1:15">
      <c r="A835" s="361">
        <f t="shared" si="143"/>
        <v>20</v>
      </c>
      <c r="B835" s="365">
        <v>375.8</v>
      </c>
      <c r="C835" s="358" t="s">
        <v>392</v>
      </c>
      <c r="D835" s="1243">
        <f t="shared" si="144"/>
        <v>132125.04</v>
      </c>
      <c r="E835" s="1243">
        <v>0</v>
      </c>
      <c r="F835" s="1243">
        <v>0</v>
      </c>
      <c r="G835" s="1243">
        <f t="shared" si="148"/>
        <v>132125.04</v>
      </c>
      <c r="H835" s="1243"/>
      <c r="I835" s="1243">
        <f t="shared" si="145"/>
        <v>7898.18</v>
      </c>
      <c r="J835" s="1243"/>
      <c r="K835" s="1243">
        <v>585.75</v>
      </c>
      <c r="L835" s="1243">
        <v>0</v>
      </c>
      <c r="M835" s="1243">
        <f t="shared" si="146"/>
        <v>0</v>
      </c>
      <c r="N835" s="1243">
        <v>0</v>
      </c>
      <c r="O835" s="1243">
        <f t="shared" si="147"/>
        <v>8483.93</v>
      </c>
    </row>
    <row r="836" spans="1:15">
      <c r="A836" s="361">
        <f t="shared" si="143"/>
        <v>21</v>
      </c>
      <c r="B836" s="365">
        <v>376</v>
      </c>
      <c r="C836" s="358" t="s">
        <v>1621</v>
      </c>
      <c r="D836" s="1243">
        <f t="shared" si="144"/>
        <v>404522125.93000001</v>
      </c>
      <c r="E836" s="1243">
        <f>'WPB-2.1.D SMRP'!E349</f>
        <v>387330.83999999962</v>
      </c>
      <c r="F836" s="1243">
        <f>'WPB-2.1.D SMRP'!F349</f>
        <v>-18638.41</v>
      </c>
      <c r="G836" s="1243">
        <f t="shared" si="148"/>
        <v>404890818.35999995</v>
      </c>
      <c r="H836" s="1243"/>
      <c r="I836" s="1243">
        <f t="shared" si="145"/>
        <v>77904257.248999998</v>
      </c>
      <c r="J836" s="1243"/>
      <c r="K836" s="1243">
        <f>'WPB-2.1.D SMRP'!K349</f>
        <v>583315.93700000003</v>
      </c>
      <c r="L836" s="1243">
        <v>0</v>
      </c>
      <c r="M836" s="1243">
        <f>F836</f>
        <v>-18638.41</v>
      </c>
      <c r="N836" s="1243">
        <f>'WPB-2.1.D SMRP'!N349</f>
        <v>-8437.94</v>
      </c>
      <c r="O836" s="1243">
        <f t="shared" si="147"/>
        <v>78460496.83600001</v>
      </c>
    </row>
    <row r="837" spans="1:15">
      <c r="A837" s="361">
        <f t="shared" si="143"/>
        <v>22</v>
      </c>
      <c r="B837" s="365">
        <v>378.1</v>
      </c>
      <c r="C837" s="358" t="s">
        <v>394</v>
      </c>
      <c r="D837" s="1243">
        <f t="shared" si="144"/>
        <v>572921.92000000004</v>
      </c>
      <c r="E837" s="1243">
        <v>0</v>
      </c>
      <c r="F837" s="1243">
        <v>-1348.69</v>
      </c>
      <c r="G837" s="1243">
        <f t="shared" si="148"/>
        <v>571573.2300000001</v>
      </c>
      <c r="H837" s="1243"/>
      <c r="I837" s="1243">
        <f t="shared" si="145"/>
        <v>409088.23999999993</v>
      </c>
      <c r="J837" s="1243"/>
      <c r="K837" s="1243">
        <v>1033.74</v>
      </c>
      <c r="L837" s="1243">
        <v>0</v>
      </c>
      <c r="M837" s="1243">
        <f t="shared" si="146"/>
        <v>-1348.69</v>
      </c>
      <c r="N837" s="1243">
        <v>-714.85</v>
      </c>
      <c r="O837" s="1243">
        <f t="shared" si="147"/>
        <v>408058.43999999994</v>
      </c>
    </row>
    <row r="838" spans="1:15">
      <c r="A838" s="361">
        <f t="shared" si="143"/>
        <v>23</v>
      </c>
      <c r="B838" s="365">
        <v>378.2</v>
      </c>
      <c r="C838" s="358" t="s">
        <v>1622</v>
      </c>
      <c r="D838" s="1243">
        <f t="shared" si="144"/>
        <v>25282189.030000001</v>
      </c>
      <c r="E838" s="1243">
        <f>'WPB-2.1.D SMRP'!E353</f>
        <v>-7189.3600000000006</v>
      </c>
      <c r="F838" s="1243">
        <f>'WPB-2.1.D SMRP'!F353</f>
        <v>0</v>
      </c>
      <c r="G838" s="1243">
        <f t="shared" si="148"/>
        <v>25274999.670000002</v>
      </c>
      <c r="H838" s="1243"/>
      <c r="I838" s="1243">
        <f t="shared" si="145"/>
        <v>3150982.0189999999</v>
      </c>
      <c r="J838" s="1243"/>
      <c r="K838" s="1243">
        <f>'WPB-2.1.D SMRP'!K353</f>
        <v>53241.754000000001</v>
      </c>
      <c r="L838" s="1243">
        <v>0</v>
      </c>
      <c r="M838" s="1243">
        <f>F838</f>
        <v>0</v>
      </c>
      <c r="N838" s="1243">
        <f>'WPB-2.1.D SMRP'!N353</f>
        <v>-1201.4100000000017</v>
      </c>
      <c r="O838" s="1243">
        <f t="shared" si="147"/>
        <v>3203022.3629999999</v>
      </c>
    </row>
    <row r="839" spans="1:15">
      <c r="A839" s="361">
        <f t="shared" si="143"/>
        <v>24</v>
      </c>
      <c r="B839" s="365">
        <v>378.3</v>
      </c>
      <c r="C839" s="358" t="s">
        <v>396</v>
      </c>
      <c r="D839" s="1243">
        <f t="shared" si="144"/>
        <v>45443.08</v>
      </c>
      <c r="E839" s="1243">
        <v>0</v>
      </c>
      <c r="F839" s="1243">
        <v>0</v>
      </c>
      <c r="G839" s="1243">
        <f t="shared" si="148"/>
        <v>45443.08</v>
      </c>
      <c r="H839" s="1243"/>
      <c r="I839" s="1243">
        <f t="shared" si="145"/>
        <v>42690.310000000005</v>
      </c>
      <c r="J839" s="1243"/>
      <c r="K839" s="1243">
        <v>95.43</v>
      </c>
      <c r="L839" s="1243">
        <v>0</v>
      </c>
      <c r="M839" s="1243">
        <f t="shared" si="146"/>
        <v>0</v>
      </c>
      <c r="N839" s="1243">
        <v>0</v>
      </c>
      <c r="O839" s="1243">
        <f t="shared" si="147"/>
        <v>42785.740000000005</v>
      </c>
    </row>
    <row r="840" spans="1:15">
      <c r="A840" s="361">
        <f t="shared" si="143"/>
        <v>25</v>
      </c>
      <c r="B840" s="365">
        <v>379.1</v>
      </c>
      <c r="C840" s="358" t="s">
        <v>397</v>
      </c>
      <c r="D840" s="1243">
        <f t="shared" si="144"/>
        <v>1554144.06</v>
      </c>
      <c r="E840" s="1243">
        <v>0</v>
      </c>
      <c r="F840" s="1243">
        <v>0</v>
      </c>
      <c r="G840" s="1243">
        <f t="shared" si="148"/>
        <v>1554144.06</v>
      </c>
      <c r="H840" s="1243"/>
      <c r="I840" s="1243">
        <f t="shared" si="145"/>
        <v>335713.86000000004</v>
      </c>
      <c r="J840" s="1243"/>
      <c r="K840" s="1243">
        <v>3134.19</v>
      </c>
      <c r="L840" s="1243">
        <v>0</v>
      </c>
      <c r="M840" s="1243">
        <f t="shared" si="146"/>
        <v>0</v>
      </c>
      <c r="N840" s="1243">
        <v>0</v>
      </c>
      <c r="O840" s="1243">
        <f t="shared" si="147"/>
        <v>338848.05000000005</v>
      </c>
    </row>
    <row r="841" spans="1:15">
      <c r="A841" s="361">
        <f t="shared" si="143"/>
        <v>26</v>
      </c>
      <c r="B841" s="365">
        <v>380</v>
      </c>
      <c r="C841" s="358" t="s">
        <v>1623</v>
      </c>
      <c r="D841" s="1243">
        <f t="shared" si="144"/>
        <v>197253937.04108095</v>
      </c>
      <c r="E841" s="1243">
        <f>'WPB-2.1.D SMRP'!E357</f>
        <v>905408.89999999991</v>
      </c>
      <c r="F841" s="1243">
        <f>'WPB-2.1.D SMRP'!F357</f>
        <v>-33587.485047686641</v>
      </c>
      <c r="G841" s="1243">
        <f t="shared" si="148"/>
        <v>198125758.45603326</v>
      </c>
      <c r="H841" s="1243"/>
      <c r="I841" s="1243">
        <f t="shared" si="145"/>
        <v>56220177.612320967</v>
      </c>
      <c r="J841" s="1243"/>
      <c r="K841" s="1243">
        <f>'WPB-2.1.D SMRP'!K357</f>
        <v>683452.29099999997</v>
      </c>
      <c r="L841" s="1243">
        <v>0</v>
      </c>
      <c r="M841" s="1243">
        <f>F841</f>
        <v>-33587.485047686641</v>
      </c>
      <c r="N841" s="1243">
        <f>'WPB-2.1.D SMRP'!N357</f>
        <v>-33098.750475000008</v>
      </c>
      <c r="O841" s="1243">
        <f t="shared" si="147"/>
        <v>56836943.667798288</v>
      </c>
    </row>
    <row r="842" spans="1:15">
      <c r="A842" s="361">
        <f t="shared" si="143"/>
        <v>27</v>
      </c>
      <c r="B842" s="365">
        <v>381</v>
      </c>
      <c r="C842" s="358" t="s">
        <v>399</v>
      </c>
      <c r="D842" s="1243">
        <f t="shared" si="144"/>
        <v>18156443.810000002</v>
      </c>
      <c r="E842" s="1243">
        <v>38453.64</v>
      </c>
      <c r="F842" s="1243">
        <v>-54461.25</v>
      </c>
      <c r="G842" s="1243">
        <f t="shared" si="148"/>
        <v>18140436.200000003</v>
      </c>
      <c r="H842" s="1243"/>
      <c r="I842" s="1243">
        <f t="shared" si="145"/>
        <v>2586848.6800000002</v>
      </c>
      <c r="J842" s="1243"/>
      <c r="K842" s="1243">
        <v>40206.340000000004</v>
      </c>
      <c r="L842" s="1243">
        <v>0</v>
      </c>
      <c r="M842" s="1243">
        <f t="shared" si="146"/>
        <v>-54461.25</v>
      </c>
      <c r="N842" s="1243">
        <v>-34524</v>
      </c>
      <c r="O842" s="1243">
        <f t="shared" si="147"/>
        <v>2538069.77</v>
      </c>
    </row>
    <row r="843" spans="1:15">
      <c r="A843" s="361">
        <f t="shared" si="143"/>
        <v>28</v>
      </c>
      <c r="B843" s="365">
        <v>381.1</v>
      </c>
      <c r="C843" s="358" t="s">
        <v>2366</v>
      </c>
      <c r="D843" s="1243">
        <f t="shared" si="144"/>
        <v>9980854.4800000004</v>
      </c>
      <c r="E843" s="1243">
        <v>0</v>
      </c>
      <c r="F843" s="1243">
        <v>0</v>
      </c>
      <c r="G843" s="1243">
        <f t="shared" si="148"/>
        <v>9980854.4800000004</v>
      </c>
      <c r="H843" s="1243"/>
      <c r="I843" s="1243">
        <f t="shared" si="145"/>
        <v>5050029.1000000015</v>
      </c>
      <c r="J843" s="1243"/>
      <c r="K843" s="1243">
        <v>62213.99</v>
      </c>
      <c r="L843" s="1243">
        <v>0</v>
      </c>
      <c r="M843" s="1243">
        <f t="shared" si="146"/>
        <v>0</v>
      </c>
      <c r="N843" s="1243">
        <v>0</v>
      </c>
      <c r="O843" s="1243">
        <f t="shared" si="147"/>
        <v>5112243.0900000017</v>
      </c>
    </row>
    <row r="844" spans="1:15">
      <c r="A844" s="361">
        <f t="shared" si="143"/>
        <v>29</v>
      </c>
      <c r="B844" s="365">
        <v>382</v>
      </c>
      <c r="C844" s="358" t="s">
        <v>1624</v>
      </c>
      <c r="D844" s="1243">
        <f t="shared" si="144"/>
        <v>10203190.41</v>
      </c>
      <c r="E844" s="1243">
        <f>'WPB-2.1.D SMRP'!E361</f>
        <v>42445.180000000008</v>
      </c>
      <c r="F844" s="1243">
        <f>'WPB-2.1.D SMRP'!F361</f>
        <v>0</v>
      </c>
      <c r="G844" s="1243">
        <f t="shared" si="148"/>
        <v>10245635.59</v>
      </c>
      <c r="H844" s="1243"/>
      <c r="I844" s="1243">
        <f t="shared" si="145"/>
        <v>5766164.7940000007</v>
      </c>
      <c r="J844" s="1243"/>
      <c r="K844" s="1243">
        <f>'WPB-2.1.D SMRP'!K361</f>
        <v>15081.383</v>
      </c>
      <c r="L844" s="1243">
        <v>0</v>
      </c>
      <c r="M844" s="1243">
        <f t="shared" si="146"/>
        <v>0</v>
      </c>
      <c r="N844" s="1243">
        <f>'WPB-2.1.D SMRP'!N361</f>
        <v>0</v>
      </c>
      <c r="O844" s="1243">
        <f t="shared" si="147"/>
        <v>5781246.1770000011</v>
      </c>
    </row>
    <row r="845" spans="1:15">
      <c r="A845" s="361">
        <f t="shared" si="143"/>
        <v>30</v>
      </c>
      <c r="B845" s="365">
        <v>383</v>
      </c>
      <c r="C845" s="358" t="s">
        <v>1625</v>
      </c>
      <c r="D845" s="1243">
        <f t="shared" si="144"/>
        <v>7212649.5</v>
      </c>
      <c r="E845" s="1243">
        <f>'WPB-2.1.D SMRP'!E365</f>
        <v>9621.92</v>
      </c>
      <c r="F845" s="1243">
        <f>'WPB-2.1.D SMRP'!F365</f>
        <v>0</v>
      </c>
      <c r="G845" s="1243">
        <f t="shared" si="148"/>
        <v>7222271.4199999999</v>
      </c>
      <c r="H845" s="1243"/>
      <c r="I845" s="1243">
        <f t="shared" si="145"/>
        <v>2427708.36</v>
      </c>
      <c r="J845" s="1243"/>
      <c r="K845" s="1243">
        <f>'WPB-2.1.D SMRP'!K365</f>
        <v>11668.169</v>
      </c>
      <c r="L845" s="1243">
        <v>0</v>
      </c>
      <c r="M845" s="1243">
        <f t="shared" si="146"/>
        <v>0</v>
      </c>
      <c r="N845" s="1243">
        <f>'WPB-2.1.D SMRP'!N365</f>
        <v>0</v>
      </c>
      <c r="O845" s="1243">
        <f t="shared" si="147"/>
        <v>2439376.5290000001</v>
      </c>
    </row>
    <row r="846" spans="1:15">
      <c r="A846" s="361">
        <f t="shared" si="143"/>
        <v>31</v>
      </c>
      <c r="B846" s="365">
        <v>384</v>
      </c>
      <c r="C846" s="358" t="s">
        <v>402</v>
      </c>
      <c r="D846" s="1243">
        <f t="shared" si="144"/>
        <v>2085058.65</v>
      </c>
      <c r="E846" s="1243">
        <v>0</v>
      </c>
      <c r="F846" s="1243">
        <v>0</v>
      </c>
      <c r="G846" s="1243">
        <f t="shared" si="148"/>
        <v>2085058.65</v>
      </c>
      <c r="H846" s="1243"/>
      <c r="I846" s="1243">
        <f t="shared" si="145"/>
        <v>1719720.8499999996</v>
      </c>
      <c r="J846" s="1243"/>
      <c r="K846" s="1243">
        <v>1720.17</v>
      </c>
      <c r="L846" s="1243">
        <v>0</v>
      </c>
      <c r="M846" s="1243">
        <f t="shared" si="146"/>
        <v>0</v>
      </c>
      <c r="N846" s="1243">
        <v>0</v>
      </c>
      <c r="O846" s="1243">
        <f t="shared" si="147"/>
        <v>1721441.0199999996</v>
      </c>
    </row>
    <row r="847" spans="1:15">
      <c r="A847" s="361">
        <f t="shared" si="143"/>
        <v>32</v>
      </c>
      <c r="B847" s="365">
        <v>385</v>
      </c>
      <c r="C847" s="358" t="s">
        <v>403</v>
      </c>
      <c r="D847" s="1243">
        <f t="shared" si="144"/>
        <v>5953888.2100000009</v>
      </c>
      <c r="E847" s="1243">
        <v>99138.94</v>
      </c>
      <c r="F847" s="1243">
        <v>-1208.03</v>
      </c>
      <c r="G847" s="1243">
        <f t="shared" si="148"/>
        <v>6051819.120000001</v>
      </c>
      <c r="H847" s="1243"/>
      <c r="I847" s="1243">
        <f t="shared" si="145"/>
        <v>706629.67</v>
      </c>
      <c r="J847" s="1243"/>
      <c r="K847" s="1243">
        <v>18658.87</v>
      </c>
      <c r="L847" s="1243">
        <v>0</v>
      </c>
      <c r="M847" s="1243">
        <f t="shared" si="146"/>
        <v>-1208.03</v>
      </c>
      <c r="N847" s="1243">
        <v>-3536.71</v>
      </c>
      <c r="O847" s="1243">
        <f t="shared" si="147"/>
        <v>720543.8</v>
      </c>
    </row>
    <row r="848" spans="1:15">
      <c r="A848" s="361">
        <f t="shared" si="143"/>
        <v>33</v>
      </c>
      <c r="B848" s="365">
        <v>387.2</v>
      </c>
      <c r="C848" s="358" t="s">
        <v>404</v>
      </c>
      <c r="D848" s="1243">
        <f t="shared" si="144"/>
        <v>0</v>
      </c>
      <c r="E848" s="1243">
        <v>0</v>
      </c>
      <c r="F848" s="1243">
        <v>0</v>
      </c>
      <c r="G848" s="1243">
        <f t="shared" si="148"/>
        <v>0</v>
      </c>
      <c r="H848" s="1243"/>
      <c r="I848" s="1243">
        <f t="shared" si="145"/>
        <v>-59912.03</v>
      </c>
      <c r="J848" s="1243"/>
      <c r="K848" s="1243">
        <v>0</v>
      </c>
      <c r="L848" s="1243">
        <v>0</v>
      </c>
      <c r="M848" s="1243">
        <f t="shared" si="146"/>
        <v>0</v>
      </c>
      <c r="N848" s="1243">
        <v>0</v>
      </c>
      <c r="O848" s="1243">
        <f t="shared" si="147"/>
        <v>-59912.03</v>
      </c>
    </row>
    <row r="849" spans="1:16">
      <c r="A849" s="361">
        <f t="shared" si="143"/>
        <v>34</v>
      </c>
      <c r="B849" s="365">
        <v>387.41</v>
      </c>
      <c r="C849" s="358" t="s">
        <v>405</v>
      </c>
      <c r="D849" s="1243">
        <f t="shared" si="144"/>
        <v>260538.46000000008</v>
      </c>
      <c r="E849" s="1243">
        <v>0</v>
      </c>
      <c r="F849" s="1243">
        <v>0</v>
      </c>
      <c r="G849" s="1243">
        <f t="shared" si="148"/>
        <v>260538.46000000008</v>
      </c>
      <c r="H849" s="1243"/>
      <c r="I849" s="1243">
        <f t="shared" si="145"/>
        <v>57106.740000000063</v>
      </c>
      <c r="J849" s="1243"/>
      <c r="K849" s="1243">
        <v>670.89</v>
      </c>
      <c r="L849" s="1243">
        <v>0</v>
      </c>
      <c r="M849" s="1243">
        <f t="shared" si="146"/>
        <v>0</v>
      </c>
      <c r="N849" s="1243">
        <v>0</v>
      </c>
      <c r="O849" s="1243">
        <f t="shared" si="147"/>
        <v>57777.630000000063</v>
      </c>
    </row>
    <row r="850" spans="1:16">
      <c r="A850" s="361">
        <f t="shared" si="143"/>
        <v>35</v>
      </c>
      <c r="B850" s="365">
        <v>387.42</v>
      </c>
      <c r="C850" s="358" t="s">
        <v>406</v>
      </c>
      <c r="D850" s="1243">
        <f t="shared" si="144"/>
        <v>419367.40000000008</v>
      </c>
      <c r="E850" s="1243">
        <v>0</v>
      </c>
      <c r="F850" s="1243">
        <v>0</v>
      </c>
      <c r="G850" s="1243">
        <f t="shared" si="148"/>
        <v>419367.40000000008</v>
      </c>
      <c r="H850" s="1243"/>
      <c r="I850" s="1243">
        <f t="shared" si="145"/>
        <v>337737.77999999991</v>
      </c>
      <c r="J850" s="1243"/>
      <c r="K850" s="1243">
        <v>1132.29</v>
      </c>
      <c r="L850" s="1243">
        <v>0</v>
      </c>
      <c r="M850" s="1243">
        <f t="shared" si="146"/>
        <v>0</v>
      </c>
      <c r="N850" s="1243">
        <v>0</v>
      </c>
      <c r="O850" s="1243">
        <f t="shared" si="147"/>
        <v>338870.06999999989</v>
      </c>
    </row>
    <row r="851" spans="1:16">
      <c r="A851" s="361">
        <f t="shared" si="143"/>
        <v>36</v>
      </c>
      <c r="B851" s="365">
        <v>387.44</v>
      </c>
      <c r="C851" s="358" t="s">
        <v>407</v>
      </c>
      <c r="D851" s="1243">
        <f t="shared" si="144"/>
        <v>124678.76000000001</v>
      </c>
      <c r="E851" s="1243">
        <v>0</v>
      </c>
      <c r="F851" s="1243">
        <v>0</v>
      </c>
      <c r="G851" s="1243">
        <f t="shared" si="148"/>
        <v>124678.76000000001</v>
      </c>
      <c r="H851" s="1243"/>
      <c r="I851" s="1243">
        <f t="shared" si="145"/>
        <v>65722.979999999981</v>
      </c>
      <c r="J851" s="1243"/>
      <c r="K851" s="1243">
        <v>336.63</v>
      </c>
      <c r="L851" s="1243">
        <v>0</v>
      </c>
      <c r="M851" s="1243">
        <f t="shared" si="146"/>
        <v>0</v>
      </c>
      <c r="N851" s="1243">
        <v>0</v>
      </c>
      <c r="O851" s="1243">
        <f t="shared" si="147"/>
        <v>66059.609999999986</v>
      </c>
    </row>
    <row r="852" spans="1:16">
      <c r="A852" s="361">
        <f t="shared" si="143"/>
        <v>37</v>
      </c>
      <c r="B852" s="365">
        <v>387.45</v>
      </c>
      <c r="C852" s="358" t="s">
        <v>408</v>
      </c>
      <c r="D852" s="1243">
        <f t="shared" si="144"/>
        <v>5442912.8199999994</v>
      </c>
      <c r="E852" s="1243">
        <v>383310.94</v>
      </c>
      <c r="F852" s="1243">
        <v>-31043.38</v>
      </c>
      <c r="G852" s="1243">
        <f t="shared" si="148"/>
        <v>5795180.3799999999</v>
      </c>
      <c r="H852" s="1243"/>
      <c r="I852" s="1243">
        <f t="shared" si="145"/>
        <v>-632469.96</v>
      </c>
      <c r="J852" s="1243"/>
      <c r="K852" s="1243">
        <v>15171.42</v>
      </c>
      <c r="L852" s="1243">
        <v>0</v>
      </c>
      <c r="M852" s="1243">
        <f t="shared" si="146"/>
        <v>-31043.38</v>
      </c>
      <c r="N852" s="1243">
        <v>-889.77</v>
      </c>
      <c r="O852" s="1243">
        <f t="shared" si="147"/>
        <v>-649231.68999999994</v>
      </c>
    </row>
    <row r="853" spans="1:16">
      <c r="A853" s="361">
        <f t="shared" si="143"/>
        <v>38</v>
      </c>
      <c r="B853" s="365">
        <v>387.46</v>
      </c>
      <c r="C853" s="358" t="s">
        <v>409</v>
      </c>
      <c r="D853" s="1243">
        <f t="shared" si="144"/>
        <v>113644.47</v>
      </c>
      <c r="E853" s="1243">
        <v>0</v>
      </c>
      <c r="F853" s="1243">
        <v>0</v>
      </c>
      <c r="G853" s="1243">
        <f t="shared" si="148"/>
        <v>113644.47</v>
      </c>
      <c r="H853" s="1243"/>
      <c r="I853" s="1243">
        <f t="shared" si="145"/>
        <v>114497.07</v>
      </c>
      <c r="J853" s="1243"/>
      <c r="K853" s="1243">
        <v>0</v>
      </c>
      <c r="L853" s="1243">
        <v>0</v>
      </c>
      <c r="M853" s="1243">
        <f t="shared" si="146"/>
        <v>0</v>
      </c>
      <c r="N853" s="1243">
        <v>0</v>
      </c>
      <c r="O853" s="1243">
        <f t="shared" si="147"/>
        <v>114497.07</v>
      </c>
    </row>
    <row r="854" spans="1:16">
      <c r="A854" s="361">
        <f t="shared" si="143"/>
        <v>39</v>
      </c>
      <c r="B854" s="365">
        <v>387.5</v>
      </c>
      <c r="C854" s="358" t="s">
        <v>1075</v>
      </c>
      <c r="D854" s="1244">
        <f t="shared" si="144"/>
        <v>235051.94</v>
      </c>
      <c r="E854" s="1244">
        <v>3020.75</v>
      </c>
      <c r="F854" s="1244">
        <v>0</v>
      </c>
      <c r="G854" s="1244">
        <f t="shared" si="148"/>
        <v>238072.69</v>
      </c>
      <c r="H854" s="1243"/>
      <c r="I854" s="1244">
        <f t="shared" si="145"/>
        <v>39636.640000000014</v>
      </c>
      <c r="J854" s="1243"/>
      <c r="K854" s="1244">
        <v>609.15</v>
      </c>
      <c r="L854" s="1244">
        <v>0</v>
      </c>
      <c r="M854" s="1244">
        <f t="shared" si="146"/>
        <v>0</v>
      </c>
      <c r="N854" s="1244">
        <v>0</v>
      </c>
      <c r="O854" s="1244">
        <f t="shared" si="147"/>
        <v>40245.790000000015</v>
      </c>
    </row>
    <row r="855" spans="1:16">
      <c r="A855" s="361">
        <f t="shared" si="143"/>
        <v>40</v>
      </c>
      <c r="C855" s="365" t="s">
        <v>1601</v>
      </c>
      <c r="D855" s="1243">
        <f>SUM(D825:D854)</f>
        <v>708911717.91108108</v>
      </c>
      <c r="E855" s="1243">
        <f>SUM(E825:E854)</f>
        <v>2199499.5399999991</v>
      </c>
      <c r="F855" s="1243">
        <f>SUM(F825:F854)</f>
        <v>-140287.24504768665</v>
      </c>
      <c r="G855" s="1243">
        <f>SUM(G825:G854)</f>
        <v>710970930.20603335</v>
      </c>
      <c r="H855" s="1243"/>
      <c r="I855" s="1243">
        <f>SUM(I825:I854)</f>
        <v>163668295.89432091</v>
      </c>
      <c r="J855" s="1243"/>
      <c r="K855" s="1243">
        <f>SUM(K825:K854)</f>
        <v>1528165.0439999998</v>
      </c>
      <c r="L855" s="1243">
        <f>SUM(L825:L854)</f>
        <v>0</v>
      </c>
      <c r="M855" s="1243">
        <f>SUM(M825:M854)</f>
        <v>-140287.24504768665</v>
      </c>
      <c r="N855" s="1243">
        <f>SUM(N825:N854)</f>
        <v>-82403.43047500003</v>
      </c>
      <c r="O855" s="1243">
        <f>SUM(O825:O854)</f>
        <v>164973770.26279831</v>
      </c>
    </row>
    <row r="856" spans="1:16">
      <c r="B856" s="367"/>
      <c r="C856" s="368"/>
      <c r="D856" s="369"/>
      <c r="E856" s="369"/>
      <c r="F856" s="369"/>
      <c r="G856" s="369"/>
      <c r="I856" s="369"/>
      <c r="J856" s="369"/>
      <c r="K856" s="369"/>
      <c r="L856" s="369"/>
      <c r="M856" s="369"/>
      <c r="N856" s="369"/>
      <c r="O856" s="369"/>
    </row>
    <row r="857" spans="1:16">
      <c r="I857" s="369"/>
      <c r="J857" s="369"/>
      <c r="K857" s="369"/>
      <c r="L857" s="369"/>
      <c r="M857" s="369"/>
      <c r="N857" s="369"/>
      <c r="O857" s="369"/>
    </row>
    <row r="858" spans="1:16" s="291" customFormat="1">
      <c r="A858" s="1308" t="str">
        <f>$A$1</f>
        <v>COLUMBIA GAS OF KENTUCKY, INC.</v>
      </c>
      <c r="B858" s="1308"/>
      <c r="C858" s="1308"/>
      <c r="D858" s="1308"/>
      <c r="E858" s="1308"/>
      <c r="F858" s="1308"/>
      <c r="G858" s="1308"/>
      <c r="H858" s="1308"/>
      <c r="I858" s="1308"/>
      <c r="J858" s="1308"/>
      <c r="K858" s="1308"/>
      <c r="L858" s="1308"/>
      <c r="M858" s="1308"/>
      <c r="N858" s="1308"/>
      <c r="O858" s="1308"/>
    </row>
    <row r="859" spans="1:16" s="291" customFormat="1">
      <c r="A859" s="1308" t="str">
        <f>$A$2</f>
        <v>CASE NO. 2024 - 00092</v>
      </c>
      <c r="B859" s="1308"/>
      <c r="C859" s="1308"/>
      <c r="D859" s="1308"/>
      <c r="E859" s="1308"/>
      <c r="F859" s="1308"/>
      <c r="G859" s="1308"/>
      <c r="H859" s="1308"/>
      <c r="I859" s="1308"/>
      <c r="J859" s="1308"/>
      <c r="K859" s="1308"/>
      <c r="L859" s="1308"/>
      <c r="M859" s="1308"/>
      <c r="N859" s="1308"/>
      <c r="O859" s="1308"/>
    </row>
    <row r="860" spans="1:16" s="291" customFormat="1">
      <c r="A860" s="1308" t="str">
        <f>$A$3</f>
        <v>DETAIL OF ACTUAL &amp; FORECASTED PLANT, ACCUMULATED RESERVE &amp; DEPRECIATION EXPENSE</v>
      </c>
      <c r="B860" s="1308"/>
      <c r="C860" s="1308"/>
      <c r="D860" s="1308"/>
      <c r="E860" s="1308"/>
      <c r="F860" s="1308"/>
      <c r="G860" s="1308"/>
      <c r="H860" s="1308"/>
      <c r="I860" s="1308"/>
      <c r="J860" s="1308"/>
      <c r="K860" s="1308"/>
      <c r="L860" s="1308"/>
      <c r="M860" s="1308"/>
      <c r="N860" s="1308"/>
      <c r="O860" s="1308"/>
      <c r="P860" s="357"/>
    </row>
    <row r="861" spans="1:16" s="291" customFormat="1">
      <c r="A861" s="1308" t="str">
        <f>$A$4</f>
        <v>FROM JANUARY 01, 2023 THROUGH DECEMBER 31, 2025</v>
      </c>
      <c r="B861" s="1308"/>
      <c r="C861" s="1308"/>
      <c r="D861" s="1308"/>
      <c r="E861" s="1308"/>
      <c r="F861" s="1308"/>
      <c r="G861" s="1308"/>
      <c r="H861" s="1308"/>
      <c r="I861" s="1308"/>
      <c r="J861" s="1308"/>
      <c r="K861" s="1308"/>
      <c r="L861" s="1308"/>
      <c r="M861" s="1308"/>
      <c r="N861" s="1308"/>
      <c r="O861" s="1308"/>
    </row>
    <row r="862" spans="1:16" s="291" customFormat="1">
      <c r="B862" s="293"/>
      <c r="P862" s="312"/>
    </row>
    <row r="863" spans="1:16" s="291" customFormat="1">
      <c r="A863" s="297" t="str">
        <f>$A$6</f>
        <v xml:space="preserve">DATA: _X_ BASE PERIOD _X_ FORECASTED PERIOD     </v>
      </c>
      <c r="B863" s="293"/>
      <c r="O863" s="312" t="str">
        <f>$O$6</f>
        <v>WPB-2.1.C</v>
      </c>
      <c r="P863" s="312"/>
    </row>
    <row r="864" spans="1:16" s="291" customFormat="1">
      <c r="A864" s="297" t="str">
        <f>$A$7</f>
        <v>TYPE OF FILING:___X___ORIGINAL______UPDATED</v>
      </c>
      <c r="B864" s="293"/>
      <c r="O864" s="312" t="s">
        <v>2207</v>
      </c>
      <c r="P864" s="312"/>
    </row>
    <row r="865" spans="1:15" s="291" customFormat="1">
      <c r="A865" s="297" t="str">
        <f>$A$8</f>
        <v>WORKPAPER REFERENCE NO(S).:</v>
      </c>
      <c r="B865" s="293"/>
      <c r="O865" s="312" t="str">
        <f>$O$8</f>
        <v>WITNESS: GORE</v>
      </c>
    </row>
    <row r="866" spans="1:15">
      <c r="A866" s="918"/>
      <c r="B866" s="919"/>
      <c r="C866" s="918"/>
      <c r="D866" s="918"/>
      <c r="E866" s="918"/>
      <c r="F866" s="918"/>
      <c r="G866" s="918"/>
      <c r="H866" s="918"/>
      <c r="I866" s="918"/>
      <c r="J866" s="918"/>
      <c r="K866" s="918"/>
      <c r="L866" s="918"/>
      <c r="M866" s="918"/>
      <c r="N866" s="918"/>
      <c r="O866" s="920"/>
    </row>
    <row r="867" spans="1:15">
      <c r="D867" s="1311" t="s">
        <v>1768</v>
      </c>
      <c r="E867" s="1311"/>
      <c r="F867" s="1311"/>
      <c r="G867" s="1311"/>
      <c r="I867" s="1311" t="s">
        <v>1769</v>
      </c>
      <c r="J867" s="1311"/>
      <c r="K867" s="1311"/>
      <c r="L867" s="1311"/>
      <c r="M867" s="1311"/>
      <c r="N867" s="1311"/>
      <c r="O867" s="1311"/>
    </row>
    <row r="868" spans="1:15">
      <c r="D868" s="360">
        <f>D809</f>
        <v>45139</v>
      </c>
      <c r="G868" s="360">
        <f>G809</f>
        <v>45169</v>
      </c>
      <c r="I868" s="360">
        <f>D868</f>
        <v>45139</v>
      </c>
      <c r="O868" s="360">
        <f>G868</f>
        <v>45169</v>
      </c>
    </row>
    <row r="869" spans="1:15">
      <c r="D869" s="361" t="s">
        <v>1757</v>
      </c>
      <c r="G869" s="361" t="s">
        <v>1757</v>
      </c>
      <c r="I869" s="361" t="s">
        <v>1758</v>
      </c>
      <c r="J869" s="361" t="s">
        <v>488</v>
      </c>
      <c r="L869" s="361" t="s">
        <v>1758</v>
      </c>
      <c r="O869" s="361" t="s">
        <v>1758</v>
      </c>
    </row>
    <row r="870" spans="1:15">
      <c r="A870" s="361" t="s">
        <v>1770</v>
      </c>
      <c r="B870" s="361" t="s">
        <v>368</v>
      </c>
      <c r="C870" s="361"/>
      <c r="D870" s="361" t="s">
        <v>437</v>
      </c>
      <c r="G870" s="361" t="s">
        <v>439</v>
      </c>
      <c r="I870" s="361" t="s">
        <v>437</v>
      </c>
      <c r="J870" s="361" t="s">
        <v>1771</v>
      </c>
      <c r="K870" s="361" t="s">
        <v>1772</v>
      </c>
      <c r="L870" s="361" t="s">
        <v>1759</v>
      </c>
      <c r="N870" s="361" t="s">
        <v>1760</v>
      </c>
      <c r="O870" s="361" t="s">
        <v>439</v>
      </c>
    </row>
    <row r="871" spans="1:15">
      <c r="A871" s="364" t="s">
        <v>316</v>
      </c>
      <c r="B871" s="364" t="s">
        <v>316</v>
      </c>
      <c r="C871" s="364" t="s">
        <v>451</v>
      </c>
      <c r="D871" s="364" t="s">
        <v>441</v>
      </c>
      <c r="E871" s="364" t="s">
        <v>442</v>
      </c>
      <c r="F871" s="364" t="s">
        <v>443</v>
      </c>
      <c r="G871" s="364" t="s">
        <v>441</v>
      </c>
      <c r="I871" s="364" t="s">
        <v>441</v>
      </c>
      <c r="J871" s="364" t="s">
        <v>1773</v>
      </c>
      <c r="K871" s="364" t="s">
        <v>1771</v>
      </c>
      <c r="L871" s="364" t="s">
        <v>355</v>
      </c>
      <c r="M871" s="364" t="s">
        <v>443</v>
      </c>
      <c r="N871" s="364" t="s">
        <v>1763</v>
      </c>
      <c r="O871" s="364" t="s">
        <v>441</v>
      </c>
    </row>
    <row r="872" spans="1:15">
      <c r="D872" s="361" t="s">
        <v>532</v>
      </c>
      <c r="E872" s="361" t="s">
        <v>541</v>
      </c>
      <c r="F872" s="361" t="s">
        <v>542</v>
      </c>
      <c r="G872" s="361" t="s">
        <v>1764</v>
      </c>
      <c r="I872" s="334" t="str">
        <f>"(5)"</f>
        <v>(5)</v>
      </c>
      <c r="J872" s="334" t="str">
        <f>"(6)"</f>
        <v>(6)</v>
      </c>
      <c r="K872" s="334" t="str">
        <f>"(7)"</f>
        <v>(7)</v>
      </c>
      <c r="L872" s="334" t="str">
        <f>"(8)"</f>
        <v>(8)</v>
      </c>
      <c r="M872" s="334" t="str">
        <f>"(9)"</f>
        <v>(9)</v>
      </c>
      <c r="N872" s="334" t="str">
        <f>"(10)"</f>
        <v>(10)</v>
      </c>
      <c r="O872" s="334" t="str">
        <f>"(11=5+7+8+9+10)"</f>
        <v>(11=5+7+8+9+10)</v>
      </c>
    </row>
    <row r="873" spans="1:15">
      <c r="D873" s="361" t="s">
        <v>320</v>
      </c>
      <c r="E873" s="361" t="s">
        <v>320</v>
      </c>
      <c r="F873" s="361" t="s">
        <v>320</v>
      </c>
      <c r="G873" s="361" t="s">
        <v>320</v>
      </c>
      <c r="I873" s="334" t="s">
        <v>320</v>
      </c>
      <c r="J873" s="334" t="s">
        <v>529</v>
      </c>
      <c r="K873" s="334" t="s">
        <v>320</v>
      </c>
      <c r="L873" s="334" t="s">
        <v>320</v>
      </c>
      <c r="M873" s="334" t="s">
        <v>320</v>
      </c>
      <c r="N873" s="334" t="s">
        <v>320</v>
      </c>
      <c r="O873" s="334" t="s">
        <v>320</v>
      </c>
    </row>
    <row r="874" spans="1:15">
      <c r="A874" s="361">
        <v>1</v>
      </c>
      <c r="B874" s="363" t="s">
        <v>411</v>
      </c>
      <c r="D874" s="361"/>
      <c r="E874" s="361"/>
      <c r="F874" s="361"/>
      <c r="G874" s="361"/>
      <c r="I874" s="334"/>
      <c r="J874" s="334"/>
      <c r="K874" s="334"/>
      <c r="L874" s="334"/>
      <c r="M874" s="334"/>
      <c r="N874" s="334"/>
      <c r="O874" s="334"/>
    </row>
    <row r="875" spans="1:15">
      <c r="A875" s="361">
        <f>A874+1</f>
        <v>2</v>
      </c>
      <c r="B875" s="365">
        <v>391.1</v>
      </c>
      <c r="C875" s="358" t="s">
        <v>412</v>
      </c>
      <c r="D875" s="1243">
        <f t="shared" ref="D875:D888" si="149">G761</f>
        <v>820366.66</v>
      </c>
      <c r="E875" s="1243">
        <v>0</v>
      </c>
      <c r="F875" s="1243">
        <v>0</v>
      </c>
      <c r="G875" s="1243">
        <f>SUM(D875:F875)</f>
        <v>820366.66</v>
      </c>
      <c r="H875" s="1243"/>
      <c r="I875" s="1245">
        <f t="shared" ref="I875:I888" si="150">O761</f>
        <v>99374.640000000014</v>
      </c>
      <c r="J875" s="1243"/>
      <c r="K875" s="1243">
        <v>3418.19</v>
      </c>
      <c r="L875" s="1243">
        <v>0</v>
      </c>
      <c r="M875" s="1243">
        <f t="shared" ref="M875:M888" si="151">F875</f>
        <v>0</v>
      </c>
      <c r="N875" s="1243">
        <v>0</v>
      </c>
      <c r="O875" s="1243">
        <f t="shared" ref="O875:O888" si="152">I875+K875+L875+M875+N875</f>
        <v>102792.83000000002</v>
      </c>
    </row>
    <row r="876" spans="1:15">
      <c r="A876" s="361">
        <f t="shared" ref="A876:A889" si="153">A875+1</f>
        <v>3</v>
      </c>
      <c r="B876" s="365">
        <v>391.11</v>
      </c>
      <c r="C876" s="358" t="s">
        <v>413</v>
      </c>
      <c r="D876" s="1243">
        <f t="shared" si="149"/>
        <v>0</v>
      </c>
      <c r="E876" s="1243">
        <v>0</v>
      </c>
      <c r="F876" s="1243">
        <v>0</v>
      </c>
      <c r="G876" s="1243">
        <f t="shared" ref="G876:G883" si="154">SUM(D876:F876)</f>
        <v>0</v>
      </c>
      <c r="H876" s="1243"/>
      <c r="I876" s="1245">
        <f t="shared" si="150"/>
        <v>-18933.789999999997</v>
      </c>
      <c r="J876" s="1243"/>
      <c r="K876" s="1243">
        <v>0</v>
      </c>
      <c r="L876" s="1243">
        <v>0</v>
      </c>
      <c r="M876" s="1243">
        <f t="shared" si="151"/>
        <v>0</v>
      </c>
      <c r="N876" s="1243">
        <v>0</v>
      </c>
      <c r="O876" s="1243">
        <f t="shared" si="152"/>
        <v>-18933.789999999997</v>
      </c>
    </row>
    <row r="877" spans="1:15">
      <c r="A877" s="361">
        <f t="shared" si="153"/>
        <v>4</v>
      </c>
      <c r="B877" s="365">
        <v>391.12</v>
      </c>
      <c r="C877" s="358" t="s">
        <v>414</v>
      </c>
      <c r="D877" s="1243">
        <f t="shared" si="149"/>
        <v>91133.260000000009</v>
      </c>
      <c r="E877" s="1243">
        <v>0</v>
      </c>
      <c r="F877" s="1243">
        <v>0</v>
      </c>
      <c r="G877" s="1243">
        <f t="shared" si="154"/>
        <v>91133.260000000009</v>
      </c>
      <c r="H877" s="1243"/>
      <c r="I877" s="1245">
        <f t="shared" si="150"/>
        <v>44275.75</v>
      </c>
      <c r="J877" s="1243"/>
      <c r="K877" s="1243">
        <v>1518.89</v>
      </c>
      <c r="L877" s="1243">
        <v>0</v>
      </c>
      <c r="M877" s="1243">
        <f t="shared" si="151"/>
        <v>0</v>
      </c>
      <c r="N877" s="1243">
        <v>0</v>
      </c>
      <c r="O877" s="1243">
        <f t="shared" si="152"/>
        <v>45794.64</v>
      </c>
    </row>
    <row r="878" spans="1:15">
      <c r="A878" s="361">
        <f t="shared" si="153"/>
        <v>5</v>
      </c>
      <c r="B878" s="365">
        <v>392.2</v>
      </c>
      <c r="C878" s="358" t="s">
        <v>524</v>
      </c>
      <c r="D878" s="1243">
        <f t="shared" si="149"/>
        <v>95778</v>
      </c>
      <c r="E878" s="1243">
        <v>0</v>
      </c>
      <c r="F878" s="1243">
        <v>0</v>
      </c>
      <c r="G878" s="1243">
        <f t="shared" si="154"/>
        <v>95778</v>
      </c>
      <c r="H878" s="1243"/>
      <c r="I878" s="1245">
        <f t="shared" si="150"/>
        <v>63620.809999999976</v>
      </c>
      <c r="J878" s="1243"/>
      <c r="K878" s="1243">
        <v>71.84</v>
      </c>
      <c r="L878" s="1243">
        <v>0</v>
      </c>
      <c r="M878" s="1243">
        <f t="shared" si="151"/>
        <v>0</v>
      </c>
      <c r="N878" s="1243">
        <v>0</v>
      </c>
      <c r="O878" s="1243">
        <f t="shared" si="152"/>
        <v>63692.649999999972</v>
      </c>
    </row>
    <row r="879" spans="1:15">
      <c r="A879" s="361">
        <f t="shared" si="153"/>
        <v>6</v>
      </c>
      <c r="B879" s="365">
        <v>392.21</v>
      </c>
      <c r="C879" s="358" t="s">
        <v>415</v>
      </c>
      <c r="D879" s="1243">
        <f t="shared" si="149"/>
        <v>24462.2</v>
      </c>
      <c r="E879" s="1243">
        <v>0</v>
      </c>
      <c r="F879" s="1243">
        <v>0</v>
      </c>
      <c r="G879" s="1243">
        <f t="shared" si="154"/>
        <v>24462.2</v>
      </c>
      <c r="H879" s="1243"/>
      <c r="I879" s="1245">
        <f t="shared" si="150"/>
        <v>44754.01</v>
      </c>
      <c r="J879" s="1243"/>
      <c r="K879" s="1243">
        <v>0</v>
      </c>
      <c r="L879" s="1243">
        <v>0</v>
      </c>
      <c r="M879" s="1243">
        <f t="shared" si="151"/>
        <v>0</v>
      </c>
      <c r="N879" s="1243">
        <v>0</v>
      </c>
      <c r="O879" s="1243">
        <f t="shared" si="152"/>
        <v>44754.01</v>
      </c>
    </row>
    <row r="880" spans="1:15">
      <c r="A880" s="361">
        <f t="shared" si="153"/>
        <v>7</v>
      </c>
      <c r="B880" s="365">
        <v>393</v>
      </c>
      <c r="C880" s="358" t="s">
        <v>416</v>
      </c>
      <c r="D880" s="1243">
        <f t="shared" si="149"/>
        <v>0</v>
      </c>
      <c r="E880" s="1243">
        <v>0</v>
      </c>
      <c r="F880" s="1243">
        <v>0</v>
      </c>
      <c r="G880" s="1243">
        <f t="shared" si="154"/>
        <v>0</v>
      </c>
      <c r="H880" s="1243"/>
      <c r="I880" s="1245">
        <f t="shared" si="150"/>
        <v>0</v>
      </c>
      <c r="J880" s="1243"/>
      <c r="K880" s="1243">
        <v>0</v>
      </c>
      <c r="L880" s="1243">
        <v>0</v>
      </c>
      <c r="M880" s="1243">
        <f t="shared" si="151"/>
        <v>0</v>
      </c>
      <c r="N880" s="1243">
        <v>0</v>
      </c>
      <c r="O880" s="1243">
        <f t="shared" si="152"/>
        <v>0</v>
      </c>
    </row>
    <row r="881" spans="1:15">
      <c r="A881" s="361">
        <f t="shared" si="153"/>
        <v>8</v>
      </c>
      <c r="B881" s="365">
        <v>394.1</v>
      </c>
      <c r="C881" s="358" t="s">
        <v>417</v>
      </c>
      <c r="D881" s="1243">
        <f t="shared" si="149"/>
        <v>9739</v>
      </c>
      <c r="E881" s="1243">
        <v>0</v>
      </c>
      <c r="F881" s="1243">
        <v>0</v>
      </c>
      <c r="G881" s="1243">
        <f t="shared" si="154"/>
        <v>9739</v>
      </c>
      <c r="H881" s="1243"/>
      <c r="I881" s="1245">
        <f t="shared" si="150"/>
        <v>3912.8500000000004</v>
      </c>
      <c r="J881" s="1243"/>
      <c r="K881" s="1243">
        <v>32.46</v>
      </c>
      <c r="L881" s="1243">
        <v>0</v>
      </c>
      <c r="M881" s="1243">
        <f t="shared" si="151"/>
        <v>0</v>
      </c>
      <c r="N881" s="1243">
        <v>0</v>
      </c>
      <c r="O881" s="1243">
        <f t="shared" si="152"/>
        <v>3945.3100000000004</v>
      </c>
    </row>
    <row r="882" spans="1:15">
      <c r="A882" s="361">
        <f t="shared" si="153"/>
        <v>9</v>
      </c>
      <c r="B882" s="365">
        <v>394.11</v>
      </c>
      <c r="C882" s="358" t="s">
        <v>418</v>
      </c>
      <c r="D882" s="1243">
        <f t="shared" si="149"/>
        <v>0</v>
      </c>
      <c r="E882" s="1243">
        <v>0</v>
      </c>
      <c r="F882" s="1243">
        <v>0</v>
      </c>
      <c r="G882" s="1243">
        <f t="shared" si="154"/>
        <v>0</v>
      </c>
      <c r="H882" s="1243"/>
      <c r="I882" s="1245">
        <f t="shared" si="150"/>
        <v>-26071.5</v>
      </c>
      <c r="J882" s="1243"/>
      <c r="K882" s="1243">
        <v>0</v>
      </c>
      <c r="L882" s="1243">
        <v>0</v>
      </c>
      <c r="M882" s="1243">
        <f t="shared" si="151"/>
        <v>0</v>
      </c>
      <c r="N882" s="1243">
        <v>0</v>
      </c>
      <c r="O882" s="1243">
        <f t="shared" si="152"/>
        <v>-26071.5</v>
      </c>
    </row>
    <row r="883" spans="1:15">
      <c r="A883" s="361">
        <f t="shared" si="153"/>
        <v>10</v>
      </c>
      <c r="B883" s="365">
        <v>394.13</v>
      </c>
      <c r="C883" s="358" t="s">
        <v>515</v>
      </c>
      <c r="D883" s="1243">
        <f t="shared" si="149"/>
        <v>0</v>
      </c>
      <c r="E883" s="1243">
        <v>0</v>
      </c>
      <c r="F883" s="1243">
        <v>0</v>
      </c>
      <c r="G883" s="1243">
        <f t="shared" si="154"/>
        <v>0</v>
      </c>
      <c r="H883" s="1243"/>
      <c r="I883" s="1245">
        <f t="shared" si="150"/>
        <v>37937.360000000001</v>
      </c>
      <c r="J883" s="1243"/>
      <c r="K883" s="1243">
        <v>0</v>
      </c>
      <c r="L883" s="1243">
        <v>0</v>
      </c>
      <c r="M883" s="1243">
        <f t="shared" si="151"/>
        <v>0</v>
      </c>
      <c r="N883" s="1243">
        <v>0</v>
      </c>
      <c r="O883" s="1243">
        <f t="shared" si="152"/>
        <v>37937.360000000001</v>
      </c>
    </row>
    <row r="884" spans="1:15">
      <c r="A884" s="361">
        <f t="shared" si="153"/>
        <v>11</v>
      </c>
      <c r="B884" s="365">
        <v>394.2</v>
      </c>
      <c r="C884" s="358" t="s">
        <v>420</v>
      </c>
      <c r="D884" s="1243">
        <f t="shared" si="149"/>
        <v>0</v>
      </c>
      <c r="E884" s="1243">
        <v>0</v>
      </c>
      <c r="F884" s="1243">
        <v>0</v>
      </c>
      <c r="G884" s="1243">
        <f>SUM(D884:F884)</f>
        <v>0</v>
      </c>
      <c r="H884" s="1243"/>
      <c r="I884" s="1245">
        <f t="shared" si="150"/>
        <v>185.21</v>
      </c>
      <c r="J884" s="1243"/>
      <c r="K884" s="1243">
        <v>0</v>
      </c>
      <c r="L884" s="1243">
        <v>0</v>
      </c>
      <c r="M884" s="1243">
        <f t="shared" si="151"/>
        <v>0</v>
      </c>
      <c r="N884" s="1243">
        <v>0</v>
      </c>
      <c r="O884" s="1243">
        <f t="shared" si="152"/>
        <v>185.21</v>
      </c>
    </row>
    <row r="885" spans="1:15">
      <c r="A885" s="361">
        <f t="shared" si="153"/>
        <v>12</v>
      </c>
      <c r="B885" s="365">
        <v>394.3</v>
      </c>
      <c r="C885" s="358" t="s">
        <v>1602</v>
      </c>
      <c r="D885" s="1243">
        <f t="shared" si="149"/>
        <v>4943719.4700000007</v>
      </c>
      <c r="E885" s="1243">
        <v>4598.84</v>
      </c>
      <c r="F885" s="1243">
        <v>0</v>
      </c>
      <c r="G885" s="1243">
        <f>SUM(D885:F885)</f>
        <v>4948318.3100000005</v>
      </c>
      <c r="H885" s="1243"/>
      <c r="I885" s="1245">
        <f t="shared" si="150"/>
        <v>1527993.01</v>
      </c>
      <c r="J885" s="1243"/>
      <c r="K885" s="1243">
        <v>16486.73</v>
      </c>
      <c r="L885" s="1243">
        <v>0</v>
      </c>
      <c r="M885" s="1243">
        <f t="shared" si="151"/>
        <v>0</v>
      </c>
      <c r="N885" s="1243">
        <v>0</v>
      </c>
      <c r="O885" s="1243">
        <f t="shared" si="152"/>
        <v>1544479.74</v>
      </c>
    </row>
    <row r="886" spans="1:15">
      <c r="A886" s="361">
        <f t="shared" si="153"/>
        <v>13</v>
      </c>
      <c r="B886" s="365">
        <v>395</v>
      </c>
      <c r="C886" s="358" t="s">
        <v>422</v>
      </c>
      <c r="D886" s="1243">
        <f t="shared" si="149"/>
        <v>4162.05</v>
      </c>
      <c r="E886" s="1243">
        <v>0</v>
      </c>
      <c r="F886" s="1243">
        <v>0</v>
      </c>
      <c r="G886" s="1243">
        <f>SUM(D886:F886)</f>
        <v>4162.05</v>
      </c>
      <c r="H886" s="1243"/>
      <c r="I886" s="1245">
        <f t="shared" si="150"/>
        <v>3965.9800000000009</v>
      </c>
      <c r="J886" s="1243"/>
      <c r="K886" s="1243">
        <v>17.34</v>
      </c>
      <c r="L886" s="1243">
        <v>0</v>
      </c>
      <c r="M886" s="1243">
        <f t="shared" si="151"/>
        <v>0</v>
      </c>
      <c r="N886" s="1243">
        <v>0</v>
      </c>
      <c r="O886" s="1243">
        <f t="shared" si="152"/>
        <v>3983.3200000000011</v>
      </c>
    </row>
    <row r="887" spans="1:15">
      <c r="A887" s="361">
        <f t="shared" si="153"/>
        <v>14</v>
      </c>
      <c r="B887" s="365">
        <v>396</v>
      </c>
      <c r="C887" s="358" t="s">
        <v>423</v>
      </c>
      <c r="D887" s="1243">
        <f t="shared" si="149"/>
        <v>185547</v>
      </c>
      <c r="E887" s="1243">
        <v>0</v>
      </c>
      <c r="F887" s="1243">
        <v>0</v>
      </c>
      <c r="G887" s="1243">
        <f>SUM(D887:F887)</f>
        <v>185547</v>
      </c>
      <c r="H887" s="1243"/>
      <c r="I887" s="1245">
        <f t="shared" si="150"/>
        <v>171938.14</v>
      </c>
      <c r="J887" s="1243"/>
      <c r="K887" s="1243">
        <v>0</v>
      </c>
      <c r="L887" s="1243">
        <v>0</v>
      </c>
      <c r="M887" s="1243">
        <f t="shared" si="151"/>
        <v>0</v>
      </c>
      <c r="N887" s="1243">
        <v>0</v>
      </c>
      <c r="O887" s="1243">
        <f t="shared" si="152"/>
        <v>171938.14</v>
      </c>
    </row>
    <row r="888" spans="1:15">
      <c r="A888" s="361">
        <f t="shared" si="153"/>
        <v>15</v>
      </c>
      <c r="B888" s="365">
        <v>398</v>
      </c>
      <c r="C888" s="358" t="s">
        <v>424</v>
      </c>
      <c r="D888" s="1244">
        <f t="shared" si="149"/>
        <v>148028.20000000001</v>
      </c>
      <c r="E888" s="1244">
        <v>0</v>
      </c>
      <c r="F888" s="1244">
        <v>0</v>
      </c>
      <c r="G888" s="1244">
        <f>SUM(D888:F888)</f>
        <v>148028.20000000001</v>
      </c>
      <c r="H888" s="1243"/>
      <c r="I888" s="1246">
        <f t="shared" si="150"/>
        <v>65990.01999999999</v>
      </c>
      <c r="J888" s="1243"/>
      <c r="K888" s="1244">
        <v>822.79</v>
      </c>
      <c r="L888" s="1244">
        <v>0</v>
      </c>
      <c r="M888" s="1244">
        <f t="shared" si="151"/>
        <v>0</v>
      </c>
      <c r="N888" s="1244">
        <v>0</v>
      </c>
      <c r="O888" s="1244">
        <f t="shared" si="152"/>
        <v>66812.809999999983</v>
      </c>
    </row>
    <row r="889" spans="1:15">
      <c r="A889" s="361">
        <f t="shared" si="153"/>
        <v>16</v>
      </c>
      <c r="B889" s="367"/>
      <c r="C889" s="358" t="s">
        <v>425</v>
      </c>
      <c r="D889" s="1243">
        <f>SUM(D875:D888)</f>
        <v>6322935.8400000008</v>
      </c>
      <c r="E889" s="1243">
        <f>SUM(E875:E888)</f>
        <v>4598.84</v>
      </c>
      <c r="F889" s="1243">
        <f>SUM(F875:F888)</f>
        <v>0</v>
      </c>
      <c r="G889" s="1243">
        <f>SUM(G875:G888)</f>
        <v>6327534.6800000006</v>
      </c>
      <c r="H889" s="1243"/>
      <c r="I889" s="1243">
        <f>SUM(I875:I888)</f>
        <v>2018942.4900000002</v>
      </c>
      <c r="J889" s="1243"/>
      <c r="K889" s="1243">
        <f>SUM(K875:K888)</f>
        <v>22368.240000000002</v>
      </c>
      <c r="L889" s="1243">
        <f>SUM(L875:L888)</f>
        <v>0</v>
      </c>
      <c r="M889" s="1243">
        <f>SUM(M875:M888)</f>
        <v>0</v>
      </c>
      <c r="N889" s="1243">
        <f>SUM(N875:N888)</f>
        <v>0</v>
      </c>
      <c r="O889" s="1243">
        <f>SUM(O875:O888)</f>
        <v>2041310.73</v>
      </c>
    </row>
    <row r="890" spans="1:15">
      <c r="A890" s="361"/>
      <c r="D890" s="1243"/>
      <c r="E890" s="1243"/>
      <c r="F890" s="1243"/>
      <c r="G890" s="1243"/>
      <c r="H890" s="1243"/>
      <c r="I890" s="1243"/>
      <c r="J890" s="1243"/>
      <c r="K890" s="1243"/>
      <c r="L890" s="1243"/>
      <c r="M890" s="1243"/>
      <c r="N890" s="1243"/>
      <c r="O890" s="1243"/>
    </row>
    <row r="891" spans="1:15">
      <c r="A891" s="361">
        <f>A889+1</f>
        <v>17</v>
      </c>
      <c r="B891" s="363" t="s">
        <v>1038</v>
      </c>
      <c r="D891" s="1243"/>
      <c r="E891" s="1243"/>
      <c r="F891" s="1243"/>
      <c r="G891" s="1243"/>
      <c r="H891" s="1243"/>
      <c r="I891" s="1243"/>
      <c r="J891" s="1243"/>
      <c r="K891" s="1243"/>
      <c r="L891" s="1243"/>
      <c r="M891" s="1243"/>
      <c r="N891" s="1243"/>
      <c r="O891" s="1243"/>
    </row>
    <row r="892" spans="1:15">
      <c r="A892" s="361">
        <f>A891+1</f>
        <v>18</v>
      </c>
      <c r="B892" s="365">
        <v>378.21</v>
      </c>
      <c r="C892" s="358" t="s">
        <v>1037</v>
      </c>
      <c r="D892" s="1244">
        <f>G778</f>
        <v>-777092</v>
      </c>
      <c r="E892" s="1244">
        <v>0</v>
      </c>
      <c r="F892" s="1244">
        <v>0</v>
      </c>
      <c r="G892" s="1244">
        <f>SUM(D892:F892)</f>
        <v>-777092</v>
      </c>
      <c r="H892" s="1243"/>
      <c r="I892" s="1244">
        <f>O778</f>
        <v>-193649.49000000005</v>
      </c>
      <c r="J892" s="1243"/>
      <c r="K892" s="1244">
        <v>-2144.17</v>
      </c>
      <c r="L892" s="1244">
        <v>0</v>
      </c>
      <c r="M892" s="1244">
        <f>F892</f>
        <v>0</v>
      </c>
      <c r="N892" s="1244">
        <v>0</v>
      </c>
      <c r="O892" s="1244">
        <f>I892+K892+L892+M892+N892</f>
        <v>-195793.66000000006</v>
      </c>
    </row>
    <row r="893" spans="1:15">
      <c r="A893" s="361">
        <f>A892+1</f>
        <v>19</v>
      </c>
      <c r="B893" s="370"/>
      <c r="C893" s="358" t="s">
        <v>1579</v>
      </c>
      <c r="D893" s="1243">
        <f>SUM(D892)</f>
        <v>-777092</v>
      </c>
      <c r="E893" s="1243">
        <f>SUM(E892)</f>
        <v>0</v>
      </c>
      <c r="F893" s="1243">
        <f>SUM(F892)</f>
        <v>0</v>
      </c>
      <c r="G893" s="1243">
        <f>SUM(G892)</f>
        <v>-777092</v>
      </c>
      <c r="H893" s="1243"/>
      <c r="I893" s="1243">
        <f>SUM(I892)</f>
        <v>-193649.49000000005</v>
      </c>
      <c r="J893" s="1243"/>
      <c r="K893" s="1243">
        <f>SUM(K892)</f>
        <v>-2144.17</v>
      </c>
      <c r="L893" s="1243">
        <f>SUM(L892)</f>
        <v>0</v>
      </c>
      <c r="M893" s="1243">
        <f>SUM(M892)</f>
        <v>0</v>
      </c>
      <c r="N893" s="1243">
        <f>SUM(N892)</f>
        <v>0</v>
      </c>
      <c r="O893" s="1243">
        <f>SUM(O892)</f>
        <v>-195793.66000000006</v>
      </c>
    </row>
    <row r="894" spans="1:15">
      <c r="A894" s="361"/>
      <c r="B894" s="370"/>
      <c r="D894" s="1243"/>
      <c r="E894" s="1243"/>
      <c r="F894" s="1243"/>
      <c r="G894" s="1243"/>
      <c r="H894" s="1243"/>
      <c r="I894" s="1243"/>
      <c r="J894" s="1243"/>
      <c r="K894" s="1243"/>
      <c r="L894" s="1243"/>
      <c r="M894" s="1243"/>
      <c r="N894" s="1243"/>
      <c r="O894" s="1243"/>
    </row>
    <row r="895" spans="1:15">
      <c r="A895" s="361">
        <f>A893+1</f>
        <v>20</v>
      </c>
      <c r="B895" s="370"/>
      <c r="C895" s="358" t="s">
        <v>2037</v>
      </c>
      <c r="D895" s="1243">
        <f>D822+D855+D889+D893</f>
        <v>728626920.39108109</v>
      </c>
      <c r="E895" s="1243">
        <f>E822+E855+E889+E893</f>
        <v>2666331.959999999</v>
      </c>
      <c r="F895" s="1243">
        <f>F822+F855+F889+F893</f>
        <v>-140287.24504768665</v>
      </c>
      <c r="G895" s="1243">
        <f>G822+G855+G889+G893</f>
        <v>731152965.10603333</v>
      </c>
      <c r="H895" s="1243"/>
      <c r="I895" s="1243">
        <f>I822+I855+I889+I893</f>
        <v>172448404.19432092</v>
      </c>
      <c r="J895" s="1243"/>
      <c r="K895" s="1243">
        <f>K822+K855+K889+K893</f>
        <v>1799217.1739999999</v>
      </c>
      <c r="L895" s="1243">
        <f>L822+L855+L889+L893</f>
        <v>0</v>
      </c>
      <c r="M895" s="1243">
        <f>M822+M855+M889+M893</f>
        <v>-140287.24504768665</v>
      </c>
      <c r="N895" s="1243">
        <f>N822+N855+N889+N893</f>
        <v>-82403.43047500003</v>
      </c>
      <c r="O895" s="1243">
        <f>O822+O855+O889+O893</f>
        <v>174024930.69279832</v>
      </c>
    </row>
    <row r="896" spans="1:15">
      <c r="A896" s="361"/>
      <c r="B896" s="370"/>
      <c r="D896" s="1243"/>
      <c r="E896" s="1243"/>
      <c r="F896" s="1243"/>
      <c r="G896" s="1243"/>
      <c r="H896" s="1243"/>
      <c r="I896" s="1243"/>
      <c r="J896" s="1243"/>
      <c r="K896" s="1243"/>
      <c r="L896" s="1243"/>
      <c r="M896" s="1243"/>
      <c r="N896" s="1243"/>
      <c r="O896" s="1243"/>
    </row>
    <row r="897" spans="1:15">
      <c r="A897" s="361">
        <f>A895+1</f>
        <v>21</v>
      </c>
      <c r="B897" s="370"/>
      <c r="C897" s="358" t="s">
        <v>2038</v>
      </c>
      <c r="D897" s="1243">
        <v>0</v>
      </c>
      <c r="E897" s="1249">
        <v>0</v>
      </c>
      <c r="F897" s="1249">
        <v>0</v>
      </c>
      <c r="G897" s="1249">
        <f>SUM(D897:F897)</f>
        <v>0</v>
      </c>
      <c r="H897" s="1243"/>
      <c r="I897" s="1243">
        <f>O783</f>
        <v>-6318562.9900000002</v>
      </c>
      <c r="J897" s="1243"/>
      <c r="K897" s="1243"/>
      <c r="L897" s="1243"/>
      <c r="M897" s="1243"/>
      <c r="N897" s="1243">
        <v>-20518.97</v>
      </c>
      <c r="O897" s="1243">
        <f>I897+K897+L897+M897+N897</f>
        <v>-6339081.96</v>
      </c>
    </row>
    <row r="898" spans="1:15">
      <c r="A898" s="361"/>
      <c r="B898" s="370"/>
      <c r="C898" s="368"/>
      <c r="D898" s="1243"/>
      <c r="E898" s="1243"/>
      <c r="F898" s="1243"/>
      <c r="G898" s="1243"/>
      <c r="H898" s="1243"/>
      <c r="I898" s="1243"/>
      <c r="J898" s="1243"/>
      <c r="K898" s="1243"/>
      <c r="L898" s="1243"/>
      <c r="M898" s="1243"/>
      <c r="N898" s="1243"/>
      <c r="O898" s="1243"/>
    </row>
    <row r="899" spans="1:15">
      <c r="A899" s="361">
        <f>A897+1</f>
        <v>22</v>
      </c>
      <c r="C899" s="358" t="s">
        <v>1603</v>
      </c>
      <c r="D899" s="1247">
        <f>D895+D897</f>
        <v>728626920.39108109</v>
      </c>
      <c r="E899" s="1247">
        <f t="shared" ref="E899:O899" si="155">E895+E897</f>
        <v>2666331.959999999</v>
      </c>
      <c r="F899" s="1247">
        <f t="shared" si="155"/>
        <v>-140287.24504768665</v>
      </c>
      <c r="G899" s="1247">
        <f t="shared" si="155"/>
        <v>731152965.10603333</v>
      </c>
      <c r="H899" s="1243"/>
      <c r="I899" s="1247">
        <f t="shared" si="155"/>
        <v>166129841.20432091</v>
      </c>
      <c r="J899" s="1243"/>
      <c r="K899" s="1247">
        <f t="shared" si="155"/>
        <v>1799217.1739999999</v>
      </c>
      <c r="L899" s="1247">
        <f t="shared" si="155"/>
        <v>0</v>
      </c>
      <c r="M899" s="1247">
        <f t="shared" si="155"/>
        <v>-140287.24504768665</v>
      </c>
      <c r="N899" s="1247">
        <f t="shared" si="155"/>
        <v>-102922.40047500003</v>
      </c>
      <c r="O899" s="1247">
        <f t="shared" si="155"/>
        <v>167685848.73279831</v>
      </c>
    </row>
    <row r="900" spans="1:15">
      <c r="A900" s="361"/>
      <c r="D900" s="1243"/>
      <c r="E900" s="1243"/>
      <c r="F900" s="1243"/>
      <c r="G900" s="1243"/>
      <c r="H900" s="1243"/>
      <c r="I900" s="1243"/>
      <c r="J900" s="1243"/>
      <c r="K900" s="1243"/>
      <c r="L900" s="1243"/>
      <c r="M900" s="1243"/>
      <c r="N900" s="1243"/>
      <c r="O900" s="1243"/>
    </row>
    <row r="901" spans="1:15">
      <c r="A901" s="361"/>
      <c r="D901" s="1243"/>
      <c r="E901" s="1243"/>
      <c r="F901" s="1243"/>
      <c r="G901" s="1243"/>
      <c r="H901" s="1243"/>
      <c r="I901" s="1243"/>
      <c r="J901" s="1243"/>
      <c r="K901" s="1243"/>
      <c r="L901" s="1243"/>
      <c r="M901" s="1243"/>
      <c r="N901" s="1243"/>
      <c r="O901" s="1243"/>
    </row>
    <row r="902" spans="1:15">
      <c r="A902" s="361">
        <f>A899+1</f>
        <v>23</v>
      </c>
      <c r="B902" s="363" t="s">
        <v>1774</v>
      </c>
      <c r="D902" s="1243"/>
      <c r="E902" s="1243"/>
      <c r="F902" s="1243"/>
      <c r="G902" s="1243"/>
      <c r="H902" s="1243"/>
      <c r="I902" s="1243"/>
      <c r="J902" s="1243"/>
      <c r="K902" s="1243"/>
      <c r="L902" s="1243"/>
      <c r="M902" s="1243"/>
      <c r="N902" s="1243"/>
      <c r="O902" s="1243"/>
    </row>
    <row r="903" spans="1:15">
      <c r="A903" s="361">
        <f t="shared" ref="A903:A908" si="156">A902+1</f>
        <v>24</v>
      </c>
      <c r="B903" s="365">
        <v>376</v>
      </c>
      <c r="C903" s="358" t="s">
        <v>1775</v>
      </c>
      <c r="D903" s="1243">
        <f>G789</f>
        <v>15639367.440000001</v>
      </c>
      <c r="E903" s="1243">
        <f>'WPB-2.1.D SMRP'!E340</f>
        <v>1345549.6300000004</v>
      </c>
      <c r="F903" s="1243">
        <f>'WPB-2.1.D SMRP'!F340</f>
        <v>-207</v>
      </c>
      <c r="G903" s="1243">
        <f>SUM(D903:F903)</f>
        <v>16984710.07</v>
      </c>
      <c r="H903" s="1243"/>
      <c r="I903" s="1243">
        <f>O789</f>
        <v>22528.940999999999</v>
      </c>
      <c r="J903" s="1243"/>
      <c r="K903" s="1243">
        <f>'WPB-2.1.D SMRP'!K340</f>
        <v>23652.373</v>
      </c>
      <c r="L903" s="1243">
        <v>0</v>
      </c>
      <c r="M903" s="1243">
        <f>F903</f>
        <v>-207</v>
      </c>
      <c r="N903" s="1243">
        <f>'WPB-2.1.D SMRP'!N340</f>
        <v>0</v>
      </c>
      <c r="O903" s="1243">
        <f>I903+K903+L903+M903+N903</f>
        <v>45974.313999999998</v>
      </c>
    </row>
    <row r="904" spans="1:15">
      <c r="A904" s="361">
        <f t="shared" si="156"/>
        <v>25</v>
      </c>
      <c r="B904" s="365">
        <v>378.2</v>
      </c>
      <c r="C904" s="358" t="s">
        <v>1776</v>
      </c>
      <c r="D904" s="1243">
        <f>G790</f>
        <v>-231609.45</v>
      </c>
      <c r="E904" s="1243">
        <f>'WPB-2.1.D SMRP'!E341</f>
        <v>0</v>
      </c>
      <c r="F904" s="1243">
        <f>'WPB-2.1.D SMRP'!F341</f>
        <v>-73755.900000000009</v>
      </c>
      <c r="G904" s="1243">
        <f>SUM(D904:F904)</f>
        <v>-305365.35000000003</v>
      </c>
      <c r="H904" s="1243"/>
      <c r="I904" s="1243">
        <f>O790</f>
        <v>-256468.46899999998</v>
      </c>
      <c r="J904" s="1243"/>
      <c r="K904" s="1243">
        <f>'WPB-2.1.D SMRP'!K341</f>
        <v>-563.44399999999996</v>
      </c>
      <c r="L904" s="1243">
        <v>0</v>
      </c>
      <c r="M904" s="1243">
        <f>F904</f>
        <v>-73755.900000000009</v>
      </c>
      <c r="N904" s="1243">
        <f>'WPB-2.1.D SMRP'!N341</f>
        <v>-14666.38</v>
      </c>
      <c r="O904" s="1243">
        <f>I904+K904+L904+M904+N904</f>
        <v>-345454.19299999997</v>
      </c>
    </row>
    <row r="905" spans="1:15">
      <c r="A905" s="361">
        <f t="shared" si="156"/>
        <v>26</v>
      </c>
      <c r="B905" s="365">
        <v>380</v>
      </c>
      <c r="C905" s="358" t="s">
        <v>1777</v>
      </c>
      <c r="D905" s="1243">
        <f>G791</f>
        <v>5722084.8989190357</v>
      </c>
      <c r="E905" s="1243">
        <f>'WPB-2.1.D SMRP'!E342</f>
        <v>1262751.21</v>
      </c>
      <c r="F905" s="1243">
        <f>'WPB-2.1.D SMRP'!F342</f>
        <v>-168870.39495231336</v>
      </c>
      <c r="G905" s="1243">
        <f>SUM(D905:F905)</f>
        <v>6815965.7139667226</v>
      </c>
      <c r="H905" s="1243"/>
      <c r="I905" s="1243">
        <f>O791</f>
        <v>-2778231.1823209655</v>
      </c>
      <c r="J905" s="1243"/>
      <c r="K905" s="1243">
        <f>'WPB-2.1.D SMRP'!K342</f>
        <v>20792.019</v>
      </c>
      <c r="L905" s="1243">
        <v>0</v>
      </c>
      <c r="M905" s="1243">
        <f>F905</f>
        <v>-168870.39495231336</v>
      </c>
      <c r="N905" s="1243">
        <f>'WPB-2.1.D SMRP'!N342</f>
        <v>-166411.49952499999</v>
      </c>
      <c r="O905" s="1243">
        <f>I905+K905+L905+M905+N905</f>
        <v>-3092721.057798279</v>
      </c>
    </row>
    <row r="906" spans="1:15">
      <c r="A906" s="361">
        <f t="shared" si="156"/>
        <v>27</v>
      </c>
      <c r="B906" s="365">
        <v>382</v>
      </c>
      <c r="C906" s="358" t="s">
        <v>1778</v>
      </c>
      <c r="D906" s="1243">
        <f>G792</f>
        <v>-4492.8600000000015</v>
      </c>
      <c r="E906" s="1243">
        <f>'WPB-2.1.D SMRP'!E343</f>
        <v>19772.759999999998</v>
      </c>
      <c r="F906" s="1243">
        <f>'WPB-2.1.D SMRP'!F343</f>
        <v>-9322.3200000000015</v>
      </c>
      <c r="G906" s="1243">
        <f>SUM(D906:F906)</f>
        <v>5957.5799999999963</v>
      </c>
      <c r="H906" s="1243"/>
      <c r="I906" s="1243">
        <f>O792</f>
        <v>-22202.744000000002</v>
      </c>
      <c r="J906" s="1243"/>
      <c r="K906" s="1243">
        <f>'WPB-2.1.D SMRP'!K343</f>
        <v>0.70699999999999985</v>
      </c>
      <c r="L906" s="1243">
        <v>0</v>
      </c>
      <c r="M906" s="1243">
        <f>F906</f>
        <v>-9322.3200000000015</v>
      </c>
      <c r="N906" s="1243">
        <f>'WPB-2.1.D SMRP'!N343</f>
        <v>0</v>
      </c>
      <c r="O906" s="1243">
        <f>I906+K906+L906+M906+N906</f>
        <v>-31524.357000000004</v>
      </c>
    </row>
    <row r="907" spans="1:15">
      <c r="A907" s="361">
        <f t="shared" si="156"/>
        <v>28</v>
      </c>
      <c r="B907" s="365">
        <v>383</v>
      </c>
      <c r="C907" s="358" t="s">
        <v>1779</v>
      </c>
      <c r="D907" s="1244">
        <f>G793</f>
        <v>-4365.99</v>
      </c>
      <c r="E907" s="1244">
        <f>'WPB-2.1.D SMRP'!E344</f>
        <v>0</v>
      </c>
      <c r="F907" s="1244">
        <f>'WPB-2.1.D SMRP'!F344</f>
        <v>-197.14000000000001</v>
      </c>
      <c r="G907" s="1244">
        <f>SUM(D907:F907)</f>
        <v>-4563.13</v>
      </c>
      <c r="H907" s="1243"/>
      <c r="I907" s="1244">
        <f>O793</f>
        <v>-4376.5199999999995</v>
      </c>
      <c r="J907" s="1243"/>
      <c r="K907" s="1244">
        <f>'WPB-2.1.D SMRP'!K344</f>
        <v>-7.1589999999999998</v>
      </c>
      <c r="L907" s="1244">
        <v>0</v>
      </c>
      <c r="M907" s="1244">
        <f>F907</f>
        <v>-197.14000000000001</v>
      </c>
      <c r="N907" s="1244">
        <f>'WPB-2.1.D SMRP'!N344</f>
        <v>0</v>
      </c>
      <c r="O907" s="1244">
        <f>I907+K907+L907+M907+N907</f>
        <v>-4580.8189999999995</v>
      </c>
    </row>
    <row r="908" spans="1:15">
      <c r="A908" s="361">
        <f t="shared" si="156"/>
        <v>29</v>
      </c>
      <c r="C908" s="358" t="s">
        <v>1780</v>
      </c>
      <c r="D908" s="1243">
        <f>SUM(D903:D907)</f>
        <v>21120984.038919039</v>
      </c>
      <c r="E908" s="1243">
        <f>SUM(E903:E907)</f>
        <v>2628073.6</v>
      </c>
      <c r="F908" s="1243">
        <f>SUM(F903:F907)</f>
        <v>-252352.75495231338</v>
      </c>
      <c r="G908" s="1243">
        <f>SUM(G903:G907)</f>
        <v>23496704.883966722</v>
      </c>
      <c r="H908" s="1243"/>
      <c r="I908" s="1243">
        <f>SUM(I903:I907)</f>
        <v>-3038749.9743209654</v>
      </c>
      <c r="J908" s="1243"/>
      <c r="K908" s="1243">
        <f>SUM(K903:K907)</f>
        <v>43874.496000000006</v>
      </c>
      <c r="L908" s="1243">
        <f>SUM(L903:L907)</f>
        <v>0</v>
      </c>
      <c r="M908" s="1243">
        <f>SUM(M903:M907)</f>
        <v>-252352.75495231338</v>
      </c>
      <c r="N908" s="1243">
        <f>SUM(N903:N907)</f>
        <v>-181077.879525</v>
      </c>
      <c r="O908" s="1243">
        <f>SUM(O903:O907)</f>
        <v>-3428306.1127982792</v>
      </c>
    </row>
    <row r="909" spans="1:15">
      <c r="A909" s="361"/>
      <c r="D909" s="1243"/>
      <c r="E909" s="1243"/>
      <c r="F909" s="1243"/>
      <c r="G909" s="1243"/>
      <c r="H909" s="1243"/>
      <c r="I909" s="1243"/>
      <c r="J909" s="1243"/>
      <c r="K909" s="1243"/>
      <c r="L909" s="1243"/>
      <c r="M909" s="1243"/>
      <c r="N909" s="1243"/>
      <c r="O909" s="1243"/>
    </row>
    <row r="910" spans="1:15" ht="13.5" thickBot="1">
      <c r="A910" s="361">
        <f>A908+1</f>
        <v>30</v>
      </c>
      <c r="C910" s="358" t="s">
        <v>447</v>
      </c>
      <c r="D910" s="1248">
        <f>D899+D908</f>
        <v>749747904.43000019</v>
      </c>
      <c r="E910" s="1248">
        <f>E899+E908</f>
        <v>5294405.5599999987</v>
      </c>
      <c r="F910" s="1248">
        <f>F899+F908</f>
        <v>-392640</v>
      </c>
      <c r="G910" s="1248">
        <f>G899+G908</f>
        <v>754649669.99000001</v>
      </c>
      <c r="H910" s="1243"/>
      <c r="I910" s="1248">
        <f>I899+I908</f>
        <v>163091091.22999993</v>
      </c>
      <c r="J910" s="1243"/>
      <c r="K910" s="1248">
        <f>K899+K908</f>
        <v>1843091.67</v>
      </c>
      <c r="L910" s="1248">
        <f>L899+L908</f>
        <v>0</v>
      </c>
      <c r="M910" s="1248">
        <f>M899+M908</f>
        <v>-392640</v>
      </c>
      <c r="N910" s="1248">
        <f>N899+N908</f>
        <v>-284000.28000000003</v>
      </c>
      <c r="O910" s="1248">
        <f>O899+O908</f>
        <v>164257542.62000003</v>
      </c>
    </row>
    <row r="911" spans="1:15" ht="13.5" thickTop="1"/>
    <row r="912" spans="1:15" ht="12" customHeight="1"/>
    <row r="913" spans="1:16" s="291" customFormat="1" ht="12" customHeight="1">
      <c r="A913" s="1308" t="str">
        <f>$A$1</f>
        <v>COLUMBIA GAS OF KENTUCKY, INC.</v>
      </c>
      <c r="B913" s="1308"/>
      <c r="C913" s="1308"/>
      <c r="D913" s="1308"/>
      <c r="E913" s="1308"/>
      <c r="F913" s="1308"/>
      <c r="G913" s="1308"/>
      <c r="H913" s="1308"/>
      <c r="I913" s="1308"/>
      <c r="J913" s="1308"/>
      <c r="K913" s="1308"/>
      <c r="L913" s="1308"/>
      <c r="M913" s="1308"/>
      <c r="N913" s="1308"/>
      <c r="O913" s="1308"/>
    </row>
    <row r="914" spans="1:16" s="291" customFormat="1">
      <c r="A914" s="1308" t="str">
        <f>$A$2</f>
        <v>CASE NO. 2024 - 00092</v>
      </c>
      <c r="B914" s="1308"/>
      <c r="C914" s="1308"/>
      <c r="D914" s="1308"/>
      <c r="E914" s="1308"/>
      <c r="F914" s="1308"/>
      <c r="G914" s="1308"/>
      <c r="H914" s="1308"/>
      <c r="I914" s="1308"/>
      <c r="J914" s="1308"/>
      <c r="K914" s="1308"/>
      <c r="L914" s="1308"/>
      <c r="M914" s="1308"/>
      <c r="N914" s="1308"/>
      <c r="O914" s="1308"/>
    </row>
    <row r="915" spans="1:16" s="291" customFormat="1">
      <c r="A915" s="1308" t="str">
        <f>$A$3</f>
        <v>DETAIL OF ACTUAL &amp; FORECASTED PLANT, ACCUMULATED RESERVE &amp; DEPRECIATION EXPENSE</v>
      </c>
      <c r="B915" s="1308"/>
      <c r="C915" s="1308"/>
      <c r="D915" s="1308"/>
      <c r="E915" s="1308"/>
      <c r="F915" s="1308"/>
      <c r="G915" s="1308"/>
      <c r="H915" s="1308"/>
      <c r="I915" s="1308"/>
      <c r="J915" s="1308"/>
      <c r="K915" s="1308"/>
      <c r="L915" s="1308"/>
      <c r="M915" s="1308"/>
      <c r="N915" s="1308"/>
      <c r="O915" s="1308"/>
      <c r="P915" s="357"/>
    </row>
    <row r="916" spans="1:16" s="291" customFormat="1">
      <c r="A916" s="1308" t="str">
        <f>$A$4</f>
        <v>FROM JANUARY 01, 2023 THROUGH DECEMBER 31, 2025</v>
      </c>
      <c r="B916" s="1308"/>
      <c r="C916" s="1308"/>
      <c r="D916" s="1308"/>
      <c r="E916" s="1308"/>
      <c r="F916" s="1308"/>
      <c r="G916" s="1308"/>
      <c r="H916" s="1308"/>
      <c r="I916" s="1308"/>
      <c r="J916" s="1308"/>
      <c r="K916" s="1308"/>
      <c r="L916" s="1308"/>
      <c r="M916" s="1308"/>
      <c r="N916" s="1308"/>
      <c r="O916" s="1308"/>
    </row>
    <row r="917" spans="1:16" s="291" customFormat="1">
      <c r="B917" s="293"/>
      <c r="P917" s="312"/>
    </row>
    <row r="918" spans="1:16" s="291" customFormat="1">
      <c r="A918" s="297" t="str">
        <f>$A$6</f>
        <v xml:space="preserve">DATA: _X_ BASE PERIOD _X_ FORECASTED PERIOD     </v>
      </c>
      <c r="B918" s="293"/>
      <c r="O918" s="312" t="str">
        <f>$O$6</f>
        <v>WPB-2.1.C</v>
      </c>
      <c r="P918" s="312"/>
    </row>
    <row r="919" spans="1:16" s="291" customFormat="1">
      <c r="A919" s="297" t="str">
        <f>$A$7</f>
        <v>TYPE OF FILING:___X___ORIGINAL______UPDATED</v>
      </c>
      <c r="B919" s="293"/>
      <c r="O919" s="312" t="s">
        <v>2206</v>
      </c>
      <c r="P919" s="312"/>
    </row>
    <row r="920" spans="1:16" s="291" customFormat="1">
      <c r="A920" s="297" t="str">
        <f>$A$8</f>
        <v>WORKPAPER REFERENCE NO(S).:</v>
      </c>
      <c r="B920" s="293"/>
      <c r="O920" s="312" t="str">
        <f>$O$8</f>
        <v>WITNESS: GORE</v>
      </c>
    </row>
    <row r="921" spans="1:16">
      <c r="A921" s="918"/>
      <c r="B921" s="919"/>
      <c r="C921" s="918"/>
      <c r="D921" s="918"/>
      <c r="E921" s="918"/>
      <c r="F921" s="918"/>
      <c r="G921" s="918"/>
      <c r="H921" s="918"/>
      <c r="I921" s="918"/>
      <c r="J921" s="918"/>
      <c r="K921" s="918"/>
      <c r="L921" s="918"/>
      <c r="M921" s="918"/>
      <c r="N921" s="918"/>
      <c r="O921" s="920"/>
    </row>
    <row r="922" spans="1:16">
      <c r="D922" s="1311" t="s">
        <v>1768</v>
      </c>
      <c r="E922" s="1311"/>
      <c r="F922" s="1311"/>
      <c r="G922" s="1311"/>
      <c r="I922" s="1311" t="s">
        <v>1769</v>
      </c>
      <c r="J922" s="1311"/>
      <c r="K922" s="1311"/>
      <c r="L922" s="1311"/>
      <c r="M922" s="1311"/>
      <c r="N922" s="1311"/>
      <c r="O922" s="1311"/>
    </row>
    <row r="923" spans="1:16">
      <c r="D923" s="360">
        <f>G868+1</f>
        <v>45170</v>
      </c>
      <c r="G923" s="360">
        <f>D923+29</f>
        <v>45199</v>
      </c>
      <c r="I923" s="360">
        <f>D923</f>
        <v>45170</v>
      </c>
      <c r="O923" s="360">
        <f>G923</f>
        <v>45199</v>
      </c>
    </row>
    <row r="924" spans="1:16">
      <c r="D924" s="361" t="s">
        <v>1757</v>
      </c>
      <c r="G924" s="361" t="s">
        <v>1757</v>
      </c>
      <c r="I924" s="361" t="s">
        <v>1758</v>
      </c>
      <c r="J924" s="361" t="s">
        <v>488</v>
      </c>
      <c r="L924" s="361" t="s">
        <v>1758</v>
      </c>
      <c r="O924" s="361" t="s">
        <v>1758</v>
      </c>
    </row>
    <row r="925" spans="1:16">
      <c r="A925" s="361" t="s">
        <v>1770</v>
      </c>
      <c r="B925" s="361" t="s">
        <v>368</v>
      </c>
      <c r="C925" s="361"/>
      <c r="D925" s="361" t="s">
        <v>437</v>
      </c>
      <c r="G925" s="361" t="s">
        <v>439</v>
      </c>
      <c r="I925" s="361" t="s">
        <v>437</v>
      </c>
      <c r="J925" s="361" t="s">
        <v>1771</v>
      </c>
      <c r="K925" s="361" t="s">
        <v>1772</v>
      </c>
      <c r="L925" s="361" t="s">
        <v>1759</v>
      </c>
      <c r="N925" s="361" t="s">
        <v>1760</v>
      </c>
      <c r="O925" s="361" t="s">
        <v>439</v>
      </c>
    </row>
    <row r="926" spans="1:16">
      <c r="A926" s="364" t="s">
        <v>316</v>
      </c>
      <c r="B926" s="364" t="s">
        <v>316</v>
      </c>
      <c r="C926" s="364" t="s">
        <v>451</v>
      </c>
      <c r="D926" s="364" t="s">
        <v>441</v>
      </c>
      <c r="E926" s="364" t="s">
        <v>442</v>
      </c>
      <c r="F926" s="364" t="s">
        <v>443</v>
      </c>
      <c r="G926" s="364" t="s">
        <v>441</v>
      </c>
      <c r="I926" s="364" t="s">
        <v>441</v>
      </c>
      <c r="J926" s="364" t="s">
        <v>1773</v>
      </c>
      <c r="K926" s="364" t="s">
        <v>1771</v>
      </c>
      <c r="L926" s="364" t="s">
        <v>355</v>
      </c>
      <c r="M926" s="364" t="s">
        <v>443</v>
      </c>
      <c r="N926" s="364" t="s">
        <v>1763</v>
      </c>
      <c r="O926" s="364" t="s">
        <v>441</v>
      </c>
    </row>
    <row r="927" spans="1:16">
      <c r="D927" s="361" t="s">
        <v>532</v>
      </c>
      <c r="E927" s="361" t="s">
        <v>541</v>
      </c>
      <c r="F927" s="361" t="s">
        <v>542</v>
      </c>
      <c r="G927" s="361" t="s">
        <v>1764</v>
      </c>
      <c r="I927" s="334" t="str">
        <f>"(5)"</f>
        <v>(5)</v>
      </c>
      <c r="J927" s="334" t="str">
        <f>"(6)"</f>
        <v>(6)</v>
      </c>
      <c r="K927" s="334" t="str">
        <f>"(7)"</f>
        <v>(7)</v>
      </c>
      <c r="L927" s="334" t="str">
        <f>"(8)"</f>
        <v>(8)</v>
      </c>
      <c r="M927" s="334" t="str">
        <f>"(9)"</f>
        <v>(9)</v>
      </c>
      <c r="N927" s="334" t="str">
        <f>"(10)"</f>
        <v>(10)</v>
      </c>
      <c r="O927" s="334" t="str">
        <f>"(11=5+7+8+9+10)"</f>
        <v>(11=5+7+8+9+10)</v>
      </c>
    </row>
    <row r="928" spans="1:16">
      <c r="D928" s="361" t="s">
        <v>320</v>
      </c>
      <c r="E928" s="361" t="s">
        <v>320</v>
      </c>
      <c r="F928" s="361" t="s">
        <v>320</v>
      </c>
      <c r="G928" s="361" t="s">
        <v>320</v>
      </c>
      <c r="I928" s="334" t="s">
        <v>320</v>
      </c>
      <c r="J928" s="334" t="s">
        <v>529</v>
      </c>
      <c r="K928" s="334" t="s">
        <v>320</v>
      </c>
      <c r="L928" s="334" t="s">
        <v>320</v>
      </c>
      <c r="M928" s="334" t="s">
        <v>320</v>
      </c>
      <c r="N928" s="334" t="s">
        <v>320</v>
      </c>
      <c r="O928" s="334" t="s">
        <v>320</v>
      </c>
    </row>
    <row r="929" spans="1:15">
      <c r="A929" s="361">
        <v>1</v>
      </c>
      <c r="B929" s="358" t="s">
        <v>373</v>
      </c>
      <c r="D929" s="361"/>
      <c r="E929" s="361"/>
      <c r="F929" s="361"/>
      <c r="G929" s="361"/>
      <c r="I929" s="334"/>
      <c r="J929" s="334"/>
      <c r="K929" s="334"/>
      <c r="L929" s="334"/>
      <c r="M929" s="334"/>
      <c r="N929" s="334"/>
      <c r="O929" s="334"/>
    </row>
    <row r="930" spans="1:15">
      <c r="A930" s="361">
        <f>A929+1</f>
        <v>2</v>
      </c>
      <c r="B930" s="365">
        <v>301</v>
      </c>
      <c r="C930" s="358" t="s">
        <v>374</v>
      </c>
      <c r="D930" s="1243">
        <f t="shared" ref="D930:D935" si="157">G816</f>
        <v>521.20000000000005</v>
      </c>
      <c r="E930" s="1243">
        <v>0</v>
      </c>
      <c r="F930" s="1243">
        <v>0</v>
      </c>
      <c r="G930" s="1243">
        <f t="shared" ref="G930:G935" si="158">SUM(D930:F930)</f>
        <v>521.20000000000005</v>
      </c>
      <c r="H930" s="1243"/>
      <c r="I930" s="1243">
        <f t="shared" ref="I930:I935" si="159">O816</f>
        <v>0</v>
      </c>
      <c r="J930" s="1243"/>
      <c r="K930" s="1243">
        <v>0</v>
      </c>
      <c r="L930" s="1243">
        <v>0</v>
      </c>
      <c r="M930" s="1243">
        <f t="shared" ref="M930:M935" si="160">F930</f>
        <v>0</v>
      </c>
      <c r="N930" s="1243">
        <v>0</v>
      </c>
      <c r="O930" s="1243">
        <f t="shared" ref="O930:O935" si="161">I930+K930+L930+M930+N930</f>
        <v>0</v>
      </c>
    </row>
    <row r="931" spans="1:15">
      <c r="A931" s="361">
        <f t="shared" ref="A931:A936" si="162">A930+1</f>
        <v>3</v>
      </c>
      <c r="B931" s="365">
        <v>303</v>
      </c>
      <c r="C931" s="358" t="s">
        <v>375</v>
      </c>
      <c r="D931" s="1243">
        <f t="shared" si="157"/>
        <v>96334.51</v>
      </c>
      <c r="E931" s="1243">
        <v>0</v>
      </c>
      <c r="F931" s="1243">
        <v>0</v>
      </c>
      <c r="G931" s="1243">
        <f t="shared" si="158"/>
        <v>96334.51</v>
      </c>
      <c r="H931" s="1243"/>
      <c r="I931" s="1243">
        <f t="shared" si="159"/>
        <v>77792.030000000028</v>
      </c>
      <c r="J931" s="1243"/>
      <c r="K931" s="1243">
        <v>267.58</v>
      </c>
      <c r="L931" s="1243">
        <v>0</v>
      </c>
      <c r="M931" s="1243">
        <f t="shared" si="160"/>
        <v>0</v>
      </c>
      <c r="N931" s="1243">
        <v>0</v>
      </c>
      <c r="O931" s="1243">
        <f t="shared" si="161"/>
        <v>78059.61000000003</v>
      </c>
    </row>
    <row r="932" spans="1:15">
      <c r="A932" s="361">
        <f t="shared" si="162"/>
        <v>4</v>
      </c>
      <c r="B932" s="365">
        <v>303.10000000000002</v>
      </c>
      <c r="C932" s="358" t="s">
        <v>376</v>
      </c>
      <c r="D932" s="1243">
        <f t="shared" si="157"/>
        <v>943.27</v>
      </c>
      <c r="E932" s="1243">
        <v>0</v>
      </c>
      <c r="F932" s="1243">
        <v>0</v>
      </c>
      <c r="G932" s="1243">
        <f t="shared" si="158"/>
        <v>943.27</v>
      </c>
      <c r="H932" s="1243"/>
      <c r="I932" s="1243">
        <f t="shared" si="159"/>
        <v>318.35000000000008</v>
      </c>
      <c r="J932" s="1243"/>
      <c r="K932" s="1243">
        <v>0</v>
      </c>
      <c r="L932" s="1243">
        <v>0</v>
      </c>
      <c r="M932" s="1243">
        <f t="shared" si="160"/>
        <v>0</v>
      </c>
      <c r="N932" s="1243">
        <v>0</v>
      </c>
      <c r="O932" s="1243">
        <f t="shared" si="161"/>
        <v>318.35000000000008</v>
      </c>
    </row>
    <row r="933" spans="1:15">
      <c r="A933" s="361">
        <f t="shared" si="162"/>
        <v>5</v>
      </c>
      <c r="B933" s="365">
        <v>303.2</v>
      </c>
      <c r="C933" s="358" t="s">
        <v>377</v>
      </c>
      <c r="D933" s="1243">
        <f t="shared" si="157"/>
        <v>0</v>
      </c>
      <c r="E933" s="1243">
        <v>0</v>
      </c>
      <c r="F933" s="1243">
        <v>0</v>
      </c>
      <c r="G933" s="1243">
        <f t="shared" si="158"/>
        <v>0</v>
      </c>
      <c r="H933" s="1243"/>
      <c r="I933" s="1243">
        <f t="shared" si="159"/>
        <v>0</v>
      </c>
      <c r="J933" s="1243"/>
      <c r="K933" s="1243">
        <v>0</v>
      </c>
      <c r="L933" s="1243">
        <v>0</v>
      </c>
      <c r="M933" s="1243">
        <f t="shared" si="160"/>
        <v>0</v>
      </c>
      <c r="N933" s="1243">
        <v>0</v>
      </c>
      <c r="O933" s="1243">
        <f t="shared" si="161"/>
        <v>0</v>
      </c>
    </row>
    <row r="934" spans="1:15">
      <c r="A934" s="361">
        <f t="shared" si="162"/>
        <v>6</v>
      </c>
      <c r="B934" s="365">
        <v>303.3</v>
      </c>
      <c r="C934" s="358" t="s">
        <v>378</v>
      </c>
      <c r="D934" s="1243">
        <f t="shared" si="157"/>
        <v>12577227.530000001</v>
      </c>
      <c r="E934" s="1243">
        <v>83014.900000000009</v>
      </c>
      <c r="F934" s="1243">
        <v>-24342.89</v>
      </c>
      <c r="G934" s="1243">
        <f t="shared" si="158"/>
        <v>12635899.540000001</v>
      </c>
      <c r="H934" s="1243"/>
      <c r="I934" s="1243">
        <f t="shared" si="159"/>
        <v>6222746.7800000021</v>
      </c>
      <c r="J934" s="1243"/>
      <c r="K934" s="1243">
        <v>200681.25</v>
      </c>
      <c r="L934" s="1243">
        <v>0</v>
      </c>
      <c r="M934" s="1243">
        <f t="shared" si="160"/>
        <v>-24342.89</v>
      </c>
      <c r="N934" s="1243">
        <v>0</v>
      </c>
      <c r="O934" s="1243">
        <f t="shared" si="161"/>
        <v>6399085.1400000025</v>
      </c>
    </row>
    <row r="935" spans="1:15">
      <c r="A935" s="361">
        <f t="shared" si="162"/>
        <v>7</v>
      </c>
      <c r="B935" s="365">
        <v>303.99</v>
      </c>
      <c r="C935" s="358" t="s">
        <v>1129</v>
      </c>
      <c r="D935" s="1244">
        <f t="shared" si="157"/>
        <v>1956565.7100000002</v>
      </c>
      <c r="E935" s="1244">
        <v>913.93000000000006</v>
      </c>
      <c r="F935" s="1244">
        <v>-23961.41</v>
      </c>
      <c r="G935" s="1244">
        <f t="shared" si="158"/>
        <v>1933518.2300000002</v>
      </c>
      <c r="H935" s="1243"/>
      <c r="I935" s="1244">
        <f t="shared" si="159"/>
        <v>904786.20000000007</v>
      </c>
      <c r="J935" s="1243"/>
      <c r="K935" s="1244">
        <v>33158.410000000003</v>
      </c>
      <c r="L935" s="1244">
        <v>0</v>
      </c>
      <c r="M935" s="1244">
        <f t="shared" si="160"/>
        <v>-23961.41</v>
      </c>
      <c r="N935" s="1244">
        <v>0</v>
      </c>
      <c r="O935" s="1244">
        <f t="shared" si="161"/>
        <v>913983.20000000007</v>
      </c>
    </row>
    <row r="936" spans="1:15">
      <c r="A936" s="361">
        <f t="shared" si="162"/>
        <v>8</v>
      </c>
      <c r="B936" s="367"/>
      <c r="C936" s="358" t="s">
        <v>379</v>
      </c>
      <c r="D936" s="1243">
        <f>SUM(D930:D935)</f>
        <v>14631592.220000003</v>
      </c>
      <c r="E936" s="1243">
        <f>SUM(E930:E935)</f>
        <v>83928.83</v>
      </c>
      <c r="F936" s="1243">
        <f>SUM(F930:F935)</f>
        <v>-48304.3</v>
      </c>
      <c r="G936" s="1243">
        <f>SUM(G930:G935)</f>
        <v>14667216.750000002</v>
      </c>
      <c r="H936" s="1243"/>
      <c r="I936" s="1243">
        <f>SUM(I930:I935)</f>
        <v>7205643.3600000022</v>
      </c>
      <c r="J936" s="1243"/>
      <c r="K936" s="1243">
        <f>SUM(K930:K935)</f>
        <v>234107.24</v>
      </c>
      <c r="L936" s="1243">
        <f>SUM(L930:L935)</f>
        <v>0</v>
      </c>
      <c r="M936" s="1243">
        <f>SUM(M930:M935)</f>
        <v>-48304.3</v>
      </c>
      <c r="N936" s="1243">
        <f>SUM(N930:N935)</f>
        <v>0</v>
      </c>
      <c r="O936" s="1243">
        <f>SUM(O930:O935)</f>
        <v>7391446.3000000026</v>
      </c>
    </row>
    <row r="937" spans="1:15">
      <c r="A937" s="361"/>
      <c r="B937" s="367"/>
      <c r="C937" s="368"/>
      <c r="D937" s="1243"/>
      <c r="E937" s="1243"/>
      <c r="F937" s="1243"/>
      <c r="G937" s="1243"/>
      <c r="H937" s="1243"/>
      <c r="I937" s="1243"/>
      <c r="J937" s="1243"/>
      <c r="K937" s="1243"/>
      <c r="L937" s="1243"/>
      <c r="M937" s="1243"/>
      <c r="N937" s="1243"/>
      <c r="O937" s="1243"/>
    </row>
    <row r="938" spans="1:15">
      <c r="A938" s="361">
        <f>A936+1</f>
        <v>9</v>
      </c>
      <c r="B938" s="358" t="s">
        <v>1600</v>
      </c>
      <c r="C938" s="368"/>
      <c r="D938" s="1243"/>
      <c r="E938" s="1243"/>
      <c r="F938" s="1243"/>
      <c r="G938" s="1243"/>
      <c r="H938" s="1243"/>
      <c r="I938" s="1243"/>
      <c r="J938" s="1243"/>
      <c r="K938" s="1243"/>
      <c r="L938" s="1243"/>
      <c r="M938" s="1243"/>
      <c r="N938" s="1243"/>
      <c r="O938" s="1243"/>
    </row>
    <row r="939" spans="1:15">
      <c r="A939" s="361">
        <f t="shared" ref="A939:A969" si="163">A938+1</f>
        <v>10</v>
      </c>
      <c r="B939" s="365">
        <v>374.1</v>
      </c>
      <c r="C939" s="358" t="s">
        <v>382</v>
      </c>
      <c r="D939" s="1243">
        <f t="shared" ref="D939:D968" si="164">G825</f>
        <v>206</v>
      </c>
      <c r="E939" s="1243">
        <v>0</v>
      </c>
      <c r="F939" s="1243">
        <v>0</v>
      </c>
      <c r="G939" s="1243">
        <f>SUM(D939:F939)</f>
        <v>206</v>
      </c>
      <c r="H939" s="1243"/>
      <c r="I939" s="1243">
        <f t="shared" ref="I939:I968" si="165">O825</f>
        <v>0</v>
      </c>
      <c r="J939" s="1243"/>
      <c r="K939" s="1243">
        <v>0</v>
      </c>
      <c r="L939" s="1243">
        <v>0</v>
      </c>
      <c r="M939" s="1243">
        <f t="shared" ref="M939:M968" si="166">F939</f>
        <v>0</v>
      </c>
      <c r="N939" s="1243">
        <v>0</v>
      </c>
      <c r="O939" s="1243">
        <f t="shared" ref="O939:O968" si="167">I939+K939+L939+M939+N939</f>
        <v>0</v>
      </c>
    </row>
    <row r="940" spans="1:15">
      <c r="A940" s="361">
        <f t="shared" si="163"/>
        <v>11</v>
      </c>
      <c r="B940" s="365">
        <v>374.2</v>
      </c>
      <c r="C940" s="358" t="s">
        <v>383</v>
      </c>
      <c r="D940" s="1243">
        <f t="shared" si="164"/>
        <v>876986.66</v>
      </c>
      <c r="E940" s="1243">
        <v>0</v>
      </c>
      <c r="F940" s="1243">
        <v>0</v>
      </c>
      <c r="G940" s="1243">
        <f t="shared" ref="G940:G968" si="168">SUM(D940:F940)</f>
        <v>876986.66</v>
      </c>
      <c r="H940" s="1243"/>
      <c r="I940" s="1243">
        <f t="shared" si="165"/>
        <v>-522.25</v>
      </c>
      <c r="J940" s="1243"/>
      <c r="K940" s="1243">
        <v>0</v>
      </c>
      <c r="L940" s="1243">
        <v>0</v>
      </c>
      <c r="M940" s="1243">
        <f t="shared" si="166"/>
        <v>0</v>
      </c>
      <c r="N940" s="1243">
        <v>0</v>
      </c>
      <c r="O940" s="1243">
        <f t="shared" si="167"/>
        <v>-522.25</v>
      </c>
    </row>
    <row r="941" spans="1:15">
      <c r="A941" s="361">
        <f t="shared" si="163"/>
        <v>12</v>
      </c>
      <c r="B941" s="365">
        <v>374.4</v>
      </c>
      <c r="C941" s="358" t="s">
        <v>384</v>
      </c>
      <c r="D941" s="1243">
        <f t="shared" si="164"/>
        <v>2861108.18</v>
      </c>
      <c r="E941" s="1243">
        <v>31922.02</v>
      </c>
      <c r="F941" s="1243">
        <v>0</v>
      </c>
      <c r="G941" s="1243">
        <f t="shared" si="168"/>
        <v>2893030.2</v>
      </c>
      <c r="H941" s="1243"/>
      <c r="I941" s="1243">
        <f t="shared" si="165"/>
        <v>356612.05</v>
      </c>
      <c r="J941" s="1243"/>
      <c r="K941" s="1243">
        <v>3044.9</v>
      </c>
      <c r="L941" s="1243">
        <v>0</v>
      </c>
      <c r="M941" s="1243">
        <f t="shared" si="166"/>
        <v>0</v>
      </c>
      <c r="N941" s="1243">
        <v>0</v>
      </c>
      <c r="O941" s="1243">
        <f t="shared" si="167"/>
        <v>359656.95</v>
      </c>
    </row>
    <row r="942" spans="1:15">
      <c r="A942" s="361">
        <f t="shared" si="163"/>
        <v>13</v>
      </c>
      <c r="B942" s="365">
        <v>374.5</v>
      </c>
      <c r="C942" s="358" t="s">
        <v>385</v>
      </c>
      <c r="D942" s="1243">
        <f t="shared" si="164"/>
        <v>2666577.16</v>
      </c>
      <c r="E942" s="1243">
        <v>0</v>
      </c>
      <c r="F942" s="1243">
        <v>0</v>
      </c>
      <c r="G942" s="1243">
        <f t="shared" si="168"/>
        <v>2666577.16</v>
      </c>
      <c r="H942" s="1243"/>
      <c r="I942" s="1243">
        <f t="shared" si="165"/>
        <v>1146522.0300000007</v>
      </c>
      <c r="J942" s="1243"/>
      <c r="K942" s="1243">
        <v>2444.36</v>
      </c>
      <c r="L942" s="1243">
        <v>0</v>
      </c>
      <c r="M942" s="1243">
        <f t="shared" si="166"/>
        <v>0</v>
      </c>
      <c r="N942" s="1243">
        <v>0</v>
      </c>
      <c r="O942" s="1243">
        <f t="shared" si="167"/>
        <v>1148966.3900000008</v>
      </c>
    </row>
    <row r="943" spans="1:15">
      <c r="A943" s="361">
        <f t="shared" si="163"/>
        <v>14</v>
      </c>
      <c r="B943" s="365">
        <v>375.2</v>
      </c>
      <c r="C943" s="358" t="s">
        <v>386</v>
      </c>
      <c r="D943" s="1243">
        <f t="shared" si="164"/>
        <v>2124.98</v>
      </c>
      <c r="E943" s="1243">
        <v>0</v>
      </c>
      <c r="F943" s="1243">
        <v>0</v>
      </c>
      <c r="G943" s="1243">
        <f t="shared" si="168"/>
        <v>2124.98</v>
      </c>
      <c r="H943" s="1243"/>
      <c r="I943" s="1243">
        <f t="shared" si="165"/>
        <v>2058.92</v>
      </c>
      <c r="J943" s="1243"/>
      <c r="K943" s="1243">
        <v>0.73</v>
      </c>
      <c r="L943" s="1243">
        <v>0</v>
      </c>
      <c r="M943" s="1243">
        <f t="shared" si="166"/>
        <v>0</v>
      </c>
      <c r="N943" s="1243">
        <v>0</v>
      </c>
      <c r="O943" s="1243">
        <f t="shared" si="167"/>
        <v>2059.65</v>
      </c>
    </row>
    <row r="944" spans="1:15">
      <c r="A944" s="361">
        <f t="shared" si="163"/>
        <v>15</v>
      </c>
      <c r="B944" s="365">
        <v>375.3</v>
      </c>
      <c r="C944" s="358" t="s">
        <v>387</v>
      </c>
      <c r="D944" s="1243">
        <f t="shared" si="164"/>
        <v>0</v>
      </c>
      <c r="E944" s="1243">
        <v>0</v>
      </c>
      <c r="F944" s="1243">
        <v>0</v>
      </c>
      <c r="G944" s="1243">
        <f t="shared" si="168"/>
        <v>0</v>
      </c>
      <c r="H944" s="1243"/>
      <c r="I944" s="1243">
        <f t="shared" si="165"/>
        <v>-77.66</v>
      </c>
      <c r="J944" s="1243"/>
      <c r="K944" s="1243">
        <v>0</v>
      </c>
      <c r="L944" s="1243">
        <v>0</v>
      </c>
      <c r="M944" s="1243">
        <f t="shared" si="166"/>
        <v>0</v>
      </c>
      <c r="N944" s="1243">
        <v>0</v>
      </c>
      <c r="O944" s="1243">
        <f t="shared" si="167"/>
        <v>-77.66</v>
      </c>
    </row>
    <row r="945" spans="1:15">
      <c r="A945" s="361">
        <f t="shared" si="163"/>
        <v>16</v>
      </c>
      <c r="B945" s="365">
        <v>375.4</v>
      </c>
      <c r="C945" s="358" t="s">
        <v>388</v>
      </c>
      <c r="D945" s="1243">
        <f t="shared" si="164"/>
        <v>2987096.9299999992</v>
      </c>
      <c r="E945" s="1243">
        <v>0</v>
      </c>
      <c r="F945" s="1243">
        <v>-443.09000000000003</v>
      </c>
      <c r="G945" s="1243">
        <f t="shared" si="168"/>
        <v>2986653.8399999994</v>
      </c>
      <c r="H945" s="1243"/>
      <c r="I945" s="1243">
        <f t="shared" si="165"/>
        <v>586434.80000000005</v>
      </c>
      <c r="J945" s="1243"/>
      <c r="K945" s="1243">
        <v>5401.27</v>
      </c>
      <c r="L945" s="1243">
        <v>0</v>
      </c>
      <c r="M945" s="1243">
        <f t="shared" si="166"/>
        <v>-443.09000000000003</v>
      </c>
      <c r="N945" s="1243">
        <v>0</v>
      </c>
      <c r="O945" s="1243">
        <f t="shared" si="167"/>
        <v>591392.9800000001</v>
      </c>
    </row>
    <row r="946" spans="1:15">
      <c r="A946" s="361">
        <f t="shared" si="163"/>
        <v>17</v>
      </c>
      <c r="B946" s="365">
        <v>375.6</v>
      </c>
      <c r="C946" s="358" t="s">
        <v>389</v>
      </c>
      <c r="D946" s="1243">
        <f t="shared" si="164"/>
        <v>0</v>
      </c>
      <c r="E946" s="1243">
        <v>0</v>
      </c>
      <c r="F946" s="1243">
        <v>0</v>
      </c>
      <c r="G946" s="1243">
        <f t="shared" si="168"/>
        <v>0</v>
      </c>
      <c r="H946" s="1243"/>
      <c r="I946" s="1243">
        <f t="shared" si="165"/>
        <v>0.02</v>
      </c>
      <c r="J946" s="1243"/>
      <c r="K946" s="1243">
        <v>0</v>
      </c>
      <c r="L946" s="1243">
        <v>0</v>
      </c>
      <c r="M946" s="1243">
        <f t="shared" si="166"/>
        <v>0</v>
      </c>
      <c r="N946" s="1243">
        <v>0</v>
      </c>
      <c r="O946" s="1243">
        <f t="shared" si="167"/>
        <v>0.02</v>
      </c>
    </row>
    <row r="947" spans="1:15">
      <c r="A947" s="361">
        <f t="shared" si="163"/>
        <v>18</v>
      </c>
      <c r="B947" s="365">
        <v>375.7</v>
      </c>
      <c r="C947" s="358" t="s">
        <v>390</v>
      </c>
      <c r="D947" s="1243">
        <f t="shared" si="164"/>
        <v>9423416.1899999995</v>
      </c>
      <c r="E947" s="1243">
        <v>101015.88</v>
      </c>
      <c r="F947" s="1243">
        <v>0</v>
      </c>
      <c r="G947" s="1243">
        <f t="shared" si="168"/>
        <v>9524432.0700000003</v>
      </c>
      <c r="H947" s="1243"/>
      <c r="I947" s="1243">
        <f t="shared" si="165"/>
        <v>4622887.4999999981</v>
      </c>
      <c r="J947" s="1243"/>
      <c r="K947" s="1243">
        <v>18474.150000000001</v>
      </c>
      <c r="L947" s="1243">
        <v>0</v>
      </c>
      <c r="M947" s="1243">
        <f t="shared" si="166"/>
        <v>0</v>
      </c>
      <c r="N947" s="1243">
        <v>0</v>
      </c>
      <c r="O947" s="1243">
        <f t="shared" si="167"/>
        <v>4641361.6499999985</v>
      </c>
    </row>
    <row r="948" spans="1:15">
      <c r="A948" s="361">
        <f t="shared" si="163"/>
        <v>19</v>
      </c>
      <c r="B948" s="365">
        <v>375.71</v>
      </c>
      <c r="C948" s="358" t="s">
        <v>391</v>
      </c>
      <c r="D948" s="1243">
        <f t="shared" si="164"/>
        <v>880994.59</v>
      </c>
      <c r="E948" s="1243">
        <v>0</v>
      </c>
      <c r="F948" s="1243">
        <v>0</v>
      </c>
      <c r="G948" s="1243">
        <f t="shared" si="168"/>
        <v>880994.59</v>
      </c>
      <c r="H948" s="1243"/>
      <c r="I948" s="1243">
        <f t="shared" si="165"/>
        <v>739988.99000000022</v>
      </c>
      <c r="J948" s="1243"/>
      <c r="K948" s="1243">
        <v>4743.53</v>
      </c>
      <c r="L948" s="1243">
        <v>0</v>
      </c>
      <c r="M948" s="1243">
        <f t="shared" si="166"/>
        <v>0</v>
      </c>
      <c r="N948" s="1243">
        <v>0</v>
      </c>
      <c r="O948" s="1243">
        <f t="shared" si="167"/>
        <v>744732.52000000025</v>
      </c>
    </row>
    <row r="949" spans="1:15">
      <c r="A949" s="361">
        <f t="shared" si="163"/>
        <v>20</v>
      </c>
      <c r="B949" s="365">
        <v>375.8</v>
      </c>
      <c r="C949" s="358" t="s">
        <v>392</v>
      </c>
      <c r="D949" s="1243">
        <f t="shared" si="164"/>
        <v>132125.04</v>
      </c>
      <c r="E949" s="1243">
        <v>0</v>
      </c>
      <c r="F949" s="1243">
        <v>0</v>
      </c>
      <c r="G949" s="1243">
        <f t="shared" si="168"/>
        <v>132125.04</v>
      </c>
      <c r="H949" s="1243"/>
      <c r="I949" s="1243">
        <f t="shared" si="165"/>
        <v>8483.93</v>
      </c>
      <c r="J949" s="1243"/>
      <c r="K949" s="1243">
        <v>585.75</v>
      </c>
      <c r="L949" s="1243">
        <v>0</v>
      </c>
      <c r="M949" s="1243">
        <f t="shared" si="166"/>
        <v>0</v>
      </c>
      <c r="N949" s="1243">
        <v>0</v>
      </c>
      <c r="O949" s="1243">
        <f t="shared" si="167"/>
        <v>9069.68</v>
      </c>
    </row>
    <row r="950" spans="1:15">
      <c r="A950" s="361">
        <f t="shared" si="163"/>
        <v>21</v>
      </c>
      <c r="B950" s="365">
        <v>376</v>
      </c>
      <c r="C950" s="358" t="s">
        <v>1621</v>
      </c>
      <c r="D950" s="1243">
        <f t="shared" si="164"/>
        <v>404890818.35999995</v>
      </c>
      <c r="E950" s="1243">
        <f>'WPB-2.1.D SMRP'!E395</f>
        <v>2157734.6900000004</v>
      </c>
      <c r="F950" s="1243">
        <f>'WPB-2.1.D SMRP'!F395</f>
        <v>-276329.2</v>
      </c>
      <c r="G950" s="1243">
        <f t="shared" si="168"/>
        <v>406772223.84999996</v>
      </c>
      <c r="H950" s="1243"/>
      <c r="I950" s="1243">
        <f t="shared" si="165"/>
        <v>78460496.83600001</v>
      </c>
      <c r="J950" s="1243"/>
      <c r="K950" s="1243">
        <f>'WPB-2.1.D SMRP'!K395</f>
        <v>584912.22100000002</v>
      </c>
      <c r="L950" s="1243">
        <v>0</v>
      </c>
      <c r="M950" s="1243">
        <f>F950</f>
        <v>-276329.2</v>
      </c>
      <c r="N950" s="1243">
        <f>'WPB-2.1.D SMRP'!N395</f>
        <v>-16033.49</v>
      </c>
      <c r="O950" s="1243">
        <f t="shared" si="167"/>
        <v>78753046.367000014</v>
      </c>
    </row>
    <row r="951" spans="1:15">
      <c r="A951" s="361">
        <f t="shared" si="163"/>
        <v>22</v>
      </c>
      <c r="B951" s="365">
        <v>378.1</v>
      </c>
      <c r="C951" s="358" t="s">
        <v>394</v>
      </c>
      <c r="D951" s="1243">
        <f t="shared" si="164"/>
        <v>571573.2300000001</v>
      </c>
      <c r="E951" s="1243">
        <v>0</v>
      </c>
      <c r="F951" s="1243">
        <v>0</v>
      </c>
      <c r="G951" s="1243">
        <f t="shared" si="168"/>
        <v>571573.2300000001</v>
      </c>
      <c r="H951" s="1243"/>
      <c r="I951" s="1243">
        <f t="shared" si="165"/>
        <v>408058.43999999994</v>
      </c>
      <c r="J951" s="1243"/>
      <c r="K951" s="1243">
        <v>1032.32</v>
      </c>
      <c r="L951" s="1243">
        <v>0</v>
      </c>
      <c r="M951" s="1243">
        <f t="shared" si="166"/>
        <v>0</v>
      </c>
      <c r="N951" s="1243">
        <v>0</v>
      </c>
      <c r="O951" s="1243">
        <f t="shared" si="167"/>
        <v>409090.75999999995</v>
      </c>
    </row>
    <row r="952" spans="1:15">
      <c r="A952" s="361">
        <f t="shared" si="163"/>
        <v>23</v>
      </c>
      <c r="B952" s="365">
        <v>378.2</v>
      </c>
      <c r="C952" s="358" t="s">
        <v>1622</v>
      </c>
      <c r="D952" s="1243">
        <f t="shared" si="164"/>
        <v>25274999.670000002</v>
      </c>
      <c r="E952" s="1243">
        <f>'WPB-2.1.D SMRP'!E399</f>
        <v>76624.100000000006</v>
      </c>
      <c r="F952" s="1243">
        <f>'WPB-2.1.D SMRP'!F399</f>
        <v>0</v>
      </c>
      <c r="G952" s="1243">
        <f t="shared" si="168"/>
        <v>25351623.770000003</v>
      </c>
      <c r="H952" s="1243"/>
      <c r="I952" s="1243">
        <f t="shared" si="165"/>
        <v>3203022.3629999999</v>
      </c>
      <c r="J952" s="1243"/>
      <c r="K952" s="1243">
        <f>'WPB-2.1.D SMRP'!K399</f>
        <v>53314.778999999995</v>
      </c>
      <c r="L952" s="1243">
        <v>0</v>
      </c>
      <c r="M952" s="1243">
        <f>F952</f>
        <v>0</v>
      </c>
      <c r="N952" s="1243">
        <f>'WPB-2.1.D SMRP'!N399</f>
        <v>-19.769999999999982</v>
      </c>
      <c r="O952" s="1243">
        <f t="shared" si="167"/>
        <v>3256317.372</v>
      </c>
    </row>
    <row r="953" spans="1:15">
      <c r="A953" s="361">
        <f t="shared" si="163"/>
        <v>24</v>
      </c>
      <c r="B953" s="365">
        <v>378.3</v>
      </c>
      <c r="C953" s="358" t="s">
        <v>396</v>
      </c>
      <c r="D953" s="1243">
        <f t="shared" si="164"/>
        <v>45443.08</v>
      </c>
      <c r="E953" s="1243">
        <v>0</v>
      </c>
      <c r="F953" s="1243">
        <v>0</v>
      </c>
      <c r="G953" s="1243">
        <f t="shared" si="168"/>
        <v>45443.08</v>
      </c>
      <c r="H953" s="1243"/>
      <c r="I953" s="1243">
        <f t="shared" si="165"/>
        <v>42785.740000000005</v>
      </c>
      <c r="J953" s="1243"/>
      <c r="K953" s="1243">
        <v>95.43</v>
      </c>
      <c r="L953" s="1243">
        <v>0</v>
      </c>
      <c r="M953" s="1243">
        <f t="shared" si="166"/>
        <v>0</v>
      </c>
      <c r="N953" s="1243">
        <v>0</v>
      </c>
      <c r="O953" s="1243">
        <f t="shared" si="167"/>
        <v>42881.170000000006</v>
      </c>
    </row>
    <row r="954" spans="1:15">
      <c r="A954" s="361">
        <f t="shared" si="163"/>
        <v>25</v>
      </c>
      <c r="B954" s="365">
        <v>379.1</v>
      </c>
      <c r="C954" s="358" t="s">
        <v>397</v>
      </c>
      <c r="D954" s="1243">
        <f t="shared" si="164"/>
        <v>1554144.06</v>
      </c>
      <c r="E954" s="1243">
        <v>0</v>
      </c>
      <c r="F954" s="1243">
        <v>0</v>
      </c>
      <c r="G954" s="1243">
        <f t="shared" si="168"/>
        <v>1554144.06</v>
      </c>
      <c r="H954" s="1243"/>
      <c r="I954" s="1243">
        <f t="shared" si="165"/>
        <v>338848.05000000005</v>
      </c>
      <c r="J954" s="1243"/>
      <c r="K954" s="1243">
        <v>3134.19</v>
      </c>
      <c r="L954" s="1243">
        <v>0</v>
      </c>
      <c r="M954" s="1243">
        <f t="shared" si="166"/>
        <v>0</v>
      </c>
      <c r="N954" s="1243">
        <v>0</v>
      </c>
      <c r="O954" s="1243">
        <f t="shared" si="167"/>
        <v>341982.24000000005</v>
      </c>
    </row>
    <row r="955" spans="1:15">
      <c r="A955" s="361">
        <f t="shared" si="163"/>
        <v>26</v>
      </c>
      <c r="B955" s="365">
        <v>380</v>
      </c>
      <c r="C955" s="358" t="s">
        <v>1623</v>
      </c>
      <c r="D955" s="1243">
        <f t="shared" si="164"/>
        <v>198125758.45603326</v>
      </c>
      <c r="E955" s="1243">
        <f>'WPB-2.1.D SMRP'!E403</f>
        <v>920025.96999999974</v>
      </c>
      <c r="F955" s="1243">
        <f>'WPB-2.1.D SMRP'!F403</f>
        <v>-54335.109542632825</v>
      </c>
      <c r="G955" s="1243">
        <f t="shared" si="168"/>
        <v>198991449.31649062</v>
      </c>
      <c r="H955" s="1243"/>
      <c r="I955" s="1243">
        <f t="shared" si="165"/>
        <v>56836943.667798288</v>
      </c>
      <c r="J955" s="1243"/>
      <c r="K955" s="1243">
        <f>'WPB-2.1.D SMRP'!K403</f>
        <v>677220.473</v>
      </c>
      <c r="L955" s="1243">
        <v>0</v>
      </c>
      <c r="M955" s="1243">
        <f>F955</f>
        <v>-54335.109542632825</v>
      </c>
      <c r="N955" s="1243">
        <f>'WPB-2.1.D SMRP'!N403</f>
        <v>-28206.437448000011</v>
      </c>
      <c r="O955" s="1243">
        <f t="shared" si="167"/>
        <v>57431622.593807653</v>
      </c>
    </row>
    <row r="956" spans="1:15">
      <c r="A956" s="361">
        <f t="shared" si="163"/>
        <v>27</v>
      </c>
      <c r="B956" s="365">
        <v>381</v>
      </c>
      <c r="C956" s="358" t="s">
        <v>399</v>
      </c>
      <c r="D956" s="1243">
        <f t="shared" si="164"/>
        <v>18140436.200000003</v>
      </c>
      <c r="E956" s="1243">
        <v>113163.63</v>
      </c>
      <c r="F956" s="1243">
        <v>-62906.37</v>
      </c>
      <c r="G956" s="1243">
        <f t="shared" si="168"/>
        <v>18190693.460000001</v>
      </c>
      <c r="H956" s="1243"/>
      <c r="I956" s="1243">
        <f t="shared" si="165"/>
        <v>2538069.77</v>
      </c>
      <c r="J956" s="1243"/>
      <c r="K956" s="1243">
        <v>40254.57</v>
      </c>
      <c r="L956" s="1243">
        <v>0</v>
      </c>
      <c r="M956" s="1243">
        <f t="shared" si="166"/>
        <v>-62906.37</v>
      </c>
      <c r="N956" s="1243">
        <v>-11833.79</v>
      </c>
      <c r="O956" s="1243">
        <f t="shared" si="167"/>
        <v>2503584.1799999997</v>
      </c>
    </row>
    <row r="957" spans="1:15">
      <c r="A957" s="361">
        <f t="shared" si="163"/>
        <v>28</v>
      </c>
      <c r="B957" s="365">
        <v>381.1</v>
      </c>
      <c r="C957" s="358" t="s">
        <v>2366</v>
      </c>
      <c r="D957" s="1243">
        <f t="shared" si="164"/>
        <v>9980854.4800000004</v>
      </c>
      <c r="E957" s="1243">
        <v>0</v>
      </c>
      <c r="F957" s="1243">
        <v>0</v>
      </c>
      <c r="G957" s="1243">
        <f t="shared" si="168"/>
        <v>9980854.4800000004</v>
      </c>
      <c r="H957" s="1243"/>
      <c r="I957" s="1243">
        <f t="shared" si="165"/>
        <v>5112243.0900000017</v>
      </c>
      <c r="J957" s="1243"/>
      <c r="K957" s="1243">
        <v>62213.99</v>
      </c>
      <c r="L957" s="1243">
        <v>0</v>
      </c>
      <c r="M957" s="1243">
        <f t="shared" si="166"/>
        <v>0</v>
      </c>
      <c r="N957" s="1243">
        <v>0</v>
      </c>
      <c r="O957" s="1243">
        <f t="shared" si="167"/>
        <v>5174457.0800000019</v>
      </c>
    </row>
    <row r="958" spans="1:15">
      <c r="A958" s="361">
        <f t="shared" si="163"/>
        <v>29</v>
      </c>
      <c r="B958" s="365">
        <v>382</v>
      </c>
      <c r="C958" s="358" t="s">
        <v>1624</v>
      </c>
      <c r="D958" s="1243">
        <f t="shared" si="164"/>
        <v>10245635.59</v>
      </c>
      <c r="E958" s="1243">
        <f>'WPB-2.1.D SMRP'!E407</f>
        <v>57490.770000000004</v>
      </c>
      <c r="F958" s="1243">
        <f>'WPB-2.1.D SMRP'!F407</f>
        <v>0</v>
      </c>
      <c r="G958" s="1243">
        <f t="shared" si="168"/>
        <v>10303126.359999999</v>
      </c>
      <c r="H958" s="1243"/>
      <c r="I958" s="1243">
        <f t="shared" si="165"/>
        <v>5781246.1770000011</v>
      </c>
      <c r="J958" s="1243"/>
      <c r="K958" s="1243">
        <f>'WPB-2.1.D SMRP'!K407</f>
        <v>15154.502</v>
      </c>
      <c r="L958" s="1243">
        <v>0</v>
      </c>
      <c r="M958" s="1243">
        <f t="shared" si="166"/>
        <v>0</v>
      </c>
      <c r="N958" s="1243">
        <f>'WPB-2.1.D SMRP'!N407</f>
        <v>0</v>
      </c>
      <c r="O958" s="1243">
        <f t="shared" si="167"/>
        <v>5796400.6790000014</v>
      </c>
    </row>
    <row r="959" spans="1:15">
      <c r="A959" s="361">
        <f t="shared" si="163"/>
        <v>30</v>
      </c>
      <c r="B959" s="365">
        <v>383</v>
      </c>
      <c r="C959" s="358" t="s">
        <v>1625</v>
      </c>
      <c r="D959" s="1243">
        <f t="shared" si="164"/>
        <v>7222271.4199999999</v>
      </c>
      <c r="E959" s="1243">
        <f>'WPB-2.1.D SMRP'!E411</f>
        <v>30958.080000000002</v>
      </c>
      <c r="F959" s="1243">
        <f>'WPB-2.1.D SMRP'!F411</f>
        <v>0</v>
      </c>
      <c r="G959" s="1243">
        <f t="shared" si="168"/>
        <v>7253229.5</v>
      </c>
      <c r="H959" s="1243"/>
      <c r="I959" s="1243">
        <f t="shared" si="165"/>
        <v>2439376.5290000001</v>
      </c>
      <c r="J959" s="1243"/>
      <c r="K959" s="1243">
        <f>'WPB-2.1.D SMRP'!K411</f>
        <v>11700.655000000001</v>
      </c>
      <c r="L959" s="1243">
        <v>0</v>
      </c>
      <c r="M959" s="1243">
        <f t="shared" si="166"/>
        <v>0</v>
      </c>
      <c r="N959" s="1243">
        <f>'WPB-2.1.D SMRP'!N411</f>
        <v>0</v>
      </c>
      <c r="O959" s="1243">
        <f t="shared" si="167"/>
        <v>2451077.1839999999</v>
      </c>
    </row>
    <row r="960" spans="1:15">
      <c r="A960" s="361">
        <f t="shared" si="163"/>
        <v>31</v>
      </c>
      <c r="B960" s="365">
        <v>384</v>
      </c>
      <c r="C960" s="358" t="s">
        <v>402</v>
      </c>
      <c r="D960" s="1243">
        <f t="shared" si="164"/>
        <v>2085058.65</v>
      </c>
      <c r="E960" s="1243">
        <v>0</v>
      </c>
      <c r="F960" s="1243">
        <v>0</v>
      </c>
      <c r="G960" s="1243">
        <f t="shared" si="168"/>
        <v>2085058.65</v>
      </c>
      <c r="H960" s="1243"/>
      <c r="I960" s="1243">
        <f t="shared" si="165"/>
        <v>1721441.0199999996</v>
      </c>
      <c r="J960" s="1243"/>
      <c r="K960" s="1243">
        <v>1720.17</v>
      </c>
      <c r="L960" s="1243">
        <v>0</v>
      </c>
      <c r="M960" s="1243">
        <f t="shared" si="166"/>
        <v>0</v>
      </c>
      <c r="N960" s="1243">
        <v>0</v>
      </c>
      <c r="O960" s="1243">
        <f t="shared" si="167"/>
        <v>1723161.1899999995</v>
      </c>
    </row>
    <row r="961" spans="1:16">
      <c r="A961" s="361">
        <f t="shared" si="163"/>
        <v>32</v>
      </c>
      <c r="B961" s="365">
        <v>385</v>
      </c>
      <c r="C961" s="358" t="s">
        <v>403</v>
      </c>
      <c r="D961" s="1243">
        <f t="shared" si="164"/>
        <v>6051819.120000001</v>
      </c>
      <c r="E961" s="1243">
        <v>0</v>
      </c>
      <c r="F961" s="1243">
        <v>0</v>
      </c>
      <c r="G961" s="1243">
        <f t="shared" si="168"/>
        <v>6051819.120000001</v>
      </c>
      <c r="H961" s="1243"/>
      <c r="I961" s="1243">
        <f t="shared" si="165"/>
        <v>720543.8</v>
      </c>
      <c r="J961" s="1243"/>
      <c r="K961" s="1243">
        <v>18811.07</v>
      </c>
      <c r="L961" s="1243">
        <v>0</v>
      </c>
      <c r="M961" s="1243">
        <f t="shared" si="166"/>
        <v>0</v>
      </c>
      <c r="N961" s="1243">
        <v>-722.85</v>
      </c>
      <c r="O961" s="1243">
        <f t="shared" si="167"/>
        <v>738632.02</v>
      </c>
    </row>
    <row r="962" spans="1:16">
      <c r="A962" s="361">
        <f t="shared" si="163"/>
        <v>33</v>
      </c>
      <c r="B962" s="365">
        <v>387.2</v>
      </c>
      <c r="C962" s="358" t="s">
        <v>404</v>
      </c>
      <c r="D962" s="1243">
        <f t="shared" si="164"/>
        <v>0</v>
      </c>
      <c r="E962" s="1243">
        <v>0</v>
      </c>
      <c r="F962" s="1243">
        <v>0</v>
      </c>
      <c r="G962" s="1243">
        <f t="shared" si="168"/>
        <v>0</v>
      </c>
      <c r="H962" s="1243"/>
      <c r="I962" s="1243">
        <f t="shared" si="165"/>
        <v>-59912.03</v>
      </c>
      <c r="J962" s="1243"/>
      <c r="K962" s="1243">
        <v>0</v>
      </c>
      <c r="L962" s="1243">
        <v>0</v>
      </c>
      <c r="M962" s="1243">
        <f t="shared" si="166"/>
        <v>0</v>
      </c>
      <c r="N962" s="1243">
        <v>0</v>
      </c>
      <c r="O962" s="1243">
        <f t="shared" si="167"/>
        <v>-59912.03</v>
      </c>
    </row>
    <row r="963" spans="1:16">
      <c r="A963" s="361">
        <f t="shared" si="163"/>
        <v>34</v>
      </c>
      <c r="B963" s="365">
        <v>387.41</v>
      </c>
      <c r="C963" s="358" t="s">
        <v>405</v>
      </c>
      <c r="D963" s="1243">
        <f t="shared" si="164"/>
        <v>260538.46000000008</v>
      </c>
      <c r="E963" s="1243">
        <v>0</v>
      </c>
      <c r="F963" s="1243">
        <v>0</v>
      </c>
      <c r="G963" s="1243">
        <f t="shared" si="168"/>
        <v>260538.46000000008</v>
      </c>
      <c r="H963" s="1243"/>
      <c r="I963" s="1243">
        <f t="shared" si="165"/>
        <v>57777.630000000063</v>
      </c>
      <c r="J963" s="1243"/>
      <c r="K963" s="1243">
        <v>670.89</v>
      </c>
      <c r="L963" s="1243">
        <v>0</v>
      </c>
      <c r="M963" s="1243">
        <f t="shared" si="166"/>
        <v>0</v>
      </c>
      <c r="N963" s="1243">
        <v>0</v>
      </c>
      <c r="O963" s="1243">
        <f t="shared" si="167"/>
        <v>58448.520000000062</v>
      </c>
    </row>
    <row r="964" spans="1:16">
      <c r="A964" s="361">
        <f t="shared" si="163"/>
        <v>35</v>
      </c>
      <c r="B964" s="365">
        <v>387.42</v>
      </c>
      <c r="C964" s="358" t="s">
        <v>406</v>
      </c>
      <c r="D964" s="1243">
        <f t="shared" si="164"/>
        <v>419367.40000000008</v>
      </c>
      <c r="E964" s="1243">
        <v>0</v>
      </c>
      <c r="F964" s="1243">
        <v>0</v>
      </c>
      <c r="G964" s="1243">
        <f t="shared" si="168"/>
        <v>419367.40000000008</v>
      </c>
      <c r="H964" s="1243"/>
      <c r="I964" s="1243">
        <f t="shared" si="165"/>
        <v>338870.06999999989</v>
      </c>
      <c r="J964" s="1243"/>
      <c r="K964" s="1243">
        <v>1132.29</v>
      </c>
      <c r="L964" s="1243">
        <v>0</v>
      </c>
      <c r="M964" s="1243">
        <f t="shared" si="166"/>
        <v>0</v>
      </c>
      <c r="N964" s="1243">
        <v>0</v>
      </c>
      <c r="O964" s="1243">
        <f t="shared" si="167"/>
        <v>340002.35999999987</v>
      </c>
    </row>
    <row r="965" spans="1:16">
      <c r="A965" s="361">
        <f t="shared" si="163"/>
        <v>36</v>
      </c>
      <c r="B965" s="365">
        <v>387.44</v>
      </c>
      <c r="C965" s="358" t="s">
        <v>407</v>
      </c>
      <c r="D965" s="1243">
        <f t="shared" si="164"/>
        <v>124678.76000000001</v>
      </c>
      <c r="E965" s="1243">
        <v>0</v>
      </c>
      <c r="F965" s="1243">
        <v>0</v>
      </c>
      <c r="G965" s="1243">
        <f t="shared" si="168"/>
        <v>124678.76000000001</v>
      </c>
      <c r="H965" s="1243"/>
      <c r="I965" s="1243">
        <f t="shared" si="165"/>
        <v>66059.609999999986</v>
      </c>
      <c r="J965" s="1243"/>
      <c r="K965" s="1243">
        <v>336.63</v>
      </c>
      <c r="L965" s="1243">
        <v>0</v>
      </c>
      <c r="M965" s="1243">
        <f t="shared" si="166"/>
        <v>0</v>
      </c>
      <c r="N965" s="1243">
        <v>0</v>
      </c>
      <c r="O965" s="1243">
        <f t="shared" si="167"/>
        <v>66396.239999999991</v>
      </c>
    </row>
    <row r="966" spans="1:16">
      <c r="A966" s="361">
        <f t="shared" si="163"/>
        <v>37</v>
      </c>
      <c r="B966" s="365">
        <v>387.45</v>
      </c>
      <c r="C966" s="358" t="s">
        <v>408</v>
      </c>
      <c r="D966" s="1243">
        <f t="shared" si="164"/>
        <v>5795180.3799999999</v>
      </c>
      <c r="E966" s="1243">
        <v>6542.4800000000005</v>
      </c>
      <c r="F966" s="1243">
        <v>0</v>
      </c>
      <c r="G966" s="1243">
        <f t="shared" si="168"/>
        <v>5801722.8600000003</v>
      </c>
      <c r="H966" s="1243"/>
      <c r="I966" s="1243">
        <f t="shared" si="165"/>
        <v>-649231.68999999994</v>
      </c>
      <c r="J966" s="1243"/>
      <c r="K966" s="1243">
        <v>15655.82</v>
      </c>
      <c r="L966" s="1243">
        <v>0</v>
      </c>
      <c r="M966" s="1243">
        <f t="shared" si="166"/>
        <v>0</v>
      </c>
      <c r="N966" s="1243">
        <v>-45.61</v>
      </c>
      <c r="O966" s="1243">
        <f t="shared" si="167"/>
        <v>-633621.48</v>
      </c>
    </row>
    <row r="967" spans="1:16">
      <c r="A967" s="361">
        <f t="shared" si="163"/>
        <v>38</v>
      </c>
      <c r="B967" s="365">
        <v>387.46</v>
      </c>
      <c r="C967" s="358" t="s">
        <v>409</v>
      </c>
      <c r="D967" s="1243">
        <f t="shared" si="164"/>
        <v>113644.47</v>
      </c>
      <c r="E967" s="1243">
        <v>0</v>
      </c>
      <c r="F967" s="1243">
        <v>0</v>
      </c>
      <c r="G967" s="1243">
        <f t="shared" si="168"/>
        <v>113644.47</v>
      </c>
      <c r="H967" s="1243"/>
      <c r="I967" s="1243">
        <f t="shared" si="165"/>
        <v>114497.07</v>
      </c>
      <c r="J967" s="1243"/>
      <c r="K967" s="1243">
        <v>0</v>
      </c>
      <c r="L967" s="1243">
        <v>0</v>
      </c>
      <c r="M967" s="1243">
        <f t="shared" si="166"/>
        <v>0</v>
      </c>
      <c r="N967" s="1243">
        <v>0</v>
      </c>
      <c r="O967" s="1243">
        <f t="shared" si="167"/>
        <v>114497.07</v>
      </c>
    </row>
    <row r="968" spans="1:16">
      <c r="A968" s="361">
        <f t="shared" si="163"/>
        <v>39</v>
      </c>
      <c r="B968" s="365">
        <v>387.5</v>
      </c>
      <c r="C968" s="358" t="s">
        <v>1075</v>
      </c>
      <c r="D968" s="1244">
        <f t="shared" si="164"/>
        <v>238072.69</v>
      </c>
      <c r="E968" s="1244">
        <v>-3020.75</v>
      </c>
      <c r="F968" s="1244">
        <v>0</v>
      </c>
      <c r="G968" s="1244">
        <f t="shared" si="168"/>
        <v>235051.94</v>
      </c>
      <c r="H968" s="1243"/>
      <c r="I968" s="1244">
        <f t="shared" si="165"/>
        <v>40245.790000000015</v>
      </c>
      <c r="J968" s="1243"/>
      <c r="K968" s="1244">
        <v>609.15</v>
      </c>
      <c r="L968" s="1244">
        <v>0</v>
      </c>
      <c r="M968" s="1244">
        <f t="shared" si="166"/>
        <v>0</v>
      </c>
      <c r="N968" s="1244">
        <v>0</v>
      </c>
      <c r="O968" s="1244">
        <f t="shared" si="167"/>
        <v>40854.940000000017</v>
      </c>
    </row>
    <row r="969" spans="1:16">
      <c r="A969" s="361">
        <f t="shared" si="163"/>
        <v>40</v>
      </c>
      <c r="C969" s="365" t="s">
        <v>1601</v>
      </c>
      <c r="D969" s="1243">
        <f>SUM(D939:D968)</f>
        <v>710970930.20603335</v>
      </c>
      <c r="E969" s="1243">
        <f>SUM(E939:E968)</f>
        <v>3492456.87</v>
      </c>
      <c r="F969" s="1243">
        <f>SUM(F939:F968)</f>
        <v>-394013.76954263286</v>
      </c>
      <c r="G969" s="1243">
        <f>SUM(G939:G968)</f>
        <v>714069373.30649078</v>
      </c>
      <c r="H969" s="1243"/>
      <c r="I969" s="1243">
        <f>SUM(I939:I968)</f>
        <v>164973770.26279831</v>
      </c>
      <c r="J969" s="1243"/>
      <c r="K969" s="1243">
        <f>SUM(K939:K968)</f>
        <v>1522663.84</v>
      </c>
      <c r="L969" s="1243">
        <f>SUM(L939:L968)</f>
        <v>0</v>
      </c>
      <c r="M969" s="1243">
        <f>SUM(M939:M968)</f>
        <v>-394013.76954263286</v>
      </c>
      <c r="N969" s="1243">
        <f>SUM(N939:N968)</f>
        <v>-56861.947448000014</v>
      </c>
      <c r="O969" s="1243">
        <f>SUM(O939:O968)</f>
        <v>166045558.38580772</v>
      </c>
    </row>
    <row r="970" spans="1:16">
      <c r="B970" s="367"/>
      <c r="C970" s="368"/>
      <c r="D970" s="369"/>
      <c r="E970" s="369"/>
      <c r="F970" s="369"/>
      <c r="G970" s="369"/>
      <c r="I970" s="369"/>
      <c r="J970" s="369"/>
      <c r="K970" s="369"/>
      <c r="L970" s="369"/>
      <c r="M970" s="369"/>
      <c r="N970" s="369"/>
      <c r="O970" s="369"/>
    </row>
    <row r="971" spans="1:16">
      <c r="I971" s="369"/>
      <c r="J971" s="369"/>
      <c r="K971" s="369"/>
      <c r="L971" s="369"/>
      <c r="M971" s="369"/>
      <c r="N971" s="369"/>
      <c r="O971" s="369"/>
    </row>
    <row r="972" spans="1:16" s="291" customFormat="1">
      <c r="A972" s="1308" t="str">
        <f>$A$1</f>
        <v>COLUMBIA GAS OF KENTUCKY, INC.</v>
      </c>
      <c r="B972" s="1308"/>
      <c r="C972" s="1308"/>
      <c r="D972" s="1308"/>
      <c r="E972" s="1308"/>
      <c r="F972" s="1308"/>
      <c r="G972" s="1308"/>
      <c r="H972" s="1308"/>
      <c r="I972" s="1308"/>
      <c r="J972" s="1308"/>
      <c r="K972" s="1308"/>
      <c r="L972" s="1308"/>
      <c r="M972" s="1308"/>
      <c r="N972" s="1308"/>
      <c r="O972" s="1308"/>
    </row>
    <row r="973" spans="1:16" s="291" customFormat="1">
      <c r="A973" s="1308" t="str">
        <f>$A$2</f>
        <v>CASE NO. 2024 - 00092</v>
      </c>
      <c r="B973" s="1308"/>
      <c r="C973" s="1308"/>
      <c r="D973" s="1308"/>
      <c r="E973" s="1308"/>
      <c r="F973" s="1308"/>
      <c r="G973" s="1308"/>
      <c r="H973" s="1308"/>
      <c r="I973" s="1308"/>
      <c r="J973" s="1308"/>
      <c r="K973" s="1308"/>
      <c r="L973" s="1308"/>
      <c r="M973" s="1308"/>
      <c r="N973" s="1308"/>
      <c r="O973" s="1308"/>
    </row>
    <row r="974" spans="1:16" s="291" customFormat="1">
      <c r="A974" s="1308" t="str">
        <f>$A$3</f>
        <v>DETAIL OF ACTUAL &amp; FORECASTED PLANT, ACCUMULATED RESERVE &amp; DEPRECIATION EXPENSE</v>
      </c>
      <c r="B974" s="1308"/>
      <c r="C974" s="1308"/>
      <c r="D974" s="1308"/>
      <c r="E974" s="1308"/>
      <c r="F974" s="1308"/>
      <c r="G974" s="1308"/>
      <c r="H974" s="1308"/>
      <c r="I974" s="1308"/>
      <c r="J974" s="1308"/>
      <c r="K974" s="1308"/>
      <c r="L974" s="1308"/>
      <c r="M974" s="1308"/>
      <c r="N974" s="1308"/>
      <c r="O974" s="1308"/>
      <c r="P974" s="357"/>
    </row>
    <row r="975" spans="1:16" s="291" customFormat="1">
      <c r="A975" s="1308" t="str">
        <f>$A$4</f>
        <v>FROM JANUARY 01, 2023 THROUGH DECEMBER 31, 2025</v>
      </c>
      <c r="B975" s="1308"/>
      <c r="C975" s="1308"/>
      <c r="D975" s="1308"/>
      <c r="E975" s="1308"/>
      <c r="F975" s="1308"/>
      <c r="G975" s="1308"/>
      <c r="H975" s="1308"/>
      <c r="I975" s="1308"/>
      <c r="J975" s="1308"/>
      <c r="K975" s="1308"/>
      <c r="L975" s="1308"/>
      <c r="M975" s="1308"/>
      <c r="N975" s="1308"/>
      <c r="O975" s="1308"/>
    </row>
    <row r="976" spans="1:16" s="291" customFormat="1">
      <c r="B976" s="293"/>
      <c r="P976" s="312"/>
    </row>
    <row r="977" spans="1:16" s="291" customFormat="1">
      <c r="A977" s="297" t="str">
        <f>$A$6</f>
        <v xml:space="preserve">DATA: _X_ BASE PERIOD _X_ FORECASTED PERIOD     </v>
      </c>
      <c r="B977" s="293"/>
      <c r="O977" s="312" t="str">
        <f>$O$6</f>
        <v>WPB-2.1.C</v>
      </c>
      <c r="P977" s="312"/>
    </row>
    <row r="978" spans="1:16" s="291" customFormat="1">
      <c r="A978" s="297" t="str">
        <f>$A$7</f>
        <v>TYPE OF FILING:___X___ORIGINAL______UPDATED</v>
      </c>
      <c r="B978" s="293"/>
      <c r="O978" s="312" t="s">
        <v>2205</v>
      </c>
      <c r="P978" s="312"/>
    </row>
    <row r="979" spans="1:16" s="291" customFormat="1">
      <c r="A979" s="297" t="str">
        <f>$A$8</f>
        <v>WORKPAPER REFERENCE NO(S).:</v>
      </c>
      <c r="B979" s="293"/>
      <c r="O979" s="312" t="str">
        <f>$O$8</f>
        <v>WITNESS: GORE</v>
      </c>
    </row>
    <row r="980" spans="1:16">
      <c r="A980" s="918"/>
      <c r="B980" s="919"/>
      <c r="C980" s="918"/>
      <c r="D980" s="918"/>
      <c r="E980" s="918"/>
      <c r="F980" s="918"/>
      <c r="G980" s="918"/>
      <c r="H980" s="918"/>
      <c r="I980" s="918"/>
      <c r="J980" s="918"/>
      <c r="K980" s="918"/>
      <c r="L980" s="918"/>
      <c r="M980" s="918"/>
      <c r="N980" s="918"/>
      <c r="O980" s="920"/>
    </row>
    <row r="981" spans="1:16">
      <c r="D981" s="1311" t="s">
        <v>1768</v>
      </c>
      <c r="E981" s="1311"/>
      <c r="F981" s="1311"/>
      <c r="G981" s="1311"/>
      <c r="I981" s="1311" t="s">
        <v>1769</v>
      </c>
      <c r="J981" s="1311"/>
      <c r="K981" s="1311"/>
      <c r="L981" s="1311"/>
      <c r="M981" s="1311"/>
      <c r="N981" s="1311"/>
      <c r="O981" s="1311"/>
    </row>
    <row r="982" spans="1:16">
      <c r="D982" s="360">
        <f>D923</f>
        <v>45170</v>
      </c>
      <c r="G982" s="360">
        <f>G923</f>
        <v>45199</v>
      </c>
      <c r="I982" s="360">
        <f>D982</f>
        <v>45170</v>
      </c>
      <c r="O982" s="360">
        <f>G982</f>
        <v>45199</v>
      </c>
    </row>
    <row r="983" spans="1:16">
      <c r="D983" s="361" t="s">
        <v>1757</v>
      </c>
      <c r="G983" s="361" t="s">
        <v>1757</v>
      </c>
      <c r="I983" s="361" t="s">
        <v>1758</v>
      </c>
      <c r="J983" s="361" t="s">
        <v>488</v>
      </c>
      <c r="L983" s="361" t="s">
        <v>1758</v>
      </c>
      <c r="O983" s="361" t="s">
        <v>1758</v>
      </c>
    </row>
    <row r="984" spans="1:16">
      <c r="A984" s="361" t="s">
        <v>1770</v>
      </c>
      <c r="B984" s="361" t="s">
        <v>368</v>
      </c>
      <c r="C984" s="361"/>
      <c r="D984" s="361" t="s">
        <v>437</v>
      </c>
      <c r="G984" s="361" t="s">
        <v>439</v>
      </c>
      <c r="I984" s="361" t="s">
        <v>437</v>
      </c>
      <c r="J984" s="361" t="s">
        <v>1771</v>
      </c>
      <c r="K984" s="361" t="s">
        <v>1772</v>
      </c>
      <c r="L984" s="361" t="s">
        <v>1759</v>
      </c>
      <c r="N984" s="361" t="s">
        <v>1760</v>
      </c>
      <c r="O984" s="361" t="s">
        <v>439</v>
      </c>
    </row>
    <row r="985" spans="1:16">
      <c r="A985" s="364" t="s">
        <v>316</v>
      </c>
      <c r="B985" s="364" t="s">
        <v>316</v>
      </c>
      <c r="C985" s="364" t="s">
        <v>451</v>
      </c>
      <c r="D985" s="364" t="s">
        <v>441</v>
      </c>
      <c r="E985" s="364" t="s">
        <v>442</v>
      </c>
      <c r="F985" s="364" t="s">
        <v>443</v>
      </c>
      <c r="G985" s="364" t="s">
        <v>441</v>
      </c>
      <c r="I985" s="364" t="s">
        <v>441</v>
      </c>
      <c r="J985" s="364" t="s">
        <v>1773</v>
      </c>
      <c r="K985" s="364" t="s">
        <v>1771</v>
      </c>
      <c r="L985" s="364" t="s">
        <v>355</v>
      </c>
      <c r="M985" s="364" t="s">
        <v>443</v>
      </c>
      <c r="N985" s="364" t="s">
        <v>1763</v>
      </c>
      <c r="O985" s="364" t="s">
        <v>441</v>
      </c>
    </row>
    <row r="986" spans="1:16">
      <c r="D986" s="361" t="s">
        <v>532</v>
      </c>
      <c r="E986" s="361" t="s">
        <v>541</v>
      </c>
      <c r="F986" s="361" t="s">
        <v>542</v>
      </c>
      <c r="G986" s="361" t="s">
        <v>1764</v>
      </c>
      <c r="I986" s="334" t="str">
        <f>"(5)"</f>
        <v>(5)</v>
      </c>
      <c r="J986" s="334" t="str">
        <f>"(6)"</f>
        <v>(6)</v>
      </c>
      <c r="K986" s="334" t="str">
        <f>"(7)"</f>
        <v>(7)</v>
      </c>
      <c r="L986" s="334" t="str">
        <f>"(8)"</f>
        <v>(8)</v>
      </c>
      <c r="M986" s="334" t="str">
        <f>"(9)"</f>
        <v>(9)</v>
      </c>
      <c r="N986" s="334" t="str">
        <f>"(10)"</f>
        <v>(10)</v>
      </c>
      <c r="O986" s="334" t="str">
        <f>"(11=5+7+8+9+10)"</f>
        <v>(11=5+7+8+9+10)</v>
      </c>
    </row>
    <row r="987" spans="1:16">
      <c r="D987" s="361" t="s">
        <v>320</v>
      </c>
      <c r="E987" s="361" t="s">
        <v>320</v>
      </c>
      <c r="F987" s="361" t="s">
        <v>320</v>
      </c>
      <c r="G987" s="361" t="s">
        <v>320</v>
      </c>
      <c r="I987" s="334" t="s">
        <v>320</v>
      </c>
      <c r="J987" s="334" t="s">
        <v>529</v>
      </c>
      <c r="K987" s="334" t="s">
        <v>320</v>
      </c>
      <c r="L987" s="334" t="s">
        <v>320</v>
      </c>
      <c r="M987" s="334" t="s">
        <v>320</v>
      </c>
      <c r="N987" s="334" t="s">
        <v>320</v>
      </c>
      <c r="O987" s="334" t="s">
        <v>320</v>
      </c>
    </row>
    <row r="988" spans="1:16">
      <c r="A988" s="361">
        <v>1</v>
      </c>
      <c r="B988" s="363" t="s">
        <v>411</v>
      </c>
      <c r="D988" s="361"/>
      <c r="E988" s="361"/>
      <c r="F988" s="361"/>
      <c r="G988" s="361"/>
      <c r="I988" s="334"/>
      <c r="J988" s="334"/>
      <c r="K988" s="334"/>
      <c r="L988" s="334"/>
      <c r="M988" s="334"/>
      <c r="N988" s="334"/>
      <c r="O988" s="334"/>
    </row>
    <row r="989" spans="1:16">
      <c r="A989" s="361">
        <f>A988+1</f>
        <v>2</v>
      </c>
      <c r="B989" s="365">
        <v>391.1</v>
      </c>
      <c r="C989" s="358" t="s">
        <v>412</v>
      </c>
      <c r="D989" s="1243">
        <f t="shared" ref="D989:D1002" si="169">G875</f>
        <v>820366.66</v>
      </c>
      <c r="E989" s="1243">
        <v>0</v>
      </c>
      <c r="F989" s="1243">
        <v>0</v>
      </c>
      <c r="G989" s="1243">
        <f>SUM(D989:F989)</f>
        <v>820366.66</v>
      </c>
      <c r="H989" s="1243"/>
      <c r="I989" s="1245">
        <f t="shared" ref="I989:I1002" si="170">O875</f>
        <v>102792.83000000002</v>
      </c>
      <c r="J989" s="1243"/>
      <c r="K989" s="1243">
        <v>3418.19</v>
      </c>
      <c r="L989" s="1243">
        <v>0</v>
      </c>
      <c r="M989" s="1243">
        <f t="shared" ref="M989:M1002" si="171">F989</f>
        <v>0</v>
      </c>
      <c r="N989" s="1243">
        <v>0</v>
      </c>
      <c r="O989" s="1243">
        <f t="shared" ref="O989:O1002" si="172">I989+K989+L989+M989+N989</f>
        <v>106211.02000000002</v>
      </c>
    </row>
    <row r="990" spans="1:16">
      <c r="A990" s="361">
        <f t="shared" ref="A990:A1003" si="173">A989+1</f>
        <v>3</v>
      </c>
      <c r="B990" s="365">
        <v>391.11</v>
      </c>
      <c r="C990" s="358" t="s">
        <v>413</v>
      </c>
      <c r="D990" s="1243">
        <f t="shared" si="169"/>
        <v>0</v>
      </c>
      <c r="E990" s="1243">
        <v>0</v>
      </c>
      <c r="F990" s="1243">
        <v>0</v>
      </c>
      <c r="G990" s="1243">
        <f t="shared" ref="G990:G997" si="174">SUM(D990:F990)</f>
        <v>0</v>
      </c>
      <c r="H990" s="1243"/>
      <c r="I990" s="1245">
        <f t="shared" si="170"/>
        <v>-18933.789999999997</v>
      </c>
      <c r="J990" s="1243"/>
      <c r="K990" s="1243">
        <v>0</v>
      </c>
      <c r="L990" s="1243">
        <v>0</v>
      </c>
      <c r="M990" s="1243">
        <f t="shared" si="171"/>
        <v>0</v>
      </c>
      <c r="N990" s="1243">
        <v>0</v>
      </c>
      <c r="O990" s="1243">
        <f t="shared" si="172"/>
        <v>-18933.789999999997</v>
      </c>
    </row>
    <row r="991" spans="1:16">
      <c r="A991" s="361">
        <f t="shared" si="173"/>
        <v>4</v>
      </c>
      <c r="B991" s="365">
        <v>391.12</v>
      </c>
      <c r="C991" s="358" t="s">
        <v>414</v>
      </c>
      <c r="D991" s="1243">
        <f t="shared" si="169"/>
        <v>91133.260000000009</v>
      </c>
      <c r="E991" s="1243">
        <v>0</v>
      </c>
      <c r="F991" s="1243">
        <v>-54003.68</v>
      </c>
      <c r="G991" s="1243">
        <f t="shared" si="174"/>
        <v>37129.580000000009</v>
      </c>
      <c r="H991" s="1243"/>
      <c r="I991" s="1245">
        <f t="shared" si="170"/>
        <v>45794.64</v>
      </c>
      <c r="J991" s="1243"/>
      <c r="K991" s="1243">
        <v>1068.8600000000001</v>
      </c>
      <c r="L991" s="1243">
        <v>0</v>
      </c>
      <c r="M991" s="1243">
        <f t="shared" si="171"/>
        <v>-54003.68</v>
      </c>
      <c r="N991" s="1243">
        <v>0</v>
      </c>
      <c r="O991" s="1243">
        <f t="shared" si="172"/>
        <v>-7140.18</v>
      </c>
    </row>
    <row r="992" spans="1:16">
      <c r="A992" s="361">
        <f t="shared" si="173"/>
        <v>5</v>
      </c>
      <c r="B992" s="365">
        <v>392.2</v>
      </c>
      <c r="C992" s="358" t="s">
        <v>524</v>
      </c>
      <c r="D992" s="1243">
        <f t="shared" si="169"/>
        <v>95778</v>
      </c>
      <c r="E992" s="1243">
        <v>0</v>
      </c>
      <c r="F992" s="1243">
        <v>0</v>
      </c>
      <c r="G992" s="1243">
        <f t="shared" si="174"/>
        <v>95778</v>
      </c>
      <c r="H992" s="1243"/>
      <c r="I992" s="1245">
        <f t="shared" si="170"/>
        <v>63692.649999999972</v>
      </c>
      <c r="J992" s="1243"/>
      <c r="K992" s="1243">
        <v>71.84</v>
      </c>
      <c r="L992" s="1243">
        <v>0</v>
      </c>
      <c r="M992" s="1243">
        <f t="shared" si="171"/>
        <v>0</v>
      </c>
      <c r="N992" s="1243">
        <v>0</v>
      </c>
      <c r="O992" s="1243">
        <f t="shared" si="172"/>
        <v>63764.489999999969</v>
      </c>
    </row>
    <row r="993" spans="1:15">
      <c r="A993" s="361">
        <f t="shared" si="173"/>
        <v>6</v>
      </c>
      <c r="B993" s="365">
        <v>392.21</v>
      </c>
      <c r="C993" s="358" t="s">
        <v>415</v>
      </c>
      <c r="D993" s="1243">
        <f t="shared" si="169"/>
        <v>24462.2</v>
      </c>
      <c r="E993" s="1243">
        <v>0</v>
      </c>
      <c r="F993" s="1243">
        <v>0</v>
      </c>
      <c r="G993" s="1243">
        <f t="shared" si="174"/>
        <v>24462.2</v>
      </c>
      <c r="H993" s="1243"/>
      <c r="I993" s="1245">
        <f t="shared" si="170"/>
        <v>44754.01</v>
      </c>
      <c r="J993" s="1243"/>
      <c r="K993" s="1243">
        <v>0</v>
      </c>
      <c r="L993" s="1243">
        <v>0</v>
      </c>
      <c r="M993" s="1243">
        <f t="shared" si="171"/>
        <v>0</v>
      </c>
      <c r="N993" s="1243">
        <v>0</v>
      </c>
      <c r="O993" s="1243">
        <f t="shared" si="172"/>
        <v>44754.01</v>
      </c>
    </row>
    <row r="994" spans="1:15">
      <c r="A994" s="361">
        <f t="shared" si="173"/>
        <v>7</v>
      </c>
      <c r="B994" s="365">
        <v>393</v>
      </c>
      <c r="C994" s="358" t="s">
        <v>416</v>
      </c>
      <c r="D994" s="1243">
        <f t="shared" si="169"/>
        <v>0</v>
      </c>
      <c r="E994" s="1243">
        <v>0</v>
      </c>
      <c r="F994" s="1243">
        <v>0</v>
      </c>
      <c r="G994" s="1243">
        <f t="shared" si="174"/>
        <v>0</v>
      </c>
      <c r="H994" s="1243"/>
      <c r="I994" s="1245">
        <f t="shared" si="170"/>
        <v>0</v>
      </c>
      <c r="J994" s="1243"/>
      <c r="K994" s="1243">
        <v>0</v>
      </c>
      <c r="L994" s="1243">
        <v>0</v>
      </c>
      <c r="M994" s="1243">
        <f t="shared" si="171"/>
        <v>0</v>
      </c>
      <c r="N994" s="1243">
        <v>0</v>
      </c>
      <c r="O994" s="1243">
        <f t="shared" si="172"/>
        <v>0</v>
      </c>
    </row>
    <row r="995" spans="1:15">
      <c r="A995" s="361">
        <f t="shared" si="173"/>
        <v>8</v>
      </c>
      <c r="B995" s="365">
        <v>394.1</v>
      </c>
      <c r="C995" s="358" t="s">
        <v>417</v>
      </c>
      <c r="D995" s="1243">
        <f t="shared" si="169"/>
        <v>9739</v>
      </c>
      <c r="E995" s="1243">
        <v>0</v>
      </c>
      <c r="F995" s="1243">
        <v>0</v>
      </c>
      <c r="G995" s="1243">
        <f t="shared" si="174"/>
        <v>9739</v>
      </c>
      <c r="H995" s="1243"/>
      <c r="I995" s="1245">
        <f t="shared" si="170"/>
        <v>3945.3100000000004</v>
      </c>
      <c r="J995" s="1243"/>
      <c r="K995" s="1243">
        <v>32.46</v>
      </c>
      <c r="L995" s="1243">
        <v>0</v>
      </c>
      <c r="M995" s="1243">
        <f t="shared" si="171"/>
        <v>0</v>
      </c>
      <c r="N995" s="1243">
        <v>0</v>
      </c>
      <c r="O995" s="1243">
        <f t="shared" si="172"/>
        <v>3977.7700000000004</v>
      </c>
    </row>
    <row r="996" spans="1:15">
      <c r="A996" s="361">
        <f t="shared" si="173"/>
        <v>9</v>
      </c>
      <c r="B996" s="365">
        <v>394.11</v>
      </c>
      <c r="C996" s="358" t="s">
        <v>418</v>
      </c>
      <c r="D996" s="1243">
        <f t="shared" si="169"/>
        <v>0</v>
      </c>
      <c r="E996" s="1243">
        <v>0</v>
      </c>
      <c r="F996" s="1243">
        <v>0</v>
      </c>
      <c r="G996" s="1243">
        <f t="shared" si="174"/>
        <v>0</v>
      </c>
      <c r="H996" s="1243"/>
      <c r="I996" s="1245">
        <f t="shared" si="170"/>
        <v>-26071.5</v>
      </c>
      <c r="J996" s="1243"/>
      <c r="K996" s="1243">
        <v>0</v>
      </c>
      <c r="L996" s="1243">
        <v>0</v>
      </c>
      <c r="M996" s="1243">
        <f t="shared" si="171"/>
        <v>0</v>
      </c>
      <c r="N996" s="1243">
        <v>0</v>
      </c>
      <c r="O996" s="1243">
        <f t="shared" si="172"/>
        <v>-26071.5</v>
      </c>
    </row>
    <row r="997" spans="1:15">
      <c r="A997" s="361">
        <f t="shared" si="173"/>
        <v>10</v>
      </c>
      <c r="B997" s="365">
        <v>394.13</v>
      </c>
      <c r="C997" s="358" t="s">
        <v>515</v>
      </c>
      <c r="D997" s="1243">
        <f t="shared" si="169"/>
        <v>0</v>
      </c>
      <c r="E997" s="1243">
        <v>0</v>
      </c>
      <c r="F997" s="1243">
        <v>0</v>
      </c>
      <c r="G997" s="1243">
        <f t="shared" si="174"/>
        <v>0</v>
      </c>
      <c r="H997" s="1243"/>
      <c r="I997" s="1245">
        <f t="shared" si="170"/>
        <v>37937.360000000001</v>
      </c>
      <c r="J997" s="1243"/>
      <c r="K997" s="1243">
        <v>0</v>
      </c>
      <c r="L997" s="1243">
        <v>0</v>
      </c>
      <c r="M997" s="1243">
        <f t="shared" si="171"/>
        <v>0</v>
      </c>
      <c r="N997" s="1243">
        <v>0</v>
      </c>
      <c r="O997" s="1243">
        <f t="shared" si="172"/>
        <v>37937.360000000001</v>
      </c>
    </row>
    <row r="998" spans="1:15">
      <c r="A998" s="361">
        <f t="shared" si="173"/>
        <v>11</v>
      </c>
      <c r="B998" s="365">
        <v>394.2</v>
      </c>
      <c r="C998" s="358" t="s">
        <v>420</v>
      </c>
      <c r="D998" s="1243">
        <f t="shared" si="169"/>
        <v>0</v>
      </c>
      <c r="E998" s="1243">
        <v>0</v>
      </c>
      <c r="F998" s="1243">
        <v>0</v>
      </c>
      <c r="G998" s="1243">
        <f>SUM(D998:F998)</f>
        <v>0</v>
      </c>
      <c r="H998" s="1243"/>
      <c r="I998" s="1245">
        <f t="shared" si="170"/>
        <v>185.21</v>
      </c>
      <c r="J998" s="1243"/>
      <c r="K998" s="1243">
        <v>0</v>
      </c>
      <c r="L998" s="1243">
        <v>0</v>
      </c>
      <c r="M998" s="1243">
        <f t="shared" si="171"/>
        <v>0</v>
      </c>
      <c r="N998" s="1243">
        <v>0</v>
      </c>
      <c r="O998" s="1243">
        <f t="shared" si="172"/>
        <v>185.21</v>
      </c>
    </row>
    <row r="999" spans="1:15">
      <c r="A999" s="361">
        <f t="shared" si="173"/>
        <v>12</v>
      </c>
      <c r="B999" s="365">
        <v>394.3</v>
      </c>
      <c r="C999" s="358" t="s">
        <v>1602</v>
      </c>
      <c r="D999" s="1243">
        <f t="shared" si="169"/>
        <v>4948318.3100000005</v>
      </c>
      <c r="E999" s="1243">
        <v>6925.14</v>
      </c>
      <c r="F999" s="1243">
        <v>0</v>
      </c>
      <c r="G999" s="1243">
        <f>SUM(D999:F999)</f>
        <v>4955243.45</v>
      </c>
      <c r="H999" s="1243"/>
      <c r="I999" s="1245">
        <f t="shared" si="170"/>
        <v>1544479.74</v>
      </c>
      <c r="J999" s="1243"/>
      <c r="K999" s="1243">
        <v>16505.939999999999</v>
      </c>
      <c r="L999" s="1243">
        <v>0</v>
      </c>
      <c r="M999" s="1243">
        <f t="shared" si="171"/>
        <v>0</v>
      </c>
      <c r="N999" s="1243">
        <v>0</v>
      </c>
      <c r="O999" s="1243">
        <f t="shared" si="172"/>
        <v>1560985.68</v>
      </c>
    </row>
    <row r="1000" spans="1:15">
      <c r="A1000" s="361">
        <f t="shared" si="173"/>
        <v>13</v>
      </c>
      <c r="B1000" s="365">
        <v>395</v>
      </c>
      <c r="C1000" s="358" t="s">
        <v>422</v>
      </c>
      <c r="D1000" s="1243">
        <f t="shared" si="169"/>
        <v>4162.05</v>
      </c>
      <c r="E1000" s="1243">
        <v>0</v>
      </c>
      <c r="F1000" s="1243">
        <v>0</v>
      </c>
      <c r="G1000" s="1243">
        <f>SUM(D1000:F1000)</f>
        <v>4162.05</v>
      </c>
      <c r="H1000" s="1243"/>
      <c r="I1000" s="1245">
        <f t="shared" si="170"/>
        <v>3983.3200000000011</v>
      </c>
      <c r="J1000" s="1243"/>
      <c r="K1000" s="1243">
        <v>17.34</v>
      </c>
      <c r="L1000" s="1243">
        <v>0</v>
      </c>
      <c r="M1000" s="1243">
        <f t="shared" si="171"/>
        <v>0</v>
      </c>
      <c r="N1000" s="1243">
        <v>0</v>
      </c>
      <c r="O1000" s="1243">
        <f t="shared" si="172"/>
        <v>4000.6600000000012</v>
      </c>
    </row>
    <row r="1001" spans="1:15">
      <c r="A1001" s="361">
        <f t="shared" si="173"/>
        <v>14</v>
      </c>
      <c r="B1001" s="365">
        <v>396</v>
      </c>
      <c r="C1001" s="358" t="s">
        <v>423</v>
      </c>
      <c r="D1001" s="1243">
        <f t="shared" si="169"/>
        <v>185547</v>
      </c>
      <c r="E1001" s="1243">
        <v>0</v>
      </c>
      <c r="F1001" s="1243">
        <v>0</v>
      </c>
      <c r="G1001" s="1243">
        <f>SUM(D1001:F1001)</f>
        <v>185547</v>
      </c>
      <c r="H1001" s="1243"/>
      <c r="I1001" s="1245">
        <f t="shared" si="170"/>
        <v>171938.14</v>
      </c>
      <c r="J1001" s="1243"/>
      <c r="K1001" s="1243">
        <v>0</v>
      </c>
      <c r="L1001" s="1243">
        <v>0</v>
      </c>
      <c r="M1001" s="1243">
        <f t="shared" si="171"/>
        <v>0</v>
      </c>
      <c r="N1001" s="1243">
        <v>0</v>
      </c>
      <c r="O1001" s="1243">
        <f t="shared" si="172"/>
        <v>171938.14</v>
      </c>
    </row>
    <row r="1002" spans="1:15">
      <c r="A1002" s="361">
        <f t="shared" si="173"/>
        <v>15</v>
      </c>
      <c r="B1002" s="365">
        <v>398</v>
      </c>
      <c r="C1002" s="358" t="s">
        <v>424</v>
      </c>
      <c r="D1002" s="1244">
        <f t="shared" si="169"/>
        <v>148028.20000000001</v>
      </c>
      <c r="E1002" s="1244">
        <v>0</v>
      </c>
      <c r="F1002" s="1244">
        <v>0</v>
      </c>
      <c r="G1002" s="1244">
        <f>SUM(D1002:F1002)</f>
        <v>148028.20000000001</v>
      </c>
      <c r="H1002" s="1243"/>
      <c r="I1002" s="1246">
        <f t="shared" si="170"/>
        <v>66812.809999999983</v>
      </c>
      <c r="J1002" s="1243"/>
      <c r="K1002" s="1244">
        <v>822.79</v>
      </c>
      <c r="L1002" s="1244">
        <v>0</v>
      </c>
      <c r="M1002" s="1244">
        <f t="shared" si="171"/>
        <v>0</v>
      </c>
      <c r="N1002" s="1244">
        <v>0</v>
      </c>
      <c r="O1002" s="1244">
        <f t="shared" si="172"/>
        <v>67635.599999999977</v>
      </c>
    </row>
    <row r="1003" spans="1:15">
      <c r="A1003" s="361">
        <f t="shared" si="173"/>
        <v>16</v>
      </c>
      <c r="B1003" s="367"/>
      <c r="C1003" s="358" t="s">
        <v>425</v>
      </c>
      <c r="D1003" s="1243">
        <f>SUM(D989:D1002)</f>
        <v>6327534.6800000006</v>
      </c>
      <c r="E1003" s="1243">
        <f>SUM(E989:E1002)</f>
        <v>6925.14</v>
      </c>
      <c r="F1003" s="1243">
        <f>SUM(F989:F1002)</f>
        <v>-54003.68</v>
      </c>
      <c r="G1003" s="1243">
        <f>SUM(G989:G1002)</f>
        <v>6280456.1400000006</v>
      </c>
      <c r="H1003" s="1243"/>
      <c r="I1003" s="1243">
        <f>SUM(I989:I1002)</f>
        <v>2041310.73</v>
      </c>
      <c r="J1003" s="1243"/>
      <c r="K1003" s="1243">
        <f>SUM(K989:K1002)</f>
        <v>21937.420000000002</v>
      </c>
      <c r="L1003" s="1243">
        <f>SUM(L989:L1002)</f>
        <v>0</v>
      </c>
      <c r="M1003" s="1243">
        <f>SUM(M989:M1002)</f>
        <v>-54003.68</v>
      </c>
      <c r="N1003" s="1243">
        <f>SUM(N989:N1002)</f>
        <v>0</v>
      </c>
      <c r="O1003" s="1243">
        <f>SUM(O989:O1002)</f>
        <v>2009244.4699999997</v>
      </c>
    </row>
    <row r="1004" spans="1:15">
      <c r="A1004" s="361"/>
      <c r="D1004" s="1243"/>
      <c r="E1004" s="1243"/>
      <c r="F1004" s="1243"/>
      <c r="G1004" s="1243"/>
      <c r="H1004" s="1243"/>
      <c r="I1004" s="1243"/>
      <c r="J1004" s="1243"/>
      <c r="K1004" s="1243"/>
      <c r="L1004" s="1243"/>
      <c r="M1004" s="1243"/>
      <c r="N1004" s="1243"/>
      <c r="O1004" s="1243"/>
    </row>
    <row r="1005" spans="1:15">
      <c r="A1005" s="361">
        <f>A1003+1</f>
        <v>17</v>
      </c>
      <c r="B1005" s="363" t="s">
        <v>1038</v>
      </c>
      <c r="D1005" s="1243"/>
      <c r="E1005" s="1243"/>
      <c r="F1005" s="1243"/>
      <c r="G1005" s="1243"/>
      <c r="H1005" s="1243"/>
      <c r="I1005" s="1243"/>
      <c r="J1005" s="1243"/>
      <c r="K1005" s="1243"/>
      <c r="L1005" s="1243"/>
      <c r="M1005" s="1243"/>
      <c r="N1005" s="1243"/>
      <c r="O1005" s="1243"/>
    </row>
    <row r="1006" spans="1:15">
      <c r="A1006" s="361">
        <f>A1005+1</f>
        <v>18</v>
      </c>
      <c r="B1006" s="365">
        <v>378.21</v>
      </c>
      <c r="C1006" s="358" t="s">
        <v>1037</v>
      </c>
      <c r="D1006" s="1244">
        <f>G892</f>
        <v>-777092</v>
      </c>
      <c r="E1006" s="1244">
        <v>0</v>
      </c>
      <c r="F1006" s="1244">
        <v>0</v>
      </c>
      <c r="G1006" s="1244">
        <f>SUM(D1006:F1006)</f>
        <v>-777092</v>
      </c>
      <c r="H1006" s="1243"/>
      <c r="I1006" s="1244">
        <f>O892</f>
        <v>-195793.66000000006</v>
      </c>
      <c r="J1006" s="1243"/>
      <c r="K1006" s="1244">
        <v>-2144.17</v>
      </c>
      <c r="L1006" s="1244">
        <v>0</v>
      </c>
      <c r="M1006" s="1244">
        <f>F1006</f>
        <v>0</v>
      </c>
      <c r="N1006" s="1244">
        <v>0</v>
      </c>
      <c r="O1006" s="1244">
        <f>I1006+K1006+L1006+M1006+N1006</f>
        <v>-197937.83000000007</v>
      </c>
    </row>
    <row r="1007" spans="1:15">
      <c r="A1007" s="361">
        <f>A1006+1</f>
        <v>19</v>
      </c>
      <c r="B1007" s="370"/>
      <c r="C1007" s="358" t="s">
        <v>1579</v>
      </c>
      <c r="D1007" s="1243">
        <f>SUM(D1006)</f>
        <v>-777092</v>
      </c>
      <c r="E1007" s="1243">
        <f>SUM(E1006)</f>
        <v>0</v>
      </c>
      <c r="F1007" s="1243">
        <f>SUM(F1006)</f>
        <v>0</v>
      </c>
      <c r="G1007" s="1243">
        <f>SUM(G1006)</f>
        <v>-777092</v>
      </c>
      <c r="H1007" s="1243"/>
      <c r="I1007" s="1243">
        <f>SUM(I1006)</f>
        <v>-195793.66000000006</v>
      </c>
      <c r="J1007" s="1243"/>
      <c r="K1007" s="1243">
        <f>SUM(K1006)</f>
        <v>-2144.17</v>
      </c>
      <c r="L1007" s="1243">
        <f>SUM(L1006)</f>
        <v>0</v>
      </c>
      <c r="M1007" s="1243">
        <f>SUM(M1006)</f>
        <v>0</v>
      </c>
      <c r="N1007" s="1243">
        <f>SUM(N1006)</f>
        <v>0</v>
      </c>
      <c r="O1007" s="1243">
        <f>SUM(O1006)</f>
        <v>-197937.83000000007</v>
      </c>
    </row>
    <row r="1008" spans="1:15">
      <c r="A1008" s="361"/>
      <c r="B1008" s="370"/>
      <c r="D1008" s="1243"/>
      <c r="E1008" s="1243"/>
      <c r="F1008" s="1243"/>
      <c r="G1008" s="1243"/>
      <c r="H1008" s="1243"/>
      <c r="I1008" s="1243"/>
      <c r="J1008" s="1243"/>
      <c r="K1008" s="1243"/>
      <c r="L1008" s="1243"/>
      <c r="M1008" s="1243"/>
      <c r="N1008" s="1243"/>
      <c r="O1008" s="1243"/>
    </row>
    <row r="1009" spans="1:15">
      <c r="A1009" s="361">
        <f>A1007+1</f>
        <v>20</v>
      </c>
      <c r="B1009" s="370"/>
      <c r="C1009" s="358" t="s">
        <v>2037</v>
      </c>
      <c r="D1009" s="1243">
        <f>D936+D969+D1003+D1007</f>
        <v>731152965.10603333</v>
      </c>
      <c r="E1009" s="1243">
        <f>E936+E969+E1003+E1007</f>
        <v>3583310.8400000003</v>
      </c>
      <c r="F1009" s="1243">
        <f>F936+F969+F1003+F1007</f>
        <v>-496321.74954263284</v>
      </c>
      <c r="G1009" s="1243">
        <f>G936+G969+G1003+G1007</f>
        <v>734239954.19649076</v>
      </c>
      <c r="H1009" s="1243"/>
      <c r="I1009" s="1243">
        <f>I936+I969+I1003+I1007</f>
        <v>174024930.69279832</v>
      </c>
      <c r="J1009" s="1243"/>
      <c r="K1009" s="1243">
        <f>K936+K969+K1003+K1007</f>
        <v>1776564.33</v>
      </c>
      <c r="L1009" s="1243">
        <f>L936+L969+L1003+L1007</f>
        <v>0</v>
      </c>
      <c r="M1009" s="1243">
        <f>M936+M969+M1003+M1007</f>
        <v>-496321.74954263284</v>
      </c>
      <c r="N1009" s="1243">
        <f>N936+N969+N1003+N1007</f>
        <v>-56861.947448000014</v>
      </c>
      <c r="O1009" s="1243">
        <f>O936+O969+O1003+O1007</f>
        <v>175248311.32580772</v>
      </c>
    </row>
    <row r="1010" spans="1:15">
      <c r="A1010" s="361"/>
      <c r="B1010" s="370"/>
      <c r="D1010" s="1243"/>
      <c r="E1010" s="1243"/>
      <c r="F1010" s="1243"/>
      <c r="G1010" s="1243"/>
      <c r="H1010" s="1243"/>
      <c r="I1010" s="1243"/>
      <c r="J1010" s="1243"/>
      <c r="K1010" s="1243"/>
      <c r="L1010" s="1243"/>
      <c r="M1010" s="1243"/>
      <c r="N1010" s="1243"/>
      <c r="O1010" s="1243"/>
    </row>
    <row r="1011" spans="1:15">
      <c r="A1011" s="361">
        <f>A1009+1</f>
        <v>21</v>
      </c>
      <c r="B1011" s="370"/>
      <c r="C1011" s="358" t="s">
        <v>2038</v>
      </c>
      <c r="D1011" s="1243">
        <v>0</v>
      </c>
      <c r="E1011" s="1249">
        <v>0</v>
      </c>
      <c r="F1011" s="1249">
        <v>0</v>
      </c>
      <c r="G1011" s="1249">
        <f>SUM(D1011:F1011)</f>
        <v>0</v>
      </c>
      <c r="H1011" s="1243"/>
      <c r="I1011" s="1243">
        <f>O897</f>
        <v>-6339081.96</v>
      </c>
      <c r="J1011" s="1243"/>
      <c r="K1011" s="1243"/>
      <c r="L1011" s="1243"/>
      <c r="M1011" s="1243"/>
      <c r="N1011" s="1243">
        <v>-33915.26</v>
      </c>
      <c r="O1011" s="1243">
        <f>I1011+K1011+L1011+M1011+N1011</f>
        <v>-6372997.2199999997</v>
      </c>
    </row>
    <row r="1012" spans="1:15">
      <c r="A1012" s="361"/>
      <c r="B1012" s="370"/>
      <c r="C1012" s="368"/>
      <c r="D1012" s="1243"/>
      <c r="E1012" s="1243"/>
      <c r="F1012" s="1243"/>
      <c r="G1012" s="1243"/>
      <c r="H1012" s="1243"/>
      <c r="I1012" s="1243"/>
      <c r="J1012" s="1243"/>
      <c r="K1012" s="1243"/>
      <c r="L1012" s="1243"/>
      <c r="M1012" s="1243"/>
      <c r="N1012" s="1243"/>
      <c r="O1012" s="1243"/>
    </row>
    <row r="1013" spans="1:15">
      <c r="A1013" s="361">
        <f>A1011+1</f>
        <v>22</v>
      </c>
      <c r="C1013" s="358" t="s">
        <v>1603</v>
      </c>
      <c r="D1013" s="1247">
        <f>D1009+D1011</f>
        <v>731152965.10603333</v>
      </c>
      <c r="E1013" s="1247">
        <f t="shared" ref="E1013:O1013" si="175">E1009+E1011</f>
        <v>3583310.8400000003</v>
      </c>
      <c r="F1013" s="1247">
        <f t="shared" si="175"/>
        <v>-496321.74954263284</v>
      </c>
      <c r="G1013" s="1247">
        <f t="shared" si="175"/>
        <v>734239954.19649076</v>
      </c>
      <c r="H1013" s="1243"/>
      <c r="I1013" s="1247">
        <f t="shared" si="175"/>
        <v>167685848.73279831</v>
      </c>
      <c r="J1013" s="1243"/>
      <c r="K1013" s="1247">
        <f t="shared" si="175"/>
        <v>1776564.33</v>
      </c>
      <c r="L1013" s="1247">
        <f t="shared" si="175"/>
        <v>0</v>
      </c>
      <c r="M1013" s="1247">
        <f t="shared" si="175"/>
        <v>-496321.74954263284</v>
      </c>
      <c r="N1013" s="1247">
        <f t="shared" si="175"/>
        <v>-90777.207448000016</v>
      </c>
      <c r="O1013" s="1247">
        <f t="shared" si="175"/>
        <v>168875314.10580772</v>
      </c>
    </row>
    <row r="1014" spans="1:15">
      <c r="A1014" s="361"/>
      <c r="D1014" s="1243"/>
      <c r="E1014" s="1243"/>
      <c r="F1014" s="1243"/>
      <c r="G1014" s="1243"/>
      <c r="H1014" s="1243"/>
      <c r="I1014" s="1243"/>
      <c r="J1014" s="1243"/>
      <c r="K1014" s="1243"/>
      <c r="L1014" s="1243"/>
      <c r="M1014" s="1243"/>
      <c r="N1014" s="1243"/>
      <c r="O1014" s="1243"/>
    </row>
    <row r="1015" spans="1:15">
      <c r="A1015" s="361"/>
      <c r="D1015" s="1243"/>
      <c r="E1015" s="1243"/>
      <c r="F1015" s="1243"/>
      <c r="G1015" s="1243"/>
      <c r="H1015" s="1243"/>
      <c r="I1015" s="1243"/>
      <c r="J1015" s="1243"/>
      <c r="K1015" s="1243"/>
      <c r="L1015" s="1243"/>
      <c r="M1015" s="1243"/>
      <c r="N1015" s="1243"/>
      <c r="O1015" s="1243"/>
    </row>
    <row r="1016" spans="1:15">
      <c r="A1016" s="361">
        <f>A1013+1</f>
        <v>23</v>
      </c>
      <c r="B1016" s="363" t="s">
        <v>1774</v>
      </c>
      <c r="D1016" s="1243"/>
      <c r="E1016" s="1243"/>
      <c r="F1016" s="1243"/>
      <c r="G1016" s="1243"/>
      <c r="H1016" s="1243"/>
      <c r="I1016" s="1243"/>
      <c r="J1016" s="1243"/>
      <c r="K1016" s="1243"/>
      <c r="L1016" s="1243"/>
      <c r="M1016" s="1243"/>
      <c r="N1016" s="1243"/>
      <c r="O1016" s="1243"/>
    </row>
    <row r="1017" spans="1:15">
      <c r="A1017" s="361">
        <f t="shared" ref="A1017:A1022" si="176">A1016+1</f>
        <v>24</v>
      </c>
      <c r="B1017" s="365">
        <v>376</v>
      </c>
      <c r="C1017" s="358" t="s">
        <v>1775</v>
      </c>
      <c r="D1017" s="1243">
        <f>G903</f>
        <v>16984710.07</v>
      </c>
      <c r="E1017" s="1243">
        <f>'WPB-2.1.D SMRP'!E386</f>
        <v>4929452</v>
      </c>
      <c r="F1017" s="1243">
        <f>'WPB-2.1.D SMRP'!F386</f>
        <v>-175288.07</v>
      </c>
      <c r="G1017" s="1243">
        <f>SUM(D1017:F1017)</f>
        <v>21738874</v>
      </c>
      <c r="H1017" s="1243"/>
      <c r="I1017" s="1243">
        <f>O903</f>
        <v>45974.313999999998</v>
      </c>
      <c r="J1017" s="1243"/>
      <c r="K1017" s="1243">
        <f>'WPB-2.1.D SMRP'!K386</f>
        <v>28074.769</v>
      </c>
      <c r="L1017" s="1243">
        <v>0</v>
      </c>
      <c r="M1017" s="1243">
        <f>F1017</f>
        <v>-175288.07</v>
      </c>
      <c r="N1017" s="1243">
        <f>'WPB-2.1.D SMRP'!N386</f>
        <v>0</v>
      </c>
      <c r="O1017" s="1243">
        <f>I1017+K1017+L1017+M1017+N1017</f>
        <v>-101238.98700000001</v>
      </c>
    </row>
    <row r="1018" spans="1:15">
      <c r="A1018" s="361">
        <f t="shared" si="176"/>
        <v>25</v>
      </c>
      <c r="B1018" s="365">
        <v>378.2</v>
      </c>
      <c r="C1018" s="358" t="s">
        <v>1776</v>
      </c>
      <c r="D1018" s="1243">
        <f>G904</f>
        <v>-305365.35000000003</v>
      </c>
      <c r="E1018" s="1243">
        <f>'WPB-2.1.D SMRP'!E387</f>
        <v>0</v>
      </c>
      <c r="F1018" s="1243">
        <f>'WPB-2.1.D SMRP'!F387</f>
        <v>-42418.09</v>
      </c>
      <c r="G1018" s="1243">
        <f>SUM(D1018:F1018)</f>
        <v>-347783.44000000006</v>
      </c>
      <c r="H1018" s="1243"/>
      <c r="I1018" s="1243">
        <f>O904</f>
        <v>-345454.19299999997</v>
      </c>
      <c r="J1018" s="1243"/>
      <c r="K1018" s="1243">
        <f>'WPB-2.1.D SMRP'!K387</f>
        <v>-685.53899999999999</v>
      </c>
      <c r="L1018" s="1243">
        <v>0</v>
      </c>
      <c r="M1018" s="1243">
        <f>F1018</f>
        <v>-42418.09</v>
      </c>
      <c r="N1018" s="1243">
        <f>'WPB-2.1.D SMRP'!N387</f>
        <v>-1626.68</v>
      </c>
      <c r="O1018" s="1243">
        <f>I1018+K1018+L1018+M1018+N1018</f>
        <v>-390184.50199999992</v>
      </c>
    </row>
    <row r="1019" spans="1:15">
      <c r="A1019" s="361">
        <f t="shared" si="176"/>
        <v>26</v>
      </c>
      <c r="B1019" s="365">
        <v>380</v>
      </c>
      <c r="C1019" s="358" t="s">
        <v>1777</v>
      </c>
      <c r="D1019" s="1243">
        <f>G905</f>
        <v>6815965.7139667226</v>
      </c>
      <c r="E1019" s="1243">
        <f>'WPB-2.1.D SMRP'!E388</f>
        <v>1078244.2400000002</v>
      </c>
      <c r="F1019" s="1243">
        <f>'WPB-2.1.D SMRP'!F388</f>
        <v>-273184.83045736718</v>
      </c>
      <c r="G1019" s="1243">
        <f>SUM(D1019:F1019)</f>
        <v>7621025.1235093558</v>
      </c>
      <c r="H1019" s="1243"/>
      <c r="I1019" s="1243">
        <f>O905</f>
        <v>-3092721.057798279</v>
      </c>
      <c r="J1019" s="1243"/>
      <c r="K1019" s="1243">
        <f>'WPB-2.1.D SMRP'!K388</f>
        <v>23941.057000000001</v>
      </c>
      <c r="L1019" s="1243">
        <v>0</v>
      </c>
      <c r="M1019" s="1243">
        <f>F1019</f>
        <v>-273184.83045736718</v>
      </c>
      <c r="N1019" s="1243">
        <f>'WPB-2.1.D SMRP'!N388</f>
        <v>-141814.28255199999</v>
      </c>
      <c r="O1019" s="1243">
        <f>I1019+K1019+L1019+M1019+N1019</f>
        <v>-3483779.1138076461</v>
      </c>
    </row>
    <row r="1020" spans="1:15">
      <c r="A1020" s="361">
        <f t="shared" si="176"/>
        <v>27</v>
      </c>
      <c r="B1020" s="365">
        <v>382</v>
      </c>
      <c r="C1020" s="358" t="s">
        <v>1778</v>
      </c>
      <c r="D1020" s="1243">
        <f>G906</f>
        <v>5957.5799999999963</v>
      </c>
      <c r="E1020" s="1243">
        <f>'WPB-2.1.D SMRP'!E389</f>
        <v>5637.8600000000006</v>
      </c>
      <c r="F1020" s="1243">
        <f>'WPB-2.1.D SMRP'!F389</f>
        <v>-4705.1100000000006</v>
      </c>
      <c r="G1020" s="1243">
        <f>SUM(D1020:F1020)</f>
        <v>6890.3299999999963</v>
      </c>
      <c r="H1020" s="1243"/>
      <c r="I1020" s="1243">
        <f>O906</f>
        <v>-31524.357000000004</v>
      </c>
      <c r="J1020" s="1243"/>
      <c r="K1020" s="1243">
        <f>'WPB-2.1.D SMRP'!K389</f>
        <v>9.6880000000000006</v>
      </c>
      <c r="L1020" s="1243">
        <v>0</v>
      </c>
      <c r="M1020" s="1243">
        <f>F1020</f>
        <v>-4705.1100000000006</v>
      </c>
      <c r="N1020" s="1243">
        <f>'WPB-2.1.D SMRP'!N389</f>
        <v>0</v>
      </c>
      <c r="O1020" s="1243">
        <f>I1020+K1020+L1020+M1020+N1020</f>
        <v>-36219.77900000001</v>
      </c>
    </row>
    <row r="1021" spans="1:15">
      <c r="A1021" s="361">
        <f t="shared" si="176"/>
        <v>28</v>
      </c>
      <c r="B1021" s="365">
        <v>383</v>
      </c>
      <c r="C1021" s="358" t="s">
        <v>1779</v>
      </c>
      <c r="D1021" s="1244">
        <f>G907</f>
        <v>-4563.13</v>
      </c>
      <c r="E1021" s="1244">
        <f>'WPB-2.1.D SMRP'!E390</f>
        <v>0</v>
      </c>
      <c r="F1021" s="1244">
        <f>'WPB-2.1.D SMRP'!F390</f>
        <v>-575.59</v>
      </c>
      <c r="G1021" s="1244">
        <f>SUM(D1021:F1021)</f>
        <v>-5138.72</v>
      </c>
      <c r="H1021" s="1243"/>
      <c r="I1021" s="1244">
        <f>O907</f>
        <v>-4580.8189999999995</v>
      </c>
      <c r="J1021" s="1243"/>
      <c r="K1021" s="1244">
        <f>'WPB-2.1.D SMRP'!K390</f>
        <v>-7.4649999999999999</v>
      </c>
      <c r="L1021" s="1244">
        <v>0</v>
      </c>
      <c r="M1021" s="1244">
        <f>F1021</f>
        <v>-575.59</v>
      </c>
      <c r="N1021" s="1244">
        <f>'WPB-2.1.D SMRP'!N390</f>
        <v>0</v>
      </c>
      <c r="O1021" s="1244">
        <f>I1021+K1021+L1021+M1021+N1021</f>
        <v>-5163.8739999999998</v>
      </c>
    </row>
    <row r="1022" spans="1:15">
      <c r="A1022" s="361">
        <f t="shared" si="176"/>
        <v>29</v>
      </c>
      <c r="C1022" s="358" t="s">
        <v>1780</v>
      </c>
      <c r="D1022" s="1243">
        <f>SUM(D1017:D1021)</f>
        <v>23496704.883966722</v>
      </c>
      <c r="E1022" s="1243">
        <f>SUM(E1017:E1021)</f>
        <v>6013334.1000000006</v>
      </c>
      <c r="F1022" s="1243">
        <f>SUM(F1017:F1021)</f>
        <v>-496171.69045736716</v>
      </c>
      <c r="G1022" s="1243">
        <f>SUM(G1017:G1021)</f>
        <v>29013867.293509353</v>
      </c>
      <c r="H1022" s="1243"/>
      <c r="I1022" s="1243">
        <f>SUM(I1017:I1021)</f>
        <v>-3428306.1127982792</v>
      </c>
      <c r="J1022" s="1243"/>
      <c r="K1022" s="1243">
        <f>SUM(K1017:K1021)</f>
        <v>51332.51</v>
      </c>
      <c r="L1022" s="1243">
        <f>SUM(L1017:L1021)</f>
        <v>0</v>
      </c>
      <c r="M1022" s="1243">
        <f>SUM(M1017:M1021)</f>
        <v>-496171.69045736716</v>
      </c>
      <c r="N1022" s="1243">
        <f>SUM(N1017:N1021)</f>
        <v>-143440.96255199998</v>
      </c>
      <c r="O1022" s="1243">
        <f>SUM(O1017:O1021)</f>
        <v>-4016586.2558076461</v>
      </c>
    </row>
    <row r="1023" spans="1:15">
      <c r="A1023" s="361"/>
      <c r="D1023" s="1243"/>
      <c r="E1023" s="1243"/>
      <c r="F1023" s="1243"/>
      <c r="G1023" s="1243"/>
      <c r="H1023" s="1243"/>
      <c r="I1023" s="1243"/>
      <c r="J1023" s="1243"/>
      <c r="K1023" s="1243"/>
      <c r="L1023" s="1243"/>
      <c r="M1023" s="1243"/>
      <c r="N1023" s="1243"/>
      <c r="O1023" s="1243"/>
    </row>
    <row r="1024" spans="1:15" ht="13.5" thickBot="1">
      <c r="A1024" s="361">
        <f>A1022+1</f>
        <v>30</v>
      </c>
      <c r="C1024" s="358" t="s">
        <v>447</v>
      </c>
      <c r="D1024" s="1248">
        <f>D1013+D1022</f>
        <v>754649669.99000001</v>
      </c>
      <c r="E1024" s="1248">
        <f>E1013+E1022</f>
        <v>9596644.9400000013</v>
      </c>
      <c r="F1024" s="1248">
        <f>F1013+F1022</f>
        <v>-992493.44</v>
      </c>
      <c r="G1024" s="1248">
        <f>G1013+G1022</f>
        <v>763253821.49000013</v>
      </c>
      <c r="H1024" s="1243"/>
      <c r="I1024" s="1248">
        <f>I1013+I1022</f>
        <v>164257542.62000003</v>
      </c>
      <c r="J1024" s="1243"/>
      <c r="K1024" s="1248">
        <f>K1013+K1022</f>
        <v>1827896.84</v>
      </c>
      <c r="L1024" s="1248">
        <f>L1013+L1022</f>
        <v>0</v>
      </c>
      <c r="M1024" s="1248">
        <f>M1013+M1022</f>
        <v>-992493.44</v>
      </c>
      <c r="N1024" s="1248">
        <f>N1013+N1022</f>
        <v>-234218.16999999998</v>
      </c>
      <c r="O1024" s="1248">
        <f>O1013+O1022</f>
        <v>164858727.85000008</v>
      </c>
    </row>
    <row r="1025" spans="1:16" ht="13.5" thickTop="1"/>
    <row r="1027" spans="1:16" s="291" customFormat="1">
      <c r="A1027" s="1308" t="str">
        <f>$A$1</f>
        <v>COLUMBIA GAS OF KENTUCKY, INC.</v>
      </c>
      <c r="B1027" s="1308"/>
      <c r="C1027" s="1308"/>
      <c r="D1027" s="1308"/>
      <c r="E1027" s="1308"/>
      <c r="F1027" s="1308"/>
      <c r="G1027" s="1308"/>
      <c r="H1027" s="1308"/>
      <c r="I1027" s="1308"/>
      <c r="J1027" s="1308"/>
      <c r="K1027" s="1308"/>
      <c r="L1027" s="1308"/>
      <c r="M1027" s="1308"/>
      <c r="N1027" s="1308"/>
      <c r="O1027" s="1308"/>
    </row>
    <row r="1028" spans="1:16" s="291" customFormat="1">
      <c r="A1028" s="1308" t="str">
        <f>$A$2</f>
        <v>CASE NO. 2024 - 00092</v>
      </c>
      <c r="B1028" s="1308"/>
      <c r="C1028" s="1308"/>
      <c r="D1028" s="1308"/>
      <c r="E1028" s="1308"/>
      <c r="F1028" s="1308"/>
      <c r="G1028" s="1308"/>
      <c r="H1028" s="1308"/>
      <c r="I1028" s="1308"/>
      <c r="J1028" s="1308"/>
      <c r="K1028" s="1308"/>
      <c r="L1028" s="1308"/>
      <c r="M1028" s="1308"/>
      <c r="N1028" s="1308"/>
      <c r="O1028" s="1308"/>
    </row>
    <row r="1029" spans="1:16" s="291" customFormat="1">
      <c r="A1029" s="1308" t="str">
        <f>$A$3</f>
        <v>DETAIL OF ACTUAL &amp; FORECASTED PLANT, ACCUMULATED RESERVE &amp; DEPRECIATION EXPENSE</v>
      </c>
      <c r="B1029" s="1308"/>
      <c r="C1029" s="1308"/>
      <c r="D1029" s="1308"/>
      <c r="E1029" s="1308"/>
      <c r="F1029" s="1308"/>
      <c r="G1029" s="1308"/>
      <c r="H1029" s="1308"/>
      <c r="I1029" s="1308"/>
      <c r="J1029" s="1308"/>
      <c r="K1029" s="1308"/>
      <c r="L1029" s="1308"/>
      <c r="M1029" s="1308"/>
      <c r="N1029" s="1308"/>
      <c r="O1029" s="1308"/>
      <c r="P1029" s="357"/>
    </row>
    <row r="1030" spans="1:16" s="291" customFormat="1">
      <c r="A1030" s="1308" t="str">
        <f>$A$4</f>
        <v>FROM JANUARY 01, 2023 THROUGH DECEMBER 31, 2025</v>
      </c>
      <c r="B1030" s="1308"/>
      <c r="C1030" s="1308"/>
      <c r="D1030" s="1308"/>
      <c r="E1030" s="1308"/>
      <c r="F1030" s="1308"/>
      <c r="G1030" s="1308"/>
      <c r="H1030" s="1308"/>
      <c r="I1030" s="1308"/>
      <c r="J1030" s="1308"/>
      <c r="K1030" s="1308"/>
      <c r="L1030" s="1308"/>
      <c r="M1030" s="1308"/>
      <c r="N1030" s="1308"/>
      <c r="O1030" s="1308"/>
    </row>
    <row r="1031" spans="1:16" s="291" customFormat="1">
      <c r="B1031" s="293"/>
      <c r="P1031" s="312"/>
    </row>
    <row r="1032" spans="1:16" s="291" customFormat="1">
      <c r="A1032" s="297" t="str">
        <f>$A$6</f>
        <v xml:space="preserve">DATA: _X_ BASE PERIOD _X_ FORECASTED PERIOD     </v>
      </c>
      <c r="B1032" s="293"/>
      <c r="O1032" s="312" t="str">
        <f>$O$6</f>
        <v>WPB-2.1.C</v>
      </c>
      <c r="P1032" s="312"/>
    </row>
    <row r="1033" spans="1:16" s="291" customFormat="1">
      <c r="A1033" s="297" t="str">
        <f>$A$7</f>
        <v>TYPE OF FILING:___X___ORIGINAL______UPDATED</v>
      </c>
      <c r="B1033" s="293"/>
      <c r="O1033" s="312" t="s">
        <v>2204</v>
      </c>
      <c r="P1033" s="312"/>
    </row>
    <row r="1034" spans="1:16" s="291" customFormat="1">
      <c r="A1034" s="297" t="str">
        <f>$A$8</f>
        <v>WORKPAPER REFERENCE NO(S).:</v>
      </c>
      <c r="B1034" s="293"/>
      <c r="O1034" s="312" t="str">
        <f>$O$8</f>
        <v>WITNESS: GORE</v>
      </c>
    </row>
    <row r="1035" spans="1:16">
      <c r="A1035" s="918"/>
      <c r="B1035" s="919"/>
      <c r="C1035" s="918"/>
      <c r="D1035" s="918"/>
      <c r="E1035" s="918"/>
      <c r="F1035" s="918"/>
      <c r="G1035" s="918"/>
      <c r="H1035" s="918"/>
      <c r="I1035" s="918"/>
      <c r="J1035" s="918"/>
      <c r="K1035" s="918"/>
      <c r="L1035" s="918"/>
      <c r="M1035" s="918"/>
      <c r="N1035" s="918"/>
      <c r="O1035" s="920"/>
    </row>
    <row r="1036" spans="1:16">
      <c r="D1036" s="1311" t="s">
        <v>1768</v>
      </c>
      <c r="E1036" s="1311"/>
      <c r="F1036" s="1311"/>
      <c r="G1036" s="1311"/>
      <c r="I1036" s="1311" t="s">
        <v>1769</v>
      </c>
      <c r="J1036" s="1311"/>
      <c r="K1036" s="1311"/>
      <c r="L1036" s="1311"/>
      <c r="M1036" s="1311"/>
      <c r="N1036" s="1311"/>
      <c r="O1036" s="1311"/>
    </row>
    <row r="1037" spans="1:16">
      <c r="D1037" s="360">
        <f>G982+1</f>
        <v>45200</v>
      </c>
      <c r="G1037" s="360">
        <f>D1037+30</f>
        <v>45230</v>
      </c>
      <c r="I1037" s="360">
        <f>D1037</f>
        <v>45200</v>
      </c>
      <c r="O1037" s="360">
        <f>G1037</f>
        <v>45230</v>
      </c>
    </row>
    <row r="1038" spans="1:16">
      <c r="D1038" s="361" t="s">
        <v>1757</v>
      </c>
      <c r="G1038" s="361" t="s">
        <v>1757</v>
      </c>
      <c r="I1038" s="361" t="s">
        <v>1758</v>
      </c>
      <c r="J1038" s="361" t="s">
        <v>488</v>
      </c>
      <c r="L1038" s="361" t="s">
        <v>1758</v>
      </c>
      <c r="O1038" s="361" t="s">
        <v>1758</v>
      </c>
    </row>
    <row r="1039" spans="1:16">
      <c r="A1039" s="361" t="s">
        <v>1770</v>
      </c>
      <c r="B1039" s="361" t="s">
        <v>368</v>
      </c>
      <c r="C1039" s="361"/>
      <c r="D1039" s="361" t="s">
        <v>437</v>
      </c>
      <c r="G1039" s="361" t="s">
        <v>439</v>
      </c>
      <c r="I1039" s="361" t="s">
        <v>437</v>
      </c>
      <c r="J1039" s="361" t="s">
        <v>1771</v>
      </c>
      <c r="K1039" s="361" t="s">
        <v>1772</v>
      </c>
      <c r="L1039" s="361" t="s">
        <v>1759</v>
      </c>
      <c r="N1039" s="361" t="s">
        <v>1760</v>
      </c>
      <c r="O1039" s="361" t="s">
        <v>439</v>
      </c>
    </row>
    <row r="1040" spans="1:16">
      <c r="A1040" s="364" t="s">
        <v>316</v>
      </c>
      <c r="B1040" s="364" t="s">
        <v>316</v>
      </c>
      <c r="C1040" s="364" t="s">
        <v>451</v>
      </c>
      <c r="D1040" s="364" t="s">
        <v>441</v>
      </c>
      <c r="E1040" s="364" t="s">
        <v>442</v>
      </c>
      <c r="F1040" s="364" t="s">
        <v>443</v>
      </c>
      <c r="G1040" s="364" t="s">
        <v>441</v>
      </c>
      <c r="I1040" s="364" t="s">
        <v>441</v>
      </c>
      <c r="J1040" s="364" t="s">
        <v>1773</v>
      </c>
      <c r="K1040" s="364" t="s">
        <v>1771</v>
      </c>
      <c r="L1040" s="364" t="s">
        <v>355</v>
      </c>
      <c r="M1040" s="364" t="s">
        <v>443</v>
      </c>
      <c r="N1040" s="364" t="s">
        <v>1763</v>
      </c>
      <c r="O1040" s="364" t="s">
        <v>441</v>
      </c>
    </row>
    <row r="1041" spans="1:15">
      <c r="D1041" s="361" t="s">
        <v>532</v>
      </c>
      <c r="E1041" s="361" t="s">
        <v>541</v>
      </c>
      <c r="F1041" s="361" t="s">
        <v>542</v>
      </c>
      <c r="G1041" s="361" t="s">
        <v>1764</v>
      </c>
      <c r="I1041" s="334" t="str">
        <f>"(5)"</f>
        <v>(5)</v>
      </c>
      <c r="J1041" s="334" t="str">
        <f>"(6)"</f>
        <v>(6)</v>
      </c>
      <c r="K1041" s="334" t="str">
        <f>"(7)"</f>
        <v>(7)</v>
      </c>
      <c r="L1041" s="334" t="str">
        <f>"(8)"</f>
        <v>(8)</v>
      </c>
      <c r="M1041" s="334" t="str">
        <f>"(9)"</f>
        <v>(9)</v>
      </c>
      <c r="N1041" s="334" t="str">
        <f>"(10)"</f>
        <v>(10)</v>
      </c>
      <c r="O1041" s="334" t="str">
        <f>"(11=5+7+8+9+10)"</f>
        <v>(11=5+7+8+9+10)</v>
      </c>
    </row>
    <row r="1042" spans="1:15">
      <c r="D1042" s="361" t="s">
        <v>320</v>
      </c>
      <c r="E1042" s="361" t="s">
        <v>320</v>
      </c>
      <c r="F1042" s="361" t="s">
        <v>320</v>
      </c>
      <c r="G1042" s="361" t="s">
        <v>320</v>
      </c>
      <c r="I1042" s="334" t="s">
        <v>320</v>
      </c>
      <c r="J1042" s="334" t="s">
        <v>529</v>
      </c>
      <c r="K1042" s="334" t="s">
        <v>320</v>
      </c>
      <c r="L1042" s="334" t="s">
        <v>320</v>
      </c>
      <c r="M1042" s="334" t="s">
        <v>320</v>
      </c>
      <c r="N1042" s="334" t="s">
        <v>320</v>
      </c>
      <c r="O1042" s="334" t="s">
        <v>320</v>
      </c>
    </row>
    <row r="1043" spans="1:15">
      <c r="A1043" s="361">
        <v>1</v>
      </c>
      <c r="B1043" s="362" t="s">
        <v>373</v>
      </c>
      <c r="D1043" s="361"/>
      <c r="E1043" s="361"/>
      <c r="F1043" s="361"/>
      <c r="G1043" s="361"/>
      <c r="I1043" s="334"/>
      <c r="J1043" s="334"/>
      <c r="K1043" s="334"/>
      <c r="L1043" s="334"/>
      <c r="M1043" s="334"/>
      <c r="N1043" s="334"/>
      <c r="O1043" s="334"/>
    </row>
    <row r="1044" spans="1:15">
      <c r="A1044" s="361">
        <f>A1043+1</f>
        <v>2</v>
      </c>
      <c r="B1044" s="365">
        <v>301</v>
      </c>
      <c r="C1044" s="358" t="s">
        <v>374</v>
      </c>
      <c r="D1044" s="1243">
        <f t="shared" ref="D1044:D1049" si="177">G930</f>
        <v>521.20000000000005</v>
      </c>
      <c r="E1044" s="1243">
        <v>0</v>
      </c>
      <c r="F1044" s="1243">
        <v>0</v>
      </c>
      <c r="G1044" s="1243">
        <f t="shared" ref="G1044:G1049" si="178">SUM(D1044:F1044)</f>
        <v>521.20000000000005</v>
      </c>
      <c r="H1044" s="1243"/>
      <c r="I1044" s="1243">
        <f t="shared" ref="I1044:I1049" si="179">O930</f>
        <v>0</v>
      </c>
      <c r="J1044" s="1243"/>
      <c r="K1044" s="1243">
        <v>0</v>
      </c>
      <c r="L1044" s="1243">
        <v>0</v>
      </c>
      <c r="M1044" s="1243">
        <f t="shared" ref="M1044:M1049" si="180">F1044</f>
        <v>0</v>
      </c>
      <c r="N1044" s="1243">
        <v>0</v>
      </c>
      <c r="O1044" s="1243">
        <f t="shared" ref="O1044:O1049" si="181">I1044+K1044+L1044+M1044+N1044</f>
        <v>0</v>
      </c>
    </row>
    <row r="1045" spans="1:15">
      <c r="A1045" s="361">
        <f t="shared" ref="A1045:A1050" si="182">A1044+1</f>
        <v>3</v>
      </c>
      <c r="B1045" s="365">
        <v>303</v>
      </c>
      <c r="C1045" s="358" t="s">
        <v>375</v>
      </c>
      <c r="D1045" s="1243">
        <f t="shared" si="177"/>
        <v>96334.51</v>
      </c>
      <c r="E1045" s="1243">
        <v>0</v>
      </c>
      <c r="F1045" s="1243">
        <v>0</v>
      </c>
      <c r="G1045" s="1243">
        <f t="shared" si="178"/>
        <v>96334.51</v>
      </c>
      <c r="H1045" s="1243"/>
      <c r="I1045" s="1243">
        <f t="shared" si="179"/>
        <v>78059.61000000003</v>
      </c>
      <c r="J1045" s="1243"/>
      <c r="K1045" s="1243">
        <v>267.60000000000002</v>
      </c>
      <c r="L1045" s="1243">
        <v>0</v>
      </c>
      <c r="M1045" s="1243">
        <f t="shared" si="180"/>
        <v>0</v>
      </c>
      <c r="N1045" s="1243">
        <v>0</v>
      </c>
      <c r="O1045" s="1243">
        <f t="shared" si="181"/>
        <v>78327.210000000036</v>
      </c>
    </row>
    <row r="1046" spans="1:15">
      <c r="A1046" s="361">
        <f t="shared" si="182"/>
        <v>4</v>
      </c>
      <c r="B1046" s="365">
        <v>303.10000000000002</v>
      </c>
      <c r="C1046" s="358" t="s">
        <v>376</v>
      </c>
      <c r="D1046" s="1243">
        <f t="shared" si="177"/>
        <v>943.27</v>
      </c>
      <c r="E1046" s="1243">
        <v>0</v>
      </c>
      <c r="F1046" s="1243">
        <v>0</v>
      </c>
      <c r="G1046" s="1243">
        <f t="shared" si="178"/>
        <v>943.27</v>
      </c>
      <c r="H1046" s="1243"/>
      <c r="I1046" s="1243">
        <f t="shared" si="179"/>
        <v>318.35000000000008</v>
      </c>
      <c r="J1046" s="1243"/>
      <c r="K1046" s="1243">
        <v>0</v>
      </c>
      <c r="L1046" s="1243">
        <v>0</v>
      </c>
      <c r="M1046" s="1243">
        <f t="shared" si="180"/>
        <v>0</v>
      </c>
      <c r="N1046" s="1243">
        <v>0</v>
      </c>
      <c r="O1046" s="1243">
        <f t="shared" si="181"/>
        <v>318.35000000000008</v>
      </c>
    </row>
    <row r="1047" spans="1:15">
      <c r="A1047" s="361">
        <f t="shared" si="182"/>
        <v>5</v>
      </c>
      <c r="B1047" s="365">
        <v>303.2</v>
      </c>
      <c r="C1047" s="358" t="s">
        <v>377</v>
      </c>
      <c r="D1047" s="1243">
        <f t="shared" si="177"/>
        <v>0</v>
      </c>
      <c r="E1047" s="1243">
        <v>0</v>
      </c>
      <c r="F1047" s="1243">
        <v>0</v>
      </c>
      <c r="G1047" s="1243">
        <f t="shared" si="178"/>
        <v>0</v>
      </c>
      <c r="H1047" s="1243"/>
      <c r="I1047" s="1243">
        <f t="shared" si="179"/>
        <v>0</v>
      </c>
      <c r="J1047" s="1243"/>
      <c r="K1047" s="1243">
        <v>0</v>
      </c>
      <c r="L1047" s="1243">
        <v>0</v>
      </c>
      <c r="M1047" s="1243">
        <f t="shared" si="180"/>
        <v>0</v>
      </c>
      <c r="N1047" s="1243">
        <v>0</v>
      </c>
      <c r="O1047" s="1243">
        <f t="shared" si="181"/>
        <v>0</v>
      </c>
    </row>
    <row r="1048" spans="1:15">
      <c r="A1048" s="361">
        <f t="shared" si="182"/>
        <v>6</v>
      </c>
      <c r="B1048" s="365">
        <v>303.3</v>
      </c>
      <c r="C1048" s="358" t="s">
        <v>378</v>
      </c>
      <c r="D1048" s="1243">
        <f t="shared" si="177"/>
        <v>12635899.540000001</v>
      </c>
      <c r="E1048" s="1243">
        <v>32021.3</v>
      </c>
      <c r="F1048" s="1243">
        <v>-54209.98</v>
      </c>
      <c r="G1048" s="1243">
        <f t="shared" si="178"/>
        <v>12613710.860000001</v>
      </c>
      <c r="H1048" s="1243"/>
      <c r="I1048" s="1243">
        <f t="shared" si="179"/>
        <v>6399085.1400000025</v>
      </c>
      <c r="J1048" s="1243"/>
      <c r="K1048" s="1243">
        <v>200881.55000000002</v>
      </c>
      <c r="L1048" s="1243">
        <v>0</v>
      </c>
      <c r="M1048" s="1243">
        <f t="shared" si="180"/>
        <v>-54209.98</v>
      </c>
      <c r="N1048" s="1243">
        <v>0</v>
      </c>
      <c r="O1048" s="1243">
        <f t="shared" si="181"/>
        <v>6545756.7100000018</v>
      </c>
    </row>
    <row r="1049" spans="1:15">
      <c r="A1049" s="361">
        <f t="shared" si="182"/>
        <v>7</v>
      </c>
      <c r="B1049" s="365">
        <v>303.99</v>
      </c>
      <c r="C1049" s="358" t="s">
        <v>1129</v>
      </c>
      <c r="D1049" s="1244">
        <f t="shared" si="177"/>
        <v>1933518.2300000002</v>
      </c>
      <c r="E1049" s="1244">
        <v>16587.93</v>
      </c>
      <c r="F1049" s="1244">
        <v>0</v>
      </c>
      <c r="G1049" s="1244">
        <f t="shared" si="178"/>
        <v>1950106.1600000001</v>
      </c>
      <c r="H1049" s="1243"/>
      <c r="I1049" s="1244">
        <f t="shared" si="179"/>
        <v>913983.20000000007</v>
      </c>
      <c r="J1049" s="1243"/>
      <c r="K1049" s="1244">
        <v>33333.410000000003</v>
      </c>
      <c r="L1049" s="1244">
        <v>0</v>
      </c>
      <c r="M1049" s="1244">
        <f t="shared" si="180"/>
        <v>0</v>
      </c>
      <c r="N1049" s="1244">
        <v>0</v>
      </c>
      <c r="O1049" s="1244">
        <f t="shared" si="181"/>
        <v>947316.6100000001</v>
      </c>
    </row>
    <row r="1050" spans="1:15">
      <c r="A1050" s="361">
        <f t="shared" si="182"/>
        <v>8</v>
      </c>
      <c r="B1050" s="367"/>
      <c r="C1050" s="358" t="s">
        <v>379</v>
      </c>
      <c r="D1050" s="1243">
        <f>SUM(D1044:D1049)</f>
        <v>14667216.750000002</v>
      </c>
      <c r="E1050" s="1243">
        <f>SUM(E1044:E1049)</f>
        <v>48609.229999999996</v>
      </c>
      <c r="F1050" s="1243">
        <f>SUM(F1044:F1049)</f>
        <v>-54209.98</v>
      </c>
      <c r="G1050" s="1243">
        <f>SUM(G1044:G1049)</f>
        <v>14661616.000000002</v>
      </c>
      <c r="H1050" s="1243"/>
      <c r="I1050" s="1243">
        <f>SUM(I1044:I1049)</f>
        <v>7391446.3000000026</v>
      </c>
      <c r="J1050" s="1243"/>
      <c r="K1050" s="1243">
        <f>SUM(K1044:K1049)</f>
        <v>234482.56000000003</v>
      </c>
      <c r="L1050" s="1243">
        <f>SUM(L1044:L1049)</f>
        <v>0</v>
      </c>
      <c r="M1050" s="1243">
        <f>SUM(M1044:M1049)</f>
        <v>-54209.98</v>
      </c>
      <c r="N1050" s="1243">
        <f>SUM(N1044:N1049)</f>
        <v>0</v>
      </c>
      <c r="O1050" s="1243">
        <f>SUM(O1044:O1049)</f>
        <v>7571718.8800000018</v>
      </c>
    </row>
    <row r="1051" spans="1:15">
      <c r="A1051" s="361"/>
      <c r="B1051" s="367"/>
      <c r="C1051" s="368"/>
      <c r="D1051" s="1243"/>
      <c r="E1051" s="1243"/>
      <c r="F1051" s="1243"/>
      <c r="G1051" s="1243"/>
      <c r="H1051" s="1243"/>
      <c r="I1051" s="1243"/>
      <c r="J1051" s="1243"/>
      <c r="K1051" s="1243"/>
      <c r="L1051" s="1243"/>
      <c r="M1051" s="1243"/>
      <c r="N1051" s="1243"/>
      <c r="O1051" s="1243"/>
    </row>
    <row r="1052" spans="1:15">
      <c r="A1052" s="361">
        <f>A1050+1</f>
        <v>9</v>
      </c>
      <c r="B1052" s="362" t="s">
        <v>1600</v>
      </c>
      <c r="C1052" s="368"/>
      <c r="D1052" s="1243"/>
      <c r="E1052" s="1243"/>
      <c r="F1052" s="1243"/>
      <c r="G1052" s="1243"/>
      <c r="H1052" s="1243"/>
      <c r="I1052" s="1243"/>
      <c r="J1052" s="1243"/>
      <c r="K1052" s="1243"/>
      <c r="L1052" s="1243"/>
      <c r="M1052" s="1243"/>
      <c r="N1052" s="1243"/>
      <c r="O1052" s="1243"/>
    </row>
    <row r="1053" spans="1:15">
      <c r="A1053" s="361">
        <f t="shared" ref="A1053:A1083" si="183">A1052+1</f>
        <v>10</v>
      </c>
      <c r="B1053" s="365">
        <v>374.1</v>
      </c>
      <c r="C1053" s="358" t="s">
        <v>382</v>
      </c>
      <c r="D1053" s="1243">
        <f t="shared" ref="D1053:D1082" si="184">G939</f>
        <v>206</v>
      </c>
      <c r="E1053" s="1243">
        <v>0</v>
      </c>
      <c r="F1053" s="1243">
        <v>0</v>
      </c>
      <c r="G1053" s="1243">
        <f>SUM(D1053:F1053)</f>
        <v>206</v>
      </c>
      <c r="H1053" s="1243"/>
      <c r="I1053" s="1243">
        <f t="shared" ref="I1053:I1082" si="185">O939</f>
        <v>0</v>
      </c>
      <c r="J1053" s="1243"/>
      <c r="K1053" s="1243">
        <v>0</v>
      </c>
      <c r="L1053" s="1243">
        <v>0</v>
      </c>
      <c r="M1053" s="1243">
        <f t="shared" ref="M1053:M1082" si="186">F1053</f>
        <v>0</v>
      </c>
      <c r="N1053" s="1243">
        <v>0</v>
      </c>
      <c r="O1053" s="1243">
        <f t="shared" ref="O1053:O1082" si="187">I1053+K1053+L1053+M1053+N1053</f>
        <v>0</v>
      </c>
    </row>
    <row r="1054" spans="1:15">
      <c r="A1054" s="361">
        <f t="shared" si="183"/>
        <v>11</v>
      </c>
      <c r="B1054" s="365">
        <v>374.2</v>
      </c>
      <c r="C1054" s="358" t="s">
        <v>383</v>
      </c>
      <c r="D1054" s="1243">
        <f t="shared" si="184"/>
        <v>876986.66</v>
      </c>
      <c r="E1054" s="1243">
        <v>0</v>
      </c>
      <c r="F1054" s="1243">
        <v>0</v>
      </c>
      <c r="G1054" s="1243">
        <f t="shared" ref="G1054:G1082" si="188">SUM(D1054:F1054)</f>
        <v>876986.66</v>
      </c>
      <c r="H1054" s="1243"/>
      <c r="I1054" s="1243">
        <f t="shared" si="185"/>
        <v>-522.25</v>
      </c>
      <c r="J1054" s="1243"/>
      <c r="K1054" s="1243">
        <v>0</v>
      </c>
      <c r="L1054" s="1243">
        <v>0</v>
      </c>
      <c r="M1054" s="1243">
        <f t="shared" si="186"/>
        <v>0</v>
      </c>
      <c r="N1054" s="1243">
        <v>0</v>
      </c>
      <c r="O1054" s="1243">
        <f t="shared" si="187"/>
        <v>-522.25</v>
      </c>
    </row>
    <row r="1055" spans="1:15">
      <c r="A1055" s="361">
        <f t="shared" si="183"/>
        <v>12</v>
      </c>
      <c r="B1055" s="365">
        <v>374.4</v>
      </c>
      <c r="C1055" s="358" t="s">
        <v>384</v>
      </c>
      <c r="D1055" s="1243">
        <f t="shared" si="184"/>
        <v>2893030.2</v>
      </c>
      <c r="E1055" s="1243">
        <v>2218</v>
      </c>
      <c r="F1055" s="1243">
        <v>0</v>
      </c>
      <c r="G1055" s="1243">
        <f t="shared" si="188"/>
        <v>2895248.2</v>
      </c>
      <c r="H1055" s="1243"/>
      <c r="I1055" s="1243">
        <f t="shared" si="185"/>
        <v>359656.95</v>
      </c>
      <c r="J1055" s="1243"/>
      <c r="K1055" s="1243">
        <v>3062.96</v>
      </c>
      <c r="L1055" s="1243">
        <v>0</v>
      </c>
      <c r="M1055" s="1243">
        <f t="shared" si="186"/>
        <v>0</v>
      </c>
      <c r="N1055" s="1243">
        <v>0</v>
      </c>
      <c r="O1055" s="1243">
        <f t="shared" si="187"/>
        <v>362719.91000000003</v>
      </c>
    </row>
    <row r="1056" spans="1:15">
      <c r="A1056" s="361">
        <f t="shared" si="183"/>
        <v>13</v>
      </c>
      <c r="B1056" s="365">
        <v>374.5</v>
      </c>
      <c r="C1056" s="358" t="s">
        <v>385</v>
      </c>
      <c r="D1056" s="1243">
        <f t="shared" si="184"/>
        <v>2666577.16</v>
      </c>
      <c r="E1056" s="1243">
        <v>0</v>
      </c>
      <c r="F1056" s="1243">
        <v>0</v>
      </c>
      <c r="G1056" s="1243">
        <f t="shared" si="188"/>
        <v>2666577.16</v>
      </c>
      <c r="H1056" s="1243"/>
      <c r="I1056" s="1243">
        <f t="shared" si="185"/>
        <v>1148966.3900000008</v>
      </c>
      <c r="J1056" s="1243"/>
      <c r="K1056" s="1243">
        <v>2444.36</v>
      </c>
      <c r="L1056" s="1243">
        <v>0</v>
      </c>
      <c r="M1056" s="1243">
        <f t="shared" si="186"/>
        <v>0</v>
      </c>
      <c r="N1056" s="1243">
        <v>0</v>
      </c>
      <c r="O1056" s="1243">
        <f t="shared" si="187"/>
        <v>1151410.7500000009</v>
      </c>
    </row>
    <row r="1057" spans="1:15">
      <c r="A1057" s="361">
        <f t="shared" si="183"/>
        <v>14</v>
      </c>
      <c r="B1057" s="365">
        <v>375.2</v>
      </c>
      <c r="C1057" s="358" t="s">
        <v>386</v>
      </c>
      <c r="D1057" s="1243">
        <f t="shared" si="184"/>
        <v>2124.98</v>
      </c>
      <c r="E1057" s="1243">
        <v>0</v>
      </c>
      <c r="F1057" s="1243">
        <v>0</v>
      </c>
      <c r="G1057" s="1243">
        <f t="shared" si="188"/>
        <v>2124.98</v>
      </c>
      <c r="H1057" s="1243"/>
      <c r="I1057" s="1243">
        <f t="shared" si="185"/>
        <v>2059.65</v>
      </c>
      <c r="J1057" s="1243"/>
      <c r="K1057" s="1243">
        <v>0.73</v>
      </c>
      <c r="L1057" s="1243">
        <v>0</v>
      </c>
      <c r="M1057" s="1243">
        <f t="shared" si="186"/>
        <v>0</v>
      </c>
      <c r="N1057" s="1243">
        <v>0</v>
      </c>
      <c r="O1057" s="1243">
        <f t="shared" si="187"/>
        <v>2060.38</v>
      </c>
    </row>
    <row r="1058" spans="1:15">
      <c r="A1058" s="361">
        <f t="shared" si="183"/>
        <v>15</v>
      </c>
      <c r="B1058" s="365">
        <v>375.3</v>
      </c>
      <c r="C1058" s="358" t="s">
        <v>387</v>
      </c>
      <c r="D1058" s="1243">
        <f t="shared" si="184"/>
        <v>0</v>
      </c>
      <c r="E1058" s="1243">
        <v>0</v>
      </c>
      <c r="F1058" s="1243">
        <v>0</v>
      </c>
      <c r="G1058" s="1243">
        <f t="shared" si="188"/>
        <v>0</v>
      </c>
      <c r="H1058" s="1243"/>
      <c r="I1058" s="1243">
        <f t="shared" si="185"/>
        <v>-77.66</v>
      </c>
      <c r="J1058" s="1243"/>
      <c r="K1058" s="1243">
        <v>0</v>
      </c>
      <c r="L1058" s="1243">
        <v>0</v>
      </c>
      <c r="M1058" s="1243">
        <f t="shared" si="186"/>
        <v>0</v>
      </c>
      <c r="N1058" s="1243">
        <v>0</v>
      </c>
      <c r="O1058" s="1243">
        <f t="shared" si="187"/>
        <v>-77.66</v>
      </c>
    </row>
    <row r="1059" spans="1:15">
      <c r="A1059" s="361">
        <f t="shared" si="183"/>
        <v>16</v>
      </c>
      <c r="B1059" s="365">
        <v>375.4</v>
      </c>
      <c r="C1059" s="358" t="s">
        <v>388</v>
      </c>
      <c r="D1059" s="1243">
        <f t="shared" si="184"/>
        <v>2986653.8399999994</v>
      </c>
      <c r="E1059" s="1243">
        <v>3612.98</v>
      </c>
      <c r="F1059" s="1243">
        <v>0</v>
      </c>
      <c r="G1059" s="1243">
        <f t="shared" si="188"/>
        <v>2990266.8199999994</v>
      </c>
      <c r="H1059" s="1243"/>
      <c r="I1059" s="1243">
        <f t="shared" si="185"/>
        <v>591392.9800000001</v>
      </c>
      <c r="J1059" s="1243"/>
      <c r="K1059" s="1243">
        <v>5404.14</v>
      </c>
      <c r="L1059" s="1243">
        <v>0</v>
      </c>
      <c r="M1059" s="1243">
        <f t="shared" si="186"/>
        <v>0</v>
      </c>
      <c r="N1059" s="1243">
        <v>-221.8</v>
      </c>
      <c r="O1059" s="1243">
        <f t="shared" si="187"/>
        <v>596575.32000000007</v>
      </c>
    </row>
    <row r="1060" spans="1:15">
      <c r="A1060" s="361">
        <f t="shared" si="183"/>
        <v>17</v>
      </c>
      <c r="B1060" s="365">
        <v>375.6</v>
      </c>
      <c r="C1060" s="358" t="s">
        <v>389</v>
      </c>
      <c r="D1060" s="1243">
        <f t="shared" si="184"/>
        <v>0</v>
      </c>
      <c r="E1060" s="1243">
        <v>0</v>
      </c>
      <c r="F1060" s="1243">
        <v>0</v>
      </c>
      <c r="G1060" s="1243">
        <f t="shared" si="188"/>
        <v>0</v>
      </c>
      <c r="H1060" s="1243"/>
      <c r="I1060" s="1243">
        <f t="shared" si="185"/>
        <v>0.02</v>
      </c>
      <c r="J1060" s="1243"/>
      <c r="K1060" s="1243">
        <v>0</v>
      </c>
      <c r="L1060" s="1243">
        <v>0</v>
      </c>
      <c r="M1060" s="1243">
        <f t="shared" si="186"/>
        <v>0</v>
      </c>
      <c r="N1060" s="1243">
        <v>0</v>
      </c>
      <c r="O1060" s="1243">
        <f t="shared" si="187"/>
        <v>0.02</v>
      </c>
    </row>
    <row r="1061" spans="1:15">
      <c r="A1061" s="361">
        <f t="shared" si="183"/>
        <v>18</v>
      </c>
      <c r="B1061" s="365">
        <v>375.7</v>
      </c>
      <c r="C1061" s="358" t="s">
        <v>390</v>
      </c>
      <c r="D1061" s="1243">
        <f t="shared" si="184"/>
        <v>9524432.0700000003</v>
      </c>
      <c r="E1061" s="1243">
        <v>65345.22</v>
      </c>
      <c r="F1061" s="1243">
        <v>0</v>
      </c>
      <c r="G1061" s="1243">
        <f t="shared" si="188"/>
        <v>9589777.290000001</v>
      </c>
      <c r="H1061" s="1243"/>
      <c r="I1061" s="1243">
        <f t="shared" si="185"/>
        <v>4641361.6499999985</v>
      </c>
      <c r="J1061" s="1243"/>
      <c r="K1061" s="1243">
        <v>18636.350000000002</v>
      </c>
      <c r="L1061" s="1243">
        <v>0</v>
      </c>
      <c r="M1061" s="1243">
        <f t="shared" si="186"/>
        <v>0</v>
      </c>
      <c r="N1061" s="1243">
        <v>0</v>
      </c>
      <c r="O1061" s="1243">
        <f t="shared" si="187"/>
        <v>4659997.9999999981</v>
      </c>
    </row>
    <row r="1062" spans="1:15">
      <c r="A1062" s="361">
        <f t="shared" si="183"/>
        <v>19</v>
      </c>
      <c r="B1062" s="365">
        <v>375.71</v>
      </c>
      <c r="C1062" s="358" t="s">
        <v>391</v>
      </c>
      <c r="D1062" s="1243">
        <f t="shared" si="184"/>
        <v>880994.59</v>
      </c>
      <c r="E1062" s="1243">
        <v>0</v>
      </c>
      <c r="F1062" s="1243">
        <v>0</v>
      </c>
      <c r="G1062" s="1243">
        <f t="shared" si="188"/>
        <v>880994.59</v>
      </c>
      <c r="H1062" s="1243"/>
      <c r="I1062" s="1243">
        <f t="shared" si="185"/>
        <v>744732.52000000025</v>
      </c>
      <c r="J1062" s="1243"/>
      <c r="K1062" s="1243">
        <v>4743.54</v>
      </c>
      <c r="L1062" s="1243">
        <v>0</v>
      </c>
      <c r="M1062" s="1243">
        <f t="shared" si="186"/>
        <v>0</v>
      </c>
      <c r="N1062" s="1243">
        <v>0</v>
      </c>
      <c r="O1062" s="1243">
        <f t="shared" si="187"/>
        <v>749476.06000000029</v>
      </c>
    </row>
    <row r="1063" spans="1:15">
      <c r="A1063" s="361">
        <f t="shared" si="183"/>
        <v>20</v>
      </c>
      <c r="B1063" s="365">
        <v>375.8</v>
      </c>
      <c r="C1063" s="358" t="s">
        <v>392</v>
      </c>
      <c r="D1063" s="1243">
        <f t="shared" si="184"/>
        <v>132125.04</v>
      </c>
      <c r="E1063" s="1243">
        <v>0</v>
      </c>
      <c r="F1063" s="1243">
        <v>0</v>
      </c>
      <c r="G1063" s="1243">
        <f t="shared" si="188"/>
        <v>132125.04</v>
      </c>
      <c r="H1063" s="1243"/>
      <c r="I1063" s="1243">
        <f t="shared" si="185"/>
        <v>9069.68</v>
      </c>
      <c r="J1063" s="1243"/>
      <c r="K1063" s="1243">
        <v>585.75</v>
      </c>
      <c r="L1063" s="1243">
        <v>0</v>
      </c>
      <c r="M1063" s="1243">
        <f t="shared" si="186"/>
        <v>0</v>
      </c>
      <c r="N1063" s="1243">
        <v>0</v>
      </c>
      <c r="O1063" s="1243">
        <f t="shared" si="187"/>
        <v>9655.43</v>
      </c>
    </row>
    <row r="1064" spans="1:15">
      <c r="A1064" s="361">
        <f t="shared" si="183"/>
        <v>21</v>
      </c>
      <c r="B1064" s="365">
        <v>376</v>
      </c>
      <c r="C1064" s="358" t="s">
        <v>1621</v>
      </c>
      <c r="D1064" s="1243">
        <f t="shared" si="184"/>
        <v>406772223.84999996</v>
      </c>
      <c r="E1064" s="1243">
        <f>'WPB-2.1.D SMRP'!E441</f>
        <v>2229825.8499999996</v>
      </c>
      <c r="F1064" s="1243">
        <f>'WPB-2.1.D SMRP'!F441</f>
        <v>-13006.550000000001</v>
      </c>
      <c r="G1064" s="1243">
        <f t="shared" si="188"/>
        <v>408989043.14999998</v>
      </c>
      <c r="H1064" s="1243"/>
      <c r="I1064" s="1243">
        <f t="shared" si="185"/>
        <v>78753046.367000014</v>
      </c>
      <c r="J1064" s="1243"/>
      <c r="K1064" s="1243">
        <f>'WPB-2.1.D SMRP'!K441</f>
        <v>587841.75199999998</v>
      </c>
      <c r="L1064" s="1243">
        <v>0</v>
      </c>
      <c r="M1064" s="1243">
        <f>F1064</f>
        <v>-13006.550000000001</v>
      </c>
      <c r="N1064" s="1243">
        <f>'WPB-2.1.D SMRP'!N441</f>
        <v>-6932.84</v>
      </c>
      <c r="O1064" s="1243">
        <f t="shared" si="187"/>
        <v>79320948.729000017</v>
      </c>
    </row>
    <row r="1065" spans="1:15">
      <c r="A1065" s="361">
        <f t="shared" si="183"/>
        <v>22</v>
      </c>
      <c r="B1065" s="365">
        <v>378.1</v>
      </c>
      <c r="C1065" s="358" t="s">
        <v>394</v>
      </c>
      <c r="D1065" s="1243">
        <f t="shared" si="184"/>
        <v>571573.2300000001</v>
      </c>
      <c r="E1065" s="1243">
        <v>0</v>
      </c>
      <c r="F1065" s="1243">
        <v>0</v>
      </c>
      <c r="G1065" s="1243">
        <f t="shared" si="188"/>
        <v>571573.2300000001</v>
      </c>
      <c r="H1065" s="1243"/>
      <c r="I1065" s="1243">
        <f t="shared" si="185"/>
        <v>409090.75999999995</v>
      </c>
      <c r="J1065" s="1243"/>
      <c r="K1065" s="1243">
        <v>1032.32</v>
      </c>
      <c r="L1065" s="1243">
        <v>0</v>
      </c>
      <c r="M1065" s="1243">
        <f t="shared" si="186"/>
        <v>0</v>
      </c>
      <c r="N1065" s="1243">
        <v>0</v>
      </c>
      <c r="O1065" s="1243">
        <f t="shared" si="187"/>
        <v>410123.07999999996</v>
      </c>
    </row>
    <row r="1066" spans="1:15">
      <c r="A1066" s="361">
        <f t="shared" si="183"/>
        <v>23</v>
      </c>
      <c r="B1066" s="365">
        <v>378.2</v>
      </c>
      <c r="C1066" s="358" t="s">
        <v>1622</v>
      </c>
      <c r="D1066" s="1243">
        <f t="shared" si="184"/>
        <v>25351623.770000003</v>
      </c>
      <c r="E1066" s="1243">
        <f>'WPB-2.1.D SMRP'!E445</f>
        <v>12616.79</v>
      </c>
      <c r="F1066" s="1243">
        <f>'WPB-2.1.D SMRP'!F445</f>
        <v>0</v>
      </c>
      <c r="G1066" s="1243">
        <f t="shared" si="188"/>
        <v>25364240.560000002</v>
      </c>
      <c r="H1066" s="1243"/>
      <c r="I1066" s="1243">
        <f t="shared" si="185"/>
        <v>3256317.372</v>
      </c>
      <c r="J1066" s="1243"/>
      <c r="K1066" s="1243">
        <f>'WPB-2.1.D SMRP'!K445</f>
        <v>53408.39</v>
      </c>
      <c r="L1066" s="1243">
        <v>0</v>
      </c>
      <c r="M1066" s="1243">
        <f>F1066</f>
        <v>0</v>
      </c>
      <c r="N1066" s="1243">
        <f>'WPB-2.1.D SMRP'!N445</f>
        <v>0</v>
      </c>
      <c r="O1066" s="1243">
        <f t="shared" si="187"/>
        <v>3309725.7620000001</v>
      </c>
    </row>
    <row r="1067" spans="1:15">
      <c r="A1067" s="361">
        <f t="shared" si="183"/>
        <v>24</v>
      </c>
      <c r="B1067" s="365">
        <v>378.3</v>
      </c>
      <c r="C1067" s="358" t="s">
        <v>396</v>
      </c>
      <c r="D1067" s="1243">
        <f t="shared" si="184"/>
        <v>45443.08</v>
      </c>
      <c r="E1067" s="1243">
        <v>0</v>
      </c>
      <c r="F1067" s="1243">
        <v>0</v>
      </c>
      <c r="G1067" s="1243">
        <f t="shared" si="188"/>
        <v>45443.08</v>
      </c>
      <c r="H1067" s="1243"/>
      <c r="I1067" s="1243">
        <f t="shared" si="185"/>
        <v>42881.170000000006</v>
      </c>
      <c r="J1067" s="1243"/>
      <c r="K1067" s="1243">
        <v>95.43</v>
      </c>
      <c r="L1067" s="1243">
        <v>0</v>
      </c>
      <c r="M1067" s="1243">
        <f t="shared" si="186"/>
        <v>0</v>
      </c>
      <c r="N1067" s="1243">
        <v>0</v>
      </c>
      <c r="O1067" s="1243">
        <f t="shared" si="187"/>
        <v>42976.600000000006</v>
      </c>
    </row>
    <row r="1068" spans="1:15">
      <c r="A1068" s="361">
        <f t="shared" si="183"/>
        <v>25</v>
      </c>
      <c r="B1068" s="365">
        <v>379.1</v>
      </c>
      <c r="C1068" s="358" t="s">
        <v>397</v>
      </c>
      <c r="D1068" s="1243">
        <f t="shared" si="184"/>
        <v>1554144.06</v>
      </c>
      <c r="E1068" s="1243">
        <v>0</v>
      </c>
      <c r="F1068" s="1243">
        <v>0</v>
      </c>
      <c r="G1068" s="1243">
        <f t="shared" si="188"/>
        <v>1554144.06</v>
      </c>
      <c r="H1068" s="1243"/>
      <c r="I1068" s="1243">
        <f t="shared" si="185"/>
        <v>341982.24000000005</v>
      </c>
      <c r="J1068" s="1243"/>
      <c r="K1068" s="1243">
        <v>3134.19</v>
      </c>
      <c r="L1068" s="1243">
        <v>0</v>
      </c>
      <c r="M1068" s="1243">
        <f t="shared" si="186"/>
        <v>0</v>
      </c>
      <c r="N1068" s="1243">
        <v>0</v>
      </c>
      <c r="O1068" s="1243">
        <f t="shared" si="187"/>
        <v>345116.43000000005</v>
      </c>
    </row>
    <row r="1069" spans="1:15">
      <c r="A1069" s="361">
        <f t="shared" si="183"/>
        <v>26</v>
      </c>
      <c r="B1069" s="365">
        <v>380</v>
      </c>
      <c r="C1069" s="358" t="s">
        <v>1623</v>
      </c>
      <c r="D1069" s="1243">
        <f t="shared" si="184"/>
        <v>198991449.31649062</v>
      </c>
      <c r="E1069" s="1243">
        <f>'WPB-2.1.D SMRP'!E449</f>
        <v>1189886.9599999995</v>
      </c>
      <c r="F1069" s="1243">
        <f>'WPB-2.1.D SMRP'!F449</f>
        <v>-35534.099763563019</v>
      </c>
      <c r="G1069" s="1243">
        <f t="shared" si="188"/>
        <v>200145802.17672706</v>
      </c>
      <c r="H1069" s="1243"/>
      <c r="I1069" s="1243">
        <f t="shared" si="185"/>
        <v>57431622.593807653</v>
      </c>
      <c r="J1069" s="1243"/>
      <c r="K1069" s="1243">
        <f>'WPB-2.1.D SMRP'!K449</f>
        <v>660474.55000000005</v>
      </c>
      <c r="L1069" s="1243">
        <v>0</v>
      </c>
      <c r="M1069" s="1243">
        <f>F1069</f>
        <v>-35534.099763563019</v>
      </c>
      <c r="N1069" s="1243">
        <f>'WPB-2.1.D SMRP'!N449</f>
        <v>-34074.461463000014</v>
      </c>
      <c r="O1069" s="1243">
        <f t="shared" si="187"/>
        <v>58022488.582581088</v>
      </c>
    </row>
    <row r="1070" spans="1:15">
      <c r="A1070" s="361">
        <f t="shared" si="183"/>
        <v>27</v>
      </c>
      <c r="B1070" s="365">
        <v>381</v>
      </c>
      <c r="C1070" s="358" t="s">
        <v>399</v>
      </c>
      <c r="D1070" s="1243">
        <f t="shared" si="184"/>
        <v>18190693.460000001</v>
      </c>
      <c r="E1070" s="1243">
        <v>1198247.3</v>
      </c>
      <c r="F1070" s="1243">
        <v>-51548.22</v>
      </c>
      <c r="G1070" s="1243">
        <f t="shared" si="188"/>
        <v>19337392.540000003</v>
      </c>
      <c r="H1070" s="1243"/>
      <c r="I1070" s="1243">
        <f t="shared" si="185"/>
        <v>2503584.1799999997</v>
      </c>
      <c r="J1070" s="1243"/>
      <c r="K1070" s="1243">
        <v>41569.79</v>
      </c>
      <c r="L1070" s="1243">
        <v>0</v>
      </c>
      <c r="M1070" s="1243">
        <f t="shared" si="186"/>
        <v>-51548.22</v>
      </c>
      <c r="N1070" s="1243">
        <v>-7971.76</v>
      </c>
      <c r="O1070" s="1243">
        <f t="shared" si="187"/>
        <v>2485633.9899999998</v>
      </c>
    </row>
    <row r="1071" spans="1:15">
      <c r="A1071" s="361">
        <f t="shared" si="183"/>
        <v>28</v>
      </c>
      <c r="B1071" s="365">
        <v>381.1</v>
      </c>
      <c r="C1071" s="358" t="s">
        <v>2366</v>
      </c>
      <c r="D1071" s="1243">
        <f t="shared" si="184"/>
        <v>9980854.4800000004</v>
      </c>
      <c r="E1071" s="1243">
        <v>0</v>
      </c>
      <c r="F1071" s="1243">
        <v>0</v>
      </c>
      <c r="G1071" s="1243">
        <f t="shared" si="188"/>
        <v>9980854.4800000004</v>
      </c>
      <c r="H1071" s="1243"/>
      <c r="I1071" s="1243">
        <f t="shared" si="185"/>
        <v>5174457.0800000019</v>
      </c>
      <c r="J1071" s="1243"/>
      <c r="K1071" s="1243">
        <v>62213.99</v>
      </c>
      <c r="L1071" s="1243">
        <v>0</v>
      </c>
      <c r="M1071" s="1243">
        <f t="shared" si="186"/>
        <v>0</v>
      </c>
      <c r="N1071" s="1243">
        <v>0</v>
      </c>
      <c r="O1071" s="1243">
        <f t="shared" si="187"/>
        <v>5236671.0700000022</v>
      </c>
    </row>
    <row r="1072" spans="1:15">
      <c r="A1072" s="361">
        <f t="shared" si="183"/>
        <v>29</v>
      </c>
      <c r="B1072" s="365">
        <v>382</v>
      </c>
      <c r="C1072" s="358" t="s">
        <v>1624</v>
      </c>
      <c r="D1072" s="1243">
        <f t="shared" si="184"/>
        <v>10303126.359999999</v>
      </c>
      <c r="E1072" s="1243">
        <f>'WPB-2.1.D SMRP'!E453</f>
        <v>90237.28</v>
      </c>
      <c r="F1072" s="1243">
        <f>'WPB-2.1.D SMRP'!F453</f>
        <v>0</v>
      </c>
      <c r="G1072" s="1243">
        <f t="shared" si="188"/>
        <v>10393363.639999999</v>
      </c>
      <c r="H1072" s="1243"/>
      <c r="I1072" s="1243">
        <f t="shared" si="185"/>
        <v>5796400.6790000014</v>
      </c>
      <c r="J1072" s="1243"/>
      <c r="K1072" s="1243">
        <f>'WPB-2.1.D SMRP'!K453</f>
        <v>15263.832</v>
      </c>
      <c r="L1072" s="1243">
        <v>0</v>
      </c>
      <c r="M1072" s="1243">
        <f t="shared" si="186"/>
        <v>0</v>
      </c>
      <c r="N1072" s="1243">
        <f>'WPB-2.1.D SMRP'!N453</f>
        <v>0</v>
      </c>
      <c r="O1072" s="1243">
        <f t="shared" si="187"/>
        <v>5811664.5110000018</v>
      </c>
    </row>
    <row r="1073" spans="1:16">
      <c r="A1073" s="361">
        <f t="shared" si="183"/>
        <v>30</v>
      </c>
      <c r="B1073" s="365">
        <v>383</v>
      </c>
      <c r="C1073" s="358" t="s">
        <v>1625</v>
      </c>
      <c r="D1073" s="1243">
        <f t="shared" si="184"/>
        <v>7253229.5</v>
      </c>
      <c r="E1073" s="1243">
        <f>'WPB-2.1.D SMRP'!E457</f>
        <v>26026.880000000001</v>
      </c>
      <c r="F1073" s="1243">
        <f>'WPB-2.1.D SMRP'!F457</f>
        <v>0</v>
      </c>
      <c r="G1073" s="1243">
        <f t="shared" si="188"/>
        <v>7279256.3799999999</v>
      </c>
      <c r="H1073" s="1243"/>
      <c r="I1073" s="1243">
        <f t="shared" si="185"/>
        <v>2451077.1839999999</v>
      </c>
      <c r="J1073" s="1243"/>
      <c r="K1073" s="1243">
        <f>'WPB-2.1.D SMRP'!K457</f>
        <v>11746.785</v>
      </c>
      <c r="L1073" s="1243">
        <v>0</v>
      </c>
      <c r="M1073" s="1243">
        <f t="shared" si="186"/>
        <v>0</v>
      </c>
      <c r="N1073" s="1243">
        <f>'WPB-2.1.D SMRP'!N457</f>
        <v>0</v>
      </c>
      <c r="O1073" s="1243">
        <f t="shared" si="187"/>
        <v>2462823.969</v>
      </c>
    </row>
    <row r="1074" spans="1:16">
      <c r="A1074" s="361">
        <f t="shared" si="183"/>
        <v>31</v>
      </c>
      <c r="B1074" s="365">
        <v>384</v>
      </c>
      <c r="C1074" s="358" t="s">
        <v>402</v>
      </c>
      <c r="D1074" s="1243">
        <f t="shared" si="184"/>
        <v>2085058.65</v>
      </c>
      <c r="E1074" s="1243">
        <v>0</v>
      </c>
      <c r="F1074" s="1243">
        <v>0</v>
      </c>
      <c r="G1074" s="1243">
        <f t="shared" si="188"/>
        <v>2085058.65</v>
      </c>
      <c r="H1074" s="1243"/>
      <c r="I1074" s="1243">
        <f t="shared" si="185"/>
        <v>1723161.1899999995</v>
      </c>
      <c r="J1074" s="1243"/>
      <c r="K1074" s="1243">
        <v>1720.17</v>
      </c>
      <c r="L1074" s="1243">
        <v>0</v>
      </c>
      <c r="M1074" s="1243">
        <f t="shared" si="186"/>
        <v>0</v>
      </c>
      <c r="N1074" s="1243">
        <v>0</v>
      </c>
      <c r="O1074" s="1243">
        <f t="shared" si="187"/>
        <v>1724881.3599999994</v>
      </c>
    </row>
    <row r="1075" spans="1:16">
      <c r="A1075" s="361">
        <f t="shared" si="183"/>
        <v>32</v>
      </c>
      <c r="B1075" s="365">
        <v>385</v>
      </c>
      <c r="C1075" s="358" t="s">
        <v>403</v>
      </c>
      <c r="D1075" s="1243">
        <f t="shared" si="184"/>
        <v>6051819.120000001</v>
      </c>
      <c r="E1075" s="1243">
        <v>2046.16</v>
      </c>
      <c r="F1075" s="1243">
        <v>0</v>
      </c>
      <c r="G1075" s="1243">
        <f t="shared" si="188"/>
        <v>6053865.2800000012</v>
      </c>
      <c r="H1075" s="1243"/>
      <c r="I1075" s="1243">
        <f t="shared" si="185"/>
        <v>738632.02</v>
      </c>
      <c r="J1075" s="1243"/>
      <c r="K1075" s="1243">
        <v>18814.25</v>
      </c>
      <c r="L1075" s="1243">
        <v>0</v>
      </c>
      <c r="M1075" s="1243">
        <f t="shared" si="186"/>
        <v>0</v>
      </c>
      <c r="N1075" s="1243">
        <v>0</v>
      </c>
      <c r="O1075" s="1243">
        <f t="shared" si="187"/>
        <v>757446.27</v>
      </c>
    </row>
    <row r="1076" spans="1:16">
      <c r="A1076" s="361">
        <f t="shared" si="183"/>
        <v>33</v>
      </c>
      <c r="B1076" s="365">
        <v>387.2</v>
      </c>
      <c r="C1076" s="358" t="s">
        <v>404</v>
      </c>
      <c r="D1076" s="1243">
        <f t="shared" si="184"/>
        <v>0</v>
      </c>
      <c r="E1076" s="1243">
        <v>0</v>
      </c>
      <c r="F1076" s="1243">
        <v>0</v>
      </c>
      <c r="G1076" s="1243">
        <f t="shared" si="188"/>
        <v>0</v>
      </c>
      <c r="H1076" s="1243"/>
      <c r="I1076" s="1243">
        <f t="shared" si="185"/>
        <v>-59912.03</v>
      </c>
      <c r="J1076" s="1243"/>
      <c r="K1076" s="1243">
        <v>0</v>
      </c>
      <c r="L1076" s="1243">
        <v>0</v>
      </c>
      <c r="M1076" s="1243">
        <f t="shared" si="186"/>
        <v>0</v>
      </c>
      <c r="N1076" s="1243">
        <v>0</v>
      </c>
      <c r="O1076" s="1243">
        <f t="shared" si="187"/>
        <v>-59912.03</v>
      </c>
    </row>
    <row r="1077" spans="1:16">
      <c r="A1077" s="361">
        <f t="shared" si="183"/>
        <v>34</v>
      </c>
      <c r="B1077" s="365">
        <v>387.41</v>
      </c>
      <c r="C1077" s="358" t="s">
        <v>405</v>
      </c>
      <c r="D1077" s="1243">
        <f t="shared" si="184"/>
        <v>260538.46000000008</v>
      </c>
      <c r="E1077" s="1243">
        <v>0</v>
      </c>
      <c r="F1077" s="1243">
        <v>0</v>
      </c>
      <c r="G1077" s="1243">
        <f t="shared" si="188"/>
        <v>260538.46000000008</v>
      </c>
      <c r="H1077" s="1243"/>
      <c r="I1077" s="1243">
        <f t="shared" si="185"/>
        <v>58448.520000000062</v>
      </c>
      <c r="J1077" s="1243"/>
      <c r="K1077" s="1243">
        <v>670.89</v>
      </c>
      <c r="L1077" s="1243">
        <v>0</v>
      </c>
      <c r="M1077" s="1243">
        <f t="shared" si="186"/>
        <v>0</v>
      </c>
      <c r="N1077" s="1243">
        <v>0</v>
      </c>
      <c r="O1077" s="1243">
        <f t="shared" si="187"/>
        <v>59119.410000000062</v>
      </c>
    </row>
    <row r="1078" spans="1:16">
      <c r="A1078" s="361">
        <f t="shared" si="183"/>
        <v>35</v>
      </c>
      <c r="B1078" s="365">
        <v>387.42</v>
      </c>
      <c r="C1078" s="358" t="s">
        <v>406</v>
      </c>
      <c r="D1078" s="1243">
        <f t="shared" si="184"/>
        <v>419367.40000000008</v>
      </c>
      <c r="E1078" s="1243">
        <v>0</v>
      </c>
      <c r="F1078" s="1243">
        <v>0</v>
      </c>
      <c r="G1078" s="1243">
        <f t="shared" si="188"/>
        <v>419367.40000000008</v>
      </c>
      <c r="H1078" s="1243"/>
      <c r="I1078" s="1243">
        <f t="shared" si="185"/>
        <v>340002.35999999987</v>
      </c>
      <c r="J1078" s="1243"/>
      <c r="K1078" s="1243">
        <v>1132.29</v>
      </c>
      <c r="L1078" s="1243">
        <v>0</v>
      </c>
      <c r="M1078" s="1243">
        <f t="shared" si="186"/>
        <v>0</v>
      </c>
      <c r="N1078" s="1243">
        <v>0</v>
      </c>
      <c r="O1078" s="1243">
        <f t="shared" si="187"/>
        <v>341134.64999999985</v>
      </c>
    </row>
    <row r="1079" spans="1:16">
      <c r="A1079" s="361">
        <f t="shared" si="183"/>
        <v>36</v>
      </c>
      <c r="B1079" s="365">
        <v>387.44</v>
      </c>
      <c r="C1079" s="358" t="s">
        <v>407</v>
      </c>
      <c r="D1079" s="1243">
        <f t="shared" si="184"/>
        <v>124678.76000000001</v>
      </c>
      <c r="E1079" s="1243">
        <v>0</v>
      </c>
      <c r="F1079" s="1243">
        <v>0</v>
      </c>
      <c r="G1079" s="1243">
        <f t="shared" si="188"/>
        <v>124678.76000000001</v>
      </c>
      <c r="H1079" s="1243"/>
      <c r="I1079" s="1243">
        <f t="shared" si="185"/>
        <v>66396.239999999991</v>
      </c>
      <c r="J1079" s="1243"/>
      <c r="K1079" s="1243">
        <v>336.63</v>
      </c>
      <c r="L1079" s="1243">
        <v>0</v>
      </c>
      <c r="M1079" s="1243">
        <f t="shared" si="186"/>
        <v>0</v>
      </c>
      <c r="N1079" s="1243">
        <v>0</v>
      </c>
      <c r="O1079" s="1243">
        <f t="shared" si="187"/>
        <v>66732.87</v>
      </c>
    </row>
    <row r="1080" spans="1:16">
      <c r="A1080" s="361">
        <f t="shared" si="183"/>
        <v>37</v>
      </c>
      <c r="B1080" s="365">
        <v>387.45</v>
      </c>
      <c r="C1080" s="358" t="s">
        <v>408</v>
      </c>
      <c r="D1080" s="1243">
        <f t="shared" si="184"/>
        <v>5801722.8600000003</v>
      </c>
      <c r="E1080" s="1243">
        <v>1484.02</v>
      </c>
      <c r="F1080" s="1243">
        <v>0</v>
      </c>
      <c r="G1080" s="1243">
        <f t="shared" si="188"/>
        <v>5803206.8799999999</v>
      </c>
      <c r="H1080" s="1243"/>
      <c r="I1080" s="1243">
        <f t="shared" si="185"/>
        <v>-633621.48</v>
      </c>
      <c r="J1080" s="1243"/>
      <c r="K1080" s="1243">
        <v>15666.66</v>
      </c>
      <c r="L1080" s="1243">
        <v>0</v>
      </c>
      <c r="M1080" s="1243">
        <f t="shared" si="186"/>
        <v>0</v>
      </c>
      <c r="N1080" s="1243">
        <v>0</v>
      </c>
      <c r="O1080" s="1243">
        <f t="shared" si="187"/>
        <v>-617954.81999999995</v>
      </c>
    </row>
    <row r="1081" spans="1:16">
      <c r="A1081" s="361">
        <f t="shared" si="183"/>
        <v>38</v>
      </c>
      <c r="B1081" s="365">
        <v>387.46</v>
      </c>
      <c r="C1081" s="358" t="s">
        <v>409</v>
      </c>
      <c r="D1081" s="1243">
        <f t="shared" si="184"/>
        <v>113644.47</v>
      </c>
      <c r="E1081" s="1243">
        <v>0</v>
      </c>
      <c r="F1081" s="1243">
        <v>0</v>
      </c>
      <c r="G1081" s="1243">
        <f t="shared" si="188"/>
        <v>113644.47</v>
      </c>
      <c r="H1081" s="1243"/>
      <c r="I1081" s="1243">
        <f t="shared" si="185"/>
        <v>114497.07</v>
      </c>
      <c r="J1081" s="1243"/>
      <c r="K1081" s="1243">
        <v>0</v>
      </c>
      <c r="L1081" s="1243">
        <v>0</v>
      </c>
      <c r="M1081" s="1243">
        <f t="shared" si="186"/>
        <v>0</v>
      </c>
      <c r="N1081" s="1243">
        <v>0</v>
      </c>
      <c r="O1081" s="1243">
        <f t="shared" si="187"/>
        <v>114497.07</v>
      </c>
    </row>
    <row r="1082" spans="1:16">
      <c r="A1082" s="361">
        <f t="shared" si="183"/>
        <v>39</v>
      </c>
      <c r="B1082" s="365">
        <v>387.5</v>
      </c>
      <c r="C1082" s="358" t="s">
        <v>1075</v>
      </c>
      <c r="D1082" s="1244">
        <f t="shared" si="184"/>
        <v>235051.94</v>
      </c>
      <c r="E1082" s="1244">
        <v>0</v>
      </c>
      <c r="F1082" s="1244">
        <v>0</v>
      </c>
      <c r="G1082" s="1244">
        <f t="shared" si="188"/>
        <v>235051.94</v>
      </c>
      <c r="H1082" s="1243"/>
      <c r="I1082" s="1244">
        <f t="shared" si="185"/>
        <v>40854.940000000017</v>
      </c>
      <c r="J1082" s="1243"/>
      <c r="K1082" s="1244">
        <v>605.26</v>
      </c>
      <c r="L1082" s="1244">
        <v>0</v>
      </c>
      <c r="M1082" s="1244">
        <f t="shared" si="186"/>
        <v>0</v>
      </c>
      <c r="N1082" s="1244">
        <v>0</v>
      </c>
      <c r="O1082" s="1244">
        <f t="shared" si="187"/>
        <v>41460.200000000019</v>
      </c>
    </row>
    <row r="1083" spans="1:16">
      <c r="A1083" s="361">
        <f t="shared" si="183"/>
        <v>40</v>
      </c>
      <c r="C1083" s="365" t="s">
        <v>1601</v>
      </c>
      <c r="D1083" s="1243">
        <f>SUM(D1053:D1082)</f>
        <v>714069373.30649078</v>
      </c>
      <c r="E1083" s="1243">
        <f>SUM(E1053:E1082)</f>
        <v>4821547.4399999995</v>
      </c>
      <c r="F1083" s="1243">
        <f>SUM(F1053:F1082)</f>
        <v>-100088.86976356302</v>
      </c>
      <c r="G1083" s="1243">
        <f>SUM(G1053:G1082)</f>
        <v>718790831.87672698</v>
      </c>
      <c r="H1083" s="1243"/>
      <c r="I1083" s="1243">
        <f>SUM(I1053:I1082)</f>
        <v>166045558.38580772</v>
      </c>
      <c r="J1083" s="1243"/>
      <c r="K1083" s="1243">
        <f>SUM(K1053:K1082)</f>
        <v>1510605.0089999994</v>
      </c>
      <c r="L1083" s="1243">
        <f>SUM(L1053:L1082)</f>
        <v>0</v>
      </c>
      <c r="M1083" s="1243">
        <f>SUM(M1053:M1082)</f>
        <v>-100088.86976356302</v>
      </c>
      <c r="N1083" s="1243">
        <f>SUM(N1053:N1082)</f>
        <v>-49200.861463000016</v>
      </c>
      <c r="O1083" s="1243">
        <f>SUM(O1053:O1082)</f>
        <v>167406873.66358113</v>
      </c>
    </row>
    <row r="1084" spans="1:16">
      <c r="B1084" s="367"/>
      <c r="C1084" s="368"/>
      <c r="D1084" s="369"/>
      <c r="E1084" s="369"/>
      <c r="F1084" s="369"/>
      <c r="G1084" s="369"/>
      <c r="I1084" s="369"/>
      <c r="J1084" s="369"/>
      <c r="K1084" s="369"/>
      <c r="L1084" s="369"/>
      <c r="M1084" s="369"/>
      <c r="N1084" s="369"/>
      <c r="O1084" s="369"/>
    </row>
    <row r="1085" spans="1:16">
      <c r="I1085" s="369"/>
      <c r="J1085" s="369"/>
      <c r="K1085" s="369"/>
      <c r="L1085" s="369"/>
      <c r="M1085" s="369"/>
      <c r="N1085" s="369"/>
      <c r="O1085" s="369"/>
    </row>
    <row r="1086" spans="1:16" s="291" customFormat="1">
      <c r="A1086" s="1308" t="str">
        <f>$A$1</f>
        <v>COLUMBIA GAS OF KENTUCKY, INC.</v>
      </c>
      <c r="B1086" s="1308"/>
      <c r="C1086" s="1308"/>
      <c r="D1086" s="1308"/>
      <c r="E1086" s="1308"/>
      <c r="F1086" s="1308"/>
      <c r="G1086" s="1308"/>
      <c r="H1086" s="1308"/>
      <c r="I1086" s="1308"/>
      <c r="J1086" s="1308"/>
      <c r="K1086" s="1308"/>
      <c r="L1086" s="1308"/>
      <c r="M1086" s="1308"/>
      <c r="N1086" s="1308"/>
      <c r="O1086" s="1308"/>
    </row>
    <row r="1087" spans="1:16" s="291" customFormat="1">
      <c r="A1087" s="1308" t="str">
        <f>$A$2</f>
        <v>CASE NO. 2024 - 00092</v>
      </c>
      <c r="B1087" s="1308"/>
      <c r="C1087" s="1308"/>
      <c r="D1087" s="1308"/>
      <c r="E1087" s="1308"/>
      <c r="F1087" s="1308"/>
      <c r="G1087" s="1308"/>
      <c r="H1087" s="1308"/>
      <c r="I1087" s="1308"/>
      <c r="J1087" s="1308"/>
      <c r="K1087" s="1308"/>
      <c r="L1087" s="1308"/>
      <c r="M1087" s="1308"/>
      <c r="N1087" s="1308"/>
      <c r="O1087" s="1308"/>
    </row>
    <row r="1088" spans="1:16" s="291" customFormat="1">
      <c r="A1088" s="1308" t="str">
        <f>$A$3</f>
        <v>DETAIL OF ACTUAL &amp; FORECASTED PLANT, ACCUMULATED RESERVE &amp; DEPRECIATION EXPENSE</v>
      </c>
      <c r="B1088" s="1308"/>
      <c r="C1088" s="1308"/>
      <c r="D1088" s="1308"/>
      <c r="E1088" s="1308"/>
      <c r="F1088" s="1308"/>
      <c r="G1088" s="1308"/>
      <c r="H1088" s="1308"/>
      <c r="I1088" s="1308"/>
      <c r="J1088" s="1308"/>
      <c r="K1088" s="1308"/>
      <c r="L1088" s="1308"/>
      <c r="M1088" s="1308"/>
      <c r="N1088" s="1308"/>
      <c r="O1088" s="1308"/>
      <c r="P1088" s="357"/>
    </row>
    <row r="1089" spans="1:16" s="291" customFormat="1">
      <c r="A1089" s="1308" t="str">
        <f>$A$4</f>
        <v>FROM JANUARY 01, 2023 THROUGH DECEMBER 31, 2025</v>
      </c>
      <c r="B1089" s="1308"/>
      <c r="C1089" s="1308"/>
      <c r="D1089" s="1308"/>
      <c r="E1089" s="1308"/>
      <c r="F1089" s="1308"/>
      <c r="G1089" s="1308"/>
      <c r="H1089" s="1308"/>
      <c r="I1089" s="1308"/>
      <c r="J1089" s="1308"/>
      <c r="K1089" s="1308"/>
      <c r="L1089" s="1308"/>
      <c r="M1089" s="1308"/>
      <c r="N1089" s="1308"/>
      <c r="O1089" s="1308"/>
    </row>
    <row r="1090" spans="1:16" s="291" customFormat="1">
      <c r="B1090" s="293"/>
      <c r="P1090" s="312"/>
    </row>
    <row r="1091" spans="1:16" s="291" customFormat="1">
      <c r="A1091" s="297" t="str">
        <f>$A$6</f>
        <v xml:space="preserve">DATA: _X_ BASE PERIOD _X_ FORECASTED PERIOD     </v>
      </c>
      <c r="B1091" s="293"/>
      <c r="O1091" s="312" t="str">
        <f>$O$6</f>
        <v>WPB-2.1.C</v>
      </c>
      <c r="P1091" s="312"/>
    </row>
    <row r="1092" spans="1:16" s="291" customFormat="1">
      <c r="A1092" s="297" t="str">
        <f>$A$7</f>
        <v>TYPE OF FILING:___X___ORIGINAL______UPDATED</v>
      </c>
      <c r="B1092" s="293"/>
      <c r="O1092" s="312" t="s">
        <v>2203</v>
      </c>
      <c r="P1092" s="312"/>
    </row>
    <row r="1093" spans="1:16" s="291" customFormat="1">
      <c r="A1093" s="297" t="str">
        <f>$A$8</f>
        <v>WORKPAPER REFERENCE NO(S).:</v>
      </c>
      <c r="B1093" s="293"/>
      <c r="O1093" s="312" t="str">
        <f>$O$8</f>
        <v>WITNESS: GORE</v>
      </c>
    </row>
    <row r="1094" spans="1:16">
      <c r="A1094" s="918"/>
      <c r="B1094" s="919"/>
      <c r="C1094" s="918"/>
      <c r="D1094" s="918"/>
      <c r="E1094" s="918"/>
      <c r="F1094" s="918"/>
      <c r="G1094" s="918"/>
      <c r="H1094" s="918"/>
      <c r="I1094" s="918"/>
      <c r="J1094" s="918"/>
      <c r="K1094" s="918"/>
      <c r="L1094" s="918"/>
      <c r="M1094" s="918"/>
      <c r="N1094" s="918"/>
      <c r="O1094" s="920"/>
    </row>
    <row r="1095" spans="1:16">
      <c r="D1095" s="1311" t="s">
        <v>1768</v>
      </c>
      <c r="E1095" s="1311"/>
      <c r="F1095" s="1311"/>
      <c r="G1095" s="1311"/>
      <c r="I1095" s="1311" t="s">
        <v>1769</v>
      </c>
      <c r="J1095" s="1311"/>
      <c r="K1095" s="1311"/>
      <c r="L1095" s="1311"/>
      <c r="M1095" s="1311"/>
      <c r="N1095" s="1311"/>
      <c r="O1095" s="1311"/>
    </row>
    <row r="1096" spans="1:16">
      <c r="D1096" s="360">
        <f>D1037</f>
        <v>45200</v>
      </c>
      <c r="G1096" s="360">
        <f>G1037</f>
        <v>45230</v>
      </c>
      <c r="I1096" s="360">
        <f>D1096</f>
        <v>45200</v>
      </c>
      <c r="O1096" s="360">
        <f>G1096</f>
        <v>45230</v>
      </c>
    </row>
    <row r="1097" spans="1:16">
      <c r="D1097" s="361" t="s">
        <v>1757</v>
      </c>
      <c r="G1097" s="361" t="s">
        <v>1757</v>
      </c>
      <c r="I1097" s="361" t="s">
        <v>1758</v>
      </c>
      <c r="J1097" s="361" t="s">
        <v>488</v>
      </c>
      <c r="L1097" s="361" t="s">
        <v>1758</v>
      </c>
      <c r="O1097" s="361" t="s">
        <v>1758</v>
      </c>
    </row>
    <row r="1098" spans="1:16">
      <c r="A1098" s="361" t="s">
        <v>1770</v>
      </c>
      <c r="B1098" s="361" t="s">
        <v>368</v>
      </c>
      <c r="C1098" s="361"/>
      <c r="D1098" s="361" t="s">
        <v>437</v>
      </c>
      <c r="G1098" s="361" t="s">
        <v>439</v>
      </c>
      <c r="I1098" s="361" t="s">
        <v>437</v>
      </c>
      <c r="J1098" s="361" t="s">
        <v>1771</v>
      </c>
      <c r="K1098" s="361" t="s">
        <v>1772</v>
      </c>
      <c r="L1098" s="361" t="s">
        <v>1759</v>
      </c>
      <c r="N1098" s="361" t="s">
        <v>1760</v>
      </c>
      <c r="O1098" s="361" t="s">
        <v>439</v>
      </c>
    </row>
    <row r="1099" spans="1:16">
      <c r="A1099" s="364" t="s">
        <v>316</v>
      </c>
      <c r="B1099" s="364" t="s">
        <v>316</v>
      </c>
      <c r="C1099" s="364" t="s">
        <v>451</v>
      </c>
      <c r="D1099" s="364" t="s">
        <v>441</v>
      </c>
      <c r="E1099" s="364" t="s">
        <v>442</v>
      </c>
      <c r="F1099" s="364" t="s">
        <v>443</v>
      </c>
      <c r="G1099" s="364" t="s">
        <v>441</v>
      </c>
      <c r="I1099" s="364" t="s">
        <v>441</v>
      </c>
      <c r="J1099" s="364" t="s">
        <v>1773</v>
      </c>
      <c r="K1099" s="364" t="s">
        <v>1771</v>
      </c>
      <c r="L1099" s="364" t="s">
        <v>355</v>
      </c>
      <c r="M1099" s="364" t="s">
        <v>443</v>
      </c>
      <c r="N1099" s="364" t="s">
        <v>1763</v>
      </c>
      <c r="O1099" s="364" t="s">
        <v>441</v>
      </c>
    </row>
    <row r="1100" spans="1:16">
      <c r="D1100" s="361" t="s">
        <v>532</v>
      </c>
      <c r="E1100" s="361" t="s">
        <v>541</v>
      </c>
      <c r="F1100" s="361" t="s">
        <v>542</v>
      </c>
      <c r="G1100" s="361" t="s">
        <v>1764</v>
      </c>
      <c r="I1100" s="334" t="str">
        <f>"(5)"</f>
        <v>(5)</v>
      </c>
      <c r="J1100" s="334" t="str">
        <f>"(6)"</f>
        <v>(6)</v>
      </c>
      <c r="K1100" s="334" t="str">
        <f>"(7)"</f>
        <v>(7)</v>
      </c>
      <c r="L1100" s="334" t="str">
        <f>"(8)"</f>
        <v>(8)</v>
      </c>
      <c r="M1100" s="334" t="str">
        <f>"(9)"</f>
        <v>(9)</v>
      </c>
      <c r="N1100" s="334" t="str">
        <f>"(10)"</f>
        <v>(10)</v>
      </c>
      <c r="O1100" s="334" t="str">
        <f>"(11=5+7+8+9+10)"</f>
        <v>(11=5+7+8+9+10)</v>
      </c>
    </row>
    <row r="1101" spans="1:16">
      <c r="D1101" s="361" t="s">
        <v>320</v>
      </c>
      <c r="E1101" s="361" t="s">
        <v>320</v>
      </c>
      <c r="F1101" s="361" t="s">
        <v>320</v>
      </c>
      <c r="G1101" s="361" t="s">
        <v>320</v>
      </c>
      <c r="I1101" s="334" t="s">
        <v>320</v>
      </c>
      <c r="J1101" s="334" t="s">
        <v>529</v>
      </c>
      <c r="K1101" s="334" t="s">
        <v>320</v>
      </c>
      <c r="L1101" s="334" t="s">
        <v>320</v>
      </c>
      <c r="M1101" s="334" t="s">
        <v>320</v>
      </c>
      <c r="N1101" s="334" t="s">
        <v>320</v>
      </c>
      <c r="O1101" s="334" t="s">
        <v>320</v>
      </c>
    </row>
    <row r="1102" spans="1:16">
      <c r="A1102" s="361">
        <v>1</v>
      </c>
      <c r="B1102" s="363" t="s">
        <v>411</v>
      </c>
      <c r="D1102" s="361"/>
      <c r="E1102" s="361"/>
      <c r="F1102" s="361"/>
      <c r="G1102" s="361"/>
      <c r="I1102" s="334"/>
      <c r="J1102" s="334"/>
      <c r="K1102" s="334"/>
      <c r="L1102" s="334"/>
      <c r="M1102" s="334"/>
      <c r="N1102" s="334"/>
      <c r="O1102" s="334"/>
    </row>
    <row r="1103" spans="1:16">
      <c r="A1103" s="361">
        <f>A1102+1</f>
        <v>2</v>
      </c>
      <c r="B1103" s="365">
        <v>391.1</v>
      </c>
      <c r="C1103" s="358" t="s">
        <v>412</v>
      </c>
      <c r="D1103" s="1243">
        <f t="shared" ref="D1103:D1116" si="189">G989</f>
        <v>820366.66</v>
      </c>
      <c r="E1103" s="1243">
        <v>0</v>
      </c>
      <c r="F1103" s="1243">
        <v>0</v>
      </c>
      <c r="G1103" s="1243">
        <f>SUM(D1103:F1103)</f>
        <v>820366.66</v>
      </c>
      <c r="H1103" s="1243"/>
      <c r="I1103" s="1245">
        <f t="shared" ref="I1103:I1116" si="190">O989</f>
        <v>106211.02000000002</v>
      </c>
      <c r="J1103" s="1243"/>
      <c r="K1103" s="1243">
        <v>3418.19</v>
      </c>
      <c r="L1103" s="1243">
        <v>0</v>
      </c>
      <c r="M1103" s="1243">
        <f t="shared" ref="M1103:M1116" si="191">F1103</f>
        <v>0</v>
      </c>
      <c r="N1103" s="1243">
        <v>0</v>
      </c>
      <c r="O1103" s="1243">
        <f t="shared" ref="O1103:O1116" si="192">I1103+K1103+L1103+M1103+N1103</f>
        <v>109629.21000000002</v>
      </c>
    </row>
    <row r="1104" spans="1:16">
      <c r="A1104" s="361">
        <f t="shared" ref="A1104:A1117" si="193">A1103+1</f>
        <v>3</v>
      </c>
      <c r="B1104" s="365">
        <v>391.11</v>
      </c>
      <c r="C1104" s="358" t="s">
        <v>413</v>
      </c>
      <c r="D1104" s="1243">
        <f t="shared" si="189"/>
        <v>0</v>
      </c>
      <c r="E1104" s="1243">
        <v>0</v>
      </c>
      <c r="F1104" s="1243">
        <v>0</v>
      </c>
      <c r="G1104" s="1243">
        <f t="shared" ref="G1104:G1111" si="194">SUM(D1104:F1104)</f>
        <v>0</v>
      </c>
      <c r="H1104" s="1243"/>
      <c r="I1104" s="1245">
        <f t="shared" si="190"/>
        <v>-18933.789999999997</v>
      </c>
      <c r="J1104" s="1243"/>
      <c r="K1104" s="1243">
        <v>0</v>
      </c>
      <c r="L1104" s="1243">
        <v>0</v>
      </c>
      <c r="M1104" s="1243">
        <f t="shared" si="191"/>
        <v>0</v>
      </c>
      <c r="N1104" s="1243">
        <v>0</v>
      </c>
      <c r="O1104" s="1243">
        <f t="shared" si="192"/>
        <v>-18933.789999999997</v>
      </c>
    </row>
    <row r="1105" spans="1:15">
      <c r="A1105" s="361">
        <f t="shared" si="193"/>
        <v>4</v>
      </c>
      <c r="B1105" s="365">
        <v>391.12</v>
      </c>
      <c r="C1105" s="358" t="s">
        <v>414</v>
      </c>
      <c r="D1105" s="1243">
        <f t="shared" si="189"/>
        <v>37129.580000000009</v>
      </c>
      <c r="E1105" s="1243">
        <v>0</v>
      </c>
      <c r="F1105" s="1243">
        <v>0</v>
      </c>
      <c r="G1105" s="1243">
        <f t="shared" si="194"/>
        <v>37129.580000000009</v>
      </c>
      <c r="H1105" s="1243"/>
      <c r="I1105" s="1245">
        <f t="shared" si="190"/>
        <v>-7140.18</v>
      </c>
      <c r="J1105" s="1243"/>
      <c r="K1105" s="1243">
        <v>618.83000000000004</v>
      </c>
      <c r="L1105" s="1243">
        <v>0</v>
      </c>
      <c r="M1105" s="1243">
        <f t="shared" si="191"/>
        <v>0</v>
      </c>
      <c r="N1105" s="1243">
        <v>0</v>
      </c>
      <c r="O1105" s="1243">
        <f t="shared" si="192"/>
        <v>-6521.35</v>
      </c>
    </row>
    <row r="1106" spans="1:15">
      <c r="A1106" s="361">
        <f t="shared" si="193"/>
        <v>5</v>
      </c>
      <c r="B1106" s="365">
        <v>392.2</v>
      </c>
      <c r="C1106" s="358" t="s">
        <v>524</v>
      </c>
      <c r="D1106" s="1243">
        <f t="shared" si="189"/>
        <v>95778</v>
      </c>
      <c r="E1106" s="1243">
        <v>0</v>
      </c>
      <c r="F1106" s="1243">
        <v>0</v>
      </c>
      <c r="G1106" s="1243">
        <f t="shared" si="194"/>
        <v>95778</v>
      </c>
      <c r="H1106" s="1243"/>
      <c r="I1106" s="1245">
        <f t="shared" si="190"/>
        <v>63764.489999999969</v>
      </c>
      <c r="J1106" s="1243"/>
      <c r="K1106" s="1243">
        <v>71.84</v>
      </c>
      <c r="L1106" s="1243">
        <v>0</v>
      </c>
      <c r="M1106" s="1243">
        <f t="shared" si="191"/>
        <v>0</v>
      </c>
      <c r="N1106" s="1243">
        <v>0</v>
      </c>
      <c r="O1106" s="1243">
        <f t="shared" si="192"/>
        <v>63836.329999999965</v>
      </c>
    </row>
    <row r="1107" spans="1:15">
      <c r="A1107" s="361">
        <f t="shared" si="193"/>
        <v>6</v>
      </c>
      <c r="B1107" s="365">
        <v>392.21</v>
      </c>
      <c r="C1107" s="358" t="s">
        <v>415</v>
      </c>
      <c r="D1107" s="1243">
        <f t="shared" si="189"/>
        <v>24462.2</v>
      </c>
      <c r="E1107" s="1243">
        <v>0</v>
      </c>
      <c r="F1107" s="1243">
        <v>0</v>
      </c>
      <c r="G1107" s="1243">
        <f t="shared" si="194"/>
        <v>24462.2</v>
      </c>
      <c r="H1107" s="1243"/>
      <c r="I1107" s="1245">
        <f t="shared" si="190"/>
        <v>44754.01</v>
      </c>
      <c r="J1107" s="1243"/>
      <c r="K1107" s="1243">
        <v>0</v>
      </c>
      <c r="L1107" s="1243">
        <v>0</v>
      </c>
      <c r="M1107" s="1243">
        <f t="shared" si="191"/>
        <v>0</v>
      </c>
      <c r="N1107" s="1243">
        <v>0</v>
      </c>
      <c r="O1107" s="1243">
        <f t="shared" si="192"/>
        <v>44754.01</v>
      </c>
    </row>
    <row r="1108" spans="1:15">
      <c r="A1108" s="361">
        <f t="shared" si="193"/>
        <v>7</v>
      </c>
      <c r="B1108" s="365">
        <v>393</v>
      </c>
      <c r="C1108" s="358" t="s">
        <v>416</v>
      </c>
      <c r="D1108" s="1243">
        <f t="shared" si="189"/>
        <v>0</v>
      </c>
      <c r="E1108" s="1243">
        <v>0</v>
      </c>
      <c r="F1108" s="1243">
        <v>0</v>
      </c>
      <c r="G1108" s="1243">
        <f t="shared" si="194"/>
        <v>0</v>
      </c>
      <c r="H1108" s="1243"/>
      <c r="I1108" s="1245">
        <f t="shared" si="190"/>
        <v>0</v>
      </c>
      <c r="J1108" s="1243"/>
      <c r="K1108" s="1243">
        <v>0</v>
      </c>
      <c r="L1108" s="1243">
        <v>0</v>
      </c>
      <c r="M1108" s="1243">
        <f t="shared" si="191"/>
        <v>0</v>
      </c>
      <c r="N1108" s="1243">
        <v>0</v>
      </c>
      <c r="O1108" s="1243">
        <f t="shared" si="192"/>
        <v>0</v>
      </c>
    </row>
    <row r="1109" spans="1:15">
      <c r="A1109" s="361">
        <f t="shared" si="193"/>
        <v>8</v>
      </c>
      <c r="B1109" s="365">
        <v>394.1</v>
      </c>
      <c r="C1109" s="358" t="s">
        <v>417</v>
      </c>
      <c r="D1109" s="1243">
        <f t="shared" si="189"/>
        <v>9739</v>
      </c>
      <c r="E1109" s="1243">
        <v>0</v>
      </c>
      <c r="F1109" s="1243">
        <v>0</v>
      </c>
      <c r="G1109" s="1243">
        <f t="shared" si="194"/>
        <v>9739</v>
      </c>
      <c r="H1109" s="1243"/>
      <c r="I1109" s="1245">
        <f t="shared" si="190"/>
        <v>3977.7700000000004</v>
      </c>
      <c r="J1109" s="1243"/>
      <c r="K1109" s="1243">
        <v>32.46</v>
      </c>
      <c r="L1109" s="1243">
        <v>0</v>
      </c>
      <c r="M1109" s="1243">
        <f t="shared" si="191"/>
        <v>0</v>
      </c>
      <c r="N1109" s="1243">
        <v>0</v>
      </c>
      <c r="O1109" s="1243">
        <f t="shared" si="192"/>
        <v>4010.2300000000005</v>
      </c>
    </row>
    <row r="1110" spans="1:15">
      <c r="A1110" s="361">
        <f t="shared" si="193"/>
        <v>9</v>
      </c>
      <c r="B1110" s="365">
        <v>394.11</v>
      </c>
      <c r="C1110" s="358" t="s">
        <v>418</v>
      </c>
      <c r="D1110" s="1243">
        <f t="shared" si="189"/>
        <v>0</v>
      </c>
      <c r="E1110" s="1243">
        <v>0</v>
      </c>
      <c r="F1110" s="1243">
        <v>0</v>
      </c>
      <c r="G1110" s="1243">
        <f t="shared" si="194"/>
        <v>0</v>
      </c>
      <c r="H1110" s="1243"/>
      <c r="I1110" s="1245">
        <f t="shared" si="190"/>
        <v>-26071.5</v>
      </c>
      <c r="J1110" s="1243"/>
      <c r="K1110" s="1243">
        <v>0</v>
      </c>
      <c r="L1110" s="1243">
        <v>0</v>
      </c>
      <c r="M1110" s="1243">
        <f t="shared" si="191"/>
        <v>0</v>
      </c>
      <c r="N1110" s="1243">
        <v>0</v>
      </c>
      <c r="O1110" s="1243">
        <f t="shared" si="192"/>
        <v>-26071.5</v>
      </c>
    </row>
    <row r="1111" spans="1:15">
      <c r="A1111" s="361">
        <f t="shared" si="193"/>
        <v>10</v>
      </c>
      <c r="B1111" s="365">
        <v>394.13</v>
      </c>
      <c r="C1111" s="358" t="s">
        <v>515</v>
      </c>
      <c r="D1111" s="1243">
        <f t="shared" si="189"/>
        <v>0</v>
      </c>
      <c r="E1111" s="1243">
        <v>0</v>
      </c>
      <c r="F1111" s="1243">
        <v>0</v>
      </c>
      <c r="G1111" s="1243">
        <f t="shared" si="194"/>
        <v>0</v>
      </c>
      <c r="H1111" s="1243"/>
      <c r="I1111" s="1245">
        <f t="shared" si="190"/>
        <v>37937.360000000001</v>
      </c>
      <c r="J1111" s="1243"/>
      <c r="K1111" s="1243">
        <v>0</v>
      </c>
      <c r="L1111" s="1243">
        <v>0</v>
      </c>
      <c r="M1111" s="1243">
        <f t="shared" si="191"/>
        <v>0</v>
      </c>
      <c r="N1111" s="1243">
        <v>0</v>
      </c>
      <c r="O1111" s="1243">
        <f t="shared" si="192"/>
        <v>37937.360000000001</v>
      </c>
    </row>
    <row r="1112" spans="1:15">
      <c r="A1112" s="361">
        <f t="shared" si="193"/>
        <v>11</v>
      </c>
      <c r="B1112" s="365">
        <v>394.2</v>
      </c>
      <c r="C1112" s="358" t="s">
        <v>420</v>
      </c>
      <c r="D1112" s="1243">
        <f t="shared" si="189"/>
        <v>0</v>
      </c>
      <c r="E1112" s="1243">
        <v>0</v>
      </c>
      <c r="F1112" s="1243">
        <v>0</v>
      </c>
      <c r="G1112" s="1243">
        <f>SUM(D1112:F1112)</f>
        <v>0</v>
      </c>
      <c r="H1112" s="1243"/>
      <c r="I1112" s="1245">
        <f t="shared" si="190"/>
        <v>185.21</v>
      </c>
      <c r="J1112" s="1243"/>
      <c r="K1112" s="1243">
        <v>0</v>
      </c>
      <c r="L1112" s="1243">
        <v>0</v>
      </c>
      <c r="M1112" s="1243">
        <f t="shared" si="191"/>
        <v>0</v>
      </c>
      <c r="N1112" s="1243">
        <v>0</v>
      </c>
      <c r="O1112" s="1243">
        <f t="shared" si="192"/>
        <v>185.21</v>
      </c>
    </row>
    <row r="1113" spans="1:15">
      <c r="A1113" s="361">
        <f t="shared" si="193"/>
        <v>12</v>
      </c>
      <c r="B1113" s="365">
        <v>394.3</v>
      </c>
      <c r="C1113" s="358" t="s">
        <v>1602</v>
      </c>
      <c r="D1113" s="1243">
        <f t="shared" si="189"/>
        <v>4955243.45</v>
      </c>
      <c r="E1113" s="1243">
        <v>0</v>
      </c>
      <c r="F1113" s="1243">
        <v>-26126.89</v>
      </c>
      <c r="G1113" s="1243">
        <f>SUM(D1113:F1113)</f>
        <v>4929116.5600000005</v>
      </c>
      <c r="H1113" s="1243"/>
      <c r="I1113" s="1245">
        <f t="shared" si="190"/>
        <v>1560985.68</v>
      </c>
      <c r="J1113" s="1243"/>
      <c r="K1113" s="1243">
        <v>16473.93</v>
      </c>
      <c r="L1113" s="1243">
        <v>0</v>
      </c>
      <c r="M1113" s="1243">
        <f t="shared" si="191"/>
        <v>-26126.89</v>
      </c>
      <c r="N1113" s="1243">
        <v>0</v>
      </c>
      <c r="O1113" s="1243">
        <f t="shared" si="192"/>
        <v>1551332.72</v>
      </c>
    </row>
    <row r="1114" spans="1:15">
      <c r="A1114" s="361">
        <f t="shared" si="193"/>
        <v>13</v>
      </c>
      <c r="B1114" s="365">
        <v>395</v>
      </c>
      <c r="C1114" s="358" t="s">
        <v>422</v>
      </c>
      <c r="D1114" s="1243">
        <f t="shared" si="189"/>
        <v>4162.05</v>
      </c>
      <c r="E1114" s="1243">
        <v>0</v>
      </c>
      <c r="F1114" s="1243">
        <v>0</v>
      </c>
      <c r="G1114" s="1243">
        <f>SUM(D1114:F1114)</f>
        <v>4162.05</v>
      </c>
      <c r="H1114" s="1243"/>
      <c r="I1114" s="1245">
        <f t="shared" si="190"/>
        <v>4000.6600000000012</v>
      </c>
      <c r="J1114" s="1243"/>
      <c r="K1114" s="1243">
        <v>17.34</v>
      </c>
      <c r="L1114" s="1243">
        <v>0</v>
      </c>
      <c r="M1114" s="1243">
        <f t="shared" si="191"/>
        <v>0</v>
      </c>
      <c r="N1114" s="1243">
        <v>0</v>
      </c>
      <c r="O1114" s="1243">
        <f t="shared" si="192"/>
        <v>4018.0000000000014</v>
      </c>
    </row>
    <row r="1115" spans="1:15">
      <c r="A1115" s="361">
        <f t="shared" si="193"/>
        <v>14</v>
      </c>
      <c r="B1115" s="365">
        <v>396</v>
      </c>
      <c r="C1115" s="358" t="s">
        <v>423</v>
      </c>
      <c r="D1115" s="1243">
        <f t="shared" si="189"/>
        <v>185547</v>
      </c>
      <c r="E1115" s="1243">
        <v>0</v>
      </c>
      <c r="F1115" s="1243">
        <v>0</v>
      </c>
      <c r="G1115" s="1243">
        <f>SUM(D1115:F1115)</f>
        <v>185547</v>
      </c>
      <c r="H1115" s="1243"/>
      <c r="I1115" s="1245">
        <f t="shared" si="190"/>
        <v>171938.14</v>
      </c>
      <c r="J1115" s="1243"/>
      <c r="K1115" s="1243">
        <v>0</v>
      </c>
      <c r="L1115" s="1243">
        <v>0</v>
      </c>
      <c r="M1115" s="1243">
        <f t="shared" si="191"/>
        <v>0</v>
      </c>
      <c r="N1115" s="1243">
        <v>0</v>
      </c>
      <c r="O1115" s="1243">
        <f t="shared" si="192"/>
        <v>171938.14</v>
      </c>
    </row>
    <row r="1116" spans="1:15">
      <c r="A1116" s="361">
        <f t="shared" si="193"/>
        <v>15</v>
      </c>
      <c r="B1116" s="365">
        <v>398</v>
      </c>
      <c r="C1116" s="358" t="s">
        <v>424</v>
      </c>
      <c r="D1116" s="1244">
        <f t="shared" si="189"/>
        <v>148028.20000000001</v>
      </c>
      <c r="E1116" s="1244">
        <v>0</v>
      </c>
      <c r="F1116" s="1244">
        <v>0</v>
      </c>
      <c r="G1116" s="1244">
        <f>SUM(D1116:F1116)</f>
        <v>148028.20000000001</v>
      </c>
      <c r="H1116" s="1243"/>
      <c r="I1116" s="1246">
        <f t="shared" si="190"/>
        <v>67635.599999999977</v>
      </c>
      <c r="J1116" s="1243"/>
      <c r="K1116" s="1244">
        <v>822.79</v>
      </c>
      <c r="L1116" s="1244">
        <v>0</v>
      </c>
      <c r="M1116" s="1244">
        <f t="shared" si="191"/>
        <v>0</v>
      </c>
      <c r="N1116" s="1244">
        <v>0</v>
      </c>
      <c r="O1116" s="1244">
        <f t="shared" si="192"/>
        <v>68458.38999999997</v>
      </c>
    </row>
    <row r="1117" spans="1:15">
      <c r="A1117" s="361">
        <f t="shared" si="193"/>
        <v>16</v>
      </c>
      <c r="B1117" s="367"/>
      <c r="C1117" s="358" t="s">
        <v>425</v>
      </c>
      <c r="D1117" s="1243">
        <f>SUM(D1103:D1116)</f>
        <v>6280456.1400000006</v>
      </c>
      <c r="E1117" s="1243">
        <f>SUM(E1103:E1116)</f>
        <v>0</v>
      </c>
      <c r="F1117" s="1243">
        <f>SUM(F1103:F1116)</f>
        <v>-26126.89</v>
      </c>
      <c r="G1117" s="1243">
        <f>SUM(G1103:G1116)</f>
        <v>6254329.25</v>
      </c>
      <c r="H1117" s="1243"/>
      <c r="I1117" s="1243">
        <f>SUM(I1103:I1116)</f>
        <v>2009244.4699999997</v>
      </c>
      <c r="J1117" s="1243"/>
      <c r="K1117" s="1243">
        <f>SUM(K1103:K1116)</f>
        <v>21455.38</v>
      </c>
      <c r="L1117" s="1243">
        <f>SUM(L1103:L1116)</f>
        <v>0</v>
      </c>
      <c r="M1117" s="1243">
        <f>SUM(M1103:M1116)</f>
        <v>-26126.89</v>
      </c>
      <c r="N1117" s="1243">
        <f>SUM(N1103:N1116)</f>
        <v>0</v>
      </c>
      <c r="O1117" s="1243">
        <f>SUM(O1103:O1116)</f>
        <v>2004572.9599999997</v>
      </c>
    </row>
    <row r="1118" spans="1:15">
      <c r="A1118" s="361"/>
      <c r="D1118" s="1243"/>
      <c r="E1118" s="1243"/>
      <c r="F1118" s="1243"/>
      <c r="G1118" s="1243"/>
      <c r="H1118" s="1243"/>
      <c r="I1118" s="1243"/>
      <c r="J1118" s="1243"/>
      <c r="K1118" s="1243"/>
      <c r="L1118" s="1243"/>
      <c r="M1118" s="1243"/>
      <c r="N1118" s="1243"/>
      <c r="O1118" s="1243"/>
    </row>
    <row r="1119" spans="1:15">
      <c r="A1119" s="361">
        <f>A1117+1</f>
        <v>17</v>
      </c>
      <c r="B1119" s="363" t="s">
        <v>1038</v>
      </c>
      <c r="D1119" s="1243"/>
      <c r="E1119" s="1243"/>
      <c r="F1119" s="1243"/>
      <c r="G1119" s="1243"/>
      <c r="H1119" s="1243"/>
      <c r="I1119" s="1243"/>
      <c r="J1119" s="1243"/>
      <c r="K1119" s="1243"/>
      <c r="L1119" s="1243"/>
      <c r="M1119" s="1243"/>
      <c r="N1119" s="1243"/>
      <c r="O1119" s="1243"/>
    </row>
    <row r="1120" spans="1:15">
      <c r="A1120" s="361">
        <f>A1119+1</f>
        <v>18</v>
      </c>
      <c r="B1120" s="365">
        <v>378.21</v>
      </c>
      <c r="C1120" s="358" t="s">
        <v>1037</v>
      </c>
      <c r="D1120" s="1244">
        <f>G1006</f>
        <v>-777092</v>
      </c>
      <c r="E1120" s="1244">
        <v>0</v>
      </c>
      <c r="F1120" s="1244">
        <v>0</v>
      </c>
      <c r="G1120" s="1244">
        <f>SUM(D1120:F1120)</f>
        <v>-777092</v>
      </c>
      <c r="H1120" s="1243"/>
      <c r="I1120" s="1244">
        <f>O1006</f>
        <v>-197937.83000000007</v>
      </c>
      <c r="J1120" s="1243"/>
      <c r="K1120" s="1244">
        <v>-2144.17</v>
      </c>
      <c r="L1120" s="1244">
        <v>0</v>
      </c>
      <c r="M1120" s="1244">
        <f>F1120</f>
        <v>0</v>
      </c>
      <c r="N1120" s="1244">
        <v>0</v>
      </c>
      <c r="O1120" s="1244">
        <f>I1120+K1120+L1120+M1120+N1120</f>
        <v>-200082.00000000009</v>
      </c>
    </row>
    <row r="1121" spans="1:15">
      <c r="A1121" s="361">
        <f>A1120+1</f>
        <v>19</v>
      </c>
      <c r="B1121" s="370"/>
      <c r="C1121" s="358" t="s">
        <v>1579</v>
      </c>
      <c r="D1121" s="1243">
        <f>SUM(D1120)</f>
        <v>-777092</v>
      </c>
      <c r="E1121" s="1243">
        <f>SUM(E1120)</f>
        <v>0</v>
      </c>
      <c r="F1121" s="1243">
        <f>SUM(F1120)</f>
        <v>0</v>
      </c>
      <c r="G1121" s="1243">
        <f>SUM(G1120)</f>
        <v>-777092</v>
      </c>
      <c r="H1121" s="1243"/>
      <c r="I1121" s="1243">
        <f>SUM(I1120)</f>
        <v>-197937.83000000007</v>
      </c>
      <c r="J1121" s="1243"/>
      <c r="K1121" s="1243">
        <f>SUM(K1120)</f>
        <v>-2144.17</v>
      </c>
      <c r="L1121" s="1243">
        <f>SUM(L1120)</f>
        <v>0</v>
      </c>
      <c r="M1121" s="1243">
        <f>SUM(M1120)</f>
        <v>0</v>
      </c>
      <c r="N1121" s="1243">
        <f>SUM(N1120)</f>
        <v>0</v>
      </c>
      <c r="O1121" s="1243">
        <f>SUM(O1120)</f>
        <v>-200082.00000000009</v>
      </c>
    </row>
    <row r="1122" spans="1:15">
      <c r="A1122" s="361"/>
      <c r="B1122" s="370"/>
      <c r="D1122" s="1243"/>
      <c r="E1122" s="1243"/>
      <c r="F1122" s="1243"/>
      <c r="G1122" s="1243"/>
      <c r="H1122" s="1243"/>
      <c r="I1122" s="1243"/>
      <c r="J1122" s="1243"/>
      <c r="K1122" s="1243"/>
      <c r="L1122" s="1243"/>
      <c r="M1122" s="1243"/>
      <c r="N1122" s="1243"/>
      <c r="O1122" s="1243"/>
    </row>
    <row r="1123" spans="1:15">
      <c r="A1123" s="361">
        <f>A1121+1</f>
        <v>20</v>
      </c>
      <c r="B1123" s="370"/>
      <c r="C1123" s="358" t="s">
        <v>2037</v>
      </c>
      <c r="D1123" s="1243">
        <f>D1050+D1083+D1117+D1121</f>
        <v>734239954.19649076</v>
      </c>
      <c r="E1123" s="1243">
        <f>E1050+E1083+E1117+E1121</f>
        <v>4870156.67</v>
      </c>
      <c r="F1123" s="1243">
        <f>F1050+F1083+F1117+F1121</f>
        <v>-180425.73976356303</v>
      </c>
      <c r="G1123" s="1243">
        <f>G1050+G1083+G1117+G1121</f>
        <v>738929685.12672698</v>
      </c>
      <c r="H1123" s="1243"/>
      <c r="I1123" s="1243">
        <f>I1050+I1083+I1117+I1121</f>
        <v>175248311.32580772</v>
      </c>
      <c r="J1123" s="1243"/>
      <c r="K1123" s="1243">
        <f>K1050+K1083+K1117+K1121</f>
        <v>1764398.7789999994</v>
      </c>
      <c r="L1123" s="1243">
        <f>L1050+L1083+L1117+L1121</f>
        <v>0</v>
      </c>
      <c r="M1123" s="1243">
        <f>M1050+M1083+M1117+M1121</f>
        <v>-180425.73976356303</v>
      </c>
      <c r="N1123" s="1243">
        <f>N1050+N1083+N1117+N1121</f>
        <v>-49200.861463000016</v>
      </c>
      <c r="O1123" s="1243">
        <f>O1050+O1083+O1117+O1121</f>
        <v>176783083.50358114</v>
      </c>
    </row>
    <row r="1124" spans="1:15">
      <c r="A1124" s="361"/>
      <c r="B1124" s="370"/>
      <c r="D1124" s="1243"/>
      <c r="E1124" s="1243"/>
      <c r="F1124" s="1243"/>
      <c r="G1124" s="1243"/>
      <c r="H1124" s="1243"/>
      <c r="I1124" s="1243"/>
      <c r="J1124" s="1243"/>
      <c r="K1124" s="1243"/>
      <c r="L1124" s="1243"/>
      <c r="M1124" s="1243"/>
      <c r="N1124" s="1243"/>
      <c r="O1124" s="1243"/>
    </row>
    <row r="1125" spans="1:15">
      <c r="A1125" s="361">
        <f>A1123+1</f>
        <v>21</v>
      </c>
      <c r="B1125" s="370"/>
      <c r="C1125" s="358" t="s">
        <v>2038</v>
      </c>
      <c r="D1125" s="1243">
        <v>0</v>
      </c>
      <c r="E1125" s="1249">
        <v>0</v>
      </c>
      <c r="F1125" s="1249">
        <v>0</v>
      </c>
      <c r="G1125" s="1249">
        <f>SUM(D1125:F1125)</f>
        <v>0</v>
      </c>
      <c r="H1125" s="1243"/>
      <c r="I1125" s="1243">
        <f>O1011</f>
        <v>-6372997.2199999997</v>
      </c>
      <c r="J1125" s="1243"/>
      <c r="K1125" s="1243"/>
      <c r="L1125" s="1243"/>
      <c r="M1125" s="1243"/>
      <c r="N1125" s="1243">
        <v>-169680.2</v>
      </c>
      <c r="O1125" s="1243">
        <f>I1125+K1125+L1125+M1125+N1125</f>
        <v>-6542677.4199999999</v>
      </c>
    </row>
    <row r="1126" spans="1:15">
      <c r="A1126" s="361"/>
      <c r="B1126" s="370"/>
      <c r="C1126" s="368"/>
      <c r="D1126" s="1243"/>
      <c r="E1126" s="1243"/>
      <c r="F1126" s="1243"/>
      <c r="G1126" s="1243"/>
      <c r="H1126" s="1243"/>
      <c r="I1126" s="1243"/>
      <c r="J1126" s="1243"/>
      <c r="K1126" s="1243"/>
      <c r="L1126" s="1243"/>
      <c r="M1126" s="1243"/>
      <c r="N1126" s="1243"/>
      <c r="O1126" s="1243"/>
    </row>
    <row r="1127" spans="1:15">
      <c r="A1127" s="361">
        <f>A1125+1</f>
        <v>22</v>
      </c>
      <c r="C1127" s="358" t="s">
        <v>2882</v>
      </c>
      <c r="D1127" s="1247">
        <f>D1123+D1125</f>
        <v>734239954.19649076</v>
      </c>
      <c r="E1127" s="1247">
        <f t="shared" ref="E1127:O1127" si="195">E1123+E1125</f>
        <v>4870156.67</v>
      </c>
      <c r="F1127" s="1247">
        <f t="shared" si="195"/>
        <v>-180425.73976356303</v>
      </c>
      <c r="G1127" s="1247">
        <f t="shared" si="195"/>
        <v>738929685.12672698</v>
      </c>
      <c r="H1127" s="1243"/>
      <c r="I1127" s="1247">
        <f t="shared" si="195"/>
        <v>168875314.10580772</v>
      </c>
      <c r="J1127" s="1243"/>
      <c r="K1127" s="1247">
        <f t="shared" si="195"/>
        <v>1764398.7789999994</v>
      </c>
      <c r="L1127" s="1247">
        <f t="shared" si="195"/>
        <v>0</v>
      </c>
      <c r="M1127" s="1247">
        <f t="shared" si="195"/>
        <v>-180425.73976356303</v>
      </c>
      <c r="N1127" s="1247">
        <f t="shared" si="195"/>
        <v>-218881.06146300002</v>
      </c>
      <c r="O1127" s="1247">
        <f t="shared" si="195"/>
        <v>170240406.08358115</v>
      </c>
    </row>
    <row r="1128" spans="1:15">
      <c r="A1128" s="361"/>
      <c r="D1128" s="1243"/>
      <c r="E1128" s="1243"/>
      <c r="F1128" s="1243"/>
      <c r="G1128" s="1243"/>
      <c r="H1128" s="1243"/>
      <c r="I1128" s="1243"/>
      <c r="J1128" s="1243"/>
      <c r="K1128" s="1243"/>
      <c r="L1128" s="1243"/>
      <c r="M1128" s="1243"/>
      <c r="N1128" s="1243"/>
      <c r="O1128" s="1243"/>
    </row>
    <row r="1129" spans="1:15">
      <c r="A1129" s="361"/>
      <c r="D1129" s="1243"/>
      <c r="E1129" s="1243"/>
      <c r="F1129" s="1243"/>
      <c r="G1129" s="1243"/>
      <c r="H1129" s="1243"/>
      <c r="I1129" s="1243"/>
      <c r="J1129" s="1243"/>
      <c r="K1129" s="1243"/>
      <c r="L1129" s="1243"/>
      <c r="M1129" s="1243"/>
      <c r="N1129" s="1243"/>
      <c r="O1129" s="1243"/>
    </row>
    <row r="1130" spans="1:15">
      <c r="A1130" s="361">
        <f>A1127+1</f>
        <v>23</v>
      </c>
      <c r="B1130" s="363" t="s">
        <v>1774</v>
      </c>
      <c r="D1130" s="1243"/>
      <c r="E1130" s="1243"/>
      <c r="F1130" s="1243"/>
      <c r="G1130" s="1243"/>
      <c r="H1130" s="1243"/>
      <c r="I1130" s="1243"/>
      <c r="J1130" s="1243"/>
      <c r="K1130" s="1243"/>
      <c r="L1130" s="1243"/>
      <c r="M1130" s="1243"/>
      <c r="N1130" s="1243"/>
      <c r="O1130" s="1243"/>
    </row>
    <row r="1131" spans="1:15">
      <c r="A1131" s="361">
        <f t="shared" ref="A1131:A1136" si="196">A1130+1</f>
        <v>24</v>
      </c>
      <c r="B1131" s="365">
        <v>376</v>
      </c>
      <c r="C1131" s="358" t="s">
        <v>1775</v>
      </c>
      <c r="D1131" s="1243">
        <f>G1017</f>
        <v>21738874</v>
      </c>
      <c r="E1131" s="1243">
        <f>'WPB-2.1.D SMRP'!E432</f>
        <v>1282582.1600000004</v>
      </c>
      <c r="F1131" s="1243">
        <f>'WPB-2.1.D SMRP'!F432</f>
        <v>-557.34</v>
      </c>
      <c r="G1131" s="1243">
        <f>SUM(D1131:F1131)</f>
        <v>23020898.82</v>
      </c>
      <c r="H1131" s="1243"/>
      <c r="I1131" s="1243">
        <f>O1017</f>
        <v>-101238.98700000001</v>
      </c>
      <c r="J1131" s="1243"/>
      <c r="K1131" s="1243">
        <f>'WPB-2.1.D SMRP'!K432</f>
        <v>32450.468000000001</v>
      </c>
      <c r="L1131" s="1243">
        <v>0</v>
      </c>
      <c r="M1131" s="1243">
        <f>F1131</f>
        <v>-557.34</v>
      </c>
      <c r="N1131" s="1243">
        <f>'WPB-2.1.D SMRP'!N432</f>
        <v>-65.73</v>
      </c>
      <c r="O1131" s="1243">
        <f>I1131+K1131+L1131+M1131+N1131</f>
        <v>-69411.588999999993</v>
      </c>
    </row>
    <row r="1132" spans="1:15">
      <c r="A1132" s="361">
        <f t="shared" si="196"/>
        <v>25</v>
      </c>
      <c r="B1132" s="365">
        <v>378.2</v>
      </c>
      <c r="C1132" s="358" t="s">
        <v>1776</v>
      </c>
      <c r="D1132" s="1243">
        <f>G1018</f>
        <v>-347783.44000000006</v>
      </c>
      <c r="E1132" s="1243">
        <f>'WPB-2.1.D SMRP'!E433</f>
        <v>0</v>
      </c>
      <c r="F1132" s="1243">
        <f>'WPB-2.1.D SMRP'!F433</f>
        <v>0</v>
      </c>
      <c r="G1132" s="1243">
        <f>SUM(D1132:F1132)</f>
        <v>-347783.44000000006</v>
      </c>
      <c r="H1132" s="1243"/>
      <c r="I1132" s="1243">
        <f>O1018</f>
        <v>-390184.50199999992</v>
      </c>
      <c r="J1132" s="1243"/>
      <c r="K1132" s="1243">
        <f>'WPB-2.1.D SMRP'!K433</f>
        <v>-730</v>
      </c>
      <c r="L1132" s="1243">
        <v>0</v>
      </c>
      <c r="M1132" s="1243">
        <f>F1132</f>
        <v>0</v>
      </c>
      <c r="N1132" s="1243">
        <f>'WPB-2.1.D SMRP'!N433</f>
        <v>0</v>
      </c>
      <c r="O1132" s="1243">
        <f>I1132+K1132+L1132+M1132+N1132</f>
        <v>-390914.50199999992</v>
      </c>
    </row>
    <row r="1133" spans="1:15">
      <c r="A1133" s="361">
        <f t="shared" si="196"/>
        <v>26</v>
      </c>
      <c r="B1133" s="365">
        <v>380</v>
      </c>
      <c r="C1133" s="358" t="s">
        <v>1777</v>
      </c>
      <c r="D1133" s="1243">
        <f>G1019</f>
        <v>7621025.1235093558</v>
      </c>
      <c r="E1133" s="1243">
        <f>'WPB-2.1.D SMRP'!E434</f>
        <v>1523803.0500000003</v>
      </c>
      <c r="F1133" s="1243">
        <f>'WPB-2.1.D SMRP'!F434</f>
        <v>-178657.54023643697</v>
      </c>
      <c r="G1133" s="1243">
        <f>SUM(D1133:F1133)</f>
        <v>8966170.6332729179</v>
      </c>
      <c r="H1133" s="1243"/>
      <c r="I1133" s="1243">
        <f>O1019</f>
        <v>-3483779.1138076461</v>
      </c>
      <c r="J1133" s="1243"/>
      <c r="K1133" s="1243">
        <f>'WPB-2.1.D SMRP'!K434</f>
        <v>27506.7</v>
      </c>
      <c r="L1133" s="1243">
        <v>0</v>
      </c>
      <c r="M1133" s="1243">
        <f>F1133</f>
        <v>-178657.54023643697</v>
      </c>
      <c r="N1133" s="1243">
        <f>'WPB-2.1.D SMRP'!N434</f>
        <v>-171317.10853699999</v>
      </c>
      <c r="O1133" s="1243">
        <f>I1133+K1133+L1133+M1133+N1133</f>
        <v>-3806247.0625810828</v>
      </c>
    </row>
    <row r="1134" spans="1:15">
      <c r="A1134" s="361">
        <f t="shared" si="196"/>
        <v>27</v>
      </c>
      <c r="B1134" s="365">
        <v>382</v>
      </c>
      <c r="C1134" s="358" t="s">
        <v>1778</v>
      </c>
      <c r="D1134" s="1243">
        <f>G1020</f>
        <v>6890.3299999999963</v>
      </c>
      <c r="E1134" s="1243">
        <f>'WPB-2.1.D SMRP'!E435</f>
        <v>17703.63</v>
      </c>
      <c r="F1134" s="1243">
        <f>'WPB-2.1.D SMRP'!F435</f>
        <v>-4703.41</v>
      </c>
      <c r="G1134" s="1243">
        <f>SUM(D1134:F1134)</f>
        <v>19890.55</v>
      </c>
      <c r="H1134" s="1243"/>
      <c r="I1134" s="1243">
        <f>O1020</f>
        <v>-36219.77900000001</v>
      </c>
      <c r="J1134" s="1243"/>
      <c r="K1134" s="1243">
        <f>'WPB-2.1.D SMRP'!K435</f>
        <v>19.588000000000001</v>
      </c>
      <c r="L1134" s="1243">
        <v>0</v>
      </c>
      <c r="M1134" s="1243">
        <f>F1134</f>
        <v>-4703.41</v>
      </c>
      <c r="N1134" s="1243">
        <f>'WPB-2.1.D SMRP'!N435</f>
        <v>0</v>
      </c>
      <c r="O1134" s="1243">
        <f>I1134+K1134+L1134+M1134+N1134</f>
        <v>-40903.60100000001</v>
      </c>
    </row>
    <row r="1135" spans="1:15">
      <c r="A1135" s="361">
        <f t="shared" si="196"/>
        <v>28</v>
      </c>
      <c r="B1135" s="365">
        <v>383</v>
      </c>
      <c r="C1135" s="358" t="s">
        <v>1779</v>
      </c>
      <c r="D1135" s="1244">
        <f>G1021</f>
        <v>-5138.72</v>
      </c>
      <c r="E1135" s="1244">
        <f>'WPB-2.1.D SMRP'!E436</f>
        <v>0</v>
      </c>
      <c r="F1135" s="1244">
        <f>'WPB-2.1.D SMRP'!F436</f>
        <v>-562.87</v>
      </c>
      <c r="G1135" s="1244">
        <f>SUM(D1135:F1135)</f>
        <v>-5701.59</v>
      </c>
      <c r="H1135" s="1243"/>
      <c r="I1135" s="1244">
        <f>O1021</f>
        <v>-5163.8739999999998</v>
      </c>
      <c r="J1135" s="1243"/>
      <c r="K1135" s="1244">
        <f>'WPB-2.1.D SMRP'!K436</f>
        <v>-8.4550000000000001</v>
      </c>
      <c r="L1135" s="1244">
        <v>0</v>
      </c>
      <c r="M1135" s="1244">
        <f>F1135</f>
        <v>-562.87</v>
      </c>
      <c r="N1135" s="1244">
        <f>'WPB-2.1.D SMRP'!N436</f>
        <v>0</v>
      </c>
      <c r="O1135" s="1244">
        <f>I1135+K1135+L1135+M1135+N1135</f>
        <v>-5735.1989999999996</v>
      </c>
    </row>
    <row r="1136" spans="1:15">
      <c r="A1136" s="361">
        <f t="shared" si="196"/>
        <v>29</v>
      </c>
      <c r="C1136" s="358" t="s">
        <v>1780</v>
      </c>
      <c r="D1136" s="1243">
        <f>SUM(D1131:D1135)</f>
        <v>29013867.293509353</v>
      </c>
      <c r="E1136" s="1243">
        <f>SUM(E1131:E1135)</f>
        <v>2824088.8400000008</v>
      </c>
      <c r="F1136" s="1243">
        <f>SUM(F1131:F1135)</f>
        <v>-184481.16023643696</v>
      </c>
      <c r="G1136" s="1243">
        <f>SUM(G1131:G1135)</f>
        <v>31653474.97327292</v>
      </c>
      <c r="H1136" s="1243"/>
      <c r="I1136" s="1243">
        <f>SUM(I1131:I1135)</f>
        <v>-4016586.2558076461</v>
      </c>
      <c r="J1136" s="1243"/>
      <c r="K1136" s="1243">
        <f>SUM(K1131:K1135)</f>
        <v>59238.301000000007</v>
      </c>
      <c r="L1136" s="1243">
        <f>SUM(L1131:L1135)</f>
        <v>0</v>
      </c>
      <c r="M1136" s="1243">
        <f>SUM(M1131:M1135)</f>
        <v>-184481.16023643696</v>
      </c>
      <c r="N1136" s="1243">
        <f>SUM(N1131:N1135)</f>
        <v>-171382.838537</v>
      </c>
      <c r="O1136" s="1243">
        <f>SUM(O1131:O1135)</f>
        <v>-4313211.9535810826</v>
      </c>
    </row>
    <row r="1137" spans="1:16">
      <c r="A1137" s="361"/>
      <c r="D1137" s="1243"/>
      <c r="E1137" s="1243"/>
      <c r="F1137" s="1243"/>
      <c r="G1137" s="1243"/>
      <c r="H1137" s="1243"/>
      <c r="I1137" s="1243"/>
      <c r="J1137" s="1243"/>
      <c r="K1137" s="1243"/>
      <c r="L1137" s="1243"/>
      <c r="M1137" s="1243"/>
      <c r="N1137" s="1243"/>
      <c r="O1137" s="1243"/>
    </row>
    <row r="1138" spans="1:16" ht="13.5" thickBot="1">
      <c r="A1138" s="361">
        <f>A1136+1</f>
        <v>30</v>
      </c>
      <c r="C1138" s="358" t="s">
        <v>447</v>
      </c>
      <c r="D1138" s="1248">
        <f>D1127+D1136</f>
        <v>763253821.49000013</v>
      </c>
      <c r="E1138" s="1248">
        <f>E1127+E1136</f>
        <v>7694245.5100000007</v>
      </c>
      <c r="F1138" s="1248">
        <f>F1127+F1136</f>
        <v>-364906.9</v>
      </c>
      <c r="G1138" s="1248">
        <f>G1127+G1136</f>
        <v>770583160.0999999</v>
      </c>
      <c r="H1138" s="1243"/>
      <c r="I1138" s="1248">
        <f>I1127+I1136</f>
        <v>164858727.85000008</v>
      </c>
      <c r="J1138" s="1243"/>
      <c r="K1138" s="1248">
        <f>K1127+K1136</f>
        <v>1823637.0799999994</v>
      </c>
      <c r="L1138" s="1248">
        <f>L1127+L1136</f>
        <v>0</v>
      </c>
      <c r="M1138" s="1248">
        <f>M1127+M1136</f>
        <v>-364906.9</v>
      </c>
      <c r="N1138" s="1248">
        <f>N1127+N1136</f>
        <v>-390263.9</v>
      </c>
      <c r="O1138" s="1248">
        <f>O1127+O1136</f>
        <v>165927194.13000005</v>
      </c>
    </row>
    <row r="1139" spans="1:16" ht="13.5" thickTop="1"/>
    <row r="1141" spans="1:16" s="291" customFormat="1">
      <c r="A1141" s="1308" t="str">
        <f>$A$1</f>
        <v>COLUMBIA GAS OF KENTUCKY, INC.</v>
      </c>
      <c r="B1141" s="1308"/>
      <c r="C1141" s="1308"/>
      <c r="D1141" s="1308"/>
      <c r="E1141" s="1308"/>
      <c r="F1141" s="1308"/>
      <c r="G1141" s="1308"/>
      <c r="H1141" s="1308"/>
      <c r="I1141" s="1308"/>
      <c r="J1141" s="1308"/>
      <c r="K1141" s="1308"/>
      <c r="L1141" s="1308"/>
      <c r="M1141" s="1308"/>
      <c r="N1141" s="1308"/>
      <c r="O1141" s="1308"/>
    </row>
    <row r="1142" spans="1:16" s="291" customFormat="1">
      <c r="A1142" s="1308" t="str">
        <f>$A$2</f>
        <v>CASE NO. 2024 - 00092</v>
      </c>
      <c r="B1142" s="1308"/>
      <c r="C1142" s="1308"/>
      <c r="D1142" s="1308"/>
      <c r="E1142" s="1308"/>
      <c r="F1142" s="1308"/>
      <c r="G1142" s="1308"/>
      <c r="H1142" s="1308"/>
      <c r="I1142" s="1308"/>
      <c r="J1142" s="1308"/>
      <c r="K1142" s="1308"/>
      <c r="L1142" s="1308"/>
      <c r="M1142" s="1308"/>
      <c r="N1142" s="1308"/>
      <c r="O1142" s="1308"/>
    </row>
    <row r="1143" spans="1:16" s="291" customFormat="1">
      <c r="A1143" s="1308" t="str">
        <f>$A$3</f>
        <v>DETAIL OF ACTUAL &amp; FORECASTED PLANT, ACCUMULATED RESERVE &amp; DEPRECIATION EXPENSE</v>
      </c>
      <c r="B1143" s="1308"/>
      <c r="C1143" s="1308"/>
      <c r="D1143" s="1308"/>
      <c r="E1143" s="1308"/>
      <c r="F1143" s="1308"/>
      <c r="G1143" s="1308"/>
      <c r="H1143" s="1308"/>
      <c r="I1143" s="1308"/>
      <c r="J1143" s="1308"/>
      <c r="K1143" s="1308"/>
      <c r="L1143" s="1308"/>
      <c r="M1143" s="1308"/>
      <c r="N1143" s="1308"/>
      <c r="O1143" s="1308"/>
      <c r="P1143" s="357"/>
    </row>
    <row r="1144" spans="1:16" s="291" customFormat="1">
      <c r="A1144" s="1308" t="str">
        <f>$A$4</f>
        <v>FROM JANUARY 01, 2023 THROUGH DECEMBER 31, 2025</v>
      </c>
      <c r="B1144" s="1308"/>
      <c r="C1144" s="1308"/>
      <c r="D1144" s="1308"/>
      <c r="E1144" s="1308"/>
      <c r="F1144" s="1308"/>
      <c r="G1144" s="1308"/>
      <c r="H1144" s="1308"/>
      <c r="I1144" s="1308"/>
      <c r="J1144" s="1308"/>
      <c r="K1144" s="1308"/>
      <c r="L1144" s="1308"/>
      <c r="M1144" s="1308"/>
      <c r="N1144" s="1308"/>
      <c r="O1144" s="1308"/>
    </row>
    <row r="1145" spans="1:16" s="291" customFormat="1">
      <c r="B1145" s="293"/>
      <c r="P1145" s="312"/>
    </row>
    <row r="1146" spans="1:16" s="291" customFormat="1">
      <c r="A1146" s="297" t="str">
        <f>$A$6</f>
        <v xml:space="preserve">DATA: _X_ BASE PERIOD _X_ FORECASTED PERIOD     </v>
      </c>
      <c r="B1146" s="293"/>
      <c r="O1146" s="312" t="str">
        <f>$O$6</f>
        <v>WPB-2.1.C</v>
      </c>
      <c r="P1146" s="312"/>
    </row>
    <row r="1147" spans="1:16" s="291" customFormat="1">
      <c r="A1147" s="297" t="str">
        <f>$A$7</f>
        <v>TYPE OF FILING:___X___ORIGINAL______UPDATED</v>
      </c>
      <c r="B1147" s="293"/>
      <c r="O1147" s="312" t="s">
        <v>2202</v>
      </c>
      <c r="P1147" s="312"/>
    </row>
    <row r="1148" spans="1:16" s="291" customFormat="1">
      <c r="A1148" s="297" t="str">
        <f>$A$8</f>
        <v>WORKPAPER REFERENCE NO(S).:</v>
      </c>
      <c r="B1148" s="293"/>
      <c r="O1148" s="312" t="str">
        <f>$O$8</f>
        <v>WITNESS: GORE</v>
      </c>
    </row>
    <row r="1149" spans="1:16">
      <c r="A1149" s="918"/>
      <c r="B1149" s="919"/>
      <c r="C1149" s="918"/>
      <c r="D1149" s="918"/>
      <c r="E1149" s="918"/>
      <c r="F1149" s="918"/>
      <c r="G1149" s="918"/>
      <c r="H1149" s="918"/>
      <c r="I1149" s="918"/>
      <c r="J1149" s="918"/>
      <c r="K1149" s="918"/>
      <c r="L1149" s="918"/>
      <c r="M1149" s="918"/>
      <c r="N1149" s="918"/>
      <c r="O1149" s="920"/>
    </row>
    <row r="1150" spans="1:16">
      <c r="D1150" s="1311" t="s">
        <v>1768</v>
      </c>
      <c r="E1150" s="1311"/>
      <c r="F1150" s="1311"/>
      <c r="G1150" s="1311"/>
      <c r="I1150" s="1311" t="s">
        <v>1769</v>
      </c>
      <c r="J1150" s="1311"/>
      <c r="K1150" s="1311"/>
      <c r="L1150" s="1311"/>
      <c r="M1150" s="1311"/>
      <c r="N1150" s="1311"/>
      <c r="O1150" s="1311"/>
    </row>
    <row r="1151" spans="1:16">
      <c r="D1151" s="360">
        <f>G1096+1</f>
        <v>45231</v>
      </c>
      <c r="G1151" s="360">
        <f>D1151+29</f>
        <v>45260</v>
      </c>
      <c r="I1151" s="360">
        <f>D1151</f>
        <v>45231</v>
      </c>
      <c r="O1151" s="360">
        <f>G1151</f>
        <v>45260</v>
      </c>
    </row>
    <row r="1152" spans="1:16">
      <c r="D1152" s="361" t="s">
        <v>1757</v>
      </c>
      <c r="G1152" s="361" t="s">
        <v>1757</v>
      </c>
      <c r="I1152" s="361" t="s">
        <v>1758</v>
      </c>
      <c r="J1152" s="361" t="s">
        <v>488</v>
      </c>
      <c r="L1152" s="361" t="s">
        <v>1758</v>
      </c>
      <c r="O1152" s="361" t="s">
        <v>1758</v>
      </c>
    </row>
    <row r="1153" spans="1:15">
      <c r="A1153" s="361" t="s">
        <v>1770</v>
      </c>
      <c r="B1153" s="361" t="s">
        <v>368</v>
      </c>
      <c r="C1153" s="361"/>
      <c r="D1153" s="361" t="s">
        <v>437</v>
      </c>
      <c r="G1153" s="361" t="s">
        <v>439</v>
      </c>
      <c r="I1153" s="361" t="s">
        <v>437</v>
      </c>
      <c r="J1153" s="361" t="s">
        <v>1771</v>
      </c>
      <c r="K1153" s="361" t="s">
        <v>1772</v>
      </c>
      <c r="L1153" s="361" t="s">
        <v>1759</v>
      </c>
      <c r="N1153" s="361" t="s">
        <v>1760</v>
      </c>
      <c r="O1153" s="361" t="s">
        <v>439</v>
      </c>
    </row>
    <row r="1154" spans="1:15">
      <c r="A1154" s="364" t="s">
        <v>316</v>
      </c>
      <c r="B1154" s="364" t="s">
        <v>316</v>
      </c>
      <c r="C1154" s="364" t="s">
        <v>451</v>
      </c>
      <c r="D1154" s="364" t="s">
        <v>441</v>
      </c>
      <c r="E1154" s="364" t="s">
        <v>442</v>
      </c>
      <c r="F1154" s="364" t="s">
        <v>443</v>
      </c>
      <c r="G1154" s="364" t="s">
        <v>441</v>
      </c>
      <c r="I1154" s="364" t="s">
        <v>441</v>
      </c>
      <c r="J1154" s="364" t="s">
        <v>1773</v>
      </c>
      <c r="K1154" s="364" t="s">
        <v>1771</v>
      </c>
      <c r="L1154" s="364" t="s">
        <v>355</v>
      </c>
      <c r="M1154" s="364" t="s">
        <v>443</v>
      </c>
      <c r="N1154" s="364" t="s">
        <v>1763</v>
      </c>
      <c r="O1154" s="364" t="s">
        <v>441</v>
      </c>
    </row>
    <row r="1155" spans="1:15">
      <c r="D1155" s="361" t="s">
        <v>532</v>
      </c>
      <c r="E1155" s="361" t="s">
        <v>541</v>
      </c>
      <c r="F1155" s="361" t="s">
        <v>542</v>
      </c>
      <c r="G1155" s="361" t="s">
        <v>1764</v>
      </c>
      <c r="I1155" s="334" t="str">
        <f>"(5)"</f>
        <v>(5)</v>
      </c>
      <c r="J1155" s="334" t="str">
        <f>"(6)"</f>
        <v>(6)</v>
      </c>
      <c r="K1155" s="334" t="str">
        <f>"(7)"</f>
        <v>(7)</v>
      </c>
      <c r="L1155" s="334" t="str">
        <f>"(8)"</f>
        <v>(8)</v>
      </c>
      <c r="M1155" s="334" t="str">
        <f>"(9)"</f>
        <v>(9)</v>
      </c>
      <c r="N1155" s="334" t="str">
        <f>"(10)"</f>
        <v>(10)</v>
      </c>
      <c r="O1155" s="334" t="str">
        <f>"(11=5+7+8+9+10)"</f>
        <v>(11=5+7+8+9+10)</v>
      </c>
    </row>
    <row r="1156" spans="1:15">
      <c r="D1156" s="361" t="s">
        <v>320</v>
      </c>
      <c r="E1156" s="361" t="s">
        <v>320</v>
      </c>
      <c r="F1156" s="361" t="s">
        <v>320</v>
      </c>
      <c r="G1156" s="361" t="s">
        <v>320</v>
      </c>
      <c r="I1156" s="334" t="s">
        <v>320</v>
      </c>
      <c r="J1156" s="334" t="s">
        <v>529</v>
      </c>
      <c r="K1156" s="334" t="s">
        <v>320</v>
      </c>
      <c r="L1156" s="334" t="s">
        <v>320</v>
      </c>
      <c r="M1156" s="334" t="s">
        <v>320</v>
      </c>
      <c r="N1156" s="334" t="s">
        <v>320</v>
      </c>
      <c r="O1156" s="334" t="s">
        <v>320</v>
      </c>
    </row>
    <row r="1157" spans="1:15">
      <c r="A1157" s="361">
        <v>1</v>
      </c>
      <c r="B1157" s="362" t="s">
        <v>373</v>
      </c>
      <c r="D1157" s="361"/>
      <c r="E1157" s="361"/>
      <c r="F1157" s="361"/>
      <c r="G1157" s="361"/>
      <c r="I1157" s="334"/>
      <c r="J1157" s="334"/>
      <c r="K1157" s="334"/>
      <c r="L1157" s="334"/>
      <c r="M1157" s="334"/>
      <c r="N1157" s="334"/>
      <c r="O1157" s="334"/>
    </row>
    <row r="1158" spans="1:15">
      <c r="A1158" s="361">
        <f>A1157+1</f>
        <v>2</v>
      </c>
      <c r="B1158" s="365">
        <v>301</v>
      </c>
      <c r="C1158" s="358" t="s">
        <v>374</v>
      </c>
      <c r="D1158" s="1243">
        <f t="shared" ref="D1158:D1163" si="197">G1044</f>
        <v>521.20000000000005</v>
      </c>
      <c r="E1158" s="1243">
        <v>0</v>
      </c>
      <c r="F1158" s="1243">
        <v>0</v>
      </c>
      <c r="G1158" s="1243">
        <f t="shared" ref="G1158:G1163" si="198">SUM(D1158:F1158)</f>
        <v>521.20000000000005</v>
      </c>
      <c r="H1158" s="1243"/>
      <c r="I1158" s="1243">
        <f t="shared" ref="I1158:I1163" si="199">O1044</f>
        <v>0</v>
      </c>
      <c r="J1158" s="1243"/>
      <c r="K1158" s="1243">
        <v>0</v>
      </c>
      <c r="L1158" s="1243">
        <v>0</v>
      </c>
      <c r="M1158" s="1243">
        <f t="shared" ref="M1158:M1163" si="200">F1158</f>
        <v>0</v>
      </c>
      <c r="N1158" s="1243">
        <v>0</v>
      </c>
      <c r="O1158" s="1243">
        <f t="shared" ref="O1158:O1163" si="201">I1158+K1158+L1158+M1158+N1158</f>
        <v>0</v>
      </c>
    </row>
    <row r="1159" spans="1:15">
      <c r="A1159" s="361">
        <f t="shared" ref="A1159:A1164" si="202">A1158+1</f>
        <v>3</v>
      </c>
      <c r="B1159" s="365">
        <v>303</v>
      </c>
      <c r="C1159" s="358" t="s">
        <v>375</v>
      </c>
      <c r="D1159" s="1243">
        <f t="shared" si="197"/>
        <v>96334.51</v>
      </c>
      <c r="E1159" s="1243">
        <v>0</v>
      </c>
      <c r="F1159" s="1243">
        <v>0</v>
      </c>
      <c r="G1159" s="1243">
        <f t="shared" si="198"/>
        <v>96334.51</v>
      </c>
      <c r="H1159" s="1243"/>
      <c r="I1159" s="1243">
        <f t="shared" si="199"/>
        <v>78327.210000000036</v>
      </c>
      <c r="J1159" s="1243"/>
      <c r="K1159" s="1243">
        <v>267.58</v>
      </c>
      <c r="L1159" s="1243">
        <v>0</v>
      </c>
      <c r="M1159" s="1243">
        <f t="shared" si="200"/>
        <v>0</v>
      </c>
      <c r="N1159" s="1243">
        <v>0</v>
      </c>
      <c r="O1159" s="1243">
        <f t="shared" si="201"/>
        <v>78594.790000000037</v>
      </c>
    </row>
    <row r="1160" spans="1:15">
      <c r="A1160" s="361">
        <f t="shared" si="202"/>
        <v>4</v>
      </c>
      <c r="B1160" s="365">
        <v>303.10000000000002</v>
      </c>
      <c r="C1160" s="358" t="s">
        <v>376</v>
      </c>
      <c r="D1160" s="1243">
        <f t="shared" si="197"/>
        <v>943.27</v>
      </c>
      <c r="E1160" s="1243">
        <v>0</v>
      </c>
      <c r="F1160" s="1243">
        <v>0</v>
      </c>
      <c r="G1160" s="1243">
        <f t="shared" si="198"/>
        <v>943.27</v>
      </c>
      <c r="H1160" s="1243"/>
      <c r="I1160" s="1243">
        <f t="shared" si="199"/>
        <v>318.35000000000008</v>
      </c>
      <c r="J1160" s="1243"/>
      <c r="K1160" s="1243">
        <v>0</v>
      </c>
      <c r="L1160" s="1243">
        <v>0</v>
      </c>
      <c r="M1160" s="1243">
        <f t="shared" si="200"/>
        <v>0</v>
      </c>
      <c r="N1160" s="1243">
        <v>0</v>
      </c>
      <c r="O1160" s="1243">
        <f t="shared" si="201"/>
        <v>318.35000000000008</v>
      </c>
    </row>
    <row r="1161" spans="1:15">
      <c r="A1161" s="361">
        <f t="shared" si="202"/>
        <v>5</v>
      </c>
      <c r="B1161" s="365">
        <v>303.2</v>
      </c>
      <c r="C1161" s="358" t="s">
        <v>377</v>
      </c>
      <c r="D1161" s="1243">
        <f t="shared" si="197"/>
        <v>0</v>
      </c>
      <c r="E1161" s="1243">
        <v>0</v>
      </c>
      <c r="F1161" s="1243">
        <v>0</v>
      </c>
      <c r="G1161" s="1243">
        <f t="shared" si="198"/>
        <v>0</v>
      </c>
      <c r="H1161" s="1243"/>
      <c r="I1161" s="1243">
        <f t="shared" si="199"/>
        <v>0</v>
      </c>
      <c r="J1161" s="1243"/>
      <c r="K1161" s="1243">
        <v>0</v>
      </c>
      <c r="L1161" s="1243">
        <v>0</v>
      </c>
      <c r="M1161" s="1243">
        <f t="shared" si="200"/>
        <v>0</v>
      </c>
      <c r="N1161" s="1243">
        <v>0</v>
      </c>
      <c r="O1161" s="1243">
        <f t="shared" si="201"/>
        <v>0</v>
      </c>
    </row>
    <row r="1162" spans="1:15">
      <c r="A1162" s="361">
        <f t="shared" si="202"/>
        <v>6</v>
      </c>
      <c r="B1162" s="365">
        <v>303.3</v>
      </c>
      <c r="C1162" s="358" t="s">
        <v>378</v>
      </c>
      <c r="D1162" s="1243">
        <f t="shared" si="197"/>
        <v>12613710.860000001</v>
      </c>
      <c r="E1162" s="1243">
        <v>162058.75</v>
      </c>
      <c r="F1162" s="1243">
        <v>-67154.509999999995</v>
      </c>
      <c r="G1162" s="1243">
        <f t="shared" si="198"/>
        <v>12708615.100000001</v>
      </c>
      <c r="H1162" s="1243"/>
      <c r="I1162" s="1243">
        <f t="shared" si="199"/>
        <v>6545756.7100000018</v>
      </c>
      <c r="J1162" s="1243"/>
      <c r="K1162" s="1243">
        <v>203627.92</v>
      </c>
      <c r="L1162" s="1243">
        <v>0</v>
      </c>
      <c r="M1162" s="1243">
        <f t="shared" si="200"/>
        <v>-67154.509999999995</v>
      </c>
      <c r="N1162" s="1243">
        <v>0</v>
      </c>
      <c r="O1162" s="1243">
        <f t="shared" si="201"/>
        <v>6682230.120000002</v>
      </c>
    </row>
    <row r="1163" spans="1:15">
      <c r="A1163" s="361">
        <f t="shared" si="202"/>
        <v>7</v>
      </c>
      <c r="B1163" s="365">
        <v>303.99</v>
      </c>
      <c r="C1163" s="358" t="s">
        <v>1129</v>
      </c>
      <c r="D1163" s="1244">
        <f t="shared" si="197"/>
        <v>1950106.1600000001</v>
      </c>
      <c r="E1163" s="1244">
        <v>33439.410000000003</v>
      </c>
      <c r="F1163" s="1244">
        <v>-28243</v>
      </c>
      <c r="G1163" s="1244">
        <f t="shared" si="198"/>
        <v>1955302.57</v>
      </c>
      <c r="H1163" s="1243"/>
      <c r="I1163" s="1244">
        <f t="shared" si="199"/>
        <v>947316.6100000001</v>
      </c>
      <c r="J1163" s="1243"/>
      <c r="K1163" s="1244">
        <v>33170.980000000003</v>
      </c>
      <c r="L1163" s="1244">
        <v>0</v>
      </c>
      <c r="M1163" s="1244">
        <f t="shared" si="200"/>
        <v>-28243</v>
      </c>
      <c r="N1163" s="1244">
        <v>0</v>
      </c>
      <c r="O1163" s="1244">
        <f t="shared" si="201"/>
        <v>952244.59000000008</v>
      </c>
    </row>
    <row r="1164" spans="1:15">
      <c r="A1164" s="361">
        <f t="shared" si="202"/>
        <v>8</v>
      </c>
      <c r="B1164" s="367"/>
      <c r="C1164" s="358" t="s">
        <v>379</v>
      </c>
      <c r="D1164" s="1243">
        <f>SUM(D1158:D1163)</f>
        <v>14661616.000000002</v>
      </c>
      <c r="E1164" s="1243">
        <f>SUM(E1158:E1163)</f>
        <v>195498.16</v>
      </c>
      <c r="F1164" s="1243">
        <f>SUM(F1158:F1163)</f>
        <v>-95397.51</v>
      </c>
      <c r="G1164" s="1243">
        <f>SUM(G1158:G1163)</f>
        <v>14761716.650000002</v>
      </c>
      <c r="H1164" s="1243"/>
      <c r="I1164" s="1243">
        <f>SUM(I1158:I1163)</f>
        <v>7571718.8800000018</v>
      </c>
      <c r="J1164" s="1243"/>
      <c r="K1164" s="1243">
        <f>SUM(K1158:K1163)</f>
        <v>237066.48</v>
      </c>
      <c r="L1164" s="1243">
        <f>SUM(L1158:L1163)</f>
        <v>0</v>
      </c>
      <c r="M1164" s="1243">
        <f>SUM(M1158:M1163)</f>
        <v>-95397.51</v>
      </c>
      <c r="N1164" s="1243">
        <f>SUM(N1158:N1163)</f>
        <v>0</v>
      </c>
      <c r="O1164" s="1243">
        <f>SUM(O1158:O1163)</f>
        <v>7713387.8500000015</v>
      </c>
    </row>
    <row r="1165" spans="1:15">
      <c r="A1165" s="361"/>
      <c r="B1165" s="367"/>
      <c r="C1165" s="368"/>
      <c r="D1165" s="1243"/>
      <c r="E1165" s="1243"/>
      <c r="F1165" s="1243"/>
      <c r="G1165" s="1243"/>
      <c r="H1165" s="1243"/>
      <c r="I1165" s="1243"/>
      <c r="J1165" s="1243"/>
      <c r="K1165" s="1243"/>
      <c r="L1165" s="1243"/>
      <c r="M1165" s="1243"/>
      <c r="N1165" s="1243"/>
      <c r="O1165" s="1243"/>
    </row>
    <row r="1166" spans="1:15">
      <c r="A1166" s="361">
        <f>A1164+1</f>
        <v>9</v>
      </c>
      <c r="B1166" s="362" t="s">
        <v>1600</v>
      </c>
      <c r="C1166" s="368"/>
      <c r="D1166" s="1243"/>
      <c r="E1166" s="1243"/>
      <c r="F1166" s="1243"/>
      <c r="G1166" s="1243"/>
      <c r="H1166" s="1243"/>
      <c r="I1166" s="1243"/>
      <c r="J1166" s="1243"/>
      <c r="K1166" s="1243"/>
      <c r="L1166" s="1243"/>
      <c r="M1166" s="1243"/>
      <c r="N1166" s="1243"/>
      <c r="O1166" s="1243"/>
    </row>
    <row r="1167" spans="1:15">
      <c r="A1167" s="361">
        <f t="shared" ref="A1167:A1197" si="203">A1166+1</f>
        <v>10</v>
      </c>
      <c r="B1167" s="365">
        <v>374.1</v>
      </c>
      <c r="C1167" s="358" t="s">
        <v>382</v>
      </c>
      <c r="D1167" s="1243">
        <f t="shared" ref="D1167:D1196" si="204">G1053</f>
        <v>206</v>
      </c>
      <c r="E1167" s="1243">
        <v>0</v>
      </c>
      <c r="F1167" s="1243">
        <v>0</v>
      </c>
      <c r="G1167" s="1243">
        <f>SUM(D1167:F1167)</f>
        <v>206</v>
      </c>
      <c r="H1167" s="1243"/>
      <c r="I1167" s="1243">
        <f t="shared" ref="I1167:I1196" si="205">O1053</f>
        <v>0</v>
      </c>
      <c r="J1167" s="1243"/>
      <c r="K1167" s="1243">
        <v>0</v>
      </c>
      <c r="L1167" s="1243">
        <v>0</v>
      </c>
      <c r="M1167" s="1243">
        <f t="shared" ref="M1167:M1196" si="206">F1167</f>
        <v>0</v>
      </c>
      <c r="N1167" s="1243">
        <v>0</v>
      </c>
      <c r="O1167" s="1243">
        <f t="shared" ref="O1167:O1196" si="207">I1167+K1167+L1167+M1167+N1167</f>
        <v>0</v>
      </c>
    </row>
    <row r="1168" spans="1:15">
      <c r="A1168" s="361">
        <f t="shared" si="203"/>
        <v>11</v>
      </c>
      <c r="B1168" s="365">
        <v>374.2</v>
      </c>
      <c r="C1168" s="358" t="s">
        <v>383</v>
      </c>
      <c r="D1168" s="1243">
        <f t="shared" si="204"/>
        <v>876986.66</v>
      </c>
      <c r="E1168" s="1243">
        <v>0</v>
      </c>
      <c r="F1168" s="1243">
        <v>0</v>
      </c>
      <c r="G1168" s="1243">
        <f t="shared" ref="G1168:G1196" si="208">SUM(D1168:F1168)</f>
        <v>876986.66</v>
      </c>
      <c r="H1168" s="1243"/>
      <c r="I1168" s="1243">
        <f t="shared" si="205"/>
        <v>-522.25</v>
      </c>
      <c r="J1168" s="1243"/>
      <c r="K1168" s="1243">
        <v>0</v>
      </c>
      <c r="L1168" s="1243">
        <v>0</v>
      </c>
      <c r="M1168" s="1243">
        <f t="shared" si="206"/>
        <v>0</v>
      </c>
      <c r="N1168" s="1243">
        <v>0</v>
      </c>
      <c r="O1168" s="1243">
        <f t="shared" si="207"/>
        <v>-522.25</v>
      </c>
    </row>
    <row r="1169" spans="1:15">
      <c r="A1169" s="361">
        <f t="shared" si="203"/>
        <v>12</v>
      </c>
      <c r="B1169" s="365">
        <v>374.4</v>
      </c>
      <c r="C1169" s="358" t="s">
        <v>384</v>
      </c>
      <c r="D1169" s="1243">
        <f t="shared" si="204"/>
        <v>2895248.2</v>
      </c>
      <c r="E1169" s="1243">
        <v>224.52</v>
      </c>
      <c r="F1169" s="1243">
        <v>0</v>
      </c>
      <c r="G1169" s="1243">
        <f t="shared" si="208"/>
        <v>2895472.72</v>
      </c>
      <c r="H1169" s="1243"/>
      <c r="I1169" s="1243">
        <f t="shared" si="205"/>
        <v>362719.91000000003</v>
      </c>
      <c r="J1169" s="1243"/>
      <c r="K1169" s="1243">
        <v>3064.26</v>
      </c>
      <c r="L1169" s="1243">
        <v>0</v>
      </c>
      <c r="M1169" s="1243">
        <f t="shared" si="206"/>
        <v>0</v>
      </c>
      <c r="N1169" s="1243">
        <v>0</v>
      </c>
      <c r="O1169" s="1243">
        <f t="shared" si="207"/>
        <v>365784.17000000004</v>
      </c>
    </row>
    <row r="1170" spans="1:15">
      <c r="A1170" s="361">
        <f t="shared" si="203"/>
        <v>13</v>
      </c>
      <c r="B1170" s="365">
        <v>374.5</v>
      </c>
      <c r="C1170" s="358" t="s">
        <v>385</v>
      </c>
      <c r="D1170" s="1243">
        <f t="shared" si="204"/>
        <v>2666577.16</v>
      </c>
      <c r="E1170" s="1243">
        <v>0</v>
      </c>
      <c r="F1170" s="1243">
        <v>0</v>
      </c>
      <c r="G1170" s="1243">
        <f t="shared" si="208"/>
        <v>2666577.16</v>
      </c>
      <c r="H1170" s="1243"/>
      <c r="I1170" s="1243">
        <f t="shared" si="205"/>
        <v>1151410.7500000009</v>
      </c>
      <c r="J1170" s="1243"/>
      <c r="K1170" s="1243">
        <v>2444.36</v>
      </c>
      <c r="L1170" s="1243">
        <v>0</v>
      </c>
      <c r="M1170" s="1243">
        <f t="shared" si="206"/>
        <v>0</v>
      </c>
      <c r="N1170" s="1243">
        <v>0</v>
      </c>
      <c r="O1170" s="1243">
        <f t="shared" si="207"/>
        <v>1153855.110000001</v>
      </c>
    </row>
    <row r="1171" spans="1:15">
      <c r="A1171" s="361">
        <f t="shared" si="203"/>
        <v>14</v>
      </c>
      <c r="B1171" s="365">
        <v>375.2</v>
      </c>
      <c r="C1171" s="358" t="s">
        <v>386</v>
      </c>
      <c r="D1171" s="1243">
        <f t="shared" si="204"/>
        <v>2124.98</v>
      </c>
      <c r="E1171" s="1243">
        <v>0</v>
      </c>
      <c r="F1171" s="1243">
        <v>0</v>
      </c>
      <c r="G1171" s="1243">
        <f t="shared" si="208"/>
        <v>2124.98</v>
      </c>
      <c r="H1171" s="1243"/>
      <c r="I1171" s="1243">
        <f t="shared" si="205"/>
        <v>2060.38</v>
      </c>
      <c r="J1171" s="1243"/>
      <c r="K1171" s="1243">
        <v>0.73</v>
      </c>
      <c r="L1171" s="1243">
        <v>0</v>
      </c>
      <c r="M1171" s="1243">
        <f t="shared" si="206"/>
        <v>0</v>
      </c>
      <c r="N1171" s="1243">
        <v>0</v>
      </c>
      <c r="O1171" s="1243">
        <f t="shared" si="207"/>
        <v>2061.11</v>
      </c>
    </row>
    <row r="1172" spans="1:15">
      <c r="A1172" s="361">
        <f t="shared" si="203"/>
        <v>15</v>
      </c>
      <c r="B1172" s="365">
        <v>375.3</v>
      </c>
      <c r="C1172" s="358" t="s">
        <v>387</v>
      </c>
      <c r="D1172" s="1243">
        <f t="shared" si="204"/>
        <v>0</v>
      </c>
      <c r="E1172" s="1243">
        <v>0</v>
      </c>
      <c r="F1172" s="1243">
        <v>0</v>
      </c>
      <c r="G1172" s="1243">
        <f t="shared" si="208"/>
        <v>0</v>
      </c>
      <c r="H1172" s="1243"/>
      <c r="I1172" s="1243">
        <f t="shared" si="205"/>
        <v>-77.66</v>
      </c>
      <c r="J1172" s="1243"/>
      <c r="K1172" s="1243">
        <v>0</v>
      </c>
      <c r="L1172" s="1243">
        <v>0</v>
      </c>
      <c r="M1172" s="1243">
        <f t="shared" si="206"/>
        <v>0</v>
      </c>
      <c r="N1172" s="1243">
        <v>0</v>
      </c>
      <c r="O1172" s="1243">
        <f t="shared" si="207"/>
        <v>-77.66</v>
      </c>
    </row>
    <row r="1173" spans="1:15">
      <c r="A1173" s="361">
        <f t="shared" si="203"/>
        <v>16</v>
      </c>
      <c r="B1173" s="365">
        <v>375.4</v>
      </c>
      <c r="C1173" s="358" t="s">
        <v>388</v>
      </c>
      <c r="D1173" s="1243">
        <f t="shared" si="204"/>
        <v>2990266.8199999994</v>
      </c>
      <c r="E1173" s="1243">
        <v>19631.62</v>
      </c>
      <c r="F1173" s="1243">
        <v>-6537.58</v>
      </c>
      <c r="G1173" s="1243">
        <f t="shared" si="208"/>
        <v>3003360.8599999994</v>
      </c>
      <c r="H1173" s="1243"/>
      <c r="I1173" s="1243">
        <f t="shared" si="205"/>
        <v>596575.32000000007</v>
      </c>
      <c r="J1173" s="1243"/>
      <c r="K1173" s="1243">
        <v>5419.24</v>
      </c>
      <c r="L1173" s="1243">
        <v>0</v>
      </c>
      <c r="M1173" s="1243">
        <f t="shared" si="206"/>
        <v>-6537.58</v>
      </c>
      <c r="N1173" s="1243">
        <v>0</v>
      </c>
      <c r="O1173" s="1243">
        <f t="shared" si="207"/>
        <v>595456.9800000001</v>
      </c>
    </row>
    <row r="1174" spans="1:15">
      <c r="A1174" s="361">
        <f t="shared" si="203"/>
        <v>17</v>
      </c>
      <c r="B1174" s="365">
        <v>375.6</v>
      </c>
      <c r="C1174" s="358" t="s">
        <v>389</v>
      </c>
      <c r="D1174" s="1243">
        <f t="shared" si="204"/>
        <v>0</v>
      </c>
      <c r="E1174" s="1243">
        <v>0</v>
      </c>
      <c r="F1174" s="1243">
        <v>0</v>
      </c>
      <c r="G1174" s="1243">
        <f t="shared" si="208"/>
        <v>0</v>
      </c>
      <c r="H1174" s="1243"/>
      <c r="I1174" s="1243">
        <f t="shared" si="205"/>
        <v>0.02</v>
      </c>
      <c r="J1174" s="1243"/>
      <c r="K1174" s="1243">
        <v>0</v>
      </c>
      <c r="L1174" s="1243">
        <v>0</v>
      </c>
      <c r="M1174" s="1243">
        <f t="shared" si="206"/>
        <v>0</v>
      </c>
      <c r="N1174" s="1243">
        <v>0</v>
      </c>
      <c r="O1174" s="1243">
        <f t="shared" si="207"/>
        <v>0.02</v>
      </c>
    </row>
    <row r="1175" spans="1:15">
      <c r="A1175" s="361">
        <f t="shared" si="203"/>
        <v>18</v>
      </c>
      <c r="B1175" s="365">
        <v>375.7</v>
      </c>
      <c r="C1175" s="358" t="s">
        <v>390</v>
      </c>
      <c r="D1175" s="1243">
        <f t="shared" si="204"/>
        <v>9589777.290000001</v>
      </c>
      <c r="E1175" s="1243">
        <v>-44580.160000000003</v>
      </c>
      <c r="F1175" s="1243">
        <v>0</v>
      </c>
      <c r="G1175" s="1243">
        <f t="shared" si="208"/>
        <v>9545197.1300000008</v>
      </c>
      <c r="H1175" s="1243"/>
      <c r="I1175" s="1243">
        <f t="shared" si="205"/>
        <v>4659997.9999999981</v>
      </c>
      <c r="J1175" s="1243"/>
      <c r="K1175" s="1243">
        <v>18656.600000000002</v>
      </c>
      <c r="L1175" s="1243">
        <v>0</v>
      </c>
      <c r="M1175" s="1243">
        <f t="shared" si="206"/>
        <v>0</v>
      </c>
      <c r="N1175" s="1243">
        <v>0</v>
      </c>
      <c r="O1175" s="1243">
        <f t="shared" si="207"/>
        <v>4678654.5999999978</v>
      </c>
    </row>
    <row r="1176" spans="1:15">
      <c r="A1176" s="361">
        <f t="shared" si="203"/>
        <v>19</v>
      </c>
      <c r="B1176" s="365">
        <v>375.71</v>
      </c>
      <c r="C1176" s="358" t="s">
        <v>391</v>
      </c>
      <c r="D1176" s="1243">
        <f t="shared" si="204"/>
        <v>880994.59</v>
      </c>
      <c r="E1176" s="1243">
        <v>0</v>
      </c>
      <c r="F1176" s="1243">
        <v>0</v>
      </c>
      <c r="G1176" s="1243">
        <f t="shared" si="208"/>
        <v>880994.59</v>
      </c>
      <c r="H1176" s="1243"/>
      <c r="I1176" s="1243">
        <f t="shared" si="205"/>
        <v>749476.06000000029</v>
      </c>
      <c r="J1176" s="1243"/>
      <c r="K1176" s="1243">
        <v>4743.53</v>
      </c>
      <c r="L1176" s="1243">
        <v>0</v>
      </c>
      <c r="M1176" s="1243">
        <f t="shared" si="206"/>
        <v>0</v>
      </c>
      <c r="N1176" s="1243">
        <v>0</v>
      </c>
      <c r="O1176" s="1243">
        <f t="shared" si="207"/>
        <v>754219.59000000032</v>
      </c>
    </row>
    <row r="1177" spans="1:15">
      <c r="A1177" s="361">
        <f t="shared" si="203"/>
        <v>20</v>
      </c>
      <c r="B1177" s="365">
        <v>375.8</v>
      </c>
      <c r="C1177" s="358" t="s">
        <v>392</v>
      </c>
      <c r="D1177" s="1243">
        <f t="shared" si="204"/>
        <v>132125.04</v>
      </c>
      <c r="E1177" s="1243">
        <v>0</v>
      </c>
      <c r="F1177" s="1243">
        <v>0</v>
      </c>
      <c r="G1177" s="1243">
        <f t="shared" si="208"/>
        <v>132125.04</v>
      </c>
      <c r="H1177" s="1243"/>
      <c r="I1177" s="1243">
        <f t="shared" si="205"/>
        <v>9655.43</v>
      </c>
      <c r="J1177" s="1243"/>
      <c r="K1177" s="1243">
        <v>585.75</v>
      </c>
      <c r="L1177" s="1243">
        <v>0</v>
      </c>
      <c r="M1177" s="1243">
        <f t="shared" si="206"/>
        <v>0</v>
      </c>
      <c r="N1177" s="1243">
        <v>0</v>
      </c>
      <c r="O1177" s="1243">
        <f t="shared" si="207"/>
        <v>10241.18</v>
      </c>
    </row>
    <row r="1178" spans="1:15">
      <c r="A1178" s="361">
        <f t="shared" si="203"/>
        <v>21</v>
      </c>
      <c r="B1178" s="365">
        <v>376</v>
      </c>
      <c r="C1178" s="358" t="s">
        <v>1621</v>
      </c>
      <c r="D1178" s="1243">
        <f t="shared" si="204"/>
        <v>408989043.14999998</v>
      </c>
      <c r="E1178" s="1243">
        <f>'WPB-2.1.D SMRP'!E487</f>
        <v>1324398.5500000003</v>
      </c>
      <c r="F1178" s="1243">
        <f>'WPB-2.1.D SMRP'!F487</f>
        <v>-163335.63</v>
      </c>
      <c r="G1178" s="1243">
        <f t="shared" si="208"/>
        <v>410150106.06999999</v>
      </c>
      <c r="H1178" s="1243"/>
      <c r="I1178" s="1243">
        <f t="shared" si="205"/>
        <v>79320948.729000017</v>
      </c>
      <c r="J1178" s="1243"/>
      <c r="K1178" s="1243">
        <f>'WPB-2.1.D SMRP'!K487</f>
        <v>590256.64999999991</v>
      </c>
      <c r="L1178" s="1243">
        <v>0</v>
      </c>
      <c r="M1178" s="1243">
        <f>F1178</f>
        <v>-163335.63</v>
      </c>
      <c r="N1178" s="1243">
        <f>'WPB-2.1.D SMRP'!N487</f>
        <v>-10097.24</v>
      </c>
      <c r="O1178" s="1243">
        <f t="shared" si="207"/>
        <v>79737772.509000033</v>
      </c>
    </row>
    <row r="1179" spans="1:15">
      <c r="A1179" s="361">
        <f t="shared" si="203"/>
        <v>22</v>
      </c>
      <c r="B1179" s="365">
        <v>378.1</v>
      </c>
      <c r="C1179" s="358" t="s">
        <v>394</v>
      </c>
      <c r="D1179" s="1243">
        <f t="shared" si="204"/>
        <v>571573.2300000001</v>
      </c>
      <c r="E1179" s="1243">
        <v>0</v>
      </c>
      <c r="F1179" s="1243">
        <v>0</v>
      </c>
      <c r="G1179" s="1243">
        <f t="shared" si="208"/>
        <v>571573.2300000001</v>
      </c>
      <c r="H1179" s="1243"/>
      <c r="I1179" s="1243">
        <f t="shared" si="205"/>
        <v>410123.07999999996</v>
      </c>
      <c r="J1179" s="1243"/>
      <c r="K1179" s="1243">
        <v>1032.32</v>
      </c>
      <c r="L1179" s="1243">
        <v>0</v>
      </c>
      <c r="M1179" s="1243">
        <f t="shared" si="206"/>
        <v>0</v>
      </c>
      <c r="N1179" s="1243">
        <v>0</v>
      </c>
      <c r="O1179" s="1243">
        <f t="shared" si="207"/>
        <v>411155.39999999997</v>
      </c>
    </row>
    <row r="1180" spans="1:15">
      <c r="A1180" s="361">
        <f t="shared" si="203"/>
        <v>23</v>
      </c>
      <c r="B1180" s="365">
        <v>378.2</v>
      </c>
      <c r="C1180" s="358" t="s">
        <v>1622</v>
      </c>
      <c r="D1180" s="1243">
        <f t="shared" si="204"/>
        <v>25364240.560000002</v>
      </c>
      <c r="E1180" s="1243">
        <f>'WPB-2.1.D SMRP'!E491</f>
        <v>4058.4799999999814</v>
      </c>
      <c r="F1180" s="1243">
        <f>'WPB-2.1.D SMRP'!F491</f>
        <v>-26391.760000000002</v>
      </c>
      <c r="G1180" s="1243">
        <f t="shared" si="208"/>
        <v>25341907.280000001</v>
      </c>
      <c r="H1180" s="1243"/>
      <c r="I1180" s="1243">
        <f t="shared" si="205"/>
        <v>3309725.7620000001</v>
      </c>
      <c r="J1180" s="1243"/>
      <c r="K1180" s="1243">
        <f>'WPB-2.1.D SMRP'!K491</f>
        <v>53398.203000000001</v>
      </c>
      <c r="L1180" s="1243">
        <v>0</v>
      </c>
      <c r="M1180" s="1243">
        <f>F1180</f>
        <v>-26391.760000000002</v>
      </c>
      <c r="N1180" s="1243">
        <f>'WPB-2.1.D SMRP'!N491</f>
        <v>0</v>
      </c>
      <c r="O1180" s="1243">
        <f>I1180+K1180+L1180+M1180+N1180</f>
        <v>3336732.2050000005</v>
      </c>
    </row>
    <row r="1181" spans="1:15">
      <c r="A1181" s="361">
        <f t="shared" si="203"/>
        <v>24</v>
      </c>
      <c r="B1181" s="365">
        <v>378.3</v>
      </c>
      <c r="C1181" s="358" t="s">
        <v>396</v>
      </c>
      <c r="D1181" s="1243">
        <f t="shared" si="204"/>
        <v>45443.08</v>
      </c>
      <c r="E1181" s="1243">
        <v>0</v>
      </c>
      <c r="F1181" s="1243">
        <v>0</v>
      </c>
      <c r="G1181" s="1243">
        <f t="shared" si="208"/>
        <v>45443.08</v>
      </c>
      <c r="H1181" s="1243"/>
      <c r="I1181" s="1243">
        <f t="shared" si="205"/>
        <v>42976.600000000006</v>
      </c>
      <c r="J1181" s="1243"/>
      <c r="K1181" s="1243">
        <v>95.43</v>
      </c>
      <c r="L1181" s="1243">
        <v>0</v>
      </c>
      <c r="M1181" s="1243">
        <f t="shared" si="206"/>
        <v>0</v>
      </c>
      <c r="N1181" s="1243">
        <v>0</v>
      </c>
      <c r="O1181" s="1243">
        <f>I1181+K1181+L1181+M1181+N1181</f>
        <v>43072.030000000006</v>
      </c>
    </row>
    <row r="1182" spans="1:15">
      <c r="A1182" s="361">
        <f t="shared" si="203"/>
        <v>25</v>
      </c>
      <c r="B1182" s="365">
        <v>379.1</v>
      </c>
      <c r="C1182" s="358" t="s">
        <v>397</v>
      </c>
      <c r="D1182" s="1243">
        <f t="shared" si="204"/>
        <v>1554144.06</v>
      </c>
      <c r="E1182" s="1243">
        <v>0</v>
      </c>
      <c r="F1182" s="1243">
        <v>0</v>
      </c>
      <c r="G1182" s="1243">
        <f t="shared" si="208"/>
        <v>1554144.06</v>
      </c>
      <c r="H1182" s="1243"/>
      <c r="I1182" s="1243">
        <f t="shared" si="205"/>
        <v>345116.43000000005</v>
      </c>
      <c r="J1182" s="1243"/>
      <c r="K1182" s="1243">
        <v>3134.19</v>
      </c>
      <c r="L1182" s="1243">
        <v>0</v>
      </c>
      <c r="M1182" s="1243">
        <f t="shared" si="206"/>
        <v>0</v>
      </c>
      <c r="N1182" s="1243">
        <v>0</v>
      </c>
      <c r="O1182" s="1243">
        <f t="shared" si="207"/>
        <v>348250.62000000005</v>
      </c>
    </row>
    <row r="1183" spans="1:15">
      <c r="A1183" s="361">
        <f t="shared" si="203"/>
        <v>26</v>
      </c>
      <c r="B1183" s="365">
        <v>380</v>
      </c>
      <c r="C1183" s="358" t="s">
        <v>1623</v>
      </c>
      <c r="D1183" s="1243">
        <f t="shared" si="204"/>
        <v>200145802.17672706</v>
      </c>
      <c r="E1183" s="1243">
        <f>'WPB-2.1.D SMRP'!E495</f>
        <v>821847.73999999987</v>
      </c>
      <c r="F1183" s="1243">
        <f>'WPB-2.1.D SMRP'!F495</f>
        <v>-54576.463847399806</v>
      </c>
      <c r="G1183" s="1243">
        <f t="shared" si="208"/>
        <v>200913073.45287967</v>
      </c>
      <c r="H1183" s="1243"/>
      <c r="I1183" s="1243">
        <f t="shared" si="205"/>
        <v>58022488.582581088</v>
      </c>
      <c r="J1183" s="1243"/>
      <c r="K1183" s="1243">
        <f>'WPB-2.1.D SMRP'!K495</f>
        <v>677974.76500000001</v>
      </c>
      <c r="L1183" s="1243">
        <v>0</v>
      </c>
      <c r="M1183" s="1243">
        <f>F1183</f>
        <v>-54576.463847399806</v>
      </c>
      <c r="N1183" s="1243">
        <f>'WPB-2.1.D SMRP'!N495</f>
        <v>-35039.838539999997</v>
      </c>
      <c r="O1183" s="1243">
        <f t="shared" si="207"/>
        <v>58610847.045193687</v>
      </c>
    </row>
    <row r="1184" spans="1:15">
      <c r="A1184" s="361">
        <f t="shared" si="203"/>
        <v>27</v>
      </c>
      <c r="B1184" s="365">
        <v>381</v>
      </c>
      <c r="C1184" s="358" t="s">
        <v>399</v>
      </c>
      <c r="D1184" s="1243">
        <f t="shared" si="204"/>
        <v>19337392.540000003</v>
      </c>
      <c r="E1184" s="1243">
        <v>99720.99</v>
      </c>
      <c r="F1184" s="1243">
        <v>-53396.82</v>
      </c>
      <c r="G1184" s="1243">
        <f t="shared" si="208"/>
        <v>19383716.710000001</v>
      </c>
      <c r="H1184" s="1243"/>
      <c r="I1184" s="1243">
        <f t="shared" si="205"/>
        <v>2485633.9899999998</v>
      </c>
      <c r="J1184" s="1243"/>
      <c r="K1184" s="1243">
        <v>42754.55</v>
      </c>
      <c r="L1184" s="1243">
        <v>0</v>
      </c>
      <c r="M1184" s="1243">
        <f t="shared" si="206"/>
        <v>-53396.82</v>
      </c>
      <c r="N1184" s="1243">
        <v>-7045.97</v>
      </c>
      <c r="O1184" s="1243">
        <f t="shared" si="207"/>
        <v>2467945.7499999995</v>
      </c>
    </row>
    <row r="1185" spans="1:15">
      <c r="A1185" s="361">
        <f t="shared" si="203"/>
        <v>28</v>
      </c>
      <c r="B1185" s="365">
        <v>381.1</v>
      </c>
      <c r="C1185" s="358" t="s">
        <v>2366</v>
      </c>
      <c r="D1185" s="1243">
        <f t="shared" si="204"/>
        <v>9980854.4800000004</v>
      </c>
      <c r="E1185" s="1243">
        <v>0</v>
      </c>
      <c r="F1185" s="1243">
        <v>0</v>
      </c>
      <c r="G1185" s="1243">
        <f t="shared" si="208"/>
        <v>9980854.4800000004</v>
      </c>
      <c r="H1185" s="1243"/>
      <c r="I1185" s="1243">
        <f t="shared" si="205"/>
        <v>5236671.0700000022</v>
      </c>
      <c r="J1185" s="1243"/>
      <c r="K1185" s="1243">
        <v>62213.99</v>
      </c>
      <c r="L1185" s="1243">
        <v>0</v>
      </c>
      <c r="M1185" s="1243">
        <f t="shared" si="206"/>
        <v>0</v>
      </c>
      <c r="N1185" s="1243">
        <v>0</v>
      </c>
      <c r="O1185" s="1243">
        <f>I1185+K1185+L1185+M1185+N1185</f>
        <v>5298885.0600000024</v>
      </c>
    </row>
    <row r="1186" spans="1:15">
      <c r="A1186" s="361">
        <f t="shared" si="203"/>
        <v>29</v>
      </c>
      <c r="B1186" s="365">
        <v>382</v>
      </c>
      <c r="C1186" s="358" t="s">
        <v>1624</v>
      </c>
      <c r="D1186" s="1243">
        <f t="shared" si="204"/>
        <v>10393363.639999999</v>
      </c>
      <c r="E1186" s="1243">
        <f>'WPB-2.1.D SMRP'!E499</f>
        <v>75213.72</v>
      </c>
      <c r="F1186" s="1243">
        <f>'WPB-2.1.D SMRP'!F499</f>
        <v>0</v>
      </c>
      <c r="G1186" s="1243">
        <f t="shared" si="208"/>
        <v>10468577.359999999</v>
      </c>
      <c r="H1186" s="1243"/>
      <c r="I1186" s="1243">
        <f t="shared" si="205"/>
        <v>5811664.5110000018</v>
      </c>
      <c r="J1186" s="1243"/>
      <c r="K1186" s="1243">
        <f>'WPB-2.1.D SMRP'!K499</f>
        <v>15386.023000000001</v>
      </c>
      <c r="L1186" s="1243">
        <v>0</v>
      </c>
      <c r="M1186" s="1243">
        <f t="shared" si="206"/>
        <v>0</v>
      </c>
      <c r="N1186" s="1243">
        <f>'WPB-2.1.D SMRP'!N499</f>
        <v>0</v>
      </c>
      <c r="O1186" s="1243">
        <f>I1186+K1186+L1186+M1186+N1186</f>
        <v>5827050.5340000018</v>
      </c>
    </row>
    <row r="1187" spans="1:15">
      <c r="A1187" s="361">
        <f t="shared" si="203"/>
        <v>30</v>
      </c>
      <c r="B1187" s="365">
        <v>383</v>
      </c>
      <c r="C1187" s="358" t="s">
        <v>1625</v>
      </c>
      <c r="D1187" s="1243">
        <f t="shared" si="204"/>
        <v>7279256.3799999999</v>
      </c>
      <c r="E1187" s="1243">
        <f>'WPB-2.1.D SMRP'!E503</f>
        <v>28844.350000000002</v>
      </c>
      <c r="F1187" s="1243">
        <f>'WPB-2.1.D SMRP'!F503</f>
        <v>0</v>
      </c>
      <c r="G1187" s="1243">
        <f t="shared" si="208"/>
        <v>7308100.7299999995</v>
      </c>
      <c r="H1187" s="1243"/>
      <c r="I1187" s="1243">
        <f t="shared" si="205"/>
        <v>2462823.969</v>
      </c>
      <c r="J1187" s="1243"/>
      <c r="K1187" s="1243">
        <f>'WPB-2.1.D SMRP'!K503</f>
        <v>11791.221000000001</v>
      </c>
      <c r="L1187" s="1243">
        <v>0</v>
      </c>
      <c r="M1187" s="1243">
        <f t="shared" si="206"/>
        <v>0</v>
      </c>
      <c r="N1187" s="1243">
        <f>'WPB-2.1.D SMRP'!N503</f>
        <v>0</v>
      </c>
      <c r="O1187" s="1243">
        <f t="shared" si="207"/>
        <v>2474615.19</v>
      </c>
    </row>
    <row r="1188" spans="1:15">
      <c r="A1188" s="361">
        <f t="shared" si="203"/>
        <v>31</v>
      </c>
      <c r="B1188" s="365">
        <v>384</v>
      </c>
      <c r="C1188" s="358" t="s">
        <v>402</v>
      </c>
      <c r="D1188" s="1243">
        <f t="shared" si="204"/>
        <v>2085058.65</v>
      </c>
      <c r="E1188" s="1243">
        <v>0</v>
      </c>
      <c r="F1188" s="1243">
        <v>0</v>
      </c>
      <c r="G1188" s="1243">
        <f t="shared" si="208"/>
        <v>2085058.65</v>
      </c>
      <c r="H1188" s="1243"/>
      <c r="I1188" s="1243">
        <f t="shared" si="205"/>
        <v>1724881.3599999994</v>
      </c>
      <c r="J1188" s="1243"/>
      <c r="K1188" s="1243">
        <v>1720.17</v>
      </c>
      <c r="L1188" s="1243">
        <v>0</v>
      </c>
      <c r="M1188" s="1243">
        <f t="shared" si="206"/>
        <v>0</v>
      </c>
      <c r="N1188" s="1243">
        <v>0</v>
      </c>
      <c r="O1188" s="1243">
        <f t="shared" si="207"/>
        <v>1726601.5299999993</v>
      </c>
    </row>
    <row r="1189" spans="1:15">
      <c r="A1189" s="361">
        <f t="shared" si="203"/>
        <v>32</v>
      </c>
      <c r="B1189" s="365">
        <v>385</v>
      </c>
      <c r="C1189" s="358" t="s">
        <v>403</v>
      </c>
      <c r="D1189" s="1243">
        <f t="shared" si="204"/>
        <v>6053865.2800000012</v>
      </c>
      <c r="E1189" s="1243">
        <v>5105.68</v>
      </c>
      <c r="F1189" s="1243">
        <v>-7127.42</v>
      </c>
      <c r="G1189" s="1243">
        <f t="shared" si="208"/>
        <v>6051843.540000001</v>
      </c>
      <c r="H1189" s="1243"/>
      <c r="I1189" s="1243">
        <f t="shared" si="205"/>
        <v>757446.27</v>
      </c>
      <c r="J1189" s="1243"/>
      <c r="K1189" s="1243">
        <v>18814.29</v>
      </c>
      <c r="L1189" s="1243">
        <v>0</v>
      </c>
      <c r="M1189" s="1243">
        <f t="shared" si="206"/>
        <v>-7127.42</v>
      </c>
      <c r="N1189" s="1243">
        <v>0</v>
      </c>
      <c r="O1189" s="1243">
        <f t="shared" si="207"/>
        <v>769133.14</v>
      </c>
    </row>
    <row r="1190" spans="1:15">
      <c r="A1190" s="361">
        <f t="shared" si="203"/>
        <v>33</v>
      </c>
      <c r="B1190" s="365">
        <v>387.2</v>
      </c>
      <c r="C1190" s="358" t="s">
        <v>404</v>
      </c>
      <c r="D1190" s="1243">
        <f t="shared" si="204"/>
        <v>0</v>
      </c>
      <c r="E1190" s="1243">
        <v>0</v>
      </c>
      <c r="F1190" s="1243">
        <v>0</v>
      </c>
      <c r="G1190" s="1243">
        <f t="shared" si="208"/>
        <v>0</v>
      </c>
      <c r="H1190" s="1243"/>
      <c r="I1190" s="1243">
        <f t="shared" si="205"/>
        <v>-59912.03</v>
      </c>
      <c r="J1190" s="1243"/>
      <c r="K1190" s="1243">
        <v>0</v>
      </c>
      <c r="L1190" s="1243">
        <v>0</v>
      </c>
      <c r="M1190" s="1243">
        <f t="shared" si="206"/>
        <v>0</v>
      </c>
      <c r="N1190" s="1243">
        <v>0</v>
      </c>
      <c r="O1190" s="1243">
        <f t="shared" si="207"/>
        <v>-59912.03</v>
      </c>
    </row>
    <row r="1191" spans="1:15">
      <c r="A1191" s="361">
        <f t="shared" si="203"/>
        <v>34</v>
      </c>
      <c r="B1191" s="365">
        <v>387.41</v>
      </c>
      <c r="C1191" s="358" t="s">
        <v>405</v>
      </c>
      <c r="D1191" s="1243">
        <f t="shared" si="204"/>
        <v>260538.46000000008</v>
      </c>
      <c r="E1191" s="1243">
        <v>0</v>
      </c>
      <c r="F1191" s="1243">
        <v>0</v>
      </c>
      <c r="G1191" s="1243">
        <f t="shared" si="208"/>
        <v>260538.46000000008</v>
      </c>
      <c r="H1191" s="1243"/>
      <c r="I1191" s="1243">
        <f t="shared" si="205"/>
        <v>59119.410000000062</v>
      </c>
      <c r="J1191" s="1243"/>
      <c r="K1191" s="1243">
        <v>670.89</v>
      </c>
      <c r="L1191" s="1243">
        <v>0</v>
      </c>
      <c r="M1191" s="1243">
        <f t="shared" si="206"/>
        <v>0</v>
      </c>
      <c r="N1191" s="1243">
        <v>0</v>
      </c>
      <c r="O1191" s="1243">
        <f t="shared" si="207"/>
        <v>59790.300000000061</v>
      </c>
    </row>
    <row r="1192" spans="1:15">
      <c r="A1192" s="361">
        <f t="shared" si="203"/>
        <v>35</v>
      </c>
      <c r="B1192" s="365">
        <v>387.42</v>
      </c>
      <c r="C1192" s="358" t="s">
        <v>406</v>
      </c>
      <c r="D1192" s="1243">
        <f t="shared" si="204"/>
        <v>419367.40000000008</v>
      </c>
      <c r="E1192" s="1243">
        <v>0</v>
      </c>
      <c r="F1192" s="1243">
        <v>0</v>
      </c>
      <c r="G1192" s="1243">
        <f t="shared" si="208"/>
        <v>419367.40000000008</v>
      </c>
      <c r="H1192" s="1243"/>
      <c r="I1192" s="1243">
        <f t="shared" si="205"/>
        <v>341134.64999999985</v>
      </c>
      <c r="J1192" s="1243"/>
      <c r="K1192" s="1243">
        <v>1132.29</v>
      </c>
      <c r="L1192" s="1243">
        <v>0</v>
      </c>
      <c r="M1192" s="1243">
        <f t="shared" si="206"/>
        <v>0</v>
      </c>
      <c r="N1192" s="1243">
        <v>0</v>
      </c>
      <c r="O1192" s="1243">
        <f t="shared" si="207"/>
        <v>342266.93999999983</v>
      </c>
    </row>
    <row r="1193" spans="1:15">
      <c r="A1193" s="361">
        <f t="shared" si="203"/>
        <v>36</v>
      </c>
      <c r="B1193" s="365">
        <v>387.44</v>
      </c>
      <c r="C1193" s="358" t="s">
        <v>407</v>
      </c>
      <c r="D1193" s="1243">
        <f t="shared" si="204"/>
        <v>124678.76000000001</v>
      </c>
      <c r="E1193" s="1243">
        <v>0</v>
      </c>
      <c r="F1193" s="1243">
        <v>0</v>
      </c>
      <c r="G1193" s="1243">
        <f t="shared" si="208"/>
        <v>124678.76000000001</v>
      </c>
      <c r="H1193" s="1243"/>
      <c r="I1193" s="1243">
        <f t="shared" si="205"/>
        <v>66732.87</v>
      </c>
      <c r="J1193" s="1243"/>
      <c r="K1193" s="1243">
        <v>336.63</v>
      </c>
      <c r="L1193" s="1243">
        <v>0</v>
      </c>
      <c r="M1193" s="1243">
        <f t="shared" si="206"/>
        <v>0</v>
      </c>
      <c r="N1193" s="1243">
        <v>0</v>
      </c>
      <c r="O1193" s="1243">
        <f t="shared" si="207"/>
        <v>67069.5</v>
      </c>
    </row>
    <row r="1194" spans="1:15">
      <c r="A1194" s="361">
        <f t="shared" si="203"/>
        <v>37</v>
      </c>
      <c r="B1194" s="365">
        <v>387.45</v>
      </c>
      <c r="C1194" s="358" t="s">
        <v>408</v>
      </c>
      <c r="D1194" s="1243">
        <f t="shared" si="204"/>
        <v>5803206.8799999999</v>
      </c>
      <c r="E1194" s="1243">
        <v>6187.9400000000023</v>
      </c>
      <c r="F1194" s="1243">
        <v>-20718.34</v>
      </c>
      <c r="G1194" s="1243">
        <f t="shared" si="208"/>
        <v>5788676.4800000004</v>
      </c>
      <c r="H1194" s="1243"/>
      <c r="I1194" s="1243">
        <f t="shared" si="205"/>
        <v>-617954.81999999995</v>
      </c>
      <c r="J1194" s="1243"/>
      <c r="K1194" s="1243">
        <v>15649.04</v>
      </c>
      <c r="L1194" s="1243">
        <v>0</v>
      </c>
      <c r="M1194" s="1243">
        <f t="shared" si="206"/>
        <v>-20718.34</v>
      </c>
      <c r="N1194" s="1243">
        <v>0</v>
      </c>
      <c r="O1194" s="1243">
        <f t="shared" si="207"/>
        <v>-623024.11999999988</v>
      </c>
    </row>
    <row r="1195" spans="1:15">
      <c r="A1195" s="361">
        <f t="shared" si="203"/>
        <v>38</v>
      </c>
      <c r="B1195" s="365">
        <v>387.46</v>
      </c>
      <c r="C1195" s="358" t="s">
        <v>409</v>
      </c>
      <c r="D1195" s="1243">
        <f t="shared" si="204"/>
        <v>113644.47</v>
      </c>
      <c r="E1195" s="1243">
        <v>0</v>
      </c>
      <c r="F1195" s="1243">
        <v>0</v>
      </c>
      <c r="G1195" s="1243">
        <f t="shared" si="208"/>
        <v>113644.47</v>
      </c>
      <c r="H1195" s="1243"/>
      <c r="I1195" s="1243">
        <f t="shared" si="205"/>
        <v>114497.07</v>
      </c>
      <c r="J1195" s="1243"/>
      <c r="K1195" s="1243">
        <v>0</v>
      </c>
      <c r="L1195" s="1243">
        <v>0</v>
      </c>
      <c r="M1195" s="1243">
        <f t="shared" si="206"/>
        <v>0</v>
      </c>
      <c r="N1195" s="1243">
        <v>0</v>
      </c>
      <c r="O1195" s="1243">
        <f t="shared" si="207"/>
        <v>114497.07</v>
      </c>
    </row>
    <row r="1196" spans="1:15">
      <c r="A1196" s="361">
        <f t="shared" si="203"/>
        <v>39</v>
      </c>
      <c r="B1196" s="365">
        <v>387.5</v>
      </c>
      <c r="C1196" s="358" t="s">
        <v>1075</v>
      </c>
      <c r="D1196" s="1244">
        <f t="shared" si="204"/>
        <v>235051.94</v>
      </c>
      <c r="E1196" s="1244">
        <v>3020.75</v>
      </c>
      <c r="F1196" s="1244">
        <v>0</v>
      </c>
      <c r="G1196" s="1244">
        <f t="shared" si="208"/>
        <v>238072.69</v>
      </c>
      <c r="H1196" s="1243"/>
      <c r="I1196" s="1244">
        <f t="shared" si="205"/>
        <v>41460.200000000019</v>
      </c>
      <c r="J1196" s="1243"/>
      <c r="K1196" s="1244">
        <v>609.15</v>
      </c>
      <c r="L1196" s="1244">
        <v>0</v>
      </c>
      <c r="M1196" s="1244">
        <f t="shared" si="206"/>
        <v>0</v>
      </c>
      <c r="N1196" s="1244">
        <v>0</v>
      </c>
      <c r="O1196" s="1244">
        <f t="shared" si="207"/>
        <v>42069.35000000002</v>
      </c>
    </row>
    <row r="1197" spans="1:15">
      <c r="A1197" s="361">
        <f t="shared" si="203"/>
        <v>40</v>
      </c>
      <c r="C1197" s="365" t="s">
        <v>1601</v>
      </c>
      <c r="D1197" s="1243">
        <f>SUM(D1167:D1196)</f>
        <v>718790831.87672698</v>
      </c>
      <c r="E1197" s="1243">
        <f>SUM(E1167:E1196)</f>
        <v>2343674.1800000006</v>
      </c>
      <c r="F1197" s="1243">
        <f>SUM(F1167:F1196)</f>
        <v>-332084.01384739979</v>
      </c>
      <c r="G1197" s="1243">
        <f>SUM(G1167:G1196)</f>
        <v>720802422.04287982</v>
      </c>
      <c r="H1197" s="1243"/>
      <c r="I1197" s="1243">
        <f>SUM(I1167:I1196)</f>
        <v>167406873.66358113</v>
      </c>
      <c r="J1197" s="1243"/>
      <c r="K1197" s="1243">
        <f>SUM(K1167:K1196)</f>
        <v>1531884.2719999996</v>
      </c>
      <c r="L1197" s="1243">
        <f>SUM(L1167:L1196)</f>
        <v>0</v>
      </c>
      <c r="M1197" s="1243">
        <f>SUM(M1167:M1196)</f>
        <v>-332084.01384739979</v>
      </c>
      <c r="N1197" s="1243">
        <f>SUM(N1167:N1196)</f>
        <v>-52183.048539999996</v>
      </c>
      <c r="O1197" s="1243">
        <f>SUM(O1167:O1196)</f>
        <v>168554490.87319371</v>
      </c>
    </row>
    <row r="1198" spans="1:15">
      <c r="B1198" s="367"/>
      <c r="C1198" s="368"/>
      <c r="D1198" s="369"/>
      <c r="E1198" s="369"/>
      <c r="F1198" s="369"/>
      <c r="G1198" s="369"/>
      <c r="I1198" s="369"/>
      <c r="J1198" s="369"/>
      <c r="K1198" s="369"/>
      <c r="L1198" s="369"/>
      <c r="M1198" s="369"/>
      <c r="N1198" s="369"/>
      <c r="O1198" s="369"/>
    </row>
    <row r="1199" spans="1:15">
      <c r="I1199" s="369"/>
      <c r="J1199" s="369"/>
      <c r="K1199" s="369"/>
      <c r="L1199" s="369"/>
      <c r="M1199" s="369"/>
      <c r="N1199" s="369"/>
      <c r="O1199" s="369"/>
    </row>
    <row r="1200" spans="1:15" s="291" customFormat="1">
      <c r="A1200" s="1308" t="str">
        <f>$A$1</f>
        <v>COLUMBIA GAS OF KENTUCKY, INC.</v>
      </c>
      <c r="B1200" s="1308"/>
      <c r="C1200" s="1308"/>
      <c r="D1200" s="1308"/>
      <c r="E1200" s="1308"/>
      <c r="F1200" s="1308"/>
      <c r="G1200" s="1308"/>
      <c r="H1200" s="1308"/>
      <c r="I1200" s="1308"/>
      <c r="J1200" s="1308"/>
      <c r="K1200" s="1308"/>
      <c r="L1200" s="1308"/>
      <c r="M1200" s="1308"/>
      <c r="N1200" s="1308"/>
      <c r="O1200" s="1308"/>
    </row>
    <row r="1201" spans="1:16" s="291" customFormat="1">
      <c r="A1201" s="1308" t="str">
        <f>$A$2</f>
        <v>CASE NO. 2024 - 00092</v>
      </c>
      <c r="B1201" s="1308"/>
      <c r="C1201" s="1308"/>
      <c r="D1201" s="1308"/>
      <c r="E1201" s="1308"/>
      <c r="F1201" s="1308"/>
      <c r="G1201" s="1308"/>
      <c r="H1201" s="1308"/>
      <c r="I1201" s="1308"/>
      <c r="J1201" s="1308"/>
      <c r="K1201" s="1308"/>
      <c r="L1201" s="1308"/>
      <c r="M1201" s="1308"/>
      <c r="N1201" s="1308"/>
      <c r="O1201" s="1308"/>
    </row>
    <row r="1202" spans="1:16" s="291" customFormat="1">
      <c r="A1202" s="1308" t="str">
        <f>$A$3</f>
        <v>DETAIL OF ACTUAL &amp; FORECASTED PLANT, ACCUMULATED RESERVE &amp; DEPRECIATION EXPENSE</v>
      </c>
      <c r="B1202" s="1308"/>
      <c r="C1202" s="1308"/>
      <c r="D1202" s="1308"/>
      <c r="E1202" s="1308"/>
      <c r="F1202" s="1308"/>
      <c r="G1202" s="1308"/>
      <c r="H1202" s="1308"/>
      <c r="I1202" s="1308"/>
      <c r="J1202" s="1308"/>
      <c r="K1202" s="1308"/>
      <c r="L1202" s="1308"/>
      <c r="M1202" s="1308"/>
      <c r="N1202" s="1308"/>
      <c r="O1202" s="1308"/>
      <c r="P1202" s="357"/>
    </row>
    <row r="1203" spans="1:16" s="291" customFormat="1">
      <c r="A1203" s="1308" t="str">
        <f>$A$4</f>
        <v>FROM JANUARY 01, 2023 THROUGH DECEMBER 31, 2025</v>
      </c>
      <c r="B1203" s="1308"/>
      <c r="C1203" s="1308"/>
      <c r="D1203" s="1308"/>
      <c r="E1203" s="1308"/>
      <c r="F1203" s="1308"/>
      <c r="G1203" s="1308"/>
      <c r="H1203" s="1308"/>
      <c r="I1203" s="1308"/>
      <c r="J1203" s="1308"/>
      <c r="K1203" s="1308"/>
      <c r="L1203" s="1308"/>
      <c r="M1203" s="1308"/>
      <c r="N1203" s="1308"/>
      <c r="O1203" s="1308"/>
    </row>
    <row r="1204" spans="1:16" s="291" customFormat="1">
      <c r="B1204" s="293"/>
      <c r="P1204" s="312"/>
    </row>
    <row r="1205" spans="1:16" s="291" customFormat="1">
      <c r="A1205" s="297" t="str">
        <f>$A$6</f>
        <v xml:space="preserve">DATA: _X_ BASE PERIOD _X_ FORECASTED PERIOD     </v>
      </c>
      <c r="B1205" s="293"/>
      <c r="O1205" s="312" t="str">
        <f>$O$6</f>
        <v>WPB-2.1.C</v>
      </c>
      <c r="P1205" s="312"/>
    </row>
    <row r="1206" spans="1:16" s="291" customFormat="1">
      <c r="A1206" s="297" t="str">
        <f>$A$7</f>
        <v>TYPE OF FILING:___X___ORIGINAL______UPDATED</v>
      </c>
      <c r="B1206" s="293"/>
      <c r="O1206" s="312" t="s">
        <v>2201</v>
      </c>
      <c r="P1206" s="312"/>
    </row>
    <row r="1207" spans="1:16" s="291" customFormat="1">
      <c r="A1207" s="297" t="str">
        <f>$A$8</f>
        <v>WORKPAPER REFERENCE NO(S).:</v>
      </c>
      <c r="B1207" s="293"/>
      <c r="O1207" s="312" t="str">
        <f>$O$8</f>
        <v>WITNESS: GORE</v>
      </c>
    </row>
    <row r="1208" spans="1:16">
      <c r="A1208" s="918"/>
      <c r="B1208" s="919"/>
      <c r="C1208" s="918"/>
      <c r="D1208" s="918"/>
      <c r="E1208" s="918"/>
      <c r="F1208" s="918"/>
      <c r="G1208" s="918"/>
      <c r="H1208" s="918"/>
      <c r="I1208" s="918"/>
      <c r="J1208" s="918"/>
      <c r="K1208" s="918"/>
      <c r="L1208" s="918"/>
      <c r="M1208" s="918"/>
      <c r="N1208" s="918"/>
      <c r="O1208" s="920"/>
    </row>
    <row r="1209" spans="1:16">
      <c r="D1209" s="1311" t="s">
        <v>1768</v>
      </c>
      <c r="E1209" s="1311"/>
      <c r="F1209" s="1311"/>
      <c r="G1209" s="1311"/>
      <c r="I1209" s="1311" t="s">
        <v>1769</v>
      </c>
      <c r="J1209" s="1311"/>
      <c r="K1209" s="1311"/>
      <c r="L1209" s="1311"/>
      <c r="M1209" s="1311"/>
      <c r="N1209" s="1311"/>
      <c r="O1209" s="1311"/>
    </row>
    <row r="1210" spans="1:16">
      <c r="D1210" s="360">
        <f>D1151</f>
        <v>45231</v>
      </c>
      <c r="G1210" s="360">
        <f>G1151</f>
        <v>45260</v>
      </c>
      <c r="I1210" s="360">
        <f>D1210</f>
        <v>45231</v>
      </c>
      <c r="O1210" s="360">
        <f>G1210</f>
        <v>45260</v>
      </c>
    </row>
    <row r="1211" spans="1:16">
      <c r="D1211" s="361" t="s">
        <v>1757</v>
      </c>
      <c r="G1211" s="361" t="s">
        <v>1757</v>
      </c>
      <c r="I1211" s="361" t="s">
        <v>1758</v>
      </c>
      <c r="J1211" s="361" t="s">
        <v>488</v>
      </c>
      <c r="L1211" s="361" t="s">
        <v>1758</v>
      </c>
      <c r="O1211" s="361" t="s">
        <v>1758</v>
      </c>
    </row>
    <row r="1212" spans="1:16">
      <c r="A1212" s="361" t="s">
        <v>1770</v>
      </c>
      <c r="B1212" s="361" t="s">
        <v>368</v>
      </c>
      <c r="C1212" s="361"/>
      <c r="D1212" s="361" t="s">
        <v>437</v>
      </c>
      <c r="G1212" s="361" t="s">
        <v>439</v>
      </c>
      <c r="I1212" s="361" t="s">
        <v>437</v>
      </c>
      <c r="J1212" s="361" t="s">
        <v>1771</v>
      </c>
      <c r="K1212" s="361" t="s">
        <v>1772</v>
      </c>
      <c r="L1212" s="361" t="s">
        <v>1759</v>
      </c>
      <c r="N1212" s="361" t="s">
        <v>1760</v>
      </c>
      <c r="O1212" s="361" t="s">
        <v>439</v>
      </c>
    </row>
    <row r="1213" spans="1:16">
      <c r="A1213" s="364" t="s">
        <v>316</v>
      </c>
      <c r="B1213" s="364" t="s">
        <v>316</v>
      </c>
      <c r="C1213" s="364" t="s">
        <v>451</v>
      </c>
      <c r="D1213" s="364" t="s">
        <v>441</v>
      </c>
      <c r="E1213" s="364" t="s">
        <v>442</v>
      </c>
      <c r="F1213" s="364" t="s">
        <v>443</v>
      </c>
      <c r="G1213" s="364" t="s">
        <v>441</v>
      </c>
      <c r="I1213" s="364" t="s">
        <v>441</v>
      </c>
      <c r="J1213" s="364" t="s">
        <v>1773</v>
      </c>
      <c r="K1213" s="364" t="s">
        <v>1771</v>
      </c>
      <c r="L1213" s="364" t="s">
        <v>355</v>
      </c>
      <c r="M1213" s="364" t="s">
        <v>443</v>
      </c>
      <c r="N1213" s="364" t="s">
        <v>1763</v>
      </c>
      <c r="O1213" s="364" t="s">
        <v>441</v>
      </c>
    </row>
    <row r="1214" spans="1:16">
      <c r="D1214" s="361" t="s">
        <v>532</v>
      </c>
      <c r="E1214" s="361" t="s">
        <v>541</v>
      </c>
      <c r="F1214" s="361" t="s">
        <v>542</v>
      </c>
      <c r="G1214" s="361" t="s">
        <v>1764</v>
      </c>
      <c r="I1214" s="334" t="str">
        <f>"(5)"</f>
        <v>(5)</v>
      </c>
      <c r="J1214" s="334" t="str">
        <f>"(6)"</f>
        <v>(6)</v>
      </c>
      <c r="K1214" s="334" t="str">
        <f>"(7)"</f>
        <v>(7)</v>
      </c>
      <c r="L1214" s="334" t="str">
        <f>"(8)"</f>
        <v>(8)</v>
      </c>
      <c r="M1214" s="334" t="str">
        <f>"(9)"</f>
        <v>(9)</v>
      </c>
      <c r="N1214" s="334" t="str">
        <f>"(10)"</f>
        <v>(10)</v>
      </c>
      <c r="O1214" s="334" t="str">
        <f>"(11=5+7+8+9+10)"</f>
        <v>(11=5+7+8+9+10)</v>
      </c>
    </row>
    <row r="1215" spans="1:16">
      <c r="D1215" s="361" t="s">
        <v>320</v>
      </c>
      <c r="E1215" s="361" t="s">
        <v>320</v>
      </c>
      <c r="F1215" s="361" t="s">
        <v>320</v>
      </c>
      <c r="G1215" s="361" t="s">
        <v>320</v>
      </c>
      <c r="I1215" s="334" t="s">
        <v>320</v>
      </c>
      <c r="J1215" s="334" t="s">
        <v>529</v>
      </c>
      <c r="K1215" s="334" t="s">
        <v>320</v>
      </c>
      <c r="L1215" s="334" t="s">
        <v>320</v>
      </c>
      <c r="M1215" s="334" t="s">
        <v>320</v>
      </c>
      <c r="N1215" s="334" t="s">
        <v>320</v>
      </c>
      <c r="O1215" s="334" t="s">
        <v>320</v>
      </c>
    </row>
    <row r="1216" spans="1:16">
      <c r="A1216" s="361">
        <v>1</v>
      </c>
      <c r="B1216" s="363" t="s">
        <v>411</v>
      </c>
      <c r="D1216" s="361"/>
      <c r="E1216" s="361"/>
      <c r="F1216" s="361"/>
      <c r="G1216" s="361"/>
      <c r="I1216" s="334"/>
      <c r="J1216" s="334"/>
      <c r="K1216" s="334"/>
      <c r="L1216" s="334"/>
      <c r="M1216" s="334"/>
      <c r="N1216" s="334"/>
      <c r="O1216" s="334"/>
    </row>
    <row r="1217" spans="1:15">
      <c r="A1217" s="361">
        <f>A1216+1</f>
        <v>2</v>
      </c>
      <c r="B1217" s="365">
        <v>391.1</v>
      </c>
      <c r="C1217" s="358" t="s">
        <v>412</v>
      </c>
      <c r="D1217" s="1243">
        <f t="shared" ref="D1217:D1230" si="209">G1103</f>
        <v>820366.66</v>
      </c>
      <c r="E1217" s="1243">
        <v>0</v>
      </c>
      <c r="F1217" s="1243">
        <v>0</v>
      </c>
      <c r="G1217" s="1243">
        <f>SUM(D1217:F1217)</f>
        <v>820366.66</v>
      </c>
      <c r="H1217" s="1243"/>
      <c r="I1217" s="1245">
        <f t="shared" ref="I1217:I1230" si="210">O1103</f>
        <v>109629.21000000002</v>
      </c>
      <c r="J1217" s="1243"/>
      <c r="K1217" s="1243">
        <v>3418.19</v>
      </c>
      <c r="L1217" s="1243">
        <v>0</v>
      </c>
      <c r="M1217" s="1243">
        <f t="shared" ref="M1217:M1230" si="211">F1217</f>
        <v>0</v>
      </c>
      <c r="N1217" s="1243">
        <v>0</v>
      </c>
      <c r="O1217" s="1243">
        <f t="shared" ref="O1217:O1230" si="212">I1217+K1217+L1217+M1217+N1217</f>
        <v>113047.40000000002</v>
      </c>
    </row>
    <row r="1218" spans="1:15">
      <c r="A1218" s="361">
        <f t="shared" ref="A1218:A1231" si="213">A1217+1</f>
        <v>3</v>
      </c>
      <c r="B1218" s="365">
        <v>391.11</v>
      </c>
      <c r="C1218" s="358" t="s">
        <v>413</v>
      </c>
      <c r="D1218" s="1243">
        <f t="shared" si="209"/>
        <v>0</v>
      </c>
      <c r="E1218" s="1243">
        <v>0</v>
      </c>
      <c r="F1218" s="1243">
        <v>0</v>
      </c>
      <c r="G1218" s="1243">
        <f t="shared" ref="G1218:G1225" si="214">SUM(D1218:F1218)</f>
        <v>0</v>
      </c>
      <c r="H1218" s="1243"/>
      <c r="I1218" s="1245">
        <f t="shared" si="210"/>
        <v>-18933.789999999997</v>
      </c>
      <c r="J1218" s="1243"/>
      <c r="K1218" s="1243">
        <v>0</v>
      </c>
      <c r="L1218" s="1243">
        <v>0</v>
      </c>
      <c r="M1218" s="1243">
        <f t="shared" si="211"/>
        <v>0</v>
      </c>
      <c r="N1218" s="1243">
        <v>0</v>
      </c>
      <c r="O1218" s="1243">
        <f t="shared" si="212"/>
        <v>-18933.789999999997</v>
      </c>
    </row>
    <row r="1219" spans="1:15">
      <c r="A1219" s="361">
        <f t="shared" si="213"/>
        <v>4</v>
      </c>
      <c r="B1219" s="365">
        <v>391.12</v>
      </c>
      <c r="C1219" s="358" t="s">
        <v>414</v>
      </c>
      <c r="D1219" s="1243">
        <f t="shared" si="209"/>
        <v>37129.580000000009</v>
      </c>
      <c r="E1219" s="1243">
        <v>0</v>
      </c>
      <c r="F1219" s="1243">
        <v>0</v>
      </c>
      <c r="G1219" s="1243">
        <f t="shared" si="214"/>
        <v>37129.580000000009</v>
      </c>
      <c r="H1219" s="1243"/>
      <c r="I1219" s="1245">
        <f t="shared" si="210"/>
        <v>-6521.35</v>
      </c>
      <c r="J1219" s="1243"/>
      <c r="K1219" s="1243">
        <v>618.83000000000004</v>
      </c>
      <c r="L1219" s="1243">
        <v>0</v>
      </c>
      <c r="M1219" s="1243">
        <f t="shared" si="211"/>
        <v>0</v>
      </c>
      <c r="N1219" s="1243">
        <v>0</v>
      </c>
      <c r="O1219" s="1243">
        <f t="shared" si="212"/>
        <v>-5902.52</v>
      </c>
    </row>
    <row r="1220" spans="1:15">
      <c r="A1220" s="361">
        <f t="shared" si="213"/>
        <v>5</v>
      </c>
      <c r="B1220" s="365">
        <v>392.2</v>
      </c>
      <c r="C1220" s="358" t="s">
        <v>524</v>
      </c>
      <c r="D1220" s="1243">
        <f t="shared" si="209"/>
        <v>95778</v>
      </c>
      <c r="E1220" s="1243">
        <v>0</v>
      </c>
      <c r="F1220" s="1243">
        <v>0</v>
      </c>
      <c r="G1220" s="1243">
        <f t="shared" si="214"/>
        <v>95778</v>
      </c>
      <c r="H1220" s="1243"/>
      <c r="I1220" s="1245">
        <f t="shared" si="210"/>
        <v>63836.329999999965</v>
      </c>
      <c r="J1220" s="1243"/>
      <c r="K1220" s="1243">
        <v>71.84</v>
      </c>
      <c r="L1220" s="1243">
        <v>0</v>
      </c>
      <c r="M1220" s="1243">
        <f t="shared" si="211"/>
        <v>0</v>
      </c>
      <c r="N1220" s="1243">
        <v>0</v>
      </c>
      <c r="O1220" s="1243">
        <f t="shared" si="212"/>
        <v>63908.169999999962</v>
      </c>
    </row>
    <row r="1221" spans="1:15">
      <c r="A1221" s="361">
        <f t="shared" si="213"/>
        <v>6</v>
      </c>
      <c r="B1221" s="365">
        <v>392.21</v>
      </c>
      <c r="C1221" s="358" t="s">
        <v>415</v>
      </c>
      <c r="D1221" s="1243">
        <f t="shared" si="209"/>
        <v>24462.2</v>
      </c>
      <c r="E1221" s="1243">
        <v>0</v>
      </c>
      <c r="F1221" s="1243">
        <v>0</v>
      </c>
      <c r="G1221" s="1243">
        <f t="shared" si="214"/>
        <v>24462.2</v>
      </c>
      <c r="H1221" s="1243"/>
      <c r="I1221" s="1245">
        <f t="shared" si="210"/>
        <v>44754.01</v>
      </c>
      <c r="J1221" s="1243"/>
      <c r="K1221" s="1243">
        <v>0</v>
      </c>
      <c r="L1221" s="1243">
        <v>0</v>
      </c>
      <c r="M1221" s="1243">
        <f t="shared" si="211"/>
        <v>0</v>
      </c>
      <c r="N1221" s="1243">
        <v>0</v>
      </c>
      <c r="O1221" s="1243">
        <f t="shared" si="212"/>
        <v>44754.01</v>
      </c>
    </row>
    <row r="1222" spans="1:15">
      <c r="A1222" s="361">
        <f t="shared" si="213"/>
        <v>7</v>
      </c>
      <c r="B1222" s="365">
        <v>393</v>
      </c>
      <c r="C1222" s="358" t="s">
        <v>416</v>
      </c>
      <c r="D1222" s="1243">
        <f t="shared" si="209"/>
        <v>0</v>
      </c>
      <c r="E1222" s="1243">
        <v>0</v>
      </c>
      <c r="F1222" s="1243">
        <v>0</v>
      </c>
      <c r="G1222" s="1243">
        <f t="shared" si="214"/>
        <v>0</v>
      </c>
      <c r="H1222" s="1243"/>
      <c r="I1222" s="1245">
        <f t="shared" si="210"/>
        <v>0</v>
      </c>
      <c r="J1222" s="1243"/>
      <c r="K1222" s="1243">
        <v>0</v>
      </c>
      <c r="L1222" s="1243">
        <v>0</v>
      </c>
      <c r="M1222" s="1243">
        <f t="shared" si="211"/>
        <v>0</v>
      </c>
      <c r="N1222" s="1243">
        <v>0</v>
      </c>
      <c r="O1222" s="1243">
        <f t="shared" si="212"/>
        <v>0</v>
      </c>
    </row>
    <row r="1223" spans="1:15">
      <c r="A1223" s="361">
        <f t="shared" si="213"/>
        <v>8</v>
      </c>
      <c r="B1223" s="365">
        <v>394.1</v>
      </c>
      <c r="C1223" s="358" t="s">
        <v>417</v>
      </c>
      <c r="D1223" s="1243">
        <f t="shared" si="209"/>
        <v>9739</v>
      </c>
      <c r="E1223" s="1243">
        <v>0</v>
      </c>
      <c r="F1223" s="1243">
        <v>0</v>
      </c>
      <c r="G1223" s="1243">
        <f t="shared" si="214"/>
        <v>9739</v>
      </c>
      <c r="H1223" s="1243"/>
      <c r="I1223" s="1245">
        <f t="shared" si="210"/>
        <v>4010.2300000000005</v>
      </c>
      <c r="J1223" s="1243"/>
      <c r="K1223" s="1243">
        <v>32.46</v>
      </c>
      <c r="L1223" s="1243">
        <v>0</v>
      </c>
      <c r="M1223" s="1243">
        <f t="shared" si="211"/>
        <v>0</v>
      </c>
      <c r="N1223" s="1243">
        <v>0</v>
      </c>
      <c r="O1223" s="1243">
        <f t="shared" si="212"/>
        <v>4042.6900000000005</v>
      </c>
    </row>
    <row r="1224" spans="1:15">
      <c r="A1224" s="361">
        <f t="shared" si="213"/>
        <v>9</v>
      </c>
      <c r="B1224" s="365">
        <v>394.11</v>
      </c>
      <c r="C1224" s="358" t="s">
        <v>418</v>
      </c>
      <c r="D1224" s="1243">
        <f t="shared" si="209"/>
        <v>0</v>
      </c>
      <c r="E1224" s="1243">
        <v>0</v>
      </c>
      <c r="F1224" s="1243">
        <v>0</v>
      </c>
      <c r="G1224" s="1243">
        <f t="shared" si="214"/>
        <v>0</v>
      </c>
      <c r="H1224" s="1243"/>
      <c r="I1224" s="1245">
        <f t="shared" si="210"/>
        <v>-26071.5</v>
      </c>
      <c r="J1224" s="1243"/>
      <c r="K1224" s="1243">
        <v>0</v>
      </c>
      <c r="L1224" s="1243">
        <v>0</v>
      </c>
      <c r="M1224" s="1243">
        <f t="shared" si="211"/>
        <v>0</v>
      </c>
      <c r="N1224" s="1243">
        <v>0</v>
      </c>
      <c r="O1224" s="1243">
        <f t="shared" si="212"/>
        <v>-26071.5</v>
      </c>
    </row>
    <row r="1225" spans="1:15">
      <c r="A1225" s="361">
        <f t="shared" si="213"/>
        <v>10</v>
      </c>
      <c r="B1225" s="365">
        <v>394.13</v>
      </c>
      <c r="C1225" s="358" t="s">
        <v>515</v>
      </c>
      <c r="D1225" s="1243">
        <f t="shared" si="209"/>
        <v>0</v>
      </c>
      <c r="E1225" s="1243">
        <v>0</v>
      </c>
      <c r="F1225" s="1243">
        <v>0</v>
      </c>
      <c r="G1225" s="1243">
        <f t="shared" si="214"/>
        <v>0</v>
      </c>
      <c r="H1225" s="1243"/>
      <c r="I1225" s="1245">
        <f t="shared" si="210"/>
        <v>37937.360000000001</v>
      </c>
      <c r="J1225" s="1243"/>
      <c r="K1225" s="1243">
        <v>0</v>
      </c>
      <c r="L1225" s="1243">
        <v>0</v>
      </c>
      <c r="M1225" s="1243">
        <f t="shared" si="211"/>
        <v>0</v>
      </c>
      <c r="N1225" s="1243">
        <v>0</v>
      </c>
      <c r="O1225" s="1243">
        <f t="shared" si="212"/>
        <v>37937.360000000001</v>
      </c>
    </row>
    <row r="1226" spans="1:15">
      <c r="A1226" s="361">
        <f t="shared" si="213"/>
        <v>11</v>
      </c>
      <c r="B1226" s="365">
        <v>394.2</v>
      </c>
      <c r="C1226" s="358" t="s">
        <v>420</v>
      </c>
      <c r="D1226" s="1243">
        <f t="shared" si="209"/>
        <v>0</v>
      </c>
      <c r="E1226" s="1243">
        <v>0</v>
      </c>
      <c r="F1226" s="1243">
        <v>0</v>
      </c>
      <c r="G1226" s="1243">
        <f>SUM(D1226:F1226)</f>
        <v>0</v>
      </c>
      <c r="H1226" s="1243"/>
      <c r="I1226" s="1245">
        <f t="shared" si="210"/>
        <v>185.21</v>
      </c>
      <c r="J1226" s="1243"/>
      <c r="K1226" s="1243">
        <v>0</v>
      </c>
      <c r="L1226" s="1243">
        <v>0</v>
      </c>
      <c r="M1226" s="1243">
        <f t="shared" si="211"/>
        <v>0</v>
      </c>
      <c r="N1226" s="1243">
        <v>0</v>
      </c>
      <c r="O1226" s="1243">
        <f t="shared" si="212"/>
        <v>185.21</v>
      </c>
    </row>
    <row r="1227" spans="1:15">
      <c r="A1227" s="361">
        <f t="shared" si="213"/>
        <v>12</v>
      </c>
      <c r="B1227" s="365">
        <v>394.3</v>
      </c>
      <c r="C1227" s="358" t="s">
        <v>1602</v>
      </c>
      <c r="D1227" s="1243">
        <f t="shared" si="209"/>
        <v>4929116.5600000005</v>
      </c>
      <c r="E1227" s="1243">
        <v>86519.71</v>
      </c>
      <c r="F1227" s="1243">
        <v>-4119.87</v>
      </c>
      <c r="G1227" s="1243">
        <f>SUM(D1227:F1227)</f>
        <v>5011516.4000000004</v>
      </c>
      <c r="H1227" s="1243"/>
      <c r="I1227" s="1245">
        <f t="shared" si="210"/>
        <v>1551332.72</v>
      </c>
      <c r="J1227" s="1243"/>
      <c r="K1227" s="1243">
        <v>16567.72</v>
      </c>
      <c r="L1227" s="1243">
        <v>0</v>
      </c>
      <c r="M1227" s="1243">
        <f t="shared" si="211"/>
        <v>-4119.87</v>
      </c>
      <c r="N1227" s="1243">
        <v>0</v>
      </c>
      <c r="O1227" s="1243">
        <f t="shared" si="212"/>
        <v>1563780.5699999998</v>
      </c>
    </row>
    <row r="1228" spans="1:15">
      <c r="A1228" s="361">
        <f t="shared" si="213"/>
        <v>13</v>
      </c>
      <c r="B1228" s="365">
        <v>395</v>
      </c>
      <c r="C1228" s="358" t="s">
        <v>422</v>
      </c>
      <c r="D1228" s="1243">
        <f t="shared" si="209"/>
        <v>4162.05</v>
      </c>
      <c r="E1228" s="1243">
        <v>0</v>
      </c>
      <c r="F1228" s="1243">
        <v>0</v>
      </c>
      <c r="G1228" s="1243">
        <f>SUM(D1228:F1228)</f>
        <v>4162.05</v>
      </c>
      <c r="H1228" s="1243"/>
      <c r="I1228" s="1245">
        <f t="shared" si="210"/>
        <v>4018.0000000000014</v>
      </c>
      <c r="J1228" s="1243"/>
      <c r="K1228" s="1243">
        <v>17.34</v>
      </c>
      <c r="L1228" s="1243">
        <v>0</v>
      </c>
      <c r="M1228" s="1243">
        <f t="shared" si="211"/>
        <v>0</v>
      </c>
      <c r="N1228" s="1243">
        <v>0</v>
      </c>
      <c r="O1228" s="1243">
        <f t="shared" si="212"/>
        <v>4035.3400000000015</v>
      </c>
    </row>
    <row r="1229" spans="1:15">
      <c r="A1229" s="361">
        <f t="shared" si="213"/>
        <v>14</v>
      </c>
      <c r="B1229" s="365">
        <v>396</v>
      </c>
      <c r="C1229" s="358" t="s">
        <v>423</v>
      </c>
      <c r="D1229" s="1243">
        <f t="shared" si="209"/>
        <v>185547</v>
      </c>
      <c r="E1229" s="1243">
        <v>0</v>
      </c>
      <c r="F1229" s="1243">
        <v>0</v>
      </c>
      <c r="G1229" s="1243">
        <f>SUM(D1229:F1229)</f>
        <v>185547</v>
      </c>
      <c r="H1229" s="1243"/>
      <c r="I1229" s="1245">
        <f t="shared" si="210"/>
        <v>171938.14</v>
      </c>
      <c r="J1229" s="1243"/>
      <c r="K1229" s="1243">
        <v>0</v>
      </c>
      <c r="L1229" s="1243">
        <v>0</v>
      </c>
      <c r="M1229" s="1243">
        <f t="shared" si="211"/>
        <v>0</v>
      </c>
      <c r="N1229" s="1243">
        <v>0</v>
      </c>
      <c r="O1229" s="1243">
        <f t="shared" si="212"/>
        <v>171938.14</v>
      </c>
    </row>
    <row r="1230" spans="1:15">
      <c r="A1230" s="361">
        <f t="shared" si="213"/>
        <v>15</v>
      </c>
      <c r="B1230" s="365">
        <v>398</v>
      </c>
      <c r="C1230" s="358" t="s">
        <v>424</v>
      </c>
      <c r="D1230" s="1244">
        <f t="shared" si="209"/>
        <v>148028.20000000001</v>
      </c>
      <c r="E1230" s="1244">
        <v>0</v>
      </c>
      <c r="F1230" s="1244">
        <v>0</v>
      </c>
      <c r="G1230" s="1244">
        <f>SUM(D1230:F1230)</f>
        <v>148028.20000000001</v>
      </c>
      <c r="H1230" s="1243"/>
      <c r="I1230" s="1246">
        <f t="shared" si="210"/>
        <v>68458.38999999997</v>
      </c>
      <c r="J1230" s="1243"/>
      <c r="K1230" s="1244">
        <v>822.79</v>
      </c>
      <c r="L1230" s="1244">
        <v>0</v>
      </c>
      <c r="M1230" s="1244">
        <f t="shared" si="211"/>
        <v>0</v>
      </c>
      <c r="N1230" s="1244">
        <v>0</v>
      </c>
      <c r="O1230" s="1244">
        <f t="shared" si="212"/>
        <v>69281.179999999964</v>
      </c>
    </row>
    <row r="1231" spans="1:15">
      <c r="A1231" s="361">
        <f t="shared" si="213"/>
        <v>16</v>
      </c>
      <c r="B1231" s="367"/>
      <c r="C1231" s="358" t="s">
        <v>425</v>
      </c>
      <c r="D1231" s="1243">
        <f>SUM(D1217:D1230)</f>
        <v>6254329.25</v>
      </c>
      <c r="E1231" s="1243">
        <f>SUM(E1217:E1230)</f>
        <v>86519.71</v>
      </c>
      <c r="F1231" s="1243">
        <f>SUM(F1217:F1230)</f>
        <v>-4119.87</v>
      </c>
      <c r="G1231" s="1243">
        <f>SUM(G1217:G1230)</f>
        <v>6336729.0899999999</v>
      </c>
      <c r="H1231" s="1243"/>
      <c r="I1231" s="1243">
        <f>SUM(I1217:I1230)</f>
        <v>2004572.9599999997</v>
      </c>
      <c r="J1231" s="1243"/>
      <c r="K1231" s="1243">
        <f>SUM(K1217:K1230)</f>
        <v>21549.170000000002</v>
      </c>
      <c r="L1231" s="1243">
        <f>SUM(L1217:L1230)</f>
        <v>0</v>
      </c>
      <c r="M1231" s="1243">
        <f>SUM(M1217:M1230)</f>
        <v>-4119.87</v>
      </c>
      <c r="N1231" s="1243">
        <f>SUM(N1217:N1230)</f>
        <v>0</v>
      </c>
      <c r="O1231" s="1243">
        <f>SUM(O1217:O1230)</f>
        <v>2022002.26</v>
      </c>
    </row>
    <row r="1232" spans="1:15">
      <c r="A1232" s="361"/>
      <c r="D1232" s="1243"/>
      <c r="E1232" s="1243"/>
      <c r="F1232" s="1243"/>
      <c r="G1232" s="1243"/>
      <c r="H1232" s="1243"/>
      <c r="I1232" s="1243"/>
      <c r="J1232" s="1243"/>
      <c r="K1232" s="1243"/>
      <c r="L1232" s="1243"/>
      <c r="M1232" s="1243"/>
      <c r="N1232" s="1243"/>
      <c r="O1232" s="1243"/>
    </row>
    <row r="1233" spans="1:15">
      <c r="A1233" s="361">
        <f>A1231+1</f>
        <v>17</v>
      </c>
      <c r="B1233" s="363" t="s">
        <v>1038</v>
      </c>
      <c r="D1233" s="1243"/>
      <c r="E1233" s="1243"/>
      <c r="F1233" s="1243"/>
      <c r="G1233" s="1243"/>
      <c r="H1233" s="1243"/>
      <c r="I1233" s="1243"/>
      <c r="J1233" s="1243"/>
      <c r="K1233" s="1243"/>
      <c r="L1233" s="1243"/>
      <c r="M1233" s="1243"/>
      <c r="N1233" s="1243"/>
      <c r="O1233" s="1243"/>
    </row>
    <row r="1234" spans="1:15">
      <c r="A1234" s="361">
        <f>A1233+1</f>
        <v>18</v>
      </c>
      <c r="B1234" s="365">
        <v>378.21</v>
      </c>
      <c r="C1234" s="358" t="s">
        <v>1037</v>
      </c>
      <c r="D1234" s="1244">
        <f>G1120</f>
        <v>-777092</v>
      </c>
      <c r="E1234" s="1244">
        <v>0</v>
      </c>
      <c r="F1234" s="1244">
        <v>0</v>
      </c>
      <c r="G1234" s="1244">
        <f>SUM(D1234:F1234)</f>
        <v>-777092</v>
      </c>
      <c r="H1234" s="1243"/>
      <c r="I1234" s="1244">
        <f>O1120</f>
        <v>-200082.00000000009</v>
      </c>
      <c r="J1234" s="1243"/>
      <c r="K1234" s="1244">
        <v>-2144.17</v>
      </c>
      <c r="L1234" s="1244"/>
      <c r="M1234" s="1244">
        <f>F1234</f>
        <v>0</v>
      </c>
      <c r="N1234" s="1244">
        <v>0</v>
      </c>
      <c r="O1234" s="1244">
        <f>I1234+K1234+L1234+M1234+N1234</f>
        <v>-202226.1700000001</v>
      </c>
    </row>
    <row r="1235" spans="1:15">
      <c r="A1235" s="361">
        <f>A1234+1</f>
        <v>19</v>
      </c>
      <c r="B1235" s="370"/>
      <c r="C1235" s="358" t="s">
        <v>1579</v>
      </c>
      <c r="D1235" s="1243">
        <f>SUM(D1234)</f>
        <v>-777092</v>
      </c>
      <c r="E1235" s="1243">
        <f>SUM(E1234)</f>
        <v>0</v>
      </c>
      <c r="F1235" s="1243">
        <f>SUM(F1234)</f>
        <v>0</v>
      </c>
      <c r="G1235" s="1243">
        <f>SUM(G1234)</f>
        <v>-777092</v>
      </c>
      <c r="H1235" s="1243"/>
      <c r="I1235" s="1243">
        <f>SUM(I1234)</f>
        <v>-200082.00000000009</v>
      </c>
      <c r="J1235" s="1243"/>
      <c r="K1235" s="1243">
        <f>SUM(K1234)</f>
        <v>-2144.17</v>
      </c>
      <c r="L1235" s="1243">
        <f>SUM(L1234)</f>
        <v>0</v>
      </c>
      <c r="M1235" s="1243">
        <f>SUM(M1234)</f>
        <v>0</v>
      </c>
      <c r="N1235" s="1243">
        <f>SUM(N1234)</f>
        <v>0</v>
      </c>
      <c r="O1235" s="1243">
        <f>SUM(O1234)</f>
        <v>-202226.1700000001</v>
      </c>
    </row>
    <row r="1236" spans="1:15">
      <c r="A1236" s="361"/>
      <c r="B1236" s="370"/>
      <c r="D1236" s="1243"/>
      <c r="E1236" s="1243"/>
      <c r="F1236" s="1243"/>
      <c r="G1236" s="1243"/>
      <c r="H1236" s="1243"/>
      <c r="I1236" s="1243"/>
      <c r="J1236" s="1243"/>
      <c r="K1236" s="1243"/>
      <c r="L1236" s="1243"/>
      <c r="M1236" s="1243"/>
      <c r="N1236" s="1243"/>
      <c r="O1236" s="1243"/>
    </row>
    <row r="1237" spans="1:15">
      <c r="A1237" s="361">
        <f>A1235+1</f>
        <v>20</v>
      </c>
      <c r="B1237" s="370"/>
      <c r="C1237" s="358" t="s">
        <v>2037</v>
      </c>
      <c r="D1237" s="1243">
        <f>D1164+D1197+D1231+D1235</f>
        <v>738929685.12672698</v>
      </c>
      <c r="E1237" s="1243">
        <f>E1164+E1197+E1231+E1235</f>
        <v>2625692.0500000007</v>
      </c>
      <c r="F1237" s="1243">
        <f>F1164+F1197+F1231+F1235</f>
        <v>-431601.3938473998</v>
      </c>
      <c r="G1237" s="1243">
        <f>G1164+G1197+G1231+G1235</f>
        <v>741123775.78287983</v>
      </c>
      <c r="H1237" s="1243"/>
      <c r="I1237" s="1243">
        <f>I1164+I1197+I1231+I1235</f>
        <v>176783083.50358114</v>
      </c>
      <c r="J1237" s="1243"/>
      <c r="K1237" s="1243">
        <f>K1164+K1197+K1231+K1235</f>
        <v>1788355.7519999996</v>
      </c>
      <c r="L1237" s="1243">
        <f>L1164+L1197+L1231+L1235</f>
        <v>0</v>
      </c>
      <c r="M1237" s="1243">
        <f>M1164+M1197+M1231+M1235</f>
        <v>-431601.3938473998</v>
      </c>
      <c r="N1237" s="1243">
        <f>N1164+N1197+N1231+N1235</f>
        <v>-52183.048539999996</v>
      </c>
      <c r="O1237" s="1243">
        <f>O1164+O1197+O1231+O1235</f>
        <v>178087654.81319371</v>
      </c>
    </row>
    <row r="1238" spans="1:15">
      <c r="A1238" s="361"/>
      <c r="B1238" s="370"/>
      <c r="D1238" s="1243"/>
      <c r="E1238" s="1243"/>
      <c r="F1238" s="1243"/>
      <c r="G1238" s="1243"/>
      <c r="H1238" s="1243"/>
      <c r="I1238" s="1243"/>
      <c r="J1238" s="1243"/>
      <c r="K1238" s="1243"/>
      <c r="L1238" s="1243"/>
      <c r="M1238" s="1243"/>
      <c r="N1238" s="1243"/>
      <c r="O1238" s="1243"/>
    </row>
    <row r="1239" spans="1:15">
      <c r="A1239" s="361">
        <f>A1237+1</f>
        <v>21</v>
      </c>
      <c r="B1239" s="370"/>
      <c r="C1239" s="358" t="s">
        <v>2038</v>
      </c>
      <c r="D1239" s="1243">
        <v>0</v>
      </c>
      <c r="E1239" s="1249">
        <v>0</v>
      </c>
      <c r="F1239" s="1249">
        <v>0</v>
      </c>
      <c r="G1239" s="1249">
        <f>SUM(D1239:F1239)</f>
        <v>0</v>
      </c>
      <c r="H1239" s="1243"/>
      <c r="I1239" s="1243">
        <f>O1125</f>
        <v>-6542677.4199999999</v>
      </c>
      <c r="J1239" s="1243"/>
      <c r="K1239" s="1243"/>
      <c r="L1239" s="1243"/>
      <c r="M1239" s="1243"/>
      <c r="N1239" s="1243">
        <v>-68246.89</v>
      </c>
      <c r="O1239" s="1243">
        <f>I1239+K1239+L1239+M1239+N1239</f>
        <v>-6610924.3099999996</v>
      </c>
    </row>
    <row r="1240" spans="1:15">
      <c r="A1240" s="361"/>
      <c r="B1240" s="370"/>
      <c r="C1240" s="368"/>
      <c r="D1240" s="1243"/>
      <c r="E1240" s="1243"/>
      <c r="F1240" s="1243"/>
      <c r="G1240" s="1243"/>
      <c r="H1240" s="1243"/>
      <c r="I1240" s="1243"/>
      <c r="J1240" s="1243"/>
      <c r="K1240" s="1243"/>
      <c r="L1240" s="1243"/>
      <c r="M1240" s="1243"/>
      <c r="N1240" s="1243"/>
      <c r="O1240" s="1243"/>
    </row>
    <row r="1241" spans="1:15">
      <c r="A1241" s="361">
        <f>A1239+1</f>
        <v>22</v>
      </c>
      <c r="C1241" s="358" t="s">
        <v>1603</v>
      </c>
      <c r="D1241" s="1247">
        <f>D1237+D1239</f>
        <v>738929685.12672698</v>
      </c>
      <c r="E1241" s="1247">
        <f>E1237+E1239</f>
        <v>2625692.0500000007</v>
      </c>
      <c r="F1241" s="1247">
        <f>F1237+F1239</f>
        <v>-431601.3938473998</v>
      </c>
      <c r="G1241" s="1247">
        <f>G1237+G1239</f>
        <v>741123775.78287983</v>
      </c>
      <c r="H1241" s="1243"/>
      <c r="I1241" s="1247">
        <f t="shared" ref="I1241:O1241" si="215">I1237+I1239</f>
        <v>170240406.08358115</v>
      </c>
      <c r="J1241" s="1243"/>
      <c r="K1241" s="1247">
        <f t="shared" si="215"/>
        <v>1788355.7519999996</v>
      </c>
      <c r="L1241" s="1247">
        <f t="shared" si="215"/>
        <v>0</v>
      </c>
      <c r="M1241" s="1247">
        <f t="shared" si="215"/>
        <v>-431601.3938473998</v>
      </c>
      <c r="N1241" s="1247">
        <f t="shared" si="215"/>
        <v>-120429.93854</v>
      </c>
      <c r="O1241" s="1247">
        <f t="shared" si="215"/>
        <v>171476730.50319371</v>
      </c>
    </row>
    <row r="1242" spans="1:15">
      <c r="A1242" s="361"/>
      <c r="D1242" s="1243"/>
      <c r="E1242" s="1243"/>
      <c r="F1242" s="1243"/>
      <c r="G1242" s="1243"/>
      <c r="H1242" s="1243"/>
      <c r="I1242" s="1243"/>
      <c r="J1242" s="1243"/>
      <c r="K1242" s="1243"/>
      <c r="L1242" s="1243"/>
      <c r="M1242" s="1243"/>
      <c r="N1242" s="1243"/>
      <c r="O1242" s="1243"/>
    </row>
    <row r="1243" spans="1:15">
      <c r="A1243" s="361"/>
      <c r="D1243" s="1243"/>
      <c r="E1243" s="1243"/>
      <c r="F1243" s="1243"/>
      <c r="G1243" s="1243"/>
      <c r="H1243" s="1243"/>
      <c r="I1243" s="1243"/>
      <c r="J1243" s="1243"/>
      <c r="K1243" s="1243"/>
      <c r="L1243" s="1243"/>
      <c r="M1243" s="1243"/>
      <c r="N1243" s="1243"/>
      <c r="O1243" s="1243"/>
    </row>
    <row r="1244" spans="1:15">
      <c r="A1244" s="361">
        <f>A1241+1</f>
        <v>23</v>
      </c>
      <c r="B1244" s="363" t="s">
        <v>1774</v>
      </c>
      <c r="D1244" s="1243"/>
      <c r="E1244" s="1243"/>
      <c r="F1244" s="1243"/>
      <c r="G1244" s="1243"/>
      <c r="H1244" s="1243"/>
      <c r="I1244" s="1243"/>
      <c r="J1244" s="1243"/>
      <c r="K1244" s="1243"/>
      <c r="L1244" s="1243"/>
      <c r="M1244" s="1243"/>
      <c r="N1244" s="1243"/>
      <c r="O1244" s="1243"/>
    </row>
    <row r="1245" spans="1:15">
      <c r="A1245" s="361">
        <f t="shared" ref="A1245:A1250" si="216">A1244+1</f>
        <v>24</v>
      </c>
      <c r="B1245" s="365">
        <v>376</v>
      </c>
      <c r="C1245" s="358" t="s">
        <v>1775</v>
      </c>
      <c r="D1245" s="1243">
        <f>G1131</f>
        <v>23020898.82</v>
      </c>
      <c r="E1245" s="1243">
        <f>'WPB-2.1.D SMRP'!E478</f>
        <v>3498689.6999999997</v>
      </c>
      <c r="F1245" s="1243">
        <f>'WPB-2.1.D SMRP'!F478</f>
        <v>0</v>
      </c>
      <c r="G1245" s="1243">
        <f>SUM(D1245:F1245)</f>
        <v>26519588.52</v>
      </c>
      <c r="H1245" s="1243"/>
      <c r="I1245" s="1243">
        <f>O1131</f>
        <v>-69411.588999999993</v>
      </c>
      <c r="J1245" s="1243"/>
      <c r="K1245" s="1243">
        <f>'WPB-2.1.D SMRP'!K478</f>
        <v>35916.550000000003</v>
      </c>
      <c r="L1245" s="1243">
        <v>0</v>
      </c>
      <c r="M1245" s="1243">
        <f>F1245</f>
        <v>0</v>
      </c>
      <c r="N1245" s="1243">
        <f>'WPB-2.1.D SMRP'!N478</f>
        <v>0</v>
      </c>
      <c r="O1245" s="1243">
        <f>I1245+K1245+L1245+M1245+N1245</f>
        <v>-33495.03899999999</v>
      </c>
    </row>
    <row r="1246" spans="1:15">
      <c r="A1246" s="361">
        <f t="shared" si="216"/>
        <v>25</v>
      </c>
      <c r="B1246" s="365">
        <v>378.2</v>
      </c>
      <c r="C1246" s="358" t="s">
        <v>1776</v>
      </c>
      <c r="D1246" s="1243">
        <f>G1132</f>
        <v>-347783.44000000006</v>
      </c>
      <c r="E1246" s="1243">
        <f>'WPB-2.1.D SMRP'!E479</f>
        <v>0</v>
      </c>
      <c r="F1246" s="1243">
        <f>'WPB-2.1.D SMRP'!F479</f>
        <v>-507.39</v>
      </c>
      <c r="G1246" s="1243">
        <f>SUM(D1246:F1246)</f>
        <v>-348290.83000000007</v>
      </c>
      <c r="H1246" s="1243"/>
      <c r="I1246" s="1243">
        <f>O1132</f>
        <v>-390914.50199999992</v>
      </c>
      <c r="J1246" s="1243"/>
      <c r="K1246" s="1243">
        <f>'WPB-2.1.D SMRP'!K479</f>
        <v>-730.53300000000002</v>
      </c>
      <c r="L1246" s="1243">
        <v>0</v>
      </c>
      <c r="M1246" s="1243">
        <f>F1246</f>
        <v>-507.39</v>
      </c>
      <c r="N1246" s="1243">
        <f>'WPB-2.1.D SMRP'!N479</f>
        <v>-945.06</v>
      </c>
      <c r="O1246" s="1243">
        <f>I1246+K1246+L1246+M1246+N1246</f>
        <v>-393097.48499999993</v>
      </c>
    </row>
    <row r="1247" spans="1:15">
      <c r="A1247" s="361">
        <f t="shared" si="216"/>
        <v>26</v>
      </c>
      <c r="B1247" s="365">
        <v>380</v>
      </c>
      <c r="C1247" s="358" t="s">
        <v>1777</v>
      </c>
      <c r="D1247" s="1243">
        <f>G1133</f>
        <v>8966170.6332729179</v>
      </c>
      <c r="E1247" s="1243">
        <f>'WPB-2.1.D SMRP'!E480</f>
        <v>861761.95000000007</v>
      </c>
      <c r="F1247" s="1243">
        <f>'WPB-2.1.D SMRP'!F480</f>
        <v>-274398.30615260021</v>
      </c>
      <c r="G1247" s="1243">
        <f>SUM(D1247:F1247)</f>
        <v>9553534.2771203164</v>
      </c>
      <c r="H1247" s="1243"/>
      <c r="I1247" s="1243">
        <f>O1133</f>
        <v>-3806247.0625810828</v>
      </c>
      <c r="J1247" s="1243"/>
      <c r="K1247" s="1243">
        <f>'WPB-2.1.D SMRP'!K480</f>
        <v>30712.044999999998</v>
      </c>
      <c r="L1247" s="1243">
        <v>0</v>
      </c>
      <c r="M1247" s="1243">
        <f>F1247</f>
        <v>-274398.30615260021</v>
      </c>
      <c r="N1247" s="1243">
        <f>'WPB-2.1.D SMRP'!N480</f>
        <v>-176170.76146000001</v>
      </c>
      <c r="O1247" s="1243">
        <f>I1247+K1247+L1247+M1247+N1247</f>
        <v>-4226104.0851936834</v>
      </c>
    </row>
    <row r="1248" spans="1:15">
      <c r="A1248" s="361">
        <f t="shared" si="216"/>
        <v>27</v>
      </c>
      <c r="B1248" s="365">
        <v>382</v>
      </c>
      <c r="C1248" s="358" t="s">
        <v>1778</v>
      </c>
      <c r="D1248" s="1243">
        <f>G1134</f>
        <v>19890.55</v>
      </c>
      <c r="E1248" s="1243">
        <f>'WPB-2.1.D SMRP'!E481</f>
        <v>14238.460000000001</v>
      </c>
      <c r="F1248" s="1243">
        <f>'WPB-2.1.D SMRP'!F481</f>
        <v>-3639.67</v>
      </c>
      <c r="G1248" s="1243">
        <f>SUM(D1248:F1248)</f>
        <v>30489.340000000004</v>
      </c>
      <c r="H1248" s="1243"/>
      <c r="I1248" s="1243">
        <f>O1134</f>
        <v>-40903.60100000001</v>
      </c>
      <c r="J1248" s="1243"/>
      <c r="K1248" s="1243">
        <f>'WPB-2.1.D SMRP'!K481</f>
        <v>36.817</v>
      </c>
      <c r="L1248" s="1243">
        <v>0</v>
      </c>
      <c r="M1248" s="1243">
        <f>F1248</f>
        <v>-3639.67</v>
      </c>
      <c r="N1248" s="1243">
        <f>'WPB-2.1.D SMRP'!N481</f>
        <v>0</v>
      </c>
      <c r="O1248" s="1243">
        <f>I1248+K1248+L1248+M1248+N1248</f>
        <v>-44506.454000000005</v>
      </c>
    </row>
    <row r="1249" spans="1:16">
      <c r="A1249" s="361">
        <f t="shared" si="216"/>
        <v>28</v>
      </c>
      <c r="B1249" s="365">
        <v>383</v>
      </c>
      <c r="C1249" s="358" t="s">
        <v>1779</v>
      </c>
      <c r="D1249" s="1244">
        <f>G1135</f>
        <v>-5701.59</v>
      </c>
      <c r="E1249" s="1244">
        <f>'WPB-2.1.D SMRP'!E482</f>
        <v>0</v>
      </c>
      <c r="F1249" s="1244">
        <f>'WPB-2.1.D SMRP'!F482</f>
        <v>-632.7299999999999</v>
      </c>
      <c r="G1249" s="1244">
        <f>SUM(D1249:F1249)</f>
        <v>-6334.32</v>
      </c>
      <c r="H1249" s="1243"/>
      <c r="I1249" s="1244">
        <f>O1135</f>
        <v>-5735.1989999999996</v>
      </c>
      <c r="J1249" s="1243"/>
      <c r="K1249" s="1244">
        <f>'WPB-2.1.D SMRP'!K482</f>
        <v>-9.5109999999999992</v>
      </c>
      <c r="L1249" s="1244">
        <v>0</v>
      </c>
      <c r="M1249" s="1244">
        <f>F1249</f>
        <v>-632.7299999999999</v>
      </c>
      <c r="N1249" s="1244">
        <f>'WPB-2.1.D SMRP'!N482</f>
        <v>0</v>
      </c>
      <c r="O1249" s="1244">
        <f>I1249+K1249+L1249+M1249+N1249</f>
        <v>-6377.44</v>
      </c>
    </row>
    <row r="1250" spans="1:16">
      <c r="A1250" s="361">
        <f t="shared" si="216"/>
        <v>29</v>
      </c>
      <c r="C1250" s="358" t="s">
        <v>1780</v>
      </c>
      <c r="D1250" s="1243">
        <f>SUM(D1245:D1249)</f>
        <v>31653474.97327292</v>
      </c>
      <c r="E1250" s="1243">
        <f>SUM(E1245:E1249)</f>
        <v>4374690.1099999994</v>
      </c>
      <c r="F1250" s="1243">
        <f>SUM(F1245:F1249)</f>
        <v>-279178.09615260019</v>
      </c>
      <c r="G1250" s="1243">
        <f>SUM(G1245:G1249)</f>
        <v>35748986.987120315</v>
      </c>
      <c r="H1250" s="1243"/>
      <c r="I1250" s="1243">
        <f>SUM(I1245:I1249)</f>
        <v>-4313211.9535810826</v>
      </c>
      <c r="J1250" s="1243"/>
      <c r="K1250" s="1243">
        <f>SUM(K1245:K1249)</f>
        <v>65925.368000000002</v>
      </c>
      <c r="L1250" s="1243">
        <f>SUM(L1245:L1249)</f>
        <v>0</v>
      </c>
      <c r="M1250" s="1243">
        <f>SUM(M1245:M1249)</f>
        <v>-279178.09615260019</v>
      </c>
      <c r="N1250" s="1243">
        <f>SUM(N1245:N1249)</f>
        <v>-177115.82146000001</v>
      </c>
      <c r="O1250" s="1243">
        <f>SUM(O1245:O1249)</f>
        <v>-4703580.5031936839</v>
      </c>
    </row>
    <row r="1251" spans="1:16">
      <c r="A1251" s="361"/>
      <c r="D1251" s="1243"/>
      <c r="E1251" s="1243"/>
      <c r="F1251" s="1243"/>
      <c r="G1251" s="1243"/>
      <c r="H1251" s="1243"/>
      <c r="I1251" s="1243"/>
      <c r="J1251" s="1243"/>
      <c r="K1251" s="1243"/>
      <c r="L1251" s="1243"/>
      <c r="M1251" s="1243"/>
      <c r="N1251" s="1243"/>
      <c r="O1251" s="1243"/>
    </row>
    <row r="1252" spans="1:16" ht="13.5" thickBot="1">
      <c r="A1252" s="361">
        <f>A1250+1</f>
        <v>30</v>
      </c>
      <c r="C1252" s="358" t="s">
        <v>447</v>
      </c>
      <c r="D1252" s="1248">
        <f>D1241+D1250</f>
        <v>770583160.0999999</v>
      </c>
      <c r="E1252" s="1248">
        <f>E1241+E1250</f>
        <v>7000382.1600000001</v>
      </c>
      <c r="F1252" s="1248">
        <f>F1241+F1250</f>
        <v>-710779.49</v>
      </c>
      <c r="G1252" s="1248">
        <f>G1241+G1250</f>
        <v>776872762.7700001</v>
      </c>
      <c r="H1252" s="1243"/>
      <c r="I1252" s="1248">
        <f>I1241+I1250</f>
        <v>165927194.13000005</v>
      </c>
      <c r="J1252" s="1243"/>
      <c r="K1252" s="1248">
        <f>K1241+K1250</f>
        <v>1854281.1199999996</v>
      </c>
      <c r="L1252" s="1248">
        <f>L1241+L1250</f>
        <v>0</v>
      </c>
      <c r="M1252" s="1248">
        <f>M1241+M1250</f>
        <v>-710779.49</v>
      </c>
      <c r="N1252" s="1248">
        <f>N1241+N1250</f>
        <v>-297545.76</v>
      </c>
      <c r="O1252" s="1248">
        <f>O1241+O1250</f>
        <v>166773150.00000003</v>
      </c>
    </row>
    <row r="1253" spans="1:16" ht="13.5" thickTop="1"/>
    <row r="1255" spans="1:16" s="291" customFormat="1">
      <c r="A1255" s="1308" t="str">
        <f>$A$1</f>
        <v>COLUMBIA GAS OF KENTUCKY, INC.</v>
      </c>
      <c r="B1255" s="1308"/>
      <c r="C1255" s="1308"/>
      <c r="D1255" s="1308"/>
      <c r="E1255" s="1308"/>
      <c r="F1255" s="1308"/>
      <c r="G1255" s="1308"/>
      <c r="H1255" s="1308"/>
      <c r="I1255" s="1308"/>
      <c r="J1255" s="1308"/>
      <c r="K1255" s="1308"/>
      <c r="L1255" s="1308"/>
      <c r="M1255" s="1308"/>
      <c r="N1255" s="1308"/>
      <c r="O1255" s="1308"/>
    </row>
    <row r="1256" spans="1:16" s="291" customFormat="1">
      <c r="A1256" s="1308" t="str">
        <f>$A$2</f>
        <v>CASE NO. 2024 - 00092</v>
      </c>
      <c r="B1256" s="1308"/>
      <c r="C1256" s="1308"/>
      <c r="D1256" s="1308"/>
      <c r="E1256" s="1308"/>
      <c r="F1256" s="1308"/>
      <c r="G1256" s="1308"/>
      <c r="H1256" s="1308"/>
      <c r="I1256" s="1308"/>
      <c r="J1256" s="1308"/>
      <c r="K1256" s="1308"/>
      <c r="L1256" s="1308"/>
      <c r="M1256" s="1308"/>
      <c r="N1256" s="1308"/>
      <c r="O1256" s="1308"/>
    </row>
    <row r="1257" spans="1:16" s="291" customFormat="1">
      <c r="A1257" s="1308" t="str">
        <f>$A$3</f>
        <v>DETAIL OF ACTUAL &amp; FORECASTED PLANT, ACCUMULATED RESERVE &amp; DEPRECIATION EXPENSE</v>
      </c>
      <c r="B1257" s="1308"/>
      <c r="C1257" s="1308"/>
      <c r="D1257" s="1308"/>
      <c r="E1257" s="1308"/>
      <c r="F1257" s="1308"/>
      <c r="G1257" s="1308"/>
      <c r="H1257" s="1308"/>
      <c r="I1257" s="1308"/>
      <c r="J1257" s="1308"/>
      <c r="K1257" s="1308"/>
      <c r="L1257" s="1308"/>
      <c r="M1257" s="1308"/>
      <c r="N1257" s="1308"/>
      <c r="O1257" s="1308"/>
      <c r="P1257" s="357"/>
    </row>
    <row r="1258" spans="1:16" s="291" customFormat="1">
      <c r="A1258" s="1308" t="str">
        <f>$A$4</f>
        <v>FROM JANUARY 01, 2023 THROUGH DECEMBER 31, 2025</v>
      </c>
      <c r="B1258" s="1308"/>
      <c r="C1258" s="1308"/>
      <c r="D1258" s="1308"/>
      <c r="E1258" s="1308"/>
      <c r="F1258" s="1308"/>
      <c r="G1258" s="1308"/>
      <c r="H1258" s="1308"/>
      <c r="I1258" s="1308"/>
      <c r="J1258" s="1308"/>
      <c r="K1258" s="1308"/>
      <c r="L1258" s="1308"/>
      <c r="M1258" s="1308"/>
      <c r="N1258" s="1308"/>
      <c r="O1258" s="1308"/>
    </row>
    <row r="1259" spans="1:16" s="291" customFormat="1">
      <c r="B1259" s="293"/>
      <c r="P1259" s="312"/>
    </row>
    <row r="1260" spans="1:16" s="291" customFormat="1">
      <c r="A1260" s="297" t="str">
        <f>$A$6</f>
        <v xml:space="preserve">DATA: _X_ BASE PERIOD _X_ FORECASTED PERIOD     </v>
      </c>
      <c r="B1260" s="293"/>
      <c r="O1260" s="312" t="str">
        <f>$O$6</f>
        <v>WPB-2.1.C</v>
      </c>
      <c r="P1260" s="312"/>
    </row>
    <row r="1261" spans="1:16" s="291" customFormat="1">
      <c r="A1261" s="297" t="str">
        <f>$A$7</f>
        <v>TYPE OF FILING:___X___ORIGINAL______UPDATED</v>
      </c>
      <c r="B1261" s="293"/>
      <c r="O1261" s="312" t="s">
        <v>2200</v>
      </c>
      <c r="P1261" s="312"/>
    </row>
    <row r="1262" spans="1:16" s="291" customFormat="1">
      <c r="A1262" s="297" t="str">
        <f>$A$8</f>
        <v>WORKPAPER REFERENCE NO(S).:</v>
      </c>
      <c r="B1262" s="293"/>
      <c r="O1262" s="312" t="str">
        <f>$O$8</f>
        <v>WITNESS: GORE</v>
      </c>
    </row>
    <row r="1263" spans="1:16">
      <c r="A1263" s="918"/>
      <c r="B1263" s="919"/>
      <c r="C1263" s="918"/>
      <c r="D1263" s="918"/>
      <c r="E1263" s="918"/>
      <c r="F1263" s="918"/>
      <c r="G1263" s="918"/>
      <c r="H1263" s="918"/>
      <c r="I1263" s="918"/>
      <c r="J1263" s="918"/>
      <c r="K1263" s="918"/>
      <c r="L1263" s="918"/>
      <c r="M1263" s="918"/>
      <c r="N1263" s="918"/>
      <c r="O1263" s="920"/>
    </row>
    <row r="1264" spans="1:16">
      <c r="D1264" s="1311" t="s">
        <v>1768</v>
      </c>
      <c r="E1264" s="1311"/>
      <c r="F1264" s="1311"/>
      <c r="G1264" s="1311"/>
      <c r="I1264" s="1311" t="s">
        <v>1769</v>
      </c>
      <c r="J1264" s="1311"/>
      <c r="K1264" s="1311"/>
      <c r="L1264" s="1311"/>
      <c r="M1264" s="1311"/>
      <c r="N1264" s="1311"/>
      <c r="O1264" s="1311"/>
    </row>
    <row r="1265" spans="1:15">
      <c r="D1265" s="360">
        <f>G1210+1</f>
        <v>45261</v>
      </c>
      <c r="G1265" s="360">
        <f>D1265+30</f>
        <v>45291</v>
      </c>
      <c r="I1265" s="360">
        <f>D1265</f>
        <v>45261</v>
      </c>
      <c r="O1265" s="360">
        <f>G1265</f>
        <v>45291</v>
      </c>
    </row>
    <row r="1266" spans="1:15">
      <c r="D1266" s="361" t="s">
        <v>1757</v>
      </c>
      <c r="G1266" s="361" t="s">
        <v>1757</v>
      </c>
      <c r="I1266" s="361" t="s">
        <v>1758</v>
      </c>
      <c r="J1266" s="361" t="s">
        <v>488</v>
      </c>
      <c r="L1266" s="361" t="s">
        <v>1758</v>
      </c>
      <c r="O1266" s="361" t="s">
        <v>1758</v>
      </c>
    </row>
    <row r="1267" spans="1:15">
      <c r="A1267" s="361" t="s">
        <v>1770</v>
      </c>
      <c r="B1267" s="361" t="s">
        <v>368</v>
      </c>
      <c r="C1267" s="361"/>
      <c r="D1267" s="361" t="s">
        <v>437</v>
      </c>
      <c r="G1267" s="361" t="s">
        <v>439</v>
      </c>
      <c r="I1267" s="361" t="s">
        <v>437</v>
      </c>
      <c r="J1267" s="361" t="s">
        <v>1771</v>
      </c>
      <c r="K1267" s="361" t="s">
        <v>1772</v>
      </c>
      <c r="L1267" s="361" t="s">
        <v>1759</v>
      </c>
      <c r="N1267" s="361" t="s">
        <v>1760</v>
      </c>
      <c r="O1267" s="361" t="s">
        <v>439</v>
      </c>
    </row>
    <row r="1268" spans="1:15">
      <c r="A1268" s="364" t="s">
        <v>316</v>
      </c>
      <c r="B1268" s="364" t="s">
        <v>316</v>
      </c>
      <c r="C1268" s="364" t="s">
        <v>451</v>
      </c>
      <c r="D1268" s="364" t="s">
        <v>441</v>
      </c>
      <c r="E1268" s="364" t="s">
        <v>442</v>
      </c>
      <c r="F1268" s="364" t="s">
        <v>443</v>
      </c>
      <c r="G1268" s="364" t="s">
        <v>441</v>
      </c>
      <c r="I1268" s="364" t="s">
        <v>441</v>
      </c>
      <c r="J1268" s="364" t="s">
        <v>1773</v>
      </c>
      <c r="K1268" s="364" t="s">
        <v>1771</v>
      </c>
      <c r="L1268" s="364" t="s">
        <v>355</v>
      </c>
      <c r="M1268" s="364" t="s">
        <v>443</v>
      </c>
      <c r="N1268" s="364" t="s">
        <v>1763</v>
      </c>
      <c r="O1268" s="364" t="s">
        <v>441</v>
      </c>
    </row>
    <row r="1269" spans="1:15">
      <c r="D1269" s="361" t="s">
        <v>532</v>
      </c>
      <c r="E1269" s="361" t="s">
        <v>541</v>
      </c>
      <c r="F1269" s="361" t="s">
        <v>542</v>
      </c>
      <c r="G1269" s="361" t="s">
        <v>1764</v>
      </c>
      <c r="I1269" s="334" t="str">
        <f>"(5)"</f>
        <v>(5)</v>
      </c>
      <c r="J1269" s="334" t="str">
        <f>"(6)"</f>
        <v>(6)</v>
      </c>
      <c r="K1269" s="334" t="str">
        <f>"(7)"</f>
        <v>(7)</v>
      </c>
      <c r="L1269" s="334" t="str">
        <f>"(8)"</f>
        <v>(8)</v>
      </c>
      <c r="M1269" s="334" t="str">
        <f>"(9)"</f>
        <v>(9)</v>
      </c>
      <c r="N1269" s="334" t="str">
        <f>"(10)"</f>
        <v>(10)</v>
      </c>
      <c r="O1269" s="334" t="str">
        <f>"(11=5+7+8+9+10)"</f>
        <v>(11=5+7+8+9+10)</v>
      </c>
    </row>
    <row r="1270" spans="1:15">
      <c r="D1270" s="361" t="s">
        <v>320</v>
      </c>
      <c r="E1270" s="361" t="s">
        <v>320</v>
      </c>
      <c r="F1270" s="361" t="s">
        <v>320</v>
      </c>
      <c r="G1270" s="361" t="s">
        <v>320</v>
      </c>
      <c r="I1270" s="334" t="s">
        <v>320</v>
      </c>
      <c r="J1270" s="334" t="s">
        <v>529</v>
      </c>
      <c r="K1270" s="334" t="s">
        <v>320</v>
      </c>
      <c r="L1270" s="334" t="s">
        <v>320</v>
      </c>
      <c r="M1270" s="334" t="s">
        <v>320</v>
      </c>
      <c r="N1270" s="334" t="s">
        <v>320</v>
      </c>
      <c r="O1270" s="334" t="s">
        <v>320</v>
      </c>
    </row>
    <row r="1271" spans="1:15">
      <c r="A1271" s="361">
        <v>1</v>
      </c>
      <c r="B1271" s="362" t="s">
        <v>373</v>
      </c>
      <c r="D1271" s="361"/>
      <c r="E1271" s="361"/>
      <c r="F1271" s="361"/>
      <c r="G1271" s="361"/>
      <c r="I1271" s="334"/>
      <c r="J1271" s="334"/>
      <c r="K1271" s="334"/>
      <c r="L1271" s="334"/>
      <c r="M1271" s="334"/>
      <c r="N1271" s="334"/>
      <c r="O1271" s="334"/>
    </row>
    <row r="1272" spans="1:15">
      <c r="A1272" s="361">
        <f>A1271+1</f>
        <v>2</v>
      </c>
      <c r="B1272" s="365">
        <v>301</v>
      </c>
      <c r="C1272" s="358" t="s">
        <v>374</v>
      </c>
      <c r="D1272" s="1243">
        <f t="shared" ref="D1272:D1277" si="217">G1158</f>
        <v>521.20000000000005</v>
      </c>
      <c r="E1272" s="1243">
        <v>0</v>
      </c>
      <c r="F1272" s="1243">
        <v>0</v>
      </c>
      <c r="G1272" s="1243">
        <f t="shared" ref="G1272:G1277" si="218">SUM(D1272:F1272)</f>
        <v>521.20000000000005</v>
      </c>
      <c r="H1272" s="1243"/>
      <c r="I1272" s="1243">
        <f t="shared" ref="I1272:I1277" si="219">O1158</f>
        <v>0</v>
      </c>
      <c r="J1272" s="1243"/>
      <c r="K1272" s="1243">
        <v>0</v>
      </c>
      <c r="L1272" s="1243">
        <v>0</v>
      </c>
      <c r="M1272" s="1243">
        <f t="shared" ref="M1272:M1277" si="220">F1272</f>
        <v>0</v>
      </c>
      <c r="N1272" s="1243">
        <v>0</v>
      </c>
      <c r="O1272" s="1243">
        <f t="shared" ref="O1272:O1277" si="221">I1272+K1272+L1272+M1272+N1272</f>
        <v>0</v>
      </c>
    </row>
    <row r="1273" spans="1:15">
      <c r="A1273" s="361">
        <f t="shared" ref="A1273:A1278" si="222">A1272+1</f>
        <v>3</v>
      </c>
      <c r="B1273" s="365">
        <v>303</v>
      </c>
      <c r="C1273" s="358" t="s">
        <v>375</v>
      </c>
      <c r="D1273" s="1243">
        <f t="shared" si="217"/>
        <v>96334.51</v>
      </c>
      <c r="E1273" s="1243">
        <v>0</v>
      </c>
      <c r="F1273" s="1243">
        <v>0</v>
      </c>
      <c r="G1273" s="1243">
        <f t="shared" si="218"/>
        <v>96334.51</v>
      </c>
      <c r="H1273" s="1243"/>
      <c r="I1273" s="1243">
        <f t="shared" si="219"/>
        <v>78594.790000000037</v>
      </c>
      <c r="J1273" s="1243"/>
      <c r="K1273" s="1243">
        <v>267.61</v>
      </c>
      <c r="L1273" s="1243">
        <v>0</v>
      </c>
      <c r="M1273" s="1243">
        <f t="shared" si="220"/>
        <v>0</v>
      </c>
      <c r="N1273" s="1243">
        <v>0</v>
      </c>
      <c r="O1273" s="1243">
        <f t="shared" si="221"/>
        <v>78862.400000000038</v>
      </c>
    </row>
    <row r="1274" spans="1:15">
      <c r="A1274" s="361">
        <f t="shared" si="222"/>
        <v>4</v>
      </c>
      <c r="B1274" s="365">
        <v>303.10000000000002</v>
      </c>
      <c r="C1274" s="358" t="s">
        <v>376</v>
      </c>
      <c r="D1274" s="1243">
        <f t="shared" si="217"/>
        <v>943.27</v>
      </c>
      <c r="E1274" s="1243">
        <v>0</v>
      </c>
      <c r="F1274" s="1243">
        <v>0</v>
      </c>
      <c r="G1274" s="1243">
        <f t="shared" si="218"/>
        <v>943.27</v>
      </c>
      <c r="H1274" s="1243"/>
      <c r="I1274" s="1243">
        <f t="shared" si="219"/>
        <v>318.35000000000008</v>
      </c>
      <c r="J1274" s="1243"/>
      <c r="K1274" s="1243">
        <v>0</v>
      </c>
      <c r="L1274" s="1243">
        <v>0</v>
      </c>
      <c r="M1274" s="1243">
        <f t="shared" si="220"/>
        <v>0</v>
      </c>
      <c r="N1274" s="1243">
        <v>0</v>
      </c>
      <c r="O1274" s="1243">
        <f t="shared" si="221"/>
        <v>318.35000000000008</v>
      </c>
    </row>
    <row r="1275" spans="1:15">
      <c r="A1275" s="361">
        <f t="shared" si="222"/>
        <v>5</v>
      </c>
      <c r="B1275" s="365">
        <v>303.2</v>
      </c>
      <c r="C1275" s="358" t="s">
        <v>377</v>
      </c>
      <c r="D1275" s="1243">
        <f t="shared" si="217"/>
        <v>0</v>
      </c>
      <c r="E1275" s="1243">
        <v>0</v>
      </c>
      <c r="F1275" s="1243">
        <v>0</v>
      </c>
      <c r="G1275" s="1243">
        <f t="shared" si="218"/>
        <v>0</v>
      </c>
      <c r="H1275" s="1243"/>
      <c r="I1275" s="1243">
        <f t="shared" si="219"/>
        <v>0</v>
      </c>
      <c r="J1275" s="1243"/>
      <c r="K1275" s="1243">
        <v>0</v>
      </c>
      <c r="L1275" s="1243">
        <v>0</v>
      </c>
      <c r="M1275" s="1243">
        <f t="shared" si="220"/>
        <v>0</v>
      </c>
      <c r="N1275" s="1243">
        <v>0</v>
      </c>
      <c r="O1275" s="1243">
        <f t="shared" si="221"/>
        <v>0</v>
      </c>
    </row>
    <row r="1276" spans="1:15">
      <c r="A1276" s="361">
        <f t="shared" si="222"/>
        <v>6</v>
      </c>
      <c r="B1276" s="365">
        <v>303.3</v>
      </c>
      <c r="C1276" s="358" t="s">
        <v>378</v>
      </c>
      <c r="D1276" s="1243">
        <f t="shared" si="217"/>
        <v>12708615.100000001</v>
      </c>
      <c r="E1276" s="1243">
        <v>499707.65</v>
      </c>
      <c r="F1276" s="1243">
        <v>-105701.91</v>
      </c>
      <c r="G1276" s="1243">
        <f t="shared" si="218"/>
        <v>13102620.840000002</v>
      </c>
      <c r="H1276" s="1243"/>
      <c r="I1276" s="1243">
        <f t="shared" si="219"/>
        <v>6682230.120000002</v>
      </c>
      <c r="J1276" s="1243"/>
      <c r="K1276" s="1243">
        <v>203838.65</v>
      </c>
      <c r="L1276" s="1243">
        <v>0</v>
      </c>
      <c r="M1276" s="1243">
        <f t="shared" si="220"/>
        <v>-105701.91</v>
      </c>
      <c r="N1276" s="1243">
        <v>0</v>
      </c>
      <c r="O1276" s="1243">
        <f t="shared" si="221"/>
        <v>6780366.8600000022</v>
      </c>
    </row>
    <row r="1277" spans="1:15">
      <c r="A1277" s="361">
        <f t="shared" si="222"/>
        <v>7</v>
      </c>
      <c r="B1277" s="365">
        <v>303.99</v>
      </c>
      <c r="C1277" s="358" t="s">
        <v>1129</v>
      </c>
      <c r="D1277" s="1244">
        <f t="shared" si="217"/>
        <v>1955302.57</v>
      </c>
      <c r="E1277" s="1244">
        <v>104723.39</v>
      </c>
      <c r="F1277" s="1244">
        <v>0</v>
      </c>
      <c r="G1277" s="1244">
        <f t="shared" si="218"/>
        <v>2060025.96</v>
      </c>
      <c r="H1277" s="1243"/>
      <c r="I1277" s="1244">
        <f t="shared" si="219"/>
        <v>952244.59000000008</v>
      </c>
      <c r="J1277" s="1243"/>
      <c r="K1277" s="1244">
        <v>35306.15</v>
      </c>
      <c r="L1277" s="1244">
        <v>0</v>
      </c>
      <c r="M1277" s="1244">
        <f t="shared" si="220"/>
        <v>0</v>
      </c>
      <c r="N1277" s="1244">
        <v>0</v>
      </c>
      <c r="O1277" s="1244">
        <f t="shared" si="221"/>
        <v>987550.74000000011</v>
      </c>
    </row>
    <row r="1278" spans="1:15">
      <c r="A1278" s="361">
        <f t="shared" si="222"/>
        <v>8</v>
      </c>
      <c r="B1278" s="367"/>
      <c r="C1278" s="358" t="s">
        <v>379</v>
      </c>
      <c r="D1278" s="1243">
        <f>SUM(D1272:D1277)</f>
        <v>14761716.650000002</v>
      </c>
      <c r="E1278" s="1243">
        <f>SUM(E1272:E1277)</f>
        <v>604431.04</v>
      </c>
      <c r="F1278" s="1243">
        <f>SUM(F1272:F1277)</f>
        <v>-105701.91</v>
      </c>
      <c r="G1278" s="1243">
        <f>SUM(G1272:G1277)</f>
        <v>15260445.780000001</v>
      </c>
      <c r="H1278" s="1243"/>
      <c r="I1278" s="1243">
        <f>SUM(I1272:I1277)</f>
        <v>7713387.8500000015</v>
      </c>
      <c r="J1278" s="1243"/>
      <c r="K1278" s="1243">
        <f>SUM(K1272:K1277)</f>
        <v>239412.40999999997</v>
      </c>
      <c r="L1278" s="1243">
        <f>SUM(L1272:L1277)</f>
        <v>0</v>
      </c>
      <c r="M1278" s="1243">
        <f>SUM(M1272:M1277)</f>
        <v>-105701.91</v>
      </c>
      <c r="N1278" s="1243">
        <f>SUM(N1272:N1277)</f>
        <v>0</v>
      </c>
      <c r="O1278" s="1243">
        <f>SUM(O1272:O1277)</f>
        <v>7847098.3500000024</v>
      </c>
    </row>
    <row r="1279" spans="1:15">
      <c r="A1279" s="361"/>
      <c r="B1279" s="367"/>
      <c r="C1279" s="368"/>
      <c r="D1279" s="1243"/>
      <c r="E1279" s="1243"/>
      <c r="F1279" s="1243"/>
      <c r="G1279" s="1243"/>
      <c r="H1279" s="1243"/>
      <c r="I1279" s="1243"/>
      <c r="J1279" s="1243"/>
      <c r="K1279" s="1243"/>
      <c r="L1279" s="1243"/>
      <c r="M1279" s="1243"/>
      <c r="N1279" s="1243"/>
      <c r="O1279" s="1243"/>
    </row>
    <row r="1280" spans="1:15">
      <c r="A1280" s="361">
        <f>A1278+1</f>
        <v>9</v>
      </c>
      <c r="B1280" s="362" t="s">
        <v>1600</v>
      </c>
      <c r="C1280" s="840"/>
      <c r="D1280" s="1243"/>
      <c r="E1280" s="1243"/>
      <c r="F1280" s="1243"/>
      <c r="G1280" s="1243"/>
      <c r="H1280" s="1243"/>
      <c r="I1280" s="1243"/>
      <c r="J1280" s="1243"/>
      <c r="K1280" s="1243"/>
      <c r="L1280" s="1243"/>
      <c r="M1280" s="1243"/>
      <c r="N1280" s="1243"/>
      <c r="O1280" s="1243"/>
    </row>
    <row r="1281" spans="1:15">
      <c r="A1281" s="361">
        <f t="shared" ref="A1281:A1311" si="223">A1280+1</f>
        <v>10</v>
      </c>
      <c r="B1281" s="365">
        <v>374.1</v>
      </c>
      <c r="C1281" s="358" t="s">
        <v>382</v>
      </c>
      <c r="D1281" s="1243">
        <f t="shared" ref="D1281:D1310" si="224">G1167</f>
        <v>206</v>
      </c>
      <c r="E1281" s="1243">
        <v>0</v>
      </c>
      <c r="F1281" s="1243">
        <v>-0.6</v>
      </c>
      <c r="G1281" s="1243">
        <f>SUM(D1281:F1281)</f>
        <v>205.4</v>
      </c>
      <c r="H1281" s="1243"/>
      <c r="I1281" s="1243">
        <f t="shared" ref="I1281:I1310" si="225">O1167</f>
        <v>0</v>
      </c>
      <c r="J1281" s="1243"/>
      <c r="K1281" s="1243">
        <v>0</v>
      </c>
      <c r="L1281" s="1243">
        <v>0</v>
      </c>
      <c r="M1281" s="1243">
        <v>0</v>
      </c>
      <c r="N1281" s="1243">
        <v>0</v>
      </c>
      <c r="O1281" s="1243">
        <f t="shared" ref="O1281:O1310" si="226">I1281+K1281+L1281+M1281+N1281</f>
        <v>0</v>
      </c>
    </row>
    <row r="1282" spans="1:15">
      <c r="A1282" s="361">
        <f t="shared" si="223"/>
        <v>11</v>
      </c>
      <c r="B1282" s="365">
        <v>374.2</v>
      </c>
      <c r="C1282" s="358" t="s">
        <v>383</v>
      </c>
      <c r="D1282" s="1243">
        <f t="shared" si="224"/>
        <v>876986.66</v>
      </c>
      <c r="E1282" s="1243">
        <v>0</v>
      </c>
      <c r="F1282" s="1243">
        <v>0</v>
      </c>
      <c r="G1282" s="1243">
        <f t="shared" ref="G1282:G1310" si="227">SUM(D1282:F1282)</f>
        <v>876986.66</v>
      </c>
      <c r="H1282" s="1243"/>
      <c r="I1282" s="1243">
        <f t="shared" si="225"/>
        <v>-522.25</v>
      </c>
      <c r="J1282" s="1243"/>
      <c r="K1282" s="1243">
        <v>0</v>
      </c>
      <c r="L1282" s="1243">
        <v>0</v>
      </c>
      <c r="M1282" s="1243">
        <f t="shared" ref="M1282:M1310" si="228">F1282</f>
        <v>0</v>
      </c>
      <c r="N1282" s="1243">
        <v>0</v>
      </c>
      <c r="O1282" s="1243">
        <f t="shared" si="226"/>
        <v>-522.25</v>
      </c>
    </row>
    <row r="1283" spans="1:15">
      <c r="A1283" s="361">
        <f t="shared" si="223"/>
        <v>12</v>
      </c>
      <c r="B1283" s="365">
        <v>374.4</v>
      </c>
      <c r="C1283" s="358" t="s">
        <v>384</v>
      </c>
      <c r="D1283" s="1243">
        <f t="shared" si="224"/>
        <v>2895472.72</v>
      </c>
      <c r="E1283" s="1243">
        <v>62353.43</v>
      </c>
      <c r="F1283" s="1243">
        <v>0</v>
      </c>
      <c r="G1283" s="1243">
        <f t="shared" si="227"/>
        <v>2957826.1500000004</v>
      </c>
      <c r="H1283" s="1243"/>
      <c r="I1283" s="1243">
        <f t="shared" si="225"/>
        <v>365784.17000000004</v>
      </c>
      <c r="J1283" s="1243"/>
      <c r="K1283" s="1243">
        <v>3097.37</v>
      </c>
      <c r="L1283" s="1243">
        <v>0</v>
      </c>
      <c r="M1283" s="1243">
        <f t="shared" si="228"/>
        <v>0</v>
      </c>
      <c r="N1283" s="1243">
        <v>0</v>
      </c>
      <c r="O1283" s="1243">
        <f t="shared" si="226"/>
        <v>368881.54000000004</v>
      </c>
    </row>
    <row r="1284" spans="1:15">
      <c r="A1284" s="361">
        <f t="shared" si="223"/>
        <v>13</v>
      </c>
      <c r="B1284" s="365">
        <v>374.5</v>
      </c>
      <c r="C1284" s="358" t="s">
        <v>385</v>
      </c>
      <c r="D1284" s="1243">
        <f t="shared" si="224"/>
        <v>2666577.16</v>
      </c>
      <c r="E1284" s="1243">
        <v>0</v>
      </c>
      <c r="F1284" s="1243">
        <v>0</v>
      </c>
      <c r="G1284" s="1243">
        <f t="shared" si="227"/>
        <v>2666577.16</v>
      </c>
      <c r="H1284" s="1243"/>
      <c r="I1284" s="1243">
        <f t="shared" si="225"/>
        <v>1153855.110000001</v>
      </c>
      <c r="J1284" s="1243"/>
      <c r="K1284" s="1243">
        <v>2444.36</v>
      </c>
      <c r="L1284" s="1243">
        <v>0</v>
      </c>
      <c r="M1284" s="1243">
        <f t="shared" si="228"/>
        <v>0</v>
      </c>
      <c r="N1284" s="1243">
        <v>0</v>
      </c>
      <c r="O1284" s="1243">
        <f t="shared" si="226"/>
        <v>1156299.4700000011</v>
      </c>
    </row>
    <row r="1285" spans="1:15">
      <c r="A1285" s="361">
        <f t="shared" si="223"/>
        <v>14</v>
      </c>
      <c r="B1285" s="365">
        <v>375.2</v>
      </c>
      <c r="C1285" s="358" t="s">
        <v>386</v>
      </c>
      <c r="D1285" s="1243">
        <f t="shared" si="224"/>
        <v>2124.98</v>
      </c>
      <c r="E1285" s="1243">
        <v>0</v>
      </c>
      <c r="F1285" s="1243">
        <v>0</v>
      </c>
      <c r="G1285" s="1243">
        <f t="shared" si="227"/>
        <v>2124.98</v>
      </c>
      <c r="H1285" s="1243"/>
      <c r="I1285" s="1243">
        <f t="shared" si="225"/>
        <v>2061.11</v>
      </c>
      <c r="J1285" s="1243"/>
      <c r="K1285" s="1243">
        <v>0.73</v>
      </c>
      <c r="L1285" s="1243">
        <v>0</v>
      </c>
      <c r="M1285" s="1243">
        <f t="shared" si="228"/>
        <v>0</v>
      </c>
      <c r="N1285" s="1243">
        <v>0</v>
      </c>
      <c r="O1285" s="1243">
        <f t="shared" si="226"/>
        <v>2061.84</v>
      </c>
    </row>
    <row r="1286" spans="1:15">
      <c r="A1286" s="361">
        <f t="shared" si="223"/>
        <v>15</v>
      </c>
      <c r="B1286" s="365">
        <v>375.3</v>
      </c>
      <c r="C1286" s="358" t="s">
        <v>387</v>
      </c>
      <c r="D1286" s="1243">
        <f t="shared" si="224"/>
        <v>0</v>
      </c>
      <c r="E1286" s="1243">
        <v>0</v>
      </c>
      <c r="F1286" s="1243">
        <v>0</v>
      </c>
      <c r="G1286" s="1243">
        <f t="shared" si="227"/>
        <v>0</v>
      </c>
      <c r="H1286" s="1243"/>
      <c r="I1286" s="1243">
        <f t="shared" si="225"/>
        <v>-77.66</v>
      </c>
      <c r="J1286" s="1243"/>
      <c r="K1286" s="1243">
        <v>0</v>
      </c>
      <c r="L1286" s="1243">
        <v>0</v>
      </c>
      <c r="M1286" s="1243">
        <f t="shared" si="228"/>
        <v>0</v>
      </c>
      <c r="N1286" s="1243">
        <v>0</v>
      </c>
      <c r="O1286" s="1243">
        <f t="shared" si="226"/>
        <v>-77.66</v>
      </c>
    </row>
    <row r="1287" spans="1:15">
      <c r="A1287" s="361">
        <f t="shared" si="223"/>
        <v>16</v>
      </c>
      <c r="B1287" s="365">
        <v>375.4</v>
      </c>
      <c r="C1287" s="358" t="s">
        <v>388</v>
      </c>
      <c r="D1287" s="1243">
        <f t="shared" si="224"/>
        <v>3003360.8599999994</v>
      </c>
      <c r="E1287" s="1243">
        <v>-31.720000000000002</v>
      </c>
      <c r="F1287" s="1243">
        <v>-6338.6100000000006</v>
      </c>
      <c r="G1287" s="1243">
        <f t="shared" si="227"/>
        <v>2996990.5299999993</v>
      </c>
      <c r="H1287" s="1243"/>
      <c r="I1287" s="1243">
        <f t="shared" si="225"/>
        <v>595456.9800000001</v>
      </c>
      <c r="J1287" s="1243"/>
      <c r="K1287" s="1243">
        <v>5425.32</v>
      </c>
      <c r="L1287" s="1243">
        <v>0</v>
      </c>
      <c r="M1287" s="1243">
        <f t="shared" si="228"/>
        <v>-6338.6100000000006</v>
      </c>
      <c r="N1287" s="1243">
        <v>0</v>
      </c>
      <c r="O1287" s="1243">
        <f t="shared" si="226"/>
        <v>594543.69000000006</v>
      </c>
    </row>
    <row r="1288" spans="1:15">
      <c r="A1288" s="361">
        <f t="shared" si="223"/>
        <v>17</v>
      </c>
      <c r="B1288" s="365">
        <v>375.6</v>
      </c>
      <c r="C1288" s="358" t="s">
        <v>389</v>
      </c>
      <c r="D1288" s="1243">
        <f t="shared" si="224"/>
        <v>0</v>
      </c>
      <c r="E1288" s="1243">
        <v>0</v>
      </c>
      <c r="F1288" s="1243">
        <v>0</v>
      </c>
      <c r="G1288" s="1243">
        <f t="shared" si="227"/>
        <v>0</v>
      </c>
      <c r="H1288" s="1243"/>
      <c r="I1288" s="1243">
        <f t="shared" si="225"/>
        <v>0.02</v>
      </c>
      <c r="J1288" s="1243"/>
      <c r="K1288" s="1243">
        <v>0</v>
      </c>
      <c r="L1288" s="1243">
        <v>0</v>
      </c>
      <c r="M1288" s="1243">
        <f t="shared" si="228"/>
        <v>0</v>
      </c>
      <c r="N1288" s="1243">
        <v>0</v>
      </c>
      <c r="O1288" s="1243">
        <f t="shared" si="226"/>
        <v>0.02</v>
      </c>
    </row>
    <row r="1289" spans="1:15">
      <c r="A1289" s="361">
        <f t="shared" si="223"/>
        <v>18</v>
      </c>
      <c r="B1289" s="365">
        <v>375.7</v>
      </c>
      <c r="C1289" s="358" t="s">
        <v>390</v>
      </c>
      <c r="D1289" s="1243">
        <f t="shared" si="224"/>
        <v>9545197.1300000008</v>
      </c>
      <c r="E1289" s="1243">
        <v>34230.83</v>
      </c>
      <c r="F1289" s="1243">
        <v>-6808.5</v>
      </c>
      <c r="G1289" s="1243">
        <f t="shared" si="227"/>
        <v>9572619.4600000009</v>
      </c>
      <c r="H1289" s="1243"/>
      <c r="I1289" s="1243">
        <f t="shared" si="225"/>
        <v>4678654.5999999978</v>
      </c>
      <c r="J1289" s="1243"/>
      <c r="K1289" s="1243">
        <v>18639.87</v>
      </c>
      <c r="L1289" s="1243">
        <v>0</v>
      </c>
      <c r="M1289" s="1243">
        <f t="shared" si="228"/>
        <v>-6808.5</v>
      </c>
      <c r="N1289" s="1243">
        <v>0</v>
      </c>
      <c r="O1289" s="1243">
        <f t="shared" si="226"/>
        <v>4690485.9699999979</v>
      </c>
    </row>
    <row r="1290" spans="1:15">
      <c r="A1290" s="361">
        <f t="shared" si="223"/>
        <v>19</v>
      </c>
      <c r="B1290" s="365">
        <v>375.71</v>
      </c>
      <c r="C1290" s="358" t="s">
        <v>391</v>
      </c>
      <c r="D1290" s="1243">
        <f t="shared" si="224"/>
        <v>880994.59</v>
      </c>
      <c r="E1290" s="1243">
        <v>0</v>
      </c>
      <c r="F1290" s="1243">
        <v>0</v>
      </c>
      <c r="G1290" s="1243">
        <f t="shared" si="227"/>
        <v>880994.59</v>
      </c>
      <c r="H1290" s="1243"/>
      <c r="I1290" s="1243">
        <f t="shared" si="225"/>
        <v>754219.59000000032</v>
      </c>
      <c r="J1290" s="1243"/>
      <c r="K1290" s="1243">
        <v>4743.54</v>
      </c>
      <c r="L1290" s="1243">
        <v>0</v>
      </c>
      <c r="M1290" s="1243">
        <f t="shared" si="228"/>
        <v>0</v>
      </c>
      <c r="N1290" s="1243">
        <v>0</v>
      </c>
      <c r="O1290" s="1243">
        <f t="shared" si="226"/>
        <v>758963.13000000035</v>
      </c>
    </row>
    <row r="1291" spans="1:15">
      <c r="A1291" s="361">
        <f t="shared" si="223"/>
        <v>20</v>
      </c>
      <c r="B1291" s="365">
        <v>375.8</v>
      </c>
      <c r="C1291" s="358" t="s">
        <v>392</v>
      </c>
      <c r="D1291" s="1243">
        <f t="shared" si="224"/>
        <v>132125.04</v>
      </c>
      <c r="E1291" s="1243">
        <v>0</v>
      </c>
      <c r="F1291" s="1243">
        <v>0</v>
      </c>
      <c r="G1291" s="1243">
        <f t="shared" si="227"/>
        <v>132125.04</v>
      </c>
      <c r="H1291" s="1243"/>
      <c r="I1291" s="1243">
        <f t="shared" si="225"/>
        <v>10241.18</v>
      </c>
      <c r="J1291" s="1243"/>
      <c r="K1291" s="1243">
        <v>585.75</v>
      </c>
      <c r="L1291" s="1243">
        <v>0</v>
      </c>
      <c r="M1291" s="1243">
        <f t="shared" si="228"/>
        <v>0</v>
      </c>
      <c r="N1291" s="1243">
        <v>0</v>
      </c>
      <c r="O1291" s="1243">
        <f t="shared" si="226"/>
        <v>10826.93</v>
      </c>
    </row>
    <row r="1292" spans="1:15">
      <c r="A1292" s="361">
        <f t="shared" si="223"/>
        <v>21</v>
      </c>
      <c r="B1292" s="365">
        <v>376</v>
      </c>
      <c r="C1292" s="358" t="s">
        <v>1621</v>
      </c>
      <c r="D1292" s="1243">
        <f t="shared" si="224"/>
        <v>410150106.06999999</v>
      </c>
      <c r="E1292" s="1243">
        <f>'WPB-2.1.D SMRP'!E533</f>
        <v>1791171.3500000006</v>
      </c>
      <c r="F1292" s="1243">
        <f>'WPB-2.1.D SMRP'!F533</f>
        <v>-649699.75999999989</v>
      </c>
      <c r="G1292" s="1243">
        <f t="shared" si="227"/>
        <v>411291577.66000003</v>
      </c>
      <c r="H1292" s="1243"/>
      <c r="I1292" s="1243">
        <f t="shared" si="225"/>
        <v>79737772.509000033</v>
      </c>
      <c r="J1292" s="1243"/>
      <c r="K1292" s="1243">
        <f>'WPB-2.1.D SMRP'!K533</f>
        <v>591884.53899999999</v>
      </c>
      <c r="L1292" s="1243">
        <v>0</v>
      </c>
      <c r="M1292" s="1243">
        <f>F1292</f>
        <v>-649699.75999999989</v>
      </c>
      <c r="N1292" s="1243">
        <f>'WPB-2.1.D SMRP'!N533</f>
        <v>-25524.080000000002</v>
      </c>
      <c r="O1292" s="1243">
        <f t="shared" si="226"/>
        <v>79654433.208000034</v>
      </c>
    </row>
    <row r="1293" spans="1:15">
      <c r="A1293" s="361">
        <f t="shared" si="223"/>
        <v>22</v>
      </c>
      <c r="B1293" s="365">
        <v>378.1</v>
      </c>
      <c r="C1293" s="358" t="s">
        <v>394</v>
      </c>
      <c r="D1293" s="1243">
        <f t="shared" si="224"/>
        <v>571573.2300000001</v>
      </c>
      <c r="E1293" s="1243">
        <v>0</v>
      </c>
      <c r="F1293" s="1243">
        <v>-193.67000000000002</v>
      </c>
      <c r="G1293" s="1243">
        <f t="shared" si="227"/>
        <v>571379.56000000006</v>
      </c>
      <c r="H1293" s="1243"/>
      <c r="I1293" s="1243">
        <f t="shared" si="225"/>
        <v>411155.39999999997</v>
      </c>
      <c r="J1293" s="1243"/>
      <c r="K1293" s="1243">
        <v>1032.1200000000001</v>
      </c>
      <c r="L1293" s="1243">
        <v>0</v>
      </c>
      <c r="M1293" s="1243">
        <f t="shared" si="228"/>
        <v>-193.67000000000002</v>
      </c>
      <c r="N1293" s="1243">
        <v>-642.64</v>
      </c>
      <c r="O1293" s="1243">
        <f t="shared" si="226"/>
        <v>411351.20999999996</v>
      </c>
    </row>
    <row r="1294" spans="1:15">
      <c r="A1294" s="361">
        <f t="shared" si="223"/>
        <v>23</v>
      </c>
      <c r="B1294" s="365">
        <v>378.2</v>
      </c>
      <c r="C1294" s="358" t="s">
        <v>1622</v>
      </c>
      <c r="D1294" s="1243">
        <f t="shared" si="224"/>
        <v>25341907.280000001</v>
      </c>
      <c r="E1294" s="1243">
        <f>'WPB-2.1.D SMRP'!E537</f>
        <v>-518.45000000000005</v>
      </c>
      <c r="F1294" s="1243">
        <f>'WPB-2.1.D SMRP'!F537</f>
        <v>-167.19999999999709</v>
      </c>
      <c r="G1294" s="1243">
        <f t="shared" si="227"/>
        <v>25341221.630000003</v>
      </c>
      <c r="H1294" s="1243"/>
      <c r="I1294" s="1243">
        <f t="shared" si="225"/>
        <v>3336732.2050000005</v>
      </c>
      <c r="J1294" s="1243"/>
      <c r="K1294" s="1243">
        <f>'WPB-2.1.D SMRP'!K537</f>
        <v>53373.957000000002</v>
      </c>
      <c r="L1294" s="1243">
        <v>0</v>
      </c>
      <c r="M1294" s="1243">
        <f>F1294</f>
        <v>-167.19999999999709</v>
      </c>
      <c r="N1294" s="1243">
        <f>'WPB-2.1.D SMRP'!N537</f>
        <v>0</v>
      </c>
      <c r="O1294" s="1243">
        <f t="shared" si="226"/>
        <v>3389938.9620000003</v>
      </c>
    </row>
    <row r="1295" spans="1:15">
      <c r="A1295" s="361">
        <f t="shared" si="223"/>
        <v>24</v>
      </c>
      <c r="B1295" s="365">
        <v>378.3</v>
      </c>
      <c r="C1295" s="358" t="s">
        <v>396</v>
      </c>
      <c r="D1295" s="1243">
        <f t="shared" si="224"/>
        <v>45443.08</v>
      </c>
      <c r="E1295" s="1243">
        <v>0</v>
      </c>
      <c r="F1295" s="1243">
        <v>0</v>
      </c>
      <c r="G1295" s="1243">
        <f t="shared" si="227"/>
        <v>45443.08</v>
      </c>
      <c r="H1295" s="1243"/>
      <c r="I1295" s="1243">
        <f t="shared" si="225"/>
        <v>43072.030000000006</v>
      </c>
      <c r="J1295" s="1243"/>
      <c r="K1295" s="1243">
        <v>95.43</v>
      </c>
      <c r="L1295" s="1243">
        <v>0</v>
      </c>
      <c r="M1295" s="1243">
        <f t="shared" si="228"/>
        <v>0</v>
      </c>
      <c r="N1295" s="1243">
        <v>0</v>
      </c>
      <c r="O1295" s="1243">
        <f t="shared" si="226"/>
        <v>43167.460000000006</v>
      </c>
    </row>
    <row r="1296" spans="1:15">
      <c r="A1296" s="361">
        <f t="shared" si="223"/>
        <v>25</v>
      </c>
      <c r="B1296" s="365">
        <v>379.1</v>
      </c>
      <c r="C1296" s="358" t="s">
        <v>397</v>
      </c>
      <c r="D1296" s="1243">
        <f t="shared" si="224"/>
        <v>1554144.06</v>
      </c>
      <c r="E1296" s="1243">
        <v>0</v>
      </c>
      <c r="F1296" s="1243">
        <v>0</v>
      </c>
      <c r="G1296" s="1243">
        <f t="shared" si="227"/>
        <v>1554144.06</v>
      </c>
      <c r="H1296" s="1243"/>
      <c r="I1296" s="1243">
        <f t="shared" si="225"/>
        <v>348250.62000000005</v>
      </c>
      <c r="J1296" s="1243"/>
      <c r="K1296" s="1243">
        <v>3134.19</v>
      </c>
      <c r="L1296" s="1243">
        <v>0</v>
      </c>
      <c r="M1296" s="1243">
        <f t="shared" si="228"/>
        <v>0</v>
      </c>
      <c r="N1296" s="1243">
        <v>0</v>
      </c>
      <c r="O1296" s="1243">
        <f t="shared" si="226"/>
        <v>351384.81000000006</v>
      </c>
    </row>
    <row r="1297" spans="1:15">
      <c r="A1297" s="361">
        <f t="shared" si="223"/>
        <v>26</v>
      </c>
      <c r="B1297" s="365">
        <v>380</v>
      </c>
      <c r="C1297" s="358" t="s">
        <v>1623</v>
      </c>
      <c r="D1297" s="1243">
        <f t="shared" si="224"/>
        <v>200913073.45287967</v>
      </c>
      <c r="E1297" s="1243">
        <f>'WPB-2.1.D SMRP'!E541</f>
        <v>1124048.4200000002</v>
      </c>
      <c r="F1297" s="1243">
        <f>'WPB-2.1.D SMRP'!F541</f>
        <v>-47791.513450049039</v>
      </c>
      <c r="G1297" s="1243">
        <f t="shared" si="227"/>
        <v>201989330.3594296</v>
      </c>
      <c r="H1297" s="1243"/>
      <c r="I1297" s="1243">
        <f t="shared" si="225"/>
        <v>58610847.045193687</v>
      </c>
      <c r="J1297" s="1243"/>
      <c r="K1297" s="1243">
        <f>'WPB-2.1.D SMRP'!K541</f>
        <v>679235.3820000001</v>
      </c>
      <c r="L1297" s="1243">
        <f>'WPB-2.1.D SMRP'!L541</f>
        <v>0</v>
      </c>
      <c r="M1297" s="1243">
        <f>F1297</f>
        <v>-47791.513450049039</v>
      </c>
      <c r="N1297" s="1243">
        <f>'WPB-2.1.D SMRP'!N541</f>
        <v>-26525.017722000019</v>
      </c>
      <c r="O1297" s="1243">
        <f t="shared" si="226"/>
        <v>59215765.896021634</v>
      </c>
    </row>
    <row r="1298" spans="1:15">
      <c r="A1298" s="361">
        <f t="shared" si="223"/>
        <v>27</v>
      </c>
      <c r="B1298" s="365">
        <v>381</v>
      </c>
      <c r="C1298" s="358" t="s">
        <v>399</v>
      </c>
      <c r="D1298" s="1243">
        <f t="shared" si="224"/>
        <v>19383716.710000001</v>
      </c>
      <c r="E1298" s="1243">
        <v>71972.62</v>
      </c>
      <c r="F1298" s="1243">
        <v>-60.52</v>
      </c>
      <c r="G1298" s="1243">
        <f t="shared" si="227"/>
        <v>19455628.810000002</v>
      </c>
      <c r="H1298" s="1243"/>
      <c r="I1298" s="1243">
        <f t="shared" si="225"/>
        <v>2467945.7499999995</v>
      </c>
      <c r="J1298" s="1243"/>
      <c r="K1298" s="1243">
        <v>42885.11</v>
      </c>
      <c r="L1298" s="1243">
        <v>0</v>
      </c>
      <c r="M1298" s="1243">
        <f t="shared" si="228"/>
        <v>-60.52</v>
      </c>
      <c r="N1298" s="1243">
        <v>-8519.64</v>
      </c>
      <c r="O1298" s="1243">
        <f t="shared" si="226"/>
        <v>2502250.6999999993</v>
      </c>
    </row>
    <row r="1299" spans="1:15">
      <c r="A1299" s="361">
        <f t="shared" si="223"/>
        <v>28</v>
      </c>
      <c r="B1299" s="365">
        <v>381.1</v>
      </c>
      <c r="C1299" s="358" t="s">
        <v>2366</v>
      </c>
      <c r="D1299" s="1243">
        <f t="shared" si="224"/>
        <v>9980854.4800000004</v>
      </c>
      <c r="E1299" s="1243">
        <v>0</v>
      </c>
      <c r="F1299" s="1243">
        <v>0</v>
      </c>
      <c r="G1299" s="1243">
        <f t="shared" si="227"/>
        <v>9980854.4800000004</v>
      </c>
      <c r="H1299" s="1243"/>
      <c r="I1299" s="1243">
        <f t="shared" si="225"/>
        <v>5298885.0600000024</v>
      </c>
      <c r="J1299" s="1243"/>
      <c r="K1299" s="1243">
        <v>62213.99</v>
      </c>
      <c r="L1299" s="1243">
        <v>0</v>
      </c>
      <c r="M1299" s="1243">
        <f t="shared" si="228"/>
        <v>0</v>
      </c>
      <c r="N1299" s="1243">
        <v>0</v>
      </c>
      <c r="O1299" s="1243">
        <f t="shared" si="226"/>
        <v>5361099.0500000026</v>
      </c>
    </row>
    <row r="1300" spans="1:15">
      <c r="A1300" s="361">
        <f t="shared" si="223"/>
        <v>29</v>
      </c>
      <c r="B1300" s="365">
        <v>382</v>
      </c>
      <c r="C1300" s="358" t="s">
        <v>1624</v>
      </c>
      <c r="D1300" s="1243">
        <f t="shared" si="224"/>
        <v>10468577.359999999</v>
      </c>
      <c r="E1300" s="1243">
        <f>'WPB-2.1.D SMRP'!E545</f>
        <v>96735.79</v>
      </c>
      <c r="F1300" s="1243">
        <f>'WPB-2.1.D SMRP'!F545</f>
        <v>0</v>
      </c>
      <c r="G1300" s="1243">
        <f t="shared" si="227"/>
        <v>10565313.149999999</v>
      </c>
      <c r="H1300" s="1243"/>
      <c r="I1300" s="1243">
        <f t="shared" si="225"/>
        <v>5827050.5340000018</v>
      </c>
      <c r="J1300" s="1243"/>
      <c r="K1300" s="1243">
        <f>'WPB-2.1.D SMRP'!K545</f>
        <v>15512.469000000001</v>
      </c>
      <c r="L1300" s="1243">
        <v>0</v>
      </c>
      <c r="M1300" s="1243">
        <f t="shared" si="228"/>
        <v>0</v>
      </c>
      <c r="N1300" s="1243">
        <f>'WPB-2.1.D SMRP'!N545</f>
        <v>0</v>
      </c>
      <c r="O1300" s="1243">
        <f t="shared" si="226"/>
        <v>5842563.0030000014</v>
      </c>
    </row>
    <row r="1301" spans="1:15">
      <c r="A1301" s="361">
        <f t="shared" si="223"/>
        <v>30</v>
      </c>
      <c r="B1301" s="365">
        <v>383</v>
      </c>
      <c r="C1301" s="358" t="s">
        <v>1625</v>
      </c>
      <c r="D1301" s="1243">
        <f t="shared" si="224"/>
        <v>7308100.7299999995</v>
      </c>
      <c r="E1301" s="1243">
        <f>'WPB-2.1.D SMRP'!E549</f>
        <v>26459</v>
      </c>
      <c r="F1301" s="1243">
        <f>'WPB-2.1.D SMRP'!F549</f>
        <v>0</v>
      </c>
      <c r="G1301" s="1243">
        <f t="shared" si="227"/>
        <v>7334559.7299999995</v>
      </c>
      <c r="H1301" s="1243"/>
      <c r="I1301" s="1243">
        <f t="shared" si="225"/>
        <v>2474615.19</v>
      </c>
      <c r="J1301" s="1243"/>
      <c r="K1301" s="1243">
        <f>'WPB-2.1.D SMRP'!K549</f>
        <v>11835.902</v>
      </c>
      <c r="L1301" s="1243">
        <v>0</v>
      </c>
      <c r="M1301" s="1243">
        <f t="shared" si="228"/>
        <v>0</v>
      </c>
      <c r="N1301" s="1243">
        <f>'WPB-2.1.D SMRP'!N549</f>
        <v>0</v>
      </c>
      <c r="O1301" s="1243">
        <f t="shared" si="226"/>
        <v>2486451.0919999997</v>
      </c>
    </row>
    <row r="1302" spans="1:15">
      <c r="A1302" s="361">
        <f t="shared" si="223"/>
        <v>31</v>
      </c>
      <c r="B1302" s="365">
        <v>384</v>
      </c>
      <c r="C1302" s="358" t="s">
        <v>402</v>
      </c>
      <c r="D1302" s="1243">
        <f t="shared" si="224"/>
        <v>2085058.65</v>
      </c>
      <c r="E1302" s="1243">
        <v>0</v>
      </c>
      <c r="F1302" s="1243">
        <v>0</v>
      </c>
      <c r="G1302" s="1243">
        <f t="shared" si="227"/>
        <v>2085058.65</v>
      </c>
      <c r="H1302" s="1243"/>
      <c r="I1302" s="1243">
        <f t="shared" si="225"/>
        <v>1726601.5299999993</v>
      </c>
      <c r="J1302" s="1243"/>
      <c r="K1302" s="1243">
        <v>1720.17</v>
      </c>
      <c r="L1302" s="1243">
        <v>0</v>
      </c>
      <c r="M1302" s="1243">
        <f t="shared" si="228"/>
        <v>0</v>
      </c>
      <c r="N1302" s="1243">
        <v>0</v>
      </c>
      <c r="O1302" s="1243">
        <f t="shared" si="226"/>
        <v>1728321.6999999993</v>
      </c>
    </row>
    <row r="1303" spans="1:15">
      <c r="A1303" s="361">
        <f t="shared" si="223"/>
        <v>32</v>
      </c>
      <c r="B1303" s="365">
        <v>385</v>
      </c>
      <c r="C1303" s="358" t="s">
        <v>403</v>
      </c>
      <c r="D1303" s="1243">
        <f t="shared" si="224"/>
        <v>6051843.540000001</v>
      </c>
      <c r="E1303" s="1243">
        <v>-437.72999999999593</v>
      </c>
      <c r="F1303" s="1243">
        <v>-711.49</v>
      </c>
      <c r="G1303" s="1243">
        <f t="shared" si="227"/>
        <v>6050694.3200000003</v>
      </c>
      <c r="H1303" s="1243"/>
      <c r="I1303" s="1243">
        <f t="shared" si="225"/>
        <v>769133.14</v>
      </c>
      <c r="J1303" s="1243"/>
      <c r="K1303" s="1243">
        <v>18809.37</v>
      </c>
      <c r="L1303" s="1243">
        <v>0</v>
      </c>
      <c r="M1303" s="1243">
        <f t="shared" si="228"/>
        <v>-711.49</v>
      </c>
      <c r="N1303" s="1243">
        <v>-1405.56</v>
      </c>
      <c r="O1303" s="1243">
        <f t="shared" si="226"/>
        <v>785825.46</v>
      </c>
    </row>
    <row r="1304" spans="1:15">
      <c r="A1304" s="361">
        <f t="shared" si="223"/>
        <v>33</v>
      </c>
      <c r="B1304" s="365">
        <v>387.2</v>
      </c>
      <c r="C1304" s="358" t="s">
        <v>404</v>
      </c>
      <c r="D1304" s="1243">
        <f t="shared" si="224"/>
        <v>0</v>
      </c>
      <c r="E1304" s="1243">
        <v>0</v>
      </c>
      <c r="F1304" s="1243">
        <v>0</v>
      </c>
      <c r="G1304" s="1243">
        <f t="shared" si="227"/>
        <v>0</v>
      </c>
      <c r="H1304" s="1243"/>
      <c r="I1304" s="1243">
        <f t="shared" si="225"/>
        <v>-59912.03</v>
      </c>
      <c r="J1304" s="1243"/>
      <c r="K1304" s="1243">
        <v>0</v>
      </c>
      <c r="L1304" s="1243">
        <v>0</v>
      </c>
      <c r="M1304" s="1243">
        <f t="shared" si="228"/>
        <v>0</v>
      </c>
      <c r="N1304" s="1243">
        <v>0</v>
      </c>
      <c r="O1304" s="1243">
        <f t="shared" si="226"/>
        <v>-59912.03</v>
      </c>
    </row>
    <row r="1305" spans="1:15">
      <c r="A1305" s="361">
        <f t="shared" si="223"/>
        <v>34</v>
      </c>
      <c r="B1305" s="365">
        <v>387.41</v>
      </c>
      <c r="C1305" s="358" t="s">
        <v>405</v>
      </c>
      <c r="D1305" s="1243">
        <f t="shared" si="224"/>
        <v>260538.46000000008</v>
      </c>
      <c r="E1305" s="1243">
        <v>0</v>
      </c>
      <c r="F1305" s="1243">
        <v>0</v>
      </c>
      <c r="G1305" s="1243">
        <f t="shared" si="227"/>
        <v>260538.46000000008</v>
      </c>
      <c r="H1305" s="1243"/>
      <c r="I1305" s="1243">
        <f t="shared" si="225"/>
        <v>59790.300000000061</v>
      </c>
      <c r="J1305" s="1243"/>
      <c r="K1305" s="1243">
        <v>670.89</v>
      </c>
      <c r="L1305" s="1243">
        <v>0</v>
      </c>
      <c r="M1305" s="1243">
        <f t="shared" si="228"/>
        <v>0</v>
      </c>
      <c r="N1305" s="1243">
        <v>0</v>
      </c>
      <c r="O1305" s="1243">
        <f t="shared" si="226"/>
        <v>60461.190000000061</v>
      </c>
    </row>
    <row r="1306" spans="1:15">
      <c r="A1306" s="361">
        <f t="shared" si="223"/>
        <v>35</v>
      </c>
      <c r="B1306" s="365">
        <v>387.42</v>
      </c>
      <c r="C1306" s="358" t="s">
        <v>406</v>
      </c>
      <c r="D1306" s="1243">
        <f t="shared" si="224"/>
        <v>419367.40000000008</v>
      </c>
      <c r="E1306" s="1243">
        <v>0</v>
      </c>
      <c r="F1306" s="1243">
        <v>0</v>
      </c>
      <c r="G1306" s="1243">
        <f t="shared" si="227"/>
        <v>419367.40000000008</v>
      </c>
      <c r="H1306" s="1243"/>
      <c r="I1306" s="1243">
        <f t="shared" si="225"/>
        <v>342266.93999999983</v>
      </c>
      <c r="J1306" s="1243"/>
      <c r="K1306" s="1243">
        <v>1132.29</v>
      </c>
      <c r="L1306" s="1243">
        <v>0</v>
      </c>
      <c r="M1306" s="1243">
        <f t="shared" si="228"/>
        <v>0</v>
      </c>
      <c r="N1306" s="1243">
        <v>0</v>
      </c>
      <c r="O1306" s="1243">
        <f t="shared" si="226"/>
        <v>343399.22999999981</v>
      </c>
    </row>
    <row r="1307" spans="1:15">
      <c r="A1307" s="361">
        <f t="shared" si="223"/>
        <v>36</v>
      </c>
      <c r="B1307" s="365">
        <v>387.44</v>
      </c>
      <c r="C1307" s="358" t="s">
        <v>407</v>
      </c>
      <c r="D1307" s="1243">
        <f t="shared" si="224"/>
        <v>124678.76000000001</v>
      </c>
      <c r="E1307" s="1243">
        <v>0</v>
      </c>
      <c r="F1307" s="1243">
        <v>0</v>
      </c>
      <c r="G1307" s="1243">
        <f t="shared" si="227"/>
        <v>124678.76000000001</v>
      </c>
      <c r="H1307" s="1243"/>
      <c r="I1307" s="1243">
        <f t="shared" si="225"/>
        <v>67069.5</v>
      </c>
      <c r="J1307" s="1243"/>
      <c r="K1307" s="1243">
        <v>336.63</v>
      </c>
      <c r="L1307" s="1243">
        <v>0</v>
      </c>
      <c r="M1307" s="1243">
        <f t="shared" si="228"/>
        <v>0</v>
      </c>
      <c r="N1307" s="1243">
        <v>0</v>
      </c>
      <c r="O1307" s="1243">
        <f t="shared" si="226"/>
        <v>67406.13</v>
      </c>
    </row>
    <row r="1308" spans="1:15">
      <c r="A1308" s="361">
        <f t="shared" si="223"/>
        <v>37</v>
      </c>
      <c r="B1308" s="365">
        <v>387.45</v>
      </c>
      <c r="C1308" s="358" t="s">
        <v>408</v>
      </c>
      <c r="D1308" s="1243">
        <f t="shared" si="224"/>
        <v>5788676.4800000004</v>
      </c>
      <c r="E1308" s="1243">
        <v>226051.48</v>
      </c>
      <c r="F1308" s="1243">
        <v>-4355.4800000000005</v>
      </c>
      <c r="G1308" s="1243">
        <f t="shared" si="227"/>
        <v>6010372.4800000004</v>
      </c>
      <c r="H1308" s="1243"/>
      <c r="I1308" s="1243">
        <f t="shared" si="225"/>
        <v>-623024.11999999988</v>
      </c>
      <c r="J1308" s="1243"/>
      <c r="K1308" s="1243">
        <v>15928.720000000001</v>
      </c>
      <c r="L1308" s="1243">
        <v>0</v>
      </c>
      <c r="M1308" s="1243">
        <f t="shared" si="228"/>
        <v>-4355.4800000000005</v>
      </c>
      <c r="N1308" s="1243">
        <v>0</v>
      </c>
      <c r="O1308" s="1243">
        <f t="shared" si="226"/>
        <v>-611450.87999999989</v>
      </c>
    </row>
    <row r="1309" spans="1:15">
      <c r="A1309" s="361">
        <f t="shared" si="223"/>
        <v>38</v>
      </c>
      <c r="B1309" s="365">
        <v>387.46</v>
      </c>
      <c r="C1309" s="358" t="s">
        <v>409</v>
      </c>
      <c r="D1309" s="1243">
        <f t="shared" si="224"/>
        <v>113644.47</v>
      </c>
      <c r="E1309" s="1243">
        <v>0</v>
      </c>
      <c r="F1309" s="1243">
        <v>0</v>
      </c>
      <c r="G1309" s="1243">
        <f t="shared" si="227"/>
        <v>113644.47</v>
      </c>
      <c r="H1309" s="1243"/>
      <c r="I1309" s="1243">
        <f t="shared" si="225"/>
        <v>114497.07</v>
      </c>
      <c r="J1309" s="1243"/>
      <c r="K1309" s="1243">
        <v>0</v>
      </c>
      <c r="L1309" s="1243">
        <v>0</v>
      </c>
      <c r="M1309" s="1243">
        <f t="shared" si="228"/>
        <v>0</v>
      </c>
      <c r="N1309" s="1243">
        <v>0</v>
      </c>
      <c r="O1309" s="1243">
        <f t="shared" si="226"/>
        <v>114497.07</v>
      </c>
    </row>
    <row r="1310" spans="1:15">
      <c r="A1310" s="361">
        <f t="shared" si="223"/>
        <v>39</v>
      </c>
      <c r="B1310" s="365">
        <v>387.5</v>
      </c>
      <c r="C1310" s="358" t="s">
        <v>1075</v>
      </c>
      <c r="D1310" s="1244">
        <f t="shared" si="224"/>
        <v>238072.69</v>
      </c>
      <c r="E1310" s="1244">
        <v>0</v>
      </c>
      <c r="F1310" s="1244">
        <v>0</v>
      </c>
      <c r="G1310" s="1244">
        <f t="shared" si="227"/>
        <v>238072.69</v>
      </c>
      <c r="H1310" s="1243"/>
      <c r="I1310" s="1244">
        <f t="shared" si="225"/>
        <v>42069.35000000002</v>
      </c>
      <c r="J1310" s="1243"/>
      <c r="K1310" s="1244">
        <v>613.04</v>
      </c>
      <c r="L1310" s="1244">
        <v>0</v>
      </c>
      <c r="M1310" s="1244">
        <f t="shared" si="228"/>
        <v>0</v>
      </c>
      <c r="N1310" s="1244">
        <v>0</v>
      </c>
      <c r="O1310" s="1244">
        <f t="shared" si="226"/>
        <v>42682.390000000021</v>
      </c>
    </row>
    <row r="1311" spans="1:15">
      <c r="A1311" s="361">
        <f t="shared" si="223"/>
        <v>40</v>
      </c>
      <c r="C1311" s="365" t="s">
        <v>1601</v>
      </c>
      <c r="D1311" s="1243">
        <f>SUM(D1281:D1310)</f>
        <v>720802422.04287982</v>
      </c>
      <c r="E1311" s="1243">
        <f>SUM(E1281:E1310)</f>
        <v>3432035.0200000009</v>
      </c>
      <c r="F1311" s="1243">
        <f>SUM(F1281:F1310)</f>
        <v>-716127.34345004894</v>
      </c>
      <c r="G1311" s="1243">
        <f>SUM(G1281:G1310)</f>
        <v>723518329.71942973</v>
      </c>
      <c r="H1311" s="1243"/>
      <c r="I1311" s="1243">
        <f>SUM(I1281:I1310)</f>
        <v>168554490.87319371</v>
      </c>
      <c r="J1311" s="1243"/>
      <c r="K1311" s="1243">
        <f>SUM(K1281:K1310)</f>
        <v>1535351.1390000002</v>
      </c>
      <c r="L1311" s="1243">
        <f>SUM(L1281:L1310)</f>
        <v>0</v>
      </c>
      <c r="M1311" s="1243">
        <f>SUM(M1281:M1310)</f>
        <v>-716126.74345004885</v>
      </c>
      <c r="N1311" s="1243">
        <f>SUM(N1281:N1310)</f>
        <v>-62616.937722000017</v>
      </c>
      <c r="O1311" s="1243">
        <f>SUM(O1281:O1310)</f>
        <v>169311098.33102161</v>
      </c>
    </row>
    <row r="1312" spans="1:15">
      <c r="B1312" s="367"/>
      <c r="C1312" s="368"/>
      <c r="D1312" s="369"/>
      <c r="E1312" s="369"/>
      <c r="F1312" s="369"/>
      <c r="G1312" s="369"/>
      <c r="I1312" s="369"/>
      <c r="J1312" s="369"/>
      <c r="K1312" s="369"/>
      <c r="L1312" s="369"/>
      <c r="M1312" s="369"/>
      <c r="N1312" s="369"/>
      <c r="O1312" s="369"/>
    </row>
    <row r="1313" spans="1:16">
      <c r="I1313" s="369"/>
      <c r="J1313" s="369"/>
      <c r="K1313" s="369"/>
      <c r="L1313" s="369"/>
      <c r="M1313" s="369"/>
      <c r="N1313" s="369"/>
      <c r="O1313" s="369"/>
    </row>
    <row r="1314" spans="1:16" s="291" customFormat="1" ht="12" customHeight="1">
      <c r="A1314" s="1308" t="str">
        <f>$A$1</f>
        <v>COLUMBIA GAS OF KENTUCKY, INC.</v>
      </c>
      <c r="B1314" s="1308"/>
      <c r="C1314" s="1308"/>
      <c r="D1314" s="1308"/>
      <c r="E1314" s="1308"/>
      <c r="F1314" s="1308"/>
      <c r="G1314" s="1308"/>
      <c r="H1314" s="1308"/>
      <c r="I1314" s="1308"/>
      <c r="J1314" s="1308"/>
      <c r="K1314" s="1308"/>
      <c r="L1314" s="1308"/>
      <c r="M1314" s="1308"/>
      <c r="N1314" s="1308"/>
      <c r="O1314" s="1308"/>
    </row>
    <row r="1315" spans="1:16" s="291" customFormat="1">
      <c r="A1315" s="1308" t="str">
        <f>$A$2</f>
        <v>CASE NO. 2024 - 00092</v>
      </c>
      <c r="B1315" s="1308"/>
      <c r="C1315" s="1308"/>
      <c r="D1315" s="1308"/>
      <c r="E1315" s="1308"/>
      <c r="F1315" s="1308"/>
      <c r="G1315" s="1308"/>
      <c r="H1315" s="1308"/>
      <c r="I1315" s="1308"/>
      <c r="J1315" s="1308"/>
      <c r="K1315" s="1308"/>
      <c r="L1315" s="1308"/>
      <c r="M1315" s="1308"/>
      <c r="N1315" s="1308"/>
      <c r="O1315" s="1308"/>
    </row>
    <row r="1316" spans="1:16" s="291" customFormat="1">
      <c r="A1316" s="1308" t="str">
        <f>$A$3</f>
        <v>DETAIL OF ACTUAL &amp; FORECASTED PLANT, ACCUMULATED RESERVE &amp; DEPRECIATION EXPENSE</v>
      </c>
      <c r="B1316" s="1308"/>
      <c r="C1316" s="1308"/>
      <c r="D1316" s="1308"/>
      <c r="E1316" s="1308"/>
      <c r="F1316" s="1308"/>
      <c r="G1316" s="1308"/>
      <c r="H1316" s="1308"/>
      <c r="I1316" s="1308"/>
      <c r="J1316" s="1308"/>
      <c r="K1316" s="1308"/>
      <c r="L1316" s="1308"/>
      <c r="M1316" s="1308"/>
      <c r="N1316" s="1308"/>
      <c r="O1316" s="1308"/>
      <c r="P1316" s="357"/>
    </row>
    <row r="1317" spans="1:16" s="291" customFormat="1">
      <c r="A1317" s="1308" t="str">
        <f>$A$4</f>
        <v>FROM JANUARY 01, 2023 THROUGH DECEMBER 31, 2025</v>
      </c>
      <c r="B1317" s="1308"/>
      <c r="C1317" s="1308"/>
      <c r="D1317" s="1308"/>
      <c r="E1317" s="1308"/>
      <c r="F1317" s="1308"/>
      <c r="G1317" s="1308"/>
      <c r="H1317" s="1308"/>
      <c r="I1317" s="1308"/>
      <c r="J1317" s="1308"/>
      <c r="K1317" s="1308"/>
      <c r="L1317" s="1308"/>
      <c r="M1317" s="1308"/>
      <c r="N1317" s="1308"/>
      <c r="O1317" s="1308"/>
    </row>
    <row r="1318" spans="1:16" s="291" customFormat="1">
      <c r="B1318" s="293"/>
      <c r="P1318" s="312"/>
    </row>
    <row r="1319" spans="1:16" s="291" customFormat="1">
      <c r="A1319" s="297" t="str">
        <f>$A$6</f>
        <v xml:space="preserve">DATA: _X_ BASE PERIOD _X_ FORECASTED PERIOD     </v>
      </c>
      <c r="B1319" s="293"/>
      <c r="O1319" s="312" t="str">
        <f>$O$6</f>
        <v>WPB-2.1.C</v>
      </c>
      <c r="P1319" s="312"/>
    </row>
    <row r="1320" spans="1:16" s="291" customFormat="1">
      <c r="A1320" s="297" t="str">
        <f>$A$7</f>
        <v>TYPE OF FILING:___X___ORIGINAL______UPDATED</v>
      </c>
      <c r="B1320" s="293"/>
      <c r="O1320" s="312" t="s">
        <v>2199</v>
      </c>
      <c r="P1320" s="312"/>
    </row>
    <row r="1321" spans="1:16" s="291" customFormat="1">
      <c r="A1321" s="297" t="str">
        <f>$A$8</f>
        <v>WORKPAPER REFERENCE NO(S).:</v>
      </c>
      <c r="B1321" s="293"/>
      <c r="O1321" s="312" t="str">
        <f>$O$8</f>
        <v>WITNESS: GORE</v>
      </c>
    </row>
    <row r="1322" spans="1:16">
      <c r="A1322" s="918"/>
      <c r="B1322" s="919"/>
      <c r="C1322" s="918"/>
      <c r="D1322" s="918"/>
      <c r="E1322" s="918"/>
      <c r="F1322" s="918"/>
      <c r="G1322" s="918"/>
      <c r="H1322" s="918"/>
      <c r="I1322" s="918"/>
      <c r="J1322" s="918"/>
      <c r="K1322" s="918"/>
      <c r="L1322" s="918"/>
      <c r="M1322" s="918"/>
      <c r="N1322" s="918"/>
      <c r="O1322" s="920"/>
    </row>
    <row r="1323" spans="1:16">
      <c r="D1323" s="1311" t="s">
        <v>1768</v>
      </c>
      <c r="E1323" s="1311"/>
      <c r="F1323" s="1311"/>
      <c r="G1323" s="1311"/>
      <c r="I1323" s="1311" t="s">
        <v>1769</v>
      </c>
      <c r="J1323" s="1311"/>
      <c r="K1323" s="1311"/>
      <c r="L1323" s="1311"/>
      <c r="M1323" s="1311"/>
      <c r="N1323" s="1311"/>
      <c r="O1323" s="1311"/>
    </row>
    <row r="1324" spans="1:16">
      <c r="D1324" s="360">
        <f>D1265</f>
        <v>45261</v>
      </c>
      <c r="G1324" s="360">
        <f>G1265</f>
        <v>45291</v>
      </c>
      <c r="I1324" s="360">
        <f>D1324</f>
        <v>45261</v>
      </c>
      <c r="O1324" s="360">
        <f>G1324</f>
        <v>45291</v>
      </c>
    </row>
    <row r="1325" spans="1:16">
      <c r="D1325" s="361" t="s">
        <v>1757</v>
      </c>
      <c r="G1325" s="361" t="s">
        <v>1757</v>
      </c>
      <c r="I1325" s="361" t="s">
        <v>1758</v>
      </c>
      <c r="J1325" s="361" t="s">
        <v>488</v>
      </c>
      <c r="L1325" s="361" t="s">
        <v>1758</v>
      </c>
      <c r="O1325" s="361" t="s">
        <v>1758</v>
      </c>
    </row>
    <row r="1326" spans="1:16">
      <c r="A1326" s="358" t="s">
        <v>1770</v>
      </c>
      <c r="B1326" s="359" t="s">
        <v>368</v>
      </c>
      <c r="D1326" s="361" t="s">
        <v>437</v>
      </c>
      <c r="G1326" s="361" t="s">
        <v>439</v>
      </c>
      <c r="I1326" s="361" t="s">
        <v>437</v>
      </c>
      <c r="J1326" s="361" t="s">
        <v>1771</v>
      </c>
      <c r="K1326" s="361" t="s">
        <v>1772</v>
      </c>
      <c r="L1326" s="361" t="s">
        <v>1759</v>
      </c>
      <c r="N1326" s="361" t="s">
        <v>1760</v>
      </c>
      <c r="O1326" s="361" t="s">
        <v>439</v>
      </c>
    </row>
    <row r="1327" spans="1:16">
      <c r="A1327" s="362" t="s">
        <v>316</v>
      </c>
      <c r="B1327" s="363" t="s">
        <v>316</v>
      </c>
      <c r="C1327" s="364" t="s">
        <v>451</v>
      </c>
      <c r="D1327" s="364" t="s">
        <v>441</v>
      </c>
      <c r="E1327" s="364" t="s">
        <v>442</v>
      </c>
      <c r="F1327" s="364" t="s">
        <v>443</v>
      </c>
      <c r="G1327" s="364" t="s">
        <v>441</v>
      </c>
      <c r="I1327" s="364" t="s">
        <v>441</v>
      </c>
      <c r="J1327" s="364" t="s">
        <v>1773</v>
      </c>
      <c r="K1327" s="364" t="s">
        <v>1771</v>
      </c>
      <c r="L1327" s="364" t="s">
        <v>355</v>
      </c>
      <c r="M1327" s="364" t="s">
        <v>443</v>
      </c>
      <c r="N1327" s="364" t="s">
        <v>1763</v>
      </c>
      <c r="O1327" s="364" t="s">
        <v>441</v>
      </c>
    </row>
    <row r="1328" spans="1:16">
      <c r="D1328" s="361" t="s">
        <v>532</v>
      </c>
      <c r="E1328" s="361" t="s">
        <v>541</v>
      </c>
      <c r="F1328" s="361" t="s">
        <v>542</v>
      </c>
      <c r="G1328" s="361" t="s">
        <v>1764</v>
      </c>
      <c r="I1328" s="334" t="str">
        <f>"(5)"</f>
        <v>(5)</v>
      </c>
      <c r="J1328" s="334" t="str">
        <f>"(6)"</f>
        <v>(6)</v>
      </c>
      <c r="K1328" s="334" t="str">
        <f>"(7)"</f>
        <v>(7)</v>
      </c>
      <c r="L1328" s="334" t="str">
        <f>"(8)"</f>
        <v>(8)</v>
      </c>
      <c r="M1328" s="334" t="str">
        <f>"(9)"</f>
        <v>(9)</v>
      </c>
      <c r="N1328" s="334" t="str">
        <f>"(10)"</f>
        <v>(10)</v>
      </c>
      <c r="O1328" s="334" t="str">
        <f>"(11=5+7+8+9+10)"</f>
        <v>(11=5+7+8+9+10)</v>
      </c>
    </row>
    <row r="1329" spans="1:15">
      <c r="D1329" s="361" t="s">
        <v>320</v>
      </c>
      <c r="E1329" s="361" t="s">
        <v>320</v>
      </c>
      <c r="F1329" s="361" t="s">
        <v>320</v>
      </c>
      <c r="G1329" s="361" t="s">
        <v>320</v>
      </c>
      <c r="I1329" s="334" t="s">
        <v>320</v>
      </c>
      <c r="J1329" s="334" t="s">
        <v>529</v>
      </c>
      <c r="K1329" s="334" t="s">
        <v>320</v>
      </c>
      <c r="L1329" s="334" t="s">
        <v>320</v>
      </c>
      <c r="M1329" s="334" t="s">
        <v>320</v>
      </c>
      <c r="N1329" s="334" t="s">
        <v>320</v>
      </c>
      <c r="O1329" s="334" t="s">
        <v>320</v>
      </c>
    </row>
    <row r="1330" spans="1:15">
      <c r="A1330" s="361">
        <v>1</v>
      </c>
      <c r="B1330" s="363" t="s">
        <v>411</v>
      </c>
      <c r="D1330" s="361"/>
      <c r="E1330" s="361"/>
      <c r="F1330" s="361"/>
      <c r="G1330" s="361"/>
      <c r="I1330" s="334"/>
      <c r="J1330" s="334"/>
      <c r="K1330" s="334"/>
      <c r="L1330" s="334"/>
      <c r="M1330" s="334"/>
      <c r="N1330" s="334"/>
      <c r="O1330" s="334"/>
    </row>
    <row r="1331" spans="1:15">
      <c r="A1331" s="361">
        <f>A1330+1</f>
        <v>2</v>
      </c>
      <c r="B1331" s="365">
        <v>391.1</v>
      </c>
      <c r="C1331" s="358" t="s">
        <v>412</v>
      </c>
      <c r="D1331" s="1243">
        <f t="shared" ref="D1331:D1344" si="229">G1217</f>
        <v>820366.66</v>
      </c>
      <c r="E1331" s="1243">
        <v>103149.67</v>
      </c>
      <c r="F1331" s="1243">
        <v>0</v>
      </c>
      <c r="G1331" s="1243">
        <f>SUM(D1331:F1331)</f>
        <v>923516.33000000007</v>
      </c>
      <c r="H1331" s="1243"/>
      <c r="I1331" s="1245">
        <f t="shared" ref="I1331:I1344" si="230">O1217</f>
        <v>113047.40000000002</v>
      </c>
      <c r="J1331" s="1243"/>
      <c r="K1331" s="1243">
        <v>3633.09</v>
      </c>
      <c r="L1331" s="1243">
        <v>0</v>
      </c>
      <c r="M1331" s="1243">
        <f t="shared" ref="M1331:M1344" si="231">F1331</f>
        <v>0</v>
      </c>
      <c r="N1331" s="1243">
        <v>0</v>
      </c>
      <c r="O1331" s="1243">
        <f t="shared" ref="O1331:O1344" si="232">I1331+K1331+L1331+M1331+N1331</f>
        <v>116680.49000000002</v>
      </c>
    </row>
    <row r="1332" spans="1:15">
      <c r="A1332" s="361">
        <f t="shared" ref="A1332:A1345" si="233">A1331+1</f>
        <v>3</v>
      </c>
      <c r="B1332" s="365">
        <v>391.11</v>
      </c>
      <c r="C1332" s="358" t="s">
        <v>413</v>
      </c>
      <c r="D1332" s="1243">
        <f t="shared" si="229"/>
        <v>0</v>
      </c>
      <c r="E1332" s="1243">
        <v>0</v>
      </c>
      <c r="F1332" s="1243">
        <v>0</v>
      </c>
      <c r="G1332" s="1243">
        <f t="shared" ref="G1332:G1339" si="234">SUM(D1332:F1332)</f>
        <v>0</v>
      </c>
      <c r="H1332" s="1243"/>
      <c r="I1332" s="1245">
        <f t="shared" si="230"/>
        <v>-18933.789999999997</v>
      </c>
      <c r="J1332" s="1243"/>
      <c r="K1332" s="1243">
        <v>0</v>
      </c>
      <c r="L1332" s="1243">
        <v>0</v>
      </c>
      <c r="M1332" s="1243">
        <f t="shared" si="231"/>
        <v>0</v>
      </c>
      <c r="N1332" s="1243">
        <v>0</v>
      </c>
      <c r="O1332" s="1243">
        <f t="shared" si="232"/>
        <v>-18933.789999999997</v>
      </c>
    </row>
    <row r="1333" spans="1:15">
      <c r="A1333" s="361">
        <f t="shared" si="233"/>
        <v>4</v>
      </c>
      <c r="B1333" s="365">
        <v>391.12</v>
      </c>
      <c r="C1333" s="358" t="s">
        <v>414</v>
      </c>
      <c r="D1333" s="1243">
        <f t="shared" si="229"/>
        <v>37129.580000000009</v>
      </c>
      <c r="E1333" s="1243">
        <v>0</v>
      </c>
      <c r="F1333" s="1243">
        <v>0</v>
      </c>
      <c r="G1333" s="1243">
        <f t="shared" si="234"/>
        <v>37129.580000000009</v>
      </c>
      <c r="H1333" s="1243"/>
      <c r="I1333" s="1245">
        <f t="shared" si="230"/>
        <v>-5902.52</v>
      </c>
      <c r="J1333" s="1243"/>
      <c r="K1333" s="1243">
        <v>618.83000000000004</v>
      </c>
      <c r="L1333" s="1243">
        <v>0</v>
      </c>
      <c r="M1333" s="1243">
        <f t="shared" si="231"/>
        <v>0</v>
      </c>
      <c r="N1333" s="1243">
        <v>0</v>
      </c>
      <c r="O1333" s="1243">
        <f t="shared" si="232"/>
        <v>-5283.6900000000005</v>
      </c>
    </row>
    <row r="1334" spans="1:15">
      <c r="A1334" s="361">
        <f t="shared" si="233"/>
        <v>5</v>
      </c>
      <c r="B1334" s="365">
        <v>392.2</v>
      </c>
      <c r="C1334" s="358" t="s">
        <v>524</v>
      </c>
      <c r="D1334" s="1243">
        <f t="shared" si="229"/>
        <v>95778</v>
      </c>
      <c r="E1334" s="1243">
        <v>0</v>
      </c>
      <c r="F1334" s="1243">
        <v>0</v>
      </c>
      <c r="G1334" s="1243">
        <f t="shared" si="234"/>
        <v>95778</v>
      </c>
      <c r="H1334" s="1243"/>
      <c r="I1334" s="1245">
        <f t="shared" si="230"/>
        <v>63908.169999999962</v>
      </c>
      <c r="J1334" s="1243"/>
      <c r="K1334" s="1243">
        <v>71.84</v>
      </c>
      <c r="L1334" s="1243">
        <v>0</v>
      </c>
      <c r="M1334" s="1243">
        <f t="shared" si="231"/>
        <v>0</v>
      </c>
      <c r="N1334" s="1243">
        <v>0</v>
      </c>
      <c r="O1334" s="1243">
        <f t="shared" si="232"/>
        <v>63980.009999999958</v>
      </c>
    </row>
    <row r="1335" spans="1:15">
      <c r="A1335" s="361">
        <f t="shared" si="233"/>
        <v>6</v>
      </c>
      <c r="B1335" s="365">
        <v>392.21</v>
      </c>
      <c r="C1335" s="358" t="s">
        <v>415</v>
      </c>
      <c r="D1335" s="1243">
        <f t="shared" si="229"/>
        <v>24462.2</v>
      </c>
      <c r="E1335" s="1243">
        <v>0</v>
      </c>
      <c r="F1335" s="1243">
        <v>0</v>
      </c>
      <c r="G1335" s="1243">
        <f t="shared" si="234"/>
        <v>24462.2</v>
      </c>
      <c r="H1335" s="1243"/>
      <c r="I1335" s="1245">
        <f t="shared" si="230"/>
        <v>44754.01</v>
      </c>
      <c r="J1335" s="1243"/>
      <c r="K1335" s="1243">
        <v>0</v>
      </c>
      <c r="L1335" s="1243">
        <v>0</v>
      </c>
      <c r="M1335" s="1243">
        <f t="shared" si="231"/>
        <v>0</v>
      </c>
      <c r="N1335" s="1243">
        <v>0</v>
      </c>
      <c r="O1335" s="1243">
        <f t="shared" si="232"/>
        <v>44754.01</v>
      </c>
    </row>
    <row r="1336" spans="1:15">
      <c r="A1336" s="361">
        <f t="shared" si="233"/>
        <v>7</v>
      </c>
      <c r="B1336" s="365">
        <v>393</v>
      </c>
      <c r="C1336" s="358" t="s">
        <v>416</v>
      </c>
      <c r="D1336" s="1243">
        <f t="shared" si="229"/>
        <v>0</v>
      </c>
      <c r="E1336" s="1243">
        <v>0</v>
      </c>
      <c r="F1336" s="1243">
        <v>0</v>
      </c>
      <c r="G1336" s="1243">
        <f t="shared" si="234"/>
        <v>0</v>
      </c>
      <c r="H1336" s="1243"/>
      <c r="I1336" s="1245">
        <f t="shared" si="230"/>
        <v>0</v>
      </c>
      <c r="J1336" s="1243"/>
      <c r="K1336" s="1243">
        <v>0</v>
      </c>
      <c r="L1336" s="1243">
        <v>0</v>
      </c>
      <c r="M1336" s="1243">
        <f t="shared" si="231"/>
        <v>0</v>
      </c>
      <c r="N1336" s="1243">
        <v>0</v>
      </c>
      <c r="O1336" s="1243">
        <f t="shared" si="232"/>
        <v>0</v>
      </c>
    </row>
    <row r="1337" spans="1:15">
      <c r="A1337" s="361">
        <f t="shared" si="233"/>
        <v>8</v>
      </c>
      <c r="B1337" s="365">
        <v>394.1</v>
      </c>
      <c r="C1337" s="358" t="s">
        <v>417</v>
      </c>
      <c r="D1337" s="1243">
        <f t="shared" si="229"/>
        <v>9739</v>
      </c>
      <c r="E1337" s="1243">
        <v>0</v>
      </c>
      <c r="F1337" s="1243">
        <v>0</v>
      </c>
      <c r="G1337" s="1243">
        <f t="shared" si="234"/>
        <v>9739</v>
      </c>
      <c r="H1337" s="1243"/>
      <c r="I1337" s="1245">
        <f t="shared" si="230"/>
        <v>4042.6900000000005</v>
      </c>
      <c r="J1337" s="1243"/>
      <c r="K1337" s="1243">
        <v>32.46</v>
      </c>
      <c r="L1337" s="1243">
        <v>0</v>
      </c>
      <c r="M1337" s="1243">
        <f t="shared" si="231"/>
        <v>0</v>
      </c>
      <c r="N1337" s="1243">
        <v>0</v>
      </c>
      <c r="O1337" s="1243">
        <f t="shared" si="232"/>
        <v>4075.1500000000005</v>
      </c>
    </row>
    <row r="1338" spans="1:15">
      <c r="A1338" s="361">
        <f t="shared" si="233"/>
        <v>9</v>
      </c>
      <c r="B1338" s="365">
        <v>394.11</v>
      </c>
      <c r="C1338" s="358" t="s">
        <v>418</v>
      </c>
      <c r="D1338" s="1243">
        <f t="shared" si="229"/>
        <v>0</v>
      </c>
      <c r="E1338" s="1243">
        <v>0</v>
      </c>
      <c r="F1338" s="1243">
        <v>0</v>
      </c>
      <c r="G1338" s="1243">
        <f t="shared" si="234"/>
        <v>0</v>
      </c>
      <c r="H1338" s="1243"/>
      <c r="I1338" s="1245">
        <f t="shared" si="230"/>
        <v>-26071.5</v>
      </c>
      <c r="J1338" s="1243"/>
      <c r="K1338" s="1243">
        <v>0</v>
      </c>
      <c r="L1338" s="1243">
        <v>0</v>
      </c>
      <c r="M1338" s="1243">
        <f t="shared" si="231"/>
        <v>0</v>
      </c>
      <c r="N1338" s="1243">
        <v>0</v>
      </c>
      <c r="O1338" s="1243">
        <f t="shared" si="232"/>
        <v>-26071.5</v>
      </c>
    </row>
    <row r="1339" spans="1:15">
      <c r="A1339" s="361">
        <f t="shared" si="233"/>
        <v>10</v>
      </c>
      <c r="B1339" s="365">
        <v>394.13</v>
      </c>
      <c r="C1339" s="358" t="s">
        <v>515</v>
      </c>
      <c r="D1339" s="1243">
        <f t="shared" si="229"/>
        <v>0</v>
      </c>
      <c r="E1339" s="1243">
        <v>0</v>
      </c>
      <c r="F1339" s="1243">
        <v>0</v>
      </c>
      <c r="G1339" s="1243">
        <f t="shared" si="234"/>
        <v>0</v>
      </c>
      <c r="H1339" s="1243"/>
      <c r="I1339" s="1245">
        <f t="shared" si="230"/>
        <v>37937.360000000001</v>
      </c>
      <c r="J1339" s="1243"/>
      <c r="K1339" s="1243">
        <v>0</v>
      </c>
      <c r="L1339" s="1243">
        <v>0</v>
      </c>
      <c r="M1339" s="1243">
        <f t="shared" si="231"/>
        <v>0</v>
      </c>
      <c r="N1339" s="1243">
        <v>0</v>
      </c>
      <c r="O1339" s="1243">
        <f t="shared" si="232"/>
        <v>37937.360000000001</v>
      </c>
    </row>
    <row r="1340" spans="1:15">
      <c r="A1340" s="361">
        <f t="shared" si="233"/>
        <v>11</v>
      </c>
      <c r="B1340" s="365">
        <v>394.2</v>
      </c>
      <c r="C1340" s="358" t="s">
        <v>420</v>
      </c>
      <c r="D1340" s="1243">
        <f t="shared" si="229"/>
        <v>0</v>
      </c>
      <c r="E1340" s="1243">
        <v>0</v>
      </c>
      <c r="F1340" s="1243">
        <v>0</v>
      </c>
      <c r="G1340" s="1243">
        <f>SUM(D1340:F1340)</f>
        <v>0</v>
      </c>
      <c r="H1340" s="1243"/>
      <c r="I1340" s="1245">
        <f t="shared" si="230"/>
        <v>185.21</v>
      </c>
      <c r="J1340" s="1243"/>
      <c r="K1340" s="1243">
        <v>0</v>
      </c>
      <c r="L1340" s="1243">
        <v>0</v>
      </c>
      <c r="M1340" s="1243">
        <f t="shared" si="231"/>
        <v>0</v>
      </c>
      <c r="N1340" s="1243">
        <v>0</v>
      </c>
      <c r="O1340" s="1243">
        <f t="shared" si="232"/>
        <v>185.21</v>
      </c>
    </row>
    <row r="1341" spans="1:15">
      <c r="A1341" s="361">
        <f t="shared" si="233"/>
        <v>12</v>
      </c>
      <c r="B1341" s="365">
        <v>394.3</v>
      </c>
      <c r="C1341" s="358" t="s">
        <v>1602</v>
      </c>
      <c r="D1341" s="1243">
        <f t="shared" si="229"/>
        <v>5011516.4000000004</v>
      </c>
      <c r="E1341" s="1243">
        <v>105704.21</v>
      </c>
      <c r="F1341" s="1243">
        <v>-13086.16</v>
      </c>
      <c r="G1341" s="1243">
        <f>SUM(D1341:F1341)</f>
        <v>5104134.45</v>
      </c>
      <c r="H1341" s="1243"/>
      <c r="I1341" s="1245">
        <f t="shared" si="230"/>
        <v>1563780.5699999998</v>
      </c>
      <c r="J1341" s="1243"/>
      <c r="K1341" s="1243">
        <v>16859.420000000002</v>
      </c>
      <c r="L1341" s="1243">
        <v>0</v>
      </c>
      <c r="M1341" s="1243">
        <f t="shared" si="231"/>
        <v>-13086.16</v>
      </c>
      <c r="N1341" s="1243">
        <v>0</v>
      </c>
      <c r="O1341" s="1243">
        <f t="shared" si="232"/>
        <v>1567553.8299999998</v>
      </c>
    </row>
    <row r="1342" spans="1:15">
      <c r="A1342" s="361">
        <f t="shared" si="233"/>
        <v>13</v>
      </c>
      <c r="B1342" s="365">
        <v>395</v>
      </c>
      <c r="C1342" s="358" t="s">
        <v>422</v>
      </c>
      <c r="D1342" s="1243">
        <f t="shared" si="229"/>
        <v>4162.05</v>
      </c>
      <c r="E1342" s="1243">
        <v>0</v>
      </c>
      <c r="F1342" s="1243">
        <v>0</v>
      </c>
      <c r="G1342" s="1243">
        <f>SUM(D1342:F1342)</f>
        <v>4162.05</v>
      </c>
      <c r="H1342" s="1243"/>
      <c r="I1342" s="1245">
        <f t="shared" si="230"/>
        <v>4035.3400000000015</v>
      </c>
      <c r="J1342" s="1243"/>
      <c r="K1342" s="1243">
        <v>17.34</v>
      </c>
      <c r="L1342" s="1243">
        <v>0</v>
      </c>
      <c r="M1342" s="1243">
        <f t="shared" si="231"/>
        <v>0</v>
      </c>
      <c r="N1342" s="1243">
        <v>0</v>
      </c>
      <c r="O1342" s="1243">
        <f t="shared" si="232"/>
        <v>4052.6800000000017</v>
      </c>
    </row>
    <row r="1343" spans="1:15">
      <c r="A1343" s="361">
        <f t="shared" si="233"/>
        <v>14</v>
      </c>
      <c r="B1343" s="365">
        <v>396</v>
      </c>
      <c r="C1343" s="358" t="s">
        <v>423</v>
      </c>
      <c r="D1343" s="1243">
        <f t="shared" si="229"/>
        <v>185547</v>
      </c>
      <c r="E1343" s="1243">
        <v>0</v>
      </c>
      <c r="F1343" s="1243">
        <v>0</v>
      </c>
      <c r="G1343" s="1243">
        <f>SUM(D1343:F1343)</f>
        <v>185547</v>
      </c>
      <c r="H1343" s="1243"/>
      <c r="I1343" s="1245">
        <f t="shared" si="230"/>
        <v>171938.14</v>
      </c>
      <c r="J1343" s="1243"/>
      <c r="K1343" s="1243">
        <v>0</v>
      </c>
      <c r="L1343" s="1243">
        <v>0</v>
      </c>
      <c r="M1343" s="1243">
        <f t="shared" si="231"/>
        <v>0</v>
      </c>
      <c r="N1343" s="1243">
        <v>0</v>
      </c>
      <c r="O1343" s="1243">
        <f t="shared" si="232"/>
        <v>171938.14</v>
      </c>
    </row>
    <row r="1344" spans="1:15">
      <c r="A1344" s="361">
        <f t="shared" si="233"/>
        <v>15</v>
      </c>
      <c r="B1344" s="365">
        <v>398</v>
      </c>
      <c r="C1344" s="358" t="s">
        <v>424</v>
      </c>
      <c r="D1344" s="1244">
        <f t="shared" si="229"/>
        <v>148028.20000000001</v>
      </c>
      <c r="E1344" s="1244">
        <v>0</v>
      </c>
      <c r="F1344" s="1244">
        <v>0</v>
      </c>
      <c r="G1344" s="1244">
        <f>SUM(D1344:F1344)</f>
        <v>148028.20000000001</v>
      </c>
      <c r="H1344" s="1243"/>
      <c r="I1344" s="1246">
        <f t="shared" si="230"/>
        <v>69281.179999999964</v>
      </c>
      <c r="J1344" s="1243"/>
      <c r="K1344" s="1244">
        <v>822.79</v>
      </c>
      <c r="L1344" s="1244">
        <v>0</v>
      </c>
      <c r="M1344" s="1244">
        <f t="shared" si="231"/>
        <v>0</v>
      </c>
      <c r="N1344" s="1244">
        <v>0</v>
      </c>
      <c r="O1344" s="1244">
        <f t="shared" si="232"/>
        <v>70103.969999999958</v>
      </c>
    </row>
    <row r="1345" spans="1:15">
      <c r="A1345" s="361">
        <f t="shared" si="233"/>
        <v>16</v>
      </c>
      <c r="B1345" s="367"/>
      <c r="C1345" s="358" t="s">
        <v>425</v>
      </c>
      <c r="D1345" s="1243">
        <f>SUM(D1331:D1344)</f>
        <v>6336729.0899999999</v>
      </c>
      <c r="E1345" s="1243">
        <f>SUM(E1331:E1344)</f>
        <v>208853.88</v>
      </c>
      <c r="F1345" s="1243">
        <f>SUM(F1331:F1344)</f>
        <v>-13086.16</v>
      </c>
      <c r="G1345" s="1243">
        <f>SUM(G1331:G1344)</f>
        <v>6532496.8100000005</v>
      </c>
      <c r="H1345" s="1243"/>
      <c r="I1345" s="1243">
        <f>SUM(I1331:I1344)</f>
        <v>2022002.26</v>
      </c>
      <c r="J1345" s="1243"/>
      <c r="K1345" s="1243">
        <f>SUM(K1331:K1344)</f>
        <v>22055.770000000004</v>
      </c>
      <c r="L1345" s="1243">
        <f>SUM(L1331:L1344)</f>
        <v>0</v>
      </c>
      <c r="M1345" s="1243">
        <f>SUM(M1331:M1344)</f>
        <v>-13086.16</v>
      </c>
      <c r="N1345" s="1243">
        <f>SUM(N1331:N1344)</f>
        <v>0</v>
      </c>
      <c r="O1345" s="1243">
        <f>SUM(O1331:O1344)</f>
        <v>2030971.8699999999</v>
      </c>
    </row>
    <row r="1346" spans="1:15">
      <c r="A1346" s="361"/>
      <c r="D1346" s="1243"/>
      <c r="E1346" s="1243"/>
      <c r="F1346" s="1243"/>
      <c r="G1346" s="1243"/>
      <c r="H1346" s="1243"/>
      <c r="I1346" s="1243"/>
      <c r="J1346" s="1243"/>
      <c r="K1346" s="1243"/>
      <c r="L1346" s="1243"/>
      <c r="M1346" s="1243"/>
      <c r="N1346" s="1243"/>
      <c r="O1346" s="1243"/>
    </row>
    <row r="1347" spans="1:15">
      <c r="A1347" s="361">
        <f>A1345+1</f>
        <v>17</v>
      </c>
      <c r="B1347" s="363" t="s">
        <v>1038</v>
      </c>
      <c r="D1347" s="1243"/>
      <c r="E1347" s="1243"/>
      <c r="F1347" s="1243"/>
      <c r="G1347" s="1243"/>
      <c r="H1347" s="1243"/>
      <c r="I1347" s="1243"/>
      <c r="J1347" s="1243"/>
      <c r="K1347" s="1243"/>
      <c r="L1347" s="1243"/>
      <c r="M1347" s="1243"/>
      <c r="N1347" s="1243"/>
      <c r="O1347" s="1243"/>
    </row>
    <row r="1348" spans="1:15">
      <c r="A1348" s="361">
        <f>A1347+1</f>
        <v>18</v>
      </c>
      <c r="B1348" s="365">
        <v>378.21</v>
      </c>
      <c r="C1348" s="358" t="s">
        <v>1037</v>
      </c>
      <c r="D1348" s="1244">
        <f>G1234</f>
        <v>-777092</v>
      </c>
      <c r="E1348" s="1244">
        <v>0</v>
      </c>
      <c r="F1348" s="1244">
        <v>0</v>
      </c>
      <c r="G1348" s="1244">
        <f>SUM(D1348:F1348)</f>
        <v>-777092</v>
      </c>
      <c r="H1348" s="1243"/>
      <c r="I1348" s="1244">
        <f>O1234</f>
        <v>-202226.1700000001</v>
      </c>
      <c r="J1348" s="1243"/>
      <c r="K1348" s="1244">
        <v>-2144.17</v>
      </c>
      <c r="L1348" s="1244">
        <v>0</v>
      </c>
      <c r="M1348" s="1244">
        <f>F1348</f>
        <v>0</v>
      </c>
      <c r="N1348" s="1244">
        <v>0</v>
      </c>
      <c r="O1348" s="1244">
        <f>I1348+K1348+L1348+M1348+N1348</f>
        <v>-204370.34000000011</v>
      </c>
    </row>
    <row r="1349" spans="1:15">
      <c r="A1349" s="361">
        <f>A1348+1</f>
        <v>19</v>
      </c>
      <c r="B1349" s="370"/>
      <c r="C1349" s="358" t="s">
        <v>1579</v>
      </c>
      <c r="D1349" s="1243">
        <f>SUM(D1348)</f>
        <v>-777092</v>
      </c>
      <c r="E1349" s="1243">
        <f>SUM(E1348)</f>
        <v>0</v>
      </c>
      <c r="F1349" s="1243">
        <f>SUM(F1348)</f>
        <v>0</v>
      </c>
      <c r="G1349" s="1243">
        <f>SUM(G1348)</f>
        <v>-777092</v>
      </c>
      <c r="H1349" s="1243"/>
      <c r="I1349" s="1243">
        <f>SUM(I1348)</f>
        <v>-202226.1700000001</v>
      </c>
      <c r="J1349" s="1243"/>
      <c r="K1349" s="1243">
        <f>SUM(K1348)</f>
        <v>-2144.17</v>
      </c>
      <c r="L1349" s="1243">
        <f>SUM(L1348)</f>
        <v>0</v>
      </c>
      <c r="M1349" s="1243">
        <f>SUM(M1348)</f>
        <v>0</v>
      </c>
      <c r="N1349" s="1243">
        <f>SUM(N1348)</f>
        <v>0</v>
      </c>
      <c r="O1349" s="1243">
        <f>SUM(O1348)</f>
        <v>-204370.34000000011</v>
      </c>
    </row>
    <row r="1350" spans="1:15">
      <c r="A1350" s="361"/>
      <c r="B1350" s="370"/>
      <c r="D1350" s="1243"/>
      <c r="E1350" s="1243"/>
      <c r="F1350" s="1243"/>
      <c r="G1350" s="1243"/>
      <c r="H1350" s="1243"/>
      <c r="I1350" s="1243"/>
      <c r="J1350" s="1243"/>
      <c r="K1350" s="1243"/>
      <c r="L1350" s="1243"/>
      <c r="M1350" s="1243"/>
      <c r="N1350" s="1243"/>
      <c r="O1350" s="1243"/>
    </row>
    <row r="1351" spans="1:15">
      <c r="A1351" s="361">
        <f>A1349+1</f>
        <v>20</v>
      </c>
      <c r="B1351" s="370"/>
      <c r="C1351" s="358" t="s">
        <v>2037</v>
      </c>
      <c r="D1351" s="1243">
        <f>D1278+D1311+D1345+D1349</f>
        <v>741123775.78287983</v>
      </c>
      <c r="E1351" s="1243">
        <f>E1278+E1311+E1345+E1349</f>
        <v>4245319.9400000013</v>
      </c>
      <c r="F1351" s="1243">
        <f>F1278+F1311+F1345+F1349</f>
        <v>-834915.413450049</v>
      </c>
      <c r="G1351" s="1243">
        <f>G1278+G1311+G1345+G1349</f>
        <v>744534180.30942965</v>
      </c>
      <c r="H1351" s="1243"/>
      <c r="I1351" s="1243">
        <f>I1278+I1311+I1345+I1349</f>
        <v>178087654.81319371</v>
      </c>
      <c r="J1351" s="1243"/>
      <c r="K1351" s="1243">
        <f>K1278+K1311+K1345+K1349</f>
        <v>1794675.1490000002</v>
      </c>
      <c r="L1351" s="1243">
        <f>L1278+L1311+L1345+L1349</f>
        <v>0</v>
      </c>
      <c r="M1351" s="1243">
        <f>M1278+M1311+M1345+M1349</f>
        <v>-834914.81345004891</v>
      </c>
      <c r="N1351" s="1243">
        <f>N1278+N1311+N1345+N1349</f>
        <v>-62616.937722000017</v>
      </c>
      <c r="O1351" s="1243">
        <f>O1278+O1311+O1345+O1349</f>
        <v>178984798.2110216</v>
      </c>
    </row>
    <row r="1352" spans="1:15">
      <c r="A1352" s="361"/>
      <c r="B1352" s="370"/>
      <c r="D1352" s="1243"/>
      <c r="E1352" s="1243"/>
      <c r="F1352" s="1243"/>
      <c r="G1352" s="1243"/>
      <c r="H1352" s="1243"/>
      <c r="I1352" s="1243"/>
      <c r="J1352" s="1243"/>
      <c r="K1352" s="1243"/>
      <c r="L1352" s="1243"/>
      <c r="M1352" s="1243"/>
      <c r="N1352" s="1243"/>
      <c r="O1352" s="1243"/>
    </row>
    <row r="1353" spans="1:15">
      <c r="A1353" s="361">
        <f>A1351+1</f>
        <v>21</v>
      </c>
      <c r="B1353" s="370"/>
      <c r="C1353" s="358" t="s">
        <v>2038</v>
      </c>
      <c r="D1353" s="1243">
        <v>0</v>
      </c>
      <c r="E1353" s="1249">
        <v>0</v>
      </c>
      <c r="F1353" s="1249">
        <v>0</v>
      </c>
      <c r="G1353" s="1249">
        <f>SUM(D1353:F1353)</f>
        <v>0</v>
      </c>
      <c r="H1353" s="1243"/>
      <c r="I1353" s="1243">
        <f>O1239</f>
        <v>-6610924.3099999996</v>
      </c>
      <c r="J1353" s="1243"/>
      <c r="K1353" s="1243"/>
      <c r="L1353" s="1243"/>
      <c r="M1353" s="1243"/>
      <c r="N1353" s="1243">
        <v>-50717.120000000003</v>
      </c>
      <c r="O1353" s="1243">
        <f>I1353+K1353+L1353+M1353+N1353</f>
        <v>-6661641.4299999997</v>
      </c>
    </row>
    <row r="1354" spans="1:15">
      <c r="A1354" s="361"/>
      <c r="B1354" s="370"/>
      <c r="C1354" s="368"/>
      <c r="D1354" s="1243"/>
      <c r="E1354" s="1243"/>
      <c r="F1354" s="1243"/>
      <c r="G1354" s="1243"/>
      <c r="H1354" s="1243"/>
      <c r="I1354" s="1243"/>
      <c r="J1354" s="1243"/>
      <c r="K1354" s="1243"/>
      <c r="L1354" s="1243"/>
      <c r="M1354" s="1243"/>
      <c r="N1354" s="1243"/>
      <c r="O1354" s="1243"/>
    </row>
    <row r="1355" spans="1:15">
      <c r="A1355" s="361">
        <f>A1353+1</f>
        <v>22</v>
      </c>
      <c r="C1355" s="358" t="s">
        <v>1782</v>
      </c>
      <c r="D1355" s="1247">
        <f>D1351+D1353</f>
        <v>741123775.78287983</v>
      </c>
      <c r="E1355" s="1247">
        <f t="shared" ref="E1355:O1355" si="235">E1351+E1353</f>
        <v>4245319.9400000013</v>
      </c>
      <c r="F1355" s="1247">
        <f t="shared" si="235"/>
        <v>-834915.413450049</v>
      </c>
      <c r="G1355" s="1247">
        <f t="shared" si="235"/>
        <v>744534180.30942965</v>
      </c>
      <c r="H1355" s="1243"/>
      <c r="I1355" s="1247">
        <f t="shared" si="235"/>
        <v>171476730.50319371</v>
      </c>
      <c r="J1355" s="1243"/>
      <c r="K1355" s="1247">
        <f t="shared" si="235"/>
        <v>1794675.1490000002</v>
      </c>
      <c r="L1355" s="1247">
        <f t="shared" si="235"/>
        <v>0</v>
      </c>
      <c r="M1355" s="1247">
        <f t="shared" si="235"/>
        <v>-834914.81345004891</v>
      </c>
      <c r="N1355" s="1247">
        <f t="shared" si="235"/>
        <v>-113334.05772200003</v>
      </c>
      <c r="O1355" s="1247">
        <f t="shared" si="235"/>
        <v>172323156.7810216</v>
      </c>
    </row>
    <row r="1356" spans="1:15">
      <c r="A1356" s="361"/>
      <c r="D1356" s="1243"/>
      <c r="E1356" s="1243"/>
      <c r="F1356" s="1243"/>
      <c r="G1356" s="1243"/>
      <c r="H1356" s="1243"/>
      <c r="I1356" s="1243"/>
      <c r="J1356" s="1243"/>
      <c r="K1356" s="1243"/>
      <c r="L1356" s="1243"/>
      <c r="M1356" s="1243"/>
      <c r="N1356" s="1243"/>
      <c r="O1356" s="1243"/>
    </row>
    <row r="1357" spans="1:15">
      <c r="A1357" s="361"/>
      <c r="D1357" s="1243"/>
      <c r="E1357" s="1243"/>
      <c r="F1357" s="1243"/>
      <c r="G1357" s="1243"/>
      <c r="H1357" s="1243"/>
      <c r="I1357" s="1243"/>
      <c r="J1357" s="1243"/>
      <c r="K1357" s="1243"/>
      <c r="L1357" s="1243"/>
      <c r="M1357" s="1243"/>
      <c r="N1357" s="1243"/>
      <c r="O1357" s="1243"/>
    </row>
    <row r="1358" spans="1:15">
      <c r="A1358" s="361">
        <f>A1355+1</f>
        <v>23</v>
      </c>
      <c r="B1358" s="363" t="s">
        <v>1774</v>
      </c>
      <c r="D1358" s="1243"/>
      <c r="E1358" s="1243"/>
      <c r="F1358" s="1243"/>
      <c r="G1358" s="1243"/>
      <c r="H1358" s="1243"/>
      <c r="I1358" s="1243"/>
      <c r="J1358" s="1243"/>
      <c r="K1358" s="1243"/>
      <c r="L1358" s="1243"/>
      <c r="M1358" s="1243"/>
      <c r="N1358" s="1243"/>
      <c r="O1358" s="1243"/>
    </row>
    <row r="1359" spans="1:15">
      <c r="A1359" s="361">
        <f t="shared" ref="A1359:A1364" si="236">A1358+1</f>
        <v>24</v>
      </c>
      <c r="B1359" s="365">
        <v>376</v>
      </c>
      <c r="C1359" s="358" t="s">
        <v>1775</v>
      </c>
      <c r="D1359" s="1243">
        <f>G1245</f>
        <v>26519588.52</v>
      </c>
      <c r="E1359" s="1243">
        <f>'WPB-2.1.D SMRP'!E524</f>
        <v>4263655.3099999996</v>
      </c>
      <c r="F1359" s="1243">
        <f>'WPB-2.1.D SMRP'!F524</f>
        <v>-94799.38</v>
      </c>
      <c r="G1359" s="1243">
        <f>SUM(D1359:F1359)</f>
        <v>30688444.449999999</v>
      </c>
      <c r="H1359" s="1243"/>
      <c r="I1359" s="1243">
        <f>O1245</f>
        <v>-33495.03899999999</v>
      </c>
      <c r="J1359" s="1243"/>
      <c r="K1359" s="1243">
        <f>'WPB-2.1.D SMRP'!K524</f>
        <v>41475.421000000002</v>
      </c>
      <c r="L1359" s="1243">
        <v>0</v>
      </c>
      <c r="M1359" s="1243">
        <f>F1359</f>
        <v>-94799.38</v>
      </c>
      <c r="N1359" s="1243">
        <f>'WPB-2.1.D SMRP'!N524</f>
        <v>0</v>
      </c>
      <c r="O1359" s="1243">
        <f>I1359+K1359+L1359+M1359+N1359</f>
        <v>-86818.997999999992</v>
      </c>
    </row>
    <row r="1360" spans="1:15">
      <c r="A1360" s="361">
        <f t="shared" si="236"/>
        <v>25</v>
      </c>
      <c r="B1360" s="365">
        <v>378.2</v>
      </c>
      <c r="C1360" s="358" t="s">
        <v>1776</v>
      </c>
      <c r="D1360" s="1243">
        <f>G1246</f>
        <v>-348290.83000000007</v>
      </c>
      <c r="E1360" s="1243">
        <f>'WPB-2.1.D SMRP'!E525</f>
        <v>0</v>
      </c>
      <c r="F1360" s="1243">
        <f>'WPB-2.1.D SMRP'!F525</f>
        <v>-42121.18</v>
      </c>
      <c r="G1360" s="1243">
        <f>SUM(D1360:F1360)</f>
        <v>-390412.01000000007</v>
      </c>
      <c r="H1360" s="1243"/>
      <c r="I1360" s="1243">
        <f>O1246</f>
        <v>-393097.48499999993</v>
      </c>
      <c r="J1360" s="1243"/>
      <c r="K1360" s="1243">
        <f>'WPB-2.1.D SMRP'!K525</f>
        <v>-775.22699999999998</v>
      </c>
      <c r="L1360" s="1243">
        <v>0</v>
      </c>
      <c r="M1360" s="1243">
        <f>F1360</f>
        <v>-42121.18</v>
      </c>
      <c r="N1360" s="1243">
        <f>'WPB-2.1.D SMRP'!N525</f>
        <v>-12469.08</v>
      </c>
      <c r="O1360" s="1243">
        <f>I1360+K1360+L1360+M1360+N1360</f>
        <v>-448462.97199999995</v>
      </c>
    </row>
    <row r="1361" spans="1:16">
      <c r="A1361" s="361">
        <f t="shared" si="236"/>
        <v>26</v>
      </c>
      <c r="B1361" s="365">
        <v>380</v>
      </c>
      <c r="C1361" s="358" t="s">
        <v>1777</v>
      </c>
      <c r="D1361" s="1243">
        <f>G1247</f>
        <v>9553534.2771203164</v>
      </c>
      <c r="E1361" s="1243">
        <f>'WPB-2.1.D SMRP'!E526</f>
        <v>782388.46</v>
      </c>
      <c r="F1361" s="1243">
        <f>'WPB-2.1.D SMRP'!F526</f>
        <v>-240285.08654995094</v>
      </c>
      <c r="G1361" s="1243">
        <f>SUM(D1361:F1361)</f>
        <v>10095637.650570365</v>
      </c>
      <c r="H1361" s="1243"/>
      <c r="I1361" s="1243">
        <f>O1247</f>
        <v>-4226104.0851936834</v>
      </c>
      <c r="J1361" s="1243"/>
      <c r="K1361" s="1243">
        <f>'WPB-2.1.D SMRP'!K526</f>
        <v>32584.988000000001</v>
      </c>
      <c r="L1361" s="1243">
        <v>0</v>
      </c>
      <c r="M1361" s="1243">
        <f>F1361</f>
        <v>-240285.08654995094</v>
      </c>
      <c r="N1361" s="1243">
        <f>'WPB-2.1.D SMRP'!N526</f>
        <v>-133360.562278</v>
      </c>
      <c r="O1361" s="1243">
        <f>I1361+K1361+L1361+M1361+N1361</f>
        <v>-4567164.746021634</v>
      </c>
    </row>
    <row r="1362" spans="1:16">
      <c r="A1362" s="361">
        <f t="shared" si="236"/>
        <v>27</v>
      </c>
      <c r="B1362" s="365">
        <v>382</v>
      </c>
      <c r="C1362" s="358" t="s">
        <v>1778</v>
      </c>
      <c r="D1362" s="1243">
        <f>G1248</f>
        <v>30489.340000000004</v>
      </c>
      <c r="E1362" s="1243">
        <f>'WPB-2.1.D SMRP'!E527</f>
        <v>10554.1</v>
      </c>
      <c r="F1362" s="1243">
        <f>'WPB-2.1.D SMRP'!F527</f>
        <v>-3691.8300000000004</v>
      </c>
      <c r="G1362" s="1243">
        <f>SUM(D1362:F1362)</f>
        <v>37351.61</v>
      </c>
      <c r="H1362" s="1243"/>
      <c r="I1362" s="1243">
        <f>O1248</f>
        <v>-44506.454000000005</v>
      </c>
      <c r="J1362" s="1243"/>
      <c r="K1362" s="1243">
        <f>'WPB-2.1.D SMRP'!K527</f>
        <v>50.061</v>
      </c>
      <c r="L1362" s="1243">
        <v>0</v>
      </c>
      <c r="M1362" s="1243">
        <f>F1362</f>
        <v>-3691.8300000000004</v>
      </c>
      <c r="N1362" s="1243">
        <f>'WPB-2.1.D SMRP'!N527</f>
        <v>0</v>
      </c>
      <c r="O1362" s="1243">
        <f>I1362+K1362+L1362+M1362+N1362</f>
        <v>-48148.223000000005</v>
      </c>
    </row>
    <row r="1363" spans="1:16">
      <c r="A1363" s="361">
        <f t="shared" si="236"/>
        <v>28</v>
      </c>
      <c r="B1363" s="365">
        <v>383</v>
      </c>
      <c r="C1363" s="358" t="s">
        <v>1779</v>
      </c>
      <c r="D1363" s="1244">
        <f>G1249</f>
        <v>-6334.32</v>
      </c>
      <c r="E1363" s="1244">
        <f>'WPB-2.1.D SMRP'!E528</f>
        <v>0</v>
      </c>
      <c r="F1363" s="1244">
        <f>'WPB-2.1.D SMRP'!F528</f>
        <v>-534.66999999999996</v>
      </c>
      <c r="G1363" s="1244">
        <f>SUM(D1363:F1363)</f>
        <v>-6868.99</v>
      </c>
      <c r="H1363" s="1243"/>
      <c r="I1363" s="1244">
        <f>O1249</f>
        <v>-6377.44</v>
      </c>
      <c r="J1363" s="1243"/>
      <c r="K1363" s="1244">
        <f>'WPB-2.1.D SMRP'!K528</f>
        <v>-10.432</v>
      </c>
      <c r="L1363" s="1244">
        <v>0</v>
      </c>
      <c r="M1363" s="1244">
        <f>F1363</f>
        <v>-534.66999999999996</v>
      </c>
      <c r="N1363" s="1244">
        <f>'WPB-2.1.D SMRP'!N528</f>
        <v>0</v>
      </c>
      <c r="O1363" s="1244">
        <f>I1363+K1363+L1363+M1363+N1363</f>
        <v>-6922.5419999999995</v>
      </c>
    </row>
    <row r="1364" spans="1:16">
      <c r="A1364" s="361">
        <f t="shared" si="236"/>
        <v>29</v>
      </c>
      <c r="C1364" s="358" t="s">
        <v>1780</v>
      </c>
      <c r="D1364" s="1243">
        <f>SUM(D1359:D1363)</f>
        <v>35748986.987120315</v>
      </c>
      <c r="E1364" s="1243">
        <f>SUM(E1359:E1363)</f>
        <v>5056597.8699999992</v>
      </c>
      <c r="F1364" s="1243">
        <f>SUM(F1359:F1363)</f>
        <v>-381432.14654995094</v>
      </c>
      <c r="G1364" s="1243">
        <f>SUM(G1359:G1363)</f>
        <v>40424152.710570358</v>
      </c>
      <c r="H1364" s="1243"/>
      <c r="I1364" s="1243">
        <f>SUM(I1359:I1363)</f>
        <v>-4703580.5031936839</v>
      </c>
      <c r="J1364" s="1243"/>
      <c r="K1364" s="1243">
        <f>SUM(K1359:K1363)</f>
        <v>73324.811000000002</v>
      </c>
      <c r="L1364" s="1243">
        <f>SUM(L1359:L1363)</f>
        <v>0</v>
      </c>
      <c r="M1364" s="1243">
        <f>SUM(M1359:M1363)</f>
        <v>-381432.14654995094</v>
      </c>
      <c r="N1364" s="1243">
        <f>SUM(N1359:N1363)</f>
        <v>-145829.64227799998</v>
      </c>
      <c r="O1364" s="1243">
        <f>SUM(O1359:O1363)</f>
        <v>-5157517.4810216343</v>
      </c>
    </row>
    <row r="1365" spans="1:16">
      <c r="A1365" s="361"/>
      <c r="D1365" s="1243"/>
      <c r="E1365" s="1243"/>
      <c r="F1365" s="1243"/>
      <c r="G1365" s="1243"/>
      <c r="H1365" s="1243"/>
      <c r="I1365" s="1243"/>
      <c r="J1365" s="1243"/>
      <c r="K1365" s="1243"/>
      <c r="L1365" s="1243"/>
      <c r="M1365" s="1243"/>
      <c r="N1365" s="1243"/>
      <c r="O1365" s="1243"/>
    </row>
    <row r="1366" spans="1:16" ht="13.5" thickBot="1">
      <c r="A1366" s="361">
        <f>A1364+1</f>
        <v>30</v>
      </c>
      <c r="C1366" s="358" t="s">
        <v>447</v>
      </c>
      <c r="D1366" s="1248">
        <f>D1355+D1364</f>
        <v>776872762.7700001</v>
      </c>
      <c r="E1366" s="1248">
        <f>E1355+E1364</f>
        <v>9301917.8100000005</v>
      </c>
      <c r="F1366" s="1248">
        <f>F1355+F1364</f>
        <v>-1216347.56</v>
      </c>
      <c r="G1366" s="1248">
        <f>G1355+G1364</f>
        <v>784958333.01999998</v>
      </c>
      <c r="H1366" s="1243"/>
      <c r="I1366" s="1248">
        <f>I1355+I1364</f>
        <v>166773150.00000003</v>
      </c>
      <c r="J1366" s="1243"/>
      <c r="K1366" s="1248">
        <f>K1355+K1364</f>
        <v>1867999.9600000002</v>
      </c>
      <c r="L1366" s="1248">
        <f>L1355+L1364</f>
        <v>0</v>
      </c>
      <c r="M1366" s="1248">
        <f>M1355+M1364</f>
        <v>-1216346.96</v>
      </c>
      <c r="N1366" s="1248">
        <f>N1355+N1364</f>
        <v>-259163.7</v>
      </c>
      <c r="O1366" s="1248">
        <f>O1355+O1364</f>
        <v>167165639.29999995</v>
      </c>
    </row>
    <row r="1367" spans="1:16" ht="13.5" thickTop="1"/>
    <row r="1368" spans="1:16">
      <c r="O1368" s="369"/>
    </row>
    <row r="1369" spans="1:16" s="291" customFormat="1">
      <c r="A1369" s="1308" t="str">
        <f>$A$1</f>
        <v>COLUMBIA GAS OF KENTUCKY, INC.</v>
      </c>
      <c r="B1369" s="1308"/>
      <c r="C1369" s="1308"/>
      <c r="D1369" s="1308"/>
      <c r="E1369" s="1308"/>
      <c r="F1369" s="1308"/>
      <c r="G1369" s="1308"/>
      <c r="H1369" s="1308"/>
      <c r="I1369" s="1308"/>
      <c r="J1369" s="1308"/>
      <c r="K1369" s="1308"/>
      <c r="L1369" s="1308"/>
      <c r="M1369" s="1308"/>
      <c r="N1369" s="1308"/>
      <c r="O1369" s="1308"/>
    </row>
    <row r="1370" spans="1:16" s="291" customFormat="1">
      <c r="A1370" s="1308" t="str">
        <f>$A$2</f>
        <v>CASE NO. 2024 - 00092</v>
      </c>
      <c r="B1370" s="1308"/>
      <c r="C1370" s="1308"/>
      <c r="D1370" s="1308"/>
      <c r="E1370" s="1308"/>
      <c r="F1370" s="1308"/>
      <c r="G1370" s="1308"/>
      <c r="H1370" s="1308"/>
      <c r="I1370" s="1308"/>
      <c r="J1370" s="1308"/>
      <c r="K1370" s="1308"/>
      <c r="L1370" s="1308"/>
      <c r="M1370" s="1308"/>
      <c r="N1370" s="1308"/>
      <c r="O1370" s="1308"/>
    </row>
    <row r="1371" spans="1:16" s="291" customFormat="1">
      <c r="A1371" s="1308" t="str">
        <f>$A$3</f>
        <v>DETAIL OF ACTUAL &amp; FORECASTED PLANT, ACCUMULATED RESERVE &amp; DEPRECIATION EXPENSE</v>
      </c>
      <c r="B1371" s="1308"/>
      <c r="C1371" s="1308"/>
      <c r="D1371" s="1308"/>
      <c r="E1371" s="1308"/>
      <c r="F1371" s="1308"/>
      <c r="G1371" s="1308"/>
      <c r="H1371" s="1308"/>
      <c r="I1371" s="1308"/>
      <c r="J1371" s="1308"/>
      <c r="K1371" s="1308"/>
      <c r="L1371" s="1308"/>
      <c r="M1371" s="1308"/>
      <c r="N1371" s="1308"/>
      <c r="O1371" s="1308"/>
      <c r="P1371" s="357"/>
    </row>
    <row r="1372" spans="1:16" s="291" customFormat="1">
      <c r="A1372" s="1308" t="str">
        <f>$A$4</f>
        <v>FROM JANUARY 01, 2023 THROUGH DECEMBER 31, 2025</v>
      </c>
      <c r="B1372" s="1308"/>
      <c r="C1372" s="1308"/>
      <c r="D1372" s="1308"/>
      <c r="E1372" s="1308"/>
      <c r="F1372" s="1308"/>
      <c r="G1372" s="1308"/>
      <c r="H1372" s="1308"/>
      <c r="I1372" s="1308"/>
      <c r="J1372" s="1308"/>
      <c r="K1372" s="1308"/>
      <c r="L1372" s="1308"/>
      <c r="M1372" s="1308"/>
      <c r="N1372" s="1308"/>
      <c r="O1372" s="1308"/>
    </row>
    <row r="1373" spans="1:16" s="291" customFormat="1">
      <c r="B1373" s="293"/>
      <c r="P1373" s="312"/>
    </row>
    <row r="1374" spans="1:16" s="291" customFormat="1">
      <c r="A1374" s="297" t="str">
        <f>$A$6</f>
        <v xml:space="preserve">DATA: _X_ BASE PERIOD _X_ FORECASTED PERIOD     </v>
      </c>
      <c r="B1374" s="293"/>
      <c r="O1374" s="312" t="str">
        <f>$O$6</f>
        <v>WPB-2.1.C</v>
      </c>
      <c r="P1374" s="312"/>
    </row>
    <row r="1375" spans="1:16" s="291" customFormat="1">
      <c r="A1375" s="297" t="str">
        <f>$A$7</f>
        <v>TYPE OF FILING:___X___ORIGINAL______UPDATED</v>
      </c>
      <c r="B1375" s="293"/>
      <c r="O1375" s="312" t="s">
        <v>2198</v>
      </c>
      <c r="P1375" s="312"/>
    </row>
    <row r="1376" spans="1:16" s="291" customFormat="1">
      <c r="A1376" s="297" t="str">
        <f>$A$8</f>
        <v>WORKPAPER REFERENCE NO(S).:</v>
      </c>
      <c r="B1376" s="293"/>
      <c r="O1376" s="312" t="str">
        <f>$O$8</f>
        <v>WITNESS: GORE</v>
      </c>
    </row>
    <row r="1377" spans="1:15">
      <c r="A1377" s="918"/>
      <c r="B1377" s="919"/>
      <c r="C1377" s="918"/>
      <c r="D1377" s="918"/>
      <c r="E1377" s="918"/>
      <c r="F1377" s="918"/>
      <c r="G1377" s="918"/>
      <c r="H1377" s="918"/>
      <c r="I1377" s="918"/>
      <c r="J1377" s="918"/>
      <c r="K1377" s="918"/>
      <c r="L1377" s="918"/>
      <c r="M1377" s="918"/>
      <c r="N1377" s="918"/>
      <c r="O1377" s="920"/>
    </row>
    <row r="1378" spans="1:15">
      <c r="D1378" s="1311" t="s">
        <v>1768</v>
      </c>
      <c r="E1378" s="1311"/>
      <c r="F1378" s="1311"/>
      <c r="G1378" s="1311"/>
      <c r="I1378" s="1311" t="s">
        <v>1769</v>
      </c>
      <c r="J1378" s="1311"/>
      <c r="K1378" s="1311"/>
      <c r="L1378" s="1311"/>
      <c r="M1378" s="1311"/>
      <c r="N1378" s="1311"/>
      <c r="O1378" s="1311"/>
    </row>
    <row r="1379" spans="1:15">
      <c r="D1379" s="360">
        <f>G1324+1</f>
        <v>45292</v>
      </c>
      <c r="G1379" s="360">
        <f>D1379+30</f>
        <v>45322</v>
      </c>
      <c r="I1379" s="360">
        <f>D1379</f>
        <v>45292</v>
      </c>
      <c r="O1379" s="360">
        <f>G1379</f>
        <v>45322</v>
      </c>
    </row>
    <row r="1380" spans="1:15">
      <c r="D1380" s="361" t="s">
        <v>1757</v>
      </c>
      <c r="G1380" s="361" t="s">
        <v>1757</v>
      </c>
      <c r="I1380" s="361" t="s">
        <v>1758</v>
      </c>
      <c r="J1380" s="361" t="s">
        <v>488</v>
      </c>
      <c r="L1380" s="361" t="s">
        <v>1758</v>
      </c>
      <c r="O1380" s="361" t="s">
        <v>1758</v>
      </c>
    </row>
    <row r="1381" spans="1:15">
      <c r="A1381" s="361" t="s">
        <v>1770</v>
      </c>
      <c r="B1381" s="361" t="s">
        <v>368</v>
      </c>
      <c r="C1381" s="361"/>
      <c r="D1381" s="361" t="s">
        <v>437</v>
      </c>
      <c r="G1381" s="361" t="s">
        <v>439</v>
      </c>
      <c r="I1381" s="361" t="s">
        <v>437</v>
      </c>
      <c r="J1381" s="361" t="s">
        <v>1771</v>
      </c>
      <c r="K1381" s="361" t="s">
        <v>1772</v>
      </c>
      <c r="L1381" s="361" t="s">
        <v>1759</v>
      </c>
      <c r="N1381" s="361" t="s">
        <v>1760</v>
      </c>
      <c r="O1381" s="361" t="s">
        <v>439</v>
      </c>
    </row>
    <row r="1382" spans="1:15">
      <c r="A1382" s="364" t="s">
        <v>316</v>
      </c>
      <c r="B1382" s="364" t="s">
        <v>316</v>
      </c>
      <c r="C1382" s="364" t="s">
        <v>451</v>
      </c>
      <c r="D1382" s="364" t="s">
        <v>441</v>
      </c>
      <c r="E1382" s="364" t="s">
        <v>442</v>
      </c>
      <c r="F1382" s="364" t="s">
        <v>443</v>
      </c>
      <c r="G1382" s="364" t="s">
        <v>441</v>
      </c>
      <c r="I1382" s="364" t="s">
        <v>441</v>
      </c>
      <c r="J1382" s="364" t="s">
        <v>1773</v>
      </c>
      <c r="K1382" s="364" t="s">
        <v>1771</v>
      </c>
      <c r="L1382" s="364" t="s">
        <v>355</v>
      </c>
      <c r="M1382" s="364" t="s">
        <v>443</v>
      </c>
      <c r="N1382" s="364" t="s">
        <v>1763</v>
      </c>
      <c r="O1382" s="364" t="s">
        <v>441</v>
      </c>
    </row>
    <row r="1383" spans="1:15">
      <c r="D1383" s="361" t="s">
        <v>532</v>
      </c>
      <c r="E1383" s="361" t="s">
        <v>541</v>
      </c>
      <c r="F1383" s="361" t="s">
        <v>542</v>
      </c>
      <c r="G1383" s="361" t="s">
        <v>1764</v>
      </c>
      <c r="I1383" s="334" t="str">
        <f>"(5)"</f>
        <v>(5)</v>
      </c>
      <c r="J1383" s="334" t="str">
        <f>"(6)"</f>
        <v>(6)</v>
      </c>
      <c r="K1383" s="334" t="str">
        <f>"(7)"</f>
        <v>(7)</v>
      </c>
      <c r="L1383" s="334" t="str">
        <f>"(8)"</f>
        <v>(8)</v>
      </c>
      <c r="M1383" s="334" t="str">
        <f>"(9)"</f>
        <v>(9)</v>
      </c>
      <c r="N1383" s="334" t="str">
        <f>"(10)"</f>
        <v>(10)</v>
      </c>
      <c r="O1383" s="334" t="str">
        <f>"(11=5+7+8+9+10)"</f>
        <v>(11=5+7+8+9+10)</v>
      </c>
    </row>
    <row r="1384" spans="1:15">
      <c r="D1384" s="361" t="s">
        <v>320</v>
      </c>
      <c r="E1384" s="361" t="s">
        <v>320</v>
      </c>
      <c r="F1384" s="361" t="s">
        <v>320</v>
      </c>
      <c r="G1384" s="361" t="s">
        <v>320</v>
      </c>
      <c r="I1384" s="334" t="s">
        <v>320</v>
      </c>
      <c r="J1384" s="334" t="s">
        <v>529</v>
      </c>
      <c r="K1384" s="334" t="s">
        <v>320</v>
      </c>
      <c r="L1384" s="334" t="s">
        <v>320</v>
      </c>
      <c r="M1384" s="334" t="s">
        <v>320</v>
      </c>
      <c r="N1384" s="334" t="s">
        <v>320</v>
      </c>
      <c r="O1384" s="334" t="s">
        <v>320</v>
      </c>
    </row>
    <row r="1385" spans="1:15">
      <c r="A1385" s="361">
        <v>1</v>
      </c>
      <c r="B1385" s="362" t="s">
        <v>373</v>
      </c>
      <c r="D1385" s="361"/>
      <c r="E1385" s="361"/>
      <c r="F1385" s="361"/>
      <c r="G1385" s="361"/>
      <c r="I1385" s="334"/>
      <c r="J1385" s="334"/>
      <c r="K1385" s="334"/>
      <c r="L1385" s="334"/>
      <c r="M1385" s="334"/>
      <c r="N1385" s="334"/>
      <c r="O1385" s="334"/>
    </row>
    <row r="1386" spans="1:15">
      <c r="A1386" s="361">
        <f>A1385+1</f>
        <v>2</v>
      </c>
      <c r="B1386" s="365">
        <v>301</v>
      </c>
      <c r="C1386" s="358" t="s">
        <v>374</v>
      </c>
      <c r="D1386" s="1243">
        <f t="shared" ref="D1386:D1391" si="237">G1272</f>
        <v>521.20000000000005</v>
      </c>
      <c r="E1386" s="1243">
        <v>0</v>
      </c>
      <c r="F1386" s="1243">
        <v>0</v>
      </c>
      <c r="G1386" s="1243">
        <f t="shared" ref="G1386:G1391" si="238">SUM(D1386:F1386)</f>
        <v>521.20000000000005</v>
      </c>
      <c r="H1386" s="1243"/>
      <c r="I1386" s="1243">
        <f t="shared" ref="I1386:I1391" si="239">O1272</f>
        <v>0</v>
      </c>
      <c r="J1386" s="1243" t="s">
        <v>646</v>
      </c>
      <c r="K1386" s="1243">
        <v>0</v>
      </c>
      <c r="L1386" s="1243">
        <v>0</v>
      </c>
      <c r="M1386" s="1243">
        <f t="shared" ref="M1386:M1391" si="240">F1386</f>
        <v>0</v>
      </c>
      <c r="N1386" s="1243">
        <v>0</v>
      </c>
      <c r="O1386" s="1243">
        <f t="shared" ref="O1386:O1391" si="241">I1386+K1386+L1386+M1386+N1386</f>
        <v>0</v>
      </c>
    </row>
    <row r="1387" spans="1:15">
      <c r="A1387" s="361">
        <f t="shared" ref="A1387:A1392" si="242">A1386+1</f>
        <v>3</v>
      </c>
      <c r="B1387" s="365">
        <v>303</v>
      </c>
      <c r="C1387" s="358" t="s">
        <v>375</v>
      </c>
      <c r="D1387" s="1243">
        <f t="shared" si="237"/>
        <v>96334.51</v>
      </c>
      <c r="E1387" s="1243">
        <v>0</v>
      </c>
      <c r="F1387" s="1243">
        <v>0</v>
      </c>
      <c r="G1387" s="1243">
        <f t="shared" si="238"/>
        <v>96334.51</v>
      </c>
      <c r="H1387" s="1243"/>
      <c r="I1387" s="1243">
        <f t="shared" si="239"/>
        <v>78862.400000000038</v>
      </c>
      <c r="J1387" s="1243" t="s">
        <v>646</v>
      </c>
      <c r="K1387" s="1243">
        <f>+'WPB-2.1.E Intangibles'!E47-0.03</f>
        <v>267.56780555555559</v>
      </c>
      <c r="L1387" s="1243">
        <v>0</v>
      </c>
      <c r="M1387" s="1243">
        <f t="shared" si="240"/>
        <v>0</v>
      </c>
      <c r="N1387" s="1243">
        <v>0</v>
      </c>
      <c r="O1387" s="1243">
        <f t="shared" si="241"/>
        <v>79129.9678055556</v>
      </c>
    </row>
    <row r="1388" spans="1:15">
      <c r="A1388" s="361">
        <f t="shared" si="242"/>
        <v>4</v>
      </c>
      <c r="B1388" s="365">
        <v>303.10000000000002</v>
      </c>
      <c r="C1388" s="358" t="s">
        <v>376</v>
      </c>
      <c r="D1388" s="1243">
        <f t="shared" si="237"/>
        <v>943.27</v>
      </c>
      <c r="E1388" s="1243">
        <v>0</v>
      </c>
      <c r="F1388" s="1243">
        <v>0</v>
      </c>
      <c r="G1388" s="1243">
        <f t="shared" si="238"/>
        <v>943.27</v>
      </c>
      <c r="H1388" s="1243"/>
      <c r="I1388" s="1243">
        <f t="shared" si="239"/>
        <v>318.35000000000008</v>
      </c>
      <c r="J1388" s="1243" t="s">
        <v>646</v>
      </c>
      <c r="K1388" s="1243">
        <v>0</v>
      </c>
      <c r="L1388" s="1243">
        <v>0</v>
      </c>
      <c r="M1388" s="1243">
        <f t="shared" si="240"/>
        <v>0</v>
      </c>
      <c r="N1388" s="1243">
        <v>0</v>
      </c>
      <c r="O1388" s="1243">
        <f t="shared" si="241"/>
        <v>318.35000000000008</v>
      </c>
    </row>
    <row r="1389" spans="1:15">
      <c r="A1389" s="361">
        <f t="shared" si="242"/>
        <v>5</v>
      </c>
      <c r="B1389" s="365">
        <v>303.2</v>
      </c>
      <c r="C1389" s="358" t="s">
        <v>377</v>
      </c>
      <c r="D1389" s="1243">
        <f t="shared" si="237"/>
        <v>0</v>
      </c>
      <c r="E1389" s="1243">
        <v>0</v>
      </c>
      <c r="F1389" s="1243">
        <v>0</v>
      </c>
      <c r="G1389" s="1243">
        <f t="shared" si="238"/>
        <v>0</v>
      </c>
      <c r="H1389" s="1243"/>
      <c r="I1389" s="1243">
        <f t="shared" si="239"/>
        <v>0</v>
      </c>
      <c r="J1389" s="1243" t="s">
        <v>646</v>
      </c>
      <c r="K1389" s="1243">
        <v>0</v>
      </c>
      <c r="L1389" s="1243">
        <v>0</v>
      </c>
      <c r="M1389" s="1243">
        <f t="shared" si="240"/>
        <v>0</v>
      </c>
      <c r="N1389" s="1243">
        <v>0</v>
      </c>
      <c r="O1389" s="1243">
        <f t="shared" si="241"/>
        <v>0</v>
      </c>
    </row>
    <row r="1390" spans="1:15">
      <c r="A1390" s="361">
        <f t="shared" si="242"/>
        <v>6</v>
      </c>
      <c r="B1390" s="365">
        <v>303.3</v>
      </c>
      <c r="C1390" s="358" t="s">
        <v>378</v>
      </c>
      <c r="D1390" s="1243">
        <f t="shared" si="237"/>
        <v>13102620.840000002</v>
      </c>
      <c r="E1390" s="1243">
        <f>+'WPB-2.1.E Intangibles'!E17</f>
        <v>40225.480000000003</v>
      </c>
      <c r="F1390" s="1243">
        <f>-'WPB-2.1.E Intangibles'!E35</f>
        <v>-365404.52999999997</v>
      </c>
      <c r="G1390" s="1243">
        <f t="shared" si="238"/>
        <v>12777441.790000003</v>
      </c>
      <c r="H1390" s="1243"/>
      <c r="I1390" s="1243">
        <f t="shared" si="239"/>
        <v>6780366.8600000022</v>
      </c>
      <c r="J1390" s="1243" t="s">
        <v>646</v>
      </c>
      <c r="K1390" s="1243">
        <f>+'WPB-2.1.E Intangibles'!E48</f>
        <v>206031.19000000006</v>
      </c>
      <c r="L1390" s="1243">
        <v>0</v>
      </c>
      <c r="M1390" s="1243">
        <f t="shared" si="240"/>
        <v>-365404.52999999997</v>
      </c>
      <c r="N1390" s="1243">
        <v>0</v>
      </c>
      <c r="O1390" s="1243">
        <f t="shared" si="241"/>
        <v>6620993.5200000023</v>
      </c>
    </row>
    <row r="1391" spans="1:15">
      <c r="A1391" s="361">
        <f t="shared" si="242"/>
        <v>7</v>
      </c>
      <c r="B1391" s="365">
        <v>303.99</v>
      </c>
      <c r="C1391" s="358" t="s">
        <v>1129</v>
      </c>
      <c r="D1391" s="1244">
        <f t="shared" si="237"/>
        <v>2060025.96</v>
      </c>
      <c r="E1391" s="1244">
        <f>+'WPB-2.1.E Intangibles'!E21</f>
        <v>30384.3</v>
      </c>
      <c r="F1391" s="1244">
        <f>-'WPB-2.1.E Intangibles'!E36</f>
        <v>-30037.06</v>
      </c>
      <c r="G1391" s="1244">
        <f t="shared" si="238"/>
        <v>2060373.2</v>
      </c>
      <c r="H1391" s="1243"/>
      <c r="I1391" s="1244">
        <f t="shared" si="239"/>
        <v>987550.74000000011</v>
      </c>
      <c r="J1391" s="1243" t="s">
        <v>646</v>
      </c>
      <c r="K1391" s="1244">
        <f>+'WPB-2.1.E Intangibles'!E49</f>
        <v>34758.990000000005</v>
      </c>
      <c r="L1391" s="1244">
        <v>0</v>
      </c>
      <c r="M1391" s="1244">
        <f t="shared" si="240"/>
        <v>-30037.06</v>
      </c>
      <c r="N1391" s="1244">
        <v>0</v>
      </c>
      <c r="O1391" s="1244">
        <f t="shared" si="241"/>
        <v>992272.67</v>
      </c>
    </row>
    <row r="1392" spans="1:15">
      <c r="A1392" s="361">
        <f t="shared" si="242"/>
        <v>8</v>
      </c>
      <c r="B1392" s="367"/>
      <c r="C1392" s="358" t="s">
        <v>601</v>
      </c>
      <c r="D1392" s="1243">
        <f>SUM(D1386:D1391)</f>
        <v>15260445.780000001</v>
      </c>
      <c r="E1392" s="1243">
        <f>SUM(E1386:E1391)</f>
        <v>70609.78</v>
      </c>
      <c r="F1392" s="1243">
        <f>SUM(F1386:F1391)</f>
        <v>-395441.58999999997</v>
      </c>
      <c r="G1392" s="1243">
        <f>SUM(G1386:G1391)</f>
        <v>14935613.970000003</v>
      </c>
      <c r="H1392" s="1243"/>
      <c r="I1392" s="1243">
        <f>SUM(I1386:I1391)</f>
        <v>7847098.3500000024</v>
      </c>
      <c r="J1392" s="1243"/>
      <c r="K1392" s="1243">
        <f>SUM(K1386:K1391)</f>
        <v>241057.74780555564</v>
      </c>
      <c r="L1392" s="1243">
        <f>SUM(L1386:L1391)</f>
        <v>0</v>
      </c>
      <c r="M1392" s="1243">
        <f>SUM(M1386:M1391)</f>
        <v>-395441.58999999997</v>
      </c>
      <c r="N1392" s="1243">
        <f>SUM(N1386:N1391)</f>
        <v>0</v>
      </c>
      <c r="O1392" s="1243">
        <f>SUM(O1386:O1391)</f>
        <v>7692714.5078055579</v>
      </c>
    </row>
    <row r="1393" spans="1:15">
      <c r="A1393" s="361"/>
      <c r="B1393" s="367"/>
      <c r="C1393" s="368"/>
      <c r="D1393" s="1243"/>
      <c r="E1393" s="1243"/>
      <c r="F1393" s="1243"/>
      <c r="G1393" s="1243"/>
      <c r="H1393" s="1243"/>
      <c r="I1393" s="1243"/>
      <c r="J1393" s="1243"/>
      <c r="K1393" s="1243"/>
      <c r="L1393" s="1243"/>
      <c r="M1393" s="1243"/>
      <c r="N1393" s="1243"/>
      <c r="O1393" s="1243"/>
    </row>
    <row r="1394" spans="1:15">
      <c r="A1394" s="361">
        <f>A1392+1</f>
        <v>9</v>
      </c>
      <c r="B1394" s="362" t="s">
        <v>1600</v>
      </c>
      <c r="C1394" s="368"/>
      <c r="D1394" s="1243"/>
      <c r="E1394" s="1243"/>
      <c r="F1394" s="1243"/>
      <c r="G1394" s="1243"/>
      <c r="H1394" s="1243"/>
      <c r="I1394" s="1243"/>
      <c r="J1394" s="1243"/>
      <c r="K1394" s="1243"/>
      <c r="L1394" s="1243"/>
      <c r="M1394" s="1243"/>
      <c r="N1394" s="1243"/>
      <c r="O1394" s="1243"/>
    </row>
    <row r="1395" spans="1:15">
      <c r="A1395" s="361">
        <f t="shared" ref="A1395:A1425" si="243">A1394+1</f>
        <v>10</v>
      </c>
      <c r="B1395" s="365">
        <v>374.1</v>
      </c>
      <c r="C1395" s="358" t="s">
        <v>382</v>
      </c>
      <c r="D1395" s="1243">
        <f t="shared" ref="D1395:D1424" si="244">G1281</f>
        <v>205.4</v>
      </c>
      <c r="E1395" s="1243">
        <f>+'INPUT - B Schedule PLANT'!BN15</f>
        <v>0</v>
      </c>
      <c r="F1395" s="1243">
        <f>+'INPUT - B Schedule PLANT'!BO15</f>
        <v>0</v>
      </c>
      <c r="G1395" s="1243">
        <f>SUM(D1395:F1395)</f>
        <v>205.4</v>
      </c>
      <c r="H1395" s="1243"/>
      <c r="I1395" s="1243">
        <f t="shared" ref="I1395:I1424" si="245">O1281</f>
        <v>0</v>
      </c>
      <c r="J1395" s="1243" t="s">
        <v>647</v>
      </c>
      <c r="K1395" s="1243">
        <v>0</v>
      </c>
      <c r="L1395" s="1243">
        <v>0</v>
      </c>
      <c r="M1395" s="1243">
        <f t="shared" ref="M1395:M1405" si="246">F1395</f>
        <v>0</v>
      </c>
      <c r="N1395" s="1243">
        <v>0</v>
      </c>
      <c r="O1395" s="1243">
        <f t="shared" ref="O1395:O1424" si="247">I1395+K1395+L1395+M1395+N1395</f>
        <v>0</v>
      </c>
    </row>
    <row r="1396" spans="1:15">
      <c r="A1396" s="361">
        <f t="shared" si="243"/>
        <v>11</v>
      </c>
      <c r="B1396" s="365">
        <v>374.2</v>
      </c>
      <c r="C1396" s="358" t="s">
        <v>383</v>
      </c>
      <c r="D1396" s="1243">
        <f t="shared" si="244"/>
        <v>876986.66</v>
      </c>
      <c r="E1396" s="1243">
        <f>+'INPUT - B Schedule PLANT'!BN16</f>
        <v>0</v>
      </c>
      <c r="F1396" s="1243">
        <f>+'INPUT - B Schedule PLANT'!BO16</f>
        <v>0</v>
      </c>
      <c r="G1396" s="1243">
        <f t="shared" ref="G1396:G1424" si="248">SUM(D1396:F1396)</f>
        <v>876986.66</v>
      </c>
      <c r="H1396" s="1243"/>
      <c r="I1396" s="1243">
        <f t="shared" si="245"/>
        <v>-522.25</v>
      </c>
      <c r="J1396" s="1243" t="s">
        <v>647</v>
      </c>
      <c r="K1396" s="1243">
        <v>0</v>
      </c>
      <c r="L1396" s="1243">
        <v>0</v>
      </c>
      <c r="M1396" s="1243">
        <f t="shared" si="246"/>
        <v>0</v>
      </c>
      <c r="N1396" s="1243">
        <v>0</v>
      </c>
      <c r="O1396" s="1243">
        <f t="shared" si="247"/>
        <v>-522.25</v>
      </c>
    </row>
    <row r="1397" spans="1:15">
      <c r="A1397" s="361">
        <f t="shared" si="243"/>
        <v>12</v>
      </c>
      <c r="B1397" s="365">
        <v>374.4</v>
      </c>
      <c r="C1397" s="358" t="s">
        <v>384</v>
      </c>
      <c r="D1397" s="1243">
        <f t="shared" si="244"/>
        <v>2957826.1500000004</v>
      </c>
      <c r="E1397" s="1243">
        <f>+'INPUT - B Schedule PLANT'!BN17</f>
        <v>0</v>
      </c>
      <c r="F1397" s="1243">
        <f>+'INPUT - B Schedule PLANT'!BO17</f>
        <v>-0.16</v>
      </c>
      <c r="G1397" s="1243">
        <f t="shared" si="248"/>
        <v>2957825.99</v>
      </c>
      <c r="H1397" s="1243"/>
      <c r="I1397" s="1243">
        <f t="shared" si="245"/>
        <v>368881.54000000004</v>
      </c>
      <c r="J1397" s="1245"/>
      <c r="K1397" s="1243">
        <v>3130.37</v>
      </c>
      <c r="L1397" s="1243">
        <v>0</v>
      </c>
      <c r="M1397" s="1243">
        <f t="shared" si="246"/>
        <v>-0.16</v>
      </c>
      <c r="N1397" s="1243">
        <v>0</v>
      </c>
      <c r="O1397" s="1243">
        <f t="shared" si="247"/>
        <v>372011.75000000006</v>
      </c>
    </row>
    <row r="1398" spans="1:15">
      <c r="A1398" s="361">
        <f t="shared" si="243"/>
        <v>13</v>
      </c>
      <c r="B1398" s="365">
        <v>374.5</v>
      </c>
      <c r="C1398" s="358" t="s">
        <v>385</v>
      </c>
      <c r="D1398" s="1243">
        <f t="shared" si="244"/>
        <v>2666577.16</v>
      </c>
      <c r="E1398" s="1243">
        <f>+'INPUT - B Schedule PLANT'!BN18</f>
        <v>0</v>
      </c>
      <c r="F1398" s="1243">
        <f>+'INPUT - B Schedule PLANT'!BO18</f>
        <v>0</v>
      </c>
      <c r="G1398" s="1243">
        <f t="shared" si="248"/>
        <v>2666577.16</v>
      </c>
      <c r="H1398" s="1243"/>
      <c r="I1398" s="1243">
        <f t="shared" si="245"/>
        <v>1156299.4700000011</v>
      </c>
      <c r="J1398" s="1245"/>
      <c r="K1398" s="1243">
        <v>2444.36</v>
      </c>
      <c r="L1398" s="1243">
        <v>0</v>
      </c>
      <c r="M1398" s="1243">
        <f t="shared" si="246"/>
        <v>0</v>
      </c>
      <c r="N1398" s="1243">
        <v>0</v>
      </c>
      <c r="O1398" s="1243">
        <f t="shared" si="247"/>
        <v>1158743.8300000012</v>
      </c>
    </row>
    <row r="1399" spans="1:15">
      <c r="A1399" s="361">
        <f t="shared" si="243"/>
        <v>14</v>
      </c>
      <c r="B1399" s="365">
        <v>375.2</v>
      </c>
      <c r="C1399" s="358" t="s">
        <v>386</v>
      </c>
      <c r="D1399" s="1243">
        <f t="shared" si="244"/>
        <v>2124.98</v>
      </c>
      <c r="E1399" s="1243">
        <f>+'INPUT - B Schedule PLANT'!BN19</f>
        <v>0</v>
      </c>
      <c r="F1399" s="1243">
        <f>+'INPUT - B Schedule PLANT'!BO19</f>
        <v>0</v>
      </c>
      <c r="G1399" s="1243">
        <f t="shared" si="248"/>
        <v>2124.98</v>
      </c>
      <c r="H1399" s="1243"/>
      <c r="I1399" s="1243">
        <f t="shared" si="245"/>
        <v>2061.84</v>
      </c>
      <c r="J1399" s="1245"/>
      <c r="K1399" s="1243">
        <v>0.73</v>
      </c>
      <c r="L1399" s="1243">
        <v>0</v>
      </c>
      <c r="M1399" s="1243">
        <f t="shared" si="246"/>
        <v>0</v>
      </c>
      <c r="N1399" s="1243">
        <v>0</v>
      </c>
      <c r="O1399" s="1243">
        <f t="shared" si="247"/>
        <v>2062.5700000000002</v>
      </c>
    </row>
    <row r="1400" spans="1:15">
      <c r="A1400" s="361">
        <f t="shared" si="243"/>
        <v>15</v>
      </c>
      <c r="B1400" s="365">
        <v>375.3</v>
      </c>
      <c r="C1400" s="358" t="s">
        <v>387</v>
      </c>
      <c r="D1400" s="1243">
        <f t="shared" si="244"/>
        <v>0</v>
      </c>
      <c r="E1400" s="1243">
        <f>+'INPUT - B Schedule PLANT'!BN20</f>
        <v>0</v>
      </c>
      <c r="F1400" s="1243">
        <f>+'INPUT - B Schedule PLANT'!BO20</f>
        <v>0</v>
      </c>
      <c r="G1400" s="1243">
        <f t="shared" si="248"/>
        <v>0</v>
      </c>
      <c r="H1400" s="1243"/>
      <c r="I1400" s="1243">
        <f t="shared" si="245"/>
        <v>-77.66</v>
      </c>
      <c r="J1400" s="1245"/>
      <c r="K1400" s="1243">
        <v>0</v>
      </c>
      <c r="L1400" s="1243">
        <v>0</v>
      </c>
      <c r="M1400" s="1243">
        <f t="shared" si="246"/>
        <v>0</v>
      </c>
      <c r="N1400" s="1243">
        <v>0</v>
      </c>
      <c r="O1400" s="1243">
        <f t="shared" si="247"/>
        <v>-77.66</v>
      </c>
    </row>
    <row r="1401" spans="1:15">
      <c r="A1401" s="361">
        <f t="shared" si="243"/>
        <v>16</v>
      </c>
      <c r="B1401" s="365">
        <v>375.4</v>
      </c>
      <c r="C1401" s="358" t="s">
        <v>388</v>
      </c>
      <c r="D1401" s="1243">
        <f t="shared" si="244"/>
        <v>2996990.5299999993</v>
      </c>
      <c r="E1401" s="1243">
        <f>+'INPUT - B Schedule PLANT'!BN21</f>
        <v>78078.16</v>
      </c>
      <c r="F1401" s="1243">
        <f>+'INPUT - B Schedule PLANT'!BO21</f>
        <v>0</v>
      </c>
      <c r="G1401" s="1243">
        <f t="shared" si="248"/>
        <v>3075068.6899999995</v>
      </c>
      <c r="H1401" s="1243"/>
      <c r="I1401" s="1243">
        <f t="shared" si="245"/>
        <v>594543.69000000006</v>
      </c>
      <c r="J1401" s="1245"/>
      <c r="K1401" s="1243">
        <v>5490.1500000000005</v>
      </c>
      <c r="L1401" s="1243">
        <v>0</v>
      </c>
      <c r="M1401" s="1243">
        <f t="shared" si="246"/>
        <v>0</v>
      </c>
      <c r="N1401" s="1243">
        <v>0</v>
      </c>
      <c r="O1401" s="1243">
        <f t="shared" si="247"/>
        <v>600033.84000000008</v>
      </c>
    </row>
    <row r="1402" spans="1:15">
      <c r="A1402" s="361">
        <f t="shared" si="243"/>
        <v>17</v>
      </c>
      <c r="B1402" s="365">
        <v>375.6</v>
      </c>
      <c r="C1402" s="358" t="s">
        <v>389</v>
      </c>
      <c r="D1402" s="1243">
        <f t="shared" si="244"/>
        <v>0</v>
      </c>
      <c r="E1402" s="1243">
        <f>+'INPUT - B Schedule PLANT'!BN22</f>
        <v>0</v>
      </c>
      <c r="F1402" s="1243">
        <f>+'INPUT - B Schedule PLANT'!BO22</f>
        <v>0</v>
      </c>
      <c r="G1402" s="1243">
        <f t="shared" si="248"/>
        <v>0</v>
      </c>
      <c r="H1402" s="1243"/>
      <c r="I1402" s="1243">
        <f t="shared" si="245"/>
        <v>0.02</v>
      </c>
      <c r="J1402" s="1245"/>
      <c r="K1402" s="1243">
        <v>0</v>
      </c>
      <c r="L1402" s="1243">
        <v>0</v>
      </c>
      <c r="M1402" s="1243">
        <f t="shared" si="246"/>
        <v>0</v>
      </c>
      <c r="N1402" s="1243">
        <v>0</v>
      </c>
      <c r="O1402" s="1243">
        <f t="shared" si="247"/>
        <v>0.02</v>
      </c>
    </row>
    <row r="1403" spans="1:15">
      <c r="A1403" s="361">
        <f t="shared" si="243"/>
        <v>18</v>
      </c>
      <c r="B1403" s="365">
        <v>375.7</v>
      </c>
      <c r="C1403" s="358" t="s">
        <v>390</v>
      </c>
      <c r="D1403" s="1243">
        <f t="shared" si="244"/>
        <v>9572619.4600000009</v>
      </c>
      <c r="E1403" s="1243">
        <f>+'INPUT - B Schedule PLANT'!BN23</f>
        <v>2460.2600000000002</v>
      </c>
      <c r="F1403" s="1243">
        <f>+'INPUT - B Schedule PLANT'!BO23</f>
        <v>0</v>
      </c>
      <c r="G1403" s="1243">
        <f t="shared" si="248"/>
        <v>9575079.7200000007</v>
      </c>
      <c r="H1403" s="1243"/>
      <c r="I1403" s="1243">
        <f t="shared" si="245"/>
        <v>4690485.9699999979</v>
      </c>
      <c r="J1403" s="1245"/>
      <c r="K1403" s="1243">
        <v>18669.010000000002</v>
      </c>
      <c r="L1403" s="1243">
        <v>0</v>
      </c>
      <c r="M1403" s="1243">
        <f t="shared" si="246"/>
        <v>0</v>
      </c>
      <c r="N1403" s="1243">
        <v>0</v>
      </c>
      <c r="O1403" s="1243">
        <f t="shared" si="247"/>
        <v>4709154.9799999977</v>
      </c>
    </row>
    <row r="1404" spans="1:15">
      <c r="A1404" s="361">
        <f t="shared" si="243"/>
        <v>19</v>
      </c>
      <c r="B1404" s="365">
        <v>375.71</v>
      </c>
      <c r="C1404" s="358" t="s">
        <v>391</v>
      </c>
      <c r="D1404" s="1243">
        <f t="shared" si="244"/>
        <v>880994.59</v>
      </c>
      <c r="E1404" s="1243">
        <f>+'INPUT - B Schedule PLANT'!BN24</f>
        <v>0</v>
      </c>
      <c r="F1404" s="1243">
        <f>+'INPUT - B Schedule PLANT'!BO24</f>
        <v>0</v>
      </c>
      <c r="G1404" s="1243">
        <f t="shared" si="248"/>
        <v>880994.59</v>
      </c>
      <c r="H1404" s="1243"/>
      <c r="I1404" s="1243">
        <f t="shared" si="245"/>
        <v>758963.13000000035</v>
      </c>
      <c r="J1404" s="1243" t="s">
        <v>646</v>
      </c>
      <c r="K1404" s="1243">
        <v>4743.53</v>
      </c>
      <c r="L1404" s="1243">
        <v>0</v>
      </c>
      <c r="M1404" s="1243">
        <f t="shared" si="246"/>
        <v>0</v>
      </c>
      <c r="N1404" s="1243">
        <v>0</v>
      </c>
      <c r="O1404" s="1243">
        <f t="shared" si="247"/>
        <v>763706.66000000038</v>
      </c>
    </row>
    <row r="1405" spans="1:15">
      <c r="A1405" s="361">
        <f t="shared" si="243"/>
        <v>20</v>
      </c>
      <c r="B1405" s="365">
        <v>375.8</v>
      </c>
      <c r="C1405" s="358" t="s">
        <v>392</v>
      </c>
      <c r="D1405" s="1243">
        <f t="shared" si="244"/>
        <v>132125.04</v>
      </c>
      <c r="E1405" s="1243">
        <f>+'INPUT - B Schedule PLANT'!BN25</f>
        <v>0</v>
      </c>
      <c r="F1405" s="1243">
        <f>+'INPUT - B Schedule PLANT'!BO25</f>
        <v>0</v>
      </c>
      <c r="G1405" s="1243">
        <f t="shared" si="248"/>
        <v>132125.04</v>
      </c>
      <c r="H1405" s="1243"/>
      <c r="I1405" s="1243">
        <f t="shared" si="245"/>
        <v>10826.93</v>
      </c>
      <c r="J1405" s="1245"/>
      <c r="K1405" s="1243">
        <v>585.75</v>
      </c>
      <c r="L1405" s="1243">
        <v>0</v>
      </c>
      <c r="M1405" s="1243">
        <f t="shared" si="246"/>
        <v>0</v>
      </c>
      <c r="N1405" s="1243">
        <v>0</v>
      </c>
      <c r="O1405" s="1243">
        <f t="shared" si="247"/>
        <v>11412.68</v>
      </c>
    </row>
    <row r="1406" spans="1:15">
      <c r="A1406" s="361">
        <f t="shared" si="243"/>
        <v>21</v>
      </c>
      <c r="B1406" s="365">
        <v>376</v>
      </c>
      <c r="C1406" s="358" t="s">
        <v>1621</v>
      </c>
      <c r="D1406" s="1243">
        <f t="shared" si="244"/>
        <v>411291577.66000003</v>
      </c>
      <c r="E1406" s="1243">
        <f>'WPB-2.1.D SMRP'!E579</f>
        <v>276955.41000000032</v>
      </c>
      <c r="F1406" s="1243">
        <f>'WPB-2.1.D SMRP'!F579</f>
        <v>-86892.96</v>
      </c>
      <c r="G1406" s="1243">
        <f t="shared" si="248"/>
        <v>411481640.11000007</v>
      </c>
      <c r="H1406" s="1243"/>
      <c r="I1406" s="1243">
        <f t="shared" si="245"/>
        <v>79654433.208000034</v>
      </c>
      <c r="J1406" s="1245"/>
      <c r="K1406" s="1243">
        <v>592824.76800000004</v>
      </c>
      <c r="L1406" s="1243">
        <v>0</v>
      </c>
      <c r="M1406" s="1243">
        <f t="shared" ref="M1406:M1411" si="249">F1406</f>
        <v>-86892.96</v>
      </c>
      <c r="N1406" s="1243">
        <v>-10959.33</v>
      </c>
      <c r="O1406" s="1243">
        <f t="shared" si="247"/>
        <v>80149405.686000049</v>
      </c>
    </row>
    <row r="1407" spans="1:15">
      <c r="A1407" s="361">
        <f t="shared" si="243"/>
        <v>22</v>
      </c>
      <c r="B1407" s="365">
        <v>378.1</v>
      </c>
      <c r="C1407" s="358" t="s">
        <v>394</v>
      </c>
      <c r="D1407" s="1243">
        <f t="shared" si="244"/>
        <v>571379.56000000006</v>
      </c>
      <c r="E1407" s="1243">
        <f>+'INPUT - B Schedule PLANT'!BN27</f>
        <v>0</v>
      </c>
      <c r="F1407" s="1243">
        <f>+'INPUT - B Schedule PLANT'!BO27</f>
        <v>-91.54</v>
      </c>
      <c r="G1407" s="1243">
        <f t="shared" si="248"/>
        <v>571288.02</v>
      </c>
      <c r="H1407" s="1243"/>
      <c r="I1407" s="1243">
        <f t="shared" si="245"/>
        <v>411351.20999999996</v>
      </c>
      <c r="J1407" s="1245"/>
      <c r="K1407" s="1243">
        <v>1031.82</v>
      </c>
      <c r="L1407" s="1243">
        <v>0</v>
      </c>
      <c r="M1407" s="1243">
        <f t="shared" si="249"/>
        <v>-91.54</v>
      </c>
      <c r="N1407" s="1243">
        <v>-69.460000000000008</v>
      </c>
      <c r="O1407" s="1243">
        <f t="shared" si="247"/>
        <v>412222.02999999997</v>
      </c>
    </row>
    <row r="1408" spans="1:15">
      <c r="A1408" s="361">
        <f t="shared" si="243"/>
        <v>23</v>
      </c>
      <c r="B1408" s="365">
        <v>378.2</v>
      </c>
      <c r="C1408" s="358" t="s">
        <v>1622</v>
      </c>
      <c r="D1408" s="1243">
        <f t="shared" si="244"/>
        <v>25341221.630000003</v>
      </c>
      <c r="E1408" s="1243">
        <f>'WPB-2.1.D SMRP'!E583</f>
        <v>12163.02</v>
      </c>
      <c r="F1408" s="1243">
        <f>'WPB-2.1.D SMRP'!F583</f>
        <v>0</v>
      </c>
      <c r="G1408" s="1243">
        <f t="shared" si="248"/>
        <v>25353384.650000002</v>
      </c>
      <c r="H1408" s="1243"/>
      <c r="I1408" s="1243">
        <f t="shared" si="245"/>
        <v>3389938.9620000003</v>
      </c>
      <c r="J1408" s="1245"/>
      <c r="K1408" s="1243">
        <v>53386.553000000007</v>
      </c>
      <c r="L1408" s="1243">
        <v>0</v>
      </c>
      <c r="M1408" s="1243">
        <f t="shared" si="249"/>
        <v>0</v>
      </c>
      <c r="N1408" s="1243">
        <v>-77.89</v>
      </c>
      <c r="O1408" s="1243">
        <f t="shared" si="247"/>
        <v>3443247.625</v>
      </c>
    </row>
    <row r="1409" spans="1:15">
      <c r="A1409" s="361">
        <f t="shared" si="243"/>
        <v>24</v>
      </c>
      <c r="B1409" s="365">
        <v>378.3</v>
      </c>
      <c r="C1409" s="358" t="s">
        <v>396</v>
      </c>
      <c r="D1409" s="1243">
        <f t="shared" si="244"/>
        <v>45443.08</v>
      </c>
      <c r="E1409" s="1243">
        <f>+'INPUT - B Schedule PLANT'!BN29</f>
        <v>0</v>
      </c>
      <c r="F1409" s="1243">
        <f>+'INPUT - B Schedule PLANT'!BO29</f>
        <v>0</v>
      </c>
      <c r="G1409" s="1243">
        <f t="shared" si="248"/>
        <v>45443.08</v>
      </c>
      <c r="H1409" s="1243"/>
      <c r="I1409" s="1243">
        <f t="shared" si="245"/>
        <v>43167.460000000006</v>
      </c>
      <c r="J1409" s="1245"/>
      <c r="K1409" s="1243">
        <v>95.43</v>
      </c>
      <c r="L1409" s="1243">
        <v>0</v>
      </c>
      <c r="M1409" s="1243">
        <f t="shared" si="249"/>
        <v>0</v>
      </c>
      <c r="N1409" s="1243">
        <v>0</v>
      </c>
      <c r="O1409" s="1243">
        <f t="shared" si="247"/>
        <v>43262.890000000007</v>
      </c>
    </row>
    <row r="1410" spans="1:15">
      <c r="A1410" s="361">
        <f t="shared" si="243"/>
        <v>25</v>
      </c>
      <c r="B1410" s="365">
        <v>379.1</v>
      </c>
      <c r="C1410" s="358" t="s">
        <v>397</v>
      </c>
      <c r="D1410" s="1243">
        <f t="shared" si="244"/>
        <v>1554144.06</v>
      </c>
      <c r="E1410" s="1243">
        <f>+'INPUT - B Schedule PLANT'!BN30</f>
        <v>0</v>
      </c>
      <c r="F1410" s="1243">
        <f>+'INPUT - B Schedule PLANT'!BO30</f>
        <v>0</v>
      </c>
      <c r="G1410" s="1243">
        <f t="shared" si="248"/>
        <v>1554144.06</v>
      </c>
      <c r="H1410" s="1243"/>
      <c r="I1410" s="1243">
        <f t="shared" si="245"/>
        <v>351384.81000000006</v>
      </c>
      <c r="J1410" s="1245"/>
      <c r="K1410" s="1243">
        <v>3134.19</v>
      </c>
      <c r="L1410" s="1243">
        <v>0</v>
      </c>
      <c r="M1410" s="1243">
        <f t="shared" si="249"/>
        <v>0</v>
      </c>
      <c r="N1410" s="1243">
        <v>0</v>
      </c>
      <c r="O1410" s="1243">
        <f t="shared" si="247"/>
        <v>354519.00000000006</v>
      </c>
    </row>
    <row r="1411" spans="1:15">
      <c r="A1411" s="361">
        <f t="shared" si="243"/>
        <v>26</v>
      </c>
      <c r="B1411" s="365">
        <v>380</v>
      </c>
      <c r="C1411" s="358" t="s">
        <v>1623</v>
      </c>
      <c r="D1411" s="1243">
        <f t="shared" si="244"/>
        <v>201989330.3594296</v>
      </c>
      <c r="E1411" s="1243">
        <f>'WPB-2.1.D SMRP'!E587</f>
        <v>815547.74000000011</v>
      </c>
      <c r="F1411" s="1243">
        <f>'WPB-2.1.D SMRP'!F587</f>
        <v>-16036.450000000012</v>
      </c>
      <c r="G1411" s="1243">
        <f t="shared" si="248"/>
        <v>202788841.64942962</v>
      </c>
      <c r="H1411" s="1243"/>
      <c r="I1411" s="1243">
        <f t="shared" si="245"/>
        <v>59215765.896021634</v>
      </c>
      <c r="J1411" s="1245"/>
      <c r="K1411" s="1243">
        <v>704730.24</v>
      </c>
      <c r="L1411" s="1243">
        <v>0</v>
      </c>
      <c r="M1411" s="1243">
        <f t="shared" si="249"/>
        <v>-16036.450000000012</v>
      </c>
      <c r="N1411" s="1243">
        <v>-18143.72</v>
      </c>
      <c r="O1411" s="1243">
        <f t="shared" si="247"/>
        <v>59886315.966021635</v>
      </c>
    </row>
    <row r="1412" spans="1:15">
      <c r="A1412" s="361">
        <f t="shared" si="243"/>
        <v>27</v>
      </c>
      <c r="B1412" s="365">
        <v>381</v>
      </c>
      <c r="C1412" s="358" t="s">
        <v>399</v>
      </c>
      <c r="D1412" s="1243">
        <f t="shared" si="244"/>
        <v>19455628.810000002</v>
      </c>
      <c r="E1412" s="1243">
        <f>+'INPUT - B Schedule PLANT'!BN32</f>
        <v>70136.19</v>
      </c>
      <c r="F1412" s="1243">
        <f>+'INPUT - B Schedule PLANT'!BO32</f>
        <v>-42599.26</v>
      </c>
      <c r="G1412" s="1243">
        <f t="shared" si="248"/>
        <v>19483165.740000002</v>
      </c>
      <c r="H1412" s="1243"/>
      <c r="I1412" s="1243">
        <f t="shared" si="245"/>
        <v>2502250.6999999993</v>
      </c>
      <c r="J1412" s="1245"/>
      <c r="K1412" s="1243">
        <v>43179.54</v>
      </c>
      <c r="L1412" s="1243">
        <v>0</v>
      </c>
      <c r="M1412" s="1243">
        <f t="shared" ref="M1412:M1424" si="250">F1412</f>
        <v>-42599.26</v>
      </c>
      <c r="N1412" s="1243">
        <v>-10703.52</v>
      </c>
      <c r="O1412" s="1243">
        <f t="shared" si="247"/>
        <v>2492127.4599999995</v>
      </c>
    </row>
    <row r="1413" spans="1:15">
      <c r="A1413" s="361">
        <f t="shared" si="243"/>
        <v>28</v>
      </c>
      <c r="B1413" s="365">
        <v>381.1</v>
      </c>
      <c r="C1413" s="358" t="s">
        <v>2366</v>
      </c>
      <c r="D1413" s="1243">
        <f t="shared" si="244"/>
        <v>9980854.4800000004</v>
      </c>
      <c r="E1413" s="1243">
        <f>+'INPUT - B Schedule PLANT'!BN33</f>
        <v>0</v>
      </c>
      <c r="F1413" s="1243">
        <f>+'INPUT - B Schedule PLANT'!BO33</f>
        <v>0</v>
      </c>
      <c r="G1413" s="1243">
        <f t="shared" si="248"/>
        <v>9980854.4800000004</v>
      </c>
      <c r="H1413" s="1243"/>
      <c r="I1413" s="1243">
        <f t="shared" si="245"/>
        <v>5361099.0500000026</v>
      </c>
      <c r="J1413" s="1245"/>
      <c r="K1413" s="1243">
        <v>62213.99</v>
      </c>
      <c r="L1413" s="1243">
        <v>0</v>
      </c>
      <c r="M1413" s="1243">
        <f t="shared" si="250"/>
        <v>0</v>
      </c>
      <c r="N1413" s="1243">
        <v>0</v>
      </c>
      <c r="O1413" s="1243">
        <f t="shared" si="247"/>
        <v>5423313.0400000028</v>
      </c>
    </row>
    <row r="1414" spans="1:15">
      <c r="A1414" s="361">
        <f t="shared" si="243"/>
        <v>29</v>
      </c>
      <c r="B1414" s="365">
        <v>382</v>
      </c>
      <c r="C1414" s="358" t="s">
        <v>1624</v>
      </c>
      <c r="D1414" s="1243">
        <f t="shared" si="244"/>
        <v>10565313.149999999</v>
      </c>
      <c r="E1414" s="1243">
        <f>'WPB-2.1.D SMRP'!E591</f>
        <v>8837.9100000000035</v>
      </c>
      <c r="F1414" s="1243">
        <f>'WPB-2.1.D SMRP'!F591</f>
        <v>0</v>
      </c>
      <c r="G1414" s="1243">
        <f t="shared" si="248"/>
        <v>10574151.059999999</v>
      </c>
      <c r="H1414" s="1243"/>
      <c r="I1414" s="1243">
        <f t="shared" si="245"/>
        <v>5842563.0030000014</v>
      </c>
      <c r="J1414" s="1245"/>
      <c r="K1414" s="1243">
        <v>15590.453</v>
      </c>
      <c r="L1414" s="1243">
        <v>0</v>
      </c>
      <c r="M1414" s="1243">
        <f t="shared" si="250"/>
        <v>0</v>
      </c>
      <c r="N1414" s="1243">
        <v>0</v>
      </c>
      <c r="O1414" s="1243">
        <f t="shared" si="247"/>
        <v>5858153.4560000012</v>
      </c>
    </row>
    <row r="1415" spans="1:15">
      <c r="A1415" s="361">
        <f t="shared" si="243"/>
        <v>30</v>
      </c>
      <c r="B1415" s="365">
        <v>383</v>
      </c>
      <c r="C1415" s="358" t="s">
        <v>1625</v>
      </c>
      <c r="D1415" s="1243">
        <f t="shared" si="244"/>
        <v>7334559.7299999995</v>
      </c>
      <c r="E1415" s="1243">
        <f>'WPB-2.1.D SMRP'!E595</f>
        <v>33718.410000000003</v>
      </c>
      <c r="F1415" s="1243">
        <f>'WPB-2.1.D SMRP'!F595</f>
        <v>0</v>
      </c>
      <c r="G1415" s="1243">
        <f t="shared" si="248"/>
        <v>7368278.1399999997</v>
      </c>
      <c r="H1415" s="1243"/>
      <c r="I1415" s="1243">
        <f t="shared" si="245"/>
        <v>2486451.0919999997</v>
      </c>
      <c r="J1415" s="1245"/>
      <c r="K1415" s="1243">
        <v>11884.682999999999</v>
      </c>
      <c r="L1415" s="1243">
        <v>0</v>
      </c>
      <c r="M1415" s="1243">
        <f t="shared" si="250"/>
        <v>0</v>
      </c>
      <c r="N1415" s="1243">
        <v>0</v>
      </c>
      <c r="O1415" s="1243">
        <f t="shared" si="247"/>
        <v>2498335.7749999999</v>
      </c>
    </row>
    <row r="1416" spans="1:15">
      <c r="A1416" s="361">
        <f t="shared" si="243"/>
        <v>31</v>
      </c>
      <c r="B1416" s="365">
        <v>384</v>
      </c>
      <c r="C1416" s="358" t="s">
        <v>402</v>
      </c>
      <c r="D1416" s="1243">
        <f t="shared" si="244"/>
        <v>2085058.65</v>
      </c>
      <c r="E1416" s="1243">
        <f>+'INPUT - B Schedule PLANT'!BN36</f>
        <v>0</v>
      </c>
      <c r="F1416" s="1243">
        <f>+'INPUT - B Schedule PLANT'!BO36</f>
        <v>0</v>
      </c>
      <c r="G1416" s="1243">
        <f t="shared" si="248"/>
        <v>2085058.65</v>
      </c>
      <c r="H1416" s="1243"/>
      <c r="I1416" s="1243">
        <f t="shared" si="245"/>
        <v>1728321.6999999993</v>
      </c>
      <c r="J1416" s="1245"/>
      <c r="K1416" s="1243">
        <v>1720.17</v>
      </c>
      <c r="L1416" s="1243">
        <v>0</v>
      </c>
      <c r="M1416" s="1243">
        <f t="shared" si="250"/>
        <v>0</v>
      </c>
      <c r="N1416" s="1243">
        <v>0</v>
      </c>
      <c r="O1416" s="1243">
        <f t="shared" si="247"/>
        <v>1730041.8699999992</v>
      </c>
    </row>
    <row r="1417" spans="1:15">
      <c r="A1417" s="361">
        <f t="shared" si="243"/>
        <v>32</v>
      </c>
      <c r="B1417" s="365">
        <v>385</v>
      </c>
      <c r="C1417" s="358" t="s">
        <v>403</v>
      </c>
      <c r="D1417" s="1243">
        <f t="shared" si="244"/>
        <v>6050694.3200000003</v>
      </c>
      <c r="E1417" s="1243">
        <f>+'INPUT - B Schedule PLANT'!BN37</f>
        <v>290.79000000000002</v>
      </c>
      <c r="F1417" s="1243">
        <f>+'INPUT - B Schedule PLANT'!BO37</f>
        <v>-1594.6200000000001</v>
      </c>
      <c r="G1417" s="1243">
        <f t="shared" si="248"/>
        <v>6049390.4900000002</v>
      </c>
      <c r="H1417" s="1243"/>
      <c r="I1417" s="1243">
        <f t="shared" si="245"/>
        <v>785825.46</v>
      </c>
      <c r="J1417" s="1245"/>
      <c r="K1417" s="1243">
        <v>18805.55</v>
      </c>
      <c r="L1417" s="1243">
        <v>0</v>
      </c>
      <c r="M1417" s="1243">
        <f t="shared" si="250"/>
        <v>-1594.6200000000001</v>
      </c>
      <c r="N1417" s="1243">
        <v>0</v>
      </c>
      <c r="O1417" s="1243">
        <f t="shared" si="247"/>
        <v>803036.39</v>
      </c>
    </row>
    <row r="1418" spans="1:15">
      <c r="A1418" s="361">
        <f t="shared" si="243"/>
        <v>33</v>
      </c>
      <c r="B1418" s="365">
        <v>387.2</v>
      </c>
      <c r="C1418" s="358" t="s">
        <v>404</v>
      </c>
      <c r="D1418" s="1243">
        <f t="shared" si="244"/>
        <v>0</v>
      </c>
      <c r="E1418" s="1243">
        <f>+'INPUT - B Schedule PLANT'!BN38</f>
        <v>0</v>
      </c>
      <c r="F1418" s="1243">
        <f>+'INPUT - B Schedule PLANT'!BO38</f>
        <v>0</v>
      </c>
      <c r="G1418" s="1243">
        <f t="shared" si="248"/>
        <v>0</v>
      </c>
      <c r="H1418" s="1243"/>
      <c r="I1418" s="1243">
        <f t="shared" si="245"/>
        <v>-59912.03</v>
      </c>
      <c r="J1418" s="1245"/>
      <c r="K1418" s="1243">
        <v>0</v>
      </c>
      <c r="L1418" s="1243">
        <v>0</v>
      </c>
      <c r="M1418" s="1243">
        <f t="shared" si="250"/>
        <v>0</v>
      </c>
      <c r="N1418" s="1243">
        <v>0</v>
      </c>
      <c r="O1418" s="1243">
        <f t="shared" si="247"/>
        <v>-59912.03</v>
      </c>
    </row>
    <row r="1419" spans="1:15">
      <c r="A1419" s="361">
        <f t="shared" si="243"/>
        <v>34</v>
      </c>
      <c r="B1419" s="365">
        <v>387.41</v>
      </c>
      <c r="C1419" s="358" t="s">
        <v>405</v>
      </c>
      <c r="D1419" s="1243">
        <f t="shared" si="244"/>
        <v>260538.46000000008</v>
      </c>
      <c r="E1419" s="1243">
        <f>+'INPUT - B Schedule PLANT'!BN39</f>
        <v>0</v>
      </c>
      <c r="F1419" s="1243">
        <f>+'INPUT - B Schedule PLANT'!BO39</f>
        <v>0</v>
      </c>
      <c r="G1419" s="1243">
        <f t="shared" si="248"/>
        <v>260538.46000000008</v>
      </c>
      <c r="H1419" s="1243"/>
      <c r="I1419" s="1243">
        <f t="shared" si="245"/>
        <v>60461.190000000061</v>
      </c>
      <c r="J1419" s="1245"/>
      <c r="K1419" s="1243">
        <v>670.89</v>
      </c>
      <c r="L1419" s="1243">
        <v>0</v>
      </c>
      <c r="M1419" s="1243">
        <f t="shared" si="250"/>
        <v>0</v>
      </c>
      <c r="N1419" s="1243">
        <v>0</v>
      </c>
      <c r="O1419" s="1243">
        <f t="shared" si="247"/>
        <v>61132.08000000006</v>
      </c>
    </row>
    <row r="1420" spans="1:15">
      <c r="A1420" s="361">
        <f t="shared" si="243"/>
        <v>35</v>
      </c>
      <c r="B1420" s="365">
        <v>387.42</v>
      </c>
      <c r="C1420" s="358" t="s">
        <v>406</v>
      </c>
      <c r="D1420" s="1243">
        <f t="shared" si="244"/>
        <v>419367.40000000008</v>
      </c>
      <c r="E1420" s="1243">
        <f>+'INPUT - B Schedule PLANT'!BN40</f>
        <v>0</v>
      </c>
      <c r="F1420" s="1243">
        <f>+'INPUT - B Schedule PLANT'!BO40</f>
        <v>0</v>
      </c>
      <c r="G1420" s="1243">
        <f t="shared" si="248"/>
        <v>419367.40000000008</v>
      </c>
      <c r="H1420" s="1243"/>
      <c r="I1420" s="1243">
        <f t="shared" si="245"/>
        <v>343399.22999999981</v>
      </c>
      <c r="J1420" s="1245"/>
      <c r="K1420" s="1243">
        <v>1132.29</v>
      </c>
      <c r="L1420" s="1243">
        <v>0</v>
      </c>
      <c r="M1420" s="1243">
        <f t="shared" si="250"/>
        <v>0</v>
      </c>
      <c r="N1420" s="1243">
        <v>0</v>
      </c>
      <c r="O1420" s="1243">
        <f t="shared" si="247"/>
        <v>344531.51999999979</v>
      </c>
    </row>
    <row r="1421" spans="1:15">
      <c r="A1421" s="361">
        <f t="shared" si="243"/>
        <v>36</v>
      </c>
      <c r="B1421" s="365">
        <v>387.44</v>
      </c>
      <c r="C1421" s="358" t="s">
        <v>407</v>
      </c>
      <c r="D1421" s="1243">
        <f t="shared" si="244"/>
        <v>124678.76000000001</v>
      </c>
      <c r="E1421" s="1243">
        <f>+'INPUT - B Schedule PLANT'!BN41</f>
        <v>0</v>
      </c>
      <c r="F1421" s="1243">
        <f>+'INPUT - B Schedule PLANT'!BO41</f>
        <v>0</v>
      </c>
      <c r="G1421" s="1243">
        <f t="shared" si="248"/>
        <v>124678.76000000001</v>
      </c>
      <c r="H1421" s="1243"/>
      <c r="I1421" s="1243">
        <f t="shared" si="245"/>
        <v>67406.13</v>
      </c>
      <c r="J1421" s="1245"/>
      <c r="K1421" s="1243">
        <v>336.63</v>
      </c>
      <c r="L1421" s="1243">
        <v>0</v>
      </c>
      <c r="M1421" s="1243">
        <f t="shared" si="250"/>
        <v>0</v>
      </c>
      <c r="N1421" s="1243">
        <v>0</v>
      </c>
      <c r="O1421" s="1243">
        <f t="shared" si="247"/>
        <v>67742.760000000009</v>
      </c>
    </row>
    <row r="1422" spans="1:15">
      <c r="A1422" s="361">
        <f t="shared" si="243"/>
        <v>37</v>
      </c>
      <c r="B1422" s="365">
        <v>387.45</v>
      </c>
      <c r="C1422" s="358" t="s">
        <v>408</v>
      </c>
      <c r="D1422" s="1243">
        <f t="shared" si="244"/>
        <v>6010372.4800000004</v>
      </c>
      <c r="E1422" s="1243">
        <f>+'INPUT - B Schedule PLANT'!BN42</f>
        <v>844.73999999999978</v>
      </c>
      <c r="F1422" s="1243">
        <f>+'INPUT - B Schedule PLANT'!BO42</f>
        <v>-2403.5</v>
      </c>
      <c r="G1422" s="1243">
        <f t="shared" si="248"/>
        <v>6008813.7200000007</v>
      </c>
      <c r="H1422" s="1243"/>
      <c r="I1422" s="1243">
        <f t="shared" si="245"/>
        <v>-611450.87999999989</v>
      </c>
      <c r="J1422" s="1245"/>
      <c r="K1422" s="1243">
        <v>16225.9</v>
      </c>
      <c r="L1422" s="1243">
        <v>0</v>
      </c>
      <c r="M1422" s="1243">
        <f t="shared" si="250"/>
        <v>-2403.5</v>
      </c>
      <c r="N1422" s="1243">
        <v>-66.290000000000006</v>
      </c>
      <c r="O1422" s="1243">
        <f t="shared" si="247"/>
        <v>-597694.7699999999</v>
      </c>
    </row>
    <row r="1423" spans="1:15">
      <c r="A1423" s="361">
        <f t="shared" si="243"/>
        <v>38</v>
      </c>
      <c r="B1423" s="365">
        <v>387.46</v>
      </c>
      <c r="C1423" s="358" t="s">
        <v>409</v>
      </c>
      <c r="D1423" s="1243">
        <f t="shared" si="244"/>
        <v>113644.47</v>
      </c>
      <c r="E1423" s="1243">
        <f>+'INPUT - B Schedule PLANT'!BN43</f>
        <v>0</v>
      </c>
      <c r="F1423" s="1243">
        <f>+'INPUT - B Schedule PLANT'!BO43</f>
        <v>0</v>
      </c>
      <c r="G1423" s="1243">
        <f t="shared" si="248"/>
        <v>113644.47</v>
      </c>
      <c r="H1423" s="1243"/>
      <c r="I1423" s="1243">
        <f t="shared" si="245"/>
        <v>114497.07</v>
      </c>
      <c r="J1423" s="1245"/>
      <c r="K1423" s="1243">
        <v>0</v>
      </c>
      <c r="L1423" s="1243">
        <v>0</v>
      </c>
      <c r="M1423" s="1243">
        <f t="shared" si="250"/>
        <v>0</v>
      </c>
      <c r="N1423" s="1243">
        <v>0</v>
      </c>
      <c r="O1423" s="1243">
        <f t="shared" si="247"/>
        <v>114497.07</v>
      </c>
    </row>
    <row r="1424" spans="1:15">
      <c r="A1424" s="361">
        <f t="shared" si="243"/>
        <v>39</v>
      </c>
      <c r="B1424" s="365">
        <v>387.5</v>
      </c>
      <c r="C1424" s="358" t="s">
        <v>1075</v>
      </c>
      <c r="D1424" s="1244">
        <f t="shared" si="244"/>
        <v>238072.69</v>
      </c>
      <c r="E1424" s="1244">
        <f>+'INPUT - B Schedule PLANT'!BN44</f>
        <v>0</v>
      </c>
      <c r="F1424" s="1244">
        <f>+'INPUT - B Schedule PLANT'!BO44</f>
        <v>0</v>
      </c>
      <c r="G1424" s="1244">
        <f t="shared" si="248"/>
        <v>238072.69</v>
      </c>
      <c r="H1424" s="1243"/>
      <c r="I1424" s="1244">
        <f t="shared" si="245"/>
        <v>42682.390000000021</v>
      </c>
      <c r="J1424" s="1245"/>
      <c r="K1424" s="1244">
        <v>613.04</v>
      </c>
      <c r="L1424" s="1244">
        <v>0</v>
      </c>
      <c r="M1424" s="1244">
        <f t="shared" si="250"/>
        <v>0</v>
      </c>
      <c r="N1424" s="1244">
        <v>0</v>
      </c>
      <c r="O1424" s="1244">
        <f t="shared" si="247"/>
        <v>43295.430000000022</v>
      </c>
    </row>
    <row r="1425" spans="1:16">
      <c r="A1425" s="361">
        <f t="shared" si="243"/>
        <v>40</v>
      </c>
      <c r="C1425" s="365" t="s">
        <v>1601</v>
      </c>
      <c r="D1425" s="1243">
        <f>SUM(D1395:D1424)</f>
        <v>723518329.71942973</v>
      </c>
      <c r="E1425" s="1243">
        <f>SUM(E1395:E1424)</f>
        <v>1299032.6300000001</v>
      </c>
      <c r="F1425" s="1243">
        <f>SUM(F1395:F1424)</f>
        <v>-149618.49000000002</v>
      </c>
      <c r="G1425" s="1243">
        <f>SUM(G1395:G1424)</f>
        <v>724667743.85942972</v>
      </c>
      <c r="H1425" s="1243"/>
      <c r="I1425" s="1243">
        <f>SUM(I1395:I1424)</f>
        <v>169311098.33102161</v>
      </c>
      <c r="J1425" s="1243"/>
      <c r="K1425" s="1243">
        <f>SUM(K1395:K1424)</f>
        <v>1562640.0369999998</v>
      </c>
      <c r="L1425" s="1243">
        <f>SUM(L1395:L1424)</f>
        <v>0</v>
      </c>
      <c r="M1425" s="1243">
        <f>SUM(M1395:M1424)</f>
        <v>-149618.49000000002</v>
      </c>
      <c r="N1425" s="1243">
        <f>SUM(N1395:N1424)</f>
        <v>-40020.21</v>
      </c>
      <c r="O1425" s="1243">
        <f>SUM(O1395:O1424)</f>
        <v>170684099.66802168</v>
      </c>
    </row>
    <row r="1426" spans="1:16">
      <c r="B1426" s="367"/>
      <c r="C1426" s="368"/>
      <c r="D1426" s="369"/>
      <c r="E1426" s="369"/>
      <c r="F1426" s="369"/>
      <c r="G1426" s="369"/>
      <c r="I1426" s="369"/>
      <c r="J1426" s="369"/>
      <c r="K1426" s="369"/>
      <c r="L1426" s="369"/>
      <c r="M1426" s="369"/>
      <c r="N1426" s="369"/>
      <c r="O1426" s="369"/>
    </row>
    <row r="1427" spans="1:16">
      <c r="I1427" s="369"/>
      <c r="J1427" s="369"/>
      <c r="K1427" s="369"/>
      <c r="L1427" s="369"/>
      <c r="M1427" s="369"/>
      <c r="N1427" s="369"/>
      <c r="O1427" s="369"/>
    </row>
    <row r="1428" spans="1:16" s="291" customFormat="1">
      <c r="A1428" s="1308" t="str">
        <f>$A$1</f>
        <v>COLUMBIA GAS OF KENTUCKY, INC.</v>
      </c>
      <c r="B1428" s="1308"/>
      <c r="C1428" s="1308"/>
      <c r="D1428" s="1308"/>
      <c r="E1428" s="1308"/>
      <c r="F1428" s="1308"/>
      <c r="G1428" s="1308"/>
      <c r="H1428" s="1308"/>
      <c r="I1428" s="1308"/>
      <c r="J1428" s="1308"/>
      <c r="K1428" s="1308"/>
      <c r="L1428" s="1308"/>
      <c r="M1428" s="1308"/>
      <c r="N1428" s="1308"/>
      <c r="O1428" s="1308"/>
    </row>
    <row r="1429" spans="1:16" s="291" customFormat="1">
      <c r="A1429" s="1308" t="str">
        <f>$A$2</f>
        <v>CASE NO. 2024 - 00092</v>
      </c>
      <c r="B1429" s="1308"/>
      <c r="C1429" s="1308"/>
      <c r="D1429" s="1308"/>
      <c r="E1429" s="1308"/>
      <c r="F1429" s="1308"/>
      <c r="G1429" s="1308"/>
      <c r="H1429" s="1308"/>
      <c r="I1429" s="1308"/>
      <c r="J1429" s="1308"/>
      <c r="K1429" s="1308"/>
      <c r="L1429" s="1308"/>
      <c r="M1429" s="1308"/>
      <c r="N1429" s="1308"/>
      <c r="O1429" s="1308"/>
    </row>
    <row r="1430" spans="1:16" s="291" customFormat="1">
      <c r="A1430" s="1308" t="str">
        <f>$A$3</f>
        <v>DETAIL OF ACTUAL &amp; FORECASTED PLANT, ACCUMULATED RESERVE &amp; DEPRECIATION EXPENSE</v>
      </c>
      <c r="B1430" s="1308"/>
      <c r="C1430" s="1308"/>
      <c r="D1430" s="1308"/>
      <c r="E1430" s="1308"/>
      <c r="F1430" s="1308"/>
      <c r="G1430" s="1308"/>
      <c r="H1430" s="1308"/>
      <c r="I1430" s="1308"/>
      <c r="J1430" s="1308"/>
      <c r="K1430" s="1308"/>
      <c r="L1430" s="1308"/>
      <c r="M1430" s="1308"/>
      <c r="N1430" s="1308"/>
      <c r="O1430" s="1308"/>
      <c r="P1430" s="357"/>
    </row>
    <row r="1431" spans="1:16" s="291" customFormat="1">
      <c r="A1431" s="1308" t="str">
        <f>$A$4</f>
        <v>FROM JANUARY 01, 2023 THROUGH DECEMBER 31, 2025</v>
      </c>
      <c r="B1431" s="1308"/>
      <c r="C1431" s="1308"/>
      <c r="D1431" s="1308"/>
      <c r="E1431" s="1308"/>
      <c r="F1431" s="1308"/>
      <c r="G1431" s="1308"/>
      <c r="H1431" s="1308"/>
      <c r="I1431" s="1308"/>
      <c r="J1431" s="1308"/>
      <c r="K1431" s="1308"/>
      <c r="L1431" s="1308"/>
      <c r="M1431" s="1308"/>
      <c r="N1431" s="1308"/>
      <c r="O1431" s="1308"/>
    </row>
    <row r="1432" spans="1:16" s="291" customFormat="1">
      <c r="B1432" s="293"/>
      <c r="P1432" s="312"/>
    </row>
    <row r="1433" spans="1:16" s="291" customFormat="1">
      <c r="A1433" s="297" t="str">
        <f>$A$6</f>
        <v xml:space="preserve">DATA: _X_ BASE PERIOD _X_ FORECASTED PERIOD     </v>
      </c>
      <c r="B1433" s="293"/>
      <c r="O1433" s="312" t="str">
        <f>$O$6</f>
        <v>WPB-2.1.C</v>
      </c>
      <c r="P1433" s="312"/>
    </row>
    <row r="1434" spans="1:16" s="291" customFormat="1">
      <c r="A1434" s="297" t="str">
        <f>$A$7</f>
        <v>TYPE OF FILING:___X___ORIGINAL______UPDATED</v>
      </c>
      <c r="B1434" s="293"/>
      <c r="O1434" s="312" t="s">
        <v>2197</v>
      </c>
      <c r="P1434" s="312"/>
    </row>
    <row r="1435" spans="1:16" s="291" customFormat="1">
      <c r="A1435" s="297" t="str">
        <f>$A$8</f>
        <v>WORKPAPER REFERENCE NO(S).:</v>
      </c>
      <c r="B1435" s="293"/>
      <c r="O1435" s="312" t="str">
        <f>$O$8</f>
        <v>WITNESS: GORE</v>
      </c>
    </row>
    <row r="1436" spans="1:16">
      <c r="A1436" s="918"/>
      <c r="B1436" s="919"/>
      <c r="C1436" s="918"/>
      <c r="D1436" s="918"/>
      <c r="E1436" s="918"/>
      <c r="F1436" s="918"/>
      <c r="G1436" s="918"/>
      <c r="H1436" s="918"/>
      <c r="I1436" s="918"/>
      <c r="J1436" s="918"/>
      <c r="K1436" s="918"/>
      <c r="L1436" s="918"/>
      <c r="M1436" s="918"/>
      <c r="N1436" s="918"/>
      <c r="O1436" s="920"/>
    </row>
    <row r="1437" spans="1:16">
      <c r="D1437" s="1311" t="s">
        <v>1768</v>
      </c>
      <c r="E1437" s="1311"/>
      <c r="F1437" s="1311"/>
      <c r="G1437" s="1311"/>
      <c r="I1437" s="1311" t="s">
        <v>1769</v>
      </c>
      <c r="J1437" s="1311"/>
      <c r="K1437" s="1311"/>
      <c r="L1437" s="1311"/>
      <c r="M1437" s="1311"/>
      <c r="N1437" s="1311"/>
      <c r="O1437" s="1311"/>
    </row>
    <row r="1438" spans="1:16">
      <c r="D1438" s="360">
        <f>D1379</f>
        <v>45292</v>
      </c>
      <c r="G1438" s="360">
        <f>G1379</f>
        <v>45322</v>
      </c>
      <c r="I1438" s="360">
        <f>D1438</f>
        <v>45292</v>
      </c>
      <c r="O1438" s="360">
        <f>G1438</f>
        <v>45322</v>
      </c>
    </row>
    <row r="1439" spans="1:16">
      <c r="D1439" s="361" t="s">
        <v>1757</v>
      </c>
      <c r="G1439" s="361" t="s">
        <v>1757</v>
      </c>
      <c r="I1439" s="361" t="s">
        <v>1758</v>
      </c>
      <c r="J1439" s="361" t="s">
        <v>488</v>
      </c>
      <c r="L1439" s="361" t="s">
        <v>1758</v>
      </c>
      <c r="O1439" s="361" t="s">
        <v>1758</v>
      </c>
    </row>
    <row r="1440" spans="1:16">
      <c r="A1440" s="361" t="s">
        <v>1770</v>
      </c>
      <c r="B1440" s="361" t="s">
        <v>368</v>
      </c>
      <c r="C1440" s="361"/>
      <c r="D1440" s="361" t="s">
        <v>437</v>
      </c>
      <c r="G1440" s="361" t="s">
        <v>439</v>
      </c>
      <c r="I1440" s="361" t="s">
        <v>437</v>
      </c>
      <c r="J1440" s="361" t="s">
        <v>1771</v>
      </c>
      <c r="K1440" s="361" t="s">
        <v>1772</v>
      </c>
      <c r="L1440" s="361" t="s">
        <v>1759</v>
      </c>
      <c r="N1440" s="361" t="s">
        <v>1760</v>
      </c>
      <c r="O1440" s="361" t="s">
        <v>439</v>
      </c>
    </row>
    <row r="1441" spans="1:15">
      <c r="A1441" s="364" t="s">
        <v>316</v>
      </c>
      <c r="B1441" s="364" t="s">
        <v>316</v>
      </c>
      <c r="C1441" s="364" t="s">
        <v>451</v>
      </c>
      <c r="D1441" s="364" t="s">
        <v>441</v>
      </c>
      <c r="E1441" s="364" t="s">
        <v>442</v>
      </c>
      <c r="F1441" s="364" t="s">
        <v>443</v>
      </c>
      <c r="G1441" s="364" t="s">
        <v>441</v>
      </c>
      <c r="I1441" s="364" t="s">
        <v>441</v>
      </c>
      <c r="J1441" s="364" t="s">
        <v>1773</v>
      </c>
      <c r="K1441" s="364" t="s">
        <v>1771</v>
      </c>
      <c r="L1441" s="364" t="s">
        <v>355</v>
      </c>
      <c r="M1441" s="364" t="s">
        <v>443</v>
      </c>
      <c r="N1441" s="364" t="s">
        <v>1763</v>
      </c>
      <c r="O1441" s="364" t="s">
        <v>441</v>
      </c>
    </row>
    <row r="1442" spans="1:15">
      <c r="D1442" s="361" t="s">
        <v>532</v>
      </c>
      <c r="E1442" s="361" t="s">
        <v>541</v>
      </c>
      <c r="F1442" s="361" t="s">
        <v>542</v>
      </c>
      <c r="G1442" s="361" t="s">
        <v>1764</v>
      </c>
      <c r="I1442" s="334" t="str">
        <f>"(5)"</f>
        <v>(5)</v>
      </c>
      <c r="J1442" s="334" t="str">
        <f>"(6)"</f>
        <v>(6)</v>
      </c>
      <c r="K1442" s="334" t="str">
        <f>"(7)"</f>
        <v>(7)</v>
      </c>
      <c r="L1442" s="334" t="str">
        <f>"(8)"</f>
        <v>(8)</v>
      </c>
      <c r="M1442" s="334" t="str">
        <f>"(9)"</f>
        <v>(9)</v>
      </c>
      <c r="N1442" s="334" t="str">
        <f>"(10)"</f>
        <v>(10)</v>
      </c>
      <c r="O1442" s="334" t="str">
        <f>"(11=5+7+8+9+10)"</f>
        <v>(11=5+7+8+9+10)</v>
      </c>
    </row>
    <row r="1443" spans="1:15">
      <c r="D1443" s="361" t="s">
        <v>320</v>
      </c>
      <c r="E1443" s="361" t="s">
        <v>320</v>
      </c>
      <c r="F1443" s="361" t="s">
        <v>320</v>
      </c>
      <c r="G1443" s="361" t="s">
        <v>320</v>
      </c>
      <c r="I1443" s="334" t="s">
        <v>320</v>
      </c>
      <c r="J1443" s="334" t="s">
        <v>529</v>
      </c>
      <c r="K1443" s="334" t="s">
        <v>320</v>
      </c>
      <c r="L1443" s="334" t="s">
        <v>320</v>
      </c>
      <c r="M1443" s="334" t="s">
        <v>320</v>
      </c>
      <c r="N1443" s="334" t="s">
        <v>320</v>
      </c>
      <c r="O1443" s="334" t="s">
        <v>320</v>
      </c>
    </row>
    <row r="1444" spans="1:15">
      <c r="A1444" s="361">
        <v>1</v>
      </c>
      <c r="B1444" s="363" t="s">
        <v>411</v>
      </c>
      <c r="D1444" s="361"/>
      <c r="E1444" s="361"/>
      <c r="F1444" s="361"/>
      <c r="G1444" s="361"/>
      <c r="I1444" s="334"/>
      <c r="J1444" s="334"/>
      <c r="K1444" s="334"/>
      <c r="L1444" s="334"/>
      <c r="M1444" s="334"/>
      <c r="N1444" s="334"/>
      <c r="O1444" s="334"/>
    </row>
    <row r="1445" spans="1:15">
      <c r="A1445" s="361">
        <f>A1444+1</f>
        <v>2</v>
      </c>
      <c r="B1445" s="365">
        <v>391.1</v>
      </c>
      <c r="C1445" s="358" t="s">
        <v>412</v>
      </c>
      <c r="D1445" s="1243">
        <f t="shared" ref="D1445:D1458" si="251">G1331</f>
        <v>923516.33000000007</v>
      </c>
      <c r="E1445" s="1243">
        <f>+'INPUT - B Schedule PLANT'!BN46</f>
        <v>0</v>
      </c>
      <c r="F1445" s="1243">
        <f>+'INPUT - B Schedule PLANT'!BO46</f>
        <v>-1775</v>
      </c>
      <c r="G1445" s="1243">
        <f>SUM(D1445:F1445)</f>
        <v>921741.33000000007</v>
      </c>
      <c r="H1445" s="1243"/>
      <c r="I1445" s="1245">
        <f t="shared" ref="I1445:I1458" si="252">O1331</f>
        <v>116680.49000000002</v>
      </c>
      <c r="J1445" s="1245"/>
      <c r="K1445" s="1243">
        <v>3844.29</v>
      </c>
      <c r="L1445" s="1243">
        <v>0</v>
      </c>
      <c r="M1445" s="1243">
        <f t="shared" ref="M1445:M1458" si="253">F1445</f>
        <v>-1775</v>
      </c>
      <c r="N1445" s="1243">
        <v>0</v>
      </c>
      <c r="O1445" s="1243">
        <f t="shared" ref="O1445:O1458" si="254">I1445+K1445+L1445+M1445+N1445</f>
        <v>118749.78000000001</v>
      </c>
    </row>
    <row r="1446" spans="1:15">
      <c r="A1446" s="361">
        <f t="shared" ref="A1446:A1459" si="255">A1445+1</f>
        <v>3</v>
      </c>
      <c r="B1446" s="365">
        <v>391.11</v>
      </c>
      <c r="C1446" s="358" t="s">
        <v>413</v>
      </c>
      <c r="D1446" s="1243">
        <f t="shared" si="251"/>
        <v>0</v>
      </c>
      <c r="E1446" s="1243">
        <f>+'INPUT - B Schedule PLANT'!BN47</f>
        <v>0</v>
      </c>
      <c r="F1446" s="1243">
        <f>+'INPUT - B Schedule PLANT'!BO47</f>
        <v>0</v>
      </c>
      <c r="G1446" s="1243">
        <f t="shared" ref="G1446:G1453" si="256">SUM(D1446:F1446)</f>
        <v>0</v>
      </c>
      <c r="H1446" s="1243"/>
      <c r="I1446" s="1245">
        <f t="shared" si="252"/>
        <v>-18933.789999999997</v>
      </c>
      <c r="J1446" s="1245"/>
      <c r="K1446" s="1243">
        <v>0</v>
      </c>
      <c r="L1446" s="1243">
        <v>0</v>
      </c>
      <c r="M1446" s="1243">
        <f t="shared" si="253"/>
        <v>0</v>
      </c>
      <c r="N1446" s="1243">
        <v>0</v>
      </c>
      <c r="O1446" s="1243">
        <f t="shared" si="254"/>
        <v>-18933.789999999997</v>
      </c>
    </row>
    <row r="1447" spans="1:15">
      <c r="A1447" s="361">
        <f t="shared" si="255"/>
        <v>4</v>
      </c>
      <c r="B1447" s="365">
        <v>391.12</v>
      </c>
      <c r="C1447" s="358" t="s">
        <v>414</v>
      </c>
      <c r="D1447" s="1243">
        <f t="shared" si="251"/>
        <v>37129.580000000009</v>
      </c>
      <c r="E1447" s="1243">
        <f>+'INPUT - B Schedule PLANT'!BN48</f>
        <v>0</v>
      </c>
      <c r="F1447" s="1243">
        <f>+'INPUT - B Schedule PLANT'!BO48</f>
        <v>0</v>
      </c>
      <c r="G1447" s="1243">
        <f t="shared" si="256"/>
        <v>37129.580000000009</v>
      </c>
      <c r="H1447" s="1243"/>
      <c r="I1447" s="1245">
        <f t="shared" si="252"/>
        <v>-5283.6900000000005</v>
      </c>
      <c r="J1447" s="1245"/>
      <c r="K1447" s="1243">
        <v>618.83000000000004</v>
      </c>
      <c r="L1447" s="1243">
        <v>0</v>
      </c>
      <c r="M1447" s="1243">
        <f t="shared" si="253"/>
        <v>0</v>
      </c>
      <c r="N1447" s="1243">
        <v>0</v>
      </c>
      <c r="O1447" s="1243">
        <f t="shared" si="254"/>
        <v>-4664.8600000000006</v>
      </c>
    </row>
    <row r="1448" spans="1:15">
      <c r="A1448" s="361">
        <f t="shared" si="255"/>
        <v>5</v>
      </c>
      <c r="B1448" s="365">
        <v>392.2</v>
      </c>
      <c r="C1448" s="358" t="s">
        <v>524</v>
      </c>
      <c r="D1448" s="1243">
        <f t="shared" si="251"/>
        <v>95778</v>
      </c>
      <c r="E1448" s="1243">
        <f>+'INPUT - B Schedule PLANT'!BN49</f>
        <v>0</v>
      </c>
      <c r="F1448" s="1243">
        <f>+'INPUT - B Schedule PLANT'!BO49</f>
        <v>-46853.599999999999</v>
      </c>
      <c r="G1448" s="1243">
        <f t="shared" si="256"/>
        <v>48924.4</v>
      </c>
      <c r="H1448" s="1243"/>
      <c r="I1448" s="1245">
        <f t="shared" si="252"/>
        <v>63980.009999999958</v>
      </c>
      <c r="J1448" s="1245"/>
      <c r="K1448" s="1243">
        <v>54.26</v>
      </c>
      <c r="L1448" s="1243">
        <v>0</v>
      </c>
      <c r="M1448" s="1243">
        <f t="shared" si="253"/>
        <v>-46853.599999999999</v>
      </c>
      <c r="N1448" s="1243">
        <v>0</v>
      </c>
      <c r="O1448" s="1243">
        <f t="shared" si="254"/>
        <v>17180.669999999962</v>
      </c>
    </row>
    <row r="1449" spans="1:15">
      <c r="A1449" s="361">
        <f t="shared" si="255"/>
        <v>6</v>
      </c>
      <c r="B1449" s="365">
        <v>392.21</v>
      </c>
      <c r="C1449" s="358" t="s">
        <v>415</v>
      </c>
      <c r="D1449" s="1243">
        <f t="shared" si="251"/>
        <v>24462.2</v>
      </c>
      <c r="E1449" s="1243">
        <f>+'INPUT - B Schedule PLANT'!BN50</f>
        <v>0</v>
      </c>
      <c r="F1449" s="1243">
        <f>+'INPUT - B Schedule PLANT'!BO50</f>
        <v>0</v>
      </c>
      <c r="G1449" s="1243">
        <f t="shared" si="256"/>
        <v>24462.2</v>
      </c>
      <c r="H1449" s="1243"/>
      <c r="I1449" s="1245">
        <f t="shared" si="252"/>
        <v>44754.01</v>
      </c>
      <c r="J1449" s="1245"/>
      <c r="K1449" s="1243">
        <v>0</v>
      </c>
      <c r="L1449" s="1243">
        <v>0</v>
      </c>
      <c r="M1449" s="1243">
        <f t="shared" si="253"/>
        <v>0</v>
      </c>
      <c r="N1449" s="1243">
        <v>0</v>
      </c>
      <c r="O1449" s="1243">
        <f t="shared" si="254"/>
        <v>44754.01</v>
      </c>
    </row>
    <row r="1450" spans="1:15">
      <c r="A1450" s="361">
        <f t="shared" si="255"/>
        <v>7</v>
      </c>
      <c r="B1450" s="365">
        <v>393</v>
      </c>
      <c r="C1450" s="358" t="s">
        <v>416</v>
      </c>
      <c r="D1450" s="1243">
        <f t="shared" si="251"/>
        <v>0</v>
      </c>
      <c r="E1450" s="1243">
        <f>+'INPUT - B Schedule PLANT'!BN51</f>
        <v>0</v>
      </c>
      <c r="F1450" s="1243">
        <f>+'INPUT - B Schedule PLANT'!BO51</f>
        <v>0</v>
      </c>
      <c r="G1450" s="1243">
        <f t="shared" si="256"/>
        <v>0</v>
      </c>
      <c r="H1450" s="1243"/>
      <c r="I1450" s="1245">
        <f t="shared" si="252"/>
        <v>0</v>
      </c>
      <c r="J1450" s="1243" t="s">
        <v>646</v>
      </c>
      <c r="K1450" s="1243">
        <v>0</v>
      </c>
      <c r="L1450" s="1243">
        <v>0</v>
      </c>
      <c r="M1450" s="1243">
        <f t="shared" si="253"/>
        <v>0</v>
      </c>
      <c r="N1450" s="1243">
        <v>0</v>
      </c>
      <c r="O1450" s="1243">
        <f t="shared" si="254"/>
        <v>0</v>
      </c>
    </row>
    <row r="1451" spans="1:15">
      <c r="A1451" s="361">
        <f t="shared" si="255"/>
        <v>8</v>
      </c>
      <c r="B1451" s="365">
        <v>394.1</v>
      </c>
      <c r="C1451" s="358" t="s">
        <v>417</v>
      </c>
      <c r="D1451" s="1243">
        <f t="shared" si="251"/>
        <v>9739</v>
      </c>
      <c r="E1451" s="1243">
        <f>+'INPUT - B Schedule PLANT'!BN52</f>
        <v>0</v>
      </c>
      <c r="F1451" s="1243">
        <f>+'INPUT - B Schedule PLANT'!BO52</f>
        <v>0</v>
      </c>
      <c r="G1451" s="1243">
        <f t="shared" si="256"/>
        <v>9739</v>
      </c>
      <c r="H1451" s="1243"/>
      <c r="I1451" s="1245">
        <f t="shared" si="252"/>
        <v>4075.1500000000005</v>
      </c>
      <c r="J1451" s="1245"/>
      <c r="K1451" s="1243">
        <v>32.46</v>
      </c>
      <c r="L1451" s="1243">
        <v>0</v>
      </c>
      <c r="M1451" s="1243">
        <f t="shared" si="253"/>
        <v>0</v>
      </c>
      <c r="N1451" s="1243">
        <v>0</v>
      </c>
      <c r="O1451" s="1243">
        <f t="shared" si="254"/>
        <v>4107.6100000000006</v>
      </c>
    </row>
    <row r="1452" spans="1:15">
      <c r="A1452" s="361">
        <f t="shared" si="255"/>
        <v>9</v>
      </c>
      <c r="B1452" s="365">
        <v>394.11</v>
      </c>
      <c r="C1452" s="358" t="s">
        <v>418</v>
      </c>
      <c r="D1452" s="1243">
        <f t="shared" si="251"/>
        <v>0</v>
      </c>
      <c r="E1452" s="1243">
        <f>+'INPUT - B Schedule PLANT'!BN53</f>
        <v>0</v>
      </c>
      <c r="F1452" s="1243">
        <f>+'INPUT - B Schedule PLANT'!BO53</f>
        <v>0</v>
      </c>
      <c r="G1452" s="1243">
        <f t="shared" si="256"/>
        <v>0</v>
      </c>
      <c r="H1452" s="1243"/>
      <c r="I1452" s="1245">
        <f t="shared" si="252"/>
        <v>-26071.5</v>
      </c>
      <c r="J1452" s="1245"/>
      <c r="K1452" s="1243">
        <v>0</v>
      </c>
      <c r="L1452" s="1243">
        <v>0</v>
      </c>
      <c r="M1452" s="1243">
        <f t="shared" si="253"/>
        <v>0</v>
      </c>
      <c r="N1452" s="1243">
        <v>0</v>
      </c>
      <c r="O1452" s="1243">
        <f t="shared" si="254"/>
        <v>-26071.5</v>
      </c>
    </row>
    <row r="1453" spans="1:15">
      <c r="A1453" s="361">
        <f t="shared" si="255"/>
        <v>10</v>
      </c>
      <c r="B1453" s="365">
        <v>394.13</v>
      </c>
      <c r="C1453" s="358" t="s">
        <v>515</v>
      </c>
      <c r="D1453" s="1243">
        <f t="shared" si="251"/>
        <v>0</v>
      </c>
      <c r="E1453" s="1243">
        <f>+'INPUT - B Schedule PLANT'!BN54</f>
        <v>0</v>
      </c>
      <c r="F1453" s="1243">
        <f>+'INPUT - B Schedule PLANT'!BO54</f>
        <v>0</v>
      </c>
      <c r="G1453" s="1243">
        <f t="shared" si="256"/>
        <v>0</v>
      </c>
      <c r="H1453" s="1243"/>
      <c r="I1453" s="1245">
        <f t="shared" si="252"/>
        <v>37937.360000000001</v>
      </c>
      <c r="J1453" s="1243" t="s">
        <v>646</v>
      </c>
      <c r="K1453" s="1243">
        <v>0</v>
      </c>
      <c r="L1453" s="1243">
        <v>0</v>
      </c>
      <c r="M1453" s="1243">
        <f t="shared" si="253"/>
        <v>0</v>
      </c>
      <c r="N1453" s="1243">
        <v>0</v>
      </c>
      <c r="O1453" s="1243">
        <f t="shared" si="254"/>
        <v>37937.360000000001</v>
      </c>
    </row>
    <row r="1454" spans="1:15">
      <c r="A1454" s="361">
        <f t="shared" si="255"/>
        <v>11</v>
      </c>
      <c r="B1454" s="365">
        <v>394.2</v>
      </c>
      <c r="C1454" s="358" t="s">
        <v>420</v>
      </c>
      <c r="D1454" s="1243">
        <f t="shared" si="251"/>
        <v>0</v>
      </c>
      <c r="E1454" s="1243">
        <f>+'INPUT - B Schedule PLANT'!BN55</f>
        <v>0</v>
      </c>
      <c r="F1454" s="1243">
        <f>+'INPUT - B Schedule PLANT'!BO55</f>
        <v>0</v>
      </c>
      <c r="G1454" s="1243">
        <f>SUM(D1454:F1454)</f>
        <v>0</v>
      </c>
      <c r="H1454" s="1243"/>
      <c r="I1454" s="1245">
        <f t="shared" si="252"/>
        <v>185.21</v>
      </c>
      <c r="J1454" s="1245"/>
      <c r="K1454" s="1243">
        <v>0</v>
      </c>
      <c r="L1454" s="1243">
        <v>0</v>
      </c>
      <c r="M1454" s="1243">
        <f t="shared" si="253"/>
        <v>0</v>
      </c>
      <c r="N1454" s="1243">
        <v>0</v>
      </c>
      <c r="O1454" s="1243">
        <f t="shared" si="254"/>
        <v>185.21</v>
      </c>
    </row>
    <row r="1455" spans="1:15">
      <c r="A1455" s="361">
        <f t="shared" si="255"/>
        <v>12</v>
      </c>
      <c r="B1455" s="365">
        <v>394.3</v>
      </c>
      <c r="C1455" s="358" t="s">
        <v>1602</v>
      </c>
      <c r="D1455" s="1243">
        <f t="shared" si="251"/>
        <v>5104134.45</v>
      </c>
      <c r="E1455" s="1243">
        <f>+'INPUT - B Schedule PLANT'!BN56</f>
        <v>68003.259999999995</v>
      </c>
      <c r="F1455" s="1243">
        <f>+'INPUT - B Schedule PLANT'!BO56</f>
        <v>-15857.65</v>
      </c>
      <c r="G1455" s="1243">
        <f>SUM(D1455:F1455)</f>
        <v>5156280.0599999996</v>
      </c>
      <c r="H1455" s="1243"/>
      <c r="I1455" s="1245">
        <f t="shared" si="252"/>
        <v>1567553.8299999998</v>
      </c>
      <c r="J1455" s="1245"/>
      <c r="K1455" s="1243">
        <v>17100.689999999999</v>
      </c>
      <c r="L1455" s="1243">
        <v>0</v>
      </c>
      <c r="M1455" s="1243">
        <f t="shared" si="253"/>
        <v>-15857.65</v>
      </c>
      <c r="N1455" s="1243">
        <v>0</v>
      </c>
      <c r="O1455" s="1243">
        <f t="shared" si="254"/>
        <v>1568796.8699999999</v>
      </c>
    </row>
    <row r="1456" spans="1:15">
      <c r="A1456" s="361">
        <f t="shared" si="255"/>
        <v>13</v>
      </c>
      <c r="B1456" s="365">
        <v>395</v>
      </c>
      <c r="C1456" s="358" t="s">
        <v>422</v>
      </c>
      <c r="D1456" s="1243">
        <f t="shared" si="251"/>
        <v>4162.05</v>
      </c>
      <c r="E1456" s="1243">
        <f>+'INPUT - B Schedule PLANT'!BN57</f>
        <v>0</v>
      </c>
      <c r="F1456" s="1243">
        <f>+'INPUT - B Schedule PLANT'!BO57</f>
        <v>-4162.05</v>
      </c>
      <c r="G1456" s="1243">
        <f>SUM(D1456:F1456)</f>
        <v>0</v>
      </c>
      <c r="H1456" s="1243"/>
      <c r="I1456" s="1245">
        <f t="shared" si="252"/>
        <v>4052.6800000000017</v>
      </c>
      <c r="J1456" s="1245"/>
      <c r="K1456" s="1243">
        <v>8.67</v>
      </c>
      <c r="L1456" s="1243">
        <v>0</v>
      </c>
      <c r="M1456" s="1243">
        <f t="shared" si="253"/>
        <v>-4162.05</v>
      </c>
      <c r="N1456" s="1243">
        <v>0</v>
      </c>
      <c r="O1456" s="1243">
        <f t="shared" si="254"/>
        <v>-100.69999999999845</v>
      </c>
    </row>
    <row r="1457" spans="1:15">
      <c r="A1457" s="361">
        <f t="shared" si="255"/>
        <v>14</v>
      </c>
      <c r="B1457" s="365">
        <v>396</v>
      </c>
      <c r="C1457" s="358" t="s">
        <v>423</v>
      </c>
      <c r="D1457" s="1243">
        <f t="shared" si="251"/>
        <v>185547</v>
      </c>
      <c r="E1457" s="1243">
        <f>+'INPUT - B Schedule PLANT'!BN58</f>
        <v>0</v>
      </c>
      <c r="F1457" s="1243">
        <f>+'INPUT - B Schedule PLANT'!BO58</f>
        <v>0</v>
      </c>
      <c r="G1457" s="1243">
        <f>SUM(D1457:F1457)</f>
        <v>185547</v>
      </c>
      <c r="H1457" s="1243"/>
      <c r="I1457" s="1245">
        <f t="shared" si="252"/>
        <v>171938.14</v>
      </c>
      <c r="J1457" s="1245"/>
      <c r="K1457" s="1243">
        <v>0</v>
      </c>
      <c r="L1457" s="1243">
        <v>0</v>
      </c>
      <c r="M1457" s="1243">
        <f t="shared" si="253"/>
        <v>0</v>
      </c>
      <c r="N1457" s="1243">
        <v>0</v>
      </c>
      <c r="O1457" s="1243">
        <f t="shared" si="254"/>
        <v>171938.14</v>
      </c>
    </row>
    <row r="1458" spans="1:15">
      <c r="A1458" s="361">
        <f t="shared" si="255"/>
        <v>15</v>
      </c>
      <c r="B1458" s="365">
        <v>398</v>
      </c>
      <c r="C1458" s="358" t="s">
        <v>424</v>
      </c>
      <c r="D1458" s="1244">
        <f t="shared" si="251"/>
        <v>148028.20000000001</v>
      </c>
      <c r="E1458" s="1244">
        <f>+'INPUT - B Schedule PLANT'!BN59</f>
        <v>0</v>
      </c>
      <c r="F1458" s="1244">
        <f>+'INPUT - B Schedule PLANT'!BO59</f>
        <v>0</v>
      </c>
      <c r="G1458" s="1244">
        <f>SUM(D1458:F1458)</f>
        <v>148028.20000000001</v>
      </c>
      <c r="H1458" s="1243"/>
      <c r="I1458" s="1246">
        <f t="shared" si="252"/>
        <v>70103.969999999958</v>
      </c>
      <c r="J1458" s="1245"/>
      <c r="K1458" s="1244">
        <v>822.79</v>
      </c>
      <c r="L1458" s="1244">
        <v>0</v>
      </c>
      <c r="M1458" s="1244">
        <f t="shared" si="253"/>
        <v>0</v>
      </c>
      <c r="N1458" s="1244">
        <v>0</v>
      </c>
      <c r="O1458" s="1244">
        <f t="shared" si="254"/>
        <v>70926.759999999951</v>
      </c>
    </row>
    <row r="1459" spans="1:15">
      <c r="A1459" s="361">
        <f t="shared" si="255"/>
        <v>16</v>
      </c>
      <c r="B1459" s="367"/>
      <c r="C1459" s="358" t="s">
        <v>425</v>
      </c>
      <c r="D1459" s="1243">
        <f>SUM(D1445:D1458)</f>
        <v>6532496.8100000005</v>
      </c>
      <c r="E1459" s="1243">
        <f>SUM(E1445:E1458)</f>
        <v>68003.259999999995</v>
      </c>
      <c r="F1459" s="1243">
        <f>SUM(F1445:F1458)</f>
        <v>-68648.3</v>
      </c>
      <c r="G1459" s="1243">
        <f>SUM(G1445:G1458)</f>
        <v>6531851.7699999996</v>
      </c>
      <c r="H1459" s="1243"/>
      <c r="I1459" s="1243">
        <f>SUM(I1445:I1458)</f>
        <v>2030971.8699999999</v>
      </c>
      <c r="J1459" s="1243"/>
      <c r="K1459" s="1243">
        <f>SUM(K1445:K1458)</f>
        <v>22481.989999999998</v>
      </c>
      <c r="L1459" s="1243">
        <f>SUM(L1445:L1458)</f>
        <v>0</v>
      </c>
      <c r="M1459" s="1243">
        <f>SUM(M1445:M1458)</f>
        <v>-68648.3</v>
      </c>
      <c r="N1459" s="1243">
        <f>SUM(N1445:N1458)</f>
        <v>0</v>
      </c>
      <c r="O1459" s="1243">
        <f>SUM(O1445:O1458)</f>
        <v>1984805.5599999998</v>
      </c>
    </row>
    <row r="1460" spans="1:15">
      <c r="A1460" s="361"/>
      <c r="D1460" s="1243"/>
      <c r="E1460" s="1243"/>
      <c r="F1460" s="1243"/>
      <c r="G1460" s="1243"/>
      <c r="H1460" s="1243"/>
      <c r="I1460" s="1243"/>
      <c r="J1460" s="1243"/>
      <c r="K1460" s="1243"/>
      <c r="L1460" s="1243"/>
      <c r="M1460" s="1243"/>
      <c r="N1460" s="1243"/>
      <c r="O1460" s="1243"/>
    </row>
    <row r="1461" spans="1:15">
      <c r="A1461" s="361">
        <f>A1459+1</f>
        <v>17</v>
      </c>
      <c r="B1461" s="363" t="s">
        <v>1038</v>
      </c>
      <c r="D1461" s="1243"/>
      <c r="E1461" s="1243"/>
      <c r="F1461" s="1243"/>
      <c r="G1461" s="1243"/>
      <c r="H1461" s="1243"/>
      <c r="I1461" s="1243"/>
      <c r="J1461" s="1243"/>
      <c r="K1461" s="1243"/>
      <c r="L1461" s="1243"/>
      <c r="M1461" s="1243"/>
      <c r="N1461" s="1243"/>
      <c r="O1461" s="1243"/>
    </row>
    <row r="1462" spans="1:15">
      <c r="A1462" s="361">
        <f>A1461+1</f>
        <v>18</v>
      </c>
      <c r="B1462" s="365">
        <v>378.21</v>
      </c>
      <c r="C1462" s="358" t="s">
        <v>1037</v>
      </c>
      <c r="D1462" s="1244">
        <f>G1348</f>
        <v>-777092</v>
      </c>
      <c r="E1462" s="1244">
        <v>0</v>
      </c>
      <c r="F1462" s="1244">
        <v>0</v>
      </c>
      <c r="G1462" s="1244">
        <f>SUM(D1462:F1462)</f>
        <v>-777092</v>
      </c>
      <c r="H1462" s="1243"/>
      <c r="I1462" s="1244">
        <f>O1348</f>
        <v>-204370.34000000011</v>
      </c>
      <c r="J1462" s="1243" t="s">
        <v>646</v>
      </c>
      <c r="K1462" s="1244">
        <f>$K$1348</f>
        <v>-2144.17</v>
      </c>
      <c r="L1462" s="1244">
        <v>0</v>
      </c>
      <c r="M1462" s="1244">
        <f>F1462</f>
        <v>0</v>
      </c>
      <c r="N1462" s="1244">
        <v>0</v>
      </c>
      <c r="O1462" s="1244">
        <f>I1462+K1462+L1462+M1462+N1462</f>
        <v>-206514.51000000013</v>
      </c>
    </row>
    <row r="1463" spans="1:15">
      <c r="A1463" s="361">
        <f>A1462+1</f>
        <v>19</v>
      </c>
      <c r="B1463" s="370"/>
      <c r="C1463" s="358" t="s">
        <v>1579</v>
      </c>
      <c r="D1463" s="1243">
        <f>SUM(D1462)</f>
        <v>-777092</v>
      </c>
      <c r="E1463" s="1243">
        <f>SUM(E1462)</f>
        <v>0</v>
      </c>
      <c r="F1463" s="1243">
        <f>SUM(F1462)</f>
        <v>0</v>
      </c>
      <c r="G1463" s="1243">
        <f>SUM(G1462)</f>
        <v>-777092</v>
      </c>
      <c r="H1463" s="1243"/>
      <c r="I1463" s="1243">
        <f>SUM(I1462)</f>
        <v>-204370.34000000011</v>
      </c>
      <c r="J1463" s="1243"/>
      <c r="K1463" s="1243">
        <f>SUM(K1462)</f>
        <v>-2144.17</v>
      </c>
      <c r="L1463" s="1243">
        <f>SUM(L1462)</f>
        <v>0</v>
      </c>
      <c r="M1463" s="1243">
        <f>SUM(M1462)</f>
        <v>0</v>
      </c>
      <c r="N1463" s="1243">
        <f>SUM(N1462)</f>
        <v>0</v>
      </c>
      <c r="O1463" s="1243">
        <f>SUM(O1462)</f>
        <v>-206514.51000000013</v>
      </c>
    </row>
    <row r="1464" spans="1:15">
      <c r="A1464" s="361"/>
      <c r="B1464" s="370"/>
      <c r="D1464" s="1243"/>
      <c r="E1464" s="1243"/>
      <c r="F1464" s="1243"/>
      <c r="G1464" s="1243"/>
      <c r="H1464" s="1243"/>
      <c r="I1464" s="1243"/>
      <c r="J1464" s="1243"/>
      <c r="K1464" s="1243"/>
      <c r="L1464" s="1243"/>
      <c r="M1464" s="1243"/>
      <c r="N1464" s="1243"/>
      <c r="O1464" s="1243"/>
    </row>
    <row r="1465" spans="1:15">
      <c r="A1465" s="361">
        <f>A1463+1</f>
        <v>20</v>
      </c>
      <c r="B1465" s="370"/>
      <c r="C1465" s="358" t="s">
        <v>2037</v>
      </c>
      <c r="D1465" s="1243">
        <f>D1392+D1425+D1459+D1463</f>
        <v>744534180.30942965</v>
      </c>
      <c r="E1465" s="1243">
        <f>E1392+E1425+E1459+E1463</f>
        <v>1437645.6700000002</v>
      </c>
      <c r="F1465" s="1243">
        <f>F1392+F1425+F1459+F1463</f>
        <v>-613708.38</v>
      </c>
      <c r="G1465" s="1243">
        <f>G1392+G1425+G1459+G1463</f>
        <v>745358117.59942973</v>
      </c>
      <c r="H1465" s="1243"/>
      <c r="I1465" s="1243">
        <f>I1392+I1425+I1459+I1463</f>
        <v>178984798.2110216</v>
      </c>
      <c r="J1465" s="1243"/>
      <c r="K1465" s="1243">
        <f>K1392+K1425+K1459+K1463</f>
        <v>1824035.6048055554</v>
      </c>
      <c r="L1465" s="1243">
        <f>L1392+L1425+L1459+L1463</f>
        <v>0</v>
      </c>
      <c r="M1465" s="1243">
        <f>M1392+M1425+M1459+M1463</f>
        <v>-613708.38</v>
      </c>
      <c r="N1465" s="1243">
        <f>N1392+N1425+N1459+N1463</f>
        <v>-40020.21</v>
      </c>
      <c r="O1465" s="1243">
        <f>O1392+O1425+O1459+O1463</f>
        <v>180155105.22582725</v>
      </c>
    </row>
    <row r="1466" spans="1:15">
      <c r="A1466" s="361"/>
      <c r="B1466" s="370"/>
      <c r="D1466" s="1243"/>
      <c r="E1466" s="1243"/>
      <c r="F1466" s="1243"/>
      <c r="G1466" s="1243"/>
      <c r="H1466" s="1243"/>
      <c r="I1466" s="1243"/>
      <c r="J1466" s="1243"/>
      <c r="K1466" s="1243"/>
      <c r="L1466" s="1243"/>
      <c r="M1466" s="1243"/>
      <c r="N1466" s="1243"/>
      <c r="O1466" s="1243"/>
    </row>
    <row r="1467" spans="1:15">
      <c r="A1467" s="361">
        <f>A1465+1</f>
        <v>21</v>
      </c>
      <c r="B1467" s="370"/>
      <c r="C1467" s="358" t="s">
        <v>2038</v>
      </c>
      <c r="D1467" s="1243">
        <v>0</v>
      </c>
      <c r="E1467" s="1249">
        <v>0</v>
      </c>
      <c r="F1467" s="1249">
        <v>0</v>
      </c>
      <c r="G1467" s="1249">
        <f>SUM(D1467:F1467)</f>
        <v>0</v>
      </c>
      <c r="H1467" s="1243"/>
      <c r="I1467" s="1243">
        <f>O1353</f>
        <v>-6661641.4299999997</v>
      </c>
      <c r="J1467" s="1243"/>
      <c r="K1467" s="1243"/>
      <c r="L1467" s="1243"/>
      <c r="M1467" s="1243"/>
      <c r="N1467" s="1243">
        <v>21616.43</v>
      </c>
      <c r="O1467" s="1243">
        <f>I1467+K1467+L1467+M1467+N1467</f>
        <v>-6640025</v>
      </c>
    </row>
    <row r="1468" spans="1:15">
      <c r="A1468" s="361"/>
      <c r="B1468" s="370"/>
      <c r="C1468" s="368"/>
      <c r="D1468" s="1243"/>
      <c r="E1468" s="1243"/>
      <c r="F1468" s="1243"/>
      <c r="G1468" s="1243"/>
      <c r="H1468" s="1243"/>
      <c r="I1468" s="1243"/>
      <c r="J1468" s="1243"/>
      <c r="K1468" s="1243"/>
      <c r="L1468" s="1243"/>
      <c r="M1468" s="1243"/>
      <c r="N1468" s="1243"/>
      <c r="O1468" s="1243"/>
    </row>
    <row r="1469" spans="1:15">
      <c r="A1469" s="361">
        <f>A1467+1</f>
        <v>22</v>
      </c>
      <c r="C1469" s="358" t="s">
        <v>1603</v>
      </c>
      <c r="D1469" s="1247">
        <f>D1465+D1467</f>
        <v>744534180.30942965</v>
      </c>
      <c r="E1469" s="1247">
        <f t="shared" ref="E1469:O1469" si="257">E1465+E1467</f>
        <v>1437645.6700000002</v>
      </c>
      <c r="F1469" s="1247">
        <f t="shared" si="257"/>
        <v>-613708.38</v>
      </c>
      <c r="G1469" s="1247">
        <f t="shared" si="257"/>
        <v>745358117.59942973</v>
      </c>
      <c r="H1469" s="1243"/>
      <c r="I1469" s="1247">
        <f t="shared" si="257"/>
        <v>172323156.7810216</v>
      </c>
      <c r="J1469" s="1243"/>
      <c r="K1469" s="1247">
        <f t="shared" si="257"/>
        <v>1824035.6048055554</v>
      </c>
      <c r="L1469" s="1247">
        <f t="shared" si="257"/>
        <v>0</v>
      </c>
      <c r="M1469" s="1247">
        <f t="shared" si="257"/>
        <v>-613708.38</v>
      </c>
      <c r="N1469" s="1247">
        <f t="shared" si="257"/>
        <v>-18403.78</v>
      </c>
      <c r="O1469" s="1247">
        <f t="shared" si="257"/>
        <v>173515080.22582725</v>
      </c>
    </row>
    <row r="1470" spans="1:15">
      <c r="A1470" s="361"/>
      <c r="D1470" s="366"/>
      <c r="E1470" s="366"/>
      <c r="F1470" s="366"/>
      <c r="G1470" s="366"/>
      <c r="H1470" s="366"/>
      <c r="I1470" s="366"/>
      <c r="J1470" s="369"/>
      <c r="K1470" s="366"/>
      <c r="L1470" s="366"/>
      <c r="M1470" s="366"/>
      <c r="N1470" s="366"/>
      <c r="O1470" s="366"/>
    </row>
    <row r="1471" spans="1:15">
      <c r="A1471" s="361"/>
      <c r="D1471" s="366"/>
      <c r="E1471" s="366"/>
      <c r="F1471" s="366"/>
      <c r="G1471" s="366"/>
      <c r="H1471" s="366"/>
      <c r="I1471" s="366"/>
      <c r="J1471" s="369"/>
      <c r="K1471" s="366"/>
      <c r="L1471" s="366"/>
      <c r="M1471" s="366"/>
      <c r="N1471" s="366"/>
      <c r="O1471" s="366"/>
    </row>
    <row r="1472" spans="1:15">
      <c r="A1472" s="361">
        <f>A1469+1</f>
        <v>23</v>
      </c>
      <c r="B1472" s="363" t="s">
        <v>1774</v>
      </c>
      <c r="D1472" s="366"/>
      <c r="E1472" s="366"/>
      <c r="F1472" s="366"/>
      <c r="G1472" s="366"/>
      <c r="H1472" s="366"/>
      <c r="I1472" s="366"/>
      <c r="J1472" s="369"/>
      <c r="K1472" s="366"/>
      <c r="L1472" s="366"/>
      <c r="M1472" s="366"/>
      <c r="N1472" s="366"/>
      <c r="O1472" s="366"/>
    </row>
    <row r="1473" spans="1:16">
      <c r="A1473" s="361">
        <f t="shared" ref="A1473:A1478" si="258">A1472+1</f>
        <v>24</v>
      </c>
      <c r="B1473" s="365">
        <v>376</v>
      </c>
      <c r="C1473" s="358" t="s">
        <v>1775</v>
      </c>
      <c r="D1473" s="1243">
        <f>G1359</f>
        <v>30688444.449999999</v>
      </c>
      <c r="E1473" s="1243">
        <f>'WPB-2.1.D SMRP'!E570</f>
        <v>493561.91</v>
      </c>
      <c r="F1473" s="1243">
        <f>'WPB-2.1.D SMRP'!F570</f>
        <v>0</v>
      </c>
      <c r="G1473" s="1243">
        <f>SUM(D1473:F1473)</f>
        <v>31182006.359999999</v>
      </c>
      <c r="H1473" s="1243"/>
      <c r="I1473" s="1243">
        <f>O1359</f>
        <v>-86818.997999999992</v>
      </c>
      <c r="J1473" s="371">
        <v>1.7399999999999999E-2</v>
      </c>
      <c r="K1473" s="1243">
        <f>'WPB-2.1.D SMRP'!K570</f>
        <v>44855.832000000002</v>
      </c>
      <c r="L1473" s="1243">
        <v>0</v>
      </c>
      <c r="M1473" s="1243">
        <f>F1473</f>
        <v>0</v>
      </c>
      <c r="N1473" s="1243">
        <f>'WPB-2.1.D SMRP'!N570</f>
        <v>-1024.8599999999999</v>
      </c>
      <c r="O1473" s="1243">
        <f>I1473+K1473+L1473+M1473+N1473</f>
        <v>-42988.025999999991</v>
      </c>
    </row>
    <row r="1474" spans="1:16">
      <c r="A1474" s="361">
        <f t="shared" si="258"/>
        <v>25</v>
      </c>
      <c r="B1474" s="365">
        <v>378.2</v>
      </c>
      <c r="C1474" s="358" t="s">
        <v>1776</v>
      </c>
      <c r="D1474" s="1243">
        <f>G1360</f>
        <v>-390412.01000000007</v>
      </c>
      <c r="E1474" s="1243">
        <f>'WPB-2.1.D SMRP'!E571</f>
        <v>0</v>
      </c>
      <c r="F1474" s="1243">
        <f>'WPB-2.1.D SMRP'!F571</f>
        <v>-164.58</v>
      </c>
      <c r="G1474" s="1243">
        <f>SUM(D1474:F1474)</f>
        <v>-390576.59000000008</v>
      </c>
      <c r="H1474" s="1243"/>
      <c r="I1474" s="1243">
        <f>O1360</f>
        <v>-448462.97199999995</v>
      </c>
      <c r="J1474" s="371">
        <v>2.52E-2</v>
      </c>
      <c r="K1474" s="1243">
        <f>'WPB-2.1.D SMRP'!K571</f>
        <v>-820.173</v>
      </c>
      <c r="L1474" s="1243">
        <v>0</v>
      </c>
      <c r="M1474" s="1243">
        <f>F1474</f>
        <v>-164.58</v>
      </c>
      <c r="N1474" s="1243">
        <f>'WPB-2.1.D SMRP'!N571</f>
        <v>0</v>
      </c>
      <c r="O1474" s="1243">
        <f>I1474+K1474+L1474+M1474+N1474</f>
        <v>-449447.72499999998</v>
      </c>
    </row>
    <row r="1475" spans="1:16">
      <c r="A1475" s="361">
        <f t="shared" si="258"/>
        <v>26</v>
      </c>
      <c r="B1475" s="365">
        <v>380</v>
      </c>
      <c r="C1475" s="358" t="s">
        <v>1777</v>
      </c>
      <c r="D1475" s="1243">
        <f>G1361</f>
        <v>10095637.650570365</v>
      </c>
      <c r="E1475" s="1243">
        <f>'WPB-2.1.D SMRP'!E572</f>
        <v>528444.89</v>
      </c>
      <c r="F1475" s="1243">
        <f>'WPB-2.1.D SMRP'!F572</f>
        <v>-80627.679999999993</v>
      </c>
      <c r="G1475" s="1243">
        <f>SUM(D1475:F1475)</f>
        <v>10543454.860570366</v>
      </c>
      <c r="H1475" s="1243"/>
      <c r="I1475" s="1243">
        <f>O1361</f>
        <v>-4567164.746021634</v>
      </c>
      <c r="J1475" s="371">
        <v>3.9800000000000002E-2</v>
      </c>
      <c r="K1475" s="1243">
        <f>'WPB-2.1.D SMRP'!K572</f>
        <v>34226.629999999997</v>
      </c>
      <c r="L1475" s="1243">
        <v>0</v>
      </c>
      <c r="M1475" s="1243">
        <f>F1475</f>
        <v>-80627.679999999993</v>
      </c>
      <c r="N1475" s="1243">
        <f>'WPB-2.1.D SMRP'!N572</f>
        <v>-91221.67</v>
      </c>
      <c r="O1475" s="1243">
        <f>I1475+K1475+L1475+M1475+N1475</f>
        <v>-4704787.4660216337</v>
      </c>
    </row>
    <row r="1476" spans="1:16">
      <c r="A1476" s="361">
        <f t="shared" si="258"/>
        <v>27</v>
      </c>
      <c r="B1476" s="365">
        <v>382</v>
      </c>
      <c r="C1476" s="358" t="s">
        <v>1778</v>
      </c>
      <c r="D1476" s="1243">
        <f>G1362</f>
        <v>37351.61</v>
      </c>
      <c r="E1476" s="1243">
        <f>'WPB-2.1.D SMRP'!E573</f>
        <v>99666.4</v>
      </c>
      <c r="F1476" s="1243">
        <f>'WPB-2.1.D SMRP'!F573</f>
        <v>-1867.38</v>
      </c>
      <c r="G1476" s="1243">
        <f>SUM(D1476:F1476)</f>
        <v>135150.63</v>
      </c>
      <c r="H1476" s="1243"/>
      <c r="I1476" s="1243">
        <f>O1362</f>
        <v>-48148.223000000005</v>
      </c>
      <c r="J1476" s="371">
        <v>1.77E-2</v>
      </c>
      <c r="K1476" s="1243">
        <f>'WPB-2.1.D SMRP'!K573</f>
        <v>127.127</v>
      </c>
      <c r="L1476" s="1243">
        <v>0</v>
      </c>
      <c r="M1476" s="1243">
        <f>F1476</f>
        <v>-1867.38</v>
      </c>
      <c r="N1476" s="1243">
        <f>'WPB-2.1.D SMRP'!N573</f>
        <v>0</v>
      </c>
      <c r="O1476" s="1243">
        <f>I1476+K1476+L1476+M1476+N1476</f>
        <v>-49888.476000000002</v>
      </c>
    </row>
    <row r="1477" spans="1:16">
      <c r="A1477" s="361">
        <f t="shared" si="258"/>
        <v>28</v>
      </c>
      <c r="B1477" s="365">
        <v>383</v>
      </c>
      <c r="C1477" s="358" t="s">
        <v>1779</v>
      </c>
      <c r="D1477" s="1244">
        <f>G1363</f>
        <v>-6868.99</v>
      </c>
      <c r="E1477" s="1244">
        <f>'WPB-2.1.D SMRP'!E574</f>
        <v>7763.63</v>
      </c>
      <c r="F1477" s="1244">
        <f>'WPB-2.1.D SMRP'!F574</f>
        <v>-270.10000000000002</v>
      </c>
      <c r="G1477" s="1244">
        <f>SUM(D1477:F1477)</f>
        <v>624.5400000000003</v>
      </c>
      <c r="H1477" s="1243"/>
      <c r="I1477" s="1244">
        <f>O1363</f>
        <v>-6922.5419999999995</v>
      </c>
      <c r="J1477" s="371">
        <v>1.9400000000000001E-2</v>
      </c>
      <c r="K1477" s="1244">
        <f>'WPB-2.1.D SMRP'!K574</f>
        <v>-4.9429999999999996</v>
      </c>
      <c r="L1477" s="1244">
        <v>0</v>
      </c>
      <c r="M1477" s="1244">
        <f>F1477</f>
        <v>-270.10000000000002</v>
      </c>
      <c r="N1477" s="1244">
        <f>'WPB-2.1.D SMRP'!N574</f>
        <v>0</v>
      </c>
      <c r="O1477" s="1244">
        <f>I1477+K1477+L1477+M1477+N1477</f>
        <v>-7197.585</v>
      </c>
    </row>
    <row r="1478" spans="1:16">
      <c r="A1478" s="361">
        <f t="shared" si="258"/>
        <v>29</v>
      </c>
      <c r="C1478" s="358" t="s">
        <v>1780</v>
      </c>
      <c r="D1478" s="1243">
        <f>SUM(D1473:D1477)</f>
        <v>40424152.710570358</v>
      </c>
      <c r="E1478" s="1243">
        <f>SUM(E1473:E1477)</f>
        <v>1129436.8299999998</v>
      </c>
      <c r="F1478" s="1243">
        <f>SUM(F1473:F1477)</f>
        <v>-82929.740000000005</v>
      </c>
      <c r="G1478" s="1243">
        <f>SUM(G1473:G1477)</f>
        <v>41470659.800570369</v>
      </c>
      <c r="H1478" s="1243"/>
      <c r="I1478" s="1243">
        <f>SUM(I1473:I1477)</f>
        <v>-5157517.4810216343</v>
      </c>
      <c r="J1478" s="369"/>
      <c r="K1478" s="1243">
        <f>SUM(K1473:K1477)</f>
        <v>78384.472999999984</v>
      </c>
      <c r="L1478" s="1243">
        <f>SUM(L1473:L1477)</f>
        <v>0</v>
      </c>
      <c r="M1478" s="1243">
        <f>SUM(M1473:M1477)</f>
        <v>-82929.740000000005</v>
      </c>
      <c r="N1478" s="1243">
        <f>SUM(N1473:N1477)</f>
        <v>-92246.53</v>
      </c>
      <c r="O1478" s="1243">
        <f>SUM(O1473:O1477)</f>
        <v>-5254309.2780216336</v>
      </c>
    </row>
    <row r="1479" spans="1:16">
      <c r="A1479" s="361"/>
      <c r="D1479" s="1243"/>
      <c r="E1479" s="1243"/>
      <c r="F1479" s="1243"/>
      <c r="G1479" s="1243"/>
      <c r="H1479" s="1243"/>
      <c r="I1479" s="1243"/>
      <c r="J1479" s="369"/>
      <c r="K1479" s="1243"/>
      <c r="L1479" s="1243"/>
      <c r="M1479" s="1243"/>
      <c r="N1479" s="1243"/>
      <c r="O1479" s="1243"/>
    </row>
    <row r="1480" spans="1:16" ht="13.5" thickBot="1">
      <c r="A1480" s="361">
        <f>A1478+1</f>
        <v>30</v>
      </c>
      <c r="C1480" s="358" t="s">
        <v>447</v>
      </c>
      <c r="D1480" s="1248">
        <f>D1469+D1478</f>
        <v>784958333.01999998</v>
      </c>
      <c r="E1480" s="1248">
        <f>E1469+E1478</f>
        <v>2567082.5</v>
      </c>
      <c r="F1480" s="1248">
        <f>F1469+F1478</f>
        <v>-696638.12</v>
      </c>
      <c r="G1480" s="1248">
        <f>G1469+G1478</f>
        <v>786828777.4000001</v>
      </c>
      <c r="H1480" s="1243"/>
      <c r="I1480" s="1248">
        <f>I1469+I1478</f>
        <v>167165639.29999995</v>
      </c>
      <c r="J1480" s="369"/>
      <c r="K1480" s="1248">
        <f>K1469+K1478</f>
        <v>1902420.0778055554</v>
      </c>
      <c r="L1480" s="1248">
        <f>L1469+L1478</f>
        <v>0</v>
      </c>
      <c r="M1480" s="1248">
        <f>M1469+M1478</f>
        <v>-696638.12</v>
      </c>
      <c r="N1480" s="1248">
        <f>N1469+N1478</f>
        <v>-110650.31</v>
      </c>
      <c r="O1480" s="1248">
        <f>O1469+O1478</f>
        <v>168260770.94780561</v>
      </c>
    </row>
    <row r="1481" spans="1:16" ht="13.5" thickTop="1"/>
    <row r="1482" spans="1:16">
      <c r="K1482" s="373"/>
    </row>
    <row r="1483" spans="1:16" s="291" customFormat="1">
      <c r="A1483" s="1308" t="str">
        <f>$A$1</f>
        <v>COLUMBIA GAS OF KENTUCKY, INC.</v>
      </c>
      <c r="B1483" s="1308"/>
      <c r="C1483" s="1308"/>
      <c r="D1483" s="1308"/>
      <c r="E1483" s="1308"/>
      <c r="F1483" s="1308"/>
      <c r="G1483" s="1308"/>
      <c r="H1483" s="1308"/>
      <c r="I1483" s="1308"/>
      <c r="J1483" s="1308"/>
      <c r="K1483" s="1308"/>
      <c r="L1483" s="1308"/>
      <c r="M1483" s="1308"/>
      <c r="N1483" s="1308"/>
      <c r="O1483" s="1308"/>
    </row>
    <row r="1484" spans="1:16" s="291" customFormat="1">
      <c r="A1484" s="1308" t="str">
        <f>$A$2</f>
        <v>CASE NO. 2024 - 00092</v>
      </c>
      <c r="B1484" s="1308"/>
      <c r="C1484" s="1308"/>
      <c r="D1484" s="1308"/>
      <c r="E1484" s="1308"/>
      <c r="F1484" s="1308"/>
      <c r="G1484" s="1308"/>
      <c r="H1484" s="1308"/>
      <c r="I1484" s="1308"/>
      <c r="J1484" s="1308"/>
      <c r="K1484" s="1308"/>
      <c r="L1484" s="1308"/>
      <c r="M1484" s="1308"/>
      <c r="N1484" s="1308"/>
      <c r="O1484" s="1308"/>
    </row>
    <row r="1485" spans="1:16" s="291" customFormat="1">
      <c r="A1485" s="1308" t="str">
        <f>$A$3</f>
        <v>DETAIL OF ACTUAL &amp; FORECASTED PLANT, ACCUMULATED RESERVE &amp; DEPRECIATION EXPENSE</v>
      </c>
      <c r="B1485" s="1308"/>
      <c r="C1485" s="1308"/>
      <c r="D1485" s="1308"/>
      <c r="E1485" s="1308"/>
      <c r="F1485" s="1308"/>
      <c r="G1485" s="1308"/>
      <c r="H1485" s="1308"/>
      <c r="I1485" s="1308"/>
      <c r="J1485" s="1308"/>
      <c r="K1485" s="1308"/>
      <c r="L1485" s="1308"/>
      <c r="M1485" s="1308"/>
      <c r="N1485" s="1308"/>
      <c r="O1485" s="1308"/>
      <c r="P1485" s="357"/>
    </row>
    <row r="1486" spans="1:16" s="291" customFormat="1">
      <c r="A1486" s="1308" t="str">
        <f>$A$4</f>
        <v>FROM JANUARY 01, 2023 THROUGH DECEMBER 31, 2025</v>
      </c>
      <c r="B1486" s="1308"/>
      <c r="C1486" s="1308"/>
      <c r="D1486" s="1308"/>
      <c r="E1486" s="1308"/>
      <c r="F1486" s="1308"/>
      <c r="G1486" s="1308"/>
      <c r="H1486" s="1308"/>
      <c r="I1486" s="1308"/>
      <c r="J1486" s="1308"/>
      <c r="K1486" s="1308"/>
      <c r="L1486" s="1308"/>
      <c r="M1486" s="1308"/>
      <c r="N1486" s="1308"/>
      <c r="O1486" s="1308"/>
    </row>
    <row r="1487" spans="1:16" s="291" customFormat="1">
      <c r="B1487" s="293"/>
      <c r="P1487" s="312"/>
    </row>
    <row r="1488" spans="1:16" s="291" customFormat="1">
      <c r="A1488" s="297" t="str">
        <f>$A$6</f>
        <v xml:space="preserve">DATA: _X_ BASE PERIOD _X_ FORECASTED PERIOD     </v>
      </c>
      <c r="B1488" s="293"/>
      <c r="O1488" s="312" t="str">
        <f>$O$6</f>
        <v>WPB-2.1.C</v>
      </c>
      <c r="P1488" s="312"/>
    </row>
    <row r="1489" spans="1:16" s="291" customFormat="1">
      <c r="A1489" s="297" t="str">
        <f>$A$7</f>
        <v>TYPE OF FILING:___X___ORIGINAL______UPDATED</v>
      </c>
      <c r="B1489" s="293"/>
      <c r="O1489" s="312" t="s">
        <v>2196</v>
      </c>
      <c r="P1489" s="312"/>
    </row>
    <row r="1490" spans="1:16" s="291" customFormat="1">
      <c r="A1490" s="297" t="str">
        <f>$A$8</f>
        <v>WORKPAPER REFERENCE NO(S).:</v>
      </c>
      <c r="B1490" s="293"/>
      <c r="O1490" s="312" t="str">
        <f>$O$8</f>
        <v>WITNESS: GORE</v>
      </c>
    </row>
    <row r="1491" spans="1:16">
      <c r="A1491" s="918"/>
      <c r="B1491" s="919"/>
      <c r="C1491" s="918"/>
      <c r="D1491" s="918"/>
      <c r="E1491" s="918"/>
      <c r="F1491" s="918"/>
      <c r="G1491" s="918"/>
      <c r="H1491" s="918"/>
      <c r="I1491" s="918"/>
      <c r="J1491" s="918"/>
      <c r="K1491" s="918"/>
      <c r="L1491" s="918"/>
      <c r="M1491" s="918"/>
      <c r="N1491" s="918"/>
      <c r="O1491" s="920"/>
    </row>
    <row r="1492" spans="1:16">
      <c r="D1492" s="1311" t="s">
        <v>1768</v>
      </c>
      <c r="E1492" s="1311"/>
      <c r="F1492" s="1311"/>
      <c r="G1492" s="1311"/>
      <c r="I1492" s="1311" t="s">
        <v>1769</v>
      </c>
      <c r="J1492" s="1311"/>
      <c r="K1492" s="1311"/>
      <c r="L1492" s="1311"/>
      <c r="M1492" s="1311"/>
      <c r="N1492" s="1311"/>
      <c r="O1492" s="1311"/>
    </row>
    <row r="1493" spans="1:16">
      <c r="D1493" s="360">
        <f>G1438+1</f>
        <v>45323</v>
      </c>
      <c r="G1493" s="360">
        <f>D1493+28</f>
        <v>45351</v>
      </c>
      <c r="I1493" s="360">
        <f>D1493</f>
        <v>45323</v>
      </c>
      <c r="O1493" s="360">
        <f>G1493</f>
        <v>45351</v>
      </c>
    </row>
    <row r="1494" spans="1:16">
      <c r="D1494" s="361" t="s">
        <v>1757</v>
      </c>
      <c r="G1494" s="361" t="s">
        <v>1757</v>
      </c>
      <c r="I1494" s="361" t="s">
        <v>1758</v>
      </c>
      <c r="J1494" s="361" t="s">
        <v>488</v>
      </c>
      <c r="L1494" s="361" t="s">
        <v>1758</v>
      </c>
      <c r="O1494" s="361" t="s">
        <v>1758</v>
      </c>
    </row>
    <row r="1495" spans="1:16">
      <c r="A1495" s="361" t="s">
        <v>1770</v>
      </c>
      <c r="B1495" s="361" t="s">
        <v>368</v>
      </c>
      <c r="C1495" s="361"/>
      <c r="D1495" s="361" t="s">
        <v>437</v>
      </c>
      <c r="G1495" s="361" t="s">
        <v>439</v>
      </c>
      <c r="I1495" s="361" t="s">
        <v>437</v>
      </c>
      <c r="J1495" s="361" t="s">
        <v>1771</v>
      </c>
      <c r="K1495" s="361" t="s">
        <v>1772</v>
      </c>
      <c r="L1495" s="361" t="s">
        <v>1759</v>
      </c>
      <c r="N1495" s="361" t="s">
        <v>1760</v>
      </c>
      <c r="O1495" s="361" t="s">
        <v>439</v>
      </c>
    </row>
    <row r="1496" spans="1:16">
      <c r="A1496" s="364" t="s">
        <v>316</v>
      </c>
      <c r="B1496" s="364" t="s">
        <v>316</v>
      </c>
      <c r="C1496" s="364" t="s">
        <v>451</v>
      </c>
      <c r="D1496" s="364" t="s">
        <v>441</v>
      </c>
      <c r="E1496" s="364" t="s">
        <v>442</v>
      </c>
      <c r="F1496" s="364" t="s">
        <v>443</v>
      </c>
      <c r="G1496" s="364" t="s">
        <v>441</v>
      </c>
      <c r="I1496" s="364" t="s">
        <v>441</v>
      </c>
      <c r="J1496" s="364" t="s">
        <v>1773</v>
      </c>
      <c r="K1496" s="364" t="s">
        <v>1771</v>
      </c>
      <c r="L1496" s="364" t="s">
        <v>355</v>
      </c>
      <c r="M1496" s="364" t="s">
        <v>443</v>
      </c>
      <c r="N1496" s="364" t="s">
        <v>1763</v>
      </c>
      <c r="O1496" s="364" t="s">
        <v>441</v>
      </c>
    </row>
    <row r="1497" spans="1:16">
      <c r="D1497" s="361" t="s">
        <v>532</v>
      </c>
      <c r="E1497" s="361" t="s">
        <v>541</v>
      </c>
      <c r="F1497" s="361" t="s">
        <v>542</v>
      </c>
      <c r="G1497" s="361" t="s">
        <v>1764</v>
      </c>
      <c r="I1497" s="334" t="str">
        <f>"(5)"</f>
        <v>(5)</v>
      </c>
      <c r="J1497" s="334" t="str">
        <f>"(6)"</f>
        <v>(6)</v>
      </c>
      <c r="K1497" s="334" t="str">
        <f>"(7)"</f>
        <v>(7)</v>
      </c>
      <c r="L1497" s="334" t="str">
        <f>"(8)"</f>
        <v>(8)</v>
      </c>
      <c r="M1497" s="334" t="str">
        <f>"(9)"</f>
        <v>(9)</v>
      </c>
      <c r="N1497" s="334" t="str">
        <f>"(10)"</f>
        <v>(10)</v>
      </c>
      <c r="O1497" s="334" t="str">
        <f>"(11=5+7+8+9+10)"</f>
        <v>(11=5+7+8+9+10)</v>
      </c>
    </row>
    <row r="1498" spans="1:16">
      <c r="D1498" s="361" t="s">
        <v>320</v>
      </c>
      <c r="E1498" s="361" t="s">
        <v>320</v>
      </c>
      <c r="F1498" s="361" t="s">
        <v>320</v>
      </c>
      <c r="G1498" s="361" t="s">
        <v>320</v>
      </c>
      <c r="I1498" s="334" t="s">
        <v>320</v>
      </c>
      <c r="J1498" s="334" t="s">
        <v>529</v>
      </c>
      <c r="K1498" s="334" t="s">
        <v>320</v>
      </c>
      <c r="L1498" s="334" t="s">
        <v>320</v>
      </c>
      <c r="M1498" s="334" t="s">
        <v>320</v>
      </c>
      <c r="N1498" s="334" t="s">
        <v>320</v>
      </c>
      <c r="O1498" s="334" t="s">
        <v>320</v>
      </c>
    </row>
    <row r="1499" spans="1:16">
      <c r="A1499" s="361">
        <v>1</v>
      </c>
      <c r="B1499" s="362" t="s">
        <v>373</v>
      </c>
      <c r="D1499" s="361"/>
      <c r="E1499" s="361"/>
      <c r="F1499" s="361"/>
      <c r="G1499" s="361"/>
      <c r="I1499" s="334"/>
      <c r="J1499" s="334"/>
      <c r="K1499" s="334"/>
      <c r="L1499" s="334"/>
      <c r="M1499" s="334"/>
      <c r="N1499" s="334"/>
      <c r="O1499" s="334"/>
    </row>
    <row r="1500" spans="1:16">
      <c r="A1500" s="361">
        <f>A1499+1</f>
        <v>2</v>
      </c>
      <c r="B1500" s="365">
        <v>301</v>
      </c>
      <c r="C1500" s="358" t="s">
        <v>374</v>
      </c>
      <c r="D1500" s="1243">
        <f t="shared" ref="D1500:D1505" si="259">G1386</f>
        <v>521.20000000000005</v>
      </c>
      <c r="E1500" s="1243">
        <v>0</v>
      </c>
      <c r="F1500" s="1243">
        <v>0</v>
      </c>
      <c r="G1500" s="1243">
        <f t="shared" ref="G1500:G1505" si="260">SUM(D1500:F1500)</f>
        <v>521.20000000000005</v>
      </c>
      <c r="H1500" s="1243"/>
      <c r="I1500" s="1243">
        <f t="shared" ref="I1500:I1505" si="261">O1386</f>
        <v>0</v>
      </c>
      <c r="J1500" s="1243" t="s">
        <v>646</v>
      </c>
      <c r="K1500" s="1243">
        <v>0</v>
      </c>
      <c r="L1500" s="1243">
        <v>0</v>
      </c>
      <c r="M1500" s="1243">
        <f t="shared" ref="M1500:M1505" si="262">F1500</f>
        <v>0</v>
      </c>
      <c r="N1500" s="1243">
        <v>0</v>
      </c>
      <c r="O1500" s="1243">
        <f t="shared" ref="O1500:O1505" si="263">I1500+K1500+L1500+M1500+N1500</f>
        <v>0</v>
      </c>
    </row>
    <row r="1501" spans="1:16">
      <c r="A1501" s="361">
        <f t="shared" ref="A1501:A1506" si="264">A1500+1</f>
        <v>3</v>
      </c>
      <c r="B1501" s="365">
        <v>303</v>
      </c>
      <c r="C1501" s="358" t="s">
        <v>375</v>
      </c>
      <c r="D1501" s="1243">
        <f t="shared" si="259"/>
        <v>96334.51</v>
      </c>
      <c r="E1501" s="1243">
        <v>0</v>
      </c>
      <c r="F1501" s="1243">
        <v>0</v>
      </c>
      <c r="G1501" s="1243">
        <f t="shared" si="260"/>
        <v>96334.51</v>
      </c>
      <c r="H1501" s="1243"/>
      <c r="I1501" s="1243">
        <f t="shared" si="261"/>
        <v>79129.9678055556</v>
      </c>
      <c r="J1501" s="1243" t="s">
        <v>646</v>
      </c>
      <c r="K1501" s="1243">
        <f>+'WPB-2.1.E Intangibles'!F47</f>
        <v>267.59780555555557</v>
      </c>
      <c r="L1501" s="1243">
        <v>0</v>
      </c>
      <c r="M1501" s="1243">
        <f t="shared" si="262"/>
        <v>0</v>
      </c>
      <c r="N1501" s="1243">
        <v>0</v>
      </c>
      <c r="O1501" s="1243">
        <f t="shared" si="263"/>
        <v>79397.56561111116</v>
      </c>
    </row>
    <row r="1502" spans="1:16">
      <c r="A1502" s="361">
        <f t="shared" si="264"/>
        <v>4</v>
      </c>
      <c r="B1502" s="365">
        <v>303.10000000000002</v>
      </c>
      <c r="C1502" s="358" t="s">
        <v>376</v>
      </c>
      <c r="D1502" s="1243">
        <f t="shared" si="259"/>
        <v>943.27</v>
      </c>
      <c r="E1502" s="1243">
        <v>0</v>
      </c>
      <c r="F1502" s="1243">
        <v>0</v>
      </c>
      <c r="G1502" s="1243">
        <f t="shared" si="260"/>
        <v>943.27</v>
      </c>
      <c r="H1502" s="1243"/>
      <c r="I1502" s="1243">
        <f t="shared" si="261"/>
        <v>318.35000000000008</v>
      </c>
      <c r="J1502" s="1243" t="s">
        <v>646</v>
      </c>
      <c r="K1502" s="1243">
        <v>0</v>
      </c>
      <c r="L1502" s="1243">
        <v>0</v>
      </c>
      <c r="M1502" s="1243">
        <f t="shared" si="262"/>
        <v>0</v>
      </c>
      <c r="N1502" s="1243">
        <v>0</v>
      </c>
      <c r="O1502" s="1243">
        <f t="shared" si="263"/>
        <v>318.35000000000008</v>
      </c>
    </row>
    <row r="1503" spans="1:16">
      <c r="A1503" s="361">
        <f t="shared" si="264"/>
        <v>5</v>
      </c>
      <c r="B1503" s="365">
        <v>303.2</v>
      </c>
      <c r="C1503" s="358" t="s">
        <v>377</v>
      </c>
      <c r="D1503" s="1243">
        <f t="shared" si="259"/>
        <v>0</v>
      </c>
      <c r="E1503" s="1243">
        <v>0</v>
      </c>
      <c r="F1503" s="1243">
        <v>0</v>
      </c>
      <c r="G1503" s="1243">
        <f t="shared" si="260"/>
        <v>0</v>
      </c>
      <c r="H1503" s="1243"/>
      <c r="I1503" s="1243">
        <f t="shared" si="261"/>
        <v>0</v>
      </c>
      <c r="J1503" s="1243" t="s">
        <v>646</v>
      </c>
      <c r="K1503" s="1243">
        <v>0</v>
      </c>
      <c r="L1503" s="1243">
        <v>0</v>
      </c>
      <c r="M1503" s="1243">
        <f t="shared" si="262"/>
        <v>0</v>
      </c>
      <c r="N1503" s="1243">
        <v>0</v>
      </c>
      <c r="O1503" s="1243">
        <f t="shared" si="263"/>
        <v>0</v>
      </c>
    </row>
    <row r="1504" spans="1:16">
      <c r="A1504" s="361">
        <f t="shared" si="264"/>
        <v>6</v>
      </c>
      <c r="B1504" s="365">
        <v>303.3</v>
      </c>
      <c r="C1504" s="358" t="s">
        <v>378</v>
      </c>
      <c r="D1504" s="1243">
        <f t="shared" si="259"/>
        <v>12777441.790000003</v>
      </c>
      <c r="E1504" s="1243">
        <f>+'WPB-2.1.E Intangibles'!F17</f>
        <v>42429.279999999999</v>
      </c>
      <c r="F1504" s="1243">
        <f>-'WPB-2.1.E Intangibles'!F35</f>
        <v>-17430.859999999997</v>
      </c>
      <c r="G1504" s="1243">
        <f t="shared" si="260"/>
        <v>12802440.210000003</v>
      </c>
      <c r="H1504" s="1243"/>
      <c r="I1504" s="1243">
        <f t="shared" si="261"/>
        <v>6620993.5200000023</v>
      </c>
      <c r="J1504" s="1243" t="s">
        <v>646</v>
      </c>
      <c r="K1504" s="1243">
        <f>+'WPB-2.1.E Intangibles'!F48</f>
        <v>207717.51000000024</v>
      </c>
      <c r="L1504" s="1243">
        <v>0</v>
      </c>
      <c r="M1504" s="1243">
        <f t="shared" si="262"/>
        <v>-17430.859999999997</v>
      </c>
      <c r="N1504" s="1243">
        <v>0</v>
      </c>
      <c r="O1504" s="1243">
        <f t="shared" si="263"/>
        <v>6811280.1700000027</v>
      </c>
    </row>
    <row r="1505" spans="1:15">
      <c r="A1505" s="361">
        <f t="shared" si="264"/>
        <v>7</v>
      </c>
      <c r="B1505" s="365">
        <v>303.99</v>
      </c>
      <c r="C1505" s="358" t="s">
        <v>1129</v>
      </c>
      <c r="D1505" s="1244">
        <f t="shared" si="259"/>
        <v>2060373.2</v>
      </c>
      <c r="E1505" s="1244">
        <f>+'WPB-2.1.E Intangibles'!F21</f>
        <v>3396.66</v>
      </c>
      <c r="F1505" s="1244">
        <f>-'WPB-2.1.E Intangibles'!F36</f>
        <v>-16750.91</v>
      </c>
      <c r="G1505" s="1244">
        <f t="shared" si="260"/>
        <v>2047018.95</v>
      </c>
      <c r="H1505" s="1243"/>
      <c r="I1505" s="1244">
        <f t="shared" si="261"/>
        <v>992272.67</v>
      </c>
      <c r="J1505" s="1243" t="s">
        <v>646</v>
      </c>
      <c r="K1505" s="1244">
        <f>+'WPB-2.1.E Intangibles'!F49</f>
        <v>34708.969999999994</v>
      </c>
      <c r="L1505" s="1244">
        <v>0</v>
      </c>
      <c r="M1505" s="1244">
        <f t="shared" si="262"/>
        <v>-16750.91</v>
      </c>
      <c r="N1505" s="1244">
        <v>0</v>
      </c>
      <c r="O1505" s="1244">
        <f t="shared" si="263"/>
        <v>1010230.73</v>
      </c>
    </row>
    <row r="1506" spans="1:15">
      <c r="A1506" s="361">
        <f t="shared" si="264"/>
        <v>8</v>
      </c>
      <c r="B1506" s="367"/>
      <c r="C1506" s="358" t="s">
        <v>2883</v>
      </c>
      <c r="D1506" s="1243">
        <f>SUM(D1500:D1505)</f>
        <v>14935613.970000003</v>
      </c>
      <c r="E1506" s="1243">
        <f>SUM(E1500:E1505)</f>
        <v>45825.94</v>
      </c>
      <c r="F1506" s="1243">
        <f>SUM(F1500:F1505)</f>
        <v>-34181.769999999997</v>
      </c>
      <c r="G1506" s="1243">
        <f>SUM(G1500:G1505)</f>
        <v>14947258.140000002</v>
      </c>
      <c r="H1506" s="1243"/>
      <c r="I1506" s="1243">
        <f>SUM(I1500:I1505)</f>
        <v>7692714.5078055579</v>
      </c>
      <c r="J1506" s="1243"/>
      <c r="K1506" s="1243">
        <f>SUM(K1500:K1505)</f>
        <v>242694.0778055558</v>
      </c>
      <c r="L1506" s="1243">
        <f>SUM(L1500:L1505)</f>
        <v>0</v>
      </c>
      <c r="M1506" s="1243">
        <f>SUM(M1500:M1505)</f>
        <v>-34181.769999999997</v>
      </c>
      <c r="N1506" s="1243">
        <f>SUM(N1500:N1505)</f>
        <v>0</v>
      </c>
      <c r="O1506" s="1243">
        <f>SUM(O1500:O1505)</f>
        <v>7901226.8156111147</v>
      </c>
    </row>
    <row r="1507" spans="1:15">
      <c r="A1507" s="361"/>
      <c r="B1507" s="367"/>
      <c r="C1507" s="368"/>
      <c r="D1507" s="1243"/>
      <c r="E1507" s="1243"/>
      <c r="F1507" s="1243"/>
      <c r="G1507" s="1243"/>
      <c r="H1507" s="1243"/>
      <c r="I1507" s="1243"/>
      <c r="J1507" s="1243"/>
      <c r="K1507" s="1243"/>
      <c r="L1507" s="1243"/>
      <c r="M1507" s="1243"/>
      <c r="N1507" s="1243"/>
      <c r="O1507" s="1243"/>
    </row>
    <row r="1508" spans="1:15">
      <c r="A1508" s="361">
        <f>A1506+1</f>
        <v>9</v>
      </c>
      <c r="B1508" s="362" t="s">
        <v>1600</v>
      </c>
      <c r="C1508" s="368"/>
      <c r="D1508" s="1243"/>
      <c r="E1508" s="1243"/>
      <c r="F1508" s="1243"/>
      <c r="G1508" s="1243"/>
      <c r="H1508" s="1243"/>
      <c r="I1508" s="1243"/>
      <c r="J1508" s="1243"/>
      <c r="K1508" s="1243"/>
      <c r="L1508" s="1243"/>
      <c r="M1508" s="1243"/>
      <c r="N1508" s="1243"/>
      <c r="O1508" s="1243"/>
    </row>
    <row r="1509" spans="1:15">
      <c r="A1509" s="361">
        <f t="shared" ref="A1509:A1539" si="265">A1508+1</f>
        <v>10</v>
      </c>
      <c r="B1509" s="365">
        <v>374.1</v>
      </c>
      <c r="C1509" s="358" t="s">
        <v>382</v>
      </c>
      <c r="D1509" s="1243">
        <f t="shared" ref="D1509:D1538" si="266">G1395</f>
        <v>205.4</v>
      </c>
      <c r="E1509" s="1243">
        <f>+'INPUT - B Schedule PLANT'!BS15</f>
        <v>0</v>
      </c>
      <c r="F1509" s="1243">
        <f>+'INPUT - B Schedule PLANT'!BT15</f>
        <v>0</v>
      </c>
      <c r="G1509" s="1243">
        <f>SUM(D1509:F1509)</f>
        <v>205.4</v>
      </c>
      <c r="H1509" s="1243"/>
      <c r="I1509" s="1243">
        <f t="shared" ref="I1509:I1538" si="267">O1395</f>
        <v>0</v>
      </c>
      <c r="J1509" s="1243" t="s">
        <v>647</v>
      </c>
      <c r="K1509" s="1243">
        <v>0</v>
      </c>
      <c r="L1509" s="1243">
        <v>0</v>
      </c>
      <c r="M1509" s="1243">
        <f t="shared" ref="M1509:M1519" si="268">F1509</f>
        <v>0</v>
      </c>
      <c r="N1509" s="1243">
        <v>0</v>
      </c>
      <c r="O1509" s="1243">
        <f t="shared" ref="O1509:O1538" si="269">I1509+K1509+L1509+M1509+N1509</f>
        <v>0</v>
      </c>
    </row>
    <row r="1510" spans="1:15">
      <c r="A1510" s="361">
        <f t="shared" si="265"/>
        <v>11</v>
      </c>
      <c r="B1510" s="365">
        <v>374.2</v>
      </c>
      <c r="C1510" s="358" t="s">
        <v>383</v>
      </c>
      <c r="D1510" s="1243">
        <f t="shared" si="266"/>
        <v>876986.66</v>
      </c>
      <c r="E1510" s="1243">
        <f>+'INPUT - B Schedule PLANT'!BS16</f>
        <v>0</v>
      </c>
      <c r="F1510" s="1243">
        <f>+'INPUT - B Schedule PLANT'!BT16</f>
        <v>0</v>
      </c>
      <c r="G1510" s="1243">
        <f t="shared" ref="G1510:G1538" si="270">SUM(D1510:F1510)</f>
        <v>876986.66</v>
      </c>
      <c r="H1510" s="1243"/>
      <c r="I1510" s="1243">
        <f t="shared" si="267"/>
        <v>-522.25</v>
      </c>
      <c r="J1510" s="1243" t="s">
        <v>647</v>
      </c>
      <c r="K1510" s="1243">
        <v>0</v>
      </c>
      <c r="L1510" s="1243">
        <v>0</v>
      </c>
      <c r="M1510" s="1243">
        <f t="shared" si="268"/>
        <v>0</v>
      </c>
      <c r="N1510" s="1243">
        <v>0</v>
      </c>
      <c r="O1510" s="1243">
        <f t="shared" si="269"/>
        <v>-522.25</v>
      </c>
    </row>
    <row r="1511" spans="1:15">
      <c r="A1511" s="361">
        <f t="shared" si="265"/>
        <v>12</v>
      </c>
      <c r="B1511" s="365">
        <v>374.4</v>
      </c>
      <c r="C1511" s="358" t="s">
        <v>384</v>
      </c>
      <c r="D1511" s="1243">
        <f t="shared" si="266"/>
        <v>2957825.99</v>
      </c>
      <c r="E1511" s="1243">
        <f>+'INPUT - B Schedule PLANT'!BS17</f>
        <v>14755.260000000002</v>
      </c>
      <c r="F1511" s="1243">
        <f>+'INPUT - B Schedule PLANT'!BT17</f>
        <v>0</v>
      </c>
      <c r="G1511" s="1243">
        <f t="shared" si="270"/>
        <v>2972581.25</v>
      </c>
      <c r="H1511" s="1243"/>
      <c r="I1511" s="1243">
        <f t="shared" si="267"/>
        <v>372011.75000000006</v>
      </c>
      <c r="J1511" s="1245"/>
      <c r="K1511" s="1243">
        <v>3138.17</v>
      </c>
      <c r="L1511" s="1243">
        <v>0</v>
      </c>
      <c r="M1511" s="1243">
        <f t="shared" si="268"/>
        <v>0</v>
      </c>
      <c r="N1511" s="1243">
        <v>0</v>
      </c>
      <c r="O1511" s="1243">
        <f t="shared" si="269"/>
        <v>375149.92000000004</v>
      </c>
    </row>
    <row r="1512" spans="1:15">
      <c r="A1512" s="361">
        <f t="shared" si="265"/>
        <v>13</v>
      </c>
      <c r="B1512" s="365">
        <v>374.5</v>
      </c>
      <c r="C1512" s="358" t="s">
        <v>385</v>
      </c>
      <c r="D1512" s="1243">
        <f t="shared" si="266"/>
        <v>2666577.16</v>
      </c>
      <c r="E1512" s="1243">
        <f>+'INPUT - B Schedule PLANT'!BS18</f>
        <v>0</v>
      </c>
      <c r="F1512" s="1243">
        <f>+'INPUT - B Schedule PLANT'!BT18</f>
        <v>0</v>
      </c>
      <c r="G1512" s="1243">
        <f t="shared" si="270"/>
        <v>2666577.16</v>
      </c>
      <c r="H1512" s="1243"/>
      <c r="I1512" s="1243">
        <f t="shared" si="267"/>
        <v>1158743.8300000012</v>
      </c>
      <c r="J1512" s="1245"/>
      <c r="K1512" s="1243">
        <v>2444.36</v>
      </c>
      <c r="L1512" s="1243">
        <v>0</v>
      </c>
      <c r="M1512" s="1243">
        <f t="shared" si="268"/>
        <v>0</v>
      </c>
      <c r="N1512" s="1243">
        <v>0</v>
      </c>
      <c r="O1512" s="1243">
        <f t="shared" si="269"/>
        <v>1161188.1900000013</v>
      </c>
    </row>
    <row r="1513" spans="1:15">
      <c r="A1513" s="361">
        <f t="shared" si="265"/>
        <v>14</v>
      </c>
      <c r="B1513" s="365">
        <v>375.2</v>
      </c>
      <c r="C1513" s="358" t="s">
        <v>386</v>
      </c>
      <c r="D1513" s="1243">
        <f t="shared" si="266"/>
        <v>2124.98</v>
      </c>
      <c r="E1513" s="1243">
        <f>+'INPUT - B Schedule PLANT'!BS19</f>
        <v>0</v>
      </c>
      <c r="F1513" s="1243">
        <f>+'INPUT - B Schedule PLANT'!BT19</f>
        <v>0</v>
      </c>
      <c r="G1513" s="1243">
        <f t="shared" si="270"/>
        <v>2124.98</v>
      </c>
      <c r="H1513" s="1243"/>
      <c r="I1513" s="1243">
        <f t="shared" si="267"/>
        <v>2062.5700000000002</v>
      </c>
      <c r="J1513" s="1245"/>
      <c r="K1513" s="1243">
        <v>0.73</v>
      </c>
      <c r="L1513" s="1243">
        <v>0</v>
      </c>
      <c r="M1513" s="1243">
        <f t="shared" si="268"/>
        <v>0</v>
      </c>
      <c r="N1513" s="1243">
        <v>0</v>
      </c>
      <c r="O1513" s="1243">
        <f t="shared" si="269"/>
        <v>2063.3000000000002</v>
      </c>
    </row>
    <row r="1514" spans="1:15">
      <c r="A1514" s="361">
        <f t="shared" si="265"/>
        <v>15</v>
      </c>
      <c r="B1514" s="365">
        <v>375.3</v>
      </c>
      <c r="C1514" s="358" t="s">
        <v>387</v>
      </c>
      <c r="D1514" s="1243">
        <f t="shared" si="266"/>
        <v>0</v>
      </c>
      <c r="E1514" s="1243">
        <f>+'INPUT - B Schedule PLANT'!BS20</f>
        <v>0</v>
      </c>
      <c r="F1514" s="1243">
        <f>+'INPUT - B Schedule PLANT'!BT20</f>
        <v>0</v>
      </c>
      <c r="G1514" s="1243">
        <f t="shared" si="270"/>
        <v>0</v>
      </c>
      <c r="H1514" s="1243"/>
      <c r="I1514" s="1243">
        <f t="shared" si="267"/>
        <v>-77.66</v>
      </c>
      <c r="J1514" s="1245"/>
      <c r="K1514" s="1243">
        <v>0</v>
      </c>
      <c r="L1514" s="1243">
        <v>0</v>
      </c>
      <c r="M1514" s="1243">
        <f t="shared" si="268"/>
        <v>0</v>
      </c>
      <c r="N1514" s="1243">
        <v>0</v>
      </c>
      <c r="O1514" s="1243">
        <f t="shared" si="269"/>
        <v>-77.66</v>
      </c>
    </row>
    <row r="1515" spans="1:15">
      <c r="A1515" s="361">
        <f t="shared" si="265"/>
        <v>16</v>
      </c>
      <c r="B1515" s="365">
        <v>375.4</v>
      </c>
      <c r="C1515" s="358" t="s">
        <v>388</v>
      </c>
      <c r="D1515" s="1243">
        <f t="shared" si="266"/>
        <v>3075068.6899999995</v>
      </c>
      <c r="E1515" s="1243">
        <f>+'INPUT - B Schedule PLANT'!BS21</f>
        <v>0</v>
      </c>
      <c r="F1515" s="1243">
        <f>+'INPUT - B Schedule PLANT'!BT21</f>
        <v>-1335.04</v>
      </c>
      <c r="G1515" s="1243">
        <f t="shared" si="270"/>
        <v>3073733.6499999994</v>
      </c>
      <c r="H1515" s="1243"/>
      <c r="I1515" s="1243">
        <f t="shared" si="267"/>
        <v>600033.84000000008</v>
      </c>
      <c r="J1515" s="1245"/>
      <c r="K1515" s="1243">
        <v>5559.54</v>
      </c>
      <c r="L1515" s="1243">
        <v>0</v>
      </c>
      <c r="M1515" s="1243">
        <f t="shared" si="268"/>
        <v>-1335.04</v>
      </c>
      <c r="N1515" s="1243">
        <v>0</v>
      </c>
      <c r="O1515" s="1243">
        <f t="shared" si="269"/>
        <v>604258.34000000008</v>
      </c>
    </row>
    <row r="1516" spans="1:15">
      <c r="A1516" s="361">
        <f t="shared" si="265"/>
        <v>17</v>
      </c>
      <c r="B1516" s="365">
        <v>375.6</v>
      </c>
      <c r="C1516" s="358" t="s">
        <v>389</v>
      </c>
      <c r="D1516" s="1243">
        <f t="shared" si="266"/>
        <v>0</v>
      </c>
      <c r="E1516" s="1243">
        <f>+'INPUT - B Schedule PLANT'!BS22</f>
        <v>0</v>
      </c>
      <c r="F1516" s="1243">
        <f>+'INPUT - B Schedule PLANT'!BT22</f>
        <v>0</v>
      </c>
      <c r="G1516" s="1243">
        <f t="shared" si="270"/>
        <v>0</v>
      </c>
      <c r="H1516" s="1243"/>
      <c r="I1516" s="1243">
        <f t="shared" si="267"/>
        <v>0.02</v>
      </c>
      <c r="J1516" s="1245"/>
      <c r="K1516" s="1243">
        <v>0</v>
      </c>
      <c r="L1516" s="1243">
        <v>0</v>
      </c>
      <c r="M1516" s="1243">
        <f t="shared" si="268"/>
        <v>0</v>
      </c>
      <c r="N1516" s="1243">
        <v>0</v>
      </c>
      <c r="O1516" s="1243">
        <f t="shared" si="269"/>
        <v>0.02</v>
      </c>
    </row>
    <row r="1517" spans="1:15">
      <c r="A1517" s="361">
        <f t="shared" si="265"/>
        <v>18</v>
      </c>
      <c r="B1517" s="365">
        <v>375.7</v>
      </c>
      <c r="C1517" s="358" t="s">
        <v>390</v>
      </c>
      <c r="D1517" s="1243">
        <f t="shared" si="266"/>
        <v>9575079.7200000007</v>
      </c>
      <c r="E1517" s="1243">
        <f>+'INPUT - B Schedule PLANT'!BS23</f>
        <v>-2044</v>
      </c>
      <c r="F1517" s="1243">
        <f>+'INPUT - B Schedule PLANT'!BT23</f>
        <v>0</v>
      </c>
      <c r="G1517" s="1243">
        <f t="shared" si="270"/>
        <v>9573035.7200000007</v>
      </c>
      <c r="H1517" s="1243"/>
      <c r="I1517" s="1243">
        <f t="shared" si="267"/>
        <v>4709154.9799999977</v>
      </c>
      <c r="J1517" s="1245"/>
      <c r="K1517" s="1243">
        <v>18669.41</v>
      </c>
      <c r="L1517" s="1243">
        <v>0</v>
      </c>
      <c r="M1517" s="1243">
        <f t="shared" si="268"/>
        <v>0</v>
      </c>
      <c r="N1517" s="1243">
        <v>0</v>
      </c>
      <c r="O1517" s="1243">
        <f t="shared" si="269"/>
        <v>4727824.3899999978</v>
      </c>
    </row>
    <row r="1518" spans="1:15">
      <c r="A1518" s="361">
        <f t="shared" si="265"/>
        <v>19</v>
      </c>
      <c r="B1518" s="365">
        <v>375.71</v>
      </c>
      <c r="C1518" s="358" t="s">
        <v>391</v>
      </c>
      <c r="D1518" s="1243">
        <f t="shared" si="266"/>
        <v>880994.59</v>
      </c>
      <c r="E1518" s="1243">
        <f>+'INPUT - B Schedule PLANT'!BS24</f>
        <v>0</v>
      </c>
      <c r="F1518" s="1243">
        <f>+'INPUT - B Schedule PLANT'!BT24</f>
        <v>0</v>
      </c>
      <c r="G1518" s="1243">
        <f t="shared" si="270"/>
        <v>880994.59</v>
      </c>
      <c r="H1518" s="1243"/>
      <c r="I1518" s="1243">
        <f t="shared" si="267"/>
        <v>763706.66000000038</v>
      </c>
      <c r="J1518" s="1243" t="s">
        <v>646</v>
      </c>
      <c r="K1518" s="1243">
        <v>4743.54</v>
      </c>
      <c r="L1518" s="1243">
        <v>0</v>
      </c>
      <c r="M1518" s="1243">
        <f t="shared" si="268"/>
        <v>0</v>
      </c>
      <c r="N1518" s="1243">
        <v>0</v>
      </c>
      <c r="O1518" s="1243">
        <f t="shared" si="269"/>
        <v>768450.20000000042</v>
      </c>
    </row>
    <row r="1519" spans="1:15">
      <c r="A1519" s="361">
        <f t="shared" si="265"/>
        <v>20</v>
      </c>
      <c r="B1519" s="365">
        <v>375.8</v>
      </c>
      <c r="C1519" s="358" t="s">
        <v>392</v>
      </c>
      <c r="D1519" s="1243">
        <f t="shared" si="266"/>
        <v>132125.04</v>
      </c>
      <c r="E1519" s="1243">
        <f>+'INPUT - B Schedule PLANT'!BS25</f>
        <v>0</v>
      </c>
      <c r="F1519" s="1243">
        <f>+'INPUT - B Schedule PLANT'!BT25</f>
        <v>0</v>
      </c>
      <c r="G1519" s="1243">
        <f t="shared" si="270"/>
        <v>132125.04</v>
      </c>
      <c r="H1519" s="1243"/>
      <c r="I1519" s="1243">
        <f t="shared" si="267"/>
        <v>11412.68</v>
      </c>
      <c r="J1519" s="1245"/>
      <c r="K1519" s="1243">
        <v>585.75</v>
      </c>
      <c r="L1519" s="1243">
        <v>0</v>
      </c>
      <c r="M1519" s="1243">
        <f t="shared" si="268"/>
        <v>0</v>
      </c>
      <c r="N1519" s="1243">
        <v>0</v>
      </c>
      <c r="O1519" s="1243">
        <f t="shared" si="269"/>
        <v>11998.43</v>
      </c>
    </row>
    <row r="1520" spans="1:15">
      <c r="A1520" s="361">
        <f t="shared" si="265"/>
        <v>21</v>
      </c>
      <c r="B1520" s="365">
        <v>376</v>
      </c>
      <c r="C1520" s="358" t="s">
        <v>1621</v>
      </c>
      <c r="D1520" s="1243">
        <f t="shared" si="266"/>
        <v>411481640.11000007</v>
      </c>
      <c r="E1520" s="1243">
        <f>'WPB-2.1.D SMRP'!E625</f>
        <v>620652.29999999993</v>
      </c>
      <c r="F1520" s="1243">
        <f>'WPB-2.1.D SMRP'!F625</f>
        <v>-1764.0200000000041</v>
      </c>
      <c r="G1520" s="1243">
        <f t="shared" si="270"/>
        <v>412100528.3900001</v>
      </c>
      <c r="H1520" s="1243"/>
      <c r="I1520" s="1243">
        <f t="shared" si="267"/>
        <v>80149405.686000049</v>
      </c>
      <c r="J1520" s="1245"/>
      <c r="K1520" s="1243">
        <v>593403.1100000001</v>
      </c>
      <c r="L1520" s="1243">
        <v>0</v>
      </c>
      <c r="M1520" s="1243">
        <f t="shared" ref="M1520:M1525" si="271">F1520</f>
        <v>-1764.0200000000041</v>
      </c>
      <c r="N1520" s="1243">
        <v>-1927.92</v>
      </c>
      <c r="O1520" s="1243">
        <f t="shared" si="269"/>
        <v>80739116.856000051</v>
      </c>
    </row>
    <row r="1521" spans="1:15">
      <c r="A1521" s="361">
        <f t="shared" si="265"/>
        <v>22</v>
      </c>
      <c r="B1521" s="365">
        <v>378.1</v>
      </c>
      <c r="C1521" s="358" t="s">
        <v>394</v>
      </c>
      <c r="D1521" s="1243">
        <f t="shared" si="266"/>
        <v>571288.02</v>
      </c>
      <c r="E1521" s="1243">
        <f>+'INPUT - B Schedule PLANT'!BS27</f>
        <v>0</v>
      </c>
      <c r="F1521" s="1243">
        <f>+'INPUT - B Schedule PLANT'!BT27</f>
        <v>0</v>
      </c>
      <c r="G1521" s="1243">
        <f t="shared" si="270"/>
        <v>571288.02</v>
      </c>
      <c r="H1521" s="1243"/>
      <c r="I1521" s="1243">
        <f t="shared" si="267"/>
        <v>412222.02999999997</v>
      </c>
      <c r="J1521" s="1245"/>
      <c r="K1521" s="1243">
        <v>1031.72</v>
      </c>
      <c r="L1521" s="1243">
        <v>0</v>
      </c>
      <c r="M1521" s="1243">
        <f t="shared" si="271"/>
        <v>0</v>
      </c>
      <c r="N1521" s="1243">
        <v>0</v>
      </c>
      <c r="O1521" s="1243">
        <f t="shared" si="269"/>
        <v>413253.74999999994</v>
      </c>
    </row>
    <row r="1522" spans="1:15">
      <c r="A1522" s="361">
        <f t="shared" si="265"/>
        <v>23</v>
      </c>
      <c r="B1522" s="365">
        <v>378.2</v>
      </c>
      <c r="C1522" s="358" t="s">
        <v>1622</v>
      </c>
      <c r="D1522" s="1243">
        <f t="shared" si="266"/>
        <v>25353384.650000002</v>
      </c>
      <c r="E1522" s="1243">
        <f>'WPB-2.1.D SMRP'!E629</f>
        <v>5.0399999999935972</v>
      </c>
      <c r="F1522" s="1243">
        <f>'WPB-2.1.D SMRP'!F629</f>
        <v>-2816.5800000000017</v>
      </c>
      <c r="G1522" s="1243">
        <f t="shared" si="270"/>
        <v>25350573.110000003</v>
      </c>
      <c r="H1522" s="1243"/>
      <c r="I1522" s="1243">
        <f t="shared" si="267"/>
        <v>3443247.625</v>
      </c>
      <c r="J1522" s="1245"/>
      <c r="K1522" s="1243">
        <v>53396.034</v>
      </c>
      <c r="L1522" s="1243">
        <v>0</v>
      </c>
      <c r="M1522" s="1243">
        <f t="shared" si="271"/>
        <v>-2816.5800000000017</v>
      </c>
      <c r="N1522" s="1243">
        <v>0</v>
      </c>
      <c r="O1522" s="1243">
        <f t="shared" si="269"/>
        <v>3493827.0789999999</v>
      </c>
    </row>
    <row r="1523" spans="1:15">
      <c r="A1523" s="361">
        <f t="shared" si="265"/>
        <v>24</v>
      </c>
      <c r="B1523" s="365">
        <v>378.3</v>
      </c>
      <c r="C1523" s="358" t="s">
        <v>396</v>
      </c>
      <c r="D1523" s="1243">
        <f t="shared" si="266"/>
        <v>45443.08</v>
      </c>
      <c r="E1523" s="1243">
        <f>+'INPUT - B Schedule PLANT'!BS29</f>
        <v>0</v>
      </c>
      <c r="F1523" s="1243">
        <f>+'INPUT - B Schedule PLANT'!BT29</f>
        <v>0</v>
      </c>
      <c r="G1523" s="1243">
        <f t="shared" si="270"/>
        <v>45443.08</v>
      </c>
      <c r="H1523" s="1243"/>
      <c r="I1523" s="1243">
        <f t="shared" si="267"/>
        <v>43262.890000000007</v>
      </c>
      <c r="J1523" s="1245"/>
      <c r="K1523" s="1243">
        <v>95.43</v>
      </c>
      <c r="L1523" s="1243">
        <v>0</v>
      </c>
      <c r="M1523" s="1243">
        <f t="shared" si="271"/>
        <v>0</v>
      </c>
      <c r="N1523" s="1243">
        <v>0</v>
      </c>
      <c r="O1523" s="1243">
        <f t="shared" si="269"/>
        <v>43358.320000000007</v>
      </c>
    </row>
    <row r="1524" spans="1:15">
      <c r="A1524" s="361">
        <f t="shared" si="265"/>
        <v>25</v>
      </c>
      <c r="B1524" s="365">
        <v>379.1</v>
      </c>
      <c r="C1524" s="358" t="s">
        <v>397</v>
      </c>
      <c r="D1524" s="1243">
        <f t="shared" si="266"/>
        <v>1554144.06</v>
      </c>
      <c r="E1524" s="1243">
        <f>+'INPUT - B Schedule PLANT'!BS30</f>
        <v>0</v>
      </c>
      <c r="F1524" s="1243">
        <f>+'INPUT - B Schedule PLANT'!BT30</f>
        <v>0</v>
      </c>
      <c r="G1524" s="1243">
        <f t="shared" si="270"/>
        <v>1554144.06</v>
      </c>
      <c r="H1524" s="1243"/>
      <c r="I1524" s="1243">
        <f t="shared" si="267"/>
        <v>354519.00000000006</v>
      </c>
      <c r="J1524" s="1245"/>
      <c r="K1524" s="1243">
        <v>3134.19</v>
      </c>
      <c r="L1524" s="1243">
        <v>0</v>
      </c>
      <c r="M1524" s="1243">
        <f t="shared" si="271"/>
        <v>0</v>
      </c>
      <c r="N1524" s="1243">
        <v>0</v>
      </c>
      <c r="O1524" s="1243">
        <f t="shared" si="269"/>
        <v>357653.19000000006</v>
      </c>
    </row>
    <row r="1525" spans="1:15">
      <c r="A1525" s="361">
        <f t="shared" si="265"/>
        <v>26</v>
      </c>
      <c r="B1525" s="365">
        <v>380</v>
      </c>
      <c r="C1525" s="358" t="s">
        <v>1623</v>
      </c>
      <c r="D1525" s="1243">
        <f t="shared" si="266"/>
        <v>202788841.64942962</v>
      </c>
      <c r="E1525" s="1243">
        <f>'WPB-2.1.D SMRP'!E633</f>
        <v>925342.34999999986</v>
      </c>
      <c r="F1525" s="1243">
        <f>'WPB-2.1.D SMRP'!F633</f>
        <v>-28354.780000000028</v>
      </c>
      <c r="G1525" s="1243">
        <f t="shared" si="270"/>
        <v>203685829.21942961</v>
      </c>
      <c r="H1525" s="1243"/>
      <c r="I1525" s="1243">
        <f t="shared" si="267"/>
        <v>59886315.966021635</v>
      </c>
      <c r="J1525" s="1245"/>
      <c r="K1525" s="1243">
        <v>644224.94899999991</v>
      </c>
      <c r="L1525" s="1243">
        <v>0</v>
      </c>
      <c r="M1525" s="1243">
        <f t="shared" si="271"/>
        <v>-28354.780000000028</v>
      </c>
      <c r="N1525" s="1243">
        <v>-18123.910000000003</v>
      </c>
      <c r="O1525" s="1243">
        <f t="shared" si="269"/>
        <v>60484062.225021638</v>
      </c>
    </row>
    <row r="1526" spans="1:15">
      <c r="A1526" s="361">
        <f t="shared" si="265"/>
        <v>27</v>
      </c>
      <c r="B1526" s="365">
        <v>381</v>
      </c>
      <c r="C1526" s="358" t="s">
        <v>399</v>
      </c>
      <c r="D1526" s="1243">
        <f t="shared" si="266"/>
        <v>19483165.740000002</v>
      </c>
      <c r="E1526" s="1243">
        <f>+'INPUT - B Schedule PLANT'!BS32</f>
        <v>57366.82</v>
      </c>
      <c r="F1526" s="1243">
        <f>+'INPUT - B Schedule PLANT'!BT32</f>
        <v>-34286.69</v>
      </c>
      <c r="G1526" s="1243">
        <f t="shared" si="270"/>
        <v>19506245.870000001</v>
      </c>
      <c r="H1526" s="1243"/>
      <c r="I1526" s="1243">
        <f t="shared" si="267"/>
        <v>2492127.4599999995</v>
      </c>
      <c r="J1526" s="1245"/>
      <c r="K1526" s="1243">
        <v>43600.2</v>
      </c>
      <c r="L1526" s="1243">
        <v>0</v>
      </c>
      <c r="M1526" s="1243">
        <f t="shared" ref="M1526:M1538" si="272">F1526</f>
        <v>-34286.69</v>
      </c>
      <c r="N1526" s="1243">
        <v>-7459.22</v>
      </c>
      <c r="O1526" s="1243">
        <f t="shared" si="269"/>
        <v>2493981.7499999995</v>
      </c>
    </row>
    <row r="1527" spans="1:15">
      <c r="A1527" s="361">
        <f t="shared" si="265"/>
        <v>28</v>
      </c>
      <c r="B1527" s="365">
        <v>381.1</v>
      </c>
      <c r="C1527" s="358" t="s">
        <v>2366</v>
      </c>
      <c r="D1527" s="1243">
        <f t="shared" si="266"/>
        <v>9980854.4800000004</v>
      </c>
      <c r="E1527" s="1243">
        <f>+'INPUT - B Schedule PLANT'!BS33</f>
        <v>0</v>
      </c>
      <c r="F1527" s="1243">
        <f>+'INPUT - B Schedule PLANT'!BT33</f>
        <v>0</v>
      </c>
      <c r="G1527" s="1243">
        <f t="shared" si="270"/>
        <v>9980854.4800000004</v>
      </c>
      <c r="H1527" s="1243"/>
      <c r="I1527" s="1243">
        <f t="shared" si="267"/>
        <v>5423313.0400000028</v>
      </c>
      <c r="J1527" s="1245"/>
      <c r="K1527" s="1243">
        <v>62213.99</v>
      </c>
      <c r="L1527" s="1243">
        <v>0</v>
      </c>
      <c r="M1527" s="1243">
        <f t="shared" si="272"/>
        <v>0</v>
      </c>
      <c r="N1527" s="1243">
        <v>0</v>
      </c>
      <c r="O1527" s="1243">
        <f t="shared" si="269"/>
        <v>5485527.0300000031</v>
      </c>
    </row>
    <row r="1528" spans="1:15">
      <c r="A1528" s="361">
        <f t="shared" si="265"/>
        <v>29</v>
      </c>
      <c r="B1528" s="365">
        <v>382</v>
      </c>
      <c r="C1528" s="358" t="s">
        <v>1624</v>
      </c>
      <c r="D1528" s="1243">
        <f t="shared" si="266"/>
        <v>10574151.059999999</v>
      </c>
      <c r="E1528" s="1243">
        <f>'WPB-2.1.D SMRP'!E637</f>
        <v>10716</v>
      </c>
      <c r="F1528" s="1243">
        <f>'WPB-2.1.D SMRP'!F637</f>
        <v>0</v>
      </c>
      <c r="G1528" s="1243">
        <f t="shared" si="270"/>
        <v>10584867.059999999</v>
      </c>
      <c r="H1528" s="1243"/>
      <c r="I1528" s="1243">
        <f t="shared" si="267"/>
        <v>5858153.4560000012</v>
      </c>
      <c r="J1528" s="1245"/>
      <c r="K1528" s="1243">
        <v>15605.118</v>
      </c>
      <c r="L1528" s="1243">
        <v>0</v>
      </c>
      <c r="M1528" s="1243">
        <f t="shared" si="272"/>
        <v>0</v>
      </c>
      <c r="N1528" s="1243">
        <v>0</v>
      </c>
      <c r="O1528" s="1243">
        <f t="shared" si="269"/>
        <v>5873758.574000001</v>
      </c>
    </row>
    <row r="1529" spans="1:15">
      <c r="A1529" s="361">
        <f t="shared" si="265"/>
        <v>30</v>
      </c>
      <c r="B1529" s="365">
        <v>383</v>
      </c>
      <c r="C1529" s="358" t="s">
        <v>1625</v>
      </c>
      <c r="D1529" s="1243">
        <f t="shared" si="266"/>
        <v>7368278.1399999997</v>
      </c>
      <c r="E1529" s="1243">
        <f>'WPB-2.1.D SMRP'!E641</f>
        <v>18923.100000000002</v>
      </c>
      <c r="F1529" s="1243">
        <f>'WPB-2.1.D SMRP'!F641</f>
        <v>0</v>
      </c>
      <c r="G1529" s="1243">
        <f t="shared" si="270"/>
        <v>7387201.2399999993</v>
      </c>
      <c r="H1529" s="1243"/>
      <c r="I1529" s="1243">
        <f t="shared" si="267"/>
        <v>2498335.7749999999</v>
      </c>
      <c r="J1529" s="1245"/>
      <c r="K1529" s="1243">
        <v>11927.356</v>
      </c>
      <c r="L1529" s="1243">
        <v>0</v>
      </c>
      <c r="M1529" s="1243">
        <f t="shared" si="272"/>
        <v>0</v>
      </c>
      <c r="N1529" s="1243">
        <v>0</v>
      </c>
      <c r="O1529" s="1243">
        <f t="shared" si="269"/>
        <v>2510263.1310000001</v>
      </c>
    </row>
    <row r="1530" spans="1:15">
      <c r="A1530" s="361">
        <f t="shared" si="265"/>
        <v>31</v>
      </c>
      <c r="B1530" s="365">
        <v>384</v>
      </c>
      <c r="C1530" s="358" t="s">
        <v>402</v>
      </c>
      <c r="D1530" s="1243">
        <f t="shared" si="266"/>
        <v>2085058.65</v>
      </c>
      <c r="E1530" s="1243">
        <f>+'INPUT - B Schedule PLANT'!BS36</f>
        <v>0</v>
      </c>
      <c r="F1530" s="1243">
        <f>+'INPUT - B Schedule PLANT'!BT36</f>
        <v>0</v>
      </c>
      <c r="G1530" s="1243">
        <f t="shared" si="270"/>
        <v>2085058.65</v>
      </c>
      <c r="H1530" s="1243"/>
      <c r="I1530" s="1243">
        <f t="shared" si="267"/>
        <v>1730041.8699999992</v>
      </c>
      <c r="J1530" s="1245"/>
      <c r="K1530" s="1243">
        <v>1720.17</v>
      </c>
      <c r="L1530" s="1243">
        <v>0</v>
      </c>
      <c r="M1530" s="1243">
        <f t="shared" si="272"/>
        <v>0</v>
      </c>
      <c r="N1530" s="1243">
        <v>0</v>
      </c>
      <c r="O1530" s="1243">
        <f t="shared" si="269"/>
        <v>1731762.0399999991</v>
      </c>
    </row>
    <row r="1531" spans="1:15">
      <c r="A1531" s="361">
        <f t="shared" si="265"/>
        <v>32</v>
      </c>
      <c r="B1531" s="365">
        <v>385</v>
      </c>
      <c r="C1531" s="358" t="s">
        <v>403</v>
      </c>
      <c r="D1531" s="1243">
        <f t="shared" si="266"/>
        <v>6049390.4900000002</v>
      </c>
      <c r="E1531" s="1243">
        <f>+'INPUT - B Schedule PLANT'!BS37</f>
        <v>4375.3100000000004</v>
      </c>
      <c r="F1531" s="1243">
        <f>+'INPUT - B Schedule PLANT'!BT37</f>
        <v>-7787.51</v>
      </c>
      <c r="G1531" s="1243">
        <f t="shared" si="270"/>
        <v>6045978.29</v>
      </c>
      <c r="H1531" s="1243"/>
      <c r="I1531" s="1243">
        <f t="shared" si="267"/>
        <v>803036.39</v>
      </c>
      <c r="J1531" s="1245"/>
      <c r="K1531" s="1243">
        <v>18798.23</v>
      </c>
      <c r="L1531" s="1243">
        <v>0</v>
      </c>
      <c r="M1531" s="1243">
        <f t="shared" si="272"/>
        <v>-7787.51</v>
      </c>
      <c r="N1531" s="1243">
        <v>0</v>
      </c>
      <c r="O1531" s="1243">
        <f t="shared" si="269"/>
        <v>814047.11</v>
      </c>
    </row>
    <row r="1532" spans="1:15">
      <c r="A1532" s="361">
        <f t="shared" si="265"/>
        <v>33</v>
      </c>
      <c r="B1532" s="365">
        <v>387.2</v>
      </c>
      <c r="C1532" s="358" t="s">
        <v>404</v>
      </c>
      <c r="D1532" s="1243">
        <f t="shared" si="266"/>
        <v>0</v>
      </c>
      <c r="E1532" s="1243">
        <f>+'INPUT - B Schedule PLANT'!BS38</f>
        <v>0</v>
      </c>
      <c r="F1532" s="1243">
        <f>+'INPUT - B Schedule PLANT'!BT38</f>
        <v>0</v>
      </c>
      <c r="G1532" s="1243">
        <f t="shared" si="270"/>
        <v>0</v>
      </c>
      <c r="H1532" s="1243"/>
      <c r="I1532" s="1243">
        <f t="shared" si="267"/>
        <v>-59912.03</v>
      </c>
      <c r="J1532" s="1245"/>
      <c r="K1532" s="1243">
        <v>0</v>
      </c>
      <c r="L1532" s="1243">
        <v>0</v>
      </c>
      <c r="M1532" s="1243">
        <f t="shared" si="272"/>
        <v>0</v>
      </c>
      <c r="N1532" s="1243">
        <v>0</v>
      </c>
      <c r="O1532" s="1243">
        <f t="shared" si="269"/>
        <v>-59912.03</v>
      </c>
    </row>
    <row r="1533" spans="1:15">
      <c r="A1533" s="361">
        <f t="shared" si="265"/>
        <v>34</v>
      </c>
      <c r="B1533" s="365">
        <v>387.41</v>
      </c>
      <c r="C1533" s="358" t="s">
        <v>405</v>
      </c>
      <c r="D1533" s="1243">
        <f t="shared" si="266"/>
        <v>260538.46000000008</v>
      </c>
      <c r="E1533" s="1243">
        <f>+'INPUT - B Schedule PLANT'!BS39</f>
        <v>0</v>
      </c>
      <c r="F1533" s="1243">
        <f>+'INPUT - B Schedule PLANT'!BT39</f>
        <v>0</v>
      </c>
      <c r="G1533" s="1243">
        <f t="shared" si="270"/>
        <v>260538.46000000008</v>
      </c>
      <c r="H1533" s="1243"/>
      <c r="I1533" s="1243">
        <f t="shared" si="267"/>
        <v>61132.08000000006</v>
      </c>
      <c r="J1533" s="1245"/>
      <c r="K1533" s="1243">
        <v>670.89</v>
      </c>
      <c r="L1533" s="1243">
        <v>0</v>
      </c>
      <c r="M1533" s="1243">
        <f t="shared" si="272"/>
        <v>0</v>
      </c>
      <c r="N1533" s="1243">
        <v>0</v>
      </c>
      <c r="O1533" s="1243">
        <f t="shared" si="269"/>
        <v>61802.970000000059</v>
      </c>
    </row>
    <row r="1534" spans="1:15">
      <c r="A1534" s="361">
        <f t="shared" si="265"/>
        <v>35</v>
      </c>
      <c r="B1534" s="365">
        <v>387.42</v>
      </c>
      <c r="C1534" s="358" t="s">
        <v>406</v>
      </c>
      <c r="D1534" s="1243">
        <f t="shared" si="266"/>
        <v>419367.40000000008</v>
      </c>
      <c r="E1534" s="1243">
        <f>+'INPUT - B Schedule PLANT'!BS40</f>
        <v>0</v>
      </c>
      <c r="F1534" s="1243">
        <f>+'INPUT - B Schedule PLANT'!BT40</f>
        <v>0</v>
      </c>
      <c r="G1534" s="1243">
        <f t="shared" si="270"/>
        <v>419367.40000000008</v>
      </c>
      <c r="H1534" s="1243"/>
      <c r="I1534" s="1243">
        <f t="shared" si="267"/>
        <v>344531.51999999979</v>
      </c>
      <c r="J1534" s="1245"/>
      <c r="K1534" s="1243">
        <v>1132.29</v>
      </c>
      <c r="L1534" s="1243">
        <v>0</v>
      </c>
      <c r="M1534" s="1243">
        <f t="shared" si="272"/>
        <v>0</v>
      </c>
      <c r="N1534" s="1243">
        <v>0</v>
      </c>
      <c r="O1534" s="1243">
        <f t="shared" si="269"/>
        <v>345663.80999999976</v>
      </c>
    </row>
    <row r="1535" spans="1:15">
      <c r="A1535" s="361">
        <f t="shared" si="265"/>
        <v>36</v>
      </c>
      <c r="B1535" s="365">
        <v>387.44</v>
      </c>
      <c r="C1535" s="358" t="s">
        <v>407</v>
      </c>
      <c r="D1535" s="1243">
        <f t="shared" si="266"/>
        <v>124678.76000000001</v>
      </c>
      <c r="E1535" s="1243">
        <f>+'INPUT - B Schedule PLANT'!BS41</f>
        <v>0</v>
      </c>
      <c r="F1535" s="1243">
        <f>+'INPUT - B Schedule PLANT'!BT41</f>
        <v>0</v>
      </c>
      <c r="G1535" s="1243">
        <f t="shared" si="270"/>
        <v>124678.76000000001</v>
      </c>
      <c r="H1535" s="1243"/>
      <c r="I1535" s="1243">
        <f t="shared" si="267"/>
        <v>67742.760000000009</v>
      </c>
      <c r="J1535" s="1245"/>
      <c r="K1535" s="1243">
        <v>336.63</v>
      </c>
      <c r="L1535" s="1243">
        <v>0</v>
      </c>
      <c r="M1535" s="1243">
        <f t="shared" si="272"/>
        <v>0</v>
      </c>
      <c r="N1535" s="1243">
        <v>0</v>
      </c>
      <c r="O1535" s="1243">
        <f t="shared" si="269"/>
        <v>68079.390000000014</v>
      </c>
    </row>
    <row r="1536" spans="1:15">
      <c r="A1536" s="361">
        <f t="shared" si="265"/>
        <v>37</v>
      </c>
      <c r="B1536" s="365">
        <v>387.45</v>
      </c>
      <c r="C1536" s="358" t="s">
        <v>408</v>
      </c>
      <c r="D1536" s="1243">
        <f t="shared" si="266"/>
        <v>6008813.7200000007</v>
      </c>
      <c r="E1536" s="1243">
        <f>+'INPUT - B Schedule PLANT'!BS42</f>
        <v>54748.58</v>
      </c>
      <c r="F1536" s="1243">
        <f>+'INPUT - B Schedule PLANT'!BT42</f>
        <v>-1635.05</v>
      </c>
      <c r="G1536" s="1243">
        <f t="shared" si="270"/>
        <v>6061927.2500000009</v>
      </c>
      <c r="H1536" s="1243"/>
      <c r="I1536" s="1243">
        <f t="shared" si="267"/>
        <v>-597694.7699999999</v>
      </c>
      <c r="J1536" s="1245"/>
      <c r="K1536" s="1243">
        <v>16295.5</v>
      </c>
      <c r="L1536" s="1243">
        <v>0</v>
      </c>
      <c r="M1536" s="1243">
        <f t="shared" si="272"/>
        <v>-1635.05</v>
      </c>
      <c r="N1536" s="1243">
        <v>0</v>
      </c>
      <c r="O1536" s="1243">
        <f t="shared" si="269"/>
        <v>-583034.31999999995</v>
      </c>
    </row>
    <row r="1537" spans="1:16">
      <c r="A1537" s="361">
        <f t="shared" si="265"/>
        <v>38</v>
      </c>
      <c r="B1537" s="365">
        <v>387.46</v>
      </c>
      <c r="C1537" s="358" t="s">
        <v>409</v>
      </c>
      <c r="D1537" s="1243">
        <f t="shared" si="266"/>
        <v>113644.47</v>
      </c>
      <c r="E1537" s="1243">
        <f>+'INPUT - B Schedule PLANT'!BS43</f>
        <v>0</v>
      </c>
      <c r="F1537" s="1243">
        <f>+'INPUT - B Schedule PLANT'!BT43</f>
        <v>0</v>
      </c>
      <c r="G1537" s="1243">
        <f t="shared" si="270"/>
        <v>113644.47</v>
      </c>
      <c r="H1537" s="1243"/>
      <c r="I1537" s="1243">
        <f t="shared" si="267"/>
        <v>114497.07</v>
      </c>
      <c r="J1537" s="1245"/>
      <c r="K1537" s="1243">
        <v>0</v>
      </c>
      <c r="L1537" s="1243">
        <v>0</v>
      </c>
      <c r="M1537" s="1243">
        <f t="shared" si="272"/>
        <v>0</v>
      </c>
      <c r="N1537" s="1243">
        <v>0</v>
      </c>
      <c r="O1537" s="1243">
        <f t="shared" si="269"/>
        <v>114497.07</v>
      </c>
    </row>
    <row r="1538" spans="1:16">
      <c r="A1538" s="361">
        <f t="shared" si="265"/>
        <v>39</v>
      </c>
      <c r="B1538" s="365">
        <v>387.5</v>
      </c>
      <c r="C1538" s="358" t="s">
        <v>1075</v>
      </c>
      <c r="D1538" s="1244">
        <f t="shared" si="266"/>
        <v>238072.69</v>
      </c>
      <c r="E1538" s="1244">
        <f>+'INPUT - B Schedule PLANT'!BS44</f>
        <v>0</v>
      </c>
      <c r="F1538" s="1244">
        <f>+'INPUT - B Schedule PLANT'!BT44</f>
        <v>0</v>
      </c>
      <c r="G1538" s="1244">
        <f t="shared" si="270"/>
        <v>238072.69</v>
      </c>
      <c r="H1538" s="1243"/>
      <c r="I1538" s="1244">
        <f t="shared" si="267"/>
        <v>43295.430000000022</v>
      </c>
      <c r="J1538" s="1245"/>
      <c r="K1538" s="1244">
        <v>613.04</v>
      </c>
      <c r="L1538" s="1244">
        <v>0</v>
      </c>
      <c r="M1538" s="1244">
        <f t="shared" si="272"/>
        <v>0</v>
      </c>
      <c r="N1538" s="1244">
        <v>0</v>
      </c>
      <c r="O1538" s="1244">
        <f t="shared" si="269"/>
        <v>43908.470000000023</v>
      </c>
    </row>
    <row r="1539" spans="1:16">
      <c r="A1539" s="361">
        <f t="shared" si="265"/>
        <v>40</v>
      </c>
      <c r="C1539" s="365" t="s">
        <v>1601</v>
      </c>
      <c r="D1539" s="1243">
        <f>SUM(D1509:D1538)</f>
        <v>724667743.85942972</v>
      </c>
      <c r="E1539" s="1243">
        <f>SUM(E1509:E1538)</f>
        <v>1704840.76</v>
      </c>
      <c r="F1539" s="1243">
        <f>SUM(F1509:F1538)</f>
        <v>-77979.670000000042</v>
      </c>
      <c r="G1539" s="1243">
        <f>SUM(G1509:G1538)</f>
        <v>726294604.94942963</v>
      </c>
      <c r="H1539" s="1243"/>
      <c r="I1539" s="1243">
        <f>SUM(I1509:I1538)</f>
        <v>170684099.66802168</v>
      </c>
      <c r="J1539" s="1243"/>
      <c r="K1539" s="1243">
        <f>SUM(K1509:K1538)</f>
        <v>1503340.3469999996</v>
      </c>
      <c r="L1539" s="1243">
        <f>SUM(L1509:L1538)</f>
        <v>0</v>
      </c>
      <c r="M1539" s="1243">
        <f>SUM(M1509:M1538)</f>
        <v>-77979.670000000042</v>
      </c>
      <c r="N1539" s="1243">
        <f>SUM(N1509:N1538)</f>
        <v>-27511.050000000003</v>
      </c>
      <c r="O1539" s="1243">
        <f>SUM(O1509:O1538)</f>
        <v>172081949.29502168</v>
      </c>
    </row>
    <row r="1540" spans="1:16">
      <c r="B1540" s="367"/>
      <c r="C1540" s="368"/>
      <c r="D1540" s="369"/>
      <c r="E1540" s="369"/>
      <c r="F1540" s="369"/>
      <c r="G1540" s="369"/>
      <c r="I1540" s="369"/>
      <c r="J1540" s="369"/>
      <c r="K1540" s="369"/>
      <c r="L1540" s="369"/>
      <c r="M1540" s="369"/>
      <c r="N1540" s="369"/>
      <c r="O1540" s="369"/>
    </row>
    <row r="1541" spans="1:16">
      <c r="I1541" s="369"/>
      <c r="J1541" s="369"/>
      <c r="K1541" s="369"/>
      <c r="L1541" s="369"/>
      <c r="M1541" s="369"/>
      <c r="N1541" s="369"/>
      <c r="O1541" s="369"/>
    </row>
    <row r="1542" spans="1:16" s="291" customFormat="1">
      <c r="A1542" s="1308" t="str">
        <f>$A$1</f>
        <v>COLUMBIA GAS OF KENTUCKY, INC.</v>
      </c>
      <c r="B1542" s="1308"/>
      <c r="C1542" s="1308"/>
      <c r="D1542" s="1308"/>
      <c r="E1542" s="1308"/>
      <c r="F1542" s="1308"/>
      <c r="G1542" s="1308"/>
      <c r="H1542" s="1308"/>
      <c r="I1542" s="1308"/>
      <c r="J1542" s="1308"/>
      <c r="K1542" s="1308"/>
      <c r="L1542" s="1308"/>
      <c r="M1542" s="1308"/>
      <c r="N1542" s="1308"/>
      <c r="O1542" s="1308"/>
    </row>
    <row r="1543" spans="1:16" s="291" customFormat="1">
      <c r="A1543" s="1308" t="str">
        <f>$A$2</f>
        <v>CASE NO. 2024 - 00092</v>
      </c>
      <c r="B1543" s="1308"/>
      <c r="C1543" s="1308"/>
      <c r="D1543" s="1308"/>
      <c r="E1543" s="1308"/>
      <c r="F1543" s="1308"/>
      <c r="G1543" s="1308"/>
      <c r="H1543" s="1308"/>
      <c r="I1543" s="1308"/>
      <c r="J1543" s="1308"/>
      <c r="K1543" s="1308"/>
      <c r="L1543" s="1308"/>
      <c r="M1543" s="1308"/>
      <c r="N1543" s="1308"/>
      <c r="O1543" s="1308"/>
    </row>
    <row r="1544" spans="1:16" s="291" customFormat="1">
      <c r="A1544" s="1308" t="str">
        <f>$A$3</f>
        <v>DETAIL OF ACTUAL &amp; FORECASTED PLANT, ACCUMULATED RESERVE &amp; DEPRECIATION EXPENSE</v>
      </c>
      <c r="B1544" s="1308"/>
      <c r="C1544" s="1308"/>
      <c r="D1544" s="1308"/>
      <c r="E1544" s="1308"/>
      <c r="F1544" s="1308"/>
      <c r="G1544" s="1308"/>
      <c r="H1544" s="1308"/>
      <c r="I1544" s="1308"/>
      <c r="J1544" s="1308"/>
      <c r="K1544" s="1308"/>
      <c r="L1544" s="1308"/>
      <c r="M1544" s="1308"/>
      <c r="N1544" s="1308"/>
      <c r="O1544" s="1308"/>
      <c r="P1544" s="357"/>
    </row>
    <row r="1545" spans="1:16" s="291" customFormat="1">
      <c r="A1545" s="1308" t="str">
        <f>$A$4</f>
        <v>FROM JANUARY 01, 2023 THROUGH DECEMBER 31, 2025</v>
      </c>
      <c r="B1545" s="1308"/>
      <c r="C1545" s="1308"/>
      <c r="D1545" s="1308"/>
      <c r="E1545" s="1308"/>
      <c r="F1545" s="1308"/>
      <c r="G1545" s="1308"/>
      <c r="H1545" s="1308"/>
      <c r="I1545" s="1308"/>
      <c r="J1545" s="1308"/>
      <c r="K1545" s="1308"/>
      <c r="L1545" s="1308"/>
      <c r="M1545" s="1308"/>
      <c r="N1545" s="1308"/>
      <c r="O1545" s="1308"/>
    </row>
    <row r="1546" spans="1:16" s="291" customFormat="1">
      <c r="B1546" s="293"/>
      <c r="P1546" s="312"/>
    </row>
    <row r="1547" spans="1:16" s="291" customFormat="1">
      <c r="A1547" s="297" t="str">
        <f>$A$6</f>
        <v xml:space="preserve">DATA: _X_ BASE PERIOD _X_ FORECASTED PERIOD     </v>
      </c>
      <c r="B1547" s="293"/>
      <c r="O1547" s="312" t="str">
        <f>$O$6</f>
        <v>WPB-2.1.C</v>
      </c>
      <c r="P1547" s="312"/>
    </row>
    <row r="1548" spans="1:16" s="291" customFormat="1">
      <c r="A1548" s="297" t="str">
        <f>$A$7</f>
        <v>TYPE OF FILING:___X___ORIGINAL______UPDATED</v>
      </c>
      <c r="B1548" s="293"/>
      <c r="O1548" s="312" t="s">
        <v>2195</v>
      </c>
      <c r="P1548" s="312"/>
    </row>
    <row r="1549" spans="1:16" s="291" customFormat="1">
      <c r="A1549" s="297" t="str">
        <f>$A$8</f>
        <v>WORKPAPER REFERENCE NO(S).:</v>
      </c>
      <c r="B1549" s="293"/>
      <c r="O1549" s="312" t="str">
        <f>$O$8</f>
        <v>WITNESS: GORE</v>
      </c>
    </row>
    <row r="1550" spans="1:16">
      <c r="A1550" s="918"/>
      <c r="B1550" s="919"/>
      <c r="C1550" s="918"/>
      <c r="D1550" s="918"/>
      <c r="E1550" s="918"/>
      <c r="F1550" s="918"/>
      <c r="G1550" s="918"/>
      <c r="H1550" s="918"/>
      <c r="I1550" s="918"/>
      <c r="J1550" s="918"/>
      <c r="K1550" s="918"/>
      <c r="L1550" s="918"/>
      <c r="M1550" s="918"/>
      <c r="N1550" s="918"/>
      <c r="O1550" s="920"/>
    </row>
    <row r="1551" spans="1:16">
      <c r="D1551" s="1311" t="s">
        <v>1768</v>
      </c>
      <c r="E1551" s="1311"/>
      <c r="F1551" s="1311"/>
      <c r="G1551" s="1311"/>
      <c r="I1551" s="1311" t="s">
        <v>1769</v>
      </c>
      <c r="J1551" s="1311"/>
      <c r="K1551" s="1311"/>
      <c r="L1551" s="1311"/>
      <c r="M1551" s="1311"/>
      <c r="N1551" s="1311"/>
      <c r="O1551" s="1311"/>
    </row>
    <row r="1552" spans="1:16">
      <c r="D1552" s="360">
        <f>D1493</f>
        <v>45323</v>
      </c>
      <c r="G1552" s="360">
        <f>G1493</f>
        <v>45351</v>
      </c>
      <c r="I1552" s="360">
        <f>D1552</f>
        <v>45323</v>
      </c>
      <c r="O1552" s="360">
        <f>G1552</f>
        <v>45351</v>
      </c>
    </row>
    <row r="1553" spans="1:15">
      <c r="D1553" s="361" t="s">
        <v>1757</v>
      </c>
      <c r="G1553" s="361" t="s">
        <v>1757</v>
      </c>
      <c r="I1553" s="361" t="s">
        <v>1758</v>
      </c>
      <c r="J1553" s="361" t="s">
        <v>488</v>
      </c>
      <c r="L1553" s="361" t="s">
        <v>1758</v>
      </c>
      <c r="O1553" s="361" t="s">
        <v>1758</v>
      </c>
    </row>
    <row r="1554" spans="1:15">
      <c r="A1554" s="361" t="s">
        <v>1770</v>
      </c>
      <c r="B1554" s="361" t="s">
        <v>368</v>
      </c>
      <c r="C1554" s="361"/>
      <c r="D1554" s="361" t="s">
        <v>437</v>
      </c>
      <c r="G1554" s="361" t="s">
        <v>439</v>
      </c>
      <c r="I1554" s="361" t="s">
        <v>437</v>
      </c>
      <c r="J1554" s="361" t="s">
        <v>1771</v>
      </c>
      <c r="K1554" s="361" t="s">
        <v>1772</v>
      </c>
      <c r="L1554" s="361" t="s">
        <v>1759</v>
      </c>
      <c r="N1554" s="361" t="s">
        <v>1760</v>
      </c>
      <c r="O1554" s="361" t="s">
        <v>439</v>
      </c>
    </row>
    <row r="1555" spans="1:15">
      <c r="A1555" s="364" t="s">
        <v>316</v>
      </c>
      <c r="B1555" s="364" t="s">
        <v>316</v>
      </c>
      <c r="C1555" s="364" t="s">
        <v>451</v>
      </c>
      <c r="D1555" s="364" t="s">
        <v>441</v>
      </c>
      <c r="E1555" s="364" t="s">
        <v>442</v>
      </c>
      <c r="F1555" s="364" t="s">
        <v>443</v>
      </c>
      <c r="G1555" s="364" t="s">
        <v>441</v>
      </c>
      <c r="I1555" s="364" t="s">
        <v>441</v>
      </c>
      <c r="J1555" s="364" t="s">
        <v>1773</v>
      </c>
      <c r="K1555" s="364" t="s">
        <v>1771</v>
      </c>
      <c r="L1555" s="364" t="s">
        <v>355</v>
      </c>
      <c r="M1555" s="364" t="s">
        <v>443</v>
      </c>
      <c r="N1555" s="364" t="s">
        <v>1763</v>
      </c>
      <c r="O1555" s="364" t="s">
        <v>441</v>
      </c>
    </row>
    <row r="1556" spans="1:15">
      <c r="D1556" s="361" t="s">
        <v>532</v>
      </c>
      <c r="E1556" s="361" t="s">
        <v>541</v>
      </c>
      <c r="F1556" s="361" t="s">
        <v>542</v>
      </c>
      <c r="G1556" s="361" t="s">
        <v>1764</v>
      </c>
      <c r="I1556" s="334" t="str">
        <f>"(5)"</f>
        <v>(5)</v>
      </c>
      <c r="J1556" s="334" t="str">
        <f>"(6)"</f>
        <v>(6)</v>
      </c>
      <c r="K1556" s="334" t="str">
        <f>"(7)"</f>
        <v>(7)</v>
      </c>
      <c r="L1556" s="334" t="str">
        <f>"(8)"</f>
        <v>(8)</v>
      </c>
      <c r="M1556" s="334" t="str">
        <f>"(9)"</f>
        <v>(9)</v>
      </c>
      <c r="N1556" s="334" t="str">
        <f>"(10)"</f>
        <v>(10)</v>
      </c>
      <c r="O1556" s="334" t="str">
        <f>"(11=5+7+8+9+10)"</f>
        <v>(11=5+7+8+9+10)</v>
      </c>
    </row>
    <row r="1557" spans="1:15">
      <c r="D1557" s="361" t="s">
        <v>320</v>
      </c>
      <c r="E1557" s="361" t="s">
        <v>320</v>
      </c>
      <c r="F1557" s="361" t="s">
        <v>320</v>
      </c>
      <c r="G1557" s="361" t="s">
        <v>320</v>
      </c>
      <c r="I1557" s="334" t="s">
        <v>320</v>
      </c>
      <c r="J1557" s="334" t="s">
        <v>529</v>
      </c>
      <c r="K1557" s="334" t="s">
        <v>320</v>
      </c>
      <c r="L1557" s="334" t="s">
        <v>320</v>
      </c>
      <c r="M1557" s="334" t="s">
        <v>320</v>
      </c>
      <c r="N1557" s="334" t="s">
        <v>320</v>
      </c>
      <c r="O1557" s="334" t="s">
        <v>320</v>
      </c>
    </row>
    <row r="1558" spans="1:15">
      <c r="A1558" s="361">
        <v>1</v>
      </c>
      <c r="B1558" s="363" t="s">
        <v>411</v>
      </c>
      <c r="D1558" s="361"/>
      <c r="E1558" s="361"/>
      <c r="F1558" s="361"/>
      <c r="G1558" s="361"/>
      <c r="I1558" s="334"/>
      <c r="J1558" s="334"/>
      <c r="K1558" s="334"/>
      <c r="L1558" s="334"/>
      <c r="M1558" s="334"/>
      <c r="N1558" s="334"/>
      <c r="O1558" s="334"/>
    </row>
    <row r="1559" spans="1:15">
      <c r="A1559" s="361">
        <f>A1558+1</f>
        <v>2</v>
      </c>
      <c r="B1559" s="365">
        <v>391.1</v>
      </c>
      <c r="C1559" s="358" t="s">
        <v>412</v>
      </c>
      <c r="D1559" s="1243">
        <f t="shared" ref="D1559:D1572" si="273">G1445</f>
        <v>921741.33000000007</v>
      </c>
      <c r="E1559" s="1243">
        <f>+'INPUT - B Schedule PLANT'!BS46</f>
        <v>0</v>
      </c>
      <c r="F1559" s="1243">
        <f>+'INPUT - B Schedule PLANT'!BT46</f>
        <v>0</v>
      </c>
      <c r="G1559" s="1243">
        <f>SUM(D1559:F1559)</f>
        <v>921741.33000000007</v>
      </c>
      <c r="H1559" s="1243"/>
      <c r="I1559" s="1245">
        <f t="shared" ref="I1559:I1572" si="274">O1445</f>
        <v>118749.78000000001</v>
      </c>
      <c r="J1559" s="1245"/>
      <c r="K1559" s="1243">
        <v>3840.59</v>
      </c>
      <c r="L1559" s="1243">
        <v>0</v>
      </c>
      <c r="M1559" s="1243">
        <f t="shared" ref="M1559:M1572" si="275">F1559</f>
        <v>0</v>
      </c>
      <c r="N1559" s="1243">
        <v>0</v>
      </c>
      <c r="O1559" s="1243">
        <f t="shared" ref="O1559:O1572" si="276">I1559+K1559+L1559+M1559+N1559</f>
        <v>122590.37000000001</v>
      </c>
    </row>
    <row r="1560" spans="1:15">
      <c r="A1560" s="361">
        <f t="shared" ref="A1560:A1573" si="277">A1559+1</f>
        <v>3</v>
      </c>
      <c r="B1560" s="365">
        <v>391.11</v>
      </c>
      <c r="C1560" s="358" t="s">
        <v>413</v>
      </c>
      <c r="D1560" s="1243">
        <f t="shared" si="273"/>
        <v>0</v>
      </c>
      <c r="E1560" s="1243">
        <f>+'INPUT - B Schedule PLANT'!BS47</f>
        <v>0</v>
      </c>
      <c r="F1560" s="1243">
        <f>+'INPUT - B Schedule PLANT'!BT47</f>
        <v>0</v>
      </c>
      <c r="G1560" s="1243">
        <f t="shared" ref="G1560:G1567" si="278">SUM(D1560:F1560)</f>
        <v>0</v>
      </c>
      <c r="H1560" s="1243"/>
      <c r="I1560" s="1245">
        <f t="shared" si="274"/>
        <v>-18933.789999999997</v>
      </c>
      <c r="J1560" s="1245"/>
      <c r="K1560" s="1243">
        <v>0</v>
      </c>
      <c r="L1560" s="1243">
        <v>0</v>
      </c>
      <c r="M1560" s="1243">
        <f t="shared" si="275"/>
        <v>0</v>
      </c>
      <c r="N1560" s="1243">
        <v>0</v>
      </c>
      <c r="O1560" s="1243">
        <f t="shared" si="276"/>
        <v>-18933.789999999997</v>
      </c>
    </row>
    <row r="1561" spans="1:15">
      <c r="A1561" s="361">
        <f t="shared" si="277"/>
        <v>4</v>
      </c>
      <c r="B1561" s="365">
        <v>391.12</v>
      </c>
      <c r="C1561" s="358" t="s">
        <v>414</v>
      </c>
      <c r="D1561" s="1243">
        <f t="shared" si="273"/>
        <v>37129.580000000009</v>
      </c>
      <c r="E1561" s="1243">
        <f>+'INPUT - B Schedule PLANT'!BS48</f>
        <v>0</v>
      </c>
      <c r="F1561" s="1243">
        <f>+'INPUT - B Schedule PLANT'!BT48</f>
        <v>0</v>
      </c>
      <c r="G1561" s="1243">
        <f t="shared" si="278"/>
        <v>37129.580000000009</v>
      </c>
      <c r="H1561" s="1243"/>
      <c r="I1561" s="1245">
        <f t="shared" si="274"/>
        <v>-4664.8600000000006</v>
      </c>
      <c r="J1561" s="1245"/>
      <c r="K1561" s="1243">
        <v>618.83000000000004</v>
      </c>
      <c r="L1561" s="1243">
        <v>0</v>
      </c>
      <c r="M1561" s="1243">
        <f t="shared" si="275"/>
        <v>0</v>
      </c>
      <c r="N1561" s="1243">
        <v>0</v>
      </c>
      <c r="O1561" s="1243">
        <f t="shared" si="276"/>
        <v>-4046.0300000000007</v>
      </c>
    </row>
    <row r="1562" spans="1:15">
      <c r="A1562" s="361">
        <f t="shared" si="277"/>
        <v>5</v>
      </c>
      <c r="B1562" s="365">
        <v>392.2</v>
      </c>
      <c r="C1562" s="358" t="s">
        <v>524</v>
      </c>
      <c r="D1562" s="1243">
        <f t="shared" si="273"/>
        <v>48924.4</v>
      </c>
      <c r="E1562" s="1243">
        <f>+'INPUT - B Schedule PLANT'!BS49</f>
        <v>0</v>
      </c>
      <c r="F1562" s="1243">
        <f>+'INPUT - B Schedule PLANT'!BT49</f>
        <v>0</v>
      </c>
      <c r="G1562" s="1243">
        <f t="shared" si="278"/>
        <v>48924.4</v>
      </c>
      <c r="H1562" s="1243"/>
      <c r="I1562" s="1245">
        <f t="shared" si="274"/>
        <v>17180.669999999962</v>
      </c>
      <c r="J1562" s="1245"/>
      <c r="K1562" s="1243">
        <v>36.69</v>
      </c>
      <c r="L1562" s="1243">
        <v>0</v>
      </c>
      <c r="M1562" s="1243">
        <f t="shared" si="275"/>
        <v>0</v>
      </c>
      <c r="N1562" s="1243">
        <v>0</v>
      </c>
      <c r="O1562" s="1243">
        <f t="shared" si="276"/>
        <v>17217.359999999961</v>
      </c>
    </row>
    <row r="1563" spans="1:15">
      <c r="A1563" s="361">
        <f t="shared" si="277"/>
        <v>6</v>
      </c>
      <c r="B1563" s="365">
        <v>392.21</v>
      </c>
      <c r="C1563" s="358" t="s">
        <v>415</v>
      </c>
      <c r="D1563" s="1243">
        <f t="shared" si="273"/>
        <v>24462.2</v>
      </c>
      <c r="E1563" s="1243">
        <f>+'INPUT - B Schedule PLANT'!BS50</f>
        <v>0</v>
      </c>
      <c r="F1563" s="1243">
        <f>+'INPUT - B Schedule PLANT'!BT50</f>
        <v>0</v>
      </c>
      <c r="G1563" s="1243">
        <f t="shared" si="278"/>
        <v>24462.2</v>
      </c>
      <c r="H1563" s="1243"/>
      <c r="I1563" s="1245">
        <f t="shared" si="274"/>
        <v>44754.01</v>
      </c>
      <c r="J1563" s="1245"/>
      <c r="K1563" s="1243">
        <v>0</v>
      </c>
      <c r="L1563" s="1243">
        <v>0</v>
      </c>
      <c r="M1563" s="1243">
        <f t="shared" si="275"/>
        <v>0</v>
      </c>
      <c r="N1563" s="1243">
        <v>0</v>
      </c>
      <c r="O1563" s="1243">
        <f t="shared" si="276"/>
        <v>44754.01</v>
      </c>
    </row>
    <row r="1564" spans="1:15">
      <c r="A1564" s="361">
        <f t="shared" si="277"/>
        <v>7</v>
      </c>
      <c r="B1564" s="365">
        <v>393</v>
      </c>
      <c r="C1564" s="358" t="s">
        <v>416</v>
      </c>
      <c r="D1564" s="1243">
        <f t="shared" si="273"/>
        <v>0</v>
      </c>
      <c r="E1564" s="1243">
        <f>+'INPUT - B Schedule PLANT'!BS51</f>
        <v>0</v>
      </c>
      <c r="F1564" s="1243">
        <f>+'INPUT - B Schedule PLANT'!BT51</f>
        <v>0</v>
      </c>
      <c r="G1564" s="1243">
        <f t="shared" si="278"/>
        <v>0</v>
      </c>
      <c r="H1564" s="1243"/>
      <c r="I1564" s="1245">
        <f t="shared" si="274"/>
        <v>0</v>
      </c>
      <c r="J1564" s="1243" t="s">
        <v>646</v>
      </c>
      <c r="K1564" s="1243">
        <v>0</v>
      </c>
      <c r="L1564" s="1243">
        <v>0</v>
      </c>
      <c r="M1564" s="1243">
        <f t="shared" si="275"/>
        <v>0</v>
      </c>
      <c r="N1564" s="1243">
        <v>0</v>
      </c>
      <c r="O1564" s="1243">
        <f t="shared" si="276"/>
        <v>0</v>
      </c>
    </row>
    <row r="1565" spans="1:15">
      <c r="A1565" s="361">
        <f t="shared" si="277"/>
        <v>8</v>
      </c>
      <c r="B1565" s="365">
        <v>394.1</v>
      </c>
      <c r="C1565" s="358" t="s">
        <v>417</v>
      </c>
      <c r="D1565" s="1243">
        <f t="shared" si="273"/>
        <v>9739</v>
      </c>
      <c r="E1565" s="1243">
        <f>+'INPUT - B Schedule PLANT'!BS52</f>
        <v>0</v>
      </c>
      <c r="F1565" s="1243">
        <f>+'INPUT - B Schedule PLANT'!BT52</f>
        <v>0</v>
      </c>
      <c r="G1565" s="1243">
        <f t="shared" si="278"/>
        <v>9739</v>
      </c>
      <c r="H1565" s="1243"/>
      <c r="I1565" s="1245">
        <f t="shared" si="274"/>
        <v>4107.6100000000006</v>
      </c>
      <c r="J1565" s="1245"/>
      <c r="K1565" s="1243">
        <v>32.46</v>
      </c>
      <c r="L1565" s="1243">
        <v>0</v>
      </c>
      <c r="M1565" s="1243">
        <f t="shared" si="275"/>
        <v>0</v>
      </c>
      <c r="N1565" s="1243">
        <v>0</v>
      </c>
      <c r="O1565" s="1243">
        <f t="shared" si="276"/>
        <v>4140.0700000000006</v>
      </c>
    </row>
    <row r="1566" spans="1:15">
      <c r="A1566" s="361">
        <f t="shared" si="277"/>
        <v>9</v>
      </c>
      <c r="B1566" s="365">
        <v>394.11</v>
      </c>
      <c r="C1566" s="358" t="s">
        <v>418</v>
      </c>
      <c r="D1566" s="1243">
        <f t="shared" si="273"/>
        <v>0</v>
      </c>
      <c r="E1566" s="1243">
        <f>+'INPUT - B Schedule PLANT'!BS53</f>
        <v>0</v>
      </c>
      <c r="F1566" s="1243">
        <f>+'INPUT - B Schedule PLANT'!BT53</f>
        <v>0</v>
      </c>
      <c r="G1566" s="1243">
        <f t="shared" si="278"/>
        <v>0</v>
      </c>
      <c r="H1566" s="1243"/>
      <c r="I1566" s="1245">
        <f t="shared" si="274"/>
        <v>-26071.5</v>
      </c>
      <c r="J1566" s="1245"/>
      <c r="K1566" s="1243">
        <v>0</v>
      </c>
      <c r="L1566" s="1243">
        <v>0</v>
      </c>
      <c r="M1566" s="1243">
        <f t="shared" si="275"/>
        <v>0</v>
      </c>
      <c r="N1566" s="1243">
        <v>0</v>
      </c>
      <c r="O1566" s="1243">
        <f t="shared" si="276"/>
        <v>-26071.5</v>
      </c>
    </row>
    <row r="1567" spans="1:15">
      <c r="A1567" s="361">
        <f t="shared" si="277"/>
        <v>10</v>
      </c>
      <c r="B1567" s="365">
        <v>394.13</v>
      </c>
      <c r="C1567" s="358" t="s">
        <v>515</v>
      </c>
      <c r="D1567" s="1243">
        <f t="shared" si="273"/>
        <v>0</v>
      </c>
      <c r="E1567" s="1243">
        <f>+'INPUT - B Schedule PLANT'!BS54</f>
        <v>0</v>
      </c>
      <c r="F1567" s="1243">
        <f>+'INPUT - B Schedule PLANT'!BT54</f>
        <v>0</v>
      </c>
      <c r="G1567" s="1243">
        <f t="shared" si="278"/>
        <v>0</v>
      </c>
      <c r="H1567" s="1243"/>
      <c r="I1567" s="1245">
        <f t="shared" si="274"/>
        <v>37937.360000000001</v>
      </c>
      <c r="J1567" s="1243" t="s">
        <v>646</v>
      </c>
      <c r="K1567" s="1243">
        <v>0</v>
      </c>
      <c r="L1567" s="1243">
        <v>0</v>
      </c>
      <c r="M1567" s="1243">
        <f t="shared" si="275"/>
        <v>0</v>
      </c>
      <c r="N1567" s="1243">
        <v>0</v>
      </c>
      <c r="O1567" s="1243">
        <f t="shared" si="276"/>
        <v>37937.360000000001</v>
      </c>
    </row>
    <row r="1568" spans="1:15">
      <c r="A1568" s="361">
        <f t="shared" si="277"/>
        <v>11</v>
      </c>
      <c r="B1568" s="365">
        <v>394.2</v>
      </c>
      <c r="C1568" s="358" t="s">
        <v>420</v>
      </c>
      <c r="D1568" s="1243">
        <f t="shared" si="273"/>
        <v>0</v>
      </c>
      <c r="E1568" s="1243">
        <f>+'INPUT - B Schedule PLANT'!BS55</f>
        <v>0</v>
      </c>
      <c r="F1568" s="1243">
        <f>+'INPUT - B Schedule PLANT'!BT55</f>
        <v>0</v>
      </c>
      <c r="G1568" s="1243">
        <f>SUM(D1568:F1568)</f>
        <v>0</v>
      </c>
      <c r="H1568" s="1243"/>
      <c r="I1568" s="1245">
        <f t="shared" si="274"/>
        <v>185.21</v>
      </c>
      <c r="J1568" s="1245"/>
      <c r="K1568" s="1243">
        <v>0</v>
      </c>
      <c r="L1568" s="1243">
        <v>0</v>
      </c>
      <c r="M1568" s="1243">
        <f t="shared" si="275"/>
        <v>0</v>
      </c>
      <c r="N1568" s="1243">
        <v>0</v>
      </c>
      <c r="O1568" s="1243">
        <f t="shared" si="276"/>
        <v>185.21</v>
      </c>
    </row>
    <row r="1569" spans="1:15">
      <c r="A1569" s="361">
        <f t="shared" si="277"/>
        <v>12</v>
      </c>
      <c r="B1569" s="365">
        <v>394.3</v>
      </c>
      <c r="C1569" s="358" t="s">
        <v>1602</v>
      </c>
      <c r="D1569" s="1243">
        <f t="shared" si="273"/>
        <v>5156280.0599999996</v>
      </c>
      <c r="E1569" s="1243">
        <f>+'INPUT - B Schedule PLANT'!BS56</f>
        <v>25767.83</v>
      </c>
      <c r="F1569" s="1243">
        <f>+'INPUT - B Schedule PLANT'!BT56</f>
        <v>0</v>
      </c>
      <c r="G1569" s="1243">
        <f>SUM(D1569:F1569)</f>
        <v>5182047.8899999997</v>
      </c>
      <c r="H1569" s="1243"/>
      <c r="I1569" s="1245">
        <f t="shared" si="274"/>
        <v>1568796.8699999999</v>
      </c>
      <c r="J1569" s="1245"/>
      <c r="K1569" s="1243">
        <v>17230.55</v>
      </c>
      <c r="L1569" s="1243">
        <v>0</v>
      </c>
      <c r="M1569" s="1243">
        <f t="shared" si="275"/>
        <v>0</v>
      </c>
      <c r="N1569" s="1243">
        <v>0</v>
      </c>
      <c r="O1569" s="1243">
        <f t="shared" si="276"/>
        <v>1586027.42</v>
      </c>
    </row>
    <row r="1570" spans="1:15">
      <c r="A1570" s="361">
        <f t="shared" si="277"/>
        <v>13</v>
      </c>
      <c r="B1570" s="365">
        <v>395</v>
      </c>
      <c r="C1570" s="358" t="s">
        <v>422</v>
      </c>
      <c r="D1570" s="1243">
        <f t="shared" si="273"/>
        <v>0</v>
      </c>
      <c r="E1570" s="1243">
        <f>+'INPUT - B Schedule PLANT'!BS57</f>
        <v>0</v>
      </c>
      <c r="F1570" s="1243">
        <f>+'INPUT - B Schedule PLANT'!BT57</f>
        <v>0</v>
      </c>
      <c r="G1570" s="1243">
        <f>SUM(D1570:F1570)</f>
        <v>0</v>
      </c>
      <c r="H1570" s="1243"/>
      <c r="I1570" s="1245">
        <f t="shared" si="274"/>
        <v>-100.69999999999845</v>
      </c>
      <c r="J1570" s="1245"/>
      <c r="K1570" s="1243">
        <v>0</v>
      </c>
      <c r="L1570" s="1243">
        <v>0</v>
      </c>
      <c r="M1570" s="1243">
        <f t="shared" si="275"/>
        <v>0</v>
      </c>
      <c r="N1570" s="1243">
        <v>0</v>
      </c>
      <c r="O1570" s="1243">
        <f t="shared" si="276"/>
        <v>-100.69999999999845</v>
      </c>
    </row>
    <row r="1571" spans="1:15">
      <c r="A1571" s="361">
        <f t="shared" si="277"/>
        <v>14</v>
      </c>
      <c r="B1571" s="365">
        <v>396</v>
      </c>
      <c r="C1571" s="358" t="s">
        <v>423</v>
      </c>
      <c r="D1571" s="1243">
        <f t="shared" si="273"/>
        <v>185547</v>
      </c>
      <c r="E1571" s="1243">
        <f>+'INPUT - B Schedule PLANT'!BS58</f>
        <v>0</v>
      </c>
      <c r="F1571" s="1243">
        <f>+'INPUT - B Schedule PLANT'!BT58</f>
        <v>0</v>
      </c>
      <c r="G1571" s="1243">
        <f>SUM(D1571:F1571)</f>
        <v>185547</v>
      </c>
      <c r="H1571" s="1243"/>
      <c r="I1571" s="1245">
        <f t="shared" si="274"/>
        <v>171938.14</v>
      </c>
      <c r="J1571" s="1245"/>
      <c r="K1571" s="1243">
        <v>0</v>
      </c>
      <c r="L1571" s="1243">
        <v>0</v>
      </c>
      <c r="M1571" s="1243">
        <f t="shared" si="275"/>
        <v>0</v>
      </c>
      <c r="N1571" s="1243">
        <v>0</v>
      </c>
      <c r="O1571" s="1243">
        <f t="shared" si="276"/>
        <v>171938.14</v>
      </c>
    </row>
    <row r="1572" spans="1:15">
      <c r="A1572" s="361">
        <f t="shared" si="277"/>
        <v>15</v>
      </c>
      <c r="B1572" s="365">
        <v>398</v>
      </c>
      <c r="C1572" s="358" t="s">
        <v>424</v>
      </c>
      <c r="D1572" s="1244">
        <f t="shared" si="273"/>
        <v>148028.20000000001</v>
      </c>
      <c r="E1572" s="1244">
        <f>+'INPUT - B Schedule PLANT'!BS59</f>
        <v>0</v>
      </c>
      <c r="F1572" s="1244">
        <f>+'INPUT - B Schedule PLANT'!BT59</f>
        <v>0</v>
      </c>
      <c r="G1572" s="1244">
        <f>SUM(D1572:F1572)</f>
        <v>148028.20000000001</v>
      </c>
      <c r="H1572" s="1243"/>
      <c r="I1572" s="1246">
        <f t="shared" si="274"/>
        <v>70926.759999999951</v>
      </c>
      <c r="J1572" s="1245"/>
      <c r="K1572" s="1244">
        <v>822.79</v>
      </c>
      <c r="L1572" s="1244">
        <v>0</v>
      </c>
      <c r="M1572" s="1244">
        <f t="shared" si="275"/>
        <v>0</v>
      </c>
      <c r="N1572" s="1244">
        <v>0</v>
      </c>
      <c r="O1572" s="1244">
        <f t="shared" si="276"/>
        <v>71749.549999999945</v>
      </c>
    </row>
    <row r="1573" spans="1:15">
      <c r="A1573" s="361">
        <f t="shared" si="277"/>
        <v>16</v>
      </c>
      <c r="B1573" s="367"/>
      <c r="C1573" s="358" t="s">
        <v>425</v>
      </c>
      <c r="D1573" s="1243">
        <f>SUM(D1559:D1572)</f>
        <v>6531851.7699999996</v>
      </c>
      <c r="E1573" s="1243">
        <f>SUM(E1559:E1572)</f>
        <v>25767.83</v>
      </c>
      <c r="F1573" s="1243">
        <f>SUM(F1559:F1572)</f>
        <v>0</v>
      </c>
      <c r="G1573" s="1243">
        <f>SUM(G1559:G1572)</f>
        <v>6557619.5999999996</v>
      </c>
      <c r="H1573" s="1243"/>
      <c r="I1573" s="1243">
        <f>SUM(I1559:I1572)</f>
        <v>1984805.5599999998</v>
      </c>
      <c r="J1573" s="1243"/>
      <c r="K1573" s="1243">
        <f>SUM(K1559:K1572)</f>
        <v>22581.91</v>
      </c>
      <c r="L1573" s="1243">
        <f>SUM(L1559:L1572)</f>
        <v>0</v>
      </c>
      <c r="M1573" s="1243">
        <f>SUM(M1559:M1572)</f>
        <v>0</v>
      </c>
      <c r="N1573" s="1243">
        <f>SUM(N1559:N1572)</f>
        <v>0</v>
      </c>
      <c r="O1573" s="1243">
        <f>SUM(O1559:O1572)</f>
        <v>2007387.47</v>
      </c>
    </row>
    <row r="1574" spans="1:15">
      <c r="A1574" s="361"/>
      <c r="D1574" s="1243"/>
      <c r="E1574" s="1243"/>
      <c r="F1574" s="1243"/>
      <c r="G1574" s="1243"/>
      <c r="H1574" s="1243"/>
      <c r="I1574" s="1243"/>
      <c r="J1574" s="1243"/>
      <c r="K1574" s="1243"/>
      <c r="L1574" s="1243"/>
      <c r="M1574" s="1243"/>
      <c r="N1574" s="1243"/>
      <c r="O1574" s="1243"/>
    </row>
    <row r="1575" spans="1:15">
      <c r="A1575" s="361">
        <f>A1573+1</f>
        <v>17</v>
      </c>
      <c r="B1575" s="363" t="s">
        <v>1038</v>
      </c>
      <c r="D1575" s="1243"/>
      <c r="E1575" s="1243"/>
      <c r="F1575" s="1243"/>
      <c r="G1575" s="1243"/>
      <c r="H1575" s="1243"/>
      <c r="I1575" s="1243"/>
      <c r="J1575" s="1243"/>
      <c r="K1575" s="1243"/>
      <c r="L1575" s="1243"/>
      <c r="M1575" s="1243"/>
      <c r="N1575" s="1243"/>
      <c r="O1575" s="1243"/>
    </row>
    <row r="1576" spans="1:15">
      <c r="A1576" s="361">
        <f>A1575+1</f>
        <v>18</v>
      </c>
      <c r="B1576" s="365">
        <v>378.21</v>
      </c>
      <c r="C1576" s="358" t="s">
        <v>1037</v>
      </c>
      <c r="D1576" s="1244">
        <f>G1462</f>
        <v>-777092</v>
      </c>
      <c r="E1576" s="1244">
        <v>0</v>
      </c>
      <c r="F1576" s="1244">
        <v>0</v>
      </c>
      <c r="G1576" s="1244">
        <f>SUM(D1576:F1576)</f>
        <v>-777092</v>
      </c>
      <c r="H1576" s="1243"/>
      <c r="I1576" s="1244">
        <f>O1462</f>
        <v>-206514.51000000013</v>
      </c>
      <c r="J1576" s="1243" t="s">
        <v>646</v>
      </c>
      <c r="K1576" s="1244">
        <f>$K$1348</f>
        <v>-2144.17</v>
      </c>
      <c r="L1576" s="1244">
        <v>0</v>
      </c>
      <c r="M1576" s="1244">
        <f>F1576</f>
        <v>0</v>
      </c>
      <c r="N1576" s="1244">
        <v>0</v>
      </c>
      <c r="O1576" s="1244">
        <f>I1576+K1576+L1576+M1576+N1576</f>
        <v>-208658.68000000014</v>
      </c>
    </row>
    <row r="1577" spans="1:15">
      <c r="A1577" s="361">
        <f>A1576+1</f>
        <v>19</v>
      </c>
      <c r="B1577" s="370"/>
      <c r="C1577" s="358" t="s">
        <v>1579</v>
      </c>
      <c r="D1577" s="1243">
        <f>SUM(D1576)</f>
        <v>-777092</v>
      </c>
      <c r="E1577" s="1243">
        <f>SUM(E1576)</f>
        <v>0</v>
      </c>
      <c r="F1577" s="1243">
        <f>SUM(F1576)</f>
        <v>0</v>
      </c>
      <c r="G1577" s="1243">
        <f>SUM(G1576)</f>
        <v>-777092</v>
      </c>
      <c r="H1577" s="1243"/>
      <c r="I1577" s="1243">
        <f>SUM(I1576)</f>
        <v>-206514.51000000013</v>
      </c>
      <c r="J1577" s="1243"/>
      <c r="K1577" s="1243">
        <f>SUM(K1576)</f>
        <v>-2144.17</v>
      </c>
      <c r="L1577" s="1243">
        <f>SUM(L1576)</f>
        <v>0</v>
      </c>
      <c r="M1577" s="1243">
        <f>SUM(M1576)</f>
        <v>0</v>
      </c>
      <c r="N1577" s="1243">
        <f>SUM(N1576)</f>
        <v>0</v>
      </c>
      <c r="O1577" s="1243">
        <f>SUM(O1576)</f>
        <v>-208658.68000000014</v>
      </c>
    </row>
    <row r="1578" spans="1:15">
      <c r="A1578" s="361"/>
      <c r="B1578" s="370"/>
      <c r="D1578" s="1243"/>
      <c r="E1578" s="1243"/>
      <c r="F1578" s="1243"/>
      <c r="G1578" s="1243"/>
      <c r="H1578" s="1243"/>
      <c r="I1578" s="1243"/>
      <c r="J1578" s="1243"/>
      <c r="K1578" s="1243"/>
      <c r="L1578" s="1243"/>
      <c r="M1578" s="1243"/>
      <c r="N1578" s="1243"/>
      <c r="O1578" s="1243"/>
    </row>
    <row r="1579" spans="1:15">
      <c r="A1579" s="361">
        <f>A1577+1</f>
        <v>20</v>
      </c>
      <c r="B1579" s="370"/>
      <c r="C1579" s="358" t="s">
        <v>2037</v>
      </c>
      <c r="D1579" s="1243">
        <f>D1506+D1539+D1573+D1577</f>
        <v>745358117.59942973</v>
      </c>
      <c r="E1579" s="1243">
        <f>E1506+E1539+E1573+E1577</f>
        <v>1776434.53</v>
      </c>
      <c r="F1579" s="1243">
        <f>F1506+F1539+F1573+F1577</f>
        <v>-112161.44000000003</v>
      </c>
      <c r="G1579" s="1243">
        <f>G1506+G1539+G1573+G1577</f>
        <v>747022390.68942964</v>
      </c>
      <c r="H1579" s="1243"/>
      <c r="I1579" s="1243">
        <f>I1506+I1539+I1573+I1577</f>
        <v>180155105.22582725</v>
      </c>
      <c r="J1579" s="1243"/>
      <c r="K1579" s="1243">
        <f>K1506+K1539+K1573+K1577</f>
        <v>1766472.1648055555</v>
      </c>
      <c r="L1579" s="1243">
        <f>L1506+L1539+L1573+L1577</f>
        <v>0</v>
      </c>
      <c r="M1579" s="1243">
        <f>M1506+M1539+M1573+M1577</f>
        <v>-112161.44000000003</v>
      </c>
      <c r="N1579" s="1243">
        <f>N1506+N1539+N1573+N1577</f>
        <v>-27511.050000000003</v>
      </c>
      <c r="O1579" s="1243">
        <f>O1506+O1539+O1573+O1577</f>
        <v>181781904.9006328</v>
      </c>
    </row>
    <row r="1580" spans="1:15">
      <c r="A1580" s="361"/>
      <c r="B1580" s="370"/>
      <c r="D1580" s="1243"/>
      <c r="E1580" s="1243"/>
      <c r="F1580" s="1243"/>
      <c r="G1580" s="1243"/>
      <c r="H1580" s="1243"/>
      <c r="I1580" s="1243"/>
      <c r="J1580" s="1243"/>
      <c r="K1580" s="1243"/>
      <c r="L1580" s="1243"/>
      <c r="M1580" s="1243"/>
      <c r="N1580" s="1243"/>
      <c r="O1580" s="1243"/>
    </row>
    <row r="1581" spans="1:15">
      <c r="A1581" s="361">
        <f>A1579+1</f>
        <v>21</v>
      </c>
      <c r="B1581" s="370"/>
      <c r="C1581" s="358" t="s">
        <v>2038</v>
      </c>
      <c r="D1581" s="1243">
        <v>0</v>
      </c>
      <c r="E1581" s="1249">
        <v>0</v>
      </c>
      <c r="F1581" s="1249">
        <v>0</v>
      </c>
      <c r="G1581" s="1249">
        <f>SUM(D1581:F1581)</f>
        <v>0</v>
      </c>
      <c r="H1581" s="1243"/>
      <c r="I1581" s="1243">
        <f>O1467</f>
        <v>-6640025</v>
      </c>
      <c r="J1581" s="1243"/>
      <c r="K1581" s="1243"/>
      <c r="L1581" s="1243"/>
      <c r="M1581" s="1243"/>
      <c r="N1581" s="1243">
        <v>-47277.71</v>
      </c>
      <c r="O1581" s="1243">
        <f>I1581+K1581+L1581+M1581+N1581</f>
        <v>-6687302.71</v>
      </c>
    </row>
    <row r="1582" spans="1:15">
      <c r="A1582" s="361"/>
      <c r="B1582" s="370"/>
      <c r="C1582" s="368"/>
      <c r="D1582" s="1243"/>
      <c r="E1582" s="1243"/>
      <c r="F1582" s="1243"/>
      <c r="G1582" s="1243"/>
      <c r="H1582" s="1243"/>
      <c r="I1582" s="1243"/>
      <c r="J1582" s="1243"/>
      <c r="K1582" s="1243"/>
      <c r="L1582" s="1243"/>
      <c r="M1582" s="1243"/>
      <c r="N1582" s="1243"/>
      <c r="O1582" s="1243"/>
    </row>
    <row r="1583" spans="1:15">
      <c r="A1583" s="361">
        <f>A1581+1</f>
        <v>22</v>
      </c>
      <c r="C1583" s="358" t="s">
        <v>1603</v>
      </c>
      <c r="D1583" s="1247">
        <f>D1579+D1581</f>
        <v>745358117.59942973</v>
      </c>
      <c r="E1583" s="1247">
        <f t="shared" ref="E1583:O1583" si="279">E1579+E1581</f>
        <v>1776434.53</v>
      </c>
      <c r="F1583" s="1247">
        <f t="shared" si="279"/>
        <v>-112161.44000000003</v>
      </c>
      <c r="G1583" s="1247">
        <f t="shared" si="279"/>
        <v>747022390.68942964</v>
      </c>
      <c r="H1583" s="1243"/>
      <c r="I1583" s="1247">
        <f t="shared" si="279"/>
        <v>173515080.22582725</v>
      </c>
      <c r="J1583" s="1243"/>
      <c r="K1583" s="1247">
        <f t="shared" si="279"/>
        <v>1766472.1648055555</v>
      </c>
      <c r="L1583" s="1247">
        <f t="shared" si="279"/>
        <v>0</v>
      </c>
      <c r="M1583" s="1247">
        <f t="shared" si="279"/>
        <v>-112161.44000000003</v>
      </c>
      <c r="N1583" s="1247">
        <f t="shared" si="279"/>
        <v>-74788.760000000009</v>
      </c>
      <c r="O1583" s="1247">
        <f t="shared" si="279"/>
        <v>175094602.19063279</v>
      </c>
    </row>
    <row r="1584" spans="1:15">
      <c r="A1584" s="361"/>
      <c r="D1584" s="1243"/>
      <c r="E1584" s="1243"/>
      <c r="F1584" s="1243"/>
      <c r="G1584" s="1243"/>
      <c r="H1584" s="1243"/>
      <c r="I1584" s="1243"/>
      <c r="J1584" s="1243"/>
      <c r="K1584" s="1243"/>
      <c r="L1584" s="1243"/>
      <c r="M1584" s="1243"/>
      <c r="N1584" s="1243"/>
      <c r="O1584" s="1243"/>
    </row>
    <row r="1585" spans="1:16">
      <c r="A1585" s="361"/>
      <c r="D1585" s="1243"/>
      <c r="E1585" s="1243"/>
      <c r="F1585" s="1243"/>
      <c r="G1585" s="1243"/>
      <c r="H1585" s="1243"/>
      <c r="I1585" s="1243"/>
      <c r="J1585" s="1243"/>
      <c r="K1585" s="1243"/>
      <c r="L1585" s="1243"/>
      <c r="M1585" s="1243"/>
      <c r="N1585" s="1243"/>
      <c r="O1585" s="1243"/>
    </row>
    <row r="1586" spans="1:16">
      <c r="A1586" s="361">
        <f>A1583+1</f>
        <v>23</v>
      </c>
      <c r="B1586" s="363" t="s">
        <v>1774</v>
      </c>
      <c r="D1586" s="1243"/>
      <c r="E1586" s="1243"/>
      <c r="F1586" s="1243"/>
      <c r="G1586" s="1243"/>
      <c r="H1586" s="1243"/>
      <c r="I1586" s="1243"/>
      <c r="J1586" s="1243"/>
      <c r="K1586" s="1243"/>
      <c r="L1586" s="1243"/>
      <c r="M1586" s="1243"/>
      <c r="N1586" s="1243"/>
      <c r="O1586" s="1243"/>
    </row>
    <row r="1587" spans="1:16">
      <c r="A1587" s="361">
        <f t="shared" ref="A1587:A1592" si="280">A1586+1</f>
        <v>24</v>
      </c>
      <c r="B1587" s="365">
        <v>376</v>
      </c>
      <c r="C1587" s="358" t="s">
        <v>1775</v>
      </c>
      <c r="D1587" s="1243">
        <f>G1473</f>
        <v>31182006.359999999</v>
      </c>
      <c r="E1587" s="1243">
        <f>'WPB-2.1.D SMRP'!E616</f>
        <v>631073.57999999996</v>
      </c>
      <c r="F1587" s="1243">
        <f>'WPB-2.1.D SMRP'!F616</f>
        <v>-56908.2</v>
      </c>
      <c r="G1587" s="1243">
        <f>SUM(D1587:F1587)</f>
        <v>31756171.739999998</v>
      </c>
      <c r="H1587" s="1243"/>
      <c r="I1587" s="1243">
        <f>O1473</f>
        <v>-42988.025999999991</v>
      </c>
      <c r="J1587" s="340">
        <v>1.7399999999999999E-2</v>
      </c>
      <c r="K1587" s="1243">
        <f>'WPB-2.1.D SMRP'!K616</f>
        <v>45630.27</v>
      </c>
      <c r="L1587" s="1243">
        <v>0</v>
      </c>
      <c r="M1587" s="1243">
        <f>F1587</f>
        <v>-56908.2</v>
      </c>
      <c r="N1587" s="1243">
        <f>'WPB-2.1.D SMRP'!N616</f>
        <v>-5197.96</v>
      </c>
      <c r="O1587" s="1243">
        <f>I1587+K1587+L1587+M1587+N1587</f>
        <v>-59463.91599999999</v>
      </c>
    </row>
    <row r="1588" spans="1:16">
      <c r="A1588" s="361">
        <f t="shared" si="280"/>
        <v>25</v>
      </c>
      <c r="B1588" s="365">
        <v>378.2</v>
      </c>
      <c r="C1588" s="358" t="s">
        <v>1776</v>
      </c>
      <c r="D1588" s="1243">
        <f>G1474</f>
        <v>-390576.59000000008</v>
      </c>
      <c r="E1588" s="1243">
        <f>'WPB-2.1.D SMRP'!E617</f>
        <v>26957</v>
      </c>
      <c r="F1588" s="1243">
        <f>'WPB-2.1.D SMRP'!F617</f>
        <v>-10808.47</v>
      </c>
      <c r="G1588" s="1243">
        <f>SUM(D1588:F1588)</f>
        <v>-374428.06000000006</v>
      </c>
      <c r="H1588" s="1243"/>
      <c r="I1588" s="1243">
        <f>O1474</f>
        <v>-449447.72499999998</v>
      </c>
      <c r="J1588" s="340">
        <v>2.52E-2</v>
      </c>
      <c r="K1588" s="1243">
        <f>'WPB-2.1.D SMRP'!K617</f>
        <v>-803.04399999999998</v>
      </c>
      <c r="L1588" s="1243">
        <v>0</v>
      </c>
      <c r="M1588" s="1243">
        <f>F1588</f>
        <v>-10808.47</v>
      </c>
      <c r="N1588" s="1243">
        <f>'WPB-2.1.D SMRP'!N617</f>
        <v>0</v>
      </c>
      <c r="O1588" s="1243">
        <f>I1588+K1588+L1588+M1588+N1588</f>
        <v>-461059.23899999994</v>
      </c>
    </row>
    <row r="1589" spans="1:16">
      <c r="A1589" s="361">
        <f t="shared" si="280"/>
        <v>26</v>
      </c>
      <c r="B1589" s="365">
        <v>380</v>
      </c>
      <c r="C1589" s="358" t="s">
        <v>1777</v>
      </c>
      <c r="D1589" s="1243">
        <f>G1475</f>
        <v>10543454.860570366</v>
      </c>
      <c r="E1589" s="1243">
        <f>'WPB-2.1.D SMRP'!E618</f>
        <v>965406.04</v>
      </c>
      <c r="F1589" s="1243">
        <f>'WPB-2.1.D SMRP'!F618</f>
        <v>-142561.49</v>
      </c>
      <c r="G1589" s="1243">
        <f>SUM(D1589:F1589)</f>
        <v>11366299.410570366</v>
      </c>
      <c r="H1589" s="1243"/>
      <c r="I1589" s="1243">
        <f>O1475</f>
        <v>-4704787.4660216337</v>
      </c>
      <c r="J1589" s="340">
        <v>3.9800000000000002E-2</v>
      </c>
      <c r="K1589" s="1243">
        <f>'WPB-2.1.D SMRP'!K618</f>
        <v>36333.550999999999</v>
      </c>
      <c r="L1589" s="1243">
        <v>0</v>
      </c>
      <c r="M1589" s="1243">
        <f>F1589</f>
        <v>-142561.49</v>
      </c>
      <c r="N1589" s="1243">
        <f>'WPB-2.1.D SMRP'!N618</f>
        <v>-91122.1</v>
      </c>
      <c r="O1589" s="1243">
        <f>I1589+K1589+L1589+M1589+N1589</f>
        <v>-4902137.5050216336</v>
      </c>
    </row>
    <row r="1590" spans="1:16">
      <c r="A1590" s="361">
        <f t="shared" si="280"/>
        <v>27</v>
      </c>
      <c r="B1590" s="365">
        <v>382</v>
      </c>
      <c r="C1590" s="358" t="s">
        <v>1778</v>
      </c>
      <c r="D1590" s="1243">
        <f>G1476</f>
        <v>135150.63</v>
      </c>
      <c r="E1590" s="1243">
        <f>'WPB-2.1.D SMRP'!E619</f>
        <v>46199.51</v>
      </c>
      <c r="F1590" s="1243">
        <f>'WPB-2.1.D SMRP'!F619</f>
        <v>-2576.42</v>
      </c>
      <c r="G1590" s="1243">
        <f>SUM(D1590:F1590)</f>
        <v>178773.72</v>
      </c>
      <c r="H1590" s="1243"/>
      <c r="I1590" s="1243">
        <f>O1476</f>
        <v>-49888.476000000002</v>
      </c>
      <c r="J1590" s="340">
        <v>1.77E-2</v>
      </c>
      <c r="K1590" s="1243">
        <f>'WPB-2.1.D SMRP'!K619</f>
        <v>231.172</v>
      </c>
      <c r="L1590" s="1243">
        <v>0</v>
      </c>
      <c r="M1590" s="1243">
        <f>F1590</f>
        <v>-2576.42</v>
      </c>
      <c r="N1590" s="1243">
        <f>'WPB-2.1.D SMRP'!N619</f>
        <v>0</v>
      </c>
      <c r="O1590" s="1243">
        <f>I1590+K1590+L1590+M1590+N1590</f>
        <v>-52233.724000000002</v>
      </c>
    </row>
    <row r="1591" spans="1:16">
      <c r="A1591" s="361">
        <f t="shared" si="280"/>
        <v>28</v>
      </c>
      <c r="B1591" s="365">
        <v>383</v>
      </c>
      <c r="C1591" s="358" t="s">
        <v>1779</v>
      </c>
      <c r="D1591" s="1244">
        <f>G1477</f>
        <v>624.5400000000003</v>
      </c>
      <c r="E1591" s="1244">
        <f>'WPB-2.1.D SMRP'!E620</f>
        <v>16342.16</v>
      </c>
      <c r="F1591" s="1244">
        <f>'WPB-2.1.D SMRP'!F620</f>
        <v>-489.95</v>
      </c>
      <c r="G1591" s="1244">
        <f>SUM(D1591:F1591)</f>
        <v>16476.75</v>
      </c>
      <c r="H1591" s="1243"/>
      <c r="I1591" s="1244">
        <f>O1477</f>
        <v>-7197.585</v>
      </c>
      <c r="J1591" s="340">
        <v>1.9400000000000001E-2</v>
      </c>
      <c r="K1591" s="1244">
        <f>'WPB-2.1.D SMRP'!K620</f>
        <v>13.814</v>
      </c>
      <c r="L1591" s="1244">
        <v>0</v>
      </c>
      <c r="M1591" s="1244">
        <f>F1591</f>
        <v>-489.95</v>
      </c>
      <c r="N1591" s="1244">
        <f>'WPB-2.1.D SMRP'!N620</f>
        <v>0</v>
      </c>
      <c r="O1591" s="1244">
        <f>I1591+K1591+L1591+M1591+N1591</f>
        <v>-7673.7209999999995</v>
      </c>
    </row>
    <row r="1592" spans="1:16">
      <c r="A1592" s="361">
        <f t="shared" si="280"/>
        <v>29</v>
      </c>
      <c r="C1592" s="358" t="s">
        <v>1780</v>
      </c>
      <c r="D1592" s="1243">
        <f>SUM(D1587:D1591)</f>
        <v>41470659.800570369</v>
      </c>
      <c r="E1592" s="1243">
        <f>SUM(E1587:E1591)</f>
        <v>1685978.29</v>
      </c>
      <c r="F1592" s="1243">
        <f>SUM(F1587:F1591)</f>
        <v>-213344.53</v>
      </c>
      <c r="G1592" s="1243">
        <f>SUM(G1587:G1591)</f>
        <v>42943293.560570367</v>
      </c>
      <c r="H1592" s="1243"/>
      <c r="I1592" s="1243">
        <f>SUM(I1587:I1591)</f>
        <v>-5254309.2780216336</v>
      </c>
      <c r="J1592" s="1243"/>
      <c r="K1592" s="1243">
        <f>SUM(K1587:K1591)</f>
        <v>81405.763000000006</v>
      </c>
      <c r="L1592" s="1243">
        <f>SUM(L1587:L1591)</f>
        <v>0</v>
      </c>
      <c r="M1592" s="1243">
        <f>SUM(M1587:M1591)</f>
        <v>-213344.53</v>
      </c>
      <c r="N1592" s="1243">
        <f>SUM(N1587:N1591)</f>
        <v>-96320.060000000012</v>
      </c>
      <c r="O1592" s="1243">
        <f>SUM(O1587:O1591)</f>
        <v>-5482568.1050216341</v>
      </c>
    </row>
    <row r="1593" spans="1:16">
      <c r="A1593" s="361"/>
      <c r="D1593" s="1243"/>
      <c r="E1593" s="1243"/>
      <c r="F1593" s="1243"/>
      <c r="G1593" s="1243"/>
      <c r="H1593" s="1243"/>
      <c r="I1593" s="1243"/>
      <c r="J1593" s="1243"/>
      <c r="K1593" s="1243"/>
      <c r="L1593" s="1243"/>
      <c r="M1593" s="1243"/>
      <c r="N1593" s="1243"/>
      <c r="O1593" s="1243"/>
    </row>
    <row r="1594" spans="1:16" ht="13.5" thickBot="1">
      <c r="A1594" s="361">
        <f>A1592+1</f>
        <v>30</v>
      </c>
      <c r="C1594" s="358" t="s">
        <v>447</v>
      </c>
      <c r="D1594" s="1248">
        <f>D1583+D1592</f>
        <v>786828777.4000001</v>
      </c>
      <c r="E1594" s="1248">
        <f>E1583+E1592</f>
        <v>3462412.8200000003</v>
      </c>
      <c r="F1594" s="1248">
        <f>F1583+F1592</f>
        <v>-325505.97000000003</v>
      </c>
      <c r="G1594" s="1248">
        <f>G1583+G1592</f>
        <v>789965684.25</v>
      </c>
      <c r="H1594" s="1243"/>
      <c r="I1594" s="1248">
        <f>I1583+I1592</f>
        <v>168260770.94780561</v>
      </c>
      <c r="J1594" s="1243"/>
      <c r="K1594" s="1248">
        <f>K1583+K1592</f>
        <v>1847877.9278055555</v>
      </c>
      <c r="L1594" s="1248">
        <f>L1583+L1592</f>
        <v>0</v>
      </c>
      <c r="M1594" s="1248">
        <f>M1583+M1592</f>
        <v>-325505.97000000003</v>
      </c>
      <c r="N1594" s="1248">
        <f>N1583+N1592</f>
        <v>-171108.82</v>
      </c>
      <c r="O1594" s="1248">
        <f>O1583+O1592</f>
        <v>169612034.08561116</v>
      </c>
    </row>
    <row r="1595" spans="1:16" ht="13.5" thickTop="1"/>
    <row r="1597" spans="1:16" s="291" customFormat="1">
      <c r="A1597" s="1308" t="str">
        <f>$A$1</f>
        <v>COLUMBIA GAS OF KENTUCKY, INC.</v>
      </c>
      <c r="B1597" s="1308"/>
      <c r="C1597" s="1308"/>
      <c r="D1597" s="1308"/>
      <c r="E1597" s="1308"/>
      <c r="F1597" s="1308"/>
      <c r="G1597" s="1308"/>
      <c r="H1597" s="1308"/>
      <c r="I1597" s="1308"/>
      <c r="J1597" s="1308"/>
      <c r="K1597" s="1308"/>
      <c r="L1597" s="1308"/>
      <c r="M1597" s="1308"/>
      <c r="N1597" s="1308"/>
      <c r="O1597" s="1308"/>
    </row>
    <row r="1598" spans="1:16" s="291" customFormat="1">
      <c r="A1598" s="1308" t="str">
        <f>$A$2</f>
        <v>CASE NO. 2024 - 00092</v>
      </c>
      <c r="B1598" s="1308"/>
      <c r="C1598" s="1308"/>
      <c r="D1598" s="1308"/>
      <c r="E1598" s="1308"/>
      <c r="F1598" s="1308"/>
      <c r="G1598" s="1308"/>
      <c r="H1598" s="1308"/>
      <c r="I1598" s="1308"/>
      <c r="J1598" s="1308"/>
      <c r="K1598" s="1308"/>
      <c r="L1598" s="1308"/>
      <c r="M1598" s="1308"/>
      <c r="N1598" s="1308"/>
      <c r="O1598" s="1308"/>
    </row>
    <row r="1599" spans="1:16" s="291" customFormat="1">
      <c r="A1599" s="1308" t="str">
        <f>$A$3</f>
        <v>DETAIL OF ACTUAL &amp; FORECASTED PLANT, ACCUMULATED RESERVE &amp; DEPRECIATION EXPENSE</v>
      </c>
      <c r="B1599" s="1308"/>
      <c r="C1599" s="1308"/>
      <c r="D1599" s="1308"/>
      <c r="E1599" s="1308"/>
      <c r="F1599" s="1308"/>
      <c r="G1599" s="1308"/>
      <c r="H1599" s="1308"/>
      <c r="I1599" s="1308"/>
      <c r="J1599" s="1308"/>
      <c r="K1599" s="1308"/>
      <c r="L1599" s="1308"/>
      <c r="M1599" s="1308"/>
      <c r="N1599" s="1308"/>
      <c r="O1599" s="1308"/>
      <c r="P1599" s="357"/>
    </row>
    <row r="1600" spans="1:16" s="291" customFormat="1">
      <c r="A1600" s="1308" t="str">
        <f>$A$4</f>
        <v>FROM JANUARY 01, 2023 THROUGH DECEMBER 31, 2025</v>
      </c>
      <c r="B1600" s="1308"/>
      <c r="C1600" s="1308"/>
      <c r="D1600" s="1308"/>
      <c r="E1600" s="1308"/>
      <c r="F1600" s="1308"/>
      <c r="G1600" s="1308"/>
      <c r="H1600" s="1308"/>
      <c r="I1600" s="1308"/>
      <c r="J1600" s="1308"/>
      <c r="K1600" s="1308"/>
      <c r="L1600" s="1308"/>
      <c r="M1600" s="1308"/>
      <c r="N1600" s="1308"/>
      <c r="O1600" s="1308"/>
    </row>
    <row r="1601" spans="1:16" s="291" customFormat="1">
      <c r="B1601" s="293"/>
      <c r="P1601" s="312"/>
    </row>
    <row r="1602" spans="1:16" s="291" customFormat="1">
      <c r="A1602" s="297" t="str">
        <f>$A$6</f>
        <v xml:space="preserve">DATA: _X_ BASE PERIOD _X_ FORECASTED PERIOD     </v>
      </c>
      <c r="B1602" s="293"/>
      <c r="O1602" s="312" t="str">
        <f>$O$6</f>
        <v>WPB-2.1.C</v>
      </c>
      <c r="P1602" s="312"/>
    </row>
    <row r="1603" spans="1:16" s="291" customFormat="1">
      <c r="A1603" s="297" t="str">
        <f>$A$7</f>
        <v>TYPE OF FILING:___X___ORIGINAL______UPDATED</v>
      </c>
      <c r="B1603" s="293"/>
      <c r="O1603" s="312" t="s">
        <v>2194</v>
      </c>
      <c r="P1603" s="312"/>
    </row>
    <row r="1604" spans="1:16" s="291" customFormat="1">
      <c r="A1604" s="297" t="str">
        <f>$A$8</f>
        <v>WORKPAPER REFERENCE NO(S).:</v>
      </c>
      <c r="B1604" s="293"/>
      <c r="O1604" s="312" t="str">
        <f>$O$8</f>
        <v>WITNESS: GORE</v>
      </c>
    </row>
    <row r="1605" spans="1:16">
      <c r="A1605" s="918"/>
      <c r="B1605" s="919"/>
      <c r="C1605" s="918"/>
      <c r="D1605" s="918"/>
      <c r="E1605" s="918"/>
      <c r="F1605" s="918"/>
      <c r="G1605" s="918"/>
      <c r="H1605" s="918"/>
      <c r="I1605" s="918"/>
      <c r="J1605" s="918"/>
      <c r="K1605" s="918"/>
      <c r="L1605" s="918"/>
      <c r="M1605" s="918"/>
      <c r="N1605" s="918"/>
      <c r="O1605" s="920"/>
    </row>
    <row r="1606" spans="1:16">
      <c r="D1606" s="1311" t="s">
        <v>1768</v>
      </c>
      <c r="E1606" s="1311"/>
      <c r="F1606" s="1311"/>
      <c r="G1606" s="1311"/>
      <c r="I1606" s="1311" t="s">
        <v>1769</v>
      </c>
      <c r="J1606" s="1311"/>
      <c r="K1606" s="1311"/>
      <c r="L1606" s="1311"/>
      <c r="M1606" s="1311"/>
      <c r="N1606" s="1311"/>
      <c r="O1606" s="1311"/>
    </row>
    <row r="1607" spans="1:16">
      <c r="D1607" s="360">
        <f>G1552+1</f>
        <v>45352</v>
      </c>
      <c r="G1607" s="360">
        <f>D1607+30</f>
        <v>45382</v>
      </c>
      <c r="I1607" s="360">
        <f>D1607</f>
        <v>45352</v>
      </c>
      <c r="O1607" s="360">
        <f>G1607</f>
        <v>45382</v>
      </c>
    </row>
    <row r="1608" spans="1:16">
      <c r="D1608" s="361" t="s">
        <v>1757</v>
      </c>
      <c r="G1608" s="361" t="s">
        <v>1757</v>
      </c>
      <c r="I1608" s="361" t="s">
        <v>1758</v>
      </c>
      <c r="J1608" s="361" t="s">
        <v>488</v>
      </c>
      <c r="L1608" s="361" t="s">
        <v>1758</v>
      </c>
      <c r="O1608" s="361" t="s">
        <v>1758</v>
      </c>
    </row>
    <row r="1609" spans="1:16">
      <c r="A1609" s="361" t="s">
        <v>1770</v>
      </c>
      <c r="B1609" s="361" t="s">
        <v>368</v>
      </c>
      <c r="C1609" s="361"/>
      <c r="D1609" s="361" t="s">
        <v>437</v>
      </c>
      <c r="G1609" s="361" t="s">
        <v>439</v>
      </c>
      <c r="I1609" s="361" t="s">
        <v>437</v>
      </c>
      <c r="J1609" s="361" t="s">
        <v>1771</v>
      </c>
      <c r="K1609" s="361" t="s">
        <v>1772</v>
      </c>
      <c r="L1609" s="361" t="s">
        <v>1759</v>
      </c>
      <c r="N1609" s="361" t="s">
        <v>1760</v>
      </c>
      <c r="O1609" s="361" t="s">
        <v>439</v>
      </c>
    </row>
    <row r="1610" spans="1:16">
      <c r="A1610" s="364" t="s">
        <v>316</v>
      </c>
      <c r="B1610" s="364" t="s">
        <v>316</v>
      </c>
      <c r="C1610" s="364" t="s">
        <v>451</v>
      </c>
      <c r="D1610" s="364" t="s">
        <v>441</v>
      </c>
      <c r="E1610" s="364" t="s">
        <v>442</v>
      </c>
      <c r="F1610" s="364" t="s">
        <v>443</v>
      </c>
      <c r="G1610" s="364" t="s">
        <v>441</v>
      </c>
      <c r="I1610" s="364" t="s">
        <v>441</v>
      </c>
      <c r="J1610" s="364" t="s">
        <v>1773</v>
      </c>
      <c r="K1610" s="364" t="s">
        <v>1771</v>
      </c>
      <c r="L1610" s="364" t="s">
        <v>355</v>
      </c>
      <c r="M1610" s="364" t="s">
        <v>443</v>
      </c>
      <c r="N1610" s="364" t="s">
        <v>1763</v>
      </c>
      <c r="O1610" s="364" t="s">
        <v>441</v>
      </c>
    </row>
    <row r="1611" spans="1:16">
      <c r="D1611" s="361" t="s">
        <v>532</v>
      </c>
      <c r="E1611" s="361" t="s">
        <v>541</v>
      </c>
      <c r="F1611" s="361" t="s">
        <v>542</v>
      </c>
      <c r="G1611" s="361" t="s">
        <v>1764</v>
      </c>
      <c r="I1611" s="334" t="str">
        <f>"(5)"</f>
        <v>(5)</v>
      </c>
      <c r="J1611" s="334" t="str">
        <f>"(6)"</f>
        <v>(6)</v>
      </c>
      <c r="K1611" s="334" t="str">
        <f>"(7)=((1+4)/2*6/12))"</f>
        <v>(7)=((1+4)/2*6/12))</v>
      </c>
      <c r="L1611" s="334" t="str">
        <f>"(8)"</f>
        <v>(8)</v>
      </c>
      <c r="M1611" s="334" t="str">
        <f>"(9)"</f>
        <v>(9)</v>
      </c>
      <c r="N1611" s="334" t="str">
        <f>"(10)"</f>
        <v>(10)</v>
      </c>
      <c r="O1611" s="334" t="str">
        <f>"(11=5+7+8+9+10)"</f>
        <v>(11=5+7+8+9+10)</v>
      </c>
    </row>
    <row r="1612" spans="1:16">
      <c r="D1612" s="361" t="s">
        <v>320</v>
      </c>
      <c r="E1612" s="361" t="s">
        <v>320</v>
      </c>
      <c r="F1612" s="361" t="s">
        <v>320</v>
      </c>
      <c r="G1612" s="361" t="s">
        <v>320</v>
      </c>
      <c r="I1612" s="334" t="s">
        <v>320</v>
      </c>
      <c r="J1612" s="334" t="s">
        <v>529</v>
      </c>
      <c r="K1612" s="334" t="s">
        <v>320</v>
      </c>
      <c r="L1612" s="334" t="s">
        <v>320</v>
      </c>
      <c r="M1612" s="334" t="s">
        <v>320</v>
      </c>
      <c r="N1612" s="334" t="s">
        <v>320</v>
      </c>
      <c r="O1612" s="334" t="s">
        <v>320</v>
      </c>
    </row>
    <row r="1613" spans="1:16">
      <c r="A1613" s="361">
        <v>1</v>
      </c>
      <c r="B1613" s="362" t="s">
        <v>373</v>
      </c>
      <c r="D1613" s="361"/>
      <c r="E1613" s="361"/>
      <c r="F1613" s="361"/>
      <c r="G1613" s="361"/>
      <c r="I1613" s="334"/>
      <c r="J1613" s="334"/>
      <c r="K1613" s="374"/>
      <c r="L1613" s="374"/>
      <c r="M1613" s="374"/>
      <c r="N1613" s="374"/>
      <c r="O1613" s="374"/>
    </row>
    <row r="1614" spans="1:16">
      <c r="A1614" s="361">
        <f>A1613+1</f>
        <v>2</v>
      </c>
      <c r="B1614" s="365">
        <v>301</v>
      </c>
      <c r="C1614" s="358" t="s">
        <v>374</v>
      </c>
      <c r="D1614" s="1243">
        <f t="shared" ref="D1614:D1619" si="281">G1500</f>
        <v>521.20000000000005</v>
      </c>
      <c r="E1614" s="1243">
        <v>0</v>
      </c>
      <c r="F1614" s="1243">
        <v>0</v>
      </c>
      <c r="G1614" s="1243">
        <f t="shared" ref="G1614:G1619" si="282">SUM(D1614:F1614)</f>
        <v>521.20000000000005</v>
      </c>
      <c r="H1614" s="1243"/>
      <c r="I1614" s="1243">
        <f t="shared" ref="I1614:I1619" si="283">O1500</f>
        <v>0</v>
      </c>
      <c r="J1614" s="375" t="s">
        <v>646</v>
      </c>
      <c r="K1614" s="1243">
        <v>0</v>
      </c>
      <c r="L1614" s="1243">
        <v>0</v>
      </c>
      <c r="M1614" s="1243">
        <f t="shared" ref="M1614:M1619" si="284">F1614</f>
        <v>0</v>
      </c>
      <c r="N1614" s="1243">
        <v>0</v>
      </c>
      <c r="O1614" s="1243">
        <f t="shared" ref="O1614:O1619" si="285">I1614+K1614+L1614+M1614+N1614</f>
        <v>0</v>
      </c>
    </row>
    <row r="1615" spans="1:16">
      <c r="A1615" s="361">
        <f t="shared" ref="A1615:A1620" si="286">A1614+1</f>
        <v>3</v>
      </c>
      <c r="B1615" s="365">
        <v>303</v>
      </c>
      <c r="C1615" s="358" t="s">
        <v>375</v>
      </c>
      <c r="D1615" s="1243">
        <f t="shared" si="281"/>
        <v>96334.51</v>
      </c>
      <c r="E1615" s="1243">
        <v>0</v>
      </c>
      <c r="F1615" s="1243">
        <v>0</v>
      </c>
      <c r="G1615" s="1243">
        <f t="shared" si="282"/>
        <v>96334.51</v>
      </c>
      <c r="H1615" s="1243"/>
      <c r="I1615" s="1243">
        <f t="shared" si="283"/>
        <v>79397.56561111116</v>
      </c>
      <c r="J1615" s="375" t="s">
        <v>646</v>
      </c>
      <c r="K1615" s="1243">
        <f>+'WPB-2.1.E Intangibles'!G47</f>
        <v>267.59780555555557</v>
      </c>
      <c r="L1615" s="1243">
        <v>0</v>
      </c>
      <c r="M1615" s="1243">
        <f t="shared" si="284"/>
        <v>0</v>
      </c>
      <c r="N1615" s="1243">
        <v>0</v>
      </c>
      <c r="O1615" s="1243">
        <f t="shared" si="285"/>
        <v>79665.163416666721</v>
      </c>
    </row>
    <row r="1616" spans="1:16">
      <c r="A1616" s="361">
        <f t="shared" si="286"/>
        <v>4</v>
      </c>
      <c r="B1616" s="365">
        <v>303.10000000000002</v>
      </c>
      <c r="C1616" s="358" t="s">
        <v>376</v>
      </c>
      <c r="D1616" s="1243">
        <f t="shared" si="281"/>
        <v>943.27</v>
      </c>
      <c r="E1616" s="1243">
        <v>0</v>
      </c>
      <c r="F1616" s="1243">
        <v>0</v>
      </c>
      <c r="G1616" s="1243">
        <f t="shared" si="282"/>
        <v>943.27</v>
      </c>
      <c r="H1616" s="1243"/>
      <c r="I1616" s="1243">
        <f t="shared" si="283"/>
        <v>318.35000000000008</v>
      </c>
      <c r="J1616" s="375" t="s">
        <v>646</v>
      </c>
      <c r="K1616" s="1243">
        <v>0</v>
      </c>
      <c r="L1616" s="1243">
        <v>0</v>
      </c>
      <c r="M1616" s="1243">
        <f t="shared" si="284"/>
        <v>0</v>
      </c>
      <c r="N1616" s="1243">
        <v>0</v>
      </c>
      <c r="O1616" s="1243">
        <f t="shared" si="285"/>
        <v>318.35000000000008</v>
      </c>
    </row>
    <row r="1617" spans="1:15">
      <c r="A1617" s="361">
        <f t="shared" si="286"/>
        <v>5</v>
      </c>
      <c r="B1617" s="365">
        <v>303.2</v>
      </c>
      <c r="C1617" s="358" t="s">
        <v>377</v>
      </c>
      <c r="D1617" s="1243">
        <f t="shared" si="281"/>
        <v>0</v>
      </c>
      <c r="E1617" s="1243">
        <v>0</v>
      </c>
      <c r="F1617" s="1243">
        <v>0</v>
      </c>
      <c r="G1617" s="1243">
        <f t="shared" si="282"/>
        <v>0</v>
      </c>
      <c r="H1617" s="1243"/>
      <c r="I1617" s="1243">
        <f t="shared" si="283"/>
        <v>0</v>
      </c>
      <c r="J1617" s="375" t="s">
        <v>646</v>
      </c>
      <c r="K1617" s="1243">
        <v>0</v>
      </c>
      <c r="L1617" s="1243">
        <v>0</v>
      </c>
      <c r="M1617" s="1243">
        <f t="shared" si="284"/>
        <v>0</v>
      </c>
      <c r="N1617" s="1243">
        <v>0</v>
      </c>
      <c r="O1617" s="1243">
        <f t="shared" si="285"/>
        <v>0</v>
      </c>
    </row>
    <row r="1618" spans="1:15">
      <c r="A1618" s="361">
        <f t="shared" si="286"/>
        <v>6</v>
      </c>
      <c r="B1618" s="365">
        <v>303.3</v>
      </c>
      <c r="C1618" s="358" t="s">
        <v>378</v>
      </c>
      <c r="D1618" s="1243">
        <f t="shared" si="281"/>
        <v>12802440.210000003</v>
      </c>
      <c r="E1618" s="1243">
        <f>+'WPB-2.1.E Intangibles'!G17</f>
        <v>126243.23999999999</v>
      </c>
      <c r="F1618" s="1243">
        <f>-'WPB-2.1.E Intangibles'!G35</f>
        <v>-4260.66</v>
      </c>
      <c r="G1618" s="1243">
        <f t="shared" si="282"/>
        <v>12924422.790000003</v>
      </c>
      <c r="H1618" s="1243"/>
      <c r="I1618" s="1243">
        <f t="shared" si="283"/>
        <v>6811280.1700000027</v>
      </c>
      <c r="J1618" s="375" t="s">
        <v>646</v>
      </c>
      <c r="K1618" s="1243">
        <f>+'WPB-2.1.E Intangibles'!G48</f>
        <v>137859.56699999998</v>
      </c>
      <c r="L1618" s="1243">
        <v>0</v>
      </c>
      <c r="M1618" s="1243">
        <f t="shared" si="284"/>
        <v>-4260.66</v>
      </c>
      <c r="N1618" s="1243">
        <v>0</v>
      </c>
      <c r="O1618" s="1243">
        <f t="shared" si="285"/>
        <v>6944879.0770000024</v>
      </c>
    </row>
    <row r="1619" spans="1:15">
      <c r="A1619" s="361">
        <f t="shared" si="286"/>
        <v>7</v>
      </c>
      <c r="B1619" s="365">
        <v>303.99</v>
      </c>
      <c r="C1619" s="358" t="s">
        <v>1129</v>
      </c>
      <c r="D1619" s="1244">
        <f t="shared" si="281"/>
        <v>2047018.95</v>
      </c>
      <c r="E1619" s="1244">
        <f>+'WPB-2.1.E Intangibles'!G21</f>
        <v>10618.257945117266</v>
      </c>
      <c r="F1619" s="1244">
        <f>-'WPB-2.1.E Intangibles'!G36</f>
        <v>0</v>
      </c>
      <c r="G1619" s="1244">
        <f t="shared" si="282"/>
        <v>2057637.2079451173</v>
      </c>
      <c r="H1619" s="1243"/>
      <c r="I1619" s="1244">
        <f t="shared" si="283"/>
        <v>1010230.73</v>
      </c>
      <c r="J1619" s="375" t="s">
        <v>646</v>
      </c>
      <c r="K1619" s="1244">
        <f>+'WPB-2.1.E Intangibles'!G49</f>
        <v>34797.455499999996</v>
      </c>
      <c r="L1619" s="1244">
        <v>0</v>
      </c>
      <c r="M1619" s="1244">
        <f t="shared" si="284"/>
        <v>0</v>
      </c>
      <c r="N1619" s="1244">
        <v>0</v>
      </c>
      <c r="O1619" s="1244">
        <f t="shared" si="285"/>
        <v>1045028.1855</v>
      </c>
    </row>
    <row r="1620" spans="1:15">
      <c r="A1620" s="361">
        <f t="shared" si="286"/>
        <v>8</v>
      </c>
      <c r="B1620" s="367"/>
      <c r="C1620" s="358" t="s">
        <v>379</v>
      </c>
      <c r="D1620" s="1243">
        <f>SUM(D1614:D1619)</f>
        <v>14947258.140000002</v>
      </c>
      <c r="E1620" s="1243">
        <f>SUM(E1614:E1619)</f>
        <v>136861.49794511727</v>
      </c>
      <c r="F1620" s="1243">
        <f>SUM(F1614:F1619)</f>
        <v>-4260.66</v>
      </c>
      <c r="G1620" s="1243">
        <f>SUM(G1614:G1619)</f>
        <v>15079858.977945121</v>
      </c>
      <c r="H1620" s="1243"/>
      <c r="I1620" s="1243">
        <f>SUM(I1614:I1619)</f>
        <v>7901226.8156111147</v>
      </c>
      <c r="J1620" s="375"/>
      <c r="K1620" s="1243">
        <f>SUM(K1614:K1619)</f>
        <v>172924.62030555552</v>
      </c>
      <c r="L1620" s="1243">
        <f>SUM(L1614:L1619)</f>
        <v>0</v>
      </c>
      <c r="M1620" s="1243">
        <f>SUM(M1614:M1619)</f>
        <v>-4260.66</v>
      </c>
      <c r="N1620" s="1243">
        <f>SUM(N1614:N1619)</f>
        <v>0</v>
      </c>
      <c r="O1620" s="1243">
        <f>SUM(O1614:O1619)</f>
        <v>8069890.7759166686</v>
      </c>
    </row>
    <row r="1621" spans="1:15">
      <c r="A1621" s="361"/>
      <c r="B1621" s="367"/>
      <c r="C1621" s="368"/>
      <c r="D1621" s="1243"/>
      <c r="E1621" s="1243"/>
      <c r="F1621" s="1243"/>
      <c r="G1621" s="1243"/>
      <c r="H1621" s="1243"/>
      <c r="I1621" s="1243"/>
      <c r="J1621" s="375"/>
      <c r="K1621" s="1243"/>
      <c r="L1621" s="1243"/>
      <c r="M1621" s="1243"/>
      <c r="N1621" s="1243"/>
      <c r="O1621" s="1243"/>
    </row>
    <row r="1622" spans="1:15">
      <c r="A1622" s="361">
        <f>A1620+1</f>
        <v>9</v>
      </c>
      <c r="B1622" s="362" t="s">
        <v>1600</v>
      </c>
      <c r="C1622" s="368"/>
      <c r="D1622" s="1243"/>
      <c r="E1622" s="1243"/>
      <c r="F1622" s="1243"/>
      <c r="G1622" s="1243"/>
      <c r="H1622" s="1243"/>
      <c r="I1622" s="1243"/>
      <c r="J1622" s="375"/>
      <c r="K1622" s="1243"/>
      <c r="L1622" s="1243"/>
      <c r="M1622" s="1243"/>
      <c r="N1622" s="1243"/>
      <c r="O1622" s="1243"/>
    </row>
    <row r="1623" spans="1:15">
      <c r="A1623" s="361">
        <f t="shared" ref="A1623:A1653" si="287">A1622+1</f>
        <v>10</v>
      </c>
      <c r="B1623" s="365">
        <v>374.1</v>
      </c>
      <c r="C1623" s="358" t="s">
        <v>382</v>
      </c>
      <c r="D1623" s="1243">
        <f t="shared" ref="D1623:D1652" si="288">G1509</f>
        <v>205.4</v>
      </c>
      <c r="E1623" s="1243">
        <f>+'INPUT - B Schedule PLANT'!CE15</f>
        <v>0</v>
      </c>
      <c r="F1623" s="1243">
        <f>+'INPUT - B Schedule PLANT'!CF15</f>
        <v>0</v>
      </c>
      <c r="G1623" s="1243">
        <f>SUM(D1623:F1623)</f>
        <v>205.4</v>
      </c>
      <c r="H1623" s="1243"/>
      <c r="I1623" s="1243">
        <f t="shared" ref="I1623:I1652" si="289">O1509</f>
        <v>0</v>
      </c>
      <c r="J1623" s="375" t="s">
        <v>647</v>
      </c>
      <c r="K1623" s="1243">
        <v>0</v>
      </c>
      <c r="L1623" s="1243">
        <v>0</v>
      </c>
      <c r="M1623" s="1243">
        <f t="shared" ref="M1623:M1652" si="290">F1623</f>
        <v>0</v>
      </c>
      <c r="N1623" s="1243">
        <v>0</v>
      </c>
      <c r="O1623" s="1243">
        <f t="shared" ref="O1623:O1652" si="291">I1623+K1623+L1623+M1623+N1623</f>
        <v>0</v>
      </c>
    </row>
    <row r="1624" spans="1:15">
      <c r="A1624" s="361">
        <f t="shared" si="287"/>
        <v>11</v>
      </c>
      <c r="B1624" s="365">
        <v>374.2</v>
      </c>
      <c r="C1624" s="358" t="s">
        <v>383</v>
      </c>
      <c r="D1624" s="1243">
        <f t="shared" si="288"/>
        <v>876986.66</v>
      </c>
      <c r="E1624" s="1243">
        <f>+'INPUT - B Schedule PLANT'!CE16</f>
        <v>0</v>
      </c>
      <c r="F1624" s="1243">
        <f>+'INPUT - B Schedule PLANT'!CF16</f>
        <v>0</v>
      </c>
      <c r="G1624" s="1243">
        <f t="shared" ref="G1624:G1652" si="292">SUM(D1624:F1624)</f>
        <v>876986.66</v>
      </c>
      <c r="H1624" s="1243"/>
      <c r="I1624" s="1243">
        <f t="shared" si="289"/>
        <v>-522.25</v>
      </c>
      <c r="J1624" s="375" t="s">
        <v>647</v>
      </c>
      <c r="K1624" s="1243">
        <v>0</v>
      </c>
      <c r="L1624" s="1243">
        <v>0</v>
      </c>
      <c r="M1624" s="1243">
        <f t="shared" si="290"/>
        <v>0</v>
      </c>
      <c r="N1624" s="1243">
        <v>0</v>
      </c>
      <c r="O1624" s="1243">
        <f t="shared" si="291"/>
        <v>-522.25</v>
      </c>
    </row>
    <row r="1625" spans="1:15">
      <c r="A1625" s="361">
        <f t="shared" si="287"/>
        <v>12</v>
      </c>
      <c r="B1625" s="365">
        <v>374.4</v>
      </c>
      <c r="C1625" s="358" t="s">
        <v>384</v>
      </c>
      <c r="D1625" s="1243">
        <f t="shared" si="288"/>
        <v>2972581.25</v>
      </c>
      <c r="E1625" s="1243">
        <f>+'INPUT - B Schedule PLANT'!CE17</f>
        <v>4754.66</v>
      </c>
      <c r="F1625" s="1243">
        <f>+'INPUT - B Schedule PLANT'!CF17</f>
        <v>0</v>
      </c>
      <c r="G1625" s="1243">
        <f t="shared" si="292"/>
        <v>2977335.91</v>
      </c>
      <c r="H1625" s="1243"/>
      <c r="I1625" s="1243">
        <f t="shared" si="289"/>
        <v>375149.92000000004</v>
      </c>
      <c r="J1625" s="376">
        <v>1.2699999999999999E-2</v>
      </c>
      <c r="K1625" s="1243">
        <f t="shared" ref="K1625:K1652" si="293">ROUND((G1625+D1625)/2*J1625/12,0)</f>
        <v>3148</v>
      </c>
      <c r="L1625" s="1243">
        <v>0</v>
      </c>
      <c r="M1625" s="1243">
        <f t="shared" si="290"/>
        <v>0</v>
      </c>
      <c r="N1625" s="1243">
        <v>0</v>
      </c>
      <c r="O1625" s="1243">
        <f t="shared" si="291"/>
        <v>378297.92000000004</v>
      </c>
    </row>
    <row r="1626" spans="1:15">
      <c r="A1626" s="361">
        <f t="shared" si="287"/>
        <v>13</v>
      </c>
      <c r="B1626" s="365">
        <v>374.5</v>
      </c>
      <c r="C1626" s="358" t="s">
        <v>385</v>
      </c>
      <c r="D1626" s="1243">
        <f t="shared" si="288"/>
        <v>2666577.16</v>
      </c>
      <c r="E1626" s="1243">
        <f>+'INPUT - B Schedule PLANT'!CE18</f>
        <v>0</v>
      </c>
      <c r="F1626" s="1243">
        <f>+'INPUT - B Schedule PLANT'!CF18</f>
        <v>0</v>
      </c>
      <c r="G1626" s="1243">
        <f t="shared" si="292"/>
        <v>2666577.16</v>
      </c>
      <c r="H1626" s="1243"/>
      <c r="I1626" s="1243">
        <f t="shared" si="289"/>
        <v>1161188.1900000013</v>
      </c>
      <c r="J1626" s="376">
        <v>1.0999999999999999E-2</v>
      </c>
      <c r="K1626" s="1243">
        <f t="shared" si="293"/>
        <v>2444</v>
      </c>
      <c r="L1626" s="1243">
        <v>0</v>
      </c>
      <c r="M1626" s="1243">
        <f t="shared" si="290"/>
        <v>0</v>
      </c>
      <c r="N1626" s="1243">
        <v>0</v>
      </c>
      <c r="O1626" s="1243">
        <f t="shared" si="291"/>
        <v>1163632.1900000013</v>
      </c>
    </row>
    <row r="1627" spans="1:15">
      <c r="A1627" s="361">
        <f t="shared" si="287"/>
        <v>14</v>
      </c>
      <c r="B1627" s="365">
        <v>375.2</v>
      </c>
      <c r="C1627" s="358" t="s">
        <v>386</v>
      </c>
      <c r="D1627" s="1243">
        <f t="shared" si="288"/>
        <v>2124.98</v>
      </c>
      <c r="E1627" s="1243">
        <f>+'INPUT - B Schedule PLANT'!CE19</f>
        <v>0</v>
      </c>
      <c r="F1627" s="1243">
        <f>+'INPUT - B Schedule PLANT'!CF19</f>
        <v>0</v>
      </c>
      <c r="G1627" s="1243">
        <f t="shared" si="292"/>
        <v>2124.98</v>
      </c>
      <c r="H1627" s="1243"/>
      <c r="I1627" s="1243">
        <f t="shared" si="289"/>
        <v>2063.3000000000002</v>
      </c>
      <c r="J1627" s="376">
        <v>2.3199999999999998E-2</v>
      </c>
      <c r="K1627" s="1243">
        <f t="shared" si="293"/>
        <v>4</v>
      </c>
      <c r="L1627" s="1243">
        <v>0</v>
      </c>
      <c r="M1627" s="1243">
        <f t="shared" si="290"/>
        <v>0</v>
      </c>
      <c r="N1627" s="1243">
        <v>0</v>
      </c>
      <c r="O1627" s="1243">
        <f t="shared" si="291"/>
        <v>2067.3000000000002</v>
      </c>
    </row>
    <row r="1628" spans="1:15">
      <c r="A1628" s="361">
        <f t="shared" si="287"/>
        <v>15</v>
      </c>
      <c r="B1628" s="365">
        <v>375.3</v>
      </c>
      <c r="C1628" s="358" t="s">
        <v>387</v>
      </c>
      <c r="D1628" s="1243">
        <f t="shared" si="288"/>
        <v>0</v>
      </c>
      <c r="E1628" s="1243">
        <f>+'INPUT - B Schedule PLANT'!CE20</f>
        <v>0</v>
      </c>
      <c r="F1628" s="1243">
        <f>+'INPUT - B Schedule PLANT'!CF20</f>
        <v>0</v>
      </c>
      <c r="G1628" s="1243">
        <f t="shared" si="292"/>
        <v>0</v>
      </c>
      <c r="H1628" s="1243"/>
      <c r="I1628" s="1243">
        <f t="shared" si="289"/>
        <v>-77.66</v>
      </c>
      <c r="J1628" s="376">
        <v>2.3199999999999998E-2</v>
      </c>
      <c r="K1628" s="1243">
        <f t="shared" si="293"/>
        <v>0</v>
      </c>
      <c r="L1628" s="1243">
        <v>0</v>
      </c>
      <c r="M1628" s="1243">
        <f t="shared" si="290"/>
        <v>0</v>
      </c>
      <c r="N1628" s="1243">
        <v>0</v>
      </c>
      <c r="O1628" s="1243">
        <f t="shared" si="291"/>
        <v>-77.66</v>
      </c>
    </row>
    <row r="1629" spans="1:15">
      <c r="A1629" s="361">
        <f t="shared" si="287"/>
        <v>16</v>
      </c>
      <c r="B1629" s="365">
        <v>375.4</v>
      </c>
      <c r="C1629" s="358" t="s">
        <v>388</v>
      </c>
      <c r="D1629" s="1243">
        <f t="shared" si="288"/>
        <v>3073733.6499999994</v>
      </c>
      <c r="E1629" s="1243">
        <f>+'INPUT - B Schedule PLANT'!CE21</f>
        <v>16168.71</v>
      </c>
      <c r="F1629" s="1243">
        <f>+'INPUT - B Schedule PLANT'!CF21</f>
        <v>-8773.0999999999985</v>
      </c>
      <c r="G1629" s="1243">
        <f t="shared" si="292"/>
        <v>3081129.2599999993</v>
      </c>
      <c r="H1629" s="1243"/>
      <c r="I1629" s="1243">
        <f t="shared" si="289"/>
        <v>604258.34000000008</v>
      </c>
      <c r="J1629" s="376">
        <v>2.3199999999999998E-2</v>
      </c>
      <c r="K1629" s="1243">
        <f t="shared" si="293"/>
        <v>5950</v>
      </c>
      <c r="L1629" s="1243">
        <v>0</v>
      </c>
      <c r="M1629" s="1243">
        <f t="shared" si="290"/>
        <v>-8773.0999999999985</v>
      </c>
      <c r="N1629" s="1243">
        <v>-52871.78</v>
      </c>
      <c r="O1629" s="1243">
        <f t="shared" si="291"/>
        <v>548563.46000000008</v>
      </c>
    </row>
    <row r="1630" spans="1:15">
      <c r="A1630" s="361">
        <f t="shared" si="287"/>
        <v>17</v>
      </c>
      <c r="B1630" s="365">
        <v>375.6</v>
      </c>
      <c r="C1630" s="358" t="s">
        <v>389</v>
      </c>
      <c r="D1630" s="1243">
        <f t="shared" si="288"/>
        <v>0</v>
      </c>
      <c r="E1630" s="1243">
        <f>+'INPUT - B Schedule PLANT'!CE22</f>
        <v>0</v>
      </c>
      <c r="F1630" s="1243">
        <f>+'INPUT - B Schedule PLANT'!CF22</f>
        <v>0</v>
      </c>
      <c r="G1630" s="1243">
        <f t="shared" si="292"/>
        <v>0</v>
      </c>
      <c r="H1630" s="1243"/>
      <c r="I1630" s="1243">
        <f t="shared" si="289"/>
        <v>0.02</v>
      </c>
      <c r="J1630" s="376">
        <v>2.3199999999999998E-2</v>
      </c>
      <c r="K1630" s="1243">
        <f t="shared" si="293"/>
        <v>0</v>
      </c>
      <c r="L1630" s="1243">
        <v>0</v>
      </c>
      <c r="M1630" s="1243">
        <f t="shared" si="290"/>
        <v>0</v>
      </c>
      <c r="N1630" s="1243">
        <v>0</v>
      </c>
      <c r="O1630" s="1243">
        <f t="shared" si="291"/>
        <v>0.02</v>
      </c>
    </row>
    <row r="1631" spans="1:15">
      <c r="A1631" s="361">
        <f t="shared" si="287"/>
        <v>18</v>
      </c>
      <c r="B1631" s="365">
        <v>375.7</v>
      </c>
      <c r="C1631" s="358" t="s">
        <v>390</v>
      </c>
      <c r="D1631" s="1243">
        <f t="shared" si="288"/>
        <v>9573035.7200000007</v>
      </c>
      <c r="E1631" s="1243">
        <f>+'INPUT - B Schedule PLANT'!CE23</f>
        <v>14056.839999999998</v>
      </c>
      <c r="F1631" s="1243">
        <f>+'INPUT - B Schedule PLANT'!CF23</f>
        <v>0</v>
      </c>
      <c r="G1631" s="1243">
        <f t="shared" si="292"/>
        <v>9587092.5600000005</v>
      </c>
      <c r="H1631" s="1243"/>
      <c r="I1631" s="1243">
        <f t="shared" si="289"/>
        <v>4727824.3899999978</v>
      </c>
      <c r="J1631" s="376">
        <v>2.3199999999999998E-2</v>
      </c>
      <c r="K1631" s="1243">
        <f t="shared" si="293"/>
        <v>18521</v>
      </c>
      <c r="L1631" s="1243">
        <v>0</v>
      </c>
      <c r="M1631" s="1243">
        <f t="shared" si="290"/>
        <v>0</v>
      </c>
      <c r="N1631" s="1243">
        <v>-1.85</v>
      </c>
      <c r="O1631" s="1243">
        <f t="shared" si="291"/>
        <v>4746343.5399999982</v>
      </c>
    </row>
    <row r="1632" spans="1:15">
      <c r="A1632" s="361">
        <f t="shared" si="287"/>
        <v>19</v>
      </c>
      <c r="B1632" s="365">
        <v>375.71</v>
      </c>
      <c r="C1632" s="358" t="s">
        <v>391</v>
      </c>
      <c r="D1632" s="1243">
        <f t="shared" si="288"/>
        <v>880994.59</v>
      </c>
      <c r="E1632" s="1243">
        <f>+'INPUT - B Schedule PLANT'!CE24</f>
        <v>0</v>
      </c>
      <c r="F1632" s="1243">
        <f>+'INPUT - B Schedule PLANT'!CF24</f>
        <v>0</v>
      </c>
      <c r="G1632" s="1243">
        <f t="shared" si="292"/>
        <v>880994.59</v>
      </c>
      <c r="H1632" s="1243"/>
      <c r="I1632" s="1243">
        <f t="shared" si="289"/>
        <v>768450.20000000042</v>
      </c>
      <c r="J1632" s="376" t="s">
        <v>646</v>
      </c>
      <c r="K1632" s="1243">
        <f>$K$1290</f>
        <v>4743.54</v>
      </c>
      <c r="L1632" s="1243">
        <v>0</v>
      </c>
      <c r="M1632" s="1243">
        <f t="shared" si="290"/>
        <v>0</v>
      </c>
      <c r="N1632" s="1243">
        <v>0</v>
      </c>
      <c r="O1632" s="1243">
        <f t="shared" si="291"/>
        <v>773193.74000000046</v>
      </c>
    </row>
    <row r="1633" spans="1:15">
      <c r="A1633" s="361">
        <f t="shared" si="287"/>
        <v>20</v>
      </c>
      <c r="B1633" s="365">
        <v>375.8</v>
      </c>
      <c r="C1633" s="358" t="s">
        <v>392</v>
      </c>
      <c r="D1633" s="1243">
        <f t="shared" si="288"/>
        <v>132125.04</v>
      </c>
      <c r="E1633" s="1243">
        <f>+'INPUT - B Schedule PLANT'!CE25</f>
        <v>0</v>
      </c>
      <c r="F1633" s="1243">
        <f>+'INPUT - B Schedule PLANT'!CF25</f>
        <v>0</v>
      </c>
      <c r="G1633" s="1243">
        <f t="shared" si="292"/>
        <v>132125.04</v>
      </c>
      <c r="H1633" s="1243"/>
      <c r="I1633" s="1243">
        <f t="shared" si="289"/>
        <v>11998.43</v>
      </c>
      <c r="J1633" s="376">
        <v>2.3199999999999998E-2</v>
      </c>
      <c r="K1633" s="1243">
        <f t="shared" si="293"/>
        <v>255</v>
      </c>
      <c r="L1633" s="1243">
        <v>0</v>
      </c>
      <c r="M1633" s="1243">
        <f t="shared" si="290"/>
        <v>0</v>
      </c>
      <c r="N1633" s="1243">
        <v>0</v>
      </c>
      <c r="O1633" s="1243">
        <f t="shared" si="291"/>
        <v>12253.43</v>
      </c>
    </row>
    <row r="1634" spans="1:15">
      <c r="A1634" s="361">
        <f t="shared" si="287"/>
        <v>21</v>
      </c>
      <c r="B1634" s="365">
        <v>376</v>
      </c>
      <c r="C1634" s="358" t="s">
        <v>1621</v>
      </c>
      <c r="D1634" s="1243">
        <f t="shared" si="288"/>
        <v>412100528.3900001</v>
      </c>
      <c r="E1634" s="1243">
        <f>'WPB-2.1.D SMRP'!E671</f>
        <v>668732.16999999993</v>
      </c>
      <c r="F1634" s="1243">
        <f>'WPB-2.1.D SMRP'!F671</f>
        <v>-12173.216497394778</v>
      </c>
      <c r="G1634" s="1243">
        <f t="shared" si="292"/>
        <v>412757087.3435027</v>
      </c>
      <c r="H1634" s="1243"/>
      <c r="I1634" s="1243">
        <f t="shared" si="289"/>
        <v>80739116.856000051</v>
      </c>
      <c r="J1634" s="376">
        <v>1.7399999999999999E-2</v>
      </c>
      <c r="K1634" s="1243">
        <f>'WPB-2.1.D SMRP'!K671</f>
        <v>598022.20799999998</v>
      </c>
      <c r="L1634" s="1243">
        <f>'WPB-2.1.D SMRP'!L671</f>
        <v>0</v>
      </c>
      <c r="M1634" s="1243">
        <f>F1634</f>
        <v>-12173.216497394778</v>
      </c>
      <c r="N1634" s="1243">
        <v>-58656.609936391687</v>
      </c>
      <c r="O1634" s="1243">
        <f t="shared" si="291"/>
        <v>81266309.237566277</v>
      </c>
    </row>
    <row r="1635" spans="1:15">
      <c r="A1635" s="361">
        <f t="shared" si="287"/>
        <v>22</v>
      </c>
      <c r="B1635" s="365">
        <v>378.1</v>
      </c>
      <c r="C1635" s="358" t="s">
        <v>394</v>
      </c>
      <c r="D1635" s="1243">
        <f t="shared" si="288"/>
        <v>571288.02</v>
      </c>
      <c r="E1635" s="1243">
        <f>+'INPUT - B Schedule PLANT'!CE27</f>
        <v>0</v>
      </c>
      <c r="F1635" s="1243">
        <f>+'INPUT - B Schedule PLANT'!CF27</f>
        <v>-367095.33</v>
      </c>
      <c r="G1635" s="1243">
        <f t="shared" si="292"/>
        <v>204192.69</v>
      </c>
      <c r="H1635" s="1243"/>
      <c r="I1635" s="1243">
        <f t="shared" si="289"/>
        <v>413253.74999999994</v>
      </c>
      <c r="J1635" s="376">
        <v>2.52E-2</v>
      </c>
      <c r="K1635" s="1243">
        <f t="shared" si="293"/>
        <v>814</v>
      </c>
      <c r="L1635" s="1243">
        <v>0</v>
      </c>
      <c r="M1635" s="1243">
        <f t="shared" si="290"/>
        <v>-367095.33</v>
      </c>
      <c r="N1635" s="1243">
        <v>0</v>
      </c>
      <c r="O1635" s="1243">
        <f t="shared" si="291"/>
        <v>46972.419999999925</v>
      </c>
    </row>
    <row r="1636" spans="1:15">
      <c r="A1636" s="361">
        <f t="shared" si="287"/>
        <v>23</v>
      </c>
      <c r="B1636" s="365">
        <v>378.2</v>
      </c>
      <c r="C1636" s="358" t="s">
        <v>1622</v>
      </c>
      <c r="D1636" s="1243">
        <f t="shared" si="288"/>
        <v>25350573.110000003</v>
      </c>
      <c r="E1636" s="1243">
        <f>'WPB-2.1.D SMRP'!E675</f>
        <v>479747.57999999996</v>
      </c>
      <c r="F1636" s="1243">
        <f>'WPB-2.1.D SMRP'!F675</f>
        <v>2816.5799999999981</v>
      </c>
      <c r="G1636" s="1243">
        <f t="shared" si="292"/>
        <v>25833137.27</v>
      </c>
      <c r="H1636" s="1243"/>
      <c r="I1636" s="1243">
        <f t="shared" si="289"/>
        <v>3493827.0789999999</v>
      </c>
      <c r="J1636" s="376">
        <v>2.52E-2</v>
      </c>
      <c r="K1636" s="1243">
        <f>'WPB-2.1.D SMRP'!K675</f>
        <v>53742.428999999996</v>
      </c>
      <c r="L1636" s="1243">
        <f>'WPB-2.1.D SMRP'!L675</f>
        <v>0</v>
      </c>
      <c r="M1636" s="1243">
        <f>F1636</f>
        <v>2816.5799999999981</v>
      </c>
      <c r="N1636" s="1243">
        <v>-79199.240000000005</v>
      </c>
      <c r="O1636" s="1243">
        <f t="shared" si="291"/>
        <v>3471186.8479999998</v>
      </c>
    </row>
    <row r="1637" spans="1:15">
      <c r="A1637" s="361">
        <f t="shared" si="287"/>
        <v>24</v>
      </c>
      <c r="B1637" s="365">
        <v>378.3</v>
      </c>
      <c r="C1637" s="358" t="s">
        <v>396</v>
      </c>
      <c r="D1637" s="1243">
        <f t="shared" si="288"/>
        <v>45443.08</v>
      </c>
      <c r="E1637" s="1243">
        <f>+'INPUT - B Schedule PLANT'!CE29</f>
        <v>0</v>
      </c>
      <c r="F1637" s="1243">
        <f>+'INPUT - B Schedule PLANT'!CF29</f>
        <v>0</v>
      </c>
      <c r="G1637" s="1243">
        <f t="shared" si="292"/>
        <v>45443.08</v>
      </c>
      <c r="H1637" s="1243"/>
      <c r="I1637" s="1243">
        <f t="shared" si="289"/>
        <v>43358.320000000007</v>
      </c>
      <c r="J1637" s="376">
        <v>2.52E-2</v>
      </c>
      <c r="K1637" s="1243">
        <f t="shared" si="293"/>
        <v>95</v>
      </c>
      <c r="L1637" s="1243">
        <v>0</v>
      </c>
      <c r="M1637" s="1243">
        <f t="shared" si="290"/>
        <v>0</v>
      </c>
      <c r="N1637" s="1243">
        <v>0</v>
      </c>
      <c r="O1637" s="1243">
        <f t="shared" si="291"/>
        <v>43453.320000000007</v>
      </c>
    </row>
    <row r="1638" spans="1:15">
      <c r="A1638" s="361">
        <f t="shared" si="287"/>
        <v>25</v>
      </c>
      <c r="B1638" s="365">
        <v>379.1</v>
      </c>
      <c r="C1638" s="358" t="s">
        <v>397</v>
      </c>
      <c r="D1638" s="1243">
        <f t="shared" si="288"/>
        <v>1554144.06</v>
      </c>
      <c r="E1638" s="1243">
        <f>+'INPUT - B Schedule PLANT'!CE30</f>
        <v>0</v>
      </c>
      <c r="F1638" s="1243">
        <f>+'INPUT - B Schedule PLANT'!CF30</f>
        <v>0</v>
      </c>
      <c r="G1638" s="1243">
        <f t="shared" si="292"/>
        <v>1554144.06</v>
      </c>
      <c r="H1638" s="1243"/>
      <c r="I1638" s="1243">
        <f t="shared" si="289"/>
        <v>357653.19000000006</v>
      </c>
      <c r="J1638" s="376">
        <v>2.4199999999999999E-2</v>
      </c>
      <c r="K1638" s="1243">
        <f t="shared" si="293"/>
        <v>3134</v>
      </c>
      <c r="L1638" s="1243">
        <v>0</v>
      </c>
      <c r="M1638" s="1243">
        <f t="shared" si="290"/>
        <v>0</v>
      </c>
      <c r="N1638" s="1243">
        <v>0</v>
      </c>
      <c r="O1638" s="1243">
        <f t="shared" si="291"/>
        <v>360787.19000000006</v>
      </c>
    </row>
    <row r="1639" spans="1:15">
      <c r="A1639" s="361">
        <f t="shared" si="287"/>
        <v>26</v>
      </c>
      <c r="B1639" s="365">
        <v>380</v>
      </c>
      <c r="C1639" s="358" t="s">
        <v>1623</v>
      </c>
      <c r="D1639" s="1243">
        <f t="shared" si="288"/>
        <v>203685829.21942961</v>
      </c>
      <c r="E1639" s="1243">
        <f>'WPB-2.1.D SMRP'!E679</f>
        <v>83633.600000000093</v>
      </c>
      <c r="F1639" s="1243">
        <f>'WPB-2.1.D SMRP'!F679</f>
        <v>-86292.410000000033</v>
      </c>
      <c r="G1639" s="1243">
        <f t="shared" si="292"/>
        <v>203683170.40942961</v>
      </c>
      <c r="H1639" s="1243"/>
      <c r="I1639" s="1243">
        <f t="shared" si="289"/>
        <v>60484062.225021638</v>
      </c>
      <c r="J1639" s="376">
        <v>3.9800000000000002E-2</v>
      </c>
      <c r="K1639" s="1243">
        <f>'WPB-2.1.D SMRP'!K679</f>
        <v>675554.17</v>
      </c>
      <c r="L1639" s="1243">
        <f>'WPB-2.1.D SMRP'!L679</f>
        <v>0</v>
      </c>
      <c r="M1639" s="1243">
        <f>F1639</f>
        <v>-86292.410000000033</v>
      </c>
      <c r="N1639" s="1243">
        <v>36267.630000000005</v>
      </c>
      <c r="O1639" s="1243">
        <f t="shared" si="291"/>
        <v>61109591.615021646</v>
      </c>
    </row>
    <row r="1640" spans="1:15">
      <c r="A1640" s="361">
        <f t="shared" si="287"/>
        <v>27</v>
      </c>
      <c r="B1640" s="365">
        <v>381</v>
      </c>
      <c r="C1640" s="358" t="s">
        <v>399</v>
      </c>
      <c r="D1640" s="1243">
        <f t="shared" si="288"/>
        <v>19506245.870000001</v>
      </c>
      <c r="E1640" s="1243">
        <f>+'INPUT - B Schedule PLANT'!CE32</f>
        <v>292651.41000000003</v>
      </c>
      <c r="F1640" s="1243">
        <f>+'INPUT - B Schedule PLANT'!CF32</f>
        <v>-25879.520000000004</v>
      </c>
      <c r="G1640" s="1243">
        <f t="shared" si="292"/>
        <v>19773017.760000002</v>
      </c>
      <c r="H1640" s="1243"/>
      <c r="I1640" s="1243">
        <f t="shared" si="289"/>
        <v>2493981.7499999995</v>
      </c>
      <c r="J1640" s="376">
        <v>2.6499999999999999E-2</v>
      </c>
      <c r="K1640" s="1243">
        <f t="shared" si="293"/>
        <v>43371</v>
      </c>
      <c r="L1640" s="1243">
        <v>0</v>
      </c>
      <c r="M1640" s="1243">
        <f t="shared" si="290"/>
        <v>-25879.520000000004</v>
      </c>
      <c r="N1640" s="1243">
        <v>0</v>
      </c>
      <c r="O1640" s="1243">
        <f t="shared" si="291"/>
        <v>2511473.2299999995</v>
      </c>
    </row>
    <row r="1641" spans="1:15">
      <c r="A1641" s="361">
        <f t="shared" si="287"/>
        <v>28</v>
      </c>
      <c r="B1641" s="365">
        <v>381.1</v>
      </c>
      <c r="C1641" s="358" t="s">
        <v>2366</v>
      </c>
      <c r="D1641" s="1243">
        <f t="shared" si="288"/>
        <v>9980854.4800000004</v>
      </c>
      <c r="E1641" s="1243">
        <f>+'INPUT - B Schedule PLANT'!CE33</f>
        <v>0</v>
      </c>
      <c r="F1641" s="1243">
        <f>+'INPUT - B Schedule PLANT'!CF33</f>
        <v>0</v>
      </c>
      <c r="G1641" s="1243">
        <f t="shared" si="292"/>
        <v>9980854.4800000004</v>
      </c>
      <c r="H1641" s="1243"/>
      <c r="I1641" s="1243">
        <f t="shared" si="289"/>
        <v>5485527.0300000031</v>
      </c>
      <c r="J1641" s="376">
        <v>7.4800000000000005E-2</v>
      </c>
      <c r="K1641" s="1243">
        <f t="shared" si="293"/>
        <v>62214</v>
      </c>
      <c r="L1641" s="1243">
        <v>0</v>
      </c>
      <c r="M1641" s="1243">
        <f t="shared" si="290"/>
        <v>0</v>
      </c>
      <c r="N1641" s="1243">
        <v>0</v>
      </c>
      <c r="O1641" s="1243">
        <f t="shared" si="291"/>
        <v>5547741.0300000031</v>
      </c>
    </row>
    <row r="1642" spans="1:15">
      <c r="A1642" s="361">
        <f t="shared" si="287"/>
        <v>29</v>
      </c>
      <c r="B1642" s="365">
        <v>382</v>
      </c>
      <c r="C1642" s="358" t="s">
        <v>1624</v>
      </c>
      <c r="D1642" s="1243">
        <f t="shared" si="288"/>
        <v>10584867.059999999</v>
      </c>
      <c r="E1642" s="1243">
        <f>'WPB-2.1.D SMRP'!E683</f>
        <v>5059.4900000000007</v>
      </c>
      <c r="F1642" s="1243">
        <f>'WPB-2.1.D SMRP'!F683</f>
        <v>44.25283505747575</v>
      </c>
      <c r="G1642" s="1243">
        <f t="shared" si="292"/>
        <v>10589970.802835057</v>
      </c>
      <c r="H1642" s="1243"/>
      <c r="I1642" s="1243">
        <f t="shared" si="289"/>
        <v>5873758.574000001</v>
      </c>
      <c r="J1642" s="376">
        <v>1.77E-2</v>
      </c>
      <c r="K1642" s="1243">
        <f>'WPB-2.1.D SMRP'!K683</f>
        <v>15616.241</v>
      </c>
      <c r="L1642" s="1243">
        <f>'WPB-2.1.D SMRP'!L683</f>
        <v>0</v>
      </c>
      <c r="M1642" s="1243">
        <f t="shared" si="290"/>
        <v>44.25283505747575</v>
      </c>
      <c r="N1642" s="1243">
        <v>0</v>
      </c>
      <c r="O1642" s="1243">
        <f t="shared" si="291"/>
        <v>5889419.067835059</v>
      </c>
    </row>
    <row r="1643" spans="1:15">
      <c r="A1643" s="361">
        <f t="shared" si="287"/>
        <v>30</v>
      </c>
      <c r="B1643" s="365">
        <v>383</v>
      </c>
      <c r="C1643" s="358" t="s">
        <v>1625</v>
      </c>
      <c r="D1643" s="1243">
        <f t="shared" si="288"/>
        <v>7387201.2399999993</v>
      </c>
      <c r="E1643" s="1243">
        <f>'WPB-2.1.D SMRP'!E687</f>
        <v>24580.769999999997</v>
      </c>
      <c r="F1643" s="1243">
        <f>'WPB-2.1.D SMRP'!F687</f>
        <v>-147.11776438806541</v>
      </c>
      <c r="G1643" s="1243">
        <f t="shared" si="292"/>
        <v>7411634.8922356106</v>
      </c>
      <c r="H1643" s="1243"/>
      <c r="I1643" s="1243">
        <f t="shared" si="289"/>
        <v>2510263.1310000001</v>
      </c>
      <c r="J1643" s="376">
        <v>1.9400000000000001E-2</v>
      </c>
      <c r="K1643" s="1243">
        <f t="shared" si="293"/>
        <v>11962</v>
      </c>
      <c r="L1643" s="1243">
        <f>'WPB-2.1.D SMRP'!L687</f>
        <v>0</v>
      </c>
      <c r="M1643" s="1243">
        <f t="shared" si="290"/>
        <v>-147.11776438806541</v>
      </c>
      <c r="N1643" s="1243">
        <v>0</v>
      </c>
      <c r="O1643" s="1243">
        <f t="shared" si="291"/>
        <v>2522078.0132356118</v>
      </c>
    </row>
    <row r="1644" spans="1:15">
      <c r="A1644" s="361">
        <f t="shared" si="287"/>
        <v>31</v>
      </c>
      <c r="B1644" s="365">
        <v>384</v>
      </c>
      <c r="C1644" s="358" t="s">
        <v>402</v>
      </c>
      <c r="D1644" s="1243">
        <f t="shared" si="288"/>
        <v>2085058.65</v>
      </c>
      <c r="E1644" s="1243">
        <f>+'INPUT - B Schedule PLANT'!CE36</f>
        <v>39.729999999999997</v>
      </c>
      <c r="F1644" s="1243">
        <f>+'INPUT - B Schedule PLANT'!CF36</f>
        <v>0</v>
      </c>
      <c r="G1644" s="1243">
        <f t="shared" si="292"/>
        <v>2085098.38</v>
      </c>
      <c r="H1644" s="1243"/>
      <c r="I1644" s="1243">
        <f t="shared" si="289"/>
        <v>1731762.0399999991</v>
      </c>
      <c r="J1644" s="376">
        <v>9.9000000000000008E-3</v>
      </c>
      <c r="K1644" s="1243">
        <f t="shared" si="293"/>
        <v>1720</v>
      </c>
      <c r="L1644" s="1243">
        <v>0</v>
      </c>
      <c r="M1644" s="1243">
        <f t="shared" si="290"/>
        <v>0</v>
      </c>
      <c r="N1644" s="1243">
        <v>0</v>
      </c>
      <c r="O1644" s="1243">
        <f t="shared" si="291"/>
        <v>1733482.0399999991</v>
      </c>
    </row>
    <row r="1645" spans="1:15">
      <c r="A1645" s="361">
        <f t="shared" si="287"/>
        <v>32</v>
      </c>
      <c r="B1645" s="365">
        <v>385</v>
      </c>
      <c r="C1645" s="358" t="s">
        <v>403</v>
      </c>
      <c r="D1645" s="1243">
        <f t="shared" si="288"/>
        <v>6045978.29</v>
      </c>
      <c r="E1645" s="1243">
        <f>+'INPUT - B Schedule PLANT'!CE37</f>
        <v>32042.94</v>
      </c>
      <c r="F1645" s="1243">
        <f>+'INPUT - B Schedule PLANT'!CF37</f>
        <v>-105.07000000000016</v>
      </c>
      <c r="G1645" s="1243">
        <f t="shared" si="292"/>
        <v>6077916.1600000001</v>
      </c>
      <c r="H1645" s="1243"/>
      <c r="I1645" s="1243">
        <f t="shared" si="289"/>
        <v>814047.11</v>
      </c>
      <c r="J1645" s="376">
        <v>3.73E-2</v>
      </c>
      <c r="K1645" s="1243">
        <f t="shared" si="293"/>
        <v>18843</v>
      </c>
      <c r="L1645" s="1243">
        <v>0</v>
      </c>
      <c r="M1645" s="1243">
        <f t="shared" si="290"/>
        <v>-105.07000000000016</v>
      </c>
      <c r="N1645" s="1243">
        <v>-4841.88</v>
      </c>
      <c r="O1645" s="1243">
        <f t="shared" si="291"/>
        <v>827943.16</v>
      </c>
    </row>
    <row r="1646" spans="1:15">
      <c r="A1646" s="361">
        <f t="shared" si="287"/>
        <v>33</v>
      </c>
      <c r="B1646" s="365">
        <v>387.2</v>
      </c>
      <c r="C1646" s="358" t="s">
        <v>404</v>
      </c>
      <c r="D1646" s="1243">
        <f t="shared" si="288"/>
        <v>0</v>
      </c>
      <c r="E1646" s="1243">
        <f>+'INPUT - B Schedule PLANT'!CE38</f>
        <v>0</v>
      </c>
      <c r="F1646" s="1243">
        <f>+'INPUT - B Schedule PLANT'!CF38</f>
        <v>0</v>
      </c>
      <c r="G1646" s="1243">
        <f t="shared" si="292"/>
        <v>0</v>
      </c>
      <c r="H1646" s="1243"/>
      <c r="I1646" s="1243">
        <f t="shared" si="289"/>
        <v>-59912.03</v>
      </c>
      <c r="J1646" s="376">
        <v>0</v>
      </c>
      <c r="K1646" s="1243">
        <f t="shared" si="293"/>
        <v>0</v>
      </c>
      <c r="L1646" s="1243">
        <v>0</v>
      </c>
      <c r="M1646" s="1243">
        <f t="shared" si="290"/>
        <v>0</v>
      </c>
      <c r="N1646" s="1243">
        <v>0</v>
      </c>
      <c r="O1646" s="1243">
        <f t="shared" si="291"/>
        <v>-59912.03</v>
      </c>
    </row>
    <row r="1647" spans="1:15">
      <c r="A1647" s="361">
        <f t="shared" si="287"/>
        <v>34</v>
      </c>
      <c r="B1647" s="365">
        <v>387.41</v>
      </c>
      <c r="C1647" s="358" t="s">
        <v>405</v>
      </c>
      <c r="D1647" s="1243">
        <f t="shared" si="288"/>
        <v>260538.46000000008</v>
      </c>
      <c r="E1647" s="1243">
        <f>+'INPUT - B Schedule PLANT'!CE39</f>
        <v>0</v>
      </c>
      <c r="F1647" s="1243">
        <f>+'INPUT - B Schedule PLANT'!CF39</f>
        <v>0</v>
      </c>
      <c r="G1647" s="1243">
        <f t="shared" si="292"/>
        <v>260538.46000000008</v>
      </c>
      <c r="H1647" s="1243"/>
      <c r="I1647" s="1243">
        <f t="shared" si="289"/>
        <v>61802.970000000059</v>
      </c>
      <c r="J1647" s="376">
        <v>3.2399999999999998E-2</v>
      </c>
      <c r="K1647" s="1243">
        <f t="shared" si="293"/>
        <v>703</v>
      </c>
      <c r="L1647" s="1243">
        <v>0</v>
      </c>
      <c r="M1647" s="1243">
        <f t="shared" si="290"/>
        <v>0</v>
      </c>
      <c r="N1647" s="1243">
        <v>0</v>
      </c>
      <c r="O1647" s="1243">
        <f t="shared" si="291"/>
        <v>62505.970000000059</v>
      </c>
    </row>
    <row r="1648" spans="1:15">
      <c r="A1648" s="361">
        <f t="shared" si="287"/>
        <v>35</v>
      </c>
      <c r="B1648" s="365">
        <v>387.42</v>
      </c>
      <c r="C1648" s="358" t="s">
        <v>406</v>
      </c>
      <c r="D1648" s="1243">
        <f t="shared" si="288"/>
        <v>419367.40000000008</v>
      </c>
      <c r="E1648" s="1243">
        <f>+'INPUT - B Schedule PLANT'!CE40</f>
        <v>0</v>
      </c>
      <c r="F1648" s="1243">
        <f>+'INPUT - B Schedule PLANT'!CF40</f>
        <v>0</v>
      </c>
      <c r="G1648" s="1243">
        <f t="shared" si="292"/>
        <v>419367.40000000008</v>
      </c>
      <c r="H1648" s="1243"/>
      <c r="I1648" s="1243">
        <f t="shared" si="289"/>
        <v>345663.80999999976</v>
      </c>
      <c r="J1648" s="376">
        <v>3.2399999999999998E-2</v>
      </c>
      <c r="K1648" s="1243">
        <f t="shared" si="293"/>
        <v>1132</v>
      </c>
      <c r="L1648" s="1243">
        <v>0</v>
      </c>
      <c r="M1648" s="1243">
        <f t="shared" si="290"/>
        <v>0</v>
      </c>
      <c r="N1648" s="1243">
        <v>0</v>
      </c>
      <c r="O1648" s="1243">
        <f t="shared" si="291"/>
        <v>346795.80999999976</v>
      </c>
    </row>
    <row r="1649" spans="1:16">
      <c r="A1649" s="361">
        <f t="shared" si="287"/>
        <v>36</v>
      </c>
      <c r="B1649" s="365">
        <v>387.44</v>
      </c>
      <c r="C1649" s="358" t="s">
        <v>407</v>
      </c>
      <c r="D1649" s="1243">
        <f t="shared" si="288"/>
        <v>124678.76000000001</v>
      </c>
      <c r="E1649" s="1243">
        <f>+'INPUT - B Schedule PLANT'!CE41</f>
        <v>0</v>
      </c>
      <c r="F1649" s="1243">
        <f>+'INPUT - B Schedule PLANT'!CF41</f>
        <v>0</v>
      </c>
      <c r="G1649" s="1243">
        <f t="shared" si="292"/>
        <v>124678.76000000001</v>
      </c>
      <c r="H1649" s="1243"/>
      <c r="I1649" s="1243">
        <f t="shared" si="289"/>
        <v>68079.390000000014</v>
      </c>
      <c r="J1649" s="376">
        <v>3.2399999999999998E-2</v>
      </c>
      <c r="K1649" s="1243">
        <f t="shared" si="293"/>
        <v>337</v>
      </c>
      <c r="L1649" s="1243">
        <v>0</v>
      </c>
      <c r="M1649" s="1243">
        <f t="shared" si="290"/>
        <v>0</v>
      </c>
      <c r="N1649" s="1243">
        <v>0</v>
      </c>
      <c r="O1649" s="1243">
        <f t="shared" si="291"/>
        <v>68416.390000000014</v>
      </c>
    </row>
    <row r="1650" spans="1:16">
      <c r="A1650" s="361">
        <f t="shared" si="287"/>
        <v>37</v>
      </c>
      <c r="B1650" s="365">
        <v>387.45</v>
      </c>
      <c r="C1650" s="358" t="s">
        <v>408</v>
      </c>
      <c r="D1650" s="1243">
        <f t="shared" si="288"/>
        <v>6061927.2500000009</v>
      </c>
      <c r="E1650" s="1243">
        <f>+'INPUT - B Schedule PLANT'!CE42</f>
        <v>6409.15</v>
      </c>
      <c r="F1650" s="1243">
        <f>+'INPUT - B Schedule PLANT'!CF42</f>
        <v>-17301.36</v>
      </c>
      <c r="G1650" s="1243">
        <f t="shared" si="292"/>
        <v>6051035.040000001</v>
      </c>
      <c r="H1650" s="1243"/>
      <c r="I1650" s="1243">
        <f t="shared" si="289"/>
        <v>-583034.31999999995</v>
      </c>
      <c r="J1650" s="376">
        <v>3.2399999999999998E-2</v>
      </c>
      <c r="K1650" s="1243">
        <f t="shared" si="293"/>
        <v>16352</v>
      </c>
      <c r="L1650" s="1243">
        <v>0</v>
      </c>
      <c r="M1650" s="1243">
        <f t="shared" si="290"/>
        <v>-17301.36</v>
      </c>
      <c r="N1650" s="1243">
        <v>-2092.7800000000002</v>
      </c>
      <c r="O1650" s="1243">
        <f t="shared" si="291"/>
        <v>-586076.46</v>
      </c>
    </row>
    <row r="1651" spans="1:16">
      <c r="A1651" s="361">
        <f t="shared" si="287"/>
        <v>38</v>
      </c>
      <c r="B1651" s="365">
        <v>387.46</v>
      </c>
      <c r="C1651" s="358" t="s">
        <v>409</v>
      </c>
      <c r="D1651" s="1243">
        <f t="shared" si="288"/>
        <v>113644.47</v>
      </c>
      <c r="E1651" s="1243">
        <f>+'INPUT - B Schedule PLANT'!CE43</f>
        <v>0</v>
      </c>
      <c r="F1651" s="1243">
        <f>+'INPUT - B Schedule PLANT'!CF43</f>
        <v>0</v>
      </c>
      <c r="G1651" s="1243">
        <f t="shared" si="292"/>
        <v>113644.47</v>
      </c>
      <c r="H1651" s="1243"/>
      <c r="I1651" s="1243">
        <f t="shared" si="289"/>
        <v>114497.07</v>
      </c>
      <c r="J1651" s="376">
        <v>3.2399999999999998E-2</v>
      </c>
      <c r="K1651" s="1243">
        <f t="shared" si="293"/>
        <v>307</v>
      </c>
      <c r="L1651" s="1243">
        <v>0</v>
      </c>
      <c r="M1651" s="1243">
        <f t="shared" si="290"/>
        <v>0</v>
      </c>
      <c r="N1651" s="1243">
        <v>0</v>
      </c>
      <c r="O1651" s="1243">
        <f t="shared" si="291"/>
        <v>114804.07</v>
      </c>
    </row>
    <row r="1652" spans="1:16">
      <c r="A1652" s="361">
        <f t="shared" si="287"/>
        <v>39</v>
      </c>
      <c r="B1652" s="365">
        <v>387.5</v>
      </c>
      <c r="C1652" s="358" t="s">
        <v>1075</v>
      </c>
      <c r="D1652" s="1244">
        <f t="shared" si="288"/>
        <v>238072.69</v>
      </c>
      <c r="E1652" s="1244">
        <f>+'INPUT - B Schedule PLANT'!CE44</f>
        <v>0</v>
      </c>
      <c r="F1652" s="1244">
        <f>+'INPUT - B Schedule PLANT'!CF44</f>
        <v>0</v>
      </c>
      <c r="G1652" s="1244">
        <f t="shared" si="292"/>
        <v>238072.69</v>
      </c>
      <c r="H1652" s="1243"/>
      <c r="I1652" s="1244">
        <f t="shared" si="289"/>
        <v>43908.470000000023</v>
      </c>
      <c r="J1652" s="376">
        <v>0.13669999999999999</v>
      </c>
      <c r="K1652" s="1244">
        <f t="shared" si="293"/>
        <v>2712</v>
      </c>
      <c r="L1652" s="1244">
        <v>0</v>
      </c>
      <c r="M1652" s="1244">
        <f t="shared" si="290"/>
        <v>0</v>
      </c>
      <c r="N1652" s="1244">
        <v>0</v>
      </c>
      <c r="O1652" s="1244">
        <f t="shared" si="291"/>
        <v>46620.470000000023</v>
      </c>
    </row>
    <row r="1653" spans="1:16">
      <c r="A1653" s="361">
        <f t="shared" si="287"/>
        <v>40</v>
      </c>
      <c r="C1653" s="365" t="s">
        <v>1601</v>
      </c>
      <c r="D1653" s="1243">
        <f>SUM(D1623:D1652)</f>
        <v>726294604.94942963</v>
      </c>
      <c r="E1653" s="1243">
        <f>SUM(E1623:E1652)</f>
        <v>1627877.05</v>
      </c>
      <c r="F1653" s="1243">
        <f>SUM(F1623:F1652)</f>
        <v>-514906.29142672534</v>
      </c>
      <c r="G1653" s="1243">
        <f>SUM(G1623:G1652)</f>
        <v>727407575.70800304</v>
      </c>
      <c r="H1653" s="1243"/>
      <c r="I1653" s="1243">
        <f>SUM(I1623:I1652)</f>
        <v>172081949.29502168</v>
      </c>
      <c r="J1653" s="369"/>
      <c r="K1653" s="1243">
        <f>SUM(K1623:K1652)</f>
        <v>1541696.588</v>
      </c>
      <c r="L1653" s="1243">
        <f>SUM(L1623:L1652)</f>
        <v>0</v>
      </c>
      <c r="M1653" s="1243">
        <f>SUM(M1623:M1652)</f>
        <v>-514906.29142672534</v>
      </c>
      <c r="N1653" s="1243">
        <f>SUM(N1623:N1652)</f>
        <v>-161396.5099363917</v>
      </c>
      <c r="O1653" s="1243">
        <f>SUM(O1623:O1652)</f>
        <v>172947343.08165854</v>
      </c>
    </row>
    <row r="1654" spans="1:16">
      <c r="B1654" s="367"/>
      <c r="C1654" s="368"/>
      <c r="D1654" s="369"/>
      <c r="E1654" s="369"/>
      <c r="F1654" s="369"/>
      <c r="G1654" s="369"/>
      <c r="I1654" s="369"/>
      <c r="J1654" s="369"/>
      <c r="K1654" s="369"/>
      <c r="L1654" s="369"/>
      <c r="M1654" s="369"/>
      <c r="N1654" s="369"/>
      <c r="O1654" s="369"/>
    </row>
    <row r="1655" spans="1:16">
      <c r="I1655" s="369"/>
      <c r="J1655" s="369"/>
      <c r="K1655" s="369"/>
      <c r="L1655" s="369"/>
      <c r="M1655" s="369"/>
      <c r="N1655" s="369"/>
      <c r="O1655" s="369"/>
    </row>
    <row r="1656" spans="1:16" s="291" customFormat="1">
      <c r="A1656" s="1308" t="str">
        <f>$A$1</f>
        <v>COLUMBIA GAS OF KENTUCKY, INC.</v>
      </c>
      <c r="B1656" s="1308"/>
      <c r="C1656" s="1308"/>
      <c r="D1656" s="1308"/>
      <c r="E1656" s="1308"/>
      <c r="F1656" s="1308"/>
      <c r="G1656" s="1308"/>
      <c r="H1656" s="1308"/>
      <c r="I1656" s="1308"/>
      <c r="J1656" s="1308"/>
      <c r="K1656" s="1308"/>
      <c r="L1656" s="1308"/>
      <c r="M1656" s="1308"/>
      <c r="N1656" s="1308"/>
      <c r="O1656" s="1308"/>
    </row>
    <row r="1657" spans="1:16" s="291" customFormat="1">
      <c r="A1657" s="1308" t="str">
        <f>$A$2</f>
        <v>CASE NO. 2024 - 00092</v>
      </c>
      <c r="B1657" s="1308"/>
      <c r="C1657" s="1308"/>
      <c r="D1657" s="1308"/>
      <c r="E1657" s="1308"/>
      <c r="F1657" s="1308"/>
      <c r="G1657" s="1308"/>
      <c r="H1657" s="1308"/>
      <c r="I1657" s="1308"/>
      <c r="J1657" s="1308"/>
      <c r="K1657" s="1308"/>
      <c r="L1657" s="1308"/>
      <c r="M1657" s="1308"/>
      <c r="N1657" s="1308"/>
      <c r="O1657" s="1308"/>
    </row>
    <row r="1658" spans="1:16" s="291" customFormat="1">
      <c r="A1658" s="1308" t="str">
        <f>$A$3</f>
        <v>DETAIL OF ACTUAL &amp; FORECASTED PLANT, ACCUMULATED RESERVE &amp; DEPRECIATION EXPENSE</v>
      </c>
      <c r="B1658" s="1308"/>
      <c r="C1658" s="1308"/>
      <c r="D1658" s="1308"/>
      <c r="E1658" s="1308"/>
      <c r="F1658" s="1308"/>
      <c r="G1658" s="1308"/>
      <c r="H1658" s="1308"/>
      <c r="I1658" s="1308"/>
      <c r="J1658" s="1308"/>
      <c r="K1658" s="1308"/>
      <c r="L1658" s="1308"/>
      <c r="M1658" s="1308"/>
      <c r="N1658" s="1308"/>
      <c r="O1658" s="1308"/>
      <c r="P1658" s="357"/>
    </row>
    <row r="1659" spans="1:16" s="291" customFormat="1">
      <c r="A1659" s="1308" t="str">
        <f>$A$4</f>
        <v>FROM JANUARY 01, 2023 THROUGH DECEMBER 31, 2025</v>
      </c>
      <c r="B1659" s="1308"/>
      <c r="C1659" s="1308"/>
      <c r="D1659" s="1308"/>
      <c r="E1659" s="1308"/>
      <c r="F1659" s="1308"/>
      <c r="G1659" s="1308"/>
      <c r="H1659" s="1308"/>
      <c r="I1659" s="1308"/>
      <c r="J1659" s="1308"/>
      <c r="K1659" s="1308"/>
      <c r="L1659" s="1308"/>
      <c r="M1659" s="1308"/>
      <c r="N1659" s="1308"/>
      <c r="O1659" s="1308"/>
    </row>
    <row r="1660" spans="1:16" s="291" customFormat="1">
      <c r="B1660" s="293"/>
      <c r="P1660" s="312"/>
    </row>
    <row r="1661" spans="1:16" s="291" customFormat="1">
      <c r="A1661" s="297" t="str">
        <f>$A$6</f>
        <v xml:space="preserve">DATA: _X_ BASE PERIOD _X_ FORECASTED PERIOD     </v>
      </c>
      <c r="B1661" s="293"/>
      <c r="O1661" s="312" t="str">
        <f>$O$6</f>
        <v>WPB-2.1.C</v>
      </c>
      <c r="P1661" s="312"/>
    </row>
    <row r="1662" spans="1:16" s="291" customFormat="1">
      <c r="A1662" s="297" t="str">
        <f>$A$7</f>
        <v>TYPE OF FILING:___X___ORIGINAL______UPDATED</v>
      </c>
      <c r="B1662" s="293"/>
      <c r="O1662" s="312" t="s">
        <v>2193</v>
      </c>
      <c r="P1662" s="312"/>
    </row>
    <row r="1663" spans="1:16" s="291" customFormat="1">
      <c r="A1663" s="297" t="str">
        <f>$A$8</f>
        <v>WORKPAPER REFERENCE NO(S).:</v>
      </c>
      <c r="B1663" s="293"/>
      <c r="O1663" s="312" t="str">
        <f>$O$8</f>
        <v>WITNESS: GORE</v>
      </c>
    </row>
    <row r="1664" spans="1:16">
      <c r="A1664" s="918"/>
      <c r="B1664" s="919"/>
      <c r="C1664" s="918"/>
      <c r="D1664" s="918"/>
      <c r="E1664" s="918"/>
      <c r="F1664" s="918"/>
      <c r="G1664" s="918"/>
      <c r="H1664" s="918"/>
      <c r="I1664" s="918"/>
      <c r="J1664" s="918"/>
      <c r="K1664" s="918"/>
      <c r="L1664" s="918"/>
      <c r="M1664" s="918"/>
      <c r="N1664" s="918"/>
      <c r="O1664" s="920"/>
    </row>
    <row r="1665" spans="1:15">
      <c r="D1665" s="1311" t="s">
        <v>1768</v>
      </c>
      <c r="E1665" s="1311"/>
      <c r="F1665" s="1311"/>
      <c r="G1665" s="1311"/>
      <c r="I1665" s="1311" t="s">
        <v>1769</v>
      </c>
      <c r="J1665" s="1311"/>
      <c r="K1665" s="1311"/>
      <c r="L1665" s="1311"/>
      <c r="M1665" s="1311"/>
      <c r="N1665" s="1311"/>
      <c r="O1665" s="1311"/>
    </row>
    <row r="1666" spans="1:15">
      <c r="D1666" s="360">
        <f>D1607</f>
        <v>45352</v>
      </c>
      <c r="G1666" s="360">
        <f>G1607</f>
        <v>45382</v>
      </c>
      <c r="I1666" s="360">
        <f>D1666</f>
        <v>45352</v>
      </c>
      <c r="O1666" s="360">
        <f>G1666</f>
        <v>45382</v>
      </c>
    </row>
    <row r="1667" spans="1:15">
      <c r="D1667" s="361" t="s">
        <v>1757</v>
      </c>
      <c r="G1667" s="361" t="s">
        <v>1757</v>
      </c>
      <c r="I1667" s="361" t="s">
        <v>1758</v>
      </c>
      <c r="J1667" s="361" t="s">
        <v>488</v>
      </c>
      <c r="L1667" s="361" t="s">
        <v>1758</v>
      </c>
      <c r="O1667" s="361" t="s">
        <v>1758</v>
      </c>
    </row>
    <row r="1668" spans="1:15">
      <c r="A1668" s="361" t="s">
        <v>1770</v>
      </c>
      <c r="B1668" s="361" t="s">
        <v>368</v>
      </c>
      <c r="C1668" s="361"/>
      <c r="D1668" s="361" t="s">
        <v>437</v>
      </c>
      <c r="G1668" s="361" t="s">
        <v>439</v>
      </c>
      <c r="I1668" s="361" t="s">
        <v>437</v>
      </c>
      <c r="J1668" s="361" t="s">
        <v>1771</v>
      </c>
      <c r="K1668" s="361" t="s">
        <v>1772</v>
      </c>
      <c r="L1668" s="361" t="s">
        <v>1759</v>
      </c>
      <c r="N1668" s="361" t="s">
        <v>1760</v>
      </c>
      <c r="O1668" s="361" t="s">
        <v>439</v>
      </c>
    </row>
    <row r="1669" spans="1:15">
      <c r="A1669" s="364" t="s">
        <v>316</v>
      </c>
      <c r="B1669" s="364" t="s">
        <v>316</v>
      </c>
      <c r="C1669" s="364" t="s">
        <v>451</v>
      </c>
      <c r="D1669" s="364" t="s">
        <v>441</v>
      </c>
      <c r="E1669" s="364" t="s">
        <v>442</v>
      </c>
      <c r="F1669" s="364" t="s">
        <v>443</v>
      </c>
      <c r="G1669" s="364" t="s">
        <v>441</v>
      </c>
      <c r="I1669" s="364" t="s">
        <v>441</v>
      </c>
      <c r="J1669" s="364" t="s">
        <v>1773</v>
      </c>
      <c r="K1669" s="364" t="s">
        <v>1771</v>
      </c>
      <c r="L1669" s="364" t="s">
        <v>355</v>
      </c>
      <c r="M1669" s="364" t="s">
        <v>443</v>
      </c>
      <c r="N1669" s="364" t="s">
        <v>1763</v>
      </c>
      <c r="O1669" s="364" t="s">
        <v>441</v>
      </c>
    </row>
    <row r="1670" spans="1:15">
      <c r="D1670" s="361" t="s">
        <v>532</v>
      </c>
      <c r="E1670" s="361" t="s">
        <v>541</v>
      </c>
      <c r="F1670" s="361" t="s">
        <v>542</v>
      </c>
      <c r="G1670" s="361" t="s">
        <v>1764</v>
      </c>
      <c r="I1670" s="334" t="str">
        <f>"(5)"</f>
        <v>(5)</v>
      </c>
      <c r="J1670" s="334" t="str">
        <f>"(6)"</f>
        <v>(6)</v>
      </c>
      <c r="K1670" s="334" t="str">
        <f>"(7)=((1+4)/2*6/12))"</f>
        <v>(7)=((1+4)/2*6/12))</v>
      </c>
      <c r="L1670" s="334" t="str">
        <f>"(8)"</f>
        <v>(8)</v>
      </c>
      <c r="M1670" s="334" t="str">
        <f>"(9)"</f>
        <v>(9)</v>
      </c>
      <c r="N1670" s="334" t="str">
        <f>"(10)"</f>
        <v>(10)</v>
      </c>
      <c r="O1670" s="334" t="str">
        <f>"(11=5+7+8+9+10)"</f>
        <v>(11=5+7+8+9+10)</v>
      </c>
    </row>
    <row r="1671" spans="1:15">
      <c r="D1671" s="361" t="s">
        <v>320</v>
      </c>
      <c r="E1671" s="361" t="s">
        <v>320</v>
      </c>
      <c r="F1671" s="361" t="s">
        <v>320</v>
      </c>
      <c r="G1671" s="361" t="s">
        <v>320</v>
      </c>
      <c r="I1671" s="334" t="s">
        <v>320</v>
      </c>
      <c r="J1671" s="334" t="s">
        <v>529</v>
      </c>
      <c r="K1671" s="334" t="s">
        <v>320</v>
      </c>
      <c r="L1671" s="334" t="s">
        <v>320</v>
      </c>
      <c r="M1671" s="334" t="s">
        <v>320</v>
      </c>
      <c r="N1671" s="334" t="s">
        <v>320</v>
      </c>
      <c r="O1671" s="334" t="s">
        <v>320</v>
      </c>
    </row>
    <row r="1672" spans="1:15">
      <c r="A1672" s="361">
        <v>1</v>
      </c>
      <c r="B1672" s="363" t="s">
        <v>411</v>
      </c>
      <c r="D1672" s="361"/>
      <c r="E1672" s="361"/>
      <c r="F1672" s="361"/>
      <c r="G1672" s="361"/>
      <c r="I1672" s="334"/>
      <c r="J1672" s="334"/>
      <c r="K1672" s="334"/>
      <c r="L1672" s="334"/>
      <c r="M1672" s="334"/>
      <c r="N1672" s="334"/>
      <c r="O1672" s="334"/>
    </row>
    <row r="1673" spans="1:15">
      <c r="A1673" s="361">
        <f>A1672+1</f>
        <v>2</v>
      </c>
      <c r="B1673" s="365">
        <v>391.1</v>
      </c>
      <c r="C1673" s="358" t="s">
        <v>412</v>
      </c>
      <c r="D1673" s="1243">
        <f t="shared" ref="D1673:D1686" si="294">G1559</f>
        <v>921741.33000000007</v>
      </c>
      <c r="E1673" s="1243">
        <f>+'INPUT - B Schedule PLANT'!CE46</f>
        <v>0</v>
      </c>
      <c r="F1673" s="1243">
        <f>+'INPUT - B Schedule PLANT'!CF46</f>
        <v>0</v>
      </c>
      <c r="G1673" s="1243">
        <f>SUM(D1673:F1673)</f>
        <v>921741.33000000007</v>
      </c>
      <c r="H1673" s="1243"/>
      <c r="I1673" s="1245">
        <f t="shared" ref="I1673:I1686" si="295">O1559</f>
        <v>122590.37000000001</v>
      </c>
      <c r="J1673" s="377">
        <v>4.9700000000000001E-2</v>
      </c>
      <c r="K1673" s="1243">
        <f t="shared" ref="K1673:K1686" si="296">ROUND((G1673+D1673)/2*J1673/12,0)</f>
        <v>3818</v>
      </c>
      <c r="L1673" s="1243">
        <v>0</v>
      </c>
      <c r="M1673" s="1243">
        <f t="shared" ref="M1673:M1686" si="297">F1673</f>
        <v>0</v>
      </c>
      <c r="N1673" s="1243">
        <v>0</v>
      </c>
      <c r="O1673" s="1243">
        <f t="shared" ref="O1673:O1686" si="298">I1673+K1673+L1673+M1673+N1673</f>
        <v>126408.37000000001</v>
      </c>
    </row>
    <row r="1674" spans="1:15">
      <c r="A1674" s="361">
        <f t="shared" ref="A1674:A1687" si="299">A1673+1</f>
        <v>3</v>
      </c>
      <c r="B1674" s="365">
        <v>391.11</v>
      </c>
      <c r="C1674" s="358" t="s">
        <v>413</v>
      </c>
      <c r="D1674" s="1243">
        <f t="shared" si="294"/>
        <v>0</v>
      </c>
      <c r="E1674" s="1243">
        <f>+'INPUT - B Schedule PLANT'!CE47</f>
        <v>0</v>
      </c>
      <c r="F1674" s="1243">
        <f>+'INPUT - B Schedule PLANT'!CF47</f>
        <v>0</v>
      </c>
      <c r="G1674" s="1243">
        <f t="shared" ref="G1674:G1681" si="300">SUM(D1674:F1674)</f>
        <v>0</v>
      </c>
      <c r="H1674" s="1243"/>
      <c r="I1674" s="1245">
        <f t="shared" si="295"/>
        <v>-18933.789999999997</v>
      </c>
      <c r="J1674" s="377">
        <v>0</v>
      </c>
      <c r="K1674" s="1243">
        <f t="shared" si="296"/>
        <v>0</v>
      </c>
      <c r="L1674" s="1243">
        <v>0</v>
      </c>
      <c r="M1674" s="1243">
        <f t="shared" si="297"/>
        <v>0</v>
      </c>
      <c r="N1674" s="1243">
        <v>0</v>
      </c>
      <c r="O1674" s="1243">
        <f t="shared" si="298"/>
        <v>-18933.789999999997</v>
      </c>
    </row>
    <row r="1675" spans="1:15">
      <c r="A1675" s="361">
        <f t="shared" si="299"/>
        <v>4</v>
      </c>
      <c r="B1675" s="365">
        <v>391.12</v>
      </c>
      <c r="C1675" s="358" t="s">
        <v>414</v>
      </c>
      <c r="D1675" s="1243">
        <f t="shared" si="294"/>
        <v>37129.580000000009</v>
      </c>
      <c r="E1675" s="1243">
        <f>+'INPUT - B Schedule PLANT'!CE48</f>
        <v>0</v>
      </c>
      <c r="F1675" s="1243">
        <f>+'INPUT - B Schedule PLANT'!CF48</f>
        <v>0</v>
      </c>
      <c r="G1675" s="1243">
        <f t="shared" si="300"/>
        <v>37129.580000000009</v>
      </c>
      <c r="H1675" s="1243"/>
      <c r="I1675" s="1245">
        <f t="shared" si="295"/>
        <v>-4046.0300000000007</v>
      </c>
      <c r="J1675" s="377">
        <v>0.2</v>
      </c>
      <c r="K1675" s="1243">
        <f t="shared" si="296"/>
        <v>619</v>
      </c>
      <c r="L1675" s="1243">
        <v>0</v>
      </c>
      <c r="M1675" s="1243">
        <f t="shared" si="297"/>
        <v>0</v>
      </c>
      <c r="N1675" s="1243">
        <v>0</v>
      </c>
      <c r="O1675" s="1243">
        <f t="shared" si="298"/>
        <v>-3427.0300000000007</v>
      </c>
    </row>
    <row r="1676" spans="1:15">
      <c r="A1676" s="361">
        <f t="shared" si="299"/>
        <v>5</v>
      </c>
      <c r="B1676" s="365">
        <v>392.2</v>
      </c>
      <c r="C1676" s="358" t="s">
        <v>524</v>
      </c>
      <c r="D1676" s="1243">
        <f t="shared" si="294"/>
        <v>48924.4</v>
      </c>
      <c r="E1676" s="1243">
        <f>+'INPUT - B Schedule PLANT'!CE49</f>
        <v>0</v>
      </c>
      <c r="F1676" s="1243">
        <f>+'INPUT - B Schedule PLANT'!CF49</f>
        <v>0</v>
      </c>
      <c r="G1676" s="1243">
        <f t="shared" si="300"/>
        <v>48924.4</v>
      </c>
      <c r="H1676" s="1243"/>
      <c r="I1676" s="1245">
        <f t="shared" si="295"/>
        <v>17217.359999999961</v>
      </c>
      <c r="J1676" s="377">
        <v>8.9999999999999993E-3</v>
      </c>
      <c r="K1676" s="1243">
        <f t="shared" si="296"/>
        <v>37</v>
      </c>
      <c r="L1676" s="1243">
        <v>0</v>
      </c>
      <c r="M1676" s="1243">
        <f t="shared" si="297"/>
        <v>0</v>
      </c>
      <c r="N1676" s="1243">
        <v>0</v>
      </c>
      <c r="O1676" s="1243">
        <f t="shared" si="298"/>
        <v>17254.359999999961</v>
      </c>
    </row>
    <row r="1677" spans="1:15">
      <c r="A1677" s="361">
        <f t="shared" si="299"/>
        <v>6</v>
      </c>
      <c r="B1677" s="365">
        <v>392.21</v>
      </c>
      <c r="C1677" s="358" t="s">
        <v>415</v>
      </c>
      <c r="D1677" s="1243">
        <f t="shared" si="294"/>
        <v>24462.2</v>
      </c>
      <c r="E1677" s="1243">
        <f>+'INPUT - B Schedule PLANT'!CE50</f>
        <v>0</v>
      </c>
      <c r="F1677" s="1243">
        <f>+'INPUT - B Schedule PLANT'!CF50</f>
        <v>0</v>
      </c>
      <c r="G1677" s="1243">
        <f t="shared" si="300"/>
        <v>24462.2</v>
      </c>
      <c r="H1677" s="1243"/>
      <c r="I1677" s="1245">
        <f t="shared" si="295"/>
        <v>44754.01</v>
      </c>
      <c r="J1677" s="377">
        <v>8.9999999999999993E-3</v>
      </c>
      <c r="K1677" s="1243">
        <f t="shared" si="296"/>
        <v>18</v>
      </c>
      <c r="L1677" s="1243">
        <v>0</v>
      </c>
      <c r="M1677" s="1243">
        <f t="shared" si="297"/>
        <v>0</v>
      </c>
      <c r="N1677" s="1243">
        <v>0</v>
      </c>
      <c r="O1677" s="1243">
        <f t="shared" si="298"/>
        <v>44772.01</v>
      </c>
    </row>
    <row r="1678" spans="1:15">
      <c r="A1678" s="361">
        <f t="shared" si="299"/>
        <v>7</v>
      </c>
      <c r="B1678" s="365">
        <v>393</v>
      </c>
      <c r="C1678" s="358" t="s">
        <v>416</v>
      </c>
      <c r="D1678" s="1243">
        <f t="shared" si="294"/>
        <v>0</v>
      </c>
      <c r="E1678" s="1243">
        <f>+'INPUT - B Schedule PLANT'!CE51</f>
        <v>0</v>
      </c>
      <c r="F1678" s="1243">
        <f>+'INPUT - B Schedule PLANT'!CF51</f>
        <v>0</v>
      </c>
      <c r="G1678" s="1243">
        <f t="shared" si="300"/>
        <v>0</v>
      </c>
      <c r="H1678" s="1243"/>
      <c r="I1678" s="1245">
        <f t="shared" si="295"/>
        <v>0</v>
      </c>
      <c r="J1678" s="377" t="s">
        <v>646</v>
      </c>
      <c r="K1678" s="1243">
        <v>0</v>
      </c>
      <c r="L1678" s="1243">
        <v>0</v>
      </c>
      <c r="M1678" s="1243">
        <f t="shared" si="297"/>
        <v>0</v>
      </c>
      <c r="N1678" s="1243">
        <v>0</v>
      </c>
      <c r="O1678" s="1243">
        <f t="shared" si="298"/>
        <v>0</v>
      </c>
    </row>
    <row r="1679" spans="1:15">
      <c r="A1679" s="361">
        <f t="shared" si="299"/>
        <v>8</v>
      </c>
      <c r="B1679" s="365">
        <v>394.1</v>
      </c>
      <c r="C1679" s="358" t="s">
        <v>417</v>
      </c>
      <c r="D1679" s="1243">
        <f t="shared" si="294"/>
        <v>9739</v>
      </c>
      <c r="E1679" s="1243">
        <f>+'INPUT - B Schedule PLANT'!CE52</f>
        <v>0</v>
      </c>
      <c r="F1679" s="1243">
        <f>+'INPUT - B Schedule PLANT'!CF52</f>
        <v>0</v>
      </c>
      <c r="G1679" s="1243">
        <f t="shared" si="300"/>
        <v>9739</v>
      </c>
      <c r="H1679" s="1243"/>
      <c r="I1679" s="1245">
        <f t="shared" si="295"/>
        <v>4140.0700000000006</v>
      </c>
      <c r="J1679" s="377">
        <v>0.04</v>
      </c>
      <c r="K1679" s="1243">
        <f t="shared" si="296"/>
        <v>32</v>
      </c>
      <c r="L1679" s="1243">
        <v>0</v>
      </c>
      <c r="M1679" s="1243">
        <f t="shared" si="297"/>
        <v>0</v>
      </c>
      <c r="N1679" s="1243">
        <v>0</v>
      </c>
      <c r="O1679" s="1243">
        <f t="shared" si="298"/>
        <v>4172.0700000000006</v>
      </c>
    </row>
    <row r="1680" spans="1:15">
      <c r="A1680" s="361">
        <f t="shared" si="299"/>
        <v>9</v>
      </c>
      <c r="B1680" s="365">
        <v>394.11</v>
      </c>
      <c r="C1680" s="358" t="s">
        <v>418</v>
      </c>
      <c r="D1680" s="1243">
        <f t="shared" si="294"/>
        <v>0</v>
      </c>
      <c r="E1680" s="1243">
        <f>+'INPUT - B Schedule PLANT'!CE53</f>
        <v>0</v>
      </c>
      <c r="F1680" s="1243">
        <f>+'INPUT - B Schedule PLANT'!CF53</f>
        <v>0</v>
      </c>
      <c r="G1680" s="1243">
        <f t="shared" si="300"/>
        <v>0</v>
      </c>
      <c r="H1680" s="1243"/>
      <c r="I1680" s="1245">
        <f t="shared" si="295"/>
        <v>-26071.5</v>
      </c>
      <c r="J1680" s="377">
        <v>0.04</v>
      </c>
      <c r="K1680" s="1243">
        <f t="shared" si="296"/>
        <v>0</v>
      </c>
      <c r="L1680" s="1243">
        <v>0</v>
      </c>
      <c r="M1680" s="1243">
        <f t="shared" si="297"/>
        <v>0</v>
      </c>
      <c r="N1680" s="1243">
        <v>0</v>
      </c>
      <c r="O1680" s="1243">
        <f t="shared" si="298"/>
        <v>-26071.5</v>
      </c>
    </row>
    <row r="1681" spans="1:15">
      <c r="A1681" s="361">
        <f t="shared" si="299"/>
        <v>10</v>
      </c>
      <c r="B1681" s="365">
        <v>394.13</v>
      </c>
      <c r="C1681" s="358" t="s">
        <v>515</v>
      </c>
      <c r="D1681" s="1243">
        <f t="shared" si="294"/>
        <v>0</v>
      </c>
      <c r="E1681" s="1243">
        <f>+'INPUT - B Schedule PLANT'!CE54</f>
        <v>0</v>
      </c>
      <c r="F1681" s="1243">
        <f>+'INPUT - B Schedule PLANT'!CF54</f>
        <v>0</v>
      </c>
      <c r="G1681" s="1243">
        <f t="shared" si="300"/>
        <v>0</v>
      </c>
      <c r="H1681" s="1243"/>
      <c r="I1681" s="1245">
        <f t="shared" si="295"/>
        <v>37937.360000000001</v>
      </c>
      <c r="J1681" s="377" t="s">
        <v>646</v>
      </c>
      <c r="K1681" s="1243">
        <v>0</v>
      </c>
      <c r="L1681" s="1243">
        <v>0</v>
      </c>
      <c r="M1681" s="1243">
        <f t="shared" si="297"/>
        <v>0</v>
      </c>
      <c r="N1681" s="1243">
        <v>0</v>
      </c>
      <c r="O1681" s="1243">
        <f t="shared" si="298"/>
        <v>37937.360000000001</v>
      </c>
    </row>
    <row r="1682" spans="1:15">
      <c r="A1682" s="361">
        <f t="shared" si="299"/>
        <v>11</v>
      </c>
      <c r="B1682" s="365">
        <v>394.2</v>
      </c>
      <c r="C1682" s="358" t="s">
        <v>420</v>
      </c>
      <c r="D1682" s="1243">
        <f t="shared" si="294"/>
        <v>0</v>
      </c>
      <c r="E1682" s="1243">
        <f>+'INPUT - B Schedule PLANT'!CE55</f>
        <v>0</v>
      </c>
      <c r="F1682" s="1243">
        <f>+'INPUT - B Schedule PLANT'!CF55</f>
        <v>0</v>
      </c>
      <c r="G1682" s="1243">
        <f>SUM(D1682:F1682)</f>
        <v>0</v>
      </c>
      <c r="H1682" s="1243"/>
      <c r="I1682" s="1245">
        <f t="shared" si="295"/>
        <v>185.21</v>
      </c>
      <c r="J1682" s="377">
        <v>0.04</v>
      </c>
      <c r="K1682" s="1243">
        <f t="shared" si="296"/>
        <v>0</v>
      </c>
      <c r="L1682" s="1243">
        <v>0</v>
      </c>
      <c r="M1682" s="1243">
        <f t="shared" si="297"/>
        <v>0</v>
      </c>
      <c r="N1682" s="1243">
        <v>0</v>
      </c>
      <c r="O1682" s="1243">
        <f t="shared" si="298"/>
        <v>185.21</v>
      </c>
    </row>
    <row r="1683" spans="1:15">
      <c r="A1683" s="361">
        <f t="shared" si="299"/>
        <v>12</v>
      </c>
      <c r="B1683" s="365">
        <v>394.3</v>
      </c>
      <c r="C1683" s="358" t="s">
        <v>1602</v>
      </c>
      <c r="D1683" s="1243">
        <f t="shared" si="294"/>
        <v>5182047.8899999997</v>
      </c>
      <c r="E1683" s="1243">
        <f>+'INPUT - B Schedule PLANT'!CE56</f>
        <v>11688.67</v>
      </c>
      <c r="F1683" s="1243">
        <f>+'INPUT - B Schedule PLANT'!CF56</f>
        <v>-214.11</v>
      </c>
      <c r="G1683" s="1243">
        <f>SUM(D1683:F1683)</f>
        <v>5193522.4499999993</v>
      </c>
      <c r="H1683" s="1243"/>
      <c r="I1683" s="1245">
        <f t="shared" si="295"/>
        <v>1586027.42</v>
      </c>
      <c r="J1683" s="377">
        <v>0.04</v>
      </c>
      <c r="K1683" s="1243">
        <f t="shared" si="296"/>
        <v>17293</v>
      </c>
      <c r="L1683" s="1243">
        <v>0</v>
      </c>
      <c r="M1683" s="1243">
        <f t="shared" si="297"/>
        <v>-214.11</v>
      </c>
      <c r="N1683" s="1243">
        <v>0</v>
      </c>
      <c r="O1683" s="1243">
        <f t="shared" si="298"/>
        <v>1603106.3099999998</v>
      </c>
    </row>
    <row r="1684" spans="1:15">
      <c r="A1684" s="361">
        <f t="shared" si="299"/>
        <v>13</v>
      </c>
      <c r="B1684" s="365">
        <v>395</v>
      </c>
      <c r="C1684" s="358" t="s">
        <v>422</v>
      </c>
      <c r="D1684" s="1243">
        <f t="shared" si="294"/>
        <v>0</v>
      </c>
      <c r="E1684" s="1243">
        <f>+'INPUT - B Schedule PLANT'!CE57</f>
        <v>0</v>
      </c>
      <c r="F1684" s="1243">
        <f>+'INPUT - B Schedule PLANT'!CF57</f>
        <v>0</v>
      </c>
      <c r="G1684" s="1243">
        <f>SUM(D1684:F1684)</f>
        <v>0</v>
      </c>
      <c r="H1684" s="1243"/>
      <c r="I1684" s="1245">
        <f t="shared" si="295"/>
        <v>-100.69999999999845</v>
      </c>
      <c r="J1684" s="377">
        <v>0.05</v>
      </c>
      <c r="K1684" s="1243">
        <f t="shared" si="296"/>
        <v>0</v>
      </c>
      <c r="L1684" s="1243">
        <v>0</v>
      </c>
      <c r="M1684" s="1243">
        <f t="shared" si="297"/>
        <v>0</v>
      </c>
      <c r="N1684" s="1243">
        <v>0</v>
      </c>
      <c r="O1684" s="1243">
        <f t="shared" si="298"/>
        <v>-100.69999999999845</v>
      </c>
    </row>
    <row r="1685" spans="1:15">
      <c r="A1685" s="361">
        <f t="shared" si="299"/>
        <v>14</v>
      </c>
      <c r="B1685" s="365">
        <v>396</v>
      </c>
      <c r="C1685" s="358" t="s">
        <v>423</v>
      </c>
      <c r="D1685" s="1243">
        <f t="shared" si="294"/>
        <v>185547</v>
      </c>
      <c r="E1685" s="1243">
        <f>+'INPUT - B Schedule PLANT'!CE58</f>
        <v>0</v>
      </c>
      <c r="F1685" s="1243">
        <f>+'INPUT - B Schedule PLANT'!CF58</f>
        <v>0</v>
      </c>
      <c r="G1685" s="1243">
        <f>SUM(D1685:F1685)</f>
        <v>185547</v>
      </c>
      <c r="H1685" s="1243"/>
      <c r="I1685" s="1245">
        <f t="shared" si="295"/>
        <v>171938.14</v>
      </c>
      <c r="J1685" s="377">
        <v>0</v>
      </c>
      <c r="K1685" s="1243">
        <f t="shared" si="296"/>
        <v>0</v>
      </c>
      <c r="L1685" s="1243">
        <v>0</v>
      </c>
      <c r="M1685" s="1243">
        <f t="shared" si="297"/>
        <v>0</v>
      </c>
      <c r="N1685" s="1243">
        <v>0</v>
      </c>
      <c r="O1685" s="1243">
        <f t="shared" si="298"/>
        <v>171938.14</v>
      </c>
    </row>
    <row r="1686" spans="1:15">
      <c r="A1686" s="361">
        <f t="shared" si="299"/>
        <v>15</v>
      </c>
      <c r="B1686" s="365">
        <v>398</v>
      </c>
      <c r="C1686" s="358" t="s">
        <v>424</v>
      </c>
      <c r="D1686" s="1244">
        <f t="shared" si="294"/>
        <v>148028.20000000001</v>
      </c>
      <c r="E1686" s="1244">
        <f>+'INPUT - B Schedule PLANT'!CE59</f>
        <v>0</v>
      </c>
      <c r="F1686" s="1244">
        <f>+'INPUT - B Schedule PLANT'!CF59</f>
        <v>0</v>
      </c>
      <c r="G1686" s="1244">
        <f>SUM(D1686:F1686)</f>
        <v>148028.20000000001</v>
      </c>
      <c r="H1686" s="1243"/>
      <c r="I1686" s="1246">
        <f t="shared" si="295"/>
        <v>71749.549999999945</v>
      </c>
      <c r="J1686" s="377">
        <v>6.6699999999999995E-2</v>
      </c>
      <c r="K1686" s="1244">
        <f t="shared" si="296"/>
        <v>823</v>
      </c>
      <c r="L1686" s="1244">
        <v>0</v>
      </c>
      <c r="M1686" s="1244">
        <f t="shared" si="297"/>
        <v>0</v>
      </c>
      <c r="N1686" s="1244">
        <v>0</v>
      </c>
      <c r="O1686" s="1244">
        <f t="shared" si="298"/>
        <v>72572.549999999945</v>
      </c>
    </row>
    <row r="1687" spans="1:15">
      <c r="A1687" s="361">
        <f t="shared" si="299"/>
        <v>16</v>
      </c>
      <c r="B1687" s="367"/>
      <c r="C1687" s="358" t="s">
        <v>425</v>
      </c>
      <c r="D1687" s="1243">
        <f>SUM(D1673:D1686)</f>
        <v>6557619.5999999996</v>
      </c>
      <c r="E1687" s="1243">
        <f>SUM(E1673:E1686)</f>
        <v>11688.67</v>
      </c>
      <c r="F1687" s="1243">
        <f>SUM(F1673:F1686)</f>
        <v>-214.11</v>
      </c>
      <c r="G1687" s="1243">
        <f>SUM(G1673:G1686)</f>
        <v>6569094.1599999992</v>
      </c>
      <c r="H1687" s="1243"/>
      <c r="I1687" s="1243">
        <f>SUM(I1673:I1686)</f>
        <v>2007387.47</v>
      </c>
      <c r="J1687" s="369"/>
      <c r="K1687" s="1243">
        <f>SUM(K1673:K1686)</f>
        <v>22640</v>
      </c>
      <c r="L1687" s="1243">
        <f>SUM(L1673:L1686)</f>
        <v>0</v>
      </c>
      <c r="M1687" s="1243">
        <f>SUM(M1673:M1686)</f>
        <v>-214.11</v>
      </c>
      <c r="N1687" s="1243">
        <f>SUM(N1673:N1686)</f>
        <v>0</v>
      </c>
      <c r="O1687" s="1243">
        <f>SUM(O1673:O1686)</f>
        <v>2029813.36</v>
      </c>
    </row>
    <row r="1688" spans="1:15">
      <c r="A1688" s="361"/>
      <c r="D1688" s="1243"/>
      <c r="E1688" s="1243"/>
      <c r="F1688" s="1243"/>
      <c r="G1688" s="1243"/>
      <c r="H1688" s="1243"/>
      <c r="I1688" s="1243"/>
      <c r="J1688" s="369"/>
      <c r="K1688" s="1243"/>
      <c r="L1688" s="1243"/>
      <c r="M1688" s="1243"/>
      <c r="N1688" s="1243"/>
      <c r="O1688" s="1243"/>
    </row>
    <row r="1689" spans="1:15">
      <c r="A1689" s="361">
        <f>A1687+1</f>
        <v>17</v>
      </c>
      <c r="B1689" s="363" t="s">
        <v>1038</v>
      </c>
      <c r="D1689" s="1243"/>
      <c r="E1689" s="1243"/>
      <c r="F1689" s="1243"/>
      <c r="G1689" s="1243"/>
      <c r="H1689" s="1243"/>
      <c r="I1689" s="1243"/>
      <c r="J1689" s="369"/>
      <c r="K1689" s="1243"/>
      <c r="L1689" s="1243"/>
      <c r="M1689" s="1243"/>
      <c r="N1689" s="1243"/>
      <c r="O1689" s="1243"/>
    </row>
    <row r="1690" spans="1:15">
      <c r="A1690" s="361">
        <f>A1689+1</f>
        <v>18</v>
      </c>
      <c r="B1690" s="365">
        <v>378.21</v>
      </c>
      <c r="C1690" s="358" t="s">
        <v>1037</v>
      </c>
      <c r="D1690" s="1244">
        <f>G1576</f>
        <v>-777092</v>
      </c>
      <c r="E1690" s="1244">
        <v>0</v>
      </c>
      <c r="F1690" s="1244">
        <v>0</v>
      </c>
      <c r="G1690" s="1244">
        <f>SUM(D1690:F1690)</f>
        <v>-777092</v>
      </c>
      <c r="H1690" s="1243"/>
      <c r="I1690" s="1244">
        <f>O1576</f>
        <v>-208658.68000000014</v>
      </c>
      <c r="J1690" s="377" t="s">
        <v>646</v>
      </c>
      <c r="K1690" s="1244">
        <f>$K$1348</f>
        <v>-2144.17</v>
      </c>
      <c r="L1690" s="1244">
        <v>0</v>
      </c>
      <c r="M1690" s="1244">
        <f>F1690</f>
        <v>0</v>
      </c>
      <c r="N1690" s="1244"/>
      <c r="O1690" s="1244">
        <f>I1690+K1690+L1690+M1690+N1690</f>
        <v>-210802.85000000015</v>
      </c>
    </row>
    <row r="1691" spans="1:15">
      <c r="A1691" s="361">
        <f>A1690+1</f>
        <v>19</v>
      </c>
      <c r="B1691" s="370"/>
      <c r="C1691" s="358" t="s">
        <v>1579</v>
      </c>
      <c r="D1691" s="1243">
        <f>SUM(D1690)</f>
        <v>-777092</v>
      </c>
      <c r="E1691" s="1243">
        <f>SUM(E1690)</f>
        <v>0</v>
      </c>
      <c r="F1691" s="1243">
        <f>SUM(F1690)</f>
        <v>0</v>
      </c>
      <c r="G1691" s="1243">
        <f>SUM(G1690)</f>
        <v>-777092</v>
      </c>
      <c r="H1691" s="1243"/>
      <c r="I1691" s="1243">
        <f>SUM(I1690)</f>
        <v>-208658.68000000014</v>
      </c>
      <c r="J1691" s="369"/>
      <c r="K1691" s="1243">
        <f>SUM(K1690)</f>
        <v>-2144.17</v>
      </c>
      <c r="L1691" s="1243">
        <f>SUM(L1690)</f>
        <v>0</v>
      </c>
      <c r="M1691" s="1243">
        <f>SUM(M1690)</f>
        <v>0</v>
      </c>
      <c r="N1691" s="1243">
        <f>SUM(N1690)</f>
        <v>0</v>
      </c>
      <c r="O1691" s="1243">
        <f>SUM(O1690)</f>
        <v>-210802.85000000015</v>
      </c>
    </row>
    <row r="1692" spans="1:15">
      <c r="A1692" s="361"/>
      <c r="B1692" s="370"/>
      <c r="D1692" s="1243"/>
      <c r="E1692" s="1243"/>
      <c r="F1692" s="1243"/>
      <c r="G1692" s="1243"/>
      <c r="H1692" s="1243"/>
      <c r="I1692" s="1243"/>
      <c r="J1692" s="369"/>
      <c r="K1692" s="1243"/>
      <c r="L1692" s="1243"/>
      <c r="M1692" s="1243"/>
      <c r="N1692" s="1243"/>
      <c r="O1692" s="1243"/>
    </row>
    <row r="1693" spans="1:15">
      <c r="A1693" s="361">
        <f>A1691+1</f>
        <v>20</v>
      </c>
      <c r="B1693" s="370"/>
      <c r="C1693" s="358" t="s">
        <v>2037</v>
      </c>
      <c r="D1693" s="1243">
        <f>D1620+D1653+D1687+D1691</f>
        <v>747022390.68942964</v>
      </c>
      <c r="E1693" s="1243">
        <f>E1620+E1653+E1687+E1691</f>
        <v>1776427.2179451173</v>
      </c>
      <c r="F1693" s="1243">
        <f>F1620+F1653+F1687+F1691</f>
        <v>-519381.0614267253</v>
      </c>
      <c r="G1693" s="1243">
        <f>G1620+G1653+G1687+G1691</f>
        <v>748279436.8459481</v>
      </c>
      <c r="H1693" s="1243"/>
      <c r="I1693" s="1243">
        <f>I1620+I1653+I1687+I1691</f>
        <v>181781904.9006328</v>
      </c>
      <c r="J1693" s="369"/>
      <c r="K1693" s="1243">
        <f>K1620+K1653+K1687+K1691</f>
        <v>1735117.0383055555</v>
      </c>
      <c r="L1693" s="1243">
        <f>L1620+L1653+L1687+L1691</f>
        <v>0</v>
      </c>
      <c r="M1693" s="1243">
        <f>M1620+M1653+M1687+M1691</f>
        <v>-519381.0614267253</v>
      </c>
      <c r="N1693" s="1243">
        <f>N1620+N1653+N1687+N1691</f>
        <v>-161396.5099363917</v>
      </c>
      <c r="O1693" s="1243">
        <f>O1620+O1653+O1687+O1691</f>
        <v>182836244.36757523</v>
      </c>
    </row>
    <row r="1694" spans="1:15">
      <c r="A1694" s="361"/>
      <c r="B1694" s="370"/>
      <c r="D1694" s="1243"/>
      <c r="E1694" s="1243"/>
      <c r="F1694" s="1243"/>
      <c r="G1694" s="1243"/>
      <c r="H1694" s="1243"/>
      <c r="I1694" s="1243"/>
      <c r="J1694" s="369"/>
      <c r="K1694" s="1243"/>
      <c r="L1694" s="1243"/>
      <c r="M1694" s="1243"/>
      <c r="N1694" s="1243"/>
      <c r="O1694" s="1243"/>
    </row>
    <row r="1695" spans="1:15">
      <c r="A1695" s="361">
        <f>A1693+1</f>
        <v>21</v>
      </c>
      <c r="B1695" s="370"/>
      <c r="C1695" s="358" t="s">
        <v>2038</v>
      </c>
      <c r="D1695" s="1243">
        <v>0</v>
      </c>
      <c r="E1695" s="1249">
        <v>0</v>
      </c>
      <c r="F1695" s="1249">
        <v>0</v>
      </c>
      <c r="G1695" s="1249">
        <f>SUM(D1695:F1695)</f>
        <v>0</v>
      </c>
      <c r="H1695" s="1243"/>
      <c r="I1695" s="1243">
        <f>O1581</f>
        <v>-6687302.71</v>
      </c>
      <c r="J1695" s="369"/>
      <c r="K1695" s="1243"/>
      <c r="L1695" s="1243"/>
      <c r="M1695" s="1243"/>
      <c r="N1695" s="1243"/>
      <c r="O1695" s="1243">
        <f>I1695+K1695+L1695+M1695+N1695</f>
        <v>-6687302.71</v>
      </c>
    </row>
    <row r="1696" spans="1:15">
      <c r="A1696" s="361"/>
      <c r="B1696" s="370"/>
      <c r="C1696" s="368"/>
      <c r="D1696" s="1243"/>
      <c r="E1696" s="1243"/>
      <c r="F1696" s="1243"/>
      <c r="G1696" s="1243"/>
      <c r="H1696" s="1243"/>
      <c r="I1696" s="1243"/>
      <c r="J1696" s="369"/>
      <c r="K1696" s="1243"/>
      <c r="L1696" s="1243"/>
      <c r="M1696" s="1243"/>
      <c r="N1696" s="1243"/>
      <c r="O1696" s="1243"/>
    </row>
    <row r="1697" spans="1:15">
      <c r="A1697" s="361">
        <f>A1695+1</f>
        <v>22</v>
      </c>
      <c r="C1697" s="358" t="s">
        <v>1603</v>
      </c>
      <c r="D1697" s="1247">
        <f>D1693+D1695</f>
        <v>747022390.68942964</v>
      </c>
      <c r="E1697" s="1247">
        <f t="shared" ref="E1697:O1697" si="301">E1693+E1695</f>
        <v>1776427.2179451173</v>
      </c>
      <c r="F1697" s="1247">
        <f t="shared" si="301"/>
        <v>-519381.0614267253</v>
      </c>
      <c r="G1697" s="1247">
        <f t="shared" si="301"/>
        <v>748279436.8459481</v>
      </c>
      <c r="H1697" s="1243"/>
      <c r="I1697" s="1247">
        <f t="shared" si="301"/>
        <v>175094602.19063279</v>
      </c>
      <c r="J1697" s="369"/>
      <c r="K1697" s="1247">
        <f t="shared" si="301"/>
        <v>1735117.0383055555</v>
      </c>
      <c r="L1697" s="1247">
        <f t="shared" si="301"/>
        <v>0</v>
      </c>
      <c r="M1697" s="1247">
        <f t="shared" si="301"/>
        <v>-519381.0614267253</v>
      </c>
      <c r="N1697" s="1247">
        <f t="shared" si="301"/>
        <v>-161396.5099363917</v>
      </c>
      <c r="O1697" s="1247">
        <f t="shared" si="301"/>
        <v>176148941.65757522</v>
      </c>
    </row>
    <row r="1698" spans="1:15">
      <c r="A1698" s="361"/>
      <c r="D1698" s="1243"/>
      <c r="E1698" s="1243"/>
      <c r="F1698" s="1243"/>
      <c r="G1698" s="1243"/>
      <c r="H1698" s="1243"/>
      <c r="I1698" s="1243"/>
      <c r="J1698" s="369"/>
      <c r="K1698" s="1243"/>
      <c r="L1698" s="1243"/>
      <c r="M1698" s="1243"/>
      <c r="N1698" s="1243"/>
      <c r="O1698" s="1243"/>
    </row>
    <row r="1699" spans="1:15">
      <c r="A1699" s="361"/>
      <c r="D1699" s="1243"/>
      <c r="E1699" s="1243"/>
      <c r="F1699" s="1243"/>
      <c r="G1699" s="1243"/>
      <c r="H1699" s="1243"/>
      <c r="I1699" s="1243"/>
      <c r="J1699" s="369"/>
      <c r="K1699" s="1243"/>
      <c r="L1699" s="1243"/>
      <c r="M1699" s="1243"/>
      <c r="N1699" s="1243"/>
      <c r="O1699" s="1243"/>
    </row>
    <row r="1700" spans="1:15">
      <c r="A1700" s="361">
        <f>A1697+1</f>
        <v>23</v>
      </c>
      <c r="B1700" s="363" t="s">
        <v>1774</v>
      </c>
      <c r="D1700" s="1243"/>
      <c r="E1700" s="1243"/>
      <c r="F1700" s="1243"/>
      <c r="G1700" s="1243"/>
      <c r="H1700" s="1243"/>
      <c r="I1700" s="1243"/>
      <c r="J1700" s="369"/>
      <c r="K1700" s="1243"/>
      <c r="L1700" s="1243"/>
      <c r="M1700" s="1243"/>
      <c r="N1700" s="1243"/>
      <c r="O1700" s="1243"/>
    </row>
    <row r="1701" spans="1:15">
      <c r="A1701" s="361">
        <f t="shared" ref="A1701:A1706" si="302">A1700+1</f>
        <v>24</v>
      </c>
      <c r="B1701" s="365">
        <v>376</v>
      </c>
      <c r="C1701" s="358" t="s">
        <v>1775</v>
      </c>
      <c r="D1701" s="1243">
        <f>G1587</f>
        <v>31756171.739999998</v>
      </c>
      <c r="E1701" s="1243">
        <f>'WPB-2.1.D SMRP'!E662</f>
        <v>2429478.0099999998</v>
      </c>
      <c r="F1701" s="1243">
        <f>'WPB-2.1.D SMRP'!F662</f>
        <v>-799.82350260522298</v>
      </c>
      <c r="G1701" s="1243">
        <f>SUM(D1701:F1701)</f>
        <v>34184849.926497392</v>
      </c>
      <c r="H1701" s="1243"/>
      <c r="I1701" s="1243">
        <f>O1587</f>
        <v>-59463.91599999999</v>
      </c>
      <c r="J1701" s="376">
        <v>1.7399999999999999E-2</v>
      </c>
      <c r="K1701" s="1243">
        <f>'WPB-2.1.D SMRP'!K662</f>
        <v>47806.792000000001</v>
      </c>
      <c r="L1701" s="1243">
        <v>0</v>
      </c>
      <c r="M1701" s="1243">
        <f>F1701</f>
        <v>-799.82350260522298</v>
      </c>
      <c r="N1701" s="1243">
        <f>'WPB-2.1.D SMRP'!N662</f>
        <v>-9.5400636083071486</v>
      </c>
      <c r="O1701" s="1243">
        <f>I1701+K1701+L1701+M1701+N1701</f>
        <v>-12466.487566213518</v>
      </c>
    </row>
    <row r="1702" spans="1:15">
      <c r="A1702" s="361">
        <f t="shared" si="302"/>
        <v>25</v>
      </c>
      <c r="B1702" s="365">
        <v>378.2</v>
      </c>
      <c r="C1702" s="358" t="s">
        <v>1776</v>
      </c>
      <c r="D1702" s="1243">
        <f>G1588</f>
        <v>-374428.06000000006</v>
      </c>
      <c r="E1702" s="1243">
        <f>'WPB-2.1.D SMRP'!E663</f>
        <v>207785.36</v>
      </c>
      <c r="F1702" s="1243">
        <f>'WPB-2.1.D SMRP'!F663</f>
        <v>-18669.759999999998</v>
      </c>
      <c r="G1702" s="1243">
        <f>SUM(D1702:F1702)</f>
        <v>-185312.46000000008</v>
      </c>
      <c r="H1702" s="1243"/>
      <c r="I1702" s="1243">
        <f>O1588</f>
        <v>-461059.23899999994</v>
      </c>
      <c r="J1702" s="376">
        <v>2.52E-2</v>
      </c>
      <c r="K1702" s="1243">
        <f>'WPB-2.1.D SMRP'!K663</f>
        <v>-587.42899999999997</v>
      </c>
      <c r="L1702" s="1243">
        <v>0</v>
      </c>
      <c r="M1702" s="1243">
        <f>F1702</f>
        <v>-18669.759999999998</v>
      </c>
      <c r="N1702" s="1243">
        <f>'WPB-2.1.D SMRP'!N663</f>
        <v>-4717.51</v>
      </c>
      <c r="O1702" s="1243">
        <f>I1702+K1702+L1702+M1702+N1702</f>
        <v>-485033.93799999997</v>
      </c>
    </row>
    <row r="1703" spans="1:15">
      <c r="A1703" s="361">
        <f t="shared" si="302"/>
        <v>26</v>
      </c>
      <c r="B1703" s="365">
        <v>380</v>
      </c>
      <c r="C1703" s="358" t="s">
        <v>1777</v>
      </c>
      <c r="D1703" s="1243">
        <f>G1589</f>
        <v>11366299.410570366</v>
      </c>
      <c r="E1703" s="1243">
        <f>'WPB-2.1.D SMRP'!E664</f>
        <v>1525237.13</v>
      </c>
      <c r="F1703" s="1243">
        <f>'WPB-2.1.D SMRP'!F664</f>
        <v>-588253.96</v>
      </c>
      <c r="G1703" s="1243">
        <f>SUM(D1703:F1703)</f>
        <v>12303282.580570366</v>
      </c>
      <c r="H1703" s="1243"/>
      <c r="I1703" s="1243">
        <f>O1589</f>
        <v>-4902137.5050216336</v>
      </c>
      <c r="J1703" s="376">
        <v>3.9800000000000002E-2</v>
      </c>
      <c r="K1703" s="1243">
        <f>'WPB-2.1.D SMRP'!K664</f>
        <v>39251.83</v>
      </c>
      <c r="L1703" s="1243">
        <v>0</v>
      </c>
      <c r="M1703" s="1243">
        <f>F1703</f>
        <v>-588253.96</v>
      </c>
      <c r="N1703" s="1243">
        <f>'WPB-2.1.D SMRP'!N664</f>
        <v>-536243.75</v>
      </c>
      <c r="O1703" s="1243">
        <f>I1703+K1703+L1703+M1703+N1703</f>
        <v>-5987383.3850216335</v>
      </c>
    </row>
    <row r="1704" spans="1:15">
      <c r="A1704" s="361">
        <f t="shared" si="302"/>
        <v>27</v>
      </c>
      <c r="B1704" s="365">
        <v>382</v>
      </c>
      <c r="C1704" s="358" t="s">
        <v>1778</v>
      </c>
      <c r="D1704" s="1243">
        <f>G1590</f>
        <v>178773.72</v>
      </c>
      <c r="E1704" s="1243">
        <f>'WPB-2.1.D SMRP'!E665</f>
        <v>212.62</v>
      </c>
      <c r="F1704" s="1243">
        <f>'WPB-2.1.D SMRP'!F665</f>
        <v>-1895.6328350574754</v>
      </c>
      <c r="G1704" s="1243">
        <f>SUM(D1704:F1704)</f>
        <v>177090.70716494252</v>
      </c>
      <c r="H1704" s="1243"/>
      <c r="I1704" s="1243">
        <f>O1590</f>
        <v>-52233.724000000002</v>
      </c>
      <c r="J1704" s="376">
        <v>1.77E-2</v>
      </c>
      <c r="K1704" s="1243">
        <f>'WPB-2.1.D SMRP'!K665</f>
        <v>262.75900000000001</v>
      </c>
      <c r="L1704" s="1243">
        <v>0</v>
      </c>
      <c r="M1704" s="1243">
        <f>F1704</f>
        <v>-1895.6328350574754</v>
      </c>
      <c r="N1704" s="1243">
        <f>'WPB-2.1.D SMRP'!N665</f>
        <v>0</v>
      </c>
      <c r="O1704" s="1243">
        <f>I1704+K1704+L1704+M1704+N1704</f>
        <v>-53866.597835057481</v>
      </c>
    </row>
    <row r="1705" spans="1:15">
      <c r="A1705" s="361">
        <f t="shared" si="302"/>
        <v>28</v>
      </c>
      <c r="B1705" s="365">
        <v>383</v>
      </c>
      <c r="C1705" s="358" t="s">
        <v>1779</v>
      </c>
      <c r="D1705" s="1244">
        <f>G1591</f>
        <v>16476.75</v>
      </c>
      <c r="E1705" s="1244">
        <f>'WPB-2.1.D SMRP'!E666</f>
        <v>29826.93</v>
      </c>
      <c r="F1705" s="1244">
        <f>'WPB-2.1.D SMRP'!F666</f>
        <v>-135.42223561193455</v>
      </c>
      <c r="G1705" s="1244">
        <f>SUM(D1705:F1705)</f>
        <v>46168.257764388065</v>
      </c>
      <c r="H1705" s="1243"/>
      <c r="I1705" s="1244">
        <f>O1591</f>
        <v>-7673.7209999999995</v>
      </c>
      <c r="J1705" s="376">
        <v>1.9400000000000001E-2</v>
      </c>
      <c r="K1705" s="1244">
        <f>'WPB-2.1.D SMRP'!K666</f>
        <v>51.001000000000005</v>
      </c>
      <c r="L1705" s="1244">
        <v>0</v>
      </c>
      <c r="M1705" s="1244">
        <f>F1705</f>
        <v>-135.42223561193455</v>
      </c>
      <c r="N1705" s="1244">
        <f>'WPB-2.1.D SMRP'!N666</f>
        <v>0</v>
      </c>
      <c r="O1705" s="1244">
        <f>I1705+K1705+L1705+M1705+N1705</f>
        <v>-7758.1422356119338</v>
      </c>
    </row>
    <row r="1706" spans="1:15">
      <c r="A1706" s="361">
        <f t="shared" si="302"/>
        <v>29</v>
      </c>
      <c r="C1706" s="358" t="s">
        <v>1780</v>
      </c>
      <c r="D1706" s="1243">
        <f>SUM(D1701:D1705)</f>
        <v>42943293.560570367</v>
      </c>
      <c r="E1706" s="1243">
        <f>SUM(E1701:E1705)</f>
        <v>4192540.05</v>
      </c>
      <c r="F1706" s="1243">
        <f>SUM(F1701:F1705)</f>
        <v>-609754.59857327456</v>
      </c>
      <c r="G1706" s="1243">
        <f>SUM(G1701:G1705)</f>
        <v>46526079.011997096</v>
      </c>
      <c r="H1706" s="1243"/>
      <c r="I1706" s="1243">
        <f>SUM(I1701:I1705)</f>
        <v>-5482568.1050216341</v>
      </c>
      <c r="J1706" s="369"/>
      <c r="K1706" s="1243">
        <f>SUM(K1701:K1705)</f>
        <v>86784.953000000009</v>
      </c>
      <c r="L1706" s="1243">
        <f>SUM(L1701:L1705)</f>
        <v>0</v>
      </c>
      <c r="M1706" s="1243">
        <f>SUM(M1701:M1705)</f>
        <v>-609754.59857327456</v>
      </c>
      <c r="N1706" s="1243">
        <f>SUM(N1701:N1705)</f>
        <v>-540970.80006360833</v>
      </c>
      <c r="O1706" s="1243">
        <f>SUM(O1701:O1705)</f>
        <v>-6546508.5506585157</v>
      </c>
    </row>
    <row r="1707" spans="1:15">
      <c r="A1707" s="361"/>
      <c r="D1707" s="1243"/>
      <c r="E1707" s="1243"/>
      <c r="F1707" s="1243"/>
      <c r="G1707" s="1243"/>
      <c r="H1707" s="1243"/>
      <c r="I1707" s="1243"/>
      <c r="J1707" s="369"/>
      <c r="K1707" s="1243"/>
      <c r="L1707" s="1243"/>
      <c r="M1707" s="1243"/>
      <c r="N1707" s="1243"/>
      <c r="O1707" s="1243"/>
    </row>
    <row r="1708" spans="1:15" ht="13.5" thickBot="1">
      <c r="A1708" s="361">
        <f>A1706+1</f>
        <v>30</v>
      </c>
      <c r="C1708" s="358" t="s">
        <v>447</v>
      </c>
      <c r="D1708" s="1248">
        <f>D1697+D1706</f>
        <v>789965684.25</v>
      </c>
      <c r="E1708" s="1248">
        <f>E1697+E1706</f>
        <v>5968967.2679451173</v>
      </c>
      <c r="F1708" s="1248">
        <f>F1697+F1706</f>
        <v>-1129135.6599999999</v>
      </c>
      <c r="G1708" s="1248">
        <f>G1697+G1706</f>
        <v>794805515.8579452</v>
      </c>
      <c r="H1708" s="1243"/>
      <c r="I1708" s="1248">
        <f>I1697+I1706</f>
        <v>169612034.08561116</v>
      </c>
      <c r="J1708" s="369"/>
      <c r="K1708" s="1248">
        <f>K1697+K1706</f>
        <v>1821901.9913055554</v>
      </c>
      <c r="L1708" s="1248">
        <f>L1697+L1706</f>
        <v>0</v>
      </c>
      <c r="M1708" s="1248">
        <f>M1697+M1706</f>
        <v>-1129135.6599999999</v>
      </c>
      <c r="N1708" s="1248">
        <f>N1697+N1706</f>
        <v>-702367.31</v>
      </c>
      <c r="O1708" s="1248">
        <f>O1697+O1706</f>
        <v>169602433.1069167</v>
      </c>
    </row>
    <row r="1709" spans="1:15" ht="13.5" thickTop="1"/>
    <row r="1711" spans="1:15" s="291" customFormat="1">
      <c r="A1711" s="1308" t="str">
        <f>$A$1</f>
        <v>COLUMBIA GAS OF KENTUCKY, INC.</v>
      </c>
      <c r="B1711" s="1308"/>
      <c r="C1711" s="1308"/>
      <c r="D1711" s="1308"/>
      <c r="E1711" s="1308"/>
      <c r="F1711" s="1308"/>
      <c r="G1711" s="1308"/>
      <c r="H1711" s="1308"/>
      <c r="I1711" s="1308"/>
      <c r="J1711" s="1308"/>
      <c r="K1711" s="1308"/>
      <c r="L1711" s="1308"/>
      <c r="M1711" s="1308"/>
      <c r="N1711" s="1308"/>
      <c r="O1711" s="1308"/>
    </row>
    <row r="1712" spans="1:15" s="291" customFormat="1">
      <c r="A1712" s="1308" t="str">
        <f>$A$2</f>
        <v>CASE NO. 2024 - 00092</v>
      </c>
      <c r="B1712" s="1308"/>
      <c r="C1712" s="1308"/>
      <c r="D1712" s="1308"/>
      <c r="E1712" s="1308"/>
      <c r="F1712" s="1308"/>
      <c r="G1712" s="1308"/>
      <c r="H1712" s="1308"/>
      <c r="I1712" s="1308"/>
      <c r="J1712" s="1308"/>
      <c r="K1712" s="1308"/>
      <c r="L1712" s="1308"/>
      <c r="M1712" s="1308"/>
      <c r="N1712" s="1308"/>
      <c r="O1712" s="1308"/>
    </row>
    <row r="1713" spans="1:16" s="291" customFormat="1">
      <c r="A1713" s="1308" t="str">
        <f>$A$3</f>
        <v>DETAIL OF ACTUAL &amp; FORECASTED PLANT, ACCUMULATED RESERVE &amp; DEPRECIATION EXPENSE</v>
      </c>
      <c r="B1713" s="1308"/>
      <c r="C1713" s="1308"/>
      <c r="D1713" s="1308"/>
      <c r="E1713" s="1308"/>
      <c r="F1713" s="1308"/>
      <c r="G1713" s="1308"/>
      <c r="H1713" s="1308"/>
      <c r="I1713" s="1308"/>
      <c r="J1713" s="1308"/>
      <c r="K1713" s="1308"/>
      <c r="L1713" s="1308"/>
      <c r="M1713" s="1308"/>
      <c r="N1713" s="1308"/>
      <c r="O1713" s="1308"/>
      <c r="P1713" s="357"/>
    </row>
    <row r="1714" spans="1:16" s="291" customFormat="1">
      <c r="A1714" s="1308" t="str">
        <f>$A$4</f>
        <v>FROM JANUARY 01, 2023 THROUGH DECEMBER 31, 2025</v>
      </c>
      <c r="B1714" s="1308"/>
      <c r="C1714" s="1308"/>
      <c r="D1714" s="1308"/>
      <c r="E1714" s="1308"/>
      <c r="F1714" s="1308"/>
      <c r="G1714" s="1308"/>
      <c r="H1714" s="1308"/>
      <c r="I1714" s="1308"/>
      <c r="J1714" s="1308"/>
      <c r="K1714" s="1308"/>
      <c r="L1714" s="1308"/>
      <c r="M1714" s="1308"/>
      <c r="N1714" s="1308"/>
      <c r="O1714" s="1308"/>
    </row>
    <row r="1715" spans="1:16" s="291" customFormat="1">
      <c r="B1715" s="293"/>
      <c r="P1715" s="312"/>
    </row>
    <row r="1716" spans="1:16" s="291" customFormat="1">
      <c r="A1716" s="297" t="str">
        <f>$A$6</f>
        <v xml:space="preserve">DATA: _X_ BASE PERIOD _X_ FORECASTED PERIOD     </v>
      </c>
      <c r="B1716" s="293"/>
      <c r="O1716" s="312" t="str">
        <f>$O$6</f>
        <v>WPB-2.1.C</v>
      </c>
      <c r="P1716" s="312"/>
    </row>
    <row r="1717" spans="1:16" s="291" customFormat="1">
      <c r="A1717" s="297" t="str">
        <f>$A$7</f>
        <v>TYPE OF FILING:___X___ORIGINAL______UPDATED</v>
      </c>
      <c r="B1717" s="293"/>
      <c r="O1717" s="312" t="s">
        <v>2192</v>
      </c>
      <c r="P1717" s="312"/>
    </row>
    <row r="1718" spans="1:16" s="291" customFormat="1">
      <c r="A1718" s="297" t="str">
        <f>$A$8</f>
        <v>WORKPAPER REFERENCE NO(S).:</v>
      </c>
      <c r="B1718" s="293"/>
      <c r="O1718" s="312" t="str">
        <f>$O$8</f>
        <v>WITNESS: GORE</v>
      </c>
    </row>
    <row r="1719" spans="1:16">
      <c r="A1719" s="918"/>
      <c r="B1719" s="919"/>
      <c r="C1719" s="918"/>
      <c r="D1719" s="918"/>
      <c r="E1719" s="918"/>
      <c r="F1719" s="918"/>
      <c r="G1719" s="918"/>
      <c r="H1719" s="918"/>
      <c r="I1719" s="918"/>
      <c r="J1719" s="918"/>
      <c r="K1719" s="918"/>
      <c r="L1719" s="918"/>
      <c r="M1719" s="918"/>
      <c r="N1719" s="918"/>
      <c r="O1719" s="920"/>
    </row>
    <row r="1720" spans="1:16">
      <c r="D1720" s="1311" t="s">
        <v>1768</v>
      </c>
      <c r="E1720" s="1311"/>
      <c r="F1720" s="1311"/>
      <c r="G1720" s="1311"/>
      <c r="I1720" s="1311" t="s">
        <v>1769</v>
      </c>
      <c r="J1720" s="1311"/>
      <c r="K1720" s="1311"/>
      <c r="L1720" s="1311"/>
      <c r="M1720" s="1311"/>
      <c r="N1720" s="1311"/>
      <c r="O1720" s="1311"/>
    </row>
    <row r="1721" spans="1:16">
      <c r="D1721" s="360">
        <f>G1666+1</f>
        <v>45383</v>
      </c>
      <c r="G1721" s="360">
        <f>D1721+29</f>
        <v>45412</v>
      </c>
      <c r="I1721" s="360">
        <f>D1721</f>
        <v>45383</v>
      </c>
      <c r="O1721" s="360">
        <f>G1721</f>
        <v>45412</v>
      </c>
    </row>
    <row r="1722" spans="1:16">
      <c r="D1722" s="361" t="s">
        <v>1757</v>
      </c>
      <c r="G1722" s="361" t="s">
        <v>1757</v>
      </c>
      <c r="I1722" s="361" t="s">
        <v>1758</v>
      </c>
      <c r="J1722" s="361" t="s">
        <v>488</v>
      </c>
      <c r="L1722" s="361" t="s">
        <v>1758</v>
      </c>
      <c r="O1722" s="361" t="s">
        <v>1758</v>
      </c>
    </row>
    <row r="1723" spans="1:16">
      <c r="A1723" s="361" t="s">
        <v>1770</v>
      </c>
      <c r="B1723" s="361" t="s">
        <v>368</v>
      </c>
      <c r="C1723" s="361"/>
      <c r="D1723" s="361" t="s">
        <v>437</v>
      </c>
      <c r="G1723" s="361" t="s">
        <v>439</v>
      </c>
      <c r="I1723" s="361" t="s">
        <v>437</v>
      </c>
      <c r="J1723" s="361" t="s">
        <v>1771</v>
      </c>
      <c r="K1723" s="361" t="s">
        <v>1772</v>
      </c>
      <c r="L1723" s="361" t="s">
        <v>1759</v>
      </c>
      <c r="N1723" s="361" t="s">
        <v>1760</v>
      </c>
      <c r="O1723" s="361" t="s">
        <v>439</v>
      </c>
    </row>
    <row r="1724" spans="1:16">
      <c r="A1724" s="364" t="s">
        <v>316</v>
      </c>
      <c r="B1724" s="364" t="s">
        <v>316</v>
      </c>
      <c r="C1724" s="364" t="s">
        <v>451</v>
      </c>
      <c r="D1724" s="364" t="s">
        <v>441</v>
      </c>
      <c r="E1724" s="364" t="s">
        <v>442</v>
      </c>
      <c r="F1724" s="364" t="s">
        <v>443</v>
      </c>
      <c r="G1724" s="364" t="s">
        <v>441</v>
      </c>
      <c r="I1724" s="364" t="s">
        <v>441</v>
      </c>
      <c r="J1724" s="364" t="s">
        <v>1773</v>
      </c>
      <c r="K1724" s="364" t="s">
        <v>1771</v>
      </c>
      <c r="L1724" s="364" t="s">
        <v>355</v>
      </c>
      <c r="M1724" s="364" t="s">
        <v>443</v>
      </c>
      <c r="N1724" s="364" t="s">
        <v>1763</v>
      </c>
      <c r="O1724" s="364" t="s">
        <v>441</v>
      </c>
    </row>
    <row r="1725" spans="1:16">
      <c r="D1725" s="361" t="s">
        <v>532</v>
      </c>
      <c r="E1725" s="361" t="s">
        <v>541</v>
      </c>
      <c r="F1725" s="361" t="s">
        <v>542</v>
      </c>
      <c r="G1725" s="361" t="s">
        <v>1764</v>
      </c>
      <c r="I1725" s="334" t="str">
        <f>"(5)"</f>
        <v>(5)</v>
      </c>
      <c r="J1725" s="334" t="str">
        <f>"(6)"</f>
        <v>(6)</v>
      </c>
      <c r="K1725" s="334" t="str">
        <f>"(7)=((1+4)/2*6/12))"</f>
        <v>(7)=((1+4)/2*6/12))</v>
      </c>
      <c r="L1725" s="334" t="str">
        <f>"(8)"</f>
        <v>(8)</v>
      </c>
      <c r="M1725" s="334" t="str">
        <f>"(9)"</f>
        <v>(9)</v>
      </c>
      <c r="N1725" s="334" t="str">
        <f>"(10)"</f>
        <v>(10)</v>
      </c>
      <c r="O1725" s="334" t="str">
        <f>"(11=5+7+8+9+10)"</f>
        <v>(11=5+7+8+9+10)</v>
      </c>
    </row>
    <row r="1726" spans="1:16">
      <c r="D1726" s="361" t="s">
        <v>320</v>
      </c>
      <c r="E1726" s="361" t="s">
        <v>320</v>
      </c>
      <c r="F1726" s="361" t="s">
        <v>320</v>
      </c>
      <c r="G1726" s="361" t="s">
        <v>320</v>
      </c>
      <c r="I1726" s="334" t="s">
        <v>320</v>
      </c>
      <c r="J1726" s="334" t="s">
        <v>529</v>
      </c>
      <c r="K1726" s="334" t="s">
        <v>320</v>
      </c>
      <c r="L1726" s="334" t="s">
        <v>320</v>
      </c>
      <c r="M1726" s="334" t="s">
        <v>320</v>
      </c>
      <c r="N1726" s="334" t="s">
        <v>320</v>
      </c>
      <c r="O1726" s="334" t="s">
        <v>320</v>
      </c>
    </row>
    <row r="1727" spans="1:16">
      <c r="A1727" s="361">
        <v>1</v>
      </c>
      <c r="B1727" s="362" t="s">
        <v>373</v>
      </c>
      <c r="D1727" s="361"/>
      <c r="E1727" s="361"/>
      <c r="F1727" s="361"/>
      <c r="G1727" s="361"/>
      <c r="I1727" s="334"/>
      <c r="J1727" s="334"/>
      <c r="K1727" s="334"/>
      <c r="L1727" s="334"/>
      <c r="M1727" s="334"/>
      <c r="N1727" s="334"/>
      <c r="O1727" s="334"/>
    </row>
    <row r="1728" spans="1:16">
      <c r="A1728" s="361">
        <f>A1727+1</f>
        <v>2</v>
      </c>
      <c r="B1728" s="365">
        <v>301</v>
      </c>
      <c r="C1728" s="358" t="s">
        <v>374</v>
      </c>
      <c r="D1728" s="1243">
        <f t="shared" ref="D1728:D1733" si="303">G1614</f>
        <v>521.20000000000005</v>
      </c>
      <c r="E1728" s="1243">
        <v>0</v>
      </c>
      <c r="F1728" s="1243">
        <v>0</v>
      </c>
      <c r="G1728" s="1243">
        <f t="shared" ref="G1728:G1733" si="304">SUM(D1728:F1728)</f>
        <v>521.20000000000005</v>
      </c>
      <c r="H1728" s="1243"/>
      <c r="I1728" s="1243">
        <f t="shared" ref="I1728:I1733" si="305">O1614</f>
        <v>0</v>
      </c>
      <c r="J1728" s="375" t="str">
        <f>$J$1614</f>
        <v>Amort.</v>
      </c>
      <c r="K1728" s="1243">
        <v>0</v>
      </c>
      <c r="L1728" s="1243">
        <v>0</v>
      </c>
      <c r="M1728" s="1243">
        <f t="shared" ref="M1728:M1733" si="306">F1728</f>
        <v>0</v>
      </c>
      <c r="N1728" s="1243">
        <v>0</v>
      </c>
      <c r="O1728" s="1243">
        <f t="shared" ref="O1728:O1733" si="307">I1728+K1728+L1728+M1728+N1728</f>
        <v>0</v>
      </c>
    </row>
    <row r="1729" spans="1:15">
      <c r="A1729" s="361">
        <f t="shared" ref="A1729:A1734" si="308">A1728+1</f>
        <v>3</v>
      </c>
      <c r="B1729" s="365">
        <v>303</v>
      </c>
      <c r="C1729" s="358" t="s">
        <v>375</v>
      </c>
      <c r="D1729" s="1243">
        <f t="shared" si="303"/>
        <v>96334.51</v>
      </c>
      <c r="E1729" s="1243">
        <v>0</v>
      </c>
      <c r="F1729" s="1243">
        <v>0</v>
      </c>
      <c r="G1729" s="1243">
        <f t="shared" si="304"/>
        <v>96334.51</v>
      </c>
      <c r="H1729" s="1243"/>
      <c r="I1729" s="1243">
        <f t="shared" si="305"/>
        <v>79665.163416666721</v>
      </c>
      <c r="J1729" s="375" t="str">
        <f>$J$1615</f>
        <v>Amort.</v>
      </c>
      <c r="K1729" s="1243">
        <f>+'WPB-2.1.E Intangibles'!H47</f>
        <v>267.59780555555557</v>
      </c>
      <c r="L1729" s="1243">
        <v>0</v>
      </c>
      <c r="M1729" s="1243">
        <f t="shared" si="306"/>
        <v>0</v>
      </c>
      <c r="N1729" s="1243">
        <v>0</v>
      </c>
      <c r="O1729" s="1243">
        <f t="shared" si="307"/>
        <v>79932.761222222282</v>
      </c>
    </row>
    <row r="1730" spans="1:15">
      <c r="A1730" s="361">
        <f t="shared" si="308"/>
        <v>4</v>
      </c>
      <c r="B1730" s="365">
        <v>303.10000000000002</v>
      </c>
      <c r="C1730" s="358" t="s">
        <v>376</v>
      </c>
      <c r="D1730" s="1243">
        <f t="shared" si="303"/>
        <v>943.27</v>
      </c>
      <c r="E1730" s="1243">
        <v>0</v>
      </c>
      <c r="F1730" s="1243">
        <v>0</v>
      </c>
      <c r="G1730" s="1243">
        <f t="shared" si="304"/>
        <v>943.27</v>
      </c>
      <c r="H1730" s="1243"/>
      <c r="I1730" s="1243">
        <f t="shared" si="305"/>
        <v>318.35000000000008</v>
      </c>
      <c r="J1730" s="375" t="str">
        <f>$J$1616</f>
        <v>Amort.</v>
      </c>
      <c r="K1730" s="1243">
        <v>0</v>
      </c>
      <c r="L1730" s="1243">
        <v>0</v>
      </c>
      <c r="M1730" s="1243">
        <f t="shared" si="306"/>
        <v>0</v>
      </c>
      <c r="N1730" s="1243">
        <v>0</v>
      </c>
      <c r="O1730" s="1243">
        <f t="shared" si="307"/>
        <v>318.35000000000008</v>
      </c>
    </row>
    <row r="1731" spans="1:15">
      <c r="A1731" s="361">
        <f t="shared" si="308"/>
        <v>5</v>
      </c>
      <c r="B1731" s="365">
        <v>303.2</v>
      </c>
      <c r="C1731" s="358" t="s">
        <v>377</v>
      </c>
      <c r="D1731" s="1243">
        <f t="shared" si="303"/>
        <v>0</v>
      </c>
      <c r="E1731" s="1243">
        <v>0</v>
      </c>
      <c r="F1731" s="1243">
        <v>0</v>
      </c>
      <c r="G1731" s="1243">
        <f t="shared" si="304"/>
        <v>0</v>
      </c>
      <c r="H1731" s="1243"/>
      <c r="I1731" s="1243">
        <f t="shared" si="305"/>
        <v>0</v>
      </c>
      <c r="J1731" s="375" t="str">
        <f>$J$1617</f>
        <v>Amort.</v>
      </c>
      <c r="K1731" s="1243">
        <v>0</v>
      </c>
      <c r="L1731" s="1243">
        <v>0</v>
      </c>
      <c r="M1731" s="1243">
        <f t="shared" si="306"/>
        <v>0</v>
      </c>
      <c r="N1731" s="1243">
        <v>0</v>
      </c>
      <c r="O1731" s="1243">
        <f t="shared" si="307"/>
        <v>0</v>
      </c>
    </row>
    <row r="1732" spans="1:15">
      <c r="A1732" s="361">
        <f t="shared" si="308"/>
        <v>6</v>
      </c>
      <c r="B1732" s="365">
        <v>303.3</v>
      </c>
      <c r="C1732" s="358" t="s">
        <v>378</v>
      </c>
      <c r="D1732" s="1243">
        <f t="shared" si="303"/>
        <v>12924422.790000003</v>
      </c>
      <c r="E1732" s="1243">
        <f>+'WPB-2.1.E Intangibles'!H17</f>
        <v>184077</v>
      </c>
      <c r="F1732" s="1243">
        <f>-'WPB-2.1.E Intangibles'!H35</f>
        <v>-1759024.9</v>
      </c>
      <c r="G1732" s="1243">
        <f t="shared" si="304"/>
        <v>11349474.890000002</v>
      </c>
      <c r="H1732" s="1243"/>
      <c r="I1732" s="1243">
        <f t="shared" si="305"/>
        <v>6944879.0770000024</v>
      </c>
      <c r="J1732" s="375" t="str">
        <f>$J$1618</f>
        <v>Amort.</v>
      </c>
      <c r="K1732" s="1243">
        <f>+'WPB-2.1.E Intangibles'!H48</f>
        <v>194438.80900000018</v>
      </c>
      <c r="L1732" s="1243">
        <v>0</v>
      </c>
      <c r="M1732" s="1243">
        <f t="shared" si="306"/>
        <v>-1759024.9</v>
      </c>
      <c r="N1732" s="1243">
        <v>0</v>
      </c>
      <c r="O1732" s="1243">
        <f t="shared" si="307"/>
        <v>5380292.9860000033</v>
      </c>
    </row>
    <row r="1733" spans="1:15">
      <c r="A1733" s="361">
        <f t="shared" si="308"/>
        <v>7</v>
      </c>
      <c r="B1733" s="365">
        <v>303.99</v>
      </c>
      <c r="C1733" s="358" t="s">
        <v>1129</v>
      </c>
      <c r="D1733" s="1244">
        <f t="shared" si="303"/>
        <v>2057637.2079451173</v>
      </c>
      <c r="E1733" s="1244">
        <f>+'WPB-2.1.E Intangibles'!H21</f>
        <v>4906.1673746638562</v>
      </c>
      <c r="F1733" s="1244">
        <f>-'WPB-2.1.E Intangibles'!H36</f>
        <v>0</v>
      </c>
      <c r="G1733" s="1244">
        <f t="shared" si="304"/>
        <v>2062543.375319781</v>
      </c>
      <c r="H1733" s="1243"/>
      <c r="I1733" s="1244">
        <f t="shared" si="305"/>
        <v>1045028.1855</v>
      </c>
      <c r="J1733" s="375" t="str">
        <f>$J$1619</f>
        <v>Amort.</v>
      </c>
      <c r="K1733" s="1244">
        <f>+'WPB-2.1.E Intangibles'!H49</f>
        <v>34926.825728122189</v>
      </c>
      <c r="L1733" s="1244">
        <v>0</v>
      </c>
      <c r="M1733" s="1244">
        <f t="shared" si="306"/>
        <v>0</v>
      </c>
      <c r="N1733" s="1244">
        <v>0</v>
      </c>
      <c r="O1733" s="1244">
        <f t="shared" si="307"/>
        <v>1079955.0112281223</v>
      </c>
    </row>
    <row r="1734" spans="1:15">
      <c r="A1734" s="361">
        <f t="shared" si="308"/>
        <v>8</v>
      </c>
      <c r="B1734" s="367"/>
      <c r="C1734" s="358" t="s">
        <v>379</v>
      </c>
      <c r="D1734" s="1243">
        <f>SUM(D1728:D1733)</f>
        <v>15079858.977945121</v>
      </c>
      <c r="E1734" s="1243">
        <f>SUM(E1728:E1733)</f>
        <v>188983.16737466387</v>
      </c>
      <c r="F1734" s="1243">
        <f>SUM(F1728:F1733)</f>
        <v>-1759024.9</v>
      </c>
      <c r="G1734" s="1243">
        <f>SUM(G1728:G1733)</f>
        <v>13509817.245319784</v>
      </c>
      <c r="H1734" s="1243"/>
      <c r="I1734" s="1243">
        <f>SUM(I1728:I1733)</f>
        <v>8069890.7759166686</v>
      </c>
      <c r="J1734" s="369"/>
      <c r="K1734" s="1243">
        <f>SUM(K1728:K1733)</f>
        <v>229633.23253367795</v>
      </c>
      <c r="L1734" s="1243">
        <f>SUM(L1728:L1733)</f>
        <v>0</v>
      </c>
      <c r="M1734" s="1243">
        <f>SUM(M1728:M1733)</f>
        <v>-1759024.9</v>
      </c>
      <c r="N1734" s="1243">
        <f>SUM(N1728:N1733)</f>
        <v>0</v>
      </c>
      <c r="O1734" s="1243">
        <f>SUM(O1728:O1733)</f>
        <v>6540499.1084503476</v>
      </c>
    </row>
    <row r="1735" spans="1:15">
      <c r="A1735" s="361"/>
      <c r="B1735" s="367"/>
      <c r="C1735" s="368"/>
      <c r="D1735" s="1243"/>
      <c r="E1735" s="1243"/>
      <c r="F1735" s="1243"/>
      <c r="G1735" s="1243"/>
      <c r="H1735" s="1243"/>
      <c r="I1735" s="1243"/>
      <c r="J1735" s="369"/>
      <c r="K1735" s="1243"/>
      <c r="L1735" s="1243"/>
      <c r="M1735" s="1243"/>
      <c r="N1735" s="1243"/>
      <c r="O1735" s="1243"/>
    </row>
    <row r="1736" spans="1:15">
      <c r="A1736" s="361">
        <f>A1734+1</f>
        <v>9</v>
      </c>
      <c r="B1736" s="362" t="s">
        <v>1600</v>
      </c>
      <c r="C1736" s="368"/>
      <c r="D1736" s="1243"/>
      <c r="E1736" s="1243"/>
      <c r="F1736" s="1243"/>
      <c r="G1736" s="1243"/>
      <c r="H1736" s="1243"/>
      <c r="I1736" s="1243"/>
      <c r="J1736" s="369"/>
      <c r="K1736" s="1243"/>
      <c r="L1736" s="1243"/>
      <c r="M1736" s="1243"/>
      <c r="N1736" s="1243"/>
      <c r="O1736" s="1243"/>
    </row>
    <row r="1737" spans="1:15">
      <c r="A1737" s="361">
        <f t="shared" ref="A1737:A1767" si="309">A1736+1</f>
        <v>10</v>
      </c>
      <c r="B1737" s="365">
        <v>374.1</v>
      </c>
      <c r="C1737" s="358" t="s">
        <v>382</v>
      </c>
      <c r="D1737" s="1243">
        <f t="shared" ref="D1737:D1766" si="310">G1623</f>
        <v>205.4</v>
      </c>
      <c r="E1737" s="1243">
        <f>+'INPUT - B Schedule PLANT'!CJ15</f>
        <v>0</v>
      </c>
      <c r="F1737" s="1243">
        <f>+'INPUT - B Schedule PLANT'!CK15</f>
        <v>0</v>
      </c>
      <c r="G1737" s="1243">
        <f>SUM(D1737:F1737)</f>
        <v>205.4</v>
      </c>
      <c r="H1737" s="1243"/>
      <c r="I1737" s="1243">
        <f t="shared" ref="I1737:I1766" si="311">O1623</f>
        <v>0</v>
      </c>
      <c r="J1737" s="375" t="str">
        <f>$J$1623</f>
        <v>Non-Dep.</v>
      </c>
      <c r="K1737" s="1243">
        <v>0</v>
      </c>
      <c r="L1737" s="1243">
        <v>0</v>
      </c>
      <c r="M1737" s="1243">
        <f t="shared" ref="M1737:M1766" si="312">F1737</f>
        <v>0</v>
      </c>
      <c r="N1737" s="1243">
        <v>0</v>
      </c>
      <c r="O1737" s="1243">
        <f t="shared" ref="O1737:O1766" si="313">I1737+K1737+L1737+M1737+N1737</f>
        <v>0</v>
      </c>
    </row>
    <row r="1738" spans="1:15">
      <c r="A1738" s="361">
        <f t="shared" si="309"/>
        <v>11</v>
      </c>
      <c r="B1738" s="365">
        <v>374.2</v>
      </c>
      <c r="C1738" s="358" t="s">
        <v>383</v>
      </c>
      <c r="D1738" s="1243">
        <f t="shared" si="310"/>
        <v>876986.66</v>
      </c>
      <c r="E1738" s="1243">
        <f>+'INPUT - B Schedule PLANT'!CJ16</f>
        <v>0</v>
      </c>
      <c r="F1738" s="1243">
        <f>+'INPUT - B Schedule PLANT'!CK16</f>
        <v>0</v>
      </c>
      <c r="G1738" s="1243">
        <f t="shared" ref="G1738:G1766" si="314">SUM(D1738:F1738)</f>
        <v>876986.66</v>
      </c>
      <c r="H1738" s="1243"/>
      <c r="I1738" s="1243">
        <f t="shared" si="311"/>
        <v>-522.25</v>
      </c>
      <c r="J1738" s="375" t="str">
        <f>$J$1624</f>
        <v>Non-Dep.</v>
      </c>
      <c r="K1738" s="1243">
        <v>0</v>
      </c>
      <c r="L1738" s="1243">
        <v>0</v>
      </c>
      <c r="M1738" s="1243">
        <f t="shared" si="312"/>
        <v>0</v>
      </c>
      <c r="N1738" s="1243">
        <v>0</v>
      </c>
      <c r="O1738" s="1243">
        <f t="shared" si="313"/>
        <v>-522.25</v>
      </c>
    </row>
    <row r="1739" spans="1:15">
      <c r="A1739" s="361">
        <f t="shared" si="309"/>
        <v>12</v>
      </c>
      <c r="B1739" s="365">
        <v>374.4</v>
      </c>
      <c r="C1739" s="358" t="s">
        <v>384</v>
      </c>
      <c r="D1739" s="1243">
        <f t="shared" si="310"/>
        <v>2977335.91</v>
      </c>
      <c r="E1739" s="1243">
        <f>+'INPUT - B Schedule PLANT'!CJ17</f>
        <v>845.7</v>
      </c>
      <c r="F1739" s="1243">
        <f>+'INPUT - B Schedule PLANT'!CK17</f>
        <v>0</v>
      </c>
      <c r="G1739" s="1243">
        <f t="shared" si="314"/>
        <v>2978181.6100000003</v>
      </c>
      <c r="H1739" s="1243"/>
      <c r="I1739" s="1243">
        <f t="shared" si="311"/>
        <v>378297.92000000004</v>
      </c>
      <c r="J1739" s="376">
        <f>$J$1625</f>
        <v>1.2699999999999999E-2</v>
      </c>
      <c r="K1739" s="1243">
        <f t="shared" ref="K1739:K1766" si="315">ROUND((G1739+D1739)/2*J1739/12,0)</f>
        <v>3151</v>
      </c>
      <c r="L1739" s="1243">
        <v>0</v>
      </c>
      <c r="M1739" s="1243">
        <f t="shared" si="312"/>
        <v>0</v>
      </c>
      <c r="N1739" s="1243">
        <v>0</v>
      </c>
      <c r="O1739" s="1243">
        <f t="shared" si="313"/>
        <v>381448.92000000004</v>
      </c>
    </row>
    <row r="1740" spans="1:15">
      <c r="A1740" s="361">
        <f t="shared" si="309"/>
        <v>13</v>
      </c>
      <c r="B1740" s="365">
        <v>374.5</v>
      </c>
      <c r="C1740" s="358" t="s">
        <v>385</v>
      </c>
      <c r="D1740" s="1243">
        <f t="shared" si="310"/>
        <v>2666577.16</v>
      </c>
      <c r="E1740" s="1243">
        <f>+'INPUT - B Schedule PLANT'!CJ18</f>
        <v>0</v>
      </c>
      <c r="F1740" s="1243">
        <f>+'INPUT - B Schedule PLANT'!CK18</f>
        <v>0</v>
      </c>
      <c r="G1740" s="1243">
        <f t="shared" si="314"/>
        <v>2666577.16</v>
      </c>
      <c r="H1740" s="1243"/>
      <c r="I1740" s="1243">
        <f t="shared" si="311"/>
        <v>1163632.1900000013</v>
      </c>
      <c r="J1740" s="376">
        <f>$J$1626</f>
        <v>1.0999999999999999E-2</v>
      </c>
      <c r="K1740" s="1243">
        <f t="shared" si="315"/>
        <v>2444</v>
      </c>
      <c r="L1740" s="1243">
        <v>0</v>
      </c>
      <c r="M1740" s="1243">
        <f t="shared" si="312"/>
        <v>0</v>
      </c>
      <c r="N1740" s="1243">
        <v>0</v>
      </c>
      <c r="O1740" s="1243">
        <f t="shared" si="313"/>
        <v>1166076.1900000013</v>
      </c>
    </row>
    <row r="1741" spans="1:15">
      <c r="A1741" s="361">
        <f t="shared" si="309"/>
        <v>14</v>
      </c>
      <c r="B1741" s="365">
        <v>375.2</v>
      </c>
      <c r="C1741" s="358" t="s">
        <v>386</v>
      </c>
      <c r="D1741" s="1243">
        <f t="shared" si="310"/>
        <v>2124.98</v>
      </c>
      <c r="E1741" s="1243">
        <f>+'INPUT - B Schedule PLANT'!CJ19</f>
        <v>0</v>
      </c>
      <c r="F1741" s="1243">
        <f>+'INPUT - B Schedule PLANT'!CK19</f>
        <v>0</v>
      </c>
      <c r="G1741" s="1243">
        <f t="shared" si="314"/>
        <v>2124.98</v>
      </c>
      <c r="H1741" s="1243"/>
      <c r="I1741" s="1243">
        <f t="shared" si="311"/>
        <v>2067.3000000000002</v>
      </c>
      <c r="J1741" s="376">
        <f>$J$1627</f>
        <v>2.3199999999999998E-2</v>
      </c>
      <c r="K1741" s="1243">
        <f t="shared" si="315"/>
        <v>4</v>
      </c>
      <c r="L1741" s="1243">
        <v>0</v>
      </c>
      <c r="M1741" s="1243">
        <f t="shared" si="312"/>
        <v>0</v>
      </c>
      <c r="N1741" s="1243">
        <v>0</v>
      </c>
      <c r="O1741" s="1243">
        <f t="shared" si="313"/>
        <v>2071.3000000000002</v>
      </c>
    </row>
    <row r="1742" spans="1:15">
      <c r="A1742" s="361">
        <f t="shared" si="309"/>
        <v>15</v>
      </c>
      <c r="B1742" s="365">
        <v>375.3</v>
      </c>
      <c r="C1742" s="358" t="s">
        <v>387</v>
      </c>
      <c r="D1742" s="1243">
        <f t="shared" si="310"/>
        <v>0</v>
      </c>
      <c r="E1742" s="1243">
        <f>+'INPUT - B Schedule PLANT'!CJ20</f>
        <v>0</v>
      </c>
      <c r="F1742" s="1243">
        <f>+'INPUT - B Schedule PLANT'!CK20</f>
        <v>0</v>
      </c>
      <c r="G1742" s="1243">
        <f t="shared" si="314"/>
        <v>0</v>
      </c>
      <c r="H1742" s="1243"/>
      <c r="I1742" s="1243">
        <f t="shared" si="311"/>
        <v>-77.66</v>
      </c>
      <c r="J1742" s="376">
        <f>$J$1628</f>
        <v>2.3199999999999998E-2</v>
      </c>
      <c r="K1742" s="1243">
        <f t="shared" si="315"/>
        <v>0</v>
      </c>
      <c r="L1742" s="1243">
        <v>0</v>
      </c>
      <c r="M1742" s="1243">
        <f t="shared" si="312"/>
        <v>0</v>
      </c>
      <c r="N1742" s="1243">
        <v>0</v>
      </c>
      <c r="O1742" s="1243">
        <f t="shared" si="313"/>
        <v>-77.66</v>
      </c>
    </row>
    <row r="1743" spans="1:15">
      <c r="A1743" s="361">
        <f t="shared" si="309"/>
        <v>16</v>
      </c>
      <c r="B1743" s="365">
        <v>375.4</v>
      </c>
      <c r="C1743" s="358" t="s">
        <v>388</v>
      </c>
      <c r="D1743" s="1243">
        <f t="shared" si="310"/>
        <v>3081129.2599999993</v>
      </c>
      <c r="E1743" s="1243">
        <f>+'INPUT - B Schedule PLANT'!CJ21</f>
        <v>311.45999999999998</v>
      </c>
      <c r="F1743" s="1243">
        <f>+'INPUT - B Schedule PLANT'!CK21</f>
        <v>0</v>
      </c>
      <c r="G1743" s="1243">
        <f t="shared" si="314"/>
        <v>3081440.7199999993</v>
      </c>
      <c r="H1743" s="1243"/>
      <c r="I1743" s="1243">
        <f t="shared" si="311"/>
        <v>548563.46000000008</v>
      </c>
      <c r="J1743" s="376">
        <f>$J$1629</f>
        <v>2.3199999999999998E-2</v>
      </c>
      <c r="K1743" s="1243">
        <f t="shared" si="315"/>
        <v>5957</v>
      </c>
      <c r="L1743" s="1243">
        <v>0</v>
      </c>
      <c r="M1743" s="1243">
        <f t="shared" si="312"/>
        <v>0</v>
      </c>
      <c r="N1743" s="1243">
        <v>-3277.19</v>
      </c>
      <c r="O1743" s="1243">
        <f t="shared" si="313"/>
        <v>551243.27000000014</v>
      </c>
    </row>
    <row r="1744" spans="1:15">
      <c r="A1744" s="361">
        <f t="shared" si="309"/>
        <v>17</v>
      </c>
      <c r="B1744" s="365">
        <v>375.6</v>
      </c>
      <c r="C1744" s="358" t="s">
        <v>389</v>
      </c>
      <c r="D1744" s="1243">
        <f t="shared" si="310"/>
        <v>0</v>
      </c>
      <c r="E1744" s="1243">
        <f>+'INPUT - B Schedule PLANT'!CJ22</f>
        <v>0</v>
      </c>
      <c r="F1744" s="1243">
        <f>+'INPUT - B Schedule PLANT'!CK22</f>
        <v>0</v>
      </c>
      <c r="G1744" s="1243">
        <f t="shared" si="314"/>
        <v>0</v>
      </c>
      <c r="H1744" s="1243"/>
      <c r="I1744" s="1243">
        <f t="shared" si="311"/>
        <v>0.02</v>
      </c>
      <c r="J1744" s="376">
        <f>$J$1630</f>
        <v>2.3199999999999998E-2</v>
      </c>
      <c r="K1744" s="1243">
        <f t="shared" si="315"/>
        <v>0</v>
      </c>
      <c r="L1744" s="1243">
        <v>0</v>
      </c>
      <c r="M1744" s="1243">
        <f t="shared" si="312"/>
        <v>0</v>
      </c>
      <c r="N1744" s="1243">
        <v>0</v>
      </c>
      <c r="O1744" s="1243">
        <f t="shared" si="313"/>
        <v>0.02</v>
      </c>
    </row>
    <row r="1745" spans="1:15">
      <c r="A1745" s="361">
        <f t="shared" si="309"/>
        <v>18</v>
      </c>
      <c r="B1745" s="365">
        <v>375.7</v>
      </c>
      <c r="C1745" s="358" t="s">
        <v>390</v>
      </c>
      <c r="D1745" s="1243">
        <f t="shared" si="310"/>
        <v>9587092.5600000005</v>
      </c>
      <c r="E1745" s="1243">
        <f>+'INPUT - B Schedule PLANT'!CJ23</f>
        <v>0</v>
      </c>
      <c r="F1745" s="1243">
        <f>+'INPUT - B Schedule PLANT'!CK23</f>
        <v>0</v>
      </c>
      <c r="G1745" s="1243">
        <f t="shared" si="314"/>
        <v>9587092.5600000005</v>
      </c>
      <c r="H1745" s="1243"/>
      <c r="I1745" s="1243">
        <f t="shared" si="311"/>
        <v>4746343.5399999982</v>
      </c>
      <c r="J1745" s="376">
        <f>$J$1631</f>
        <v>2.3199999999999998E-2</v>
      </c>
      <c r="K1745" s="1243">
        <f t="shared" si="315"/>
        <v>18535</v>
      </c>
      <c r="L1745" s="1243">
        <v>0</v>
      </c>
      <c r="M1745" s="1243">
        <f t="shared" si="312"/>
        <v>0</v>
      </c>
      <c r="N1745" s="1243">
        <v>-1697.84</v>
      </c>
      <c r="O1745" s="1243">
        <f t="shared" si="313"/>
        <v>4763180.6999999983</v>
      </c>
    </row>
    <row r="1746" spans="1:15">
      <c r="A1746" s="361">
        <f t="shared" si="309"/>
        <v>19</v>
      </c>
      <c r="B1746" s="365">
        <v>375.71</v>
      </c>
      <c r="C1746" s="358" t="s">
        <v>391</v>
      </c>
      <c r="D1746" s="1243">
        <f t="shared" si="310"/>
        <v>880994.59</v>
      </c>
      <c r="E1746" s="1243">
        <f>+'INPUT - B Schedule PLANT'!CJ24</f>
        <v>0</v>
      </c>
      <c r="F1746" s="1243">
        <f>+'INPUT - B Schedule PLANT'!CK24</f>
        <v>0</v>
      </c>
      <c r="G1746" s="1243">
        <f t="shared" si="314"/>
        <v>880994.59</v>
      </c>
      <c r="H1746" s="1243"/>
      <c r="I1746" s="1243">
        <f t="shared" si="311"/>
        <v>773193.74000000046</v>
      </c>
      <c r="J1746" s="375" t="str">
        <f>$J$1632</f>
        <v>Amort.</v>
      </c>
      <c r="K1746" s="1243">
        <f>$K$1290</f>
        <v>4743.54</v>
      </c>
      <c r="L1746" s="1243">
        <v>0</v>
      </c>
      <c r="M1746" s="1243">
        <f t="shared" si="312"/>
        <v>0</v>
      </c>
      <c r="N1746" s="1243">
        <v>0</v>
      </c>
      <c r="O1746" s="1243">
        <f t="shared" si="313"/>
        <v>777937.28000000049</v>
      </c>
    </row>
    <row r="1747" spans="1:15">
      <c r="A1747" s="361">
        <f t="shared" si="309"/>
        <v>20</v>
      </c>
      <c r="B1747" s="365">
        <v>375.8</v>
      </c>
      <c r="C1747" s="358" t="s">
        <v>392</v>
      </c>
      <c r="D1747" s="1243">
        <f t="shared" si="310"/>
        <v>132125.04</v>
      </c>
      <c r="E1747" s="1243">
        <f>+'INPUT - B Schedule PLANT'!CJ25</f>
        <v>0</v>
      </c>
      <c r="F1747" s="1243">
        <f>+'INPUT - B Schedule PLANT'!CK25</f>
        <v>0</v>
      </c>
      <c r="G1747" s="1243">
        <f t="shared" si="314"/>
        <v>132125.04</v>
      </c>
      <c r="H1747" s="1243"/>
      <c r="I1747" s="1243">
        <f t="shared" si="311"/>
        <v>12253.43</v>
      </c>
      <c r="J1747" s="376">
        <f>$J$1633</f>
        <v>2.3199999999999998E-2</v>
      </c>
      <c r="K1747" s="1243">
        <f t="shared" si="315"/>
        <v>255</v>
      </c>
      <c r="L1747" s="1243">
        <v>0</v>
      </c>
      <c r="M1747" s="1243">
        <f t="shared" si="312"/>
        <v>0</v>
      </c>
      <c r="N1747" s="1243">
        <v>0</v>
      </c>
      <c r="O1747" s="1243">
        <f t="shared" si="313"/>
        <v>12508.43</v>
      </c>
    </row>
    <row r="1748" spans="1:15">
      <c r="A1748" s="361">
        <f t="shared" si="309"/>
        <v>21</v>
      </c>
      <c r="B1748" s="365">
        <v>376</v>
      </c>
      <c r="C1748" s="358" t="s">
        <v>1621</v>
      </c>
      <c r="D1748" s="1243">
        <f t="shared" si="310"/>
        <v>412757087.3435027</v>
      </c>
      <c r="E1748" s="1243">
        <f>'WPB-2.1.D SMRP'!E717</f>
        <v>456022.61694918573</v>
      </c>
      <c r="F1748" s="1243">
        <f>'WPB-2.1.D SMRP'!F717</f>
        <v>-32569.119583585449</v>
      </c>
      <c r="G1748" s="1243">
        <f t="shared" si="314"/>
        <v>413180540.84086829</v>
      </c>
      <c r="H1748" s="1243"/>
      <c r="I1748" s="1243">
        <f t="shared" si="311"/>
        <v>81266309.237566277</v>
      </c>
      <c r="J1748" s="376">
        <f>$J$1634</f>
        <v>1.7399999999999999E-2</v>
      </c>
      <c r="K1748" s="1243">
        <f>'WPB-2.1.D SMRP'!K717</f>
        <v>598804.55500000005</v>
      </c>
      <c r="L1748" s="1243">
        <f>'WPB-2.1.D SMRP'!L717</f>
        <v>0</v>
      </c>
      <c r="M1748" s="1243">
        <f>F1748</f>
        <v>-32569.119583585449</v>
      </c>
      <c r="N1748" s="1243">
        <f>'WPB-2.1.D SMRP'!N717</f>
        <v>-23106.489999999998</v>
      </c>
      <c r="O1748" s="1243">
        <f t="shared" si="313"/>
        <v>81809438.182982698</v>
      </c>
    </row>
    <row r="1749" spans="1:15">
      <c r="A1749" s="361">
        <f t="shared" si="309"/>
        <v>22</v>
      </c>
      <c r="B1749" s="365">
        <v>378.1</v>
      </c>
      <c r="C1749" s="358" t="s">
        <v>394</v>
      </c>
      <c r="D1749" s="1243">
        <f t="shared" si="310"/>
        <v>204192.69</v>
      </c>
      <c r="E1749" s="1243">
        <f>+'INPUT - B Schedule PLANT'!CJ27</f>
        <v>0</v>
      </c>
      <c r="F1749" s="1243">
        <f>+'INPUT - B Schedule PLANT'!CK27</f>
        <v>-36888.57</v>
      </c>
      <c r="G1749" s="1243">
        <f t="shared" si="314"/>
        <v>167304.12</v>
      </c>
      <c r="H1749" s="1243"/>
      <c r="I1749" s="1243">
        <f t="shared" si="311"/>
        <v>46972.419999999925</v>
      </c>
      <c r="J1749" s="376">
        <f>$J$1635</f>
        <v>2.52E-2</v>
      </c>
      <c r="K1749" s="1243">
        <f t="shared" si="315"/>
        <v>390</v>
      </c>
      <c r="L1749" s="1243">
        <v>0</v>
      </c>
      <c r="M1749" s="1243">
        <f t="shared" si="312"/>
        <v>-36888.57</v>
      </c>
      <c r="N1749" s="1243">
        <v>0</v>
      </c>
      <c r="O1749" s="1243">
        <f t="shared" si="313"/>
        <v>10473.849999999926</v>
      </c>
    </row>
    <row r="1750" spans="1:15">
      <c r="A1750" s="361">
        <f t="shared" si="309"/>
        <v>23</v>
      </c>
      <c r="B1750" s="365">
        <v>378.2</v>
      </c>
      <c r="C1750" s="358" t="s">
        <v>1622</v>
      </c>
      <c r="D1750" s="1243">
        <f t="shared" si="310"/>
        <v>25833137.27</v>
      </c>
      <c r="E1750" s="1243">
        <f>'WPB-2.1.D SMRP'!E721</f>
        <v>207867.33287591866</v>
      </c>
      <c r="F1750" s="1243">
        <f>'WPB-2.1.D SMRP'!F721</f>
        <v>-1.2913389036839362E-4</v>
      </c>
      <c r="G1750" s="1243">
        <f t="shared" si="314"/>
        <v>26041004.602746785</v>
      </c>
      <c r="H1750" s="1243"/>
      <c r="I1750" s="1243">
        <f t="shared" si="311"/>
        <v>3471186.8479999998</v>
      </c>
      <c r="J1750" s="376">
        <f>$J$1636</f>
        <v>2.52E-2</v>
      </c>
      <c r="K1750" s="1243">
        <f>'WPB-2.1.D SMRP'!K721</f>
        <v>54467.847000000002</v>
      </c>
      <c r="L1750" s="1243">
        <f>'WPB-2.1.D SMRP'!L721</f>
        <v>0</v>
      </c>
      <c r="M1750" s="1243">
        <f>F1750</f>
        <v>-1.2913389036839362E-4</v>
      </c>
      <c r="N1750" s="1243">
        <f>'WPB-2.1.D SMRP'!N721</f>
        <v>-102492.49470788306</v>
      </c>
      <c r="O1750" s="1243">
        <f t="shared" si="313"/>
        <v>3423162.200162983</v>
      </c>
    </row>
    <row r="1751" spans="1:15">
      <c r="A1751" s="361">
        <f t="shared" si="309"/>
        <v>24</v>
      </c>
      <c r="B1751" s="365">
        <v>378.3</v>
      </c>
      <c r="C1751" s="358" t="s">
        <v>396</v>
      </c>
      <c r="D1751" s="1243">
        <f t="shared" si="310"/>
        <v>45443.08</v>
      </c>
      <c r="E1751" s="1243">
        <f>+'INPUT - B Schedule PLANT'!CJ29</f>
        <v>0</v>
      </c>
      <c r="F1751" s="1243">
        <f>+'INPUT - B Schedule PLANT'!CK29</f>
        <v>0</v>
      </c>
      <c r="G1751" s="1243">
        <f t="shared" si="314"/>
        <v>45443.08</v>
      </c>
      <c r="H1751" s="1243"/>
      <c r="I1751" s="1243">
        <f t="shared" si="311"/>
        <v>43453.320000000007</v>
      </c>
      <c r="J1751" s="376">
        <f>$J$1637</f>
        <v>2.52E-2</v>
      </c>
      <c r="K1751" s="1243">
        <f t="shared" si="315"/>
        <v>95</v>
      </c>
      <c r="L1751" s="1243">
        <v>0</v>
      </c>
      <c r="M1751" s="1243">
        <f t="shared" si="312"/>
        <v>0</v>
      </c>
      <c r="N1751" s="1243">
        <v>0</v>
      </c>
      <c r="O1751" s="1243">
        <f t="shared" si="313"/>
        <v>43548.320000000007</v>
      </c>
    </row>
    <row r="1752" spans="1:15">
      <c r="A1752" s="361">
        <f t="shared" si="309"/>
        <v>25</v>
      </c>
      <c r="B1752" s="365">
        <v>379.1</v>
      </c>
      <c r="C1752" s="358" t="s">
        <v>397</v>
      </c>
      <c r="D1752" s="1243">
        <f t="shared" si="310"/>
        <v>1554144.06</v>
      </c>
      <c r="E1752" s="1243">
        <f>+'INPUT - B Schedule PLANT'!CJ30</f>
        <v>0</v>
      </c>
      <c r="F1752" s="1243">
        <f>+'INPUT - B Schedule PLANT'!CK30</f>
        <v>0</v>
      </c>
      <c r="G1752" s="1243">
        <f t="shared" si="314"/>
        <v>1554144.06</v>
      </c>
      <c r="H1752" s="1243"/>
      <c r="I1752" s="1243">
        <f t="shared" si="311"/>
        <v>360787.19000000006</v>
      </c>
      <c r="J1752" s="376">
        <f>$J$1638</f>
        <v>2.4199999999999999E-2</v>
      </c>
      <c r="K1752" s="1243">
        <f t="shared" si="315"/>
        <v>3134</v>
      </c>
      <c r="L1752" s="1243">
        <v>0</v>
      </c>
      <c r="M1752" s="1243">
        <f t="shared" si="312"/>
        <v>0</v>
      </c>
      <c r="N1752" s="1243">
        <v>0</v>
      </c>
      <c r="O1752" s="1243">
        <f t="shared" si="313"/>
        <v>363921.19000000006</v>
      </c>
    </row>
    <row r="1753" spans="1:15">
      <c r="A1753" s="361">
        <f t="shared" si="309"/>
        <v>26</v>
      </c>
      <c r="B1753" s="365">
        <v>380</v>
      </c>
      <c r="C1753" s="358" t="s">
        <v>1623</v>
      </c>
      <c r="D1753" s="1243">
        <f t="shared" si="310"/>
        <v>203683170.40942961</v>
      </c>
      <c r="E1753" s="1243">
        <f>'WPB-2.1.D SMRP'!E725</f>
        <v>107967.07000000007</v>
      </c>
      <c r="F1753" s="1243">
        <f>'WPB-2.1.D SMRP'!F725</f>
        <v>-70489.8131116812</v>
      </c>
      <c r="G1753" s="1243">
        <f t="shared" si="314"/>
        <v>203720647.66631791</v>
      </c>
      <c r="H1753" s="1243"/>
      <c r="I1753" s="1243">
        <f t="shared" si="311"/>
        <v>61109591.615021646</v>
      </c>
      <c r="J1753" s="376">
        <f>$J$1639</f>
        <v>3.9800000000000002E-2</v>
      </c>
      <c r="K1753" s="1243">
        <f>'WPB-2.1.D SMRP'!K725</f>
        <v>675610.93299999996</v>
      </c>
      <c r="L1753" s="1243">
        <f>'WPB-2.1.D SMRP'!L725</f>
        <v>0</v>
      </c>
      <c r="M1753" s="1243">
        <f>F1753</f>
        <v>-70489.8131116812</v>
      </c>
      <c r="N1753" s="1243">
        <f>'WPB-2.1.D SMRP'!N725</f>
        <v>0</v>
      </c>
      <c r="O1753" s="1243">
        <f t="shared" si="313"/>
        <v>61714712.734909967</v>
      </c>
    </row>
    <row r="1754" spans="1:15">
      <c r="A1754" s="361">
        <f t="shared" si="309"/>
        <v>27</v>
      </c>
      <c r="B1754" s="365">
        <v>381</v>
      </c>
      <c r="C1754" s="358" t="s">
        <v>399</v>
      </c>
      <c r="D1754" s="1243">
        <f t="shared" si="310"/>
        <v>19773017.760000002</v>
      </c>
      <c r="E1754" s="1243">
        <f>+'INPUT - B Schedule PLANT'!CJ32</f>
        <v>184273.64</v>
      </c>
      <c r="F1754" s="1243">
        <f>+'INPUT - B Schedule PLANT'!CK32</f>
        <v>-664071.07999999996</v>
      </c>
      <c r="G1754" s="1243">
        <f t="shared" si="314"/>
        <v>19293220.320000004</v>
      </c>
      <c r="H1754" s="1243"/>
      <c r="I1754" s="1243">
        <f t="shared" si="311"/>
        <v>2511473.2299999995</v>
      </c>
      <c r="J1754" s="376">
        <f>$J$1640</f>
        <v>2.6499999999999999E-2</v>
      </c>
      <c r="K1754" s="1243">
        <f t="shared" si="315"/>
        <v>43136</v>
      </c>
      <c r="L1754" s="1243">
        <v>0</v>
      </c>
      <c r="M1754" s="1243">
        <f t="shared" si="312"/>
        <v>-664071.07999999996</v>
      </c>
      <c r="N1754" s="1243">
        <v>0</v>
      </c>
      <c r="O1754" s="1243">
        <f t="shared" si="313"/>
        <v>1890538.1499999994</v>
      </c>
    </row>
    <row r="1755" spans="1:15">
      <c r="A1755" s="361">
        <f t="shared" si="309"/>
        <v>28</v>
      </c>
      <c r="B1755" s="365">
        <v>381.1</v>
      </c>
      <c r="C1755" s="358" t="s">
        <v>2366</v>
      </c>
      <c r="D1755" s="1243">
        <f t="shared" si="310"/>
        <v>9980854.4800000004</v>
      </c>
      <c r="E1755" s="1243">
        <f>+'INPUT - B Schedule PLANT'!CJ33</f>
        <v>0</v>
      </c>
      <c r="F1755" s="1243">
        <f>+'INPUT - B Schedule PLANT'!CK33</f>
        <v>0</v>
      </c>
      <c r="G1755" s="1243">
        <f t="shared" si="314"/>
        <v>9980854.4800000004</v>
      </c>
      <c r="H1755" s="1243"/>
      <c r="I1755" s="1243">
        <f t="shared" si="311"/>
        <v>5547741.0300000031</v>
      </c>
      <c r="J1755" s="376">
        <f>$J$1641</f>
        <v>7.4800000000000005E-2</v>
      </c>
      <c r="K1755" s="1243">
        <f t="shared" si="315"/>
        <v>62214</v>
      </c>
      <c r="L1755" s="1243">
        <v>0</v>
      </c>
      <c r="M1755" s="1243">
        <f t="shared" si="312"/>
        <v>0</v>
      </c>
      <c r="N1755" s="1243">
        <v>0</v>
      </c>
      <c r="O1755" s="1243">
        <f t="shared" si="313"/>
        <v>5609955.0300000031</v>
      </c>
    </row>
    <row r="1756" spans="1:15">
      <c r="A1756" s="361">
        <f t="shared" si="309"/>
        <v>29</v>
      </c>
      <c r="B1756" s="365">
        <v>382</v>
      </c>
      <c r="C1756" s="358" t="s">
        <v>1624</v>
      </c>
      <c r="D1756" s="1243">
        <f t="shared" si="310"/>
        <v>10589970.802835057</v>
      </c>
      <c r="E1756" s="1243">
        <f>'WPB-2.1.D SMRP'!E729</f>
        <v>149.45999999999958</v>
      </c>
      <c r="F1756" s="1243">
        <f>'WPB-2.1.D SMRP'!F729</f>
        <v>-3304.54</v>
      </c>
      <c r="G1756" s="1243">
        <f t="shared" si="314"/>
        <v>10586815.722835058</v>
      </c>
      <c r="H1756" s="1243"/>
      <c r="I1756" s="1243">
        <f t="shared" si="311"/>
        <v>5889419.067835059</v>
      </c>
      <c r="J1756" s="376">
        <f>$J$1642</f>
        <v>1.77E-2</v>
      </c>
      <c r="K1756" s="1243">
        <f>'WPB-2.1.D SMRP'!K729</f>
        <v>15617.852000000001</v>
      </c>
      <c r="L1756" s="1243">
        <f>'WPB-2.1.D SMRP'!L729</f>
        <v>0</v>
      </c>
      <c r="M1756" s="1243">
        <f t="shared" si="312"/>
        <v>-3304.54</v>
      </c>
      <c r="N1756" s="1243">
        <f>'WPB-2.1.D SMRP'!N729</f>
        <v>0</v>
      </c>
      <c r="O1756" s="1243">
        <f t="shared" si="313"/>
        <v>5901732.3798350589</v>
      </c>
    </row>
    <row r="1757" spans="1:15">
      <c r="A1757" s="361">
        <f t="shared" si="309"/>
        <v>30</v>
      </c>
      <c r="B1757" s="365">
        <v>383</v>
      </c>
      <c r="C1757" s="358" t="s">
        <v>1625</v>
      </c>
      <c r="D1757" s="1243">
        <f t="shared" si="310"/>
        <v>7411634.8922356106</v>
      </c>
      <c r="E1757" s="1243">
        <f>'WPB-2.1.D SMRP'!E733</f>
        <v>14902.793618736101</v>
      </c>
      <c r="F1757" s="1243">
        <f>'WPB-2.1.D SMRP'!F733</f>
        <v>-215.43646647566749</v>
      </c>
      <c r="G1757" s="1243">
        <f t="shared" si="314"/>
        <v>7426322.2493878705</v>
      </c>
      <c r="H1757" s="1243"/>
      <c r="I1757" s="1243">
        <f t="shared" si="311"/>
        <v>2522078.0132356118</v>
      </c>
      <c r="J1757" s="376">
        <f>$J$1643</f>
        <v>1.9400000000000001E-2</v>
      </c>
      <c r="K1757" s="1243">
        <f>'WPB-2.1.D SMRP'!K733</f>
        <v>11993.708000000001</v>
      </c>
      <c r="L1757" s="1243">
        <f>'WPB-2.1.D SMRP'!L733</f>
        <v>0</v>
      </c>
      <c r="M1757" s="1243">
        <f t="shared" si="312"/>
        <v>-215.43646647566749</v>
      </c>
      <c r="N1757" s="1243">
        <f>'WPB-2.1.D SMRP'!N733</f>
        <v>0</v>
      </c>
      <c r="O1757" s="1243">
        <f t="shared" si="313"/>
        <v>2533856.2847691365</v>
      </c>
    </row>
    <row r="1758" spans="1:15">
      <c r="A1758" s="361">
        <f t="shared" si="309"/>
        <v>31</v>
      </c>
      <c r="B1758" s="365">
        <v>384</v>
      </c>
      <c r="C1758" s="358" t="s">
        <v>402</v>
      </c>
      <c r="D1758" s="1243">
        <f t="shared" si="310"/>
        <v>2085098.38</v>
      </c>
      <c r="E1758" s="1243">
        <f>+'INPUT - B Schedule PLANT'!CJ36</f>
        <v>13.24</v>
      </c>
      <c r="F1758" s="1243">
        <f>+'INPUT - B Schedule PLANT'!CK36</f>
        <v>0</v>
      </c>
      <c r="G1758" s="1243">
        <f t="shared" si="314"/>
        <v>2085111.6199999999</v>
      </c>
      <c r="H1758" s="1243"/>
      <c r="I1758" s="1243">
        <f t="shared" si="311"/>
        <v>1733482.0399999991</v>
      </c>
      <c r="J1758" s="376">
        <f>$J$1644</f>
        <v>9.9000000000000008E-3</v>
      </c>
      <c r="K1758" s="1243">
        <f t="shared" si="315"/>
        <v>1720</v>
      </c>
      <c r="L1758" s="1243">
        <v>0</v>
      </c>
      <c r="M1758" s="1243">
        <f t="shared" si="312"/>
        <v>0</v>
      </c>
      <c r="N1758" s="1243">
        <v>0</v>
      </c>
      <c r="O1758" s="1243">
        <f t="shared" si="313"/>
        <v>1735202.0399999991</v>
      </c>
    </row>
    <row r="1759" spans="1:15">
      <c r="A1759" s="361">
        <f t="shared" si="309"/>
        <v>32</v>
      </c>
      <c r="B1759" s="365">
        <v>385</v>
      </c>
      <c r="C1759" s="358" t="s">
        <v>403</v>
      </c>
      <c r="D1759" s="1243">
        <f t="shared" si="310"/>
        <v>6077916.1600000001</v>
      </c>
      <c r="E1759" s="1243">
        <f>+'INPUT - B Schedule PLANT'!CJ37</f>
        <v>76236.7</v>
      </c>
      <c r="F1759" s="1243">
        <f>+'INPUT - B Schedule PLANT'!CK37</f>
        <v>-6233.75</v>
      </c>
      <c r="G1759" s="1243">
        <f t="shared" si="314"/>
        <v>6147919.1100000003</v>
      </c>
      <c r="H1759" s="1243"/>
      <c r="I1759" s="1243">
        <f t="shared" si="311"/>
        <v>827943.16</v>
      </c>
      <c r="J1759" s="376">
        <f>$J$1645</f>
        <v>3.73E-2</v>
      </c>
      <c r="K1759" s="1243">
        <f t="shared" si="315"/>
        <v>19001</v>
      </c>
      <c r="L1759" s="1243">
        <v>0</v>
      </c>
      <c r="M1759" s="1243">
        <f t="shared" si="312"/>
        <v>-6233.75</v>
      </c>
      <c r="N1759" s="1243">
        <v>-11961.84</v>
      </c>
      <c r="O1759" s="1243">
        <f t="shared" si="313"/>
        <v>828748.57000000007</v>
      </c>
    </row>
    <row r="1760" spans="1:15">
      <c r="A1760" s="361">
        <f t="shared" si="309"/>
        <v>33</v>
      </c>
      <c r="B1760" s="365">
        <v>387.2</v>
      </c>
      <c r="C1760" s="358" t="s">
        <v>404</v>
      </c>
      <c r="D1760" s="1243">
        <f t="shared" si="310"/>
        <v>0</v>
      </c>
      <c r="E1760" s="1243">
        <f>+'INPUT - B Schedule PLANT'!CJ38</f>
        <v>0</v>
      </c>
      <c r="F1760" s="1243">
        <f>+'INPUT - B Schedule PLANT'!CK38</f>
        <v>0</v>
      </c>
      <c r="G1760" s="1243">
        <f t="shared" si="314"/>
        <v>0</v>
      </c>
      <c r="H1760" s="1243"/>
      <c r="I1760" s="1243">
        <f t="shared" si="311"/>
        <v>-59912.03</v>
      </c>
      <c r="J1760" s="376">
        <f>$J$1646</f>
        <v>0</v>
      </c>
      <c r="K1760" s="1243">
        <f t="shared" si="315"/>
        <v>0</v>
      </c>
      <c r="L1760" s="1243">
        <v>0</v>
      </c>
      <c r="M1760" s="1243">
        <f t="shared" si="312"/>
        <v>0</v>
      </c>
      <c r="N1760" s="1243">
        <v>0</v>
      </c>
      <c r="O1760" s="1243">
        <f t="shared" si="313"/>
        <v>-59912.03</v>
      </c>
    </row>
    <row r="1761" spans="1:16">
      <c r="A1761" s="361">
        <f t="shared" si="309"/>
        <v>34</v>
      </c>
      <c r="B1761" s="365">
        <v>387.41</v>
      </c>
      <c r="C1761" s="358" t="s">
        <v>405</v>
      </c>
      <c r="D1761" s="1243">
        <f t="shared" si="310"/>
        <v>260538.46000000008</v>
      </c>
      <c r="E1761" s="1243">
        <f>+'INPUT - B Schedule PLANT'!CJ39</f>
        <v>0</v>
      </c>
      <c r="F1761" s="1243">
        <f>+'INPUT - B Schedule PLANT'!CK39</f>
        <v>0</v>
      </c>
      <c r="G1761" s="1243">
        <f t="shared" si="314"/>
        <v>260538.46000000008</v>
      </c>
      <c r="H1761" s="1243"/>
      <c r="I1761" s="1243">
        <f t="shared" si="311"/>
        <v>62505.970000000059</v>
      </c>
      <c r="J1761" s="376">
        <f>$J$1647</f>
        <v>3.2399999999999998E-2</v>
      </c>
      <c r="K1761" s="1243">
        <f t="shared" si="315"/>
        <v>703</v>
      </c>
      <c r="L1761" s="1243">
        <v>0</v>
      </c>
      <c r="M1761" s="1243">
        <f t="shared" si="312"/>
        <v>0</v>
      </c>
      <c r="N1761" s="1243">
        <v>0</v>
      </c>
      <c r="O1761" s="1243">
        <f t="shared" si="313"/>
        <v>63208.970000000059</v>
      </c>
    </row>
    <row r="1762" spans="1:16">
      <c r="A1762" s="361">
        <f t="shared" si="309"/>
        <v>35</v>
      </c>
      <c r="B1762" s="365">
        <v>387.42</v>
      </c>
      <c r="C1762" s="358" t="s">
        <v>406</v>
      </c>
      <c r="D1762" s="1243">
        <f t="shared" si="310"/>
        <v>419367.40000000008</v>
      </c>
      <c r="E1762" s="1243">
        <f>+'INPUT - B Schedule PLANT'!CJ40</f>
        <v>0</v>
      </c>
      <c r="F1762" s="1243">
        <f>+'INPUT - B Schedule PLANT'!CK40</f>
        <v>0</v>
      </c>
      <c r="G1762" s="1243">
        <f t="shared" si="314"/>
        <v>419367.40000000008</v>
      </c>
      <c r="H1762" s="1243"/>
      <c r="I1762" s="1243">
        <f t="shared" si="311"/>
        <v>346795.80999999976</v>
      </c>
      <c r="J1762" s="376">
        <f>$J$1648</f>
        <v>3.2399999999999998E-2</v>
      </c>
      <c r="K1762" s="1243">
        <f t="shared" si="315"/>
        <v>1132</v>
      </c>
      <c r="L1762" s="1243">
        <v>0</v>
      </c>
      <c r="M1762" s="1243">
        <f t="shared" si="312"/>
        <v>0</v>
      </c>
      <c r="N1762" s="1243">
        <v>0</v>
      </c>
      <c r="O1762" s="1243">
        <f t="shared" si="313"/>
        <v>347927.80999999976</v>
      </c>
    </row>
    <row r="1763" spans="1:16">
      <c r="A1763" s="361">
        <f t="shared" si="309"/>
        <v>36</v>
      </c>
      <c r="B1763" s="365">
        <v>387.44</v>
      </c>
      <c r="C1763" s="358" t="s">
        <v>407</v>
      </c>
      <c r="D1763" s="1243">
        <f t="shared" si="310"/>
        <v>124678.76000000001</v>
      </c>
      <c r="E1763" s="1243">
        <f>+'INPUT - B Schedule PLANT'!CJ41</f>
        <v>0</v>
      </c>
      <c r="F1763" s="1243">
        <f>+'INPUT - B Schedule PLANT'!CK41</f>
        <v>0</v>
      </c>
      <c r="G1763" s="1243">
        <f t="shared" si="314"/>
        <v>124678.76000000001</v>
      </c>
      <c r="H1763" s="1243"/>
      <c r="I1763" s="1243">
        <f t="shared" si="311"/>
        <v>68416.390000000014</v>
      </c>
      <c r="J1763" s="376">
        <f>$J$1649</f>
        <v>3.2399999999999998E-2</v>
      </c>
      <c r="K1763" s="1243">
        <f t="shared" si="315"/>
        <v>337</v>
      </c>
      <c r="L1763" s="1243">
        <v>0</v>
      </c>
      <c r="M1763" s="1243">
        <f t="shared" si="312"/>
        <v>0</v>
      </c>
      <c r="N1763" s="1243">
        <v>0</v>
      </c>
      <c r="O1763" s="1243">
        <f t="shared" si="313"/>
        <v>68753.390000000014</v>
      </c>
    </row>
    <row r="1764" spans="1:16">
      <c r="A1764" s="361">
        <f t="shared" si="309"/>
        <v>37</v>
      </c>
      <c r="B1764" s="365">
        <v>387.45</v>
      </c>
      <c r="C1764" s="358" t="s">
        <v>408</v>
      </c>
      <c r="D1764" s="1243">
        <f t="shared" si="310"/>
        <v>6051035.040000001</v>
      </c>
      <c r="E1764" s="1243">
        <f>+'INPUT - B Schedule PLANT'!CJ42</f>
        <v>36591.78</v>
      </c>
      <c r="F1764" s="1243">
        <f>+'INPUT - B Schedule PLANT'!CK42</f>
        <v>-87618.7</v>
      </c>
      <c r="G1764" s="1243">
        <f t="shared" si="314"/>
        <v>6000008.120000001</v>
      </c>
      <c r="H1764" s="1243"/>
      <c r="I1764" s="1243">
        <f t="shared" si="311"/>
        <v>-586076.46</v>
      </c>
      <c r="J1764" s="376">
        <f>$J$1650</f>
        <v>3.2399999999999998E-2</v>
      </c>
      <c r="K1764" s="1243">
        <f t="shared" si="315"/>
        <v>16269</v>
      </c>
      <c r="L1764" s="1243">
        <v>0</v>
      </c>
      <c r="M1764" s="1243">
        <f t="shared" si="312"/>
        <v>-87618.7</v>
      </c>
      <c r="N1764" s="1243">
        <v>-381.93</v>
      </c>
      <c r="O1764" s="1243">
        <f t="shared" si="313"/>
        <v>-657808.09</v>
      </c>
    </row>
    <row r="1765" spans="1:16">
      <c r="A1765" s="361">
        <f t="shared" si="309"/>
        <v>38</v>
      </c>
      <c r="B1765" s="365">
        <v>387.46</v>
      </c>
      <c r="C1765" s="358" t="s">
        <v>409</v>
      </c>
      <c r="D1765" s="1243">
        <f t="shared" si="310"/>
        <v>113644.47</v>
      </c>
      <c r="E1765" s="1243">
        <f>+'INPUT - B Schedule PLANT'!CJ43</f>
        <v>0</v>
      </c>
      <c r="F1765" s="1243">
        <f>+'INPUT - B Schedule PLANT'!CK43</f>
        <v>0</v>
      </c>
      <c r="G1765" s="1243">
        <f t="shared" si="314"/>
        <v>113644.47</v>
      </c>
      <c r="H1765" s="1243"/>
      <c r="I1765" s="1243">
        <f t="shared" si="311"/>
        <v>114804.07</v>
      </c>
      <c r="J1765" s="376">
        <f>$J$1651</f>
        <v>3.2399999999999998E-2</v>
      </c>
      <c r="K1765" s="1243">
        <f t="shared" si="315"/>
        <v>307</v>
      </c>
      <c r="L1765" s="1243">
        <v>0</v>
      </c>
      <c r="M1765" s="1243">
        <f t="shared" si="312"/>
        <v>0</v>
      </c>
      <c r="N1765" s="1243">
        <v>0</v>
      </c>
      <c r="O1765" s="1243">
        <f t="shared" si="313"/>
        <v>115111.07</v>
      </c>
    </row>
    <row r="1766" spans="1:16">
      <c r="A1766" s="361">
        <f t="shared" si="309"/>
        <v>39</v>
      </c>
      <c r="B1766" s="365">
        <v>387.5</v>
      </c>
      <c r="C1766" s="358" t="s">
        <v>1075</v>
      </c>
      <c r="D1766" s="1244">
        <f t="shared" si="310"/>
        <v>238072.69</v>
      </c>
      <c r="E1766" s="1244">
        <f>+'INPUT - B Schedule PLANT'!CJ44</f>
        <v>0</v>
      </c>
      <c r="F1766" s="1244">
        <f>+'INPUT - B Schedule PLANT'!CK44</f>
        <v>0</v>
      </c>
      <c r="G1766" s="1244">
        <f t="shared" si="314"/>
        <v>238072.69</v>
      </c>
      <c r="H1766" s="1243"/>
      <c r="I1766" s="1244">
        <f t="shared" si="311"/>
        <v>46620.470000000023</v>
      </c>
      <c r="J1766" s="376">
        <f>$J$1652</f>
        <v>0.13669999999999999</v>
      </c>
      <c r="K1766" s="1244">
        <f t="shared" si="315"/>
        <v>2712</v>
      </c>
      <c r="L1766" s="1244">
        <v>0</v>
      </c>
      <c r="M1766" s="1244">
        <f t="shared" si="312"/>
        <v>0</v>
      </c>
      <c r="N1766" s="1244">
        <v>0</v>
      </c>
      <c r="O1766" s="1244">
        <f t="shared" si="313"/>
        <v>49332.470000000023</v>
      </c>
    </row>
    <row r="1767" spans="1:16">
      <c r="A1767" s="361">
        <f t="shared" si="309"/>
        <v>40</v>
      </c>
      <c r="C1767" s="365" t="s">
        <v>1601</v>
      </c>
      <c r="D1767" s="1243">
        <f>SUM(D1737:D1766)</f>
        <v>727407575.70800304</v>
      </c>
      <c r="E1767" s="1243">
        <f>SUM(E1737:E1766)</f>
        <v>1085181.7934438405</v>
      </c>
      <c r="F1767" s="1243">
        <f>SUM(F1737:F1766)</f>
        <v>-901391.00929087622</v>
      </c>
      <c r="G1767" s="1243">
        <f>SUM(G1737:G1766)</f>
        <v>727591366.49215603</v>
      </c>
      <c r="H1767" s="1243"/>
      <c r="I1767" s="1243">
        <f>SUM(I1737:I1766)</f>
        <v>172947343.08165854</v>
      </c>
      <c r="J1767" s="369"/>
      <c r="K1767" s="1243">
        <f>SUM(K1737:K1766)</f>
        <v>1542734.4350000001</v>
      </c>
      <c r="L1767" s="1243">
        <f>SUM(L1737:L1766)</f>
        <v>0</v>
      </c>
      <c r="M1767" s="1243">
        <f>SUM(M1737:M1766)</f>
        <v>-901391.00929087622</v>
      </c>
      <c r="N1767" s="1243">
        <f>SUM(N1737:N1766)</f>
        <v>-142917.78470788305</v>
      </c>
      <c r="O1767" s="1243">
        <f>SUM(O1737:O1766)</f>
        <v>173445768.72265983</v>
      </c>
    </row>
    <row r="1768" spans="1:16">
      <c r="B1768" s="367"/>
      <c r="C1768" s="368"/>
      <c r="D1768" s="369"/>
      <c r="E1768" s="369"/>
      <c r="F1768" s="369"/>
      <c r="G1768" s="369"/>
      <c r="I1768" s="369"/>
      <c r="J1768" s="369"/>
      <c r="K1768" s="369"/>
      <c r="L1768" s="369"/>
      <c r="M1768" s="369"/>
      <c r="N1768" s="369"/>
      <c r="O1768" s="369"/>
    </row>
    <row r="1769" spans="1:16">
      <c r="I1769" s="369"/>
      <c r="J1769" s="369"/>
      <c r="K1769" s="369"/>
      <c r="L1769" s="369"/>
      <c r="M1769" s="369"/>
      <c r="N1769" s="369"/>
      <c r="O1769" s="369"/>
    </row>
    <row r="1770" spans="1:16" s="291" customFormat="1">
      <c r="A1770" s="1308" t="str">
        <f>$A$1</f>
        <v>COLUMBIA GAS OF KENTUCKY, INC.</v>
      </c>
      <c r="B1770" s="1308"/>
      <c r="C1770" s="1308"/>
      <c r="D1770" s="1308"/>
      <c r="E1770" s="1308"/>
      <c r="F1770" s="1308"/>
      <c r="G1770" s="1308"/>
      <c r="H1770" s="1308"/>
      <c r="I1770" s="1308"/>
      <c r="J1770" s="1308"/>
      <c r="K1770" s="1308"/>
      <c r="L1770" s="1308"/>
      <c r="M1770" s="1308"/>
      <c r="N1770" s="1308"/>
      <c r="O1770" s="1308"/>
    </row>
    <row r="1771" spans="1:16" s="291" customFormat="1">
      <c r="A1771" s="1308" t="str">
        <f>$A$2</f>
        <v>CASE NO. 2024 - 00092</v>
      </c>
      <c r="B1771" s="1308"/>
      <c r="C1771" s="1308"/>
      <c r="D1771" s="1308"/>
      <c r="E1771" s="1308"/>
      <c r="F1771" s="1308"/>
      <c r="G1771" s="1308"/>
      <c r="H1771" s="1308"/>
      <c r="I1771" s="1308"/>
      <c r="J1771" s="1308"/>
      <c r="K1771" s="1308"/>
      <c r="L1771" s="1308"/>
      <c r="M1771" s="1308"/>
      <c r="N1771" s="1308"/>
      <c r="O1771" s="1308"/>
    </row>
    <row r="1772" spans="1:16" s="291" customFormat="1">
      <c r="A1772" s="1308" t="str">
        <f>$A$3</f>
        <v>DETAIL OF ACTUAL &amp; FORECASTED PLANT, ACCUMULATED RESERVE &amp; DEPRECIATION EXPENSE</v>
      </c>
      <c r="B1772" s="1308"/>
      <c r="C1772" s="1308"/>
      <c r="D1772" s="1308"/>
      <c r="E1772" s="1308"/>
      <c r="F1772" s="1308"/>
      <c r="G1772" s="1308"/>
      <c r="H1772" s="1308"/>
      <c r="I1772" s="1308"/>
      <c r="J1772" s="1308"/>
      <c r="K1772" s="1308"/>
      <c r="L1772" s="1308"/>
      <c r="M1772" s="1308"/>
      <c r="N1772" s="1308"/>
      <c r="O1772" s="1308"/>
      <c r="P1772" s="357"/>
    </row>
    <row r="1773" spans="1:16" s="291" customFormat="1">
      <c r="A1773" s="1308" t="str">
        <f>$A$4</f>
        <v>FROM JANUARY 01, 2023 THROUGH DECEMBER 31, 2025</v>
      </c>
      <c r="B1773" s="1308"/>
      <c r="C1773" s="1308"/>
      <c r="D1773" s="1308"/>
      <c r="E1773" s="1308"/>
      <c r="F1773" s="1308"/>
      <c r="G1773" s="1308"/>
      <c r="H1773" s="1308"/>
      <c r="I1773" s="1308"/>
      <c r="J1773" s="1308"/>
      <c r="K1773" s="1308"/>
      <c r="L1773" s="1308"/>
      <c r="M1773" s="1308"/>
      <c r="N1773" s="1308"/>
      <c r="O1773" s="1308"/>
    </row>
    <row r="1774" spans="1:16" s="291" customFormat="1">
      <c r="B1774" s="293"/>
      <c r="P1774" s="312"/>
    </row>
    <row r="1775" spans="1:16" s="291" customFormat="1">
      <c r="A1775" s="297" t="str">
        <f>$A$6</f>
        <v xml:space="preserve">DATA: _X_ BASE PERIOD _X_ FORECASTED PERIOD     </v>
      </c>
      <c r="B1775" s="293"/>
      <c r="O1775" s="312" t="str">
        <f>$O$6</f>
        <v>WPB-2.1.C</v>
      </c>
      <c r="P1775" s="312"/>
    </row>
    <row r="1776" spans="1:16" s="291" customFormat="1">
      <c r="A1776" s="297" t="str">
        <f>$A$7</f>
        <v>TYPE OF FILING:___X___ORIGINAL______UPDATED</v>
      </c>
      <c r="B1776" s="293"/>
      <c r="O1776" s="312" t="s">
        <v>2191</v>
      </c>
      <c r="P1776" s="312"/>
    </row>
    <row r="1777" spans="1:15" s="291" customFormat="1">
      <c r="A1777" s="297" t="str">
        <f>$A$8</f>
        <v>WORKPAPER REFERENCE NO(S).:</v>
      </c>
      <c r="B1777" s="293"/>
      <c r="O1777" s="312" t="str">
        <f>$O$8</f>
        <v>WITNESS: GORE</v>
      </c>
    </row>
    <row r="1778" spans="1:15">
      <c r="A1778" s="918"/>
      <c r="B1778" s="919"/>
      <c r="C1778" s="918"/>
      <c r="D1778" s="918"/>
      <c r="E1778" s="918"/>
      <c r="F1778" s="918"/>
      <c r="G1778" s="918"/>
      <c r="H1778" s="918"/>
      <c r="I1778" s="918"/>
      <c r="J1778" s="918"/>
      <c r="K1778" s="918"/>
      <c r="L1778" s="918"/>
      <c r="M1778" s="918"/>
      <c r="N1778" s="918"/>
      <c r="O1778" s="920"/>
    </row>
    <row r="1779" spans="1:15">
      <c r="D1779" s="1311" t="s">
        <v>1768</v>
      </c>
      <c r="E1779" s="1311"/>
      <c r="F1779" s="1311"/>
      <c r="G1779" s="1311"/>
      <c r="I1779" s="1311" t="s">
        <v>1769</v>
      </c>
      <c r="J1779" s="1311"/>
      <c r="K1779" s="1311"/>
      <c r="L1779" s="1311"/>
      <c r="M1779" s="1311"/>
      <c r="N1779" s="1311"/>
      <c r="O1779" s="1311"/>
    </row>
    <row r="1780" spans="1:15">
      <c r="D1780" s="360">
        <f>D1721</f>
        <v>45383</v>
      </c>
      <c r="G1780" s="360">
        <f>G1721</f>
        <v>45412</v>
      </c>
      <c r="I1780" s="360">
        <f>D1780</f>
        <v>45383</v>
      </c>
      <c r="O1780" s="360">
        <f>G1780</f>
        <v>45412</v>
      </c>
    </row>
    <row r="1781" spans="1:15">
      <c r="D1781" s="361" t="s">
        <v>1757</v>
      </c>
      <c r="G1781" s="361" t="s">
        <v>1757</v>
      </c>
      <c r="I1781" s="361" t="s">
        <v>1758</v>
      </c>
      <c r="J1781" s="361" t="s">
        <v>488</v>
      </c>
      <c r="L1781" s="361" t="s">
        <v>1758</v>
      </c>
      <c r="O1781" s="361" t="s">
        <v>1758</v>
      </c>
    </row>
    <row r="1782" spans="1:15">
      <c r="A1782" s="361" t="s">
        <v>1770</v>
      </c>
      <c r="B1782" s="361" t="s">
        <v>368</v>
      </c>
      <c r="C1782" s="361"/>
      <c r="D1782" s="361" t="s">
        <v>437</v>
      </c>
      <c r="G1782" s="361" t="s">
        <v>439</v>
      </c>
      <c r="I1782" s="361" t="s">
        <v>437</v>
      </c>
      <c r="J1782" s="361" t="s">
        <v>1771</v>
      </c>
      <c r="K1782" s="361" t="s">
        <v>1772</v>
      </c>
      <c r="L1782" s="361" t="s">
        <v>1759</v>
      </c>
      <c r="N1782" s="361" t="s">
        <v>1760</v>
      </c>
      <c r="O1782" s="361" t="s">
        <v>439</v>
      </c>
    </row>
    <row r="1783" spans="1:15">
      <c r="A1783" s="364" t="s">
        <v>316</v>
      </c>
      <c r="B1783" s="364" t="s">
        <v>316</v>
      </c>
      <c r="C1783" s="364" t="s">
        <v>451</v>
      </c>
      <c r="D1783" s="364" t="s">
        <v>441</v>
      </c>
      <c r="E1783" s="364" t="s">
        <v>442</v>
      </c>
      <c r="F1783" s="364" t="s">
        <v>443</v>
      </c>
      <c r="G1783" s="364" t="s">
        <v>441</v>
      </c>
      <c r="I1783" s="364" t="s">
        <v>441</v>
      </c>
      <c r="J1783" s="364" t="s">
        <v>1773</v>
      </c>
      <c r="K1783" s="364" t="s">
        <v>1771</v>
      </c>
      <c r="L1783" s="364" t="s">
        <v>355</v>
      </c>
      <c r="M1783" s="364" t="s">
        <v>443</v>
      </c>
      <c r="N1783" s="364" t="s">
        <v>1763</v>
      </c>
      <c r="O1783" s="364" t="s">
        <v>441</v>
      </c>
    </row>
    <row r="1784" spans="1:15">
      <c r="D1784" s="361" t="s">
        <v>532</v>
      </c>
      <c r="E1784" s="361" t="s">
        <v>541</v>
      </c>
      <c r="F1784" s="361" t="s">
        <v>542</v>
      </c>
      <c r="G1784" s="361" t="s">
        <v>1764</v>
      </c>
      <c r="I1784" s="334" t="str">
        <f>"(5)"</f>
        <v>(5)</v>
      </c>
      <c r="J1784" s="334" t="str">
        <f>"(6)"</f>
        <v>(6)</v>
      </c>
      <c r="K1784" s="334" t="str">
        <f>"(7)=((1+4)/2*6/12))"</f>
        <v>(7)=((1+4)/2*6/12))</v>
      </c>
      <c r="L1784" s="334" t="str">
        <f>"(8)"</f>
        <v>(8)</v>
      </c>
      <c r="M1784" s="334" t="str">
        <f>"(9)"</f>
        <v>(9)</v>
      </c>
      <c r="N1784" s="334" t="str">
        <f>"(10)"</f>
        <v>(10)</v>
      </c>
      <c r="O1784" s="334" t="str">
        <f>"(11=5+7+8+9+10)"</f>
        <v>(11=5+7+8+9+10)</v>
      </c>
    </row>
    <row r="1785" spans="1:15">
      <c r="D1785" s="361" t="s">
        <v>320</v>
      </c>
      <c r="E1785" s="361" t="s">
        <v>320</v>
      </c>
      <c r="F1785" s="361" t="s">
        <v>320</v>
      </c>
      <c r="G1785" s="361" t="s">
        <v>320</v>
      </c>
      <c r="I1785" s="334" t="s">
        <v>320</v>
      </c>
      <c r="J1785" s="334" t="s">
        <v>529</v>
      </c>
      <c r="K1785" s="334" t="s">
        <v>320</v>
      </c>
      <c r="L1785" s="334" t="s">
        <v>320</v>
      </c>
      <c r="M1785" s="334" t="s">
        <v>320</v>
      </c>
      <c r="N1785" s="334" t="s">
        <v>320</v>
      </c>
      <c r="O1785" s="334" t="s">
        <v>320</v>
      </c>
    </row>
    <row r="1786" spans="1:15">
      <c r="A1786" s="361">
        <v>1</v>
      </c>
      <c r="B1786" s="363" t="s">
        <v>411</v>
      </c>
      <c r="D1786" s="361"/>
      <c r="E1786" s="361"/>
      <c r="F1786" s="361"/>
      <c r="G1786" s="361"/>
      <c r="I1786" s="334"/>
      <c r="J1786" s="334"/>
      <c r="K1786" s="334"/>
      <c r="L1786" s="334"/>
      <c r="M1786" s="334"/>
      <c r="N1786" s="334"/>
      <c r="O1786" s="334"/>
    </row>
    <row r="1787" spans="1:15">
      <c r="A1787" s="361">
        <f>A1786+1</f>
        <v>2</v>
      </c>
      <c r="B1787" s="365">
        <v>391.1</v>
      </c>
      <c r="C1787" s="358" t="s">
        <v>412</v>
      </c>
      <c r="D1787" s="1243">
        <f t="shared" ref="D1787:D1800" si="316">G1673</f>
        <v>921741.33000000007</v>
      </c>
      <c r="E1787" s="1243">
        <f>+'INPUT - B Schedule PLANT'!CJ46</f>
        <v>0</v>
      </c>
      <c r="F1787" s="1243">
        <f>+'INPUT - B Schedule PLANT'!CK46</f>
        <v>0</v>
      </c>
      <c r="G1787" s="1243">
        <f>SUM(D1787:F1787)</f>
        <v>921741.33000000007</v>
      </c>
      <c r="H1787" s="1243"/>
      <c r="I1787" s="1245">
        <f t="shared" ref="I1787:I1800" si="317">O1673</f>
        <v>126408.37000000001</v>
      </c>
      <c r="J1787" s="376">
        <f>$J$1673</f>
        <v>4.9700000000000001E-2</v>
      </c>
      <c r="K1787" s="1243">
        <f t="shared" ref="K1787:K1800" si="318">ROUND((G1787+D1787)/2*J1787/12,0)</f>
        <v>3818</v>
      </c>
      <c r="L1787" s="1243">
        <v>0</v>
      </c>
      <c r="M1787" s="1243">
        <f t="shared" ref="M1787:M1800" si="319">F1787</f>
        <v>0</v>
      </c>
      <c r="N1787" s="1243">
        <v>0</v>
      </c>
      <c r="O1787" s="1243">
        <f t="shared" ref="O1787:O1800" si="320">I1787+K1787+L1787+M1787+N1787</f>
        <v>130226.37000000001</v>
      </c>
    </row>
    <row r="1788" spans="1:15">
      <c r="A1788" s="361">
        <f t="shared" ref="A1788:A1801" si="321">A1787+1</f>
        <v>3</v>
      </c>
      <c r="B1788" s="365">
        <v>391.11</v>
      </c>
      <c r="C1788" s="358" t="s">
        <v>413</v>
      </c>
      <c r="D1788" s="1243">
        <f t="shared" si="316"/>
        <v>0</v>
      </c>
      <c r="E1788" s="1243">
        <f>+'INPUT - B Schedule PLANT'!CJ47</f>
        <v>0</v>
      </c>
      <c r="F1788" s="1243">
        <f>+'INPUT - B Schedule PLANT'!CK47</f>
        <v>0</v>
      </c>
      <c r="G1788" s="1243">
        <f t="shared" ref="G1788:G1795" si="322">SUM(D1788:F1788)</f>
        <v>0</v>
      </c>
      <c r="H1788" s="1243"/>
      <c r="I1788" s="1245">
        <f t="shared" si="317"/>
        <v>-18933.789999999997</v>
      </c>
      <c r="J1788" s="376">
        <f>$J$1674</f>
        <v>0</v>
      </c>
      <c r="K1788" s="1243">
        <f t="shared" si="318"/>
        <v>0</v>
      </c>
      <c r="L1788" s="1243">
        <v>0</v>
      </c>
      <c r="M1788" s="1243">
        <f t="shared" si="319"/>
        <v>0</v>
      </c>
      <c r="N1788" s="1243">
        <v>0</v>
      </c>
      <c r="O1788" s="1243">
        <f t="shared" si="320"/>
        <v>-18933.789999999997</v>
      </c>
    </row>
    <row r="1789" spans="1:15">
      <c r="A1789" s="361">
        <f t="shared" si="321"/>
        <v>4</v>
      </c>
      <c r="B1789" s="365">
        <v>391.12</v>
      </c>
      <c r="C1789" s="358" t="s">
        <v>414</v>
      </c>
      <c r="D1789" s="1243">
        <f t="shared" si="316"/>
        <v>37129.580000000009</v>
      </c>
      <c r="E1789" s="1243">
        <f>+'INPUT - B Schedule PLANT'!CJ48</f>
        <v>0</v>
      </c>
      <c r="F1789" s="1243">
        <f>+'INPUT - B Schedule PLANT'!CK48</f>
        <v>0</v>
      </c>
      <c r="G1789" s="1243">
        <f t="shared" si="322"/>
        <v>37129.580000000009</v>
      </c>
      <c r="H1789" s="1243"/>
      <c r="I1789" s="1245">
        <f t="shared" si="317"/>
        <v>-3427.0300000000007</v>
      </c>
      <c r="J1789" s="376">
        <f>$J$1675</f>
        <v>0.2</v>
      </c>
      <c r="K1789" s="1243">
        <f t="shared" si="318"/>
        <v>619</v>
      </c>
      <c r="L1789" s="1243">
        <v>0</v>
      </c>
      <c r="M1789" s="1243">
        <f t="shared" si="319"/>
        <v>0</v>
      </c>
      <c r="N1789" s="1243">
        <v>0</v>
      </c>
      <c r="O1789" s="1243">
        <f t="shared" si="320"/>
        <v>-2808.0300000000007</v>
      </c>
    </row>
    <row r="1790" spans="1:15">
      <c r="A1790" s="361">
        <f t="shared" si="321"/>
        <v>5</v>
      </c>
      <c r="B1790" s="365">
        <v>392.2</v>
      </c>
      <c r="C1790" s="358" t="s">
        <v>524</v>
      </c>
      <c r="D1790" s="1243">
        <f t="shared" si="316"/>
        <v>48924.4</v>
      </c>
      <c r="E1790" s="1243">
        <f>+'INPUT - B Schedule PLANT'!CJ49</f>
        <v>0</v>
      </c>
      <c r="F1790" s="1243">
        <f>+'INPUT - B Schedule PLANT'!CK49</f>
        <v>0</v>
      </c>
      <c r="G1790" s="1243">
        <f t="shared" si="322"/>
        <v>48924.4</v>
      </c>
      <c r="H1790" s="1243"/>
      <c r="I1790" s="1245">
        <f t="shared" si="317"/>
        <v>17254.359999999961</v>
      </c>
      <c r="J1790" s="376">
        <f>$J$1676</f>
        <v>8.9999999999999993E-3</v>
      </c>
      <c r="K1790" s="1243">
        <f t="shared" si="318"/>
        <v>37</v>
      </c>
      <c r="L1790" s="1243">
        <v>0</v>
      </c>
      <c r="M1790" s="1243">
        <f t="shared" si="319"/>
        <v>0</v>
      </c>
      <c r="N1790" s="1243">
        <v>0</v>
      </c>
      <c r="O1790" s="1243">
        <f t="shared" si="320"/>
        <v>17291.359999999961</v>
      </c>
    </row>
    <row r="1791" spans="1:15">
      <c r="A1791" s="361">
        <f t="shared" si="321"/>
        <v>6</v>
      </c>
      <c r="B1791" s="365">
        <v>392.21</v>
      </c>
      <c r="C1791" s="358" t="s">
        <v>415</v>
      </c>
      <c r="D1791" s="1243">
        <f t="shared" si="316"/>
        <v>24462.2</v>
      </c>
      <c r="E1791" s="1243">
        <f>+'INPUT - B Schedule PLANT'!CJ50</f>
        <v>0</v>
      </c>
      <c r="F1791" s="1243">
        <f>+'INPUT - B Schedule PLANT'!CK50</f>
        <v>0</v>
      </c>
      <c r="G1791" s="1243">
        <f t="shared" si="322"/>
        <v>24462.2</v>
      </c>
      <c r="H1791" s="1243"/>
      <c r="I1791" s="1245">
        <f t="shared" si="317"/>
        <v>44772.01</v>
      </c>
      <c r="J1791" s="376">
        <f>$J$1677</f>
        <v>8.9999999999999993E-3</v>
      </c>
      <c r="K1791" s="1243">
        <f t="shared" si="318"/>
        <v>18</v>
      </c>
      <c r="L1791" s="1243">
        <v>0</v>
      </c>
      <c r="M1791" s="1243">
        <f t="shared" si="319"/>
        <v>0</v>
      </c>
      <c r="N1791" s="1243">
        <v>0</v>
      </c>
      <c r="O1791" s="1243">
        <f t="shared" si="320"/>
        <v>44790.01</v>
      </c>
    </row>
    <row r="1792" spans="1:15">
      <c r="A1792" s="361">
        <f t="shared" si="321"/>
        <v>7</v>
      </c>
      <c r="B1792" s="365">
        <v>393</v>
      </c>
      <c r="C1792" s="358" t="s">
        <v>416</v>
      </c>
      <c r="D1792" s="1243">
        <f t="shared" si="316"/>
        <v>0</v>
      </c>
      <c r="E1792" s="1243">
        <f>+'INPUT - B Schedule PLANT'!CJ51</f>
        <v>0</v>
      </c>
      <c r="F1792" s="1243">
        <f>+'INPUT - B Schedule PLANT'!CK51</f>
        <v>0</v>
      </c>
      <c r="G1792" s="1243">
        <f t="shared" si="322"/>
        <v>0</v>
      </c>
      <c r="H1792" s="1243"/>
      <c r="I1792" s="1245">
        <f t="shared" si="317"/>
        <v>0</v>
      </c>
      <c r="J1792" s="376" t="str">
        <f>$J$1678</f>
        <v>Amort.</v>
      </c>
      <c r="K1792" s="1243">
        <v>0</v>
      </c>
      <c r="L1792" s="1243">
        <v>0</v>
      </c>
      <c r="M1792" s="1243">
        <f t="shared" si="319"/>
        <v>0</v>
      </c>
      <c r="N1792" s="1243">
        <v>0</v>
      </c>
      <c r="O1792" s="1243">
        <f t="shared" si="320"/>
        <v>0</v>
      </c>
    </row>
    <row r="1793" spans="1:15">
      <c r="A1793" s="361">
        <f t="shared" si="321"/>
        <v>8</v>
      </c>
      <c r="B1793" s="365">
        <v>394.1</v>
      </c>
      <c r="C1793" s="358" t="s">
        <v>417</v>
      </c>
      <c r="D1793" s="1243">
        <f t="shared" si="316"/>
        <v>9739</v>
      </c>
      <c r="E1793" s="1243">
        <f>+'INPUT - B Schedule PLANT'!CJ52</f>
        <v>0</v>
      </c>
      <c r="F1793" s="1243">
        <f>+'INPUT - B Schedule PLANT'!CK52</f>
        <v>0</v>
      </c>
      <c r="G1793" s="1243">
        <f t="shared" si="322"/>
        <v>9739</v>
      </c>
      <c r="H1793" s="1243"/>
      <c r="I1793" s="1245">
        <f t="shared" si="317"/>
        <v>4172.0700000000006</v>
      </c>
      <c r="J1793" s="376">
        <f>$J$1679</f>
        <v>0.04</v>
      </c>
      <c r="K1793" s="1243">
        <f t="shared" si="318"/>
        <v>32</v>
      </c>
      <c r="L1793" s="1243">
        <v>0</v>
      </c>
      <c r="M1793" s="1243">
        <f t="shared" si="319"/>
        <v>0</v>
      </c>
      <c r="N1793" s="1243">
        <v>0</v>
      </c>
      <c r="O1793" s="1243">
        <f t="shared" si="320"/>
        <v>4204.0700000000006</v>
      </c>
    </row>
    <row r="1794" spans="1:15">
      <c r="A1794" s="361">
        <f t="shared" si="321"/>
        <v>9</v>
      </c>
      <c r="B1794" s="365">
        <v>394.11</v>
      </c>
      <c r="C1794" s="358" t="s">
        <v>418</v>
      </c>
      <c r="D1794" s="1243">
        <f t="shared" si="316"/>
        <v>0</v>
      </c>
      <c r="E1794" s="1243">
        <f>+'INPUT - B Schedule PLANT'!CJ53</f>
        <v>0</v>
      </c>
      <c r="F1794" s="1243">
        <f>+'INPUT - B Schedule PLANT'!CK53</f>
        <v>0</v>
      </c>
      <c r="G1794" s="1243">
        <f t="shared" si="322"/>
        <v>0</v>
      </c>
      <c r="H1794" s="1243"/>
      <c r="I1794" s="1245">
        <f t="shared" si="317"/>
        <v>-26071.5</v>
      </c>
      <c r="J1794" s="376">
        <f>$J$1680</f>
        <v>0.04</v>
      </c>
      <c r="K1794" s="1243">
        <f t="shared" si="318"/>
        <v>0</v>
      </c>
      <c r="L1794" s="1243">
        <v>0</v>
      </c>
      <c r="M1794" s="1243">
        <f t="shared" si="319"/>
        <v>0</v>
      </c>
      <c r="N1794" s="1243">
        <v>0</v>
      </c>
      <c r="O1794" s="1243">
        <f t="shared" si="320"/>
        <v>-26071.5</v>
      </c>
    </row>
    <row r="1795" spans="1:15">
      <c r="A1795" s="361">
        <f t="shared" si="321"/>
        <v>10</v>
      </c>
      <c r="B1795" s="365">
        <v>394.13</v>
      </c>
      <c r="C1795" s="358" t="s">
        <v>515</v>
      </c>
      <c r="D1795" s="1243">
        <f t="shared" si="316"/>
        <v>0</v>
      </c>
      <c r="E1795" s="1243">
        <f>+'INPUT - B Schedule PLANT'!CJ54</f>
        <v>0</v>
      </c>
      <c r="F1795" s="1243">
        <f>+'INPUT - B Schedule PLANT'!CK54</f>
        <v>0</v>
      </c>
      <c r="G1795" s="1243">
        <f t="shared" si="322"/>
        <v>0</v>
      </c>
      <c r="H1795" s="1243"/>
      <c r="I1795" s="1245">
        <f t="shared" si="317"/>
        <v>37937.360000000001</v>
      </c>
      <c r="J1795" s="376" t="str">
        <f>$J$1681</f>
        <v>Amort.</v>
      </c>
      <c r="K1795" s="1243">
        <v>0</v>
      </c>
      <c r="L1795" s="1243">
        <v>0</v>
      </c>
      <c r="M1795" s="1243">
        <f t="shared" si="319"/>
        <v>0</v>
      </c>
      <c r="N1795" s="1243">
        <v>0</v>
      </c>
      <c r="O1795" s="1243">
        <f t="shared" si="320"/>
        <v>37937.360000000001</v>
      </c>
    </row>
    <row r="1796" spans="1:15">
      <c r="A1796" s="361">
        <f t="shared" si="321"/>
        <v>11</v>
      </c>
      <c r="B1796" s="365">
        <v>394.2</v>
      </c>
      <c r="C1796" s="358" t="s">
        <v>420</v>
      </c>
      <c r="D1796" s="1243">
        <f t="shared" si="316"/>
        <v>0</v>
      </c>
      <c r="E1796" s="1243">
        <f>+'INPUT - B Schedule PLANT'!CJ55</f>
        <v>0</v>
      </c>
      <c r="F1796" s="1243">
        <f>+'INPUT - B Schedule PLANT'!CK55</f>
        <v>0</v>
      </c>
      <c r="G1796" s="1243">
        <f>SUM(D1796:F1796)</f>
        <v>0</v>
      </c>
      <c r="H1796" s="1243"/>
      <c r="I1796" s="1245">
        <f t="shared" si="317"/>
        <v>185.21</v>
      </c>
      <c r="J1796" s="376">
        <f>$J$1682</f>
        <v>0.04</v>
      </c>
      <c r="K1796" s="1243">
        <f t="shared" si="318"/>
        <v>0</v>
      </c>
      <c r="L1796" s="1243">
        <v>0</v>
      </c>
      <c r="M1796" s="1243">
        <f t="shared" si="319"/>
        <v>0</v>
      </c>
      <c r="N1796" s="1243">
        <v>0</v>
      </c>
      <c r="O1796" s="1243">
        <f t="shared" si="320"/>
        <v>185.21</v>
      </c>
    </row>
    <row r="1797" spans="1:15">
      <c r="A1797" s="361">
        <f t="shared" si="321"/>
        <v>12</v>
      </c>
      <c r="B1797" s="365">
        <v>394.3</v>
      </c>
      <c r="C1797" s="358" t="s">
        <v>1602</v>
      </c>
      <c r="D1797" s="1243">
        <f t="shared" si="316"/>
        <v>5193522.4499999993</v>
      </c>
      <c r="E1797" s="1243">
        <f>+'INPUT - B Schedule PLANT'!CJ56</f>
        <v>10284.73</v>
      </c>
      <c r="F1797" s="1243">
        <f>+'INPUT - B Schedule PLANT'!CK56</f>
        <v>-11306.619999999999</v>
      </c>
      <c r="G1797" s="1243">
        <f>SUM(D1797:F1797)</f>
        <v>5192500.5599999996</v>
      </c>
      <c r="H1797" s="1243"/>
      <c r="I1797" s="1245">
        <f t="shared" si="317"/>
        <v>1603106.3099999998</v>
      </c>
      <c r="J1797" s="376">
        <f>$J$1683</f>
        <v>0.04</v>
      </c>
      <c r="K1797" s="1243">
        <f t="shared" si="318"/>
        <v>17310</v>
      </c>
      <c r="L1797" s="1243">
        <v>0</v>
      </c>
      <c r="M1797" s="1243">
        <f t="shared" si="319"/>
        <v>-11306.619999999999</v>
      </c>
      <c r="N1797" s="1243">
        <v>0</v>
      </c>
      <c r="O1797" s="1243">
        <f t="shared" si="320"/>
        <v>1609109.6899999997</v>
      </c>
    </row>
    <row r="1798" spans="1:15">
      <c r="A1798" s="361">
        <f t="shared" si="321"/>
        <v>13</v>
      </c>
      <c r="B1798" s="365">
        <v>395</v>
      </c>
      <c r="C1798" s="358" t="s">
        <v>422</v>
      </c>
      <c r="D1798" s="1243">
        <f t="shared" si="316"/>
        <v>0</v>
      </c>
      <c r="E1798" s="1243">
        <f>+'INPUT - B Schedule PLANT'!CJ57</f>
        <v>0</v>
      </c>
      <c r="F1798" s="1243">
        <f>+'INPUT - B Schedule PLANT'!CK57</f>
        <v>0</v>
      </c>
      <c r="G1798" s="1243">
        <f>SUM(D1798:F1798)</f>
        <v>0</v>
      </c>
      <c r="H1798" s="1243"/>
      <c r="I1798" s="1245">
        <f t="shared" si="317"/>
        <v>-100.69999999999845</v>
      </c>
      <c r="J1798" s="376">
        <f>$J$1684</f>
        <v>0.05</v>
      </c>
      <c r="K1798" s="1243">
        <f t="shared" si="318"/>
        <v>0</v>
      </c>
      <c r="L1798" s="1243">
        <v>0</v>
      </c>
      <c r="M1798" s="1243">
        <f t="shared" si="319"/>
        <v>0</v>
      </c>
      <c r="N1798" s="1243">
        <v>0</v>
      </c>
      <c r="O1798" s="1243">
        <f t="shared" si="320"/>
        <v>-100.69999999999845</v>
      </c>
    </row>
    <row r="1799" spans="1:15">
      <c r="A1799" s="361">
        <f t="shared" si="321"/>
        <v>14</v>
      </c>
      <c r="B1799" s="365">
        <v>396</v>
      </c>
      <c r="C1799" s="358" t="s">
        <v>423</v>
      </c>
      <c r="D1799" s="1243">
        <f t="shared" si="316"/>
        <v>185547</v>
      </c>
      <c r="E1799" s="1243">
        <f>+'INPUT - B Schedule PLANT'!CJ58</f>
        <v>0</v>
      </c>
      <c r="F1799" s="1243">
        <f>+'INPUT - B Schedule PLANT'!CK58</f>
        <v>0</v>
      </c>
      <c r="G1799" s="1243">
        <f>SUM(D1799:F1799)</f>
        <v>185547</v>
      </c>
      <c r="H1799" s="1243"/>
      <c r="I1799" s="1245">
        <f t="shared" si="317"/>
        <v>171938.14</v>
      </c>
      <c r="J1799" s="376">
        <f>$J$1685</f>
        <v>0</v>
      </c>
      <c r="K1799" s="1243">
        <f t="shared" si="318"/>
        <v>0</v>
      </c>
      <c r="L1799" s="1243">
        <v>0</v>
      </c>
      <c r="M1799" s="1243">
        <f t="shared" si="319"/>
        <v>0</v>
      </c>
      <c r="N1799" s="1243">
        <v>0</v>
      </c>
      <c r="O1799" s="1243">
        <f t="shared" si="320"/>
        <v>171938.14</v>
      </c>
    </row>
    <row r="1800" spans="1:15">
      <c r="A1800" s="361">
        <f t="shared" si="321"/>
        <v>15</v>
      </c>
      <c r="B1800" s="365">
        <v>398</v>
      </c>
      <c r="C1800" s="358" t="s">
        <v>424</v>
      </c>
      <c r="D1800" s="1244">
        <f t="shared" si="316"/>
        <v>148028.20000000001</v>
      </c>
      <c r="E1800" s="1244">
        <f>+'INPUT - B Schedule PLANT'!CJ59</f>
        <v>0</v>
      </c>
      <c r="F1800" s="1244">
        <f>+'INPUT - B Schedule PLANT'!CK59</f>
        <v>0</v>
      </c>
      <c r="G1800" s="1244">
        <f>SUM(D1800:F1800)</f>
        <v>148028.20000000001</v>
      </c>
      <c r="H1800" s="1243"/>
      <c r="I1800" s="1246">
        <f t="shared" si="317"/>
        <v>72572.549999999945</v>
      </c>
      <c r="J1800" s="376">
        <f>$J$1686</f>
        <v>6.6699999999999995E-2</v>
      </c>
      <c r="K1800" s="1244">
        <f t="shared" si="318"/>
        <v>823</v>
      </c>
      <c r="L1800" s="1244">
        <v>0</v>
      </c>
      <c r="M1800" s="1244">
        <f t="shared" si="319"/>
        <v>0</v>
      </c>
      <c r="N1800" s="1244">
        <v>0</v>
      </c>
      <c r="O1800" s="1244">
        <f t="shared" si="320"/>
        <v>73395.549999999945</v>
      </c>
    </row>
    <row r="1801" spans="1:15">
      <c r="A1801" s="361">
        <f t="shared" si="321"/>
        <v>16</v>
      </c>
      <c r="B1801" s="367"/>
      <c r="C1801" s="358" t="s">
        <v>425</v>
      </c>
      <c r="D1801" s="1243">
        <f>SUM(D1787:D1800)</f>
        <v>6569094.1599999992</v>
      </c>
      <c r="E1801" s="1243">
        <f>SUM(E1787:E1800)</f>
        <v>10284.73</v>
      </c>
      <c r="F1801" s="1243">
        <f>SUM(F1787:F1800)</f>
        <v>-11306.619999999999</v>
      </c>
      <c r="G1801" s="1243">
        <f>SUM(G1787:G1800)</f>
        <v>6568072.2699999996</v>
      </c>
      <c r="H1801" s="1243"/>
      <c r="I1801" s="1243">
        <f>SUM(I1787:I1800)</f>
        <v>2029813.36</v>
      </c>
      <c r="J1801" s="369"/>
      <c r="K1801" s="1243">
        <f>SUM(K1787:K1800)</f>
        <v>22657</v>
      </c>
      <c r="L1801" s="1243">
        <f>SUM(L1787:L1800)</f>
        <v>0</v>
      </c>
      <c r="M1801" s="1243">
        <f>SUM(M1787:M1800)</f>
        <v>-11306.619999999999</v>
      </c>
      <c r="N1801" s="1243">
        <f>SUM(N1787:N1800)</f>
        <v>0</v>
      </c>
      <c r="O1801" s="1243">
        <f>SUM(O1787:O1800)</f>
        <v>2041163.74</v>
      </c>
    </row>
    <row r="1802" spans="1:15">
      <c r="A1802" s="361"/>
      <c r="D1802" s="1243"/>
      <c r="E1802" s="1243"/>
      <c r="F1802" s="1243"/>
      <c r="G1802" s="1243"/>
      <c r="H1802" s="1243"/>
      <c r="I1802" s="1243"/>
      <c r="J1802" s="369"/>
      <c r="K1802" s="1243"/>
      <c r="L1802" s="1243"/>
      <c r="M1802" s="1243"/>
      <c r="N1802" s="1243"/>
      <c r="O1802" s="1243"/>
    </row>
    <row r="1803" spans="1:15">
      <c r="A1803" s="361">
        <f>A1801+1</f>
        <v>17</v>
      </c>
      <c r="B1803" s="363" t="s">
        <v>1038</v>
      </c>
      <c r="D1803" s="1243"/>
      <c r="E1803" s="1243"/>
      <c r="F1803" s="1243"/>
      <c r="G1803" s="1243"/>
      <c r="H1803" s="1243"/>
      <c r="I1803" s="1243"/>
      <c r="J1803" s="369"/>
      <c r="K1803" s="1243"/>
      <c r="L1803" s="1243"/>
      <c r="M1803" s="1243"/>
      <c r="N1803" s="1243"/>
      <c r="O1803" s="1243"/>
    </row>
    <row r="1804" spans="1:15">
      <c r="A1804" s="361">
        <f>A1803+1</f>
        <v>18</v>
      </c>
      <c r="B1804" s="365">
        <v>378.21</v>
      </c>
      <c r="C1804" s="358" t="s">
        <v>1037</v>
      </c>
      <c r="D1804" s="1244">
        <f>G1690</f>
        <v>-777092</v>
      </c>
      <c r="E1804" s="1244">
        <v>0</v>
      </c>
      <c r="F1804" s="1244">
        <v>0</v>
      </c>
      <c r="G1804" s="1244">
        <f>SUM(D1804:F1804)</f>
        <v>-777092</v>
      </c>
      <c r="H1804" s="1243"/>
      <c r="I1804" s="1244">
        <f>O1690</f>
        <v>-210802.85000000015</v>
      </c>
      <c r="J1804" s="376" t="str">
        <f>$J$1690</f>
        <v>Amort.</v>
      </c>
      <c r="K1804" s="1244">
        <f>$K$1348</f>
        <v>-2144.17</v>
      </c>
      <c r="L1804" s="1244">
        <v>0</v>
      </c>
      <c r="M1804" s="1244">
        <f>F1804</f>
        <v>0</v>
      </c>
      <c r="N1804" s="1244">
        <v>0</v>
      </c>
      <c r="O1804" s="1244">
        <f>I1804+K1804+L1804+M1804+N1804</f>
        <v>-212947.02000000016</v>
      </c>
    </row>
    <row r="1805" spans="1:15">
      <c r="A1805" s="361">
        <f>A1804+1</f>
        <v>19</v>
      </c>
      <c r="B1805" s="370"/>
      <c r="C1805" s="358" t="s">
        <v>1579</v>
      </c>
      <c r="D1805" s="1243">
        <f>SUM(D1804)</f>
        <v>-777092</v>
      </c>
      <c r="E1805" s="1243">
        <f>SUM(E1804)</f>
        <v>0</v>
      </c>
      <c r="F1805" s="1243">
        <f>SUM(F1804)</f>
        <v>0</v>
      </c>
      <c r="G1805" s="1243">
        <f>SUM(G1804)</f>
        <v>-777092</v>
      </c>
      <c r="H1805" s="1243"/>
      <c r="I1805" s="1243">
        <f>SUM(I1804)</f>
        <v>-210802.85000000015</v>
      </c>
      <c r="J1805" s="369"/>
      <c r="K1805" s="1243">
        <f>SUM(K1804)</f>
        <v>-2144.17</v>
      </c>
      <c r="L1805" s="1243">
        <f>SUM(L1804)</f>
        <v>0</v>
      </c>
      <c r="M1805" s="1243">
        <f>SUM(M1804)</f>
        <v>0</v>
      </c>
      <c r="N1805" s="1243">
        <f>SUM(N1804)</f>
        <v>0</v>
      </c>
      <c r="O1805" s="1243">
        <f>SUM(O1804)</f>
        <v>-212947.02000000016</v>
      </c>
    </row>
    <row r="1806" spans="1:15">
      <c r="A1806" s="361"/>
      <c r="B1806" s="370"/>
      <c r="D1806" s="1243"/>
      <c r="E1806" s="1243"/>
      <c r="F1806" s="1243"/>
      <c r="G1806" s="1243"/>
      <c r="H1806" s="1243"/>
      <c r="I1806" s="1243"/>
      <c r="J1806" s="369"/>
      <c r="K1806" s="1243"/>
      <c r="L1806" s="1243"/>
      <c r="M1806" s="1243"/>
      <c r="N1806" s="1243"/>
      <c r="O1806" s="1243"/>
    </row>
    <row r="1807" spans="1:15">
      <c r="A1807" s="361">
        <f>A1805+1</f>
        <v>20</v>
      </c>
      <c r="B1807" s="370"/>
      <c r="C1807" s="358" t="s">
        <v>2037</v>
      </c>
      <c r="D1807" s="1243">
        <f>D1734+D1767+D1801+D1805</f>
        <v>748279436.8459481</v>
      </c>
      <c r="E1807" s="1243">
        <f>E1734+E1767+E1801+E1805</f>
        <v>1284449.6908185044</v>
      </c>
      <c r="F1807" s="1243">
        <f>F1734+F1767+F1801+F1805</f>
        <v>-2671722.5292908764</v>
      </c>
      <c r="G1807" s="1243">
        <f>G1734+G1767+G1801+G1805</f>
        <v>746892164.00747585</v>
      </c>
      <c r="H1807" s="1243"/>
      <c r="I1807" s="1243">
        <f>I1734+I1767+I1801+I1805</f>
        <v>182836244.36757523</v>
      </c>
      <c r="J1807" s="369"/>
      <c r="K1807" s="1243">
        <f>K1734+K1767+K1801+K1805</f>
        <v>1792880.4975336781</v>
      </c>
      <c r="L1807" s="1243">
        <f>L1734+L1767+L1801+L1805</f>
        <v>0</v>
      </c>
      <c r="M1807" s="1243">
        <f>M1734+M1767+M1801+M1805</f>
        <v>-2671722.5292908764</v>
      </c>
      <c r="N1807" s="1243">
        <f>N1734+N1767+N1801+N1805</f>
        <v>-142917.78470788305</v>
      </c>
      <c r="O1807" s="1243">
        <f>O1734+O1767+O1801+O1805</f>
        <v>181814484.55111018</v>
      </c>
    </row>
    <row r="1808" spans="1:15">
      <c r="A1808" s="361"/>
      <c r="B1808" s="370"/>
      <c r="D1808" s="1243"/>
      <c r="E1808" s="1243"/>
      <c r="F1808" s="1243"/>
      <c r="G1808" s="1243"/>
      <c r="H1808" s="1243"/>
      <c r="I1808" s="1243"/>
      <c r="J1808" s="369"/>
      <c r="K1808" s="1243"/>
      <c r="L1808" s="1243"/>
      <c r="M1808" s="1243"/>
      <c r="N1808" s="1243"/>
      <c r="O1808" s="1243"/>
    </row>
    <row r="1809" spans="1:15">
      <c r="A1809" s="361">
        <f>A1807+1</f>
        <v>21</v>
      </c>
      <c r="B1809" s="370"/>
      <c r="C1809" s="358" t="s">
        <v>2038</v>
      </c>
      <c r="D1809" s="1243">
        <v>0</v>
      </c>
      <c r="E1809" s="1249">
        <v>0</v>
      </c>
      <c r="F1809" s="1249">
        <v>0</v>
      </c>
      <c r="G1809" s="1249">
        <f>SUM(D1809:F1809)</f>
        <v>0</v>
      </c>
      <c r="H1809" s="1243"/>
      <c r="I1809" s="1243">
        <f>O1695</f>
        <v>-6687302.71</v>
      </c>
      <c r="J1809" s="369"/>
      <c r="K1809" s="1243"/>
      <c r="L1809" s="1243"/>
      <c r="M1809" s="1243"/>
      <c r="N1809" s="1243"/>
      <c r="O1809" s="1243">
        <f>I1809+K1809+L1809+M1809+N1809</f>
        <v>-6687302.71</v>
      </c>
    </row>
    <row r="1810" spans="1:15">
      <c r="A1810" s="361"/>
      <c r="B1810" s="370"/>
      <c r="C1810" s="368"/>
      <c r="D1810" s="1243"/>
      <c r="E1810" s="1243"/>
      <c r="F1810" s="1243"/>
      <c r="G1810" s="1243"/>
      <c r="H1810" s="1243"/>
      <c r="I1810" s="1243"/>
      <c r="J1810" s="369"/>
      <c r="K1810" s="1243"/>
      <c r="L1810" s="1243"/>
      <c r="M1810" s="1243"/>
      <c r="N1810" s="1243"/>
      <c r="O1810" s="1243"/>
    </row>
    <row r="1811" spans="1:15">
      <c r="A1811" s="361">
        <f>A1809+1</f>
        <v>22</v>
      </c>
      <c r="C1811" s="358" t="s">
        <v>1603</v>
      </c>
      <c r="D1811" s="1247">
        <f>D1807+D1809</f>
        <v>748279436.8459481</v>
      </c>
      <c r="E1811" s="1247">
        <f t="shared" ref="E1811:O1811" si="323">E1807+E1809</f>
        <v>1284449.6908185044</v>
      </c>
      <c r="F1811" s="1247">
        <f t="shared" si="323"/>
        <v>-2671722.5292908764</v>
      </c>
      <c r="G1811" s="1247">
        <f t="shared" si="323"/>
        <v>746892164.00747585</v>
      </c>
      <c r="H1811" s="1243"/>
      <c r="I1811" s="1247">
        <f t="shared" si="323"/>
        <v>176148941.65757522</v>
      </c>
      <c r="J1811" s="369"/>
      <c r="K1811" s="1247">
        <f t="shared" si="323"/>
        <v>1792880.4975336781</v>
      </c>
      <c r="L1811" s="1247">
        <f t="shared" si="323"/>
        <v>0</v>
      </c>
      <c r="M1811" s="1247">
        <f t="shared" si="323"/>
        <v>-2671722.5292908764</v>
      </c>
      <c r="N1811" s="1247">
        <f t="shared" si="323"/>
        <v>-142917.78470788305</v>
      </c>
      <c r="O1811" s="1247">
        <f t="shared" si="323"/>
        <v>175127181.84111017</v>
      </c>
    </row>
    <row r="1812" spans="1:15">
      <c r="A1812" s="361"/>
      <c r="D1812" s="1243"/>
      <c r="E1812" s="1243"/>
      <c r="F1812" s="1243"/>
      <c r="G1812" s="1243"/>
      <c r="H1812" s="1243"/>
      <c r="I1812" s="1243"/>
      <c r="J1812" s="369"/>
      <c r="K1812" s="1243"/>
      <c r="L1812" s="1243"/>
      <c r="M1812" s="1243"/>
      <c r="N1812" s="1243"/>
      <c r="O1812" s="1243"/>
    </row>
    <row r="1813" spans="1:15">
      <c r="A1813" s="361"/>
      <c r="D1813" s="1243"/>
      <c r="E1813" s="1243"/>
      <c r="F1813" s="1243"/>
      <c r="G1813" s="1243"/>
      <c r="H1813" s="1243"/>
      <c r="I1813" s="1243"/>
      <c r="J1813" s="369"/>
      <c r="K1813" s="1243"/>
      <c r="L1813" s="1243"/>
      <c r="M1813" s="1243"/>
      <c r="N1813" s="1243"/>
      <c r="O1813" s="1243"/>
    </row>
    <row r="1814" spans="1:15">
      <c r="A1814" s="361">
        <f>A1811+1</f>
        <v>23</v>
      </c>
      <c r="B1814" s="363" t="s">
        <v>1774</v>
      </c>
      <c r="D1814" s="1243"/>
      <c r="E1814" s="1243"/>
      <c r="F1814" s="1243"/>
      <c r="G1814" s="1243"/>
      <c r="H1814" s="1243"/>
      <c r="I1814" s="1243"/>
      <c r="J1814" s="369"/>
      <c r="K1814" s="1243"/>
      <c r="L1814" s="1243"/>
      <c r="M1814" s="1243"/>
      <c r="N1814" s="1243"/>
      <c r="O1814" s="1243"/>
    </row>
    <row r="1815" spans="1:15">
      <c r="A1815" s="361">
        <f t="shared" ref="A1815:A1820" si="324">A1814+1</f>
        <v>24</v>
      </c>
      <c r="B1815" s="365">
        <v>376</v>
      </c>
      <c r="C1815" s="358" t="s">
        <v>1775</v>
      </c>
      <c r="D1815" s="1243">
        <f>G1701</f>
        <v>34184849.926497392</v>
      </c>
      <c r="E1815" s="1243">
        <f>'WPB-2.1.D SMRP'!E708</f>
        <v>1085099.0430508142</v>
      </c>
      <c r="F1815" s="1243">
        <f>'WPB-2.1.D SMRP'!F708</f>
        <v>-5865.2104164145521</v>
      </c>
      <c r="G1815" s="1243">
        <f>SUM(D1815:F1815)</f>
        <v>35264083.759131789</v>
      </c>
      <c r="H1815" s="1243"/>
      <c r="I1815" s="1243">
        <f>O1701</f>
        <v>-12466.487566213518</v>
      </c>
      <c r="J1815" s="376">
        <f>$J$1701</f>
        <v>1.7399999999999999E-2</v>
      </c>
      <c r="K1815" s="1243">
        <f>'WPB-2.1.D SMRP'!K708</f>
        <v>50350.445</v>
      </c>
      <c r="L1815" s="1243">
        <v>0</v>
      </c>
      <c r="M1815" s="1243">
        <f>F1815</f>
        <v>-5865.2104164145521</v>
      </c>
      <c r="N1815" s="1243">
        <f>'WPB-2.1.D SMRP'!N708</f>
        <v>-1099.29</v>
      </c>
      <c r="O1815" s="1243">
        <f>I1815+K1815+L1815+M1815+N1815</f>
        <v>30919.457017371929</v>
      </c>
    </row>
    <row r="1816" spans="1:15">
      <c r="A1816" s="361">
        <f t="shared" si="324"/>
        <v>25</v>
      </c>
      <c r="B1816" s="365">
        <v>378.2</v>
      </c>
      <c r="C1816" s="358" t="s">
        <v>1776</v>
      </c>
      <c r="D1816" s="1243">
        <f>G1702</f>
        <v>-185312.46000000008</v>
      </c>
      <c r="E1816" s="1243">
        <f>'WPB-2.1.D SMRP'!E709</f>
        <v>99194.37712408138</v>
      </c>
      <c r="F1816" s="1243">
        <f>'WPB-2.1.D SMRP'!F709</f>
        <v>-14286.84987086611</v>
      </c>
      <c r="G1816" s="1243">
        <f>SUM(D1816:F1816)</f>
        <v>-100404.93274678481</v>
      </c>
      <c r="H1816" s="1243"/>
      <c r="I1816" s="1243">
        <f>O1702</f>
        <v>-485033.93799999997</v>
      </c>
      <c r="J1816" s="376">
        <f>$J$1702</f>
        <v>2.52E-2</v>
      </c>
      <c r="K1816" s="1243">
        <f>'WPB-2.1.D SMRP'!K709</f>
        <v>-299.84699999999998</v>
      </c>
      <c r="L1816" s="1243">
        <v>0</v>
      </c>
      <c r="M1816" s="1243">
        <f>F1816</f>
        <v>-14286.84987086611</v>
      </c>
      <c r="N1816" s="1243">
        <f>'WPB-2.1.D SMRP'!N709</f>
        <v>-7484.3552921169467</v>
      </c>
      <c r="O1816" s="1243">
        <f>I1816+K1816+L1816+M1816+N1816</f>
        <v>-507104.99016298301</v>
      </c>
    </row>
    <row r="1817" spans="1:15">
      <c r="A1817" s="361">
        <f t="shared" si="324"/>
        <v>26</v>
      </c>
      <c r="B1817" s="365">
        <v>380</v>
      </c>
      <c r="C1817" s="358" t="s">
        <v>1777</v>
      </c>
      <c r="D1817" s="1243">
        <f>G1703</f>
        <v>12303282.580570366</v>
      </c>
      <c r="E1817" s="1243">
        <f>'WPB-2.1.D SMRP'!E710</f>
        <v>1659435.52</v>
      </c>
      <c r="F1817" s="1243">
        <f>'WPB-2.1.D SMRP'!F710</f>
        <v>-437686.54688831879</v>
      </c>
      <c r="G1817" s="1243">
        <f>SUM(D1817:F1817)</f>
        <v>13525031.553682048</v>
      </c>
      <c r="H1817" s="1243"/>
      <c r="I1817" s="1243">
        <f>O1703</f>
        <v>-5987383.3850216335</v>
      </c>
      <c r="J1817" s="376">
        <f>$J$1703</f>
        <v>3.9800000000000002E-2</v>
      </c>
      <c r="K1817" s="1243">
        <f>'WPB-2.1.D SMRP'!K710</f>
        <v>42832.067000000003</v>
      </c>
      <c r="L1817" s="1243">
        <v>0</v>
      </c>
      <c r="M1817" s="1243">
        <f>F1817</f>
        <v>-437686.54688831879</v>
      </c>
      <c r="N1817" s="1243">
        <f>'WPB-2.1.D SMRP'!N710</f>
        <v>-153311.54999999999</v>
      </c>
      <c r="O1817" s="1243">
        <f>I1817+K1817+L1817+M1817+N1817</f>
        <v>-6535549.4149099523</v>
      </c>
    </row>
    <row r="1818" spans="1:15">
      <c r="A1818" s="361">
        <f t="shared" si="324"/>
        <v>27</v>
      </c>
      <c r="B1818" s="365">
        <v>382</v>
      </c>
      <c r="C1818" s="358" t="s">
        <v>1778</v>
      </c>
      <c r="D1818" s="1243">
        <f>G1704</f>
        <v>177090.70716494252</v>
      </c>
      <c r="E1818" s="1243">
        <f>'WPB-2.1.D SMRP'!E711</f>
        <v>2709.61</v>
      </c>
      <c r="F1818" s="1243">
        <f>'WPB-2.1.D SMRP'!F711</f>
        <v>-1153.1400000000001</v>
      </c>
      <c r="G1818" s="1243">
        <f>SUM(D1818:F1818)</f>
        <v>178647.17716494249</v>
      </c>
      <c r="H1818" s="1243"/>
      <c r="I1818" s="1243">
        <f>O1704</f>
        <v>-53866.597835057481</v>
      </c>
      <c r="J1818" s="376">
        <f>$J$1704</f>
        <v>1.77E-2</v>
      </c>
      <c r="K1818" s="1243">
        <f>'WPB-2.1.D SMRP'!K711</f>
        <v>262.14800000000002</v>
      </c>
      <c r="L1818" s="1243">
        <v>0</v>
      </c>
      <c r="M1818" s="1243">
        <f>F1818</f>
        <v>-1153.1400000000001</v>
      </c>
      <c r="N1818" s="1243">
        <f>'WPB-2.1.D SMRP'!N711</f>
        <v>0</v>
      </c>
      <c r="O1818" s="1243">
        <f>I1818+K1818+L1818+M1818+N1818</f>
        <v>-54757.589835057479</v>
      </c>
    </row>
    <row r="1819" spans="1:15">
      <c r="A1819" s="361">
        <f t="shared" si="324"/>
        <v>28</v>
      </c>
      <c r="B1819" s="365">
        <v>383</v>
      </c>
      <c r="C1819" s="358" t="s">
        <v>1779</v>
      </c>
      <c r="D1819" s="1244">
        <f>G1705</f>
        <v>46168.257764388065</v>
      </c>
      <c r="E1819" s="1244">
        <f>'WPB-2.1.D SMRP'!E712</f>
        <v>10408.2463812639</v>
      </c>
      <c r="F1819" s="1244">
        <f>'WPB-2.1.D SMRP'!F712</f>
        <v>-150.10353352433253</v>
      </c>
      <c r="G1819" s="1244">
        <f>SUM(D1819:F1819)</f>
        <v>56426.400612127632</v>
      </c>
      <c r="H1819" s="1243"/>
      <c r="I1819" s="1244">
        <f>O1705</f>
        <v>-7758.1422356119338</v>
      </c>
      <c r="J1819" s="376">
        <f>$J$1705</f>
        <v>1.9400000000000001E-2</v>
      </c>
      <c r="K1819" s="1244">
        <f>'WPB-2.1.D SMRP'!K712</f>
        <v>83.292000000000002</v>
      </c>
      <c r="L1819" s="1244">
        <v>0</v>
      </c>
      <c r="M1819" s="1244">
        <f>F1819</f>
        <v>-150.10353352433253</v>
      </c>
      <c r="N1819" s="1244">
        <f>'WPB-2.1.D SMRP'!N712</f>
        <v>0</v>
      </c>
      <c r="O1819" s="1244">
        <f>I1819+K1819+L1819+M1819+N1819</f>
        <v>-7824.9537691362657</v>
      </c>
    </row>
    <row r="1820" spans="1:15">
      <c r="A1820" s="361">
        <f t="shared" si="324"/>
        <v>29</v>
      </c>
      <c r="C1820" s="358" t="s">
        <v>1780</v>
      </c>
      <c r="D1820" s="1243">
        <f>SUM(D1815:D1819)</f>
        <v>46526079.011997096</v>
      </c>
      <c r="E1820" s="1243">
        <f>SUM(E1815:E1819)</f>
        <v>2856846.7965561589</v>
      </c>
      <c r="F1820" s="1243">
        <f>SUM(F1815:F1819)</f>
        <v>-459141.85070912377</v>
      </c>
      <c r="G1820" s="1243">
        <f>SUM(G1815:G1819)</f>
        <v>48923783.957844123</v>
      </c>
      <c r="H1820" s="1243"/>
      <c r="I1820" s="1243">
        <f>SUM(I1815:I1819)</f>
        <v>-6546508.5506585157</v>
      </c>
      <c r="J1820" s="369"/>
      <c r="K1820" s="1243">
        <f>SUM(K1815:K1819)</f>
        <v>93228.10500000001</v>
      </c>
      <c r="L1820" s="1243">
        <f>SUM(L1815:L1819)</f>
        <v>0</v>
      </c>
      <c r="M1820" s="1243">
        <f>SUM(M1815:M1819)</f>
        <v>-459141.85070912377</v>
      </c>
      <c r="N1820" s="1243">
        <f>SUM(N1815:N1819)</f>
        <v>-161895.19529211693</v>
      </c>
      <c r="O1820" s="1243">
        <f>SUM(O1815:O1819)</f>
        <v>-7074317.4916597567</v>
      </c>
    </row>
    <row r="1821" spans="1:15">
      <c r="A1821" s="361"/>
      <c r="D1821" s="1243"/>
      <c r="E1821" s="1243"/>
      <c r="F1821" s="1243"/>
      <c r="G1821" s="1243"/>
      <c r="H1821" s="1243"/>
      <c r="I1821" s="1243"/>
      <c r="J1821" s="369"/>
      <c r="K1821" s="1243"/>
      <c r="L1821" s="1243"/>
      <c r="M1821" s="1243"/>
      <c r="N1821" s="1243"/>
      <c r="O1821" s="1243"/>
    </row>
    <row r="1822" spans="1:15" ht="13.5" thickBot="1">
      <c r="A1822" s="361">
        <f>A1820+1</f>
        <v>30</v>
      </c>
      <c r="C1822" s="358" t="s">
        <v>447</v>
      </c>
      <c r="D1822" s="1248">
        <f>D1811+D1820</f>
        <v>794805515.8579452</v>
      </c>
      <c r="E1822" s="1248">
        <f>E1811+E1820</f>
        <v>4141296.4873746634</v>
      </c>
      <c r="F1822" s="1248">
        <f>F1811+F1820</f>
        <v>-3130864.38</v>
      </c>
      <c r="G1822" s="1248">
        <f>G1811+G1820</f>
        <v>795815947.96531999</v>
      </c>
      <c r="H1822" s="1243"/>
      <c r="I1822" s="1248">
        <f>I1811+I1820</f>
        <v>169602433.1069167</v>
      </c>
      <c r="J1822" s="369"/>
      <c r="K1822" s="1248">
        <f>K1811+K1820</f>
        <v>1886108.6025336781</v>
      </c>
      <c r="L1822" s="1248">
        <f>L1811+L1820</f>
        <v>0</v>
      </c>
      <c r="M1822" s="1248">
        <f>M1811+M1820</f>
        <v>-3130864.38</v>
      </c>
      <c r="N1822" s="1248">
        <f>N1811+N1820</f>
        <v>-304812.98</v>
      </c>
      <c r="O1822" s="1248">
        <f>O1811+O1820</f>
        <v>168052864.34945041</v>
      </c>
    </row>
    <row r="1823" spans="1:15" ht="13.5" thickTop="1"/>
    <row r="1825" spans="1:16" s="291" customFormat="1">
      <c r="A1825" s="1308" t="str">
        <f>$A$1</f>
        <v>COLUMBIA GAS OF KENTUCKY, INC.</v>
      </c>
      <c r="B1825" s="1308"/>
      <c r="C1825" s="1308"/>
      <c r="D1825" s="1308"/>
      <c r="E1825" s="1308"/>
      <c r="F1825" s="1308"/>
      <c r="G1825" s="1308"/>
      <c r="H1825" s="1308"/>
      <c r="I1825" s="1308"/>
      <c r="J1825" s="1308"/>
      <c r="K1825" s="1308"/>
      <c r="L1825" s="1308"/>
      <c r="M1825" s="1308"/>
      <c r="N1825" s="1308"/>
      <c r="O1825" s="1308"/>
    </row>
    <row r="1826" spans="1:16" s="291" customFormat="1">
      <c r="A1826" s="1308" t="str">
        <f>$A$2</f>
        <v>CASE NO. 2024 - 00092</v>
      </c>
      <c r="B1826" s="1308"/>
      <c r="C1826" s="1308"/>
      <c r="D1826" s="1308"/>
      <c r="E1826" s="1308"/>
      <c r="F1826" s="1308"/>
      <c r="G1826" s="1308"/>
      <c r="H1826" s="1308"/>
      <c r="I1826" s="1308"/>
      <c r="J1826" s="1308"/>
      <c r="K1826" s="1308"/>
      <c r="L1826" s="1308"/>
      <c r="M1826" s="1308"/>
      <c r="N1826" s="1308"/>
      <c r="O1826" s="1308"/>
    </row>
    <row r="1827" spans="1:16" s="291" customFormat="1">
      <c r="A1827" s="1308" t="str">
        <f>$A$3</f>
        <v>DETAIL OF ACTUAL &amp; FORECASTED PLANT, ACCUMULATED RESERVE &amp; DEPRECIATION EXPENSE</v>
      </c>
      <c r="B1827" s="1308"/>
      <c r="C1827" s="1308"/>
      <c r="D1827" s="1308"/>
      <c r="E1827" s="1308"/>
      <c r="F1827" s="1308"/>
      <c r="G1827" s="1308"/>
      <c r="H1827" s="1308"/>
      <c r="I1827" s="1308"/>
      <c r="J1827" s="1308"/>
      <c r="K1827" s="1308"/>
      <c r="L1827" s="1308"/>
      <c r="M1827" s="1308"/>
      <c r="N1827" s="1308"/>
      <c r="O1827" s="1308"/>
      <c r="P1827" s="357"/>
    </row>
    <row r="1828" spans="1:16" s="291" customFormat="1">
      <c r="A1828" s="1308" t="str">
        <f>$A$4</f>
        <v>FROM JANUARY 01, 2023 THROUGH DECEMBER 31, 2025</v>
      </c>
      <c r="B1828" s="1308"/>
      <c r="C1828" s="1308"/>
      <c r="D1828" s="1308"/>
      <c r="E1828" s="1308"/>
      <c r="F1828" s="1308"/>
      <c r="G1828" s="1308"/>
      <c r="H1828" s="1308"/>
      <c r="I1828" s="1308"/>
      <c r="J1828" s="1308"/>
      <c r="K1828" s="1308"/>
      <c r="L1828" s="1308"/>
      <c r="M1828" s="1308"/>
      <c r="N1828" s="1308"/>
      <c r="O1828" s="1308"/>
    </row>
    <row r="1829" spans="1:16" s="291" customFormat="1">
      <c r="B1829" s="293"/>
      <c r="P1829" s="312"/>
    </row>
    <row r="1830" spans="1:16" s="291" customFormat="1">
      <c r="A1830" s="297" t="str">
        <f>$A$6</f>
        <v xml:space="preserve">DATA: _X_ BASE PERIOD _X_ FORECASTED PERIOD     </v>
      </c>
      <c r="B1830" s="293"/>
      <c r="O1830" s="312" t="str">
        <f>$O$6</f>
        <v>WPB-2.1.C</v>
      </c>
      <c r="P1830" s="312"/>
    </row>
    <row r="1831" spans="1:16" s="291" customFormat="1">
      <c r="A1831" s="297" t="str">
        <f>$A$7</f>
        <v>TYPE OF FILING:___X___ORIGINAL______UPDATED</v>
      </c>
      <c r="B1831" s="293"/>
      <c r="O1831" s="312" t="s">
        <v>2190</v>
      </c>
      <c r="P1831" s="312"/>
    </row>
    <row r="1832" spans="1:16" s="291" customFormat="1">
      <c r="A1832" s="297" t="str">
        <f>$A$8</f>
        <v>WORKPAPER REFERENCE NO(S).:</v>
      </c>
      <c r="B1832" s="293"/>
      <c r="O1832" s="312" t="str">
        <f>$O$8</f>
        <v>WITNESS: GORE</v>
      </c>
    </row>
    <row r="1833" spans="1:16">
      <c r="A1833" s="918"/>
      <c r="B1833" s="919"/>
      <c r="C1833" s="918"/>
      <c r="D1833" s="918"/>
      <c r="E1833" s="918"/>
      <c r="F1833" s="918"/>
      <c r="G1833" s="918"/>
      <c r="H1833" s="918"/>
      <c r="I1833" s="918"/>
      <c r="J1833" s="918"/>
      <c r="K1833" s="918"/>
      <c r="L1833" s="918"/>
      <c r="M1833" s="918"/>
      <c r="N1833" s="918"/>
      <c r="O1833" s="920"/>
    </row>
    <row r="1834" spans="1:16">
      <c r="D1834" s="1311" t="s">
        <v>1768</v>
      </c>
      <c r="E1834" s="1311"/>
      <c r="F1834" s="1311"/>
      <c r="G1834" s="1311"/>
      <c r="I1834" s="1311" t="s">
        <v>1769</v>
      </c>
      <c r="J1834" s="1311"/>
      <c r="K1834" s="1311"/>
      <c r="L1834" s="1311"/>
      <c r="M1834" s="1311"/>
      <c r="N1834" s="1311"/>
      <c r="O1834" s="1311"/>
    </row>
    <row r="1835" spans="1:16">
      <c r="D1835" s="360">
        <f>G1780+1</f>
        <v>45413</v>
      </c>
      <c r="G1835" s="360">
        <f>D1835+30</f>
        <v>45443</v>
      </c>
      <c r="I1835" s="360">
        <f>D1835</f>
        <v>45413</v>
      </c>
      <c r="O1835" s="360">
        <f>G1835</f>
        <v>45443</v>
      </c>
    </row>
    <row r="1836" spans="1:16">
      <c r="D1836" s="361" t="s">
        <v>1757</v>
      </c>
      <c r="G1836" s="361" t="s">
        <v>1757</v>
      </c>
      <c r="I1836" s="361" t="s">
        <v>1758</v>
      </c>
      <c r="J1836" s="361" t="s">
        <v>488</v>
      </c>
      <c r="L1836" s="361" t="s">
        <v>1758</v>
      </c>
      <c r="O1836" s="361" t="s">
        <v>1758</v>
      </c>
    </row>
    <row r="1837" spans="1:16">
      <c r="A1837" s="361" t="s">
        <v>1770</v>
      </c>
      <c r="B1837" s="361" t="s">
        <v>368</v>
      </c>
      <c r="C1837" s="361"/>
      <c r="D1837" s="361" t="s">
        <v>437</v>
      </c>
      <c r="G1837" s="361" t="s">
        <v>439</v>
      </c>
      <c r="I1837" s="361" t="s">
        <v>437</v>
      </c>
      <c r="J1837" s="361" t="s">
        <v>1771</v>
      </c>
      <c r="K1837" s="361" t="s">
        <v>1772</v>
      </c>
      <c r="L1837" s="361" t="s">
        <v>1759</v>
      </c>
      <c r="N1837" s="361" t="s">
        <v>1760</v>
      </c>
      <c r="O1837" s="361" t="s">
        <v>439</v>
      </c>
    </row>
    <row r="1838" spans="1:16">
      <c r="A1838" s="364" t="s">
        <v>316</v>
      </c>
      <c r="B1838" s="364" t="s">
        <v>316</v>
      </c>
      <c r="C1838" s="364" t="s">
        <v>451</v>
      </c>
      <c r="D1838" s="364" t="s">
        <v>441</v>
      </c>
      <c r="E1838" s="364" t="s">
        <v>442</v>
      </c>
      <c r="F1838" s="364" t="s">
        <v>443</v>
      </c>
      <c r="G1838" s="364" t="s">
        <v>441</v>
      </c>
      <c r="I1838" s="364" t="s">
        <v>441</v>
      </c>
      <c r="J1838" s="364" t="s">
        <v>1773</v>
      </c>
      <c r="K1838" s="364" t="s">
        <v>1771</v>
      </c>
      <c r="L1838" s="364" t="s">
        <v>355</v>
      </c>
      <c r="M1838" s="364" t="s">
        <v>443</v>
      </c>
      <c r="N1838" s="364" t="s">
        <v>1763</v>
      </c>
      <c r="O1838" s="364" t="s">
        <v>441</v>
      </c>
    </row>
    <row r="1839" spans="1:16">
      <c r="D1839" s="361" t="s">
        <v>532</v>
      </c>
      <c r="E1839" s="361" t="s">
        <v>541</v>
      </c>
      <c r="F1839" s="361" t="s">
        <v>542</v>
      </c>
      <c r="G1839" s="361" t="s">
        <v>1764</v>
      </c>
      <c r="I1839" s="334" t="str">
        <f>"(5)"</f>
        <v>(5)</v>
      </c>
      <c r="J1839" s="334" t="str">
        <f>"(6)"</f>
        <v>(6)</v>
      </c>
      <c r="K1839" s="334" t="str">
        <f>"(7)=((1+4)/2*6/12))"</f>
        <v>(7)=((1+4)/2*6/12))</v>
      </c>
      <c r="L1839" s="334" t="str">
        <f>"(8)"</f>
        <v>(8)</v>
      </c>
      <c r="M1839" s="334" t="str">
        <f>"(9)"</f>
        <v>(9)</v>
      </c>
      <c r="N1839" s="334" t="str">
        <f>"(10)"</f>
        <v>(10)</v>
      </c>
      <c r="O1839" s="334" t="str">
        <f>"(11=5+7+8+9+10)"</f>
        <v>(11=5+7+8+9+10)</v>
      </c>
    </row>
    <row r="1840" spans="1:16">
      <c r="D1840" s="361" t="s">
        <v>320</v>
      </c>
      <c r="E1840" s="361" t="s">
        <v>320</v>
      </c>
      <c r="F1840" s="361" t="s">
        <v>320</v>
      </c>
      <c r="G1840" s="361" t="s">
        <v>320</v>
      </c>
      <c r="I1840" s="334" t="s">
        <v>320</v>
      </c>
      <c r="J1840" s="334" t="s">
        <v>529</v>
      </c>
      <c r="K1840" s="334" t="s">
        <v>320</v>
      </c>
      <c r="L1840" s="334" t="s">
        <v>320</v>
      </c>
      <c r="M1840" s="334" t="s">
        <v>320</v>
      </c>
      <c r="N1840" s="334" t="s">
        <v>320</v>
      </c>
      <c r="O1840" s="334" t="s">
        <v>320</v>
      </c>
    </row>
    <row r="1841" spans="1:15">
      <c r="A1841" s="361">
        <v>1</v>
      </c>
      <c r="B1841" s="362" t="s">
        <v>373</v>
      </c>
      <c r="D1841" s="361"/>
      <c r="E1841" s="361"/>
      <c r="F1841" s="361"/>
      <c r="G1841" s="361"/>
      <c r="I1841" s="334"/>
      <c r="J1841" s="334"/>
      <c r="K1841" s="374"/>
      <c r="L1841" s="374"/>
      <c r="M1841" s="374"/>
      <c r="N1841" s="374"/>
      <c r="O1841" s="374"/>
    </row>
    <row r="1842" spans="1:15">
      <c r="A1842" s="361">
        <f>A1841+1</f>
        <v>2</v>
      </c>
      <c r="B1842" s="365">
        <v>301</v>
      </c>
      <c r="C1842" s="358" t="s">
        <v>374</v>
      </c>
      <c r="D1842" s="1243">
        <f t="shared" ref="D1842:D1847" si="325">G1728</f>
        <v>521.20000000000005</v>
      </c>
      <c r="E1842" s="1243">
        <v>0</v>
      </c>
      <c r="F1842" s="1243">
        <v>0</v>
      </c>
      <c r="G1842" s="1243">
        <f t="shared" ref="G1842:G1847" si="326">SUM(D1842:F1842)</f>
        <v>521.20000000000005</v>
      </c>
      <c r="H1842" s="1243"/>
      <c r="I1842" s="1243">
        <f t="shared" ref="I1842:I1847" si="327">O1728</f>
        <v>0</v>
      </c>
      <c r="J1842" s="375" t="str">
        <f>$J$1614</f>
        <v>Amort.</v>
      </c>
      <c r="K1842" s="1243">
        <v>0</v>
      </c>
      <c r="L1842" s="1243">
        <v>0</v>
      </c>
      <c r="M1842" s="1243">
        <f t="shared" ref="M1842:M1847" si="328">F1842</f>
        <v>0</v>
      </c>
      <c r="N1842" s="1243">
        <v>0</v>
      </c>
      <c r="O1842" s="1243">
        <f t="shared" ref="O1842:O1847" si="329">I1842+K1842+L1842+M1842+N1842</f>
        <v>0</v>
      </c>
    </row>
    <row r="1843" spans="1:15">
      <c r="A1843" s="361">
        <f t="shared" ref="A1843:A1848" si="330">A1842+1</f>
        <v>3</v>
      </c>
      <c r="B1843" s="365">
        <v>303</v>
      </c>
      <c r="C1843" s="358" t="s">
        <v>375</v>
      </c>
      <c r="D1843" s="1243">
        <f t="shared" si="325"/>
        <v>96334.51</v>
      </c>
      <c r="E1843" s="1243">
        <v>0</v>
      </c>
      <c r="F1843" s="1243">
        <v>0</v>
      </c>
      <c r="G1843" s="1243">
        <f t="shared" si="326"/>
        <v>96334.51</v>
      </c>
      <c r="H1843" s="1243"/>
      <c r="I1843" s="1243">
        <f t="shared" si="327"/>
        <v>79932.761222222282</v>
      </c>
      <c r="J1843" s="375" t="str">
        <f>$J$1615</f>
        <v>Amort.</v>
      </c>
      <c r="K1843" s="1243">
        <f>+'WPB-2.1.E Intangibles'!I47</f>
        <v>267.59780555555557</v>
      </c>
      <c r="L1843" s="1243">
        <v>0</v>
      </c>
      <c r="M1843" s="1243">
        <f t="shared" si="328"/>
        <v>0</v>
      </c>
      <c r="N1843" s="1243">
        <v>0</v>
      </c>
      <c r="O1843" s="1243">
        <f t="shared" si="329"/>
        <v>80200.359027777842</v>
      </c>
    </row>
    <row r="1844" spans="1:15">
      <c r="A1844" s="361">
        <f t="shared" si="330"/>
        <v>4</v>
      </c>
      <c r="B1844" s="365">
        <v>303.10000000000002</v>
      </c>
      <c r="C1844" s="358" t="s">
        <v>376</v>
      </c>
      <c r="D1844" s="1243">
        <f t="shared" si="325"/>
        <v>943.27</v>
      </c>
      <c r="E1844" s="1243">
        <v>0</v>
      </c>
      <c r="F1844" s="1243">
        <v>0</v>
      </c>
      <c r="G1844" s="1243">
        <f t="shared" si="326"/>
        <v>943.27</v>
      </c>
      <c r="H1844" s="1243"/>
      <c r="I1844" s="1243">
        <f t="shared" si="327"/>
        <v>318.35000000000008</v>
      </c>
      <c r="J1844" s="375" t="str">
        <f>$J$1616</f>
        <v>Amort.</v>
      </c>
      <c r="K1844" s="1243">
        <v>0</v>
      </c>
      <c r="L1844" s="1243">
        <v>0</v>
      </c>
      <c r="M1844" s="1243">
        <f t="shared" si="328"/>
        <v>0</v>
      </c>
      <c r="N1844" s="1243">
        <v>0</v>
      </c>
      <c r="O1844" s="1243">
        <f t="shared" si="329"/>
        <v>318.35000000000008</v>
      </c>
    </row>
    <row r="1845" spans="1:15">
      <c r="A1845" s="361">
        <f t="shared" si="330"/>
        <v>5</v>
      </c>
      <c r="B1845" s="365">
        <v>303.2</v>
      </c>
      <c r="C1845" s="358" t="s">
        <v>377</v>
      </c>
      <c r="D1845" s="1243">
        <f t="shared" si="325"/>
        <v>0</v>
      </c>
      <c r="E1845" s="1243">
        <v>0</v>
      </c>
      <c r="F1845" s="1243">
        <v>0</v>
      </c>
      <c r="G1845" s="1243">
        <f t="shared" si="326"/>
        <v>0</v>
      </c>
      <c r="H1845" s="1243"/>
      <c r="I1845" s="1243">
        <f t="shared" si="327"/>
        <v>0</v>
      </c>
      <c r="J1845" s="375" t="str">
        <f>$J$1617</f>
        <v>Amort.</v>
      </c>
      <c r="K1845" s="1243">
        <v>0</v>
      </c>
      <c r="L1845" s="1243">
        <v>0</v>
      </c>
      <c r="M1845" s="1243">
        <f t="shared" si="328"/>
        <v>0</v>
      </c>
      <c r="N1845" s="1243">
        <v>0</v>
      </c>
      <c r="O1845" s="1243">
        <f t="shared" si="329"/>
        <v>0</v>
      </c>
    </row>
    <row r="1846" spans="1:15">
      <c r="A1846" s="361">
        <f t="shared" si="330"/>
        <v>6</v>
      </c>
      <c r="B1846" s="365">
        <v>303.3</v>
      </c>
      <c r="C1846" s="358" t="s">
        <v>378</v>
      </c>
      <c r="D1846" s="1243">
        <f t="shared" si="325"/>
        <v>11349474.890000002</v>
      </c>
      <c r="E1846" s="1243">
        <f>+'WPB-2.1.E Intangibles'!I17</f>
        <v>79811</v>
      </c>
      <c r="F1846" s="1243">
        <f>-'WPB-2.1.E Intangibles'!I35</f>
        <v>-29287.239999999998</v>
      </c>
      <c r="G1846" s="1243">
        <f t="shared" si="326"/>
        <v>11399998.650000002</v>
      </c>
      <c r="H1846" s="1243"/>
      <c r="I1846" s="1243">
        <f t="shared" si="327"/>
        <v>5380292.9860000033</v>
      </c>
      <c r="J1846" s="375" t="str">
        <f>$J$1618</f>
        <v>Amort.</v>
      </c>
      <c r="K1846" s="1243">
        <f>+'WPB-2.1.E Intangibles'!I48</f>
        <v>194653.59066666686</v>
      </c>
      <c r="L1846" s="1243">
        <v>0</v>
      </c>
      <c r="M1846" s="1243">
        <f t="shared" si="328"/>
        <v>-29287.239999999998</v>
      </c>
      <c r="N1846" s="1243">
        <v>0</v>
      </c>
      <c r="O1846" s="1243">
        <f t="shared" si="329"/>
        <v>5545659.3366666697</v>
      </c>
    </row>
    <row r="1847" spans="1:15">
      <c r="A1847" s="361">
        <f t="shared" si="330"/>
        <v>7</v>
      </c>
      <c r="B1847" s="365">
        <v>303.99</v>
      </c>
      <c r="C1847" s="358" t="s">
        <v>1129</v>
      </c>
      <c r="D1847" s="1244">
        <f t="shared" si="325"/>
        <v>2062543.375319781</v>
      </c>
      <c r="E1847" s="1244">
        <f>+'WPB-2.1.E Intangibles'!I21</f>
        <v>6258.0188111107018</v>
      </c>
      <c r="F1847" s="1244">
        <f>-'WPB-2.1.E Intangibles'!I36</f>
        <v>-86.21</v>
      </c>
      <c r="G1847" s="1244">
        <f t="shared" si="326"/>
        <v>2068715.1841308917</v>
      </c>
      <c r="H1847" s="1243"/>
      <c r="I1847" s="1244">
        <f t="shared" si="327"/>
        <v>1079955.0112281223</v>
      </c>
      <c r="J1847" s="375" t="str">
        <f>$J$1619</f>
        <v>Amort.</v>
      </c>
      <c r="K1847" s="1244">
        <f>+'WPB-2.1.E Intangibles'!I49</f>
        <v>35018.210613003655</v>
      </c>
      <c r="L1847" s="1244">
        <v>0</v>
      </c>
      <c r="M1847" s="1244">
        <f t="shared" si="328"/>
        <v>-86.21</v>
      </c>
      <c r="N1847" s="1244">
        <v>0</v>
      </c>
      <c r="O1847" s="1244">
        <f t="shared" si="329"/>
        <v>1114887.011841126</v>
      </c>
    </row>
    <row r="1848" spans="1:15">
      <c r="A1848" s="361">
        <f t="shared" si="330"/>
        <v>8</v>
      </c>
      <c r="B1848" s="367"/>
      <c r="C1848" s="358" t="s">
        <v>379</v>
      </c>
      <c r="D1848" s="1243">
        <f>SUM(D1842:D1847)</f>
        <v>13509817.245319784</v>
      </c>
      <c r="E1848" s="1243">
        <f>SUM(E1842:E1847)</f>
        <v>86069.018811110698</v>
      </c>
      <c r="F1848" s="1243">
        <f>SUM(F1842:F1847)</f>
        <v>-29373.449999999997</v>
      </c>
      <c r="G1848" s="1243">
        <f>SUM(G1842:G1847)</f>
        <v>13566512.814130895</v>
      </c>
      <c r="H1848" s="1243"/>
      <c r="I1848" s="1243">
        <f>SUM(I1842:I1847)</f>
        <v>6540499.1084503476</v>
      </c>
      <c r="J1848" s="369"/>
      <c r="K1848" s="1243">
        <f>SUM(K1842:K1847)</f>
        <v>229939.39908522606</v>
      </c>
      <c r="L1848" s="1243">
        <f>SUM(L1842:L1847)</f>
        <v>0</v>
      </c>
      <c r="M1848" s="1243">
        <f>SUM(M1842:M1847)</f>
        <v>-29373.449999999997</v>
      </c>
      <c r="N1848" s="1243">
        <f>SUM(N1842:N1847)</f>
        <v>0</v>
      </c>
      <c r="O1848" s="1243">
        <f>SUM(O1842:O1847)</f>
        <v>6741065.0575355729</v>
      </c>
    </row>
    <row r="1849" spans="1:15">
      <c r="A1849" s="361"/>
      <c r="B1849" s="367"/>
      <c r="C1849" s="368"/>
      <c r="D1849" s="1243"/>
      <c r="E1849" s="1243"/>
      <c r="F1849" s="1243"/>
      <c r="G1849" s="1243"/>
      <c r="H1849" s="1243"/>
      <c r="I1849" s="1243"/>
      <c r="J1849" s="369"/>
      <c r="K1849" s="1243"/>
      <c r="L1849" s="1243"/>
      <c r="M1849" s="1243"/>
      <c r="N1849" s="1243"/>
      <c r="O1849" s="1243"/>
    </row>
    <row r="1850" spans="1:15">
      <c r="A1850" s="361">
        <f>A1848+1</f>
        <v>9</v>
      </c>
      <c r="B1850" s="362" t="s">
        <v>1600</v>
      </c>
      <c r="C1850" s="368"/>
      <c r="D1850" s="1243"/>
      <c r="E1850" s="1243"/>
      <c r="F1850" s="1243"/>
      <c r="G1850" s="1243"/>
      <c r="H1850" s="1243"/>
      <c r="I1850" s="1243"/>
      <c r="J1850" s="369"/>
      <c r="K1850" s="1243"/>
      <c r="L1850" s="1243"/>
      <c r="M1850" s="1243"/>
      <c r="N1850" s="1243"/>
      <c r="O1850" s="1243"/>
    </row>
    <row r="1851" spans="1:15">
      <c r="A1851" s="361">
        <f t="shared" ref="A1851:A1881" si="331">A1850+1</f>
        <v>10</v>
      </c>
      <c r="B1851" s="365">
        <v>374.1</v>
      </c>
      <c r="C1851" s="358" t="s">
        <v>382</v>
      </c>
      <c r="D1851" s="1243">
        <f t="shared" ref="D1851:D1880" si="332">G1737</f>
        <v>205.4</v>
      </c>
      <c r="E1851" s="1243">
        <f>+'INPUT - B Schedule PLANT'!CO15</f>
        <v>0</v>
      </c>
      <c r="F1851" s="1243">
        <f>+'INPUT - B Schedule PLANT'!CP15</f>
        <v>0</v>
      </c>
      <c r="G1851" s="1243">
        <f>SUM(D1851:F1851)</f>
        <v>205.4</v>
      </c>
      <c r="H1851" s="1243"/>
      <c r="I1851" s="1243">
        <f t="shared" ref="I1851:I1880" si="333">O1737</f>
        <v>0</v>
      </c>
      <c r="J1851" s="375" t="str">
        <f>$J$1623</f>
        <v>Non-Dep.</v>
      </c>
      <c r="K1851" s="1243">
        <v>0</v>
      </c>
      <c r="L1851" s="1243">
        <v>0</v>
      </c>
      <c r="M1851" s="1243">
        <f t="shared" ref="M1851:M1880" si="334">F1851</f>
        <v>0</v>
      </c>
      <c r="N1851" s="1243">
        <v>0</v>
      </c>
      <c r="O1851" s="1243">
        <f t="shared" ref="O1851:O1880" si="335">I1851+K1851+L1851+M1851+N1851</f>
        <v>0</v>
      </c>
    </row>
    <row r="1852" spans="1:15">
      <c r="A1852" s="361">
        <f t="shared" si="331"/>
        <v>11</v>
      </c>
      <c r="B1852" s="365">
        <v>374.2</v>
      </c>
      <c r="C1852" s="358" t="s">
        <v>383</v>
      </c>
      <c r="D1852" s="1243">
        <f t="shared" si="332"/>
        <v>876986.66</v>
      </c>
      <c r="E1852" s="1243">
        <f>+'INPUT - B Schedule PLANT'!CO16</f>
        <v>0</v>
      </c>
      <c r="F1852" s="1243">
        <f>+'INPUT - B Schedule PLANT'!CP16</f>
        <v>0</v>
      </c>
      <c r="G1852" s="1243">
        <f t="shared" ref="G1852:G1880" si="336">SUM(D1852:F1852)</f>
        <v>876986.66</v>
      </c>
      <c r="H1852" s="1243"/>
      <c r="I1852" s="1243">
        <f t="shared" si="333"/>
        <v>-522.25</v>
      </c>
      <c r="J1852" s="375" t="str">
        <f>$J$1624</f>
        <v>Non-Dep.</v>
      </c>
      <c r="K1852" s="1243">
        <v>0</v>
      </c>
      <c r="L1852" s="1243">
        <v>0</v>
      </c>
      <c r="M1852" s="1243">
        <f t="shared" si="334"/>
        <v>0</v>
      </c>
      <c r="N1852" s="1243">
        <v>0</v>
      </c>
      <c r="O1852" s="1243">
        <f t="shared" si="335"/>
        <v>-522.25</v>
      </c>
    </row>
    <row r="1853" spans="1:15">
      <c r="A1853" s="361">
        <f t="shared" si="331"/>
        <v>12</v>
      </c>
      <c r="B1853" s="365">
        <v>374.4</v>
      </c>
      <c r="C1853" s="358" t="s">
        <v>384</v>
      </c>
      <c r="D1853" s="1243">
        <f t="shared" si="332"/>
        <v>2978181.6100000003</v>
      </c>
      <c r="E1853" s="1243">
        <f>+'INPUT - B Schedule PLANT'!CO17</f>
        <v>1294.93</v>
      </c>
      <c r="F1853" s="1243">
        <f>+'INPUT - B Schedule PLANT'!CP17</f>
        <v>0</v>
      </c>
      <c r="G1853" s="1243">
        <f t="shared" si="336"/>
        <v>2979476.5400000005</v>
      </c>
      <c r="H1853" s="1243"/>
      <c r="I1853" s="1243">
        <f t="shared" si="333"/>
        <v>381448.92000000004</v>
      </c>
      <c r="J1853" s="376">
        <f>$J$1625</f>
        <v>1.2699999999999999E-2</v>
      </c>
      <c r="K1853" s="1243">
        <f t="shared" ref="K1853:K1859" si="337">ROUND((G1853+D1853)/2*J1853/12,0)</f>
        <v>3153</v>
      </c>
      <c r="L1853" s="1243">
        <v>0</v>
      </c>
      <c r="M1853" s="1243">
        <f t="shared" si="334"/>
        <v>0</v>
      </c>
      <c r="N1853" s="1243">
        <v>0</v>
      </c>
      <c r="O1853" s="1243">
        <f t="shared" si="335"/>
        <v>384601.92000000004</v>
      </c>
    </row>
    <row r="1854" spans="1:15">
      <c r="A1854" s="361">
        <f t="shared" si="331"/>
        <v>13</v>
      </c>
      <c r="B1854" s="365">
        <v>374.5</v>
      </c>
      <c r="C1854" s="358" t="s">
        <v>385</v>
      </c>
      <c r="D1854" s="1243">
        <f t="shared" si="332"/>
        <v>2666577.16</v>
      </c>
      <c r="E1854" s="1243">
        <f>+'INPUT - B Schedule PLANT'!CO18</f>
        <v>0</v>
      </c>
      <c r="F1854" s="1243">
        <f>+'INPUT - B Schedule PLANT'!CP18</f>
        <v>0</v>
      </c>
      <c r="G1854" s="1243">
        <f t="shared" si="336"/>
        <v>2666577.16</v>
      </c>
      <c r="H1854" s="1243"/>
      <c r="I1854" s="1243">
        <f t="shared" si="333"/>
        <v>1166076.1900000013</v>
      </c>
      <c r="J1854" s="376">
        <f>$J$1626</f>
        <v>1.0999999999999999E-2</v>
      </c>
      <c r="K1854" s="1243">
        <f t="shared" si="337"/>
        <v>2444</v>
      </c>
      <c r="L1854" s="1243">
        <v>0</v>
      </c>
      <c r="M1854" s="1243">
        <f t="shared" si="334"/>
        <v>0</v>
      </c>
      <c r="N1854" s="1243">
        <v>0</v>
      </c>
      <c r="O1854" s="1243">
        <f t="shared" si="335"/>
        <v>1168520.1900000013</v>
      </c>
    </row>
    <row r="1855" spans="1:15">
      <c r="A1855" s="361">
        <f t="shared" si="331"/>
        <v>14</v>
      </c>
      <c r="B1855" s="365">
        <v>375.2</v>
      </c>
      <c r="C1855" s="358" t="s">
        <v>386</v>
      </c>
      <c r="D1855" s="1243">
        <f t="shared" si="332"/>
        <v>2124.98</v>
      </c>
      <c r="E1855" s="1243">
        <f>+'INPUT - B Schedule PLANT'!CO19</f>
        <v>0</v>
      </c>
      <c r="F1855" s="1243">
        <f>+'INPUT - B Schedule PLANT'!CP19</f>
        <v>0</v>
      </c>
      <c r="G1855" s="1243">
        <f t="shared" si="336"/>
        <v>2124.98</v>
      </c>
      <c r="H1855" s="1243"/>
      <c r="I1855" s="1243">
        <f t="shared" si="333"/>
        <v>2071.3000000000002</v>
      </c>
      <c r="J1855" s="376">
        <f>$J$1627</f>
        <v>2.3199999999999998E-2</v>
      </c>
      <c r="K1855" s="1243">
        <f t="shared" si="337"/>
        <v>4</v>
      </c>
      <c r="L1855" s="1243">
        <v>0</v>
      </c>
      <c r="M1855" s="1243">
        <f t="shared" si="334"/>
        <v>0</v>
      </c>
      <c r="N1855" s="1243">
        <v>0</v>
      </c>
      <c r="O1855" s="1243">
        <f t="shared" si="335"/>
        <v>2075.3000000000002</v>
      </c>
    </row>
    <row r="1856" spans="1:15">
      <c r="A1856" s="361">
        <f t="shared" si="331"/>
        <v>15</v>
      </c>
      <c r="B1856" s="365">
        <v>375.3</v>
      </c>
      <c r="C1856" s="358" t="s">
        <v>387</v>
      </c>
      <c r="D1856" s="1243">
        <f t="shared" si="332"/>
        <v>0</v>
      </c>
      <c r="E1856" s="1243">
        <f>+'INPUT - B Schedule PLANT'!CO20</f>
        <v>0</v>
      </c>
      <c r="F1856" s="1243">
        <f>+'INPUT - B Schedule PLANT'!CP20</f>
        <v>0</v>
      </c>
      <c r="G1856" s="1243">
        <f t="shared" si="336"/>
        <v>0</v>
      </c>
      <c r="H1856" s="1243"/>
      <c r="I1856" s="1243">
        <f t="shared" si="333"/>
        <v>-77.66</v>
      </c>
      <c r="J1856" s="376">
        <f>$J$1628</f>
        <v>2.3199999999999998E-2</v>
      </c>
      <c r="K1856" s="1243">
        <f t="shared" si="337"/>
        <v>0</v>
      </c>
      <c r="L1856" s="1243">
        <v>0</v>
      </c>
      <c r="M1856" s="1243">
        <f t="shared" si="334"/>
        <v>0</v>
      </c>
      <c r="N1856" s="1243">
        <v>0</v>
      </c>
      <c r="O1856" s="1243">
        <f t="shared" si="335"/>
        <v>-77.66</v>
      </c>
    </row>
    <row r="1857" spans="1:15">
      <c r="A1857" s="361">
        <f t="shared" si="331"/>
        <v>16</v>
      </c>
      <c r="B1857" s="365">
        <v>375.4</v>
      </c>
      <c r="C1857" s="358" t="s">
        <v>388</v>
      </c>
      <c r="D1857" s="1243">
        <f t="shared" si="332"/>
        <v>3081440.7199999993</v>
      </c>
      <c r="E1857" s="1243">
        <f>+'INPUT - B Schedule PLANT'!CO21</f>
        <v>159532.96000000002</v>
      </c>
      <c r="F1857" s="1243">
        <f>+'INPUT - B Schedule PLANT'!CP21</f>
        <v>-1724.79</v>
      </c>
      <c r="G1857" s="1243">
        <f t="shared" si="336"/>
        <v>3239248.8899999992</v>
      </c>
      <c r="H1857" s="1243"/>
      <c r="I1857" s="1243">
        <f t="shared" si="333"/>
        <v>551243.27000000014</v>
      </c>
      <c r="J1857" s="376">
        <f>$J$1629</f>
        <v>2.3199999999999998E-2</v>
      </c>
      <c r="K1857" s="1243">
        <f t="shared" si="337"/>
        <v>6110</v>
      </c>
      <c r="L1857" s="1243">
        <v>0</v>
      </c>
      <c r="M1857" s="1243">
        <f t="shared" si="334"/>
        <v>-1724.79</v>
      </c>
      <c r="N1857" s="1243">
        <v>-85309.05</v>
      </c>
      <c r="O1857" s="1243">
        <f t="shared" si="335"/>
        <v>470319.43000000011</v>
      </c>
    </row>
    <row r="1858" spans="1:15">
      <c r="A1858" s="361">
        <f t="shared" si="331"/>
        <v>17</v>
      </c>
      <c r="B1858" s="365">
        <v>375.6</v>
      </c>
      <c r="C1858" s="358" t="s">
        <v>389</v>
      </c>
      <c r="D1858" s="1243">
        <f t="shared" si="332"/>
        <v>0</v>
      </c>
      <c r="E1858" s="1243">
        <f>+'INPUT - B Schedule PLANT'!CO22</f>
        <v>0</v>
      </c>
      <c r="F1858" s="1243">
        <f>+'INPUT - B Schedule PLANT'!CP22</f>
        <v>0</v>
      </c>
      <c r="G1858" s="1243">
        <f t="shared" si="336"/>
        <v>0</v>
      </c>
      <c r="H1858" s="1243"/>
      <c r="I1858" s="1243">
        <f t="shared" si="333"/>
        <v>0.02</v>
      </c>
      <c r="J1858" s="376">
        <f>$J$1630</f>
        <v>2.3199999999999998E-2</v>
      </c>
      <c r="K1858" s="1243">
        <f t="shared" si="337"/>
        <v>0</v>
      </c>
      <c r="L1858" s="1243">
        <v>0</v>
      </c>
      <c r="M1858" s="1243">
        <f t="shared" si="334"/>
        <v>0</v>
      </c>
      <c r="N1858" s="1243">
        <v>0</v>
      </c>
      <c r="O1858" s="1243">
        <f t="shared" si="335"/>
        <v>0.02</v>
      </c>
    </row>
    <row r="1859" spans="1:15">
      <c r="A1859" s="361">
        <f t="shared" si="331"/>
        <v>18</v>
      </c>
      <c r="B1859" s="365">
        <v>375.7</v>
      </c>
      <c r="C1859" s="358" t="s">
        <v>390</v>
      </c>
      <c r="D1859" s="1243">
        <f t="shared" si="332"/>
        <v>9587092.5600000005</v>
      </c>
      <c r="E1859" s="1243">
        <f>+'INPUT - B Schedule PLANT'!CO23</f>
        <v>0</v>
      </c>
      <c r="F1859" s="1243">
        <f>+'INPUT - B Schedule PLANT'!CP23</f>
        <v>0</v>
      </c>
      <c r="G1859" s="1243">
        <f t="shared" si="336"/>
        <v>9587092.5600000005</v>
      </c>
      <c r="H1859" s="1243"/>
      <c r="I1859" s="1243">
        <f t="shared" si="333"/>
        <v>4763180.6999999983</v>
      </c>
      <c r="J1859" s="376">
        <f>$J$1631</f>
        <v>2.3199999999999998E-2</v>
      </c>
      <c r="K1859" s="1243">
        <f t="shared" si="337"/>
        <v>18535</v>
      </c>
      <c r="L1859" s="1243">
        <v>0</v>
      </c>
      <c r="M1859" s="1243">
        <f t="shared" si="334"/>
        <v>0</v>
      </c>
      <c r="N1859" s="1243">
        <v>0</v>
      </c>
      <c r="O1859" s="1243">
        <f t="shared" si="335"/>
        <v>4781715.6999999983</v>
      </c>
    </row>
    <row r="1860" spans="1:15">
      <c r="A1860" s="361">
        <f t="shared" si="331"/>
        <v>19</v>
      </c>
      <c r="B1860" s="365">
        <v>375.71</v>
      </c>
      <c r="C1860" s="358" t="s">
        <v>391</v>
      </c>
      <c r="D1860" s="1243">
        <f t="shared" si="332"/>
        <v>880994.59</v>
      </c>
      <c r="E1860" s="1243">
        <f>+'INPUT - B Schedule PLANT'!CO24</f>
        <v>0</v>
      </c>
      <c r="F1860" s="1243">
        <f>+'INPUT - B Schedule PLANT'!CP24</f>
        <v>0</v>
      </c>
      <c r="G1860" s="1243">
        <f t="shared" si="336"/>
        <v>880994.59</v>
      </c>
      <c r="H1860" s="1243"/>
      <c r="I1860" s="1243">
        <f t="shared" si="333"/>
        <v>777937.28000000049</v>
      </c>
      <c r="J1860" s="375" t="str">
        <f>$J$1632</f>
        <v>Amort.</v>
      </c>
      <c r="K1860" s="1243">
        <f>$K$1290</f>
        <v>4743.54</v>
      </c>
      <c r="L1860" s="1243">
        <v>0</v>
      </c>
      <c r="M1860" s="1243">
        <f t="shared" si="334"/>
        <v>0</v>
      </c>
      <c r="N1860" s="1243">
        <v>0</v>
      </c>
      <c r="O1860" s="1243">
        <f t="shared" si="335"/>
        <v>782680.82000000053</v>
      </c>
    </row>
    <row r="1861" spans="1:15">
      <c r="A1861" s="361">
        <f t="shared" si="331"/>
        <v>20</v>
      </c>
      <c r="B1861" s="365">
        <v>375.8</v>
      </c>
      <c r="C1861" s="358" t="s">
        <v>392</v>
      </c>
      <c r="D1861" s="1243">
        <f t="shared" si="332"/>
        <v>132125.04</v>
      </c>
      <c r="E1861" s="1243">
        <f>+'INPUT - B Schedule PLANT'!CO25</f>
        <v>0</v>
      </c>
      <c r="F1861" s="1243">
        <f>+'INPUT - B Schedule PLANT'!CP25</f>
        <v>0</v>
      </c>
      <c r="G1861" s="1243">
        <f t="shared" si="336"/>
        <v>132125.04</v>
      </c>
      <c r="H1861" s="1243"/>
      <c r="I1861" s="1243">
        <f t="shared" si="333"/>
        <v>12508.43</v>
      </c>
      <c r="J1861" s="376">
        <f>$J$1633</f>
        <v>2.3199999999999998E-2</v>
      </c>
      <c r="K1861" s="1243">
        <f t="shared" ref="K1861:K1880" si="338">ROUND((G1861+D1861)/2*J1861/12,0)</f>
        <v>255</v>
      </c>
      <c r="L1861" s="1243">
        <v>0</v>
      </c>
      <c r="M1861" s="1243">
        <f t="shared" si="334"/>
        <v>0</v>
      </c>
      <c r="N1861" s="1243">
        <v>0</v>
      </c>
      <c r="O1861" s="1243">
        <f t="shared" si="335"/>
        <v>12763.43</v>
      </c>
    </row>
    <row r="1862" spans="1:15">
      <c r="A1862" s="361">
        <f t="shared" si="331"/>
        <v>21</v>
      </c>
      <c r="B1862" s="365">
        <v>376</v>
      </c>
      <c r="C1862" s="358" t="s">
        <v>1621</v>
      </c>
      <c r="D1862" s="1243">
        <f t="shared" si="332"/>
        <v>413180540.84086829</v>
      </c>
      <c r="E1862" s="1243">
        <f>'WPB-2.1.D SMRP'!E763</f>
        <v>802954.81462355703</v>
      </c>
      <c r="F1862" s="1243">
        <f>'WPB-2.1.D SMRP'!F763</f>
        <v>-33844.338716545382</v>
      </c>
      <c r="G1862" s="1243">
        <f t="shared" si="336"/>
        <v>413949651.31677526</v>
      </c>
      <c r="H1862" s="1243"/>
      <c r="I1862" s="1243">
        <f t="shared" si="333"/>
        <v>81809438.182982698</v>
      </c>
      <c r="J1862" s="376">
        <f>$J$1634</f>
        <v>1.7399999999999999E-2</v>
      </c>
      <c r="K1862" s="1243">
        <f>'WPB-2.1.D SMRP'!K763</f>
        <v>599669.41099999996</v>
      </c>
      <c r="L1862" s="1243">
        <f>'WPB-2.1.D SMRP'!L763</f>
        <v>0</v>
      </c>
      <c r="M1862" s="1243">
        <f>F1862</f>
        <v>-33844.338716545382</v>
      </c>
      <c r="N1862" s="1243">
        <f>'WPB-2.1.D SMRP'!N763</f>
        <v>-4920.3052716784314</v>
      </c>
      <c r="O1862" s="1243">
        <f t="shared" si="335"/>
        <v>82370342.94999446</v>
      </c>
    </row>
    <row r="1863" spans="1:15">
      <c r="A1863" s="361">
        <f t="shared" si="331"/>
        <v>22</v>
      </c>
      <c r="B1863" s="365">
        <v>378.1</v>
      </c>
      <c r="C1863" s="358" t="s">
        <v>394</v>
      </c>
      <c r="D1863" s="1243">
        <f t="shared" si="332"/>
        <v>167304.12</v>
      </c>
      <c r="E1863" s="1243">
        <f>+'INPUT - B Schedule PLANT'!CO27</f>
        <v>0</v>
      </c>
      <c r="F1863" s="1243">
        <f>+'INPUT - B Schedule PLANT'!CP27</f>
        <v>0</v>
      </c>
      <c r="G1863" s="1243">
        <f t="shared" si="336"/>
        <v>167304.12</v>
      </c>
      <c r="H1863" s="1243"/>
      <c r="I1863" s="1243">
        <f t="shared" si="333"/>
        <v>10473.849999999926</v>
      </c>
      <c r="J1863" s="376">
        <f>$J$1635</f>
        <v>2.52E-2</v>
      </c>
      <c r="K1863" s="1243">
        <f t="shared" si="338"/>
        <v>351</v>
      </c>
      <c r="L1863" s="1243">
        <v>0</v>
      </c>
      <c r="M1863" s="1243">
        <f t="shared" si="334"/>
        <v>0</v>
      </c>
      <c r="N1863" s="1243">
        <v>0</v>
      </c>
      <c r="O1863" s="1243">
        <f t="shared" si="335"/>
        <v>10824.849999999926</v>
      </c>
    </row>
    <row r="1864" spans="1:15">
      <c r="A1864" s="361">
        <f t="shared" si="331"/>
        <v>23</v>
      </c>
      <c r="B1864" s="365">
        <v>378.2</v>
      </c>
      <c r="C1864" s="358" t="s">
        <v>1622</v>
      </c>
      <c r="D1864" s="1243">
        <f t="shared" si="332"/>
        <v>26041004.602746785</v>
      </c>
      <c r="E1864" s="1243">
        <f>'WPB-2.1.D SMRP'!E767</f>
        <v>739207.28382170829</v>
      </c>
      <c r="F1864" s="1243">
        <f>'WPB-2.1.D SMRP'!F767</f>
        <v>-1.3202076152083464E-3</v>
      </c>
      <c r="G1864" s="1243">
        <f t="shared" si="336"/>
        <v>26780211.885248285</v>
      </c>
      <c r="H1864" s="1243"/>
      <c r="I1864" s="1243">
        <f t="shared" si="333"/>
        <v>3423162.200162983</v>
      </c>
      <c r="J1864" s="376">
        <f>$J$1636</f>
        <v>2.52E-2</v>
      </c>
      <c r="K1864" s="1243">
        <f>'WPB-2.1.D SMRP'!K767</f>
        <v>55462.22</v>
      </c>
      <c r="L1864" s="1243">
        <f>'WPB-2.1.D SMRP'!L767</f>
        <v>0</v>
      </c>
      <c r="M1864" s="1243">
        <f>F1864</f>
        <v>-1.3202076152083464E-3</v>
      </c>
      <c r="N1864" s="1243">
        <f>'WPB-2.1.D SMRP'!N767</f>
        <v>-10602.894369301501</v>
      </c>
      <c r="O1864" s="1243">
        <f t="shared" si="335"/>
        <v>3468021.5244734744</v>
      </c>
    </row>
    <row r="1865" spans="1:15">
      <c r="A1865" s="361">
        <f t="shared" si="331"/>
        <v>24</v>
      </c>
      <c r="B1865" s="365">
        <v>378.3</v>
      </c>
      <c r="C1865" s="358" t="s">
        <v>396</v>
      </c>
      <c r="D1865" s="1243">
        <f t="shared" si="332"/>
        <v>45443.08</v>
      </c>
      <c r="E1865" s="1243">
        <f>+'INPUT - B Schedule PLANT'!CO29</f>
        <v>0</v>
      </c>
      <c r="F1865" s="1243">
        <f>+'INPUT - B Schedule PLANT'!CP29</f>
        <v>0</v>
      </c>
      <c r="G1865" s="1243">
        <f t="shared" si="336"/>
        <v>45443.08</v>
      </c>
      <c r="H1865" s="1243"/>
      <c r="I1865" s="1243">
        <f t="shared" si="333"/>
        <v>43548.320000000007</v>
      </c>
      <c r="J1865" s="376">
        <f>$J$1637</f>
        <v>2.52E-2</v>
      </c>
      <c r="K1865" s="1243">
        <f t="shared" si="338"/>
        <v>95</v>
      </c>
      <c r="L1865" s="1243">
        <v>0</v>
      </c>
      <c r="M1865" s="1243">
        <f t="shared" si="334"/>
        <v>0</v>
      </c>
      <c r="N1865" s="1243">
        <v>0</v>
      </c>
      <c r="O1865" s="1243">
        <f t="shared" si="335"/>
        <v>43643.320000000007</v>
      </c>
    </row>
    <row r="1866" spans="1:15">
      <c r="A1866" s="361">
        <f t="shared" si="331"/>
        <v>25</v>
      </c>
      <c r="B1866" s="365">
        <v>379.1</v>
      </c>
      <c r="C1866" s="358" t="s">
        <v>397</v>
      </c>
      <c r="D1866" s="1243">
        <f t="shared" si="332"/>
        <v>1554144.06</v>
      </c>
      <c r="E1866" s="1243">
        <f>+'INPUT - B Schedule PLANT'!CO30</f>
        <v>0</v>
      </c>
      <c r="F1866" s="1243">
        <f>+'INPUT - B Schedule PLANT'!CP30</f>
        <v>0</v>
      </c>
      <c r="G1866" s="1243">
        <f t="shared" si="336"/>
        <v>1554144.06</v>
      </c>
      <c r="H1866" s="1243"/>
      <c r="I1866" s="1243">
        <f t="shared" si="333"/>
        <v>363921.19000000006</v>
      </c>
      <c r="J1866" s="376">
        <f>$J$1638</f>
        <v>2.4199999999999999E-2</v>
      </c>
      <c r="K1866" s="1243">
        <f t="shared" si="338"/>
        <v>3134</v>
      </c>
      <c r="L1866" s="1243">
        <v>0</v>
      </c>
      <c r="M1866" s="1243">
        <f t="shared" si="334"/>
        <v>0</v>
      </c>
      <c r="N1866" s="1243">
        <v>0</v>
      </c>
      <c r="O1866" s="1243">
        <f t="shared" si="335"/>
        <v>367055.19000000006</v>
      </c>
    </row>
    <row r="1867" spans="1:15">
      <c r="A1867" s="361">
        <f t="shared" si="331"/>
        <v>26</v>
      </c>
      <c r="B1867" s="365">
        <v>380</v>
      </c>
      <c r="C1867" s="358" t="s">
        <v>1623</v>
      </c>
      <c r="D1867" s="1243">
        <f t="shared" si="332"/>
        <v>203720647.66631791</v>
      </c>
      <c r="E1867" s="1243">
        <f>'WPB-2.1.D SMRP'!E771</f>
        <v>126759.5</v>
      </c>
      <c r="F1867" s="1243">
        <f>'WPB-2.1.D SMRP'!F771</f>
        <v>-71580.905277618847</v>
      </c>
      <c r="G1867" s="1243">
        <f t="shared" si="336"/>
        <v>203775826.2610403</v>
      </c>
      <c r="H1867" s="1243"/>
      <c r="I1867" s="1243">
        <f t="shared" si="333"/>
        <v>61714712.734909967</v>
      </c>
      <c r="J1867" s="376">
        <f>$J$1639</f>
        <v>3.9800000000000002E-2</v>
      </c>
      <c r="K1867" s="1243">
        <f>'WPB-2.1.D SMRP'!K771</f>
        <v>675765.12600000005</v>
      </c>
      <c r="L1867" s="1243">
        <f>'WPB-2.1.D SMRP'!L771</f>
        <v>0</v>
      </c>
      <c r="M1867" s="1243">
        <f>F1867</f>
        <v>-71580.905277618847</v>
      </c>
      <c r="N1867" s="1243">
        <f>'WPB-2.1.D SMRP'!N771</f>
        <v>4.4792187691200525E-3</v>
      </c>
      <c r="O1867" s="1243">
        <f t="shared" si="335"/>
        <v>62318896.960111573</v>
      </c>
    </row>
    <row r="1868" spans="1:15">
      <c r="A1868" s="361">
        <f t="shared" si="331"/>
        <v>27</v>
      </c>
      <c r="B1868" s="365">
        <v>381</v>
      </c>
      <c r="C1868" s="358" t="s">
        <v>399</v>
      </c>
      <c r="D1868" s="1243">
        <f t="shared" si="332"/>
        <v>19293220.320000004</v>
      </c>
      <c r="E1868" s="1243">
        <f>+'INPUT - B Schedule PLANT'!CO32</f>
        <v>171081.34</v>
      </c>
      <c r="F1868" s="1243">
        <f>+'INPUT - B Schedule PLANT'!CP32</f>
        <v>-71570.22</v>
      </c>
      <c r="G1868" s="1243">
        <f t="shared" si="336"/>
        <v>19392731.440000005</v>
      </c>
      <c r="H1868" s="1243"/>
      <c r="I1868" s="1243">
        <f t="shared" si="333"/>
        <v>1890538.1499999994</v>
      </c>
      <c r="J1868" s="376">
        <f>$J$1640</f>
        <v>2.6499999999999999E-2</v>
      </c>
      <c r="K1868" s="1243">
        <f t="shared" si="338"/>
        <v>42716</v>
      </c>
      <c r="L1868" s="1243">
        <v>0</v>
      </c>
      <c r="M1868" s="1243">
        <f t="shared" si="334"/>
        <v>-71570.22</v>
      </c>
      <c r="N1868" s="1243">
        <v>0</v>
      </c>
      <c r="O1868" s="1243">
        <f t="shared" si="335"/>
        <v>1861683.9299999995</v>
      </c>
    </row>
    <row r="1869" spans="1:15">
      <c r="A1869" s="361">
        <f t="shared" si="331"/>
        <v>28</v>
      </c>
      <c r="B1869" s="365">
        <v>381.1</v>
      </c>
      <c r="C1869" s="358" t="s">
        <v>2366</v>
      </c>
      <c r="D1869" s="1243">
        <f t="shared" si="332"/>
        <v>9980854.4800000004</v>
      </c>
      <c r="E1869" s="1243">
        <f>+'INPUT - B Schedule PLANT'!CO33</f>
        <v>0</v>
      </c>
      <c r="F1869" s="1243">
        <f>+'INPUT - B Schedule PLANT'!CP33</f>
        <v>0</v>
      </c>
      <c r="G1869" s="1243">
        <f t="shared" si="336"/>
        <v>9980854.4800000004</v>
      </c>
      <c r="H1869" s="1243"/>
      <c r="I1869" s="1243">
        <f t="shared" si="333"/>
        <v>5609955.0300000031</v>
      </c>
      <c r="J1869" s="376">
        <f>$J$1641</f>
        <v>7.4800000000000005E-2</v>
      </c>
      <c r="K1869" s="1243">
        <f t="shared" si="338"/>
        <v>62214</v>
      </c>
      <c r="L1869" s="1243">
        <v>0</v>
      </c>
      <c r="M1869" s="1243">
        <f t="shared" si="334"/>
        <v>0</v>
      </c>
      <c r="N1869" s="1243">
        <v>0</v>
      </c>
      <c r="O1869" s="1243">
        <f t="shared" si="335"/>
        <v>5672169.0300000031</v>
      </c>
    </row>
    <row r="1870" spans="1:15">
      <c r="A1870" s="361">
        <f t="shared" si="331"/>
        <v>29</v>
      </c>
      <c r="B1870" s="365">
        <v>382</v>
      </c>
      <c r="C1870" s="358" t="s">
        <v>1624</v>
      </c>
      <c r="D1870" s="1243">
        <f t="shared" si="332"/>
        <v>10586815.722835058</v>
      </c>
      <c r="E1870" s="1243">
        <f>'WPB-2.1.D SMRP'!E775</f>
        <v>74.500000000000455</v>
      </c>
      <c r="F1870" s="1243">
        <f>'WPB-2.1.D SMRP'!F775</f>
        <v>-1213.8111945314608</v>
      </c>
      <c r="G1870" s="1243">
        <f t="shared" si="336"/>
        <v>10585676.411640527</v>
      </c>
      <c r="H1870" s="1243"/>
      <c r="I1870" s="1243">
        <f t="shared" si="333"/>
        <v>5901732.3798350589</v>
      </c>
      <c r="J1870" s="376">
        <f>$J$1642</f>
        <v>1.77E-2</v>
      </c>
      <c r="K1870" s="1243">
        <f>'WPB-2.1.D SMRP'!K775</f>
        <v>15614.186</v>
      </c>
      <c r="L1870" s="1243">
        <f>'WPB-2.1.D SMRP'!L775</f>
        <v>0</v>
      </c>
      <c r="M1870" s="1243">
        <f t="shared" si="334"/>
        <v>-1213.8111945314608</v>
      </c>
      <c r="N1870" s="1243">
        <f>'WPB-2.1.D SMRP'!N775</f>
        <v>0</v>
      </c>
      <c r="O1870" s="1243">
        <f t="shared" si="335"/>
        <v>5916132.7546405271</v>
      </c>
    </row>
    <row r="1871" spans="1:15">
      <c r="A1871" s="361">
        <f t="shared" si="331"/>
        <v>30</v>
      </c>
      <c r="B1871" s="365">
        <v>383</v>
      </c>
      <c r="C1871" s="358" t="s">
        <v>1625</v>
      </c>
      <c r="D1871" s="1243">
        <f t="shared" si="332"/>
        <v>7426322.2493878705</v>
      </c>
      <c r="E1871" s="1243">
        <f>'WPB-2.1.D SMRP'!E779</f>
        <v>8491.8174818478601</v>
      </c>
      <c r="F1871" s="1243">
        <f>'WPB-2.1.D SMRP'!F779</f>
        <v>-362.58562194510785</v>
      </c>
      <c r="G1871" s="1243">
        <f t="shared" si="336"/>
        <v>7434451.4812477725</v>
      </c>
      <c r="H1871" s="1243"/>
      <c r="I1871" s="1243">
        <f t="shared" si="333"/>
        <v>2533856.2847691365</v>
      </c>
      <c r="J1871" s="376">
        <f>$J$1643</f>
        <v>1.9400000000000001E-2</v>
      </c>
      <c r="K1871" s="1243">
        <f>'WPB-2.1.D SMRP'!K779</f>
        <v>12012.41</v>
      </c>
      <c r="L1871" s="1243">
        <f>'WPB-2.1.D SMRP'!L779</f>
        <v>0</v>
      </c>
      <c r="M1871" s="1243">
        <f t="shared" si="334"/>
        <v>-362.58562194510785</v>
      </c>
      <c r="N1871" s="1243">
        <f>'WPB-2.1.D SMRP'!N779</f>
        <v>0</v>
      </c>
      <c r="O1871" s="1243">
        <f t="shared" si="335"/>
        <v>2545506.1091471915</v>
      </c>
    </row>
    <row r="1872" spans="1:15">
      <c r="A1872" s="361">
        <f t="shared" si="331"/>
        <v>31</v>
      </c>
      <c r="B1872" s="365">
        <v>384</v>
      </c>
      <c r="C1872" s="358" t="s">
        <v>402</v>
      </c>
      <c r="D1872" s="1243">
        <f t="shared" si="332"/>
        <v>2085111.6199999999</v>
      </c>
      <c r="E1872" s="1243">
        <f>+'INPUT - B Schedule PLANT'!CO36</f>
        <v>13.24</v>
      </c>
      <c r="F1872" s="1243">
        <f>+'INPUT - B Schedule PLANT'!CP36</f>
        <v>0</v>
      </c>
      <c r="G1872" s="1243">
        <f t="shared" si="336"/>
        <v>2085124.8599999999</v>
      </c>
      <c r="H1872" s="1243"/>
      <c r="I1872" s="1243">
        <f t="shared" si="333"/>
        <v>1735202.0399999991</v>
      </c>
      <c r="J1872" s="376">
        <f>$J$1644</f>
        <v>9.9000000000000008E-3</v>
      </c>
      <c r="K1872" s="1243">
        <f t="shared" si="338"/>
        <v>1720</v>
      </c>
      <c r="L1872" s="1243">
        <v>0</v>
      </c>
      <c r="M1872" s="1243">
        <f t="shared" si="334"/>
        <v>0</v>
      </c>
      <c r="N1872" s="1243">
        <v>0</v>
      </c>
      <c r="O1872" s="1243">
        <f t="shared" si="335"/>
        <v>1736922.0399999991</v>
      </c>
    </row>
    <row r="1873" spans="1:16">
      <c r="A1873" s="361">
        <f t="shared" si="331"/>
        <v>32</v>
      </c>
      <c r="B1873" s="365">
        <v>385</v>
      </c>
      <c r="C1873" s="358" t="s">
        <v>403</v>
      </c>
      <c r="D1873" s="1243">
        <f t="shared" si="332"/>
        <v>6147919.1100000003</v>
      </c>
      <c r="E1873" s="1243">
        <f>+'INPUT - B Schedule PLANT'!CO37</f>
        <v>2985.97</v>
      </c>
      <c r="F1873" s="1243">
        <f>+'INPUT - B Schedule PLANT'!CP37</f>
        <v>-2143.0100000000002</v>
      </c>
      <c r="G1873" s="1243">
        <f t="shared" si="336"/>
        <v>6148762.0700000003</v>
      </c>
      <c r="H1873" s="1243"/>
      <c r="I1873" s="1243">
        <f t="shared" si="333"/>
        <v>828748.57000000007</v>
      </c>
      <c r="J1873" s="376">
        <f>$J$1645</f>
        <v>3.73E-2</v>
      </c>
      <c r="K1873" s="1243">
        <f t="shared" si="338"/>
        <v>19111</v>
      </c>
      <c r="L1873" s="1243">
        <v>0</v>
      </c>
      <c r="M1873" s="1243">
        <f t="shared" si="334"/>
        <v>-2143.0100000000002</v>
      </c>
      <c r="N1873" s="1243">
        <v>-403.79</v>
      </c>
      <c r="O1873" s="1243">
        <f t="shared" si="335"/>
        <v>845312.77</v>
      </c>
    </row>
    <row r="1874" spans="1:16">
      <c r="A1874" s="361">
        <f t="shared" si="331"/>
        <v>33</v>
      </c>
      <c r="B1874" s="365">
        <v>387.2</v>
      </c>
      <c r="C1874" s="358" t="s">
        <v>404</v>
      </c>
      <c r="D1874" s="1243">
        <f t="shared" si="332"/>
        <v>0</v>
      </c>
      <c r="E1874" s="1243">
        <f>+'INPUT - B Schedule PLANT'!CO38</f>
        <v>0</v>
      </c>
      <c r="F1874" s="1243">
        <f>+'INPUT - B Schedule PLANT'!CP38</f>
        <v>0</v>
      </c>
      <c r="G1874" s="1243">
        <f t="shared" si="336"/>
        <v>0</v>
      </c>
      <c r="H1874" s="1243"/>
      <c r="I1874" s="1243">
        <f t="shared" si="333"/>
        <v>-59912.03</v>
      </c>
      <c r="J1874" s="376">
        <f>$J$1646</f>
        <v>0</v>
      </c>
      <c r="K1874" s="1243">
        <f t="shared" si="338"/>
        <v>0</v>
      </c>
      <c r="L1874" s="1243">
        <v>0</v>
      </c>
      <c r="M1874" s="1243">
        <f t="shared" si="334"/>
        <v>0</v>
      </c>
      <c r="N1874" s="1243">
        <v>0</v>
      </c>
      <c r="O1874" s="1243">
        <f t="shared" si="335"/>
        <v>-59912.03</v>
      </c>
    </row>
    <row r="1875" spans="1:16">
      <c r="A1875" s="361">
        <f t="shared" si="331"/>
        <v>34</v>
      </c>
      <c r="B1875" s="365">
        <v>387.41</v>
      </c>
      <c r="C1875" s="358" t="s">
        <v>405</v>
      </c>
      <c r="D1875" s="1243">
        <f t="shared" si="332"/>
        <v>260538.46000000008</v>
      </c>
      <c r="E1875" s="1243">
        <f>+'INPUT - B Schedule PLANT'!CO39</f>
        <v>0</v>
      </c>
      <c r="F1875" s="1243">
        <f>+'INPUT - B Schedule PLANT'!CP39</f>
        <v>0</v>
      </c>
      <c r="G1875" s="1243">
        <f t="shared" si="336"/>
        <v>260538.46000000008</v>
      </c>
      <c r="H1875" s="1243"/>
      <c r="I1875" s="1243">
        <f t="shared" si="333"/>
        <v>63208.970000000059</v>
      </c>
      <c r="J1875" s="376">
        <f>$J$1647</f>
        <v>3.2399999999999998E-2</v>
      </c>
      <c r="K1875" s="1243">
        <f t="shared" si="338"/>
        <v>703</v>
      </c>
      <c r="L1875" s="1243">
        <v>0</v>
      </c>
      <c r="M1875" s="1243">
        <f t="shared" si="334"/>
        <v>0</v>
      </c>
      <c r="N1875" s="1243">
        <v>0</v>
      </c>
      <c r="O1875" s="1243">
        <f t="shared" si="335"/>
        <v>63911.970000000059</v>
      </c>
    </row>
    <row r="1876" spans="1:16">
      <c r="A1876" s="361">
        <f t="shared" si="331"/>
        <v>35</v>
      </c>
      <c r="B1876" s="365">
        <v>387.42</v>
      </c>
      <c r="C1876" s="358" t="s">
        <v>406</v>
      </c>
      <c r="D1876" s="1243">
        <f t="shared" si="332"/>
        <v>419367.40000000008</v>
      </c>
      <c r="E1876" s="1243">
        <f>+'INPUT - B Schedule PLANT'!CO40</f>
        <v>0</v>
      </c>
      <c r="F1876" s="1243">
        <f>+'INPUT - B Schedule PLANT'!CP40</f>
        <v>0</v>
      </c>
      <c r="G1876" s="1243">
        <f t="shared" si="336"/>
        <v>419367.40000000008</v>
      </c>
      <c r="H1876" s="1243"/>
      <c r="I1876" s="1243">
        <f t="shared" si="333"/>
        <v>347927.80999999976</v>
      </c>
      <c r="J1876" s="376">
        <f>$J$1648</f>
        <v>3.2399999999999998E-2</v>
      </c>
      <c r="K1876" s="1243">
        <f t="shared" si="338"/>
        <v>1132</v>
      </c>
      <c r="L1876" s="1243">
        <v>0</v>
      </c>
      <c r="M1876" s="1243">
        <f t="shared" si="334"/>
        <v>0</v>
      </c>
      <c r="N1876" s="1243">
        <v>0</v>
      </c>
      <c r="O1876" s="1243">
        <f t="shared" si="335"/>
        <v>349059.80999999976</v>
      </c>
    </row>
    <row r="1877" spans="1:16">
      <c r="A1877" s="361">
        <f t="shared" si="331"/>
        <v>36</v>
      </c>
      <c r="B1877" s="365">
        <v>387.44</v>
      </c>
      <c r="C1877" s="358" t="s">
        <v>407</v>
      </c>
      <c r="D1877" s="1243">
        <f t="shared" si="332"/>
        <v>124678.76000000001</v>
      </c>
      <c r="E1877" s="1243">
        <f>+'INPUT - B Schedule PLANT'!CO41</f>
        <v>0</v>
      </c>
      <c r="F1877" s="1243">
        <f>+'INPUT - B Schedule PLANT'!CP41</f>
        <v>0</v>
      </c>
      <c r="G1877" s="1243">
        <f t="shared" si="336"/>
        <v>124678.76000000001</v>
      </c>
      <c r="H1877" s="1243"/>
      <c r="I1877" s="1243">
        <f t="shared" si="333"/>
        <v>68753.390000000014</v>
      </c>
      <c r="J1877" s="376">
        <f>$J$1649</f>
        <v>3.2399999999999998E-2</v>
      </c>
      <c r="K1877" s="1243">
        <f t="shared" si="338"/>
        <v>337</v>
      </c>
      <c r="L1877" s="1243">
        <v>0</v>
      </c>
      <c r="M1877" s="1243">
        <f t="shared" si="334"/>
        <v>0</v>
      </c>
      <c r="N1877" s="1243">
        <v>0</v>
      </c>
      <c r="O1877" s="1243">
        <f t="shared" si="335"/>
        <v>69090.390000000014</v>
      </c>
    </row>
    <row r="1878" spans="1:16">
      <c r="A1878" s="361">
        <f t="shared" si="331"/>
        <v>37</v>
      </c>
      <c r="B1878" s="365">
        <v>387.45</v>
      </c>
      <c r="C1878" s="358" t="s">
        <v>408</v>
      </c>
      <c r="D1878" s="1243">
        <f t="shared" si="332"/>
        <v>6000008.120000001</v>
      </c>
      <c r="E1878" s="1243">
        <f>+'INPUT - B Schedule PLANT'!CO42</f>
        <v>57235.199999999997</v>
      </c>
      <c r="F1878" s="1243">
        <f>+'INPUT - B Schedule PLANT'!CP42</f>
        <v>-47238.82</v>
      </c>
      <c r="G1878" s="1243">
        <f t="shared" si="336"/>
        <v>6010004.5000000009</v>
      </c>
      <c r="H1878" s="1243"/>
      <c r="I1878" s="1243">
        <f t="shared" si="333"/>
        <v>-657808.09</v>
      </c>
      <c r="J1878" s="376">
        <f>$J$1650</f>
        <v>3.2399999999999998E-2</v>
      </c>
      <c r="K1878" s="1243">
        <f t="shared" si="338"/>
        <v>16214</v>
      </c>
      <c r="L1878" s="1243">
        <v>0</v>
      </c>
      <c r="M1878" s="1243">
        <f t="shared" si="334"/>
        <v>-47238.82</v>
      </c>
      <c r="N1878" s="1243">
        <v>0</v>
      </c>
      <c r="O1878" s="1243">
        <f t="shared" si="335"/>
        <v>-688832.90999999992</v>
      </c>
    </row>
    <row r="1879" spans="1:16">
      <c r="A1879" s="361">
        <f t="shared" si="331"/>
        <v>38</v>
      </c>
      <c r="B1879" s="365">
        <v>387.46</v>
      </c>
      <c r="C1879" s="358" t="s">
        <v>409</v>
      </c>
      <c r="D1879" s="1243">
        <f t="shared" si="332"/>
        <v>113644.47</v>
      </c>
      <c r="E1879" s="1243">
        <f>+'INPUT - B Schedule PLANT'!CO43</f>
        <v>0</v>
      </c>
      <c r="F1879" s="1243">
        <f>+'INPUT - B Schedule PLANT'!CP43</f>
        <v>0</v>
      </c>
      <c r="G1879" s="1243">
        <f t="shared" si="336"/>
        <v>113644.47</v>
      </c>
      <c r="H1879" s="1243"/>
      <c r="I1879" s="1243">
        <f t="shared" si="333"/>
        <v>115111.07</v>
      </c>
      <c r="J1879" s="376">
        <f>$J$1651</f>
        <v>3.2399999999999998E-2</v>
      </c>
      <c r="K1879" s="1243">
        <f t="shared" si="338"/>
        <v>307</v>
      </c>
      <c r="L1879" s="1243">
        <v>0</v>
      </c>
      <c r="M1879" s="1243">
        <f t="shared" si="334"/>
        <v>0</v>
      </c>
      <c r="N1879" s="1243">
        <v>0</v>
      </c>
      <c r="O1879" s="1243">
        <f t="shared" si="335"/>
        <v>115418.07</v>
      </c>
    </row>
    <row r="1880" spans="1:16">
      <c r="A1880" s="361">
        <f t="shared" si="331"/>
        <v>39</v>
      </c>
      <c r="B1880" s="365">
        <v>387.5</v>
      </c>
      <c r="C1880" s="358" t="s">
        <v>1075</v>
      </c>
      <c r="D1880" s="1244">
        <f t="shared" si="332"/>
        <v>238072.69</v>
      </c>
      <c r="E1880" s="1244">
        <f>+'INPUT - B Schedule PLANT'!CO44</f>
        <v>0</v>
      </c>
      <c r="F1880" s="1244">
        <f>+'INPUT - B Schedule PLANT'!CP44</f>
        <v>0</v>
      </c>
      <c r="G1880" s="1244">
        <f t="shared" si="336"/>
        <v>238072.69</v>
      </c>
      <c r="H1880" s="1243"/>
      <c r="I1880" s="1244">
        <f t="shared" si="333"/>
        <v>49332.470000000023</v>
      </c>
      <c r="J1880" s="376">
        <f>$J$1652</f>
        <v>0.13669999999999999</v>
      </c>
      <c r="K1880" s="1244">
        <f t="shared" si="338"/>
        <v>2712</v>
      </c>
      <c r="L1880" s="1244">
        <v>0</v>
      </c>
      <c r="M1880" s="1244">
        <f t="shared" si="334"/>
        <v>0</v>
      </c>
      <c r="N1880" s="1244">
        <v>0</v>
      </c>
      <c r="O1880" s="1244">
        <f t="shared" si="335"/>
        <v>52044.470000000023</v>
      </c>
    </row>
    <row r="1881" spans="1:16">
      <c r="A1881" s="361">
        <f t="shared" si="331"/>
        <v>40</v>
      </c>
      <c r="C1881" s="365" t="s">
        <v>1601</v>
      </c>
      <c r="D1881" s="1243">
        <f>SUM(D1851:D1880)</f>
        <v>727591366.49215603</v>
      </c>
      <c r="E1881" s="1243">
        <f>SUM(E1851:E1880)</f>
        <v>2069631.5559271132</v>
      </c>
      <c r="F1881" s="1243">
        <f>SUM(F1851:F1880)</f>
        <v>-229678.48213084842</v>
      </c>
      <c r="G1881" s="1243">
        <f>SUM(G1851:G1880)</f>
        <v>729431319.56595242</v>
      </c>
      <c r="H1881" s="1243"/>
      <c r="I1881" s="1243">
        <f>SUM(I1851:I1880)</f>
        <v>173445768.72265983</v>
      </c>
      <c r="J1881" s="369"/>
      <c r="K1881" s="1243">
        <f>SUM(K1851:K1880)</f>
        <v>1544513.8929999999</v>
      </c>
      <c r="L1881" s="1243">
        <f>SUM(L1851:L1880)</f>
        <v>0</v>
      </c>
      <c r="M1881" s="1243">
        <f>SUM(M1851:M1880)</f>
        <v>-229678.48213084842</v>
      </c>
      <c r="N1881" s="1243">
        <f>SUM(N1851:N1880)</f>
        <v>-101236.03516176116</v>
      </c>
      <c r="O1881" s="1243">
        <f>SUM(O1851:O1880)</f>
        <v>174659368.09836718</v>
      </c>
    </row>
    <row r="1882" spans="1:16">
      <c r="B1882" s="367"/>
      <c r="C1882" s="368"/>
      <c r="D1882" s="369"/>
      <c r="E1882" s="369"/>
      <c r="F1882" s="369"/>
      <c r="G1882" s="369"/>
      <c r="I1882" s="369"/>
      <c r="J1882" s="369"/>
      <c r="K1882" s="369"/>
      <c r="L1882" s="369"/>
      <c r="M1882" s="369"/>
      <c r="N1882" s="369"/>
      <c r="O1882" s="369"/>
    </row>
    <row r="1883" spans="1:16">
      <c r="I1883" s="369"/>
      <c r="J1883" s="369"/>
      <c r="K1883" s="369"/>
      <c r="L1883" s="369"/>
      <c r="M1883" s="369"/>
      <c r="N1883" s="369"/>
      <c r="O1883" s="369"/>
    </row>
    <row r="1884" spans="1:16" s="291" customFormat="1">
      <c r="A1884" s="1308" t="str">
        <f>$A$1</f>
        <v>COLUMBIA GAS OF KENTUCKY, INC.</v>
      </c>
      <c r="B1884" s="1308"/>
      <c r="C1884" s="1308"/>
      <c r="D1884" s="1308"/>
      <c r="E1884" s="1308"/>
      <c r="F1884" s="1308"/>
      <c r="G1884" s="1308"/>
      <c r="H1884" s="1308"/>
      <c r="I1884" s="1308"/>
      <c r="J1884" s="1308"/>
      <c r="K1884" s="1308"/>
      <c r="L1884" s="1308"/>
      <c r="M1884" s="1308"/>
      <c r="N1884" s="1308"/>
      <c r="O1884" s="1308"/>
    </row>
    <row r="1885" spans="1:16" s="291" customFormat="1">
      <c r="A1885" s="1308" t="str">
        <f>$A$2</f>
        <v>CASE NO. 2024 - 00092</v>
      </c>
      <c r="B1885" s="1308"/>
      <c r="C1885" s="1308"/>
      <c r="D1885" s="1308"/>
      <c r="E1885" s="1308"/>
      <c r="F1885" s="1308"/>
      <c r="G1885" s="1308"/>
      <c r="H1885" s="1308"/>
      <c r="I1885" s="1308"/>
      <c r="J1885" s="1308"/>
      <c r="K1885" s="1308"/>
      <c r="L1885" s="1308"/>
      <c r="M1885" s="1308"/>
      <c r="N1885" s="1308"/>
      <c r="O1885" s="1308"/>
    </row>
    <row r="1886" spans="1:16" s="291" customFormat="1">
      <c r="A1886" s="1308" t="str">
        <f>$A$3</f>
        <v>DETAIL OF ACTUAL &amp; FORECASTED PLANT, ACCUMULATED RESERVE &amp; DEPRECIATION EXPENSE</v>
      </c>
      <c r="B1886" s="1308"/>
      <c r="C1886" s="1308"/>
      <c r="D1886" s="1308"/>
      <c r="E1886" s="1308"/>
      <c r="F1886" s="1308"/>
      <c r="G1886" s="1308"/>
      <c r="H1886" s="1308"/>
      <c r="I1886" s="1308"/>
      <c r="J1886" s="1308"/>
      <c r="K1886" s="1308"/>
      <c r="L1886" s="1308"/>
      <c r="M1886" s="1308"/>
      <c r="N1886" s="1308"/>
      <c r="O1886" s="1308"/>
      <c r="P1886" s="357"/>
    </row>
    <row r="1887" spans="1:16" s="291" customFormat="1">
      <c r="A1887" s="1308" t="str">
        <f>$A$4</f>
        <v>FROM JANUARY 01, 2023 THROUGH DECEMBER 31, 2025</v>
      </c>
      <c r="B1887" s="1308"/>
      <c r="C1887" s="1308"/>
      <c r="D1887" s="1308"/>
      <c r="E1887" s="1308"/>
      <c r="F1887" s="1308"/>
      <c r="G1887" s="1308"/>
      <c r="H1887" s="1308"/>
      <c r="I1887" s="1308"/>
      <c r="J1887" s="1308"/>
      <c r="K1887" s="1308"/>
      <c r="L1887" s="1308"/>
      <c r="M1887" s="1308"/>
      <c r="N1887" s="1308"/>
      <c r="O1887" s="1308"/>
    </row>
    <row r="1888" spans="1:16" s="291" customFormat="1">
      <c r="B1888" s="293"/>
      <c r="P1888" s="312"/>
    </row>
    <row r="1889" spans="1:16" s="291" customFormat="1">
      <c r="A1889" s="297" t="str">
        <f>$A$6</f>
        <v xml:space="preserve">DATA: _X_ BASE PERIOD _X_ FORECASTED PERIOD     </v>
      </c>
      <c r="B1889" s="293"/>
      <c r="O1889" s="312" t="str">
        <f>$O$6</f>
        <v>WPB-2.1.C</v>
      </c>
      <c r="P1889" s="312"/>
    </row>
    <row r="1890" spans="1:16" s="291" customFormat="1">
      <c r="A1890" s="297" t="str">
        <f>$A$7</f>
        <v>TYPE OF FILING:___X___ORIGINAL______UPDATED</v>
      </c>
      <c r="B1890" s="293"/>
      <c r="O1890" s="312" t="s">
        <v>2189</v>
      </c>
      <c r="P1890" s="312"/>
    </row>
    <row r="1891" spans="1:16" s="291" customFormat="1">
      <c r="A1891" s="297" t="str">
        <f>$A$8</f>
        <v>WORKPAPER REFERENCE NO(S).:</v>
      </c>
      <c r="B1891" s="293"/>
      <c r="O1891" s="312" t="str">
        <f>$O$8</f>
        <v>WITNESS: GORE</v>
      </c>
    </row>
    <row r="1892" spans="1:16">
      <c r="A1892" s="918"/>
      <c r="B1892" s="919"/>
      <c r="C1892" s="918"/>
      <c r="D1892" s="918"/>
      <c r="E1892" s="918"/>
      <c r="F1892" s="918"/>
      <c r="G1892" s="918"/>
      <c r="H1892" s="918"/>
      <c r="I1892" s="918"/>
      <c r="J1892" s="918"/>
      <c r="K1892" s="918"/>
      <c r="L1892" s="918"/>
      <c r="M1892" s="918"/>
      <c r="N1892" s="918"/>
      <c r="O1892" s="920"/>
    </row>
    <row r="1893" spans="1:16">
      <c r="D1893" s="1311" t="s">
        <v>1768</v>
      </c>
      <c r="E1893" s="1311"/>
      <c r="F1893" s="1311"/>
      <c r="G1893" s="1311"/>
      <c r="I1893" s="1311" t="s">
        <v>1769</v>
      </c>
      <c r="J1893" s="1311"/>
      <c r="K1893" s="1311"/>
      <c r="L1893" s="1311"/>
      <c r="M1893" s="1311"/>
      <c r="N1893" s="1311"/>
      <c r="O1893" s="1311"/>
    </row>
    <row r="1894" spans="1:16">
      <c r="D1894" s="360">
        <f>D1835</f>
        <v>45413</v>
      </c>
      <c r="G1894" s="360">
        <f>G1835</f>
        <v>45443</v>
      </c>
      <c r="I1894" s="360">
        <f>D1894</f>
        <v>45413</v>
      </c>
      <c r="O1894" s="360">
        <f>G1894</f>
        <v>45443</v>
      </c>
    </row>
    <row r="1895" spans="1:16">
      <c r="D1895" s="361" t="s">
        <v>1757</v>
      </c>
      <c r="G1895" s="361" t="s">
        <v>1757</v>
      </c>
      <c r="I1895" s="361" t="s">
        <v>1758</v>
      </c>
      <c r="J1895" s="361" t="s">
        <v>488</v>
      </c>
      <c r="L1895" s="361" t="s">
        <v>1758</v>
      </c>
      <c r="O1895" s="361" t="s">
        <v>1758</v>
      </c>
    </row>
    <row r="1896" spans="1:16">
      <c r="A1896" s="361" t="s">
        <v>1770</v>
      </c>
      <c r="B1896" s="361" t="s">
        <v>368</v>
      </c>
      <c r="C1896" s="361"/>
      <c r="D1896" s="361" t="s">
        <v>437</v>
      </c>
      <c r="G1896" s="361" t="s">
        <v>439</v>
      </c>
      <c r="I1896" s="361" t="s">
        <v>437</v>
      </c>
      <c r="J1896" s="361" t="s">
        <v>1771</v>
      </c>
      <c r="K1896" s="361" t="s">
        <v>1772</v>
      </c>
      <c r="L1896" s="361" t="s">
        <v>1759</v>
      </c>
      <c r="N1896" s="361" t="s">
        <v>1760</v>
      </c>
      <c r="O1896" s="361" t="s">
        <v>439</v>
      </c>
    </row>
    <row r="1897" spans="1:16">
      <c r="A1897" s="364" t="s">
        <v>316</v>
      </c>
      <c r="B1897" s="364" t="s">
        <v>316</v>
      </c>
      <c r="C1897" s="364" t="s">
        <v>451</v>
      </c>
      <c r="D1897" s="364" t="s">
        <v>441</v>
      </c>
      <c r="E1897" s="364" t="s">
        <v>442</v>
      </c>
      <c r="F1897" s="364" t="s">
        <v>443</v>
      </c>
      <c r="G1897" s="364" t="s">
        <v>441</v>
      </c>
      <c r="I1897" s="364" t="s">
        <v>441</v>
      </c>
      <c r="J1897" s="364" t="s">
        <v>1773</v>
      </c>
      <c r="K1897" s="364" t="s">
        <v>1771</v>
      </c>
      <c r="L1897" s="364" t="s">
        <v>355</v>
      </c>
      <c r="M1897" s="364" t="s">
        <v>443</v>
      </c>
      <c r="N1897" s="364" t="s">
        <v>1763</v>
      </c>
      <c r="O1897" s="364" t="s">
        <v>441</v>
      </c>
    </row>
    <row r="1898" spans="1:16">
      <c r="D1898" s="361" t="s">
        <v>532</v>
      </c>
      <c r="E1898" s="361" t="s">
        <v>541</v>
      </c>
      <c r="F1898" s="361" t="s">
        <v>542</v>
      </c>
      <c r="G1898" s="361" t="s">
        <v>1764</v>
      </c>
      <c r="I1898" s="334" t="str">
        <f>"(5)"</f>
        <v>(5)</v>
      </c>
      <c r="J1898" s="334" t="str">
        <f>"(6)"</f>
        <v>(6)</v>
      </c>
      <c r="K1898" s="334" t="str">
        <f>"(7)=((1+4)/2*6/12))"</f>
        <v>(7)=((1+4)/2*6/12))</v>
      </c>
      <c r="L1898" s="334" t="str">
        <f>"(8)"</f>
        <v>(8)</v>
      </c>
      <c r="M1898" s="334" t="str">
        <f>"(9)"</f>
        <v>(9)</v>
      </c>
      <c r="N1898" s="334" t="str">
        <f>"(10)"</f>
        <v>(10)</v>
      </c>
      <c r="O1898" s="334" t="str">
        <f>"(11=5+7+8+9+10)"</f>
        <v>(11=5+7+8+9+10)</v>
      </c>
    </row>
    <row r="1899" spans="1:16">
      <c r="D1899" s="361" t="s">
        <v>320</v>
      </c>
      <c r="E1899" s="361" t="s">
        <v>320</v>
      </c>
      <c r="F1899" s="361" t="s">
        <v>320</v>
      </c>
      <c r="G1899" s="361" t="s">
        <v>320</v>
      </c>
      <c r="I1899" s="334" t="s">
        <v>320</v>
      </c>
      <c r="J1899" s="334" t="s">
        <v>529</v>
      </c>
      <c r="K1899" s="334" t="s">
        <v>320</v>
      </c>
      <c r="L1899" s="334" t="s">
        <v>320</v>
      </c>
      <c r="M1899" s="334" t="s">
        <v>320</v>
      </c>
      <c r="N1899" s="334" t="s">
        <v>320</v>
      </c>
      <c r="O1899" s="334" t="s">
        <v>320</v>
      </c>
    </row>
    <row r="1900" spans="1:16">
      <c r="A1900" s="361">
        <v>1</v>
      </c>
      <c r="B1900" s="363" t="s">
        <v>411</v>
      </c>
      <c r="D1900" s="361"/>
      <c r="E1900" s="361"/>
      <c r="F1900" s="361"/>
      <c r="G1900" s="361"/>
      <c r="I1900" s="334"/>
      <c r="J1900" s="334"/>
      <c r="K1900" s="334"/>
      <c r="L1900" s="334"/>
      <c r="M1900" s="334"/>
      <c r="N1900" s="334"/>
      <c r="O1900" s="334"/>
    </row>
    <row r="1901" spans="1:16">
      <c r="A1901" s="361">
        <f>A1900+1</f>
        <v>2</v>
      </c>
      <c r="B1901" s="365">
        <v>391.1</v>
      </c>
      <c r="C1901" s="358" t="s">
        <v>412</v>
      </c>
      <c r="D1901" s="1243">
        <f t="shared" ref="D1901:D1914" si="339">G1787</f>
        <v>921741.33000000007</v>
      </c>
      <c r="E1901" s="1243">
        <f>+'INPUT - B Schedule PLANT'!CO46</f>
        <v>0</v>
      </c>
      <c r="F1901" s="1243">
        <f>+'INPUT - B Schedule PLANT'!CP46</f>
        <v>0</v>
      </c>
      <c r="G1901" s="1243">
        <f>SUM(D1901:F1901)</f>
        <v>921741.33000000007</v>
      </c>
      <c r="H1901" s="1243"/>
      <c r="I1901" s="1245">
        <f t="shared" ref="I1901:I1914" si="340">O1787</f>
        <v>130226.37000000001</v>
      </c>
      <c r="J1901" s="376">
        <f>$J$1673</f>
        <v>4.9700000000000001E-2</v>
      </c>
      <c r="K1901" s="1243">
        <f>ROUND((G1901+D1901)/2*J1901/12,0)</f>
        <v>3818</v>
      </c>
      <c r="L1901" s="1243">
        <v>0</v>
      </c>
      <c r="M1901" s="1243">
        <f t="shared" ref="M1901:M1914" si="341">F1901</f>
        <v>0</v>
      </c>
      <c r="N1901" s="1243">
        <v>0</v>
      </c>
      <c r="O1901" s="1243">
        <f t="shared" ref="O1901:O1914" si="342">I1901+K1901+L1901+M1901+N1901</f>
        <v>134044.37</v>
      </c>
    </row>
    <row r="1902" spans="1:16">
      <c r="A1902" s="361">
        <f t="shared" ref="A1902:A1915" si="343">A1901+1</f>
        <v>3</v>
      </c>
      <c r="B1902" s="365">
        <v>391.11</v>
      </c>
      <c r="C1902" s="358" t="s">
        <v>413</v>
      </c>
      <c r="D1902" s="1243">
        <f t="shared" si="339"/>
        <v>0</v>
      </c>
      <c r="E1902" s="1243">
        <f>+'INPUT - B Schedule PLANT'!CO47</f>
        <v>0</v>
      </c>
      <c r="F1902" s="1243">
        <f>+'INPUT - B Schedule PLANT'!CP47</f>
        <v>0</v>
      </c>
      <c r="G1902" s="1243">
        <f t="shared" ref="G1902:G1909" si="344">SUM(D1902:F1902)</f>
        <v>0</v>
      </c>
      <c r="H1902" s="1243"/>
      <c r="I1902" s="1245">
        <f t="shared" si="340"/>
        <v>-18933.789999999997</v>
      </c>
      <c r="J1902" s="376">
        <f>$J$1674</f>
        <v>0</v>
      </c>
      <c r="K1902" s="1243">
        <f>ROUND((G1902+D1902)/2*J1902/12,0)</f>
        <v>0</v>
      </c>
      <c r="L1902" s="1243">
        <v>0</v>
      </c>
      <c r="M1902" s="1243">
        <f t="shared" si="341"/>
        <v>0</v>
      </c>
      <c r="N1902" s="1243">
        <v>0</v>
      </c>
      <c r="O1902" s="1243">
        <f t="shared" si="342"/>
        <v>-18933.789999999997</v>
      </c>
    </row>
    <row r="1903" spans="1:16">
      <c r="A1903" s="361">
        <f t="shared" si="343"/>
        <v>4</v>
      </c>
      <c r="B1903" s="365">
        <v>391.12</v>
      </c>
      <c r="C1903" s="358" t="s">
        <v>414</v>
      </c>
      <c r="D1903" s="1243">
        <f t="shared" si="339"/>
        <v>37129.580000000009</v>
      </c>
      <c r="E1903" s="1243">
        <f>+'INPUT - B Schedule PLANT'!CO48</f>
        <v>0</v>
      </c>
      <c r="F1903" s="1243">
        <f>+'INPUT - B Schedule PLANT'!CP48</f>
        <v>0</v>
      </c>
      <c r="G1903" s="1243">
        <f t="shared" si="344"/>
        <v>37129.580000000009</v>
      </c>
      <c r="H1903" s="1243"/>
      <c r="I1903" s="1245">
        <f t="shared" si="340"/>
        <v>-2808.0300000000007</v>
      </c>
      <c r="J1903" s="376">
        <f>$J$1675</f>
        <v>0.2</v>
      </c>
      <c r="K1903" s="1243">
        <f>ROUND((G1903+D1903)/2*J1903/12,0)</f>
        <v>619</v>
      </c>
      <c r="L1903" s="1243">
        <v>0</v>
      </c>
      <c r="M1903" s="1243">
        <f t="shared" si="341"/>
        <v>0</v>
      </c>
      <c r="N1903" s="1243">
        <v>0</v>
      </c>
      <c r="O1903" s="1243">
        <f t="shared" si="342"/>
        <v>-2189.0300000000007</v>
      </c>
    </row>
    <row r="1904" spans="1:16">
      <c r="A1904" s="361">
        <f t="shared" si="343"/>
        <v>5</v>
      </c>
      <c r="B1904" s="365">
        <v>392.2</v>
      </c>
      <c r="C1904" s="358" t="s">
        <v>524</v>
      </c>
      <c r="D1904" s="1243">
        <f t="shared" si="339"/>
        <v>48924.4</v>
      </c>
      <c r="E1904" s="1243">
        <f>+'INPUT - B Schedule PLANT'!CO49</f>
        <v>0</v>
      </c>
      <c r="F1904" s="1243">
        <f>+'INPUT - B Schedule PLANT'!CP49</f>
        <v>0</v>
      </c>
      <c r="G1904" s="1243">
        <f t="shared" si="344"/>
        <v>48924.4</v>
      </c>
      <c r="H1904" s="1243"/>
      <c r="I1904" s="1245">
        <f t="shared" si="340"/>
        <v>17291.359999999961</v>
      </c>
      <c r="J1904" s="376">
        <f>$J$1676</f>
        <v>8.9999999999999993E-3</v>
      </c>
      <c r="K1904" s="1243">
        <f>ROUND((G1904+D1904)/2*J1904/12,0)</f>
        <v>37</v>
      </c>
      <c r="L1904" s="1243">
        <v>0</v>
      </c>
      <c r="M1904" s="1243">
        <f t="shared" si="341"/>
        <v>0</v>
      </c>
      <c r="N1904" s="1243">
        <v>0</v>
      </c>
      <c r="O1904" s="1243">
        <f t="shared" si="342"/>
        <v>17328.359999999961</v>
      </c>
    </row>
    <row r="1905" spans="1:15">
      <c r="A1905" s="361">
        <f t="shared" si="343"/>
        <v>6</v>
      </c>
      <c r="B1905" s="365">
        <v>392.21</v>
      </c>
      <c r="C1905" s="358" t="s">
        <v>415</v>
      </c>
      <c r="D1905" s="1243">
        <f t="shared" si="339"/>
        <v>24462.2</v>
      </c>
      <c r="E1905" s="1243">
        <f>+'INPUT - B Schedule PLANT'!CO50</f>
        <v>0</v>
      </c>
      <c r="F1905" s="1243">
        <f>+'INPUT - B Schedule PLANT'!CP50</f>
        <v>0</v>
      </c>
      <c r="G1905" s="1243">
        <f t="shared" si="344"/>
        <v>24462.2</v>
      </c>
      <c r="H1905" s="1243"/>
      <c r="I1905" s="1245">
        <f t="shared" si="340"/>
        <v>44790.01</v>
      </c>
      <c r="J1905" s="376">
        <f>$J$1677</f>
        <v>8.9999999999999993E-3</v>
      </c>
      <c r="K1905" s="1243">
        <f>ROUND((G1905+D1905)/2*J1905/12,0)</f>
        <v>18</v>
      </c>
      <c r="L1905" s="1243">
        <v>0</v>
      </c>
      <c r="M1905" s="1243">
        <f t="shared" si="341"/>
        <v>0</v>
      </c>
      <c r="N1905" s="1243">
        <v>0</v>
      </c>
      <c r="O1905" s="1243">
        <f t="shared" si="342"/>
        <v>44808.01</v>
      </c>
    </row>
    <row r="1906" spans="1:15">
      <c r="A1906" s="361">
        <f t="shared" si="343"/>
        <v>7</v>
      </c>
      <c r="B1906" s="365">
        <v>393</v>
      </c>
      <c r="C1906" s="358" t="s">
        <v>416</v>
      </c>
      <c r="D1906" s="1243">
        <f t="shared" si="339"/>
        <v>0</v>
      </c>
      <c r="E1906" s="1243">
        <f>+'INPUT - B Schedule PLANT'!CO51</f>
        <v>0</v>
      </c>
      <c r="F1906" s="1243">
        <f>+'INPUT - B Schedule PLANT'!CP51</f>
        <v>0</v>
      </c>
      <c r="G1906" s="1243">
        <f t="shared" si="344"/>
        <v>0</v>
      </c>
      <c r="H1906" s="1243"/>
      <c r="I1906" s="1245">
        <f t="shared" si="340"/>
        <v>0</v>
      </c>
      <c r="J1906" s="376" t="str">
        <f>$J$1678</f>
        <v>Amort.</v>
      </c>
      <c r="K1906" s="1243">
        <v>0</v>
      </c>
      <c r="L1906" s="1243">
        <v>0</v>
      </c>
      <c r="M1906" s="1243">
        <f t="shared" si="341"/>
        <v>0</v>
      </c>
      <c r="N1906" s="1243">
        <v>0</v>
      </c>
      <c r="O1906" s="1243">
        <f t="shared" si="342"/>
        <v>0</v>
      </c>
    </row>
    <row r="1907" spans="1:15">
      <c r="A1907" s="361">
        <f t="shared" si="343"/>
        <v>8</v>
      </c>
      <c r="B1907" s="365">
        <v>394.1</v>
      </c>
      <c r="C1907" s="358" t="s">
        <v>417</v>
      </c>
      <c r="D1907" s="1243">
        <f t="shared" si="339"/>
        <v>9739</v>
      </c>
      <c r="E1907" s="1243">
        <f>+'INPUT - B Schedule PLANT'!CO52</f>
        <v>0</v>
      </c>
      <c r="F1907" s="1243">
        <f>+'INPUT - B Schedule PLANT'!CP52</f>
        <v>0</v>
      </c>
      <c r="G1907" s="1243">
        <f t="shared" si="344"/>
        <v>9739</v>
      </c>
      <c r="H1907" s="1243"/>
      <c r="I1907" s="1245">
        <f t="shared" si="340"/>
        <v>4204.0700000000006</v>
      </c>
      <c r="J1907" s="376">
        <f>$J$1679</f>
        <v>0.04</v>
      </c>
      <c r="K1907" s="1243">
        <f>ROUND((G1907+D1907)/2*J1907/12,0)</f>
        <v>32</v>
      </c>
      <c r="L1907" s="1243">
        <v>0</v>
      </c>
      <c r="M1907" s="1243">
        <f t="shared" si="341"/>
        <v>0</v>
      </c>
      <c r="N1907" s="1243">
        <v>0</v>
      </c>
      <c r="O1907" s="1243">
        <f t="shared" si="342"/>
        <v>4236.0700000000006</v>
      </c>
    </row>
    <row r="1908" spans="1:15">
      <c r="A1908" s="361">
        <f t="shared" si="343"/>
        <v>9</v>
      </c>
      <c r="B1908" s="365">
        <v>394.11</v>
      </c>
      <c r="C1908" s="358" t="s">
        <v>418</v>
      </c>
      <c r="D1908" s="1243">
        <f t="shared" si="339"/>
        <v>0</v>
      </c>
      <c r="E1908" s="1243">
        <f>+'INPUT - B Schedule PLANT'!CO53</f>
        <v>0</v>
      </c>
      <c r="F1908" s="1243">
        <f>+'INPUT - B Schedule PLANT'!CP53</f>
        <v>0</v>
      </c>
      <c r="G1908" s="1243">
        <f t="shared" si="344"/>
        <v>0</v>
      </c>
      <c r="H1908" s="1243"/>
      <c r="I1908" s="1245">
        <f t="shared" si="340"/>
        <v>-26071.5</v>
      </c>
      <c r="J1908" s="376">
        <f>$J$1680</f>
        <v>0.04</v>
      </c>
      <c r="K1908" s="1243">
        <f>ROUND((G1908+D1908)/2*J1908/12,0)</f>
        <v>0</v>
      </c>
      <c r="L1908" s="1243">
        <v>0</v>
      </c>
      <c r="M1908" s="1243">
        <f t="shared" si="341"/>
        <v>0</v>
      </c>
      <c r="N1908" s="1243">
        <v>0</v>
      </c>
      <c r="O1908" s="1243">
        <f t="shared" si="342"/>
        <v>-26071.5</v>
      </c>
    </row>
    <row r="1909" spans="1:15">
      <c r="A1909" s="361">
        <f t="shared" si="343"/>
        <v>10</v>
      </c>
      <c r="B1909" s="365">
        <v>394.13</v>
      </c>
      <c r="C1909" s="358" t="s">
        <v>515</v>
      </c>
      <c r="D1909" s="1243">
        <f t="shared" si="339"/>
        <v>0</v>
      </c>
      <c r="E1909" s="1243">
        <f>+'INPUT - B Schedule PLANT'!CO54</f>
        <v>0</v>
      </c>
      <c r="F1909" s="1243">
        <f>+'INPUT - B Schedule PLANT'!CP54</f>
        <v>0</v>
      </c>
      <c r="G1909" s="1243">
        <f t="shared" si="344"/>
        <v>0</v>
      </c>
      <c r="H1909" s="1243"/>
      <c r="I1909" s="1245">
        <f t="shared" si="340"/>
        <v>37937.360000000001</v>
      </c>
      <c r="J1909" s="376" t="str">
        <f>$J$1681</f>
        <v>Amort.</v>
      </c>
      <c r="K1909" s="1243">
        <v>0</v>
      </c>
      <c r="L1909" s="1243">
        <v>0</v>
      </c>
      <c r="M1909" s="1243">
        <f t="shared" si="341"/>
        <v>0</v>
      </c>
      <c r="N1909" s="1243">
        <v>0</v>
      </c>
      <c r="O1909" s="1243">
        <f t="shared" si="342"/>
        <v>37937.360000000001</v>
      </c>
    </row>
    <row r="1910" spans="1:15">
      <c r="A1910" s="361">
        <f t="shared" si="343"/>
        <v>11</v>
      </c>
      <c r="B1910" s="365">
        <v>394.2</v>
      </c>
      <c r="C1910" s="358" t="s">
        <v>420</v>
      </c>
      <c r="D1910" s="1243">
        <f t="shared" si="339"/>
        <v>0</v>
      </c>
      <c r="E1910" s="1243">
        <f>+'INPUT - B Schedule PLANT'!CO55</f>
        <v>0</v>
      </c>
      <c r="F1910" s="1243">
        <f>+'INPUT - B Schedule PLANT'!CP55</f>
        <v>0</v>
      </c>
      <c r="G1910" s="1243">
        <f>SUM(D1910:F1910)</f>
        <v>0</v>
      </c>
      <c r="H1910" s="1243"/>
      <c r="I1910" s="1245">
        <f t="shared" si="340"/>
        <v>185.21</v>
      </c>
      <c r="J1910" s="376">
        <f>$J$1682</f>
        <v>0.04</v>
      </c>
      <c r="K1910" s="1243">
        <f>ROUND((G1910+D1910)/2*J1910/12,0)</f>
        <v>0</v>
      </c>
      <c r="L1910" s="1243">
        <v>0</v>
      </c>
      <c r="M1910" s="1243">
        <f t="shared" si="341"/>
        <v>0</v>
      </c>
      <c r="N1910" s="1243">
        <v>0</v>
      </c>
      <c r="O1910" s="1243">
        <f t="shared" si="342"/>
        <v>185.21</v>
      </c>
    </row>
    <row r="1911" spans="1:15">
      <c r="A1911" s="361">
        <f t="shared" si="343"/>
        <v>12</v>
      </c>
      <c r="B1911" s="365">
        <v>394.3</v>
      </c>
      <c r="C1911" s="358" t="s">
        <v>1602</v>
      </c>
      <c r="D1911" s="1243">
        <f t="shared" si="339"/>
        <v>5192500.5599999996</v>
      </c>
      <c r="E1911" s="1243">
        <f>+'INPUT - B Schedule PLANT'!CO56</f>
        <v>9938.61</v>
      </c>
      <c r="F1911" s="1243">
        <f>+'INPUT - B Schedule PLANT'!CP56</f>
        <v>-24109.65</v>
      </c>
      <c r="G1911" s="1243">
        <f>SUM(D1911:F1911)</f>
        <v>5178329.5199999996</v>
      </c>
      <c r="H1911" s="1243"/>
      <c r="I1911" s="1245">
        <f t="shared" si="340"/>
        <v>1609109.6899999997</v>
      </c>
      <c r="J1911" s="376">
        <f>$J$1683</f>
        <v>0.04</v>
      </c>
      <c r="K1911" s="1243">
        <f>ROUND((G1911+D1911)/2*J1911/12,0)</f>
        <v>17285</v>
      </c>
      <c r="L1911" s="1243">
        <v>0</v>
      </c>
      <c r="M1911" s="1243">
        <f t="shared" si="341"/>
        <v>-24109.65</v>
      </c>
      <c r="N1911" s="1243">
        <v>0</v>
      </c>
      <c r="O1911" s="1243">
        <f t="shared" si="342"/>
        <v>1602285.0399999998</v>
      </c>
    </row>
    <row r="1912" spans="1:15">
      <c r="A1912" s="361">
        <f t="shared" si="343"/>
        <v>13</v>
      </c>
      <c r="B1912" s="365">
        <v>395</v>
      </c>
      <c r="C1912" s="358" t="s">
        <v>422</v>
      </c>
      <c r="D1912" s="1243">
        <f t="shared" si="339"/>
        <v>0</v>
      </c>
      <c r="E1912" s="1243">
        <f>+'INPUT - B Schedule PLANT'!CO57</f>
        <v>0</v>
      </c>
      <c r="F1912" s="1243">
        <f>+'INPUT - B Schedule PLANT'!CP57</f>
        <v>0</v>
      </c>
      <c r="G1912" s="1243">
        <f>SUM(D1912:F1912)</f>
        <v>0</v>
      </c>
      <c r="H1912" s="1243"/>
      <c r="I1912" s="1245">
        <f t="shared" si="340"/>
        <v>-100.69999999999845</v>
      </c>
      <c r="J1912" s="376">
        <f>$J$1684</f>
        <v>0.05</v>
      </c>
      <c r="K1912" s="1243">
        <f>ROUND((G1912+D1912)/2*J1912/12,0)</f>
        <v>0</v>
      </c>
      <c r="L1912" s="1243">
        <v>0</v>
      </c>
      <c r="M1912" s="1243">
        <f t="shared" si="341"/>
        <v>0</v>
      </c>
      <c r="N1912" s="1243">
        <v>0</v>
      </c>
      <c r="O1912" s="1243">
        <f t="shared" si="342"/>
        <v>-100.69999999999845</v>
      </c>
    </row>
    <row r="1913" spans="1:15">
      <c r="A1913" s="361">
        <f t="shared" si="343"/>
        <v>14</v>
      </c>
      <c r="B1913" s="365">
        <v>396</v>
      </c>
      <c r="C1913" s="358" t="s">
        <v>423</v>
      </c>
      <c r="D1913" s="1243">
        <f t="shared" si="339"/>
        <v>185547</v>
      </c>
      <c r="E1913" s="1243">
        <f>+'INPUT - B Schedule PLANT'!CO58</f>
        <v>0</v>
      </c>
      <c r="F1913" s="1243">
        <f>+'INPUT - B Schedule PLANT'!CP58</f>
        <v>0</v>
      </c>
      <c r="G1913" s="1243">
        <f>SUM(D1913:F1913)</f>
        <v>185547</v>
      </c>
      <c r="H1913" s="1243"/>
      <c r="I1913" s="1245">
        <f t="shared" si="340"/>
        <v>171938.14</v>
      </c>
      <c r="J1913" s="376">
        <f>$J$1685</f>
        <v>0</v>
      </c>
      <c r="K1913" s="1243">
        <f>ROUND((G1913+D1913)/2*J1913/12,0)</f>
        <v>0</v>
      </c>
      <c r="L1913" s="1243">
        <v>0</v>
      </c>
      <c r="M1913" s="1243">
        <f t="shared" si="341"/>
        <v>0</v>
      </c>
      <c r="N1913" s="1243">
        <v>0</v>
      </c>
      <c r="O1913" s="1243">
        <f t="shared" si="342"/>
        <v>171938.14</v>
      </c>
    </row>
    <row r="1914" spans="1:15">
      <c r="A1914" s="361">
        <f t="shared" si="343"/>
        <v>15</v>
      </c>
      <c r="B1914" s="365">
        <v>398</v>
      </c>
      <c r="C1914" s="358" t="s">
        <v>424</v>
      </c>
      <c r="D1914" s="1244">
        <f t="shared" si="339"/>
        <v>148028.20000000001</v>
      </c>
      <c r="E1914" s="1244">
        <f>+'INPUT - B Schedule PLANT'!CO59</f>
        <v>0</v>
      </c>
      <c r="F1914" s="1244">
        <f>+'INPUT - B Schedule PLANT'!CP59</f>
        <v>0</v>
      </c>
      <c r="G1914" s="1244">
        <f>SUM(D1914:F1914)</f>
        <v>148028.20000000001</v>
      </c>
      <c r="H1914" s="1243"/>
      <c r="I1914" s="1246">
        <f t="shared" si="340"/>
        <v>73395.549999999945</v>
      </c>
      <c r="J1914" s="376">
        <f>$J$1686</f>
        <v>6.6699999999999995E-2</v>
      </c>
      <c r="K1914" s="1244">
        <f>ROUND((G1914+D1914)/2*J1914/12,0)</f>
        <v>823</v>
      </c>
      <c r="L1914" s="1244">
        <v>0</v>
      </c>
      <c r="M1914" s="1244">
        <f t="shared" si="341"/>
        <v>0</v>
      </c>
      <c r="N1914" s="1244">
        <v>0</v>
      </c>
      <c r="O1914" s="1244">
        <f t="shared" si="342"/>
        <v>74218.549999999945</v>
      </c>
    </row>
    <row r="1915" spans="1:15">
      <c r="A1915" s="361">
        <f t="shared" si="343"/>
        <v>16</v>
      </c>
      <c r="B1915" s="367"/>
      <c r="C1915" s="358" t="s">
        <v>425</v>
      </c>
      <c r="D1915" s="1243">
        <f>SUM(D1901:D1914)</f>
        <v>6568072.2699999996</v>
      </c>
      <c r="E1915" s="1243">
        <f>SUM(E1901:E1914)</f>
        <v>9938.61</v>
      </c>
      <c r="F1915" s="1243">
        <f>SUM(F1901:F1914)</f>
        <v>-24109.65</v>
      </c>
      <c r="G1915" s="1243">
        <f>SUM(G1901:G1914)</f>
        <v>6553901.2299999995</v>
      </c>
      <c r="H1915" s="1243"/>
      <c r="I1915" s="1243">
        <f>SUM(I1901:I1914)</f>
        <v>2041163.74</v>
      </c>
      <c r="J1915" s="369"/>
      <c r="K1915" s="1243">
        <f>SUM(K1901:K1914)</f>
        <v>22632</v>
      </c>
      <c r="L1915" s="1243">
        <f>SUM(L1901:L1914)</f>
        <v>0</v>
      </c>
      <c r="M1915" s="1243">
        <f>SUM(M1901:M1914)</f>
        <v>-24109.65</v>
      </c>
      <c r="N1915" s="1243">
        <f>SUM(N1901:N1914)</f>
        <v>0</v>
      </c>
      <c r="O1915" s="1243">
        <f>SUM(O1901:O1914)</f>
        <v>2039686.09</v>
      </c>
    </row>
    <row r="1916" spans="1:15">
      <c r="A1916" s="361"/>
      <c r="D1916" s="1243"/>
      <c r="E1916" s="1243"/>
      <c r="F1916" s="1243"/>
      <c r="G1916" s="1243"/>
      <c r="H1916" s="1243"/>
      <c r="I1916" s="1243"/>
      <c r="J1916" s="369"/>
      <c r="K1916" s="1243"/>
      <c r="L1916" s="1243"/>
      <c r="M1916" s="1243"/>
      <c r="N1916" s="1243"/>
      <c r="O1916" s="1243"/>
    </row>
    <row r="1917" spans="1:15">
      <c r="A1917" s="361">
        <f>A1915+1</f>
        <v>17</v>
      </c>
      <c r="B1917" s="363" t="s">
        <v>1038</v>
      </c>
      <c r="D1917" s="1243"/>
      <c r="E1917" s="1243"/>
      <c r="F1917" s="1243"/>
      <c r="G1917" s="1243"/>
      <c r="H1917" s="1243"/>
      <c r="I1917" s="1243"/>
      <c r="J1917" s="369"/>
      <c r="K1917" s="1243"/>
      <c r="L1917" s="1243"/>
      <c r="M1917" s="1243"/>
      <c r="N1917" s="1243"/>
      <c r="O1917" s="1243"/>
    </row>
    <row r="1918" spans="1:15">
      <c r="A1918" s="361">
        <f>A1917+1</f>
        <v>18</v>
      </c>
      <c r="B1918" s="365">
        <v>378.21</v>
      </c>
      <c r="C1918" s="358" t="s">
        <v>1037</v>
      </c>
      <c r="D1918" s="1244">
        <f>G1804</f>
        <v>-777092</v>
      </c>
      <c r="E1918" s="1244">
        <v>0</v>
      </c>
      <c r="F1918" s="1244">
        <v>0</v>
      </c>
      <c r="G1918" s="1244">
        <f>SUM(D1918:F1918)</f>
        <v>-777092</v>
      </c>
      <c r="H1918" s="1243"/>
      <c r="I1918" s="1244">
        <f>O1804</f>
        <v>-212947.02000000016</v>
      </c>
      <c r="J1918" s="376" t="str">
        <f>$J$1690</f>
        <v>Amort.</v>
      </c>
      <c r="K1918" s="1244">
        <f>$K$1348</f>
        <v>-2144.17</v>
      </c>
      <c r="L1918" s="1244">
        <v>0</v>
      </c>
      <c r="M1918" s="1244">
        <f>F1918</f>
        <v>0</v>
      </c>
      <c r="N1918" s="1244">
        <v>0</v>
      </c>
      <c r="O1918" s="1244">
        <f>I1918+K1918+L1918+M1918+N1918</f>
        <v>-215091.19000000018</v>
      </c>
    </row>
    <row r="1919" spans="1:15">
      <c r="A1919" s="361">
        <f>A1918+1</f>
        <v>19</v>
      </c>
      <c r="B1919" s="370"/>
      <c r="C1919" s="358" t="s">
        <v>1579</v>
      </c>
      <c r="D1919" s="1243">
        <f>SUM(D1918)</f>
        <v>-777092</v>
      </c>
      <c r="E1919" s="1243">
        <f>SUM(E1918)</f>
        <v>0</v>
      </c>
      <c r="F1919" s="1243">
        <f>SUM(F1918)</f>
        <v>0</v>
      </c>
      <c r="G1919" s="1243">
        <f>SUM(G1918)</f>
        <v>-777092</v>
      </c>
      <c r="H1919" s="1243"/>
      <c r="I1919" s="1243">
        <f>SUM(I1918)</f>
        <v>-212947.02000000016</v>
      </c>
      <c r="J1919" s="369"/>
      <c r="K1919" s="1243">
        <f>SUM(K1918)</f>
        <v>-2144.17</v>
      </c>
      <c r="L1919" s="1243">
        <f>SUM(L1918)</f>
        <v>0</v>
      </c>
      <c r="M1919" s="1243">
        <f>SUM(M1918)</f>
        <v>0</v>
      </c>
      <c r="N1919" s="1243">
        <f>SUM(N1918)</f>
        <v>0</v>
      </c>
      <c r="O1919" s="1243">
        <f>SUM(O1918)</f>
        <v>-215091.19000000018</v>
      </c>
    </row>
    <row r="1920" spans="1:15">
      <c r="A1920" s="361"/>
      <c r="B1920" s="370"/>
      <c r="D1920" s="1243"/>
      <c r="E1920" s="1243"/>
      <c r="F1920" s="1243"/>
      <c r="G1920" s="1243"/>
      <c r="H1920" s="1243"/>
      <c r="I1920" s="1243"/>
      <c r="J1920" s="369"/>
      <c r="K1920" s="1243"/>
      <c r="L1920" s="1243"/>
      <c r="M1920" s="1243"/>
      <c r="N1920" s="1243"/>
      <c r="O1920" s="1243"/>
    </row>
    <row r="1921" spans="1:15">
      <c r="A1921" s="361">
        <f>A1919+1</f>
        <v>20</v>
      </c>
      <c r="B1921" s="370"/>
      <c r="C1921" s="358" t="s">
        <v>2037</v>
      </c>
      <c r="D1921" s="1243">
        <f>D1848+D1881+D1915+D1919</f>
        <v>746892164.00747585</v>
      </c>
      <c r="E1921" s="1243">
        <f>E1848+E1881+E1915+E1919</f>
        <v>2165639.1847382239</v>
      </c>
      <c r="F1921" s="1243">
        <f>F1848+F1881+F1915+F1919</f>
        <v>-283161.58213084843</v>
      </c>
      <c r="G1921" s="1243">
        <f>G1848+G1881+G1915+G1919</f>
        <v>748774641.61008334</v>
      </c>
      <c r="H1921" s="1243"/>
      <c r="I1921" s="1243">
        <f>I1848+I1881+I1915+I1919</f>
        <v>181814484.55111018</v>
      </c>
      <c r="J1921" s="369"/>
      <c r="K1921" s="1243">
        <f>K1848+K1881+K1915+K1919</f>
        <v>1794941.122085226</v>
      </c>
      <c r="L1921" s="1243">
        <f>L1848+L1881+L1915+L1919</f>
        <v>0</v>
      </c>
      <c r="M1921" s="1243">
        <f>M1848+M1881+M1915+M1919</f>
        <v>-283161.58213084843</v>
      </c>
      <c r="N1921" s="1243">
        <f>N1848+N1881+N1915+N1919</f>
        <v>-101236.03516176116</v>
      </c>
      <c r="O1921" s="1243">
        <f>O1848+O1881+O1915+O1919</f>
        <v>183225028.05590275</v>
      </c>
    </row>
    <row r="1922" spans="1:15">
      <c r="A1922" s="361"/>
      <c r="B1922" s="370"/>
      <c r="D1922" s="1243"/>
      <c r="E1922" s="1243"/>
      <c r="F1922" s="1243"/>
      <c r="G1922" s="1243"/>
      <c r="H1922" s="1243"/>
      <c r="I1922" s="1243"/>
      <c r="J1922" s="369"/>
      <c r="K1922" s="1243"/>
      <c r="L1922" s="1243"/>
      <c r="M1922" s="1243"/>
      <c r="N1922" s="1243"/>
      <c r="O1922" s="1243"/>
    </row>
    <row r="1923" spans="1:15">
      <c r="A1923" s="361">
        <f>A1921+1</f>
        <v>21</v>
      </c>
      <c r="B1923" s="370"/>
      <c r="C1923" s="358" t="s">
        <v>2038</v>
      </c>
      <c r="D1923" s="1243">
        <v>0</v>
      </c>
      <c r="E1923" s="1249">
        <v>0</v>
      </c>
      <c r="F1923" s="1249">
        <v>0</v>
      </c>
      <c r="G1923" s="1249">
        <f>SUM(D1923:F1923)</f>
        <v>0</v>
      </c>
      <c r="H1923" s="1243"/>
      <c r="I1923" s="1243">
        <f>O1809</f>
        <v>-6687302.71</v>
      </c>
      <c r="J1923" s="369"/>
      <c r="K1923" s="1243"/>
      <c r="L1923" s="1243"/>
      <c r="M1923" s="1243"/>
      <c r="N1923" s="1243"/>
      <c r="O1923" s="1243">
        <f>I1923+K1923+L1923+M1923+N1923</f>
        <v>-6687302.71</v>
      </c>
    </row>
    <row r="1924" spans="1:15">
      <c r="A1924" s="361"/>
      <c r="B1924" s="370"/>
      <c r="C1924" s="368"/>
      <c r="D1924" s="1243"/>
      <c r="E1924" s="1243"/>
      <c r="F1924" s="1243"/>
      <c r="G1924" s="1243"/>
      <c r="H1924" s="1243"/>
      <c r="I1924" s="1243"/>
      <c r="J1924" s="369"/>
      <c r="K1924" s="1243"/>
      <c r="L1924" s="1243"/>
      <c r="M1924" s="1243"/>
      <c r="N1924" s="1243"/>
      <c r="O1924" s="1243"/>
    </row>
    <row r="1925" spans="1:15">
      <c r="A1925" s="361">
        <f>A1923+1</f>
        <v>22</v>
      </c>
      <c r="C1925" s="358" t="s">
        <v>1603</v>
      </c>
      <c r="D1925" s="1247">
        <f>D1921+D1923</f>
        <v>746892164.00747585</v>
      </c>
      <c r="E1925" s="1247">
        <f t="shared" ref="E1925:O1925" si="345">E1921+E1923</f>
        <v>2165639.1847382239</v>
      </c>
      <c r="F1925" s="1247">
        <f t="shared" si="345"/>
        <v>-283161.58213084843</v>
      </c>
      <c r="G1925" s="1247">
        <f t="shared" si="345"/>
        <v>748774641.61008334</v>
      </c>
      <c r="H1925" s="1243"/>
      <c r="I1925" s="1247">
        <f t="shared" si="345"/>
        <v>175127181.84111017</v>
      </c>
      <c r="J1925" s="369"/>
      <c r="K1925" s="1247">
        <f t="shared" si="345"/>
        <v>1794941.122085226</v>
      </c>
      <c r="L1925" s="1247">
        <f t="shared" si="345"/>
        <v>0</v>
      </c>
      <c r="M1925" s="1247">
        <f t="shared" si="345"/>
        <v>-283161.58213084843</v>
      </c>
      <c r="N1925" s="1247">
        <f t="shared" si="345"/>
        <v>-101236.03516176116</v>
      </c>
      <c r="O1925" s="1247">
        <f t="shared" si="345"/>
        <v>176537725.34590274</v>
      </c>
    </row>
    <row r="1926" spans="1:15">
      <c r="A1926" s="361"/>
      <c r="D1926" s="1243"/>
      <c r="E1926" s="1243"/>
      <c r="F1926" s="1243"/>
      <c r="G1926" s="1243"/>
      <c r="H1926" s="1243"/>
      <c r="I1926" s="1243"/>
      <c r="J1926" s="369"/>
      <c r="K1926" s="1243"/>
      <c r="L1926" s="1243"/>
      <c r="M1926" s="1243"/>
      <c r="N1926" s="1243"/>
      <c r="O1926" s="1243"/>
    </row>
    <row r="1927" spans="1:15">
      <c r="A1927" s="361"/>
      <c r="D1927" s="1243"/>
      <c r="E1927" s="1243"/>
      <c r="F1927" s="1243"/>
      <c r="G1927" s="1243"/>
      <c r="H1927" s="1243"/>
      <c r="I1927" s="1243"/>
      <c r="J1927" s="369"/>
      <c r="K1927" s="1243"/>
      <c r="L1927" s="1243"/>
      <c r="M1927" s="1243"/>
      <c r="N1927" s="1243"/>
      <c r="O1927" s="1243"/>
    </row>
    <row r="1928" spans="1:15">
      <c r="A1928" s="361">
        <f>A1925+1</f>
        <v>23</v>
      </c>
      <c r="B1928" s="363" t="s">
        <v>1774</v>
      </c>
      <c r="D1928" s="1243"/>
      <c r="E1928" s="1243"/>
      <c r="F1928" s="1243"/>
      <c r="G1928" s="1243"/>
      <c r="H1928" s="1243"/>
      <c r="I1928" s="1243"/>
      <c r="J1928" s="369"/>
      <c r="K1928" s="1243"/>
      <c r="L1928" s="1243"/>
      <c r="M1928" s="1243"/>
      <c r="N1928" s="1243"/>
      <c r="O1928" s="1243"/>
    </row>
    <row r="1929" spans="1:15">
      <c r="A1929" s="361">
        <f t="shared" ref="A1929:A1934" si="346">A1928+1</f>
        <v>24</v>
      </c>
      <c r="B1929" s="365">
        <v>376</v>
      </c>
      <c r="C1929" s="358" t="s">
        <v>1775</v>
      </c>
      <c r="D1929" s="1243">
        <f>G1815</f>
        <v>35264083.759131789</v>
      </c>
      <c r="E1929" s="1243">
        <f>'WPB-2.1.D SMRP'!E754</f>
        <v>1715794.2553764428</v>
      </c>
      <c r="F1929" s="1243">
        <f>'WPB-2.1.D SMRP'!F754</f>
        <v>-8774.2712834546182</v>
      </c>
      <c r="G1929" s="1243">
        <f>SUM(D1929:F1929)</f>
        <v>36971103.743224777</v>
      </c>
      <c r="H1929" s="1243"/>
      <c r="I1929" s="1243">
        <f>O1815</f>
        <v>30919.457017371929</v>
      </c>
      <c r="J1929" s="376">
        <f>$J$1701</f>
        <v>1.7399999999999999E-2</v>
      </c>
      <c r="K1929" s="1243">
        <f>'WPB-2.1.D SMRP'!K754</f>
        <v>52370.589</v>
      </c>
      <c r="L1929" s="1243">
        <v>0</v>
      </c>
      <c r="M1929" s="1243">
        <f>F1929</f>
        <v>-8774.2712834546182</v>
      </c>
      <c r="N1929" s="1243">
        <f>'WPB-2.1.D SMRP'!N754</f>
        <v>-381.61472832156863</v>
      </c>
      <c r="O1929" s="1243">
        <f>I1929+K1929+L1929+M1929+N1929</f>
        <v>74134.160005595753</v>
      </c>
    </row>
    <row r="1930" spans="1:15">
      <c r="A1930" s="361">
        <f t="shared" si="346"/>
        <v>25</v>
      </c>
      <c r="B1930" s="365">
        <v>378.2</v>
      </c>
      <c r="C1930" s="358" t="s">
        <v>1776</v>
      </c>
      <c r="D1930" s="1243">
        <f>G1816</f>
        <v>-100404.93274678481</v>
      </c>
      <c r="E1930" s="1243">
        <f>'WPB-2.1.D SMRP'!E755</f>
        <v>372549.15617829165</v>
      </c>
      <c r="F1930" s="1243">
        <f>'WPB-2.1.D SMRP'!F755</f>
        <v>-21330.138679792384</v>
      </c>
      <c r="G1930" s="1243">
        <f>SUM(D1930:F1930)</f>
        <v>250814.08475171446</v>
      </c>
      <c r="H1930" s="1243"/>
      <c r="I1930" s="1243">
        <f>O1816</f>
        <v>-507104.99016298301</v>
      </c>
      <c r="J1930" s="376">
        <f>$J$1702</f>
        <v>2.52E-2</v>
      </c>
      <c r="K1930" s="1243">
        <f>'WPB-2.1.D SMRP'!K755</f>
        <v>157.77999999999997</v>
      </c>
      <c r="L1930" s="1243">
        <v>0</v>
      </c>
      <c r="M1930" s="1243">
        <f>F1930</f>
        <v>-21330.138679792384</v>
      </c>
      <c r="N1930" s="1243">
        <f>'WPB-2.1.D SMRP'!N755</f>
        <v>-2964.3256306984981</v>
      </c>
      <c r="O1930" s="1243">
        <f>I1930+K1930+L1930+M1930+N1930</f>
        <v>-531241.6744734738</v>
      </c>
    </row>
    <row r="1931" spans="1:15">
      <c r="A1931" s="361">
        <f t="shared" si="346"/>
        <v>26</v>
      </c>
      <c r="B1931" s="365">
        <v>380</v>
      </c>
      <c r="C1931" s="358" t="s">
        <v>1777</v>
      </c>
      <c r="D1931" s="1243">
        <f>G1817</f>
        <v>13525031.553682048</v>
      </c>
      <c r="E1931" s="1243">
        <f>'WPB-2.1.D SMRP'!E756</f>
        <v>1791521.11</v>
      </c>
      <c r="F1931" s="1243">
        <f>'WPB-2.1.D SMRP'!F756</f>
        <v>-444461.42472238117</v>
      </c>
      <c r="G1931" s="1243">
        <f>SUM(D1931:F1931)</f>
        <v>14872091.238959666</v>
      </c>
      <c r="H1931" s="1243"/>
      <c r="I1931" s="1243">
        <f>O1817</f>
        <v>-6535549.4149099523</v>
      </c>
      <c r="J1931" s="376">
        <f>$J$1703</f>
        <v>3.9800000000000002E-2</v>
      </c>
      <c r="K1931" s="1243">
        <f>'WPB-2.1.D SMRP'!K756</f>
        <v>47091.873999999996</v>
      </c>
      <c r="L1931" s="1243">
        <v>0</v>
      </c>
      <c r="M1931" s="1243">
        <f>F1931</f>
        <v>-444461.42472238117</v>
      </c>
      <c r="N1931" s="1243">
        <f>'WPB-2.1.D SMRP'!N756</f>
        <v>-205134.47447921877</v>
      </c>
      <c r="O1931" s="1243">
        <f>I1931+K1931+L1931+M1931+N1931</f>
        <v>-7138053.4401115524</v>
      </c>
    </row>
    <row r="1932" spans="1:15">
      <c r="A1932" s="361">
        <f t="shared" si="346"/>
        <v>27</v>
      </c>
      <c r="B1932" s="365">
        <v>382</v>
      </c>
      <c r="C1932" s="358" t="s">
        <v>1778</v>
      </c>
      <c r="D1932" s="1243">
        <f>G1818</f>
        <v>178647.17716494249</v>
      </c>
      <c r="E1932" s="1243">
        <f>'WPB-2.1.D SMRP'!E757</f>
        <v>2537.27</v>
      </c>
      <c r="F1932" s="1243">
        <f>'WPB-2.1.D SMRP'!F757</f>
        <v>-2789.4988054685391</v>
      </c>
      <c r="G1932" s="1243">
        <f>SUM(D1932:F1932)</f>
        <v>178394.94835947393</v>
      </c>
      <c r="H1932" s="1243"/>
      <c r="I1932" s="1243">
        <f>O1818</f>
        <v>-54757.589835057479</v>
      </c>
      <c r="J1932" s="376">
        <f>$J$1704</f>
        <v>1.77E-2</v>
      </c>
      <c r="K1932" s="1243">
        <f>'WPB-2.1.D SMRP'!K757</f>
        <v>263.81400000000002</v>
      </c>
      <c r="L1932" s="1243">
        <v>0</v>
      </c>
      <c r="M1932" s="1243">
        <f>F1932</f>
        <v>-2789.4988054685391</v>
      </c>
      <c r="N1932" s="1243">
        <f>'WPB-2.1.D SMRP'!N757</f>
        <v>0</v>
      </c>
      <c r="O1932" s="1243">
        <f>I1932+K1932+L1932+M1932+N1932</f>
        <v>-57283.274640526019</v>
      </c>
    </row>
    <row r="1933" spans="1:15">
      <c r="A1933" s="361">
        <f t="shared" si="346"/>
        <v>28</v>
      </c>
      <c r="B1933" s="365">
        <v>383</v>
      </c>
      <c r="C1933" s="358" t="s">
        <v>1779</v>
      </c>
      <c r="D1933" s="1244">
        <f>G1819</f>
        <v>56426.400612127632</v>
      </c>
      <c r="E1933" s="1244">
        <f>'WPB-2.1.D SMRP'!E758</f>
        <v>5930.7625181521398</v>
      </c>
      <c r="F1933" s="1244">
        <f>'WPB-2.1.D SMRP'!F758</f>
        <v>-252.63437805489215</v>
      </c>
      <c r="G1933" s="1244">
        <f>SUM(D1933:F1933)</f>
        <v>62104.528752224884</v>
      </c>
      <c r="H1933" s="1243"/>
      <c r="I1933" s="1244">
        <f>O1819</f>
        <v>-7824.9537691362657</v>
      </c>
      <c r="J1933" s="376">
        <f>$J$1705</f>
        <v>1.9400000000000001E-2</v>
      </c>
      <c r="K1933" s="1244">
        <f>'WPB-2.1.D SMRP'!K758</f>
        <v>95.59</v>
      </c>
      <c r="L1933" s="1244">
        <v>0</v>
      </c>
      <c r="M1933" s="1244">
        <f>F1933</f>
        <v>-252.63437805489215</v>
      </c>
      <c r="N1933" s="1244">
        <f>'WPB-2.1.D SMRP'!N758</f>
        <v>0</v>
      </c>
      <c r="O1933" s="1244">
        <f>I1933+K1933+L1933+M1933+N1933</f>
        <v>-7981.9981471911578</v>
      </c>
    </row>
    <row r="1934" spans="1:15">
      <c r="A1934" s="361">
        <f t="shared" si="346"/>
        <v>29</v>
      </c>
      <c r="C1934" s="358" t="s">
        <v>1780</v>
      </c>
      <c r="D1934" s="1243">
        <f>SUM(D1929:D1933)</f>
        <v>48923783.957844123</v>
      </c>
      <c r="E1934" s="1243">
        <f>SUM(E1929:E1933)</f>
        <v>3888332.5540728867</v>
      </c>
      <c r="F1934" s="1243">
        <f>SUM(F1929:F1933)</f>
        <v>-477607.96786915162</v>
      </c>
      <c r="G1934" s="1243">
        <f>SUM(G1929:G1933)</f>
        <v>52334508.544047862</v>
      </c>
      <c r="H1934" s="1243"/>
      <c r="I1934" s="1243">
        <f>SUM(I1929:I1933)</f>
        <v>-7074317.4916597567</v>
      </c>
      <c r="J1934" s="369"/>
      <c r="K1934" s="1243">
        <f>SUM(K1929:K1933)</f>
        <v>99979.646999999983</v>
      </c>
      <c r="L1934" s="1243">
        <f>SUM(L1929:L1933)</f>
        <v>0</v>
      </c>
      <c r="M1934" s="1243">
        <f>SUM(M1929:M1933)</f>
        <v>-477607.96786915162</v>
      </c>
      <c r="N1934" s="1243">
        <f>SUM(N1929:N1933)</f>
        <v>-208480.41483823882</v>
      </c>
      <c r="O1934" s="1243">
        <f>SUM(O1929:O1933)</f>
        <v>-7660426.2273671478</v>
      </c>
    </row>
    <row r="1935" spans="1:15">
      <c r="A1935" s="361"/>
      <c r="D1935" s="1243"/>
      <c r="E1935" s="1243"/>
      <c r="F1935" s="1243"/>
      <c r="G1935" s="1243"/>
      <c r="H1935" s="1243"/>
      <c r="I1935" s="1243"/>
      <c r="J1935" s="369"/>
      <c r="K1935" s="1243"/>
      <c r="L1935" s="1243"/>
      <c r="M1935" s="1243"/>
      <c r="N1935" s="1243"/>
      <c r="O1935" s="1243"/>
    </row>
    <row r="1936" spans="1:15" ht="13.5" thickBot="1">
      <c r="A1936" s="361">
        <f>A1934+1</f>
        <v>30</v>
      </c>
      <c r="C1936" s="358" t="s">
        <v>447</v>
      </c>
      <c r="D1936" s="1248">
        <f>D1925+D1934</f>
        <v>795815947.96531999</v>
      </c>
      <c r="E1936" s="1248">
        <f>E1925+E1934</f>
        <v>6053971.7388111111</v>
      </c>
      <c r="F1936" s="1248">
        <f>F1925+F1934</f>
        <v>-760769.55</v>
      </c>
      <c r="G1936" s="1248">
        <f>G1925+G1934</f>
        <v>801109150.15413117</v>
      </c>
      <c r="H1936" s="1243"/>
      <c r="I1936" s="1248">
        <f>I1925+I1934</f>
        <v>168052864.34945041</v>
      </c>
      <c r="J1936" s="369"/>
      <c r="K1936" s="1248">
        <f>K1925+K1934</f>
        <v>1894920.7690852259</v>
      </c>
      <c r="L1936" s="1248">
        <f>L1925+L1934</f>
        <v>0</v>
      </c>
      <c r="M1936" s="1248">
        <f>M1925+M1934</f>
        <v>-760769.55</v>
      </c>
      <c r="N1936" s="1248">
        <f>N1925+N1934</f>
        <v>-309716.44999999995</v>
      </c>
      <c r="O1936" s="1248">
        <f>O1925+O1934</f>
        <v>168877299.11853558</v>
      </c>
    </row>
    <row r="1937" spans="1:16" ht="13.5" thickTop="1"/>
    <row r="1939" spans="1:16" s="291" customFormat="1">
      <c r="A1939" s="1308" t="str">
        <f>$A$1</f>
        <v>COLUMBIA GAS OF KENTUCKY, INC.</v>
      </c>
      <c r="B1939" s="1308"/>
      <c r="C1939" s="1308"/>
      <c r="D1939" s="1308"/>
      <c r="E1939" s="1308"/>
      <c r="F1939" s="1308"/>
      <c r="G1939" s="1308"/>
      <c r="H1939" s="1308"/>
      <c r="I1939" s="1308"/>
      <c r="J1939" s="1308"/>
      <c r="K1939" s="1308"/>
      <c r="L1939" s="1308"/>
      <c r="M1939" s="1308"/>
      <c r="N1939" s="1308"/>
      <c r="O1939" s="1308"/>
    </row>
    <row r="1940" spans="1:16" s="291" customFormat="1">
      <c r="A1940" s="1308" t="str">
        <f>$A$2</f>
        <v>CASE NO. 2024 - 00092</v>
      </c>
      <c r="B1940" s="1308"/>
      <c r="C1940" s="1308"/>
      <c r="D1940" s="1308"/>
      <c r="E1940" s="1308"/>
      <c r="F1940" s="1308"/>
      <c r="G1940" s="1308"/>
      <c r="H1940" s="1308"/>
      <c r="I1940" s="1308"/>
      <c r="J1940" s="1308"/>
      <c r="K1940" s="1308"/>
      <c r="L1940" s="1308"/>
      <c r="M1940" s="1308"/>
      <c r="N1940" s="1308"/>
      <c r="O1940" s="1308"/>
    </row>
    <row r="1941" spans="1:16" s="291" customFormat="1">
      <c r="A1941" s="1308" t="str">
        <f>$A$3</f>
        <v>DETAIL OF ACTUAL &amp; FORECASTED PLANT, ACCUMULATED RESERVE &amp; DEPRECIATION EXPENSE</v>
      </c>
      <c r="B1941" s="1308"/>
      <c r="C1941" s="1308"/>
      <c r="D1941" s="1308"/>
      <c r="E1941" s="1308"/>
      <c r="F1941" s="1308"/>
      <c r="G1941" s="1308"/>
      <c r="H1941" s="1308"/>
      <c r="I1941" s="1308"/>
      <c r="J1941" s="1308"/>
      <c r="K1941" s="1308"/>
      <c r="L1941" s="1308"/>
      <c r="M1941" s="1308"/>
      <c r="N1941" s="1308"/>
      <c r="O1941" s="1308"/>
      <c r="P1941" s="357"/>
    </row>
    <row r="1942" spans="1:16" s="291" customFormat="1">
      <c r="A1942" s="1308" t="str">
        <f>$A$4</f>
        <v>FROM JANUARY 01, 2023 THROUGH DECEMBER 31, 2025</v>
      </c>
      <c r="B1942" s="1308"/>
      <c r="C1942" s="1308"/>
      <c r="D1942" s="1308"/>
      <c r="E1942" s="1308"/>
      <c r="F1942" s="1308"/>
      <c r="G1942" s="1308"/>
      <c r="H1942" s="1308"/>
      <c r="I1942" s="1308"/>
      <c r="J1942" s="1308"/>
      <c r="K1942" s="1308"/>
      <c r="L1942" s="1308"/>
      <c r="M1942" s="1308"/>
      <c r="N1942" s="1308"/>
      <c r="O1942" s="1308"/>
    </row>
    <row r="1943" spans="1:16" s="291" customFormat="1">
      <c r="B1943" s="293"/>
      <c r="P1943" s="312"/>
    </row>
    <row r="1944" spans="1:16" s="291" customFormat="1">
      <c r="A1944" s="297" t="str">
        <f>$A$6</f>
        <v xml:space="preserve">DATA: _X_ BASE PERIOD _X_ FORECASTED PERIOD     </v>
      </c>
      <c r="B1944" s="293"/>
      <c r="O1944" s="312" t="str">
        <f>$O$6</f>
        <v>WPB-2.1.C</v>
      </c>
      <c r="P1944" s="312"/>
    </row>
    <row r="1945" spans="1:16" s="291" customFormat="1">
      <c r="A1945" s="297" t="str">
        <f>$A$7</f>
        <v>TYPE OF FILING:___X___ORIGINAL______UPDATED</v>
      </c>
      <c r="B1945" s="293"/>
      <c r="O1945" s="312" t="s">
        <v>2188</v>
      </c>
      <c r="P1945" s="312"/>
    </row>
    <row r="1946" spans="1:16" s="291" customFormat="1">
      <c r="A1946" s="297" t="str">
        <f>$A$8</f>
        <v>WORKPAPER REFERENCE NO(S).:</v>
      </c>
      <c r="B1946" s="293"/>
      <c r="O1946" s="312" t="str">
        <f>$O$8</f>
        <v>WITNESS: GORE</v>
      </c>
    </row>
    <row r="1947" spans="1:16">
      <c r="A1947" s="918"/>
      <c r="B1947" s="919"/>
      <c r="C1947" s="918"/>
      <c r="D1947" s="918"/>
      <c r="E1947" s="918"/>
      <c r="F1947" s="918"/>
      <c r="G1947" s="918"/>
      <c r="H1947" s="918"/>
      <c r="I1947" s="918"/>
      <c r="J1947" s="918"/>
      <c r="K1947" s="918"/>
      <c r="L1947" s="918"/>
      <c r="M1947" s="918"/>
      <c r="N1947" s="918"/>
      <c r="O1947" s="920"/>
    </row>
    <row r="1948" spans="1:16">
      <c r="D1948" s="1311" t="s">
        <v>1768</v>
      </c>
      <c r="E1948" s="1311"/>
      <c r="F1948" s="1311"/>
      <c r="G1948" s="1311"/>
      <c r="I1948" s="1311" t="s">
        <v>1769</v>
      </c>
      <c r="J1948" s="1311"/>
      <c r="K1948" s="1311"/>
      <c r="L1948" s="1311"/>
      <c r="M1948" s="1311"/>
      <c r="N1948" s="1311"/>
      <c r="O1948" s="1311"/>
    </row>
    <row r="1949" spans="1:16">
      <c r="D1949" s="360">
        <f>G1894+1</f>
        <v>45444</v>
      </c>
      <c r="G1949" s="360">
        <f>D1949+29</f>
        <v>45473</v>
      </c>
      <c r="I1949" s="360">
        <f>D1949</f>
        <v>45444</v>
      </c>
      <c r="O1949" s="360">
        <f>G1949</f>
        <v>45473</v>
      </c>
    </row>
    <row r="1950" spans="1:16">
      <c r="D1950" s="361" t="s">
        <v>1757</v>
      </c>
      <c r="G1950" s="361" t="s">
        <v>1757</v>
      </c>
      <c r="I1950" s="361" t="s">
        <v>1758</v>
      </c>
      <c r="J1950" s="361" t="s">
        <v>488</v>
      </c>
      <c r="L1950" s="361" t="s">
        <v>1758</v>
      </c>
      <c r="O1950" s="361" t="s">
        <v>1758</v>
      </c>
    </row>
    <row r="1951" spans="1:16">
      <c r="A1951" s="361" t="s">
        <v>1770</v>
      </c>
      <c r="B1951" s="361" t="s">
        <v>368</v>
      </c>
      <c r="C1951" s="361"/>
      <c r="D1951" s="361" t="s">
        <v>437</v>
      </c>
      <c r="G1951" s="361" t="s">
        <v>439</v>
      </c>
      <c r="I1951" s="361" t="s">
        <v>437</v>
      </c>
      <c r="J1951" s="361" t="s">
        <v>1771</v>
      </c>
      <c r="K1951" s="361" t="s">
        <v>1772</v>
      </c>
      <c r="L1951" s="361" t="s">
        <v>1759</v>
      </c>
      <c r="N1951" s="361" t="s">
        <v>1760</v>
      </c>
      <c r="O1951" s="361" t="s">
        <v>439</v>
      </c>
    </row>
    <row r="1952" spans="1:16">
      <c r="A1952" s="364" t="s">
        <v>316</v>
      </c>
      <c r="B1952" s="364" t="s">
        <v>316</v>
      </c>
      <c r="C1952" s="364" t="s">
        <v>451</v>
      </c>
      <c r="D1952" s="364" t="s">
        <v>441</v>
      </c>
      <c r="E1952" s="364" t="s">
        <v>442</v>
      </c>
      <c r="F1952" s="364" t="s">
        <v>443</v>
      </c>
      <c r="G1952" s="364" t="s">
        <v>441</v>
      </c>
      <c r="I1952" s="364" t="s">
        <v>441</v>
      </c>
      <c r="J1952" s="364" t="s">
        <v>1773</v>
      </c>
      <c r="K1952" s="364" t="s">
        <v>1771</v>
      </c>
      <c r="L1952" s="364" t="s">
        <v>355</v>
      </c>
      <c r="M1952" s="364" t="s">
        <v>443</v>
      </c>
      <c r="N1952" s="364" t="s">
        <v>1763</v>
      </c>
      <c r="O1952" s="364" t="s">
        <v>441</v>
      </c>
    </row>
    <row r="1953" spans="1:15">
      <c r="D1953" s="361" t="s">
        <v>532</v>
      </c>
      <c r="E1953" s="361" t="s">
        <v>541</v>
      </c>
      <c r="F1953" s="361" t="s">
        <v>542</v>
      </c>
      <c r="G1953" s="361" t="s">
        <v>1764</v>
      </c>
      <c r="I1953" s="334" t="str">
        <f>"(5)"</f>
        <v>(5)</v>
      </c>
      <c r="J1953" s="334" t="str">
        <f>"(6)"</f>
        <v>(6)</v>
      </c>
      <c r="K1953" s="334" t="str">
        <f>"(7)=((1+4)/2*6/12))"</f>
        <v>(7)=((1+4)/2*6/12))</v>
      </c>
      <c r="L1953" s="334" t="str">
        <f>"(8)"</f>
        <v>(8)</v>
      </c>
      <c r="M1953" s="334" t="str">
        <f>"(9)"</f>
        <v>(9)</v>
      </c>
      <c r="N1953" s="334" t="str">
        <f>"(10)"</f>
        <v>(10)</v>
      </c>
      <c r="O1953" s="334" t="str">
        <f>"(11=5+7+8+9+10)"</f>
        <v>(11=5+7+8+9+10)</v>
      </c>
    </row>
    <row r="1954" spans="1:15">
      <c r="D1954" s="361" t="s">
        <v>320</v>
      </c>
      <c r="E1954" s="361" t="s">
        <v>320</v>
      </c>
      <c r="F1954" s="361" t="s">
        <v>320</v>
      </c>
      <c r="G1954" s="361" t="s">
        <v>320</v>
      </c>
      <c r="I1954" s="334" t="s">
        <v>320</v>
      </c>
      <c r="J1954" s="334" t="s">
        <v>529</v>
      </c>
      <c r="K1954" s="334" t="s">
        <v>320</v>
      </c>
      <c r="L1954" s="334" t="s">
        <v>320</v>
      </c>
      <c r="M1954" s="334" t="s">
        <v>320</v>
      </c>
      <c r="N1954" s="334" t="s">
        <v>320</v>
      </c>
      <c r="O1954" s="334" t="s">
        <v>320</v>
      </c>
    </row>
    <row r="1955" spans="1:15">
      <c r="A1955" s="361">
        <v>1</v>
      </c>
      <c r="B1955" s="362" t="s">
        <v>373</v>
      </c>
      <c r="D1955" s="361"/>
      <c r="E1955" s="361"/>
      <c r="F1955" s="361"/>
      <c r="G1955" s="361"/>
      <c r="I1955" s="334"/>
      <c r="J1955" s="334"/>
      <c r="K1955" s="334"/>
      <c r="L1955" s="334"/>
      <c r="M1955" s="334"/>
      <c r="N1955" s="334"/>
      <c r="O1955" s="334"/>
    </row>
    <row r="1956" spans="1:15">
      <c r="A1956" s="361">
        <f>A1955+1</f>
        <v>2</v>
      </c>
      <c r="B1956" s="365">
        <v>301</v>
      </c>
      <c r="C1956" s="358" t="s">
        <v>374</v>
      </c>
      <c r="D1956" s="1243">
        <f t="shared" ref="D1956:D1961" si="347">G1842</f>
        <v>521.20000000000005</v>
      </c>
      <c r="E1956" s="1243">
        <v>0</v>
      </c>
      <c r="F1956" s="1243">
        <v>0</v>
      </c>
      <c r="G1956" s="1243">
        <f t="shared" ref="G1956:G1961" si="348">SUM(D1956:F1956)</f>
        <v>521.20000000000005</v>
      </c>
      <c r="H1956" s="1243"/>
      <c r="I1956" s="1243">
        <f t="shared" ref="I1956:I1961" si="349">O1842</f>
        <v>0</v>
      </c>
      <c r="J1956" s="375" t="str">
        <f>$J$1614</f>
        <v>Amort.</v>
      </c>
      <c r="K1956" s="1243">
        <v>0</v>
      </c>
      <c r="L1956" s="1243">
        <v>0</v>
      </c>
      <c r="M1956" s="1243">
        <f t="shared" ref="M1956:M1961" si="350">F1956</f>
        <v>0</v>
      </c>
      <c r="N1956" s="1243">
        <v>0</v>
      </c>
      <c r="O1956" s="1243">
        <f t="shared" ref="O1956:O1961" si="351">I1956+K1956+L1956+M1956+N1956</f>
        <v>0</v>
      </c>
    </row>
    <row r="1957" spans="1:15">
      <c r="A1957" s="361">
        <f t="shared" ref="A1957:A1962" si="352">A1956+1</f>
        <v>3</v>
      </c>
      <c r="B1957" s="365">
        <v>303</v>
      </c>
      <c r="C1957" s="358" t="s">
        <v>375</v>
      </c>
      <c r="D1957" s="1243">
        <f t="shared" si="347"/>
        <v>96334.51</v>
      </c>
      <c r="E1957" s="1243">
        <v>0</v>
      </c>
      <c r="F1957" s="1243">
        <v>0</v>
      </c>
      <c r="G1957" s="1243">
        <f t="shared" si="348"/>
        <v>96334.51</v>
      </c>
      <c r="H1957" s="1243"/>
      <c r="I1957" s="1243">
        <f t="shared" si="349"/>
        <v>80200.359027777842</v>
      </c>
      <c r="J1957" s="375" t="str">
        <f>$J$1615</f>
        <v>Amort.</v>
      </c>
      <c r="K1957" s="1243">
        <f>+'WPB-2.1.E Intangibles'!J47</f>
        <v>267.59780555555557</v>
      </c>
      <c r="L1957" s="1243">
        <v>0</v>
      </c>
      <c r="M1957" s="1243">
        <f t="shared" si="350"/>
        <v>0</v>
      </c>
      <c r="N1957" s="1243">
        <v>0</v>
      </c>
      <c r="O1957" s="1243">
        <f t="shared" si="351"/>
        <v>80467.956833333403</v>
      </c>
    </row>
    <row r="1958" spans="1:15">
      <c r="A1958" s="361">
        <f t="shared" si="352"/>
        <v>4</v>
      </c>
      <c r="B1958" s="365">
        <v>303.10000000000002</v>
      </c>
      <c r="C1958" s="358" t="s">
        <v>376</v>
      </c>
      <c r="D1958" s="1243">
        <f t="shared" si="347"/>
        <v>943.27</v>
      </c>
      <c r="E1958" s="1243">
        <v>0</v>
      </c>
      <c r="F1958" s="1243">
        <v>0</v>
      </c>
      <c r="G1958" s="1243">
        <f t="shared" si="348"/>
        <v>943.27</v>
      </c>
      <c r="H1958" s="1243"/>
      <c r="I1958" s="1243">
        <f t="shared" si="349"/>
        <v>318.35000000000008</v>
      </c>
      <c r="J1958" s="375" t="str">
        <f>$J$1616</f>
        <v>Amort.</v>
      </c>
      <c r="K1958" s="1243">
        <v>0</v>
      </c>
      <c r="L1958" s="1243">
        <v>0</v>
      </c>
      <c r="M1958" s="1243">
        <f t="shared" si="350"/>
        <v>0</v>
      </c>
      <c r="N1958" s="1243">
        <v>0</v>
      </c>
      <c r="O1958" s="1243">
        <f t="shared" si="351"/>
        <v>318.35000000000008</v>
      </c>
    </row>
    <row r="1959" spans="1:15">
      <c r="A1959" s="361">
        <f t="shared" si="352"/>
        <v>5</v>
      </c>
      <c r="B1959" s="365">
        <v>303.2</v>
      </c>
      <c r="C1959" s="358" t="s">
        <v>377</v>
      </c>
      <c r="D1959" s="1243">
        <f t="shared" si="347"/>
        <v>0</v>
      </c>
      <c r="E1959" s="1243">
        <v>0</v>
      </c>
      <c r="F1959" s="1243">
        <v>0</v>
      </c>
      <c r="G1959" s="1243">
        <f t="shared" si="348"/>
        <v>0</v>
      </c>
      <c r="H1959" s="1243"/>
      <c r="I1959" s="1243">
        <f t="shared" si="349"/>
        <v>0</v>
      </c>
      <c r="J1959" s="375" t="str">
        <f>$J$1617</f>
        <v>Amort.</v>
      </c>
      <c r="K1959" s="1243">
        <v>0</v>
      </c>
      <c r="L1959" s="1243">
        <v>0</v>
      </c>
      <c r="M1959" s="1243">
        <f t="shared" si="350"/>
        <v>0</v>
      </c>
      <c r="N1959" s="1243">
        <v>0</v>
      </c>
      <c r="O1959" s="1243">
        <f t="shared" si="351"/>
        <v>0</v>
      </c>
    </row>
    <row r="1960" spans="1:15">
      <c r="A1960" s="361">
        <f t="shared" si="352"/>
        <v>6</v>
      </c>
      <c r="B1960" s="365">
        <v>303.3</v>
      </c>
      <c r="C1960" s="358" t="s">
        <v>378</v>
      </c>
      <c r="D1960" s="1243">
        <f t="shared" si="347"/>
        <v>11399998.650000002</v>
      </c>
      <c r="E1960" s="1243">
        <f>+'WPB-2.1.E Intangibles'!J17</f>
        <v>574250</v>
      </c>
      <c r="F1960" s="1243">
        <f>-'WPB-2.1.E Intangibles'!J35</f>
        <v>-208391.25999999998</v>
      </c>
      <c r="G1960" s="1243">
        <f t="shared" si="348"/>
        <v>11765857.390000002</v>
      </c>
      <c r="H1960" s="1243"/>
      <c r="I1960" s="1243">
        <f t="shared" si="349"/>
        <v>5545659.3366666697</v>
      </c>
      <c r="J1960" s="375" t="str">
        <f>$J$1618</f>
        <v>Amort.</v>
      </c>
      <c r="K1960" s="1243">
        <f>+'WPB-2.1.E Intangibles'!J48</f>
        <v>195156.59900000016</v>
      </c>
      <c r="L1960" s="1243">
        <v>0</v>
      </c>
      <c r="M1960" s="1243">
        <f t="shared" si="350"/>
        <v>-208391.25999999998</v>
      </c>
      <c r="N1960" s="1243">
        <v>0</v>
      </c>
      <c r="O1960" s="1243">
        <f t="shared" si="351"/>
        <v>5532424.6756666703</v>
      </c>
    </row>
    <row r="1961" spans="1:15">
      <c r="A1961" s="361">
        <f t="shared" si="352"/>
        <v>7</v>
      </c>
      <c r="B1961" s="365">
        <v>303.99</v>
      </c>
      <c r="C1961" s="358" t="s">
        <v>1129</v>
      </c>
      <c r="D1961" s="1244">
        <f t="shared" si="347"/>
        <v>2068715.1841308917</v>
      </c>
      <c r="E1961" s="1244">
        <f>+'WPB-2.1.E Intangibles'!J21</f>
        <v>51358.467174310499</v>
      </c>
      <c r="F1961" s="1244">
        <f>-'WPB-2.1.E Intangibles'!J36</f>
        <v>-14359.44</v>
      </c>
      <c r="G1961" s="1244">
        <f t="shared" si="348"/>
        <v>2105714.2113052025</v>
      </c>
      <c r="H1961" s="1243"/>
      <c r="I1961" s="1244">
        <f t="shared" si="349"/>
        <v>1114887.011841126</v>
      </c>
      <c r="J1961" s="375" t="str">
        <f>$J$1619</f>
        <v>Amort.</v>
      </c>
      <c r="K1961" s="1244">
        <f>+'WPB-2.1.E Intangibles'!J49</f>
        <v>35227.417996215503</v>
      </c>
      <c r="L1961" s="1244">
        <v>0</v>
      </c>
      <c r="M1961" s="1244">
        <f t="shared" si="350"/>
        <v>-14359.44</v>
      </c>
      <c r="N1961" s="1244">
        <v>0</v>
      </c>
      <c r="O1961" s="1244">
        <f t="shared" si="351"/>
        <v>1135754.9898373415</v>
      </c>
    </row>
    <row r="1962" spans="1:15">
      <c r="A1962" s="361">
        <f t="shared" si="352"/>
        <v>8</v>
      </c>
      <c r="B1962" s="367"/>
      <c r="C1962" s="358" t="s">
        <v>379</v>
      </c>
      <c r="D1962" s="1243">
        <f>SUM(D1956:D1961)</f>
        <v>13566512.814130895</v>
      </c>
      <c r="E1962" s="1243">
        <f>SUM(E1956:E1961)</f>
        <v>625608.46717431047</v>
      </c>
      <c r="F1962" s="1243">
        <f>SUM(F1956:F1961)</f>
        <v>-222750.69999999998</v>
      </c>
      <c r="G1962" s="1243">
        <f>SUM(G1956:G1961)</f>
        <v>13969370.581305206</v>
      </c>
      <c r="H1962" s="1243"/>
      <c r="I1962" s="1243">
        <f>SUM(I1956:I1961)</f>
        <v>6741065.0575355729</v>
      </c>
      <c r="J1962" s="369"/>
      <c r="K1962" s="1243">
        <f>SUM(K1956:K1961)</f>
        <v>230651.61480177124</v>
      </c>
      <c r="L1962" s="1243">
        <f>SUM(L1956:L1961)</f>
        <v>0</v>
      </c>
      <c r="M1962" s="1243">
        <f>SUM(M1956:M1961)</f>
        <v>-222750.69999999998</v>
      </c>
      <c r="N1962" s="1243">
        <f>SUM(N1956:N1961)</f>
        <v>0</v>
      </c>
      <c r="O1962" s="1243">
        <f>SUM(O1956:O1961)</f>
        <v>6748965.9723373447</v>
      </c>
    </row>
    <row r="1963" spans="1:15">
      <c r="A1963" s="361"/>
      <c r="B1963" s="367"/>
      <c r="C1963" s="368"/>
      <c r="D1963" s="1243"/>
      <c r="E1963" s="1243"/>
      <c r="F1963" s="1243"/>
      <c r="G1963" s="1243"/>
      <c r="H1963" s="1243"/>
      <c r="I1963" s="1243"/>
      <c r="J1963" s="369"/>
      <c r="K1963" s="1243"/>
      <c r="L1963" s="1243"/>
      <c r="M1963" s="1243"/>
      <c r="N1963" s="1243"/>
      <c r="O1963" s="1243"/>
    </row>
    <row r="1964" spans="1:15">
      <c r="A1964" s="361">
        <f>A1962+1</f>
        <v>9</v>
      </c>
      <c r="B1964" s="362" t="s">
        <v>1600</v>
      </c>
      <c r="C1964" s="368"/>
      <c r="D1964" s="1243"/>
      <c r="E1964" s="1243"/>
      <c r="F1964" s="1243"/>
      <c r="G1964" s="1243"/>
      <c r="H1964" s="1243"/>
      <c r="I1964" s="1243"/>
      <c r="J1964" s="369"/>
      <c r="K1964" s="1243"/>
      <c r="L1964" s="1243"/>
      <c r="M1964" s="1243"/>
      <c r="N1964" s="1243"/>
      <c r="O1964" s="1243"/>
    </row>
    <row r="1965" spans="1:15">
      <c r="A1965" s="361">
        <f t="shared" ref="A1965:A1995" si="353">A1964+1</f>
        <v>10</v>
      </c>
      <c r="B1965" s="365">
        <v>374.1</v>
      </c>
      <c r="C1965" s="358" t="s">
        <v>382</v>
      </c>
      <c r="D1965" s="1243">
        <f t="shared" ref="D1965:D1994" si="354">G1851</f>
        <v>205.4</v>
      </c>
      <c r="E1965" s="1243">
        <f>+'INPUT - B Schedule PLANT'!CT15</f>
        <v>0</v>
      </c>
      <c r="F1965" s="1243">
        <f>+'INPUT - B Schedule PLANT'!CU15</f>
        <v>0</v>
      </c>
      <c r="G1965" s="1243">
        <f>SUM(D1965:F1965)</f>
        <v>205.4</v>
      </c>
      <c r="H1965" s="1243"/>
      <c r="I1965" s="1243">
        <f t="shared" ref="I1965:I1994" si="355">O1851</f>
        <v>0</v>
      </c>
      <c r="J1965" s="375" t="str">
        <f>$J$1623</f>
        <v>Non-Dep.</v>
      </c>
      <c r="K1965" s="1243">
        <v>0</v>
      </c>
      <c r="L1965" s="1243">
        <v>0</v>
      </c>
      <c r="M1965" s="1243">
        <f t="shared" ref="M1965:M1994" si="356">F1965</f>
        <v>0</v>
      </c>
      <c r="N1965" s="1243">
        <v>0</v>
      </c>
      <c r="O1965" s="1243">
        <f t="shared" ref="O1965:O1994" si="357">I1965+K1965+L1965+M1965+N1965</f>
        <v>0</v>
      </c>
    </row>
    <row r="1966" spans="1:15">
      <c r="A1966" s="361">
        <f t="shared" si="353"/>
        <v>11</v>
      </c>
      <c r="B1966" s="365">
        <v>374.2</v>
      </c>
      <c r="C1966" s="358" t="s">
        <v>383</v>
      </c>
      <c r="D1966" s="1243">
        <f t="shared" si="354"/>
        <v>876986.66</v>
      </c>
      <c r="E1966" s="1243">
        <f>+'INPUT - B Schedule PLANT'!CT16</f>
        <v>0</v>
      </c>
      <c r="F1966" s="1243">
        <f>+'INPUT - B Schedule PLANT'!CU16</f>
        <v>0</v>
      </c>
      <c r="G1966" s="1243">
        <f t="shared" ref="G1966:G1994" si="358">SUM(D1966:F1966)</f>
        <v>876986.66</v>
      </c>
      <c r="H1966" s="1243"/>
      <c r="I1966" s="1243">
        <f t="shared" si="355"/>
        <v>-522.25</v>
      </c>
      <c r="J1966" s="375" t="str">
        <f>$J$1624</f>
        <v>Non-Dep.</v>
      </c>
      <c r="K1966" s="1243">
        <v>0</v>
      </c>
      <c r="L1966" s="1243">
        <v>0</v>
      </c>
      <c r="M1966" s="1243">
        <f t="shared" si="356"/>
        <v>0</v>
      </c>
      <c r="N1966" s="1243">
        <v>0</v>
      </c>
      <c r="O1966" s="1243">
        <f t="shared" si="357"/>
        <v>-522.25</v>
      </c>
    </row>
    <row r="1967" spans="1:15">
      <c r="A1967" s="361">
        <f t="shared" si="353"/>
        <v>12</v>
      </c>
      <c r="B1967" s="365">
        <v>374.4</v>
      </c>
      <c r="C1967" s="358" t="s">
        <v>384</v>
      </c>
      <c r="D1967" s="1243">
        <f t="shared" si="354"/>
        <v>2979476.5400000005</v>
      </c>
      <c r="E1967" s="1243">
        <f>+'INPUT - B Schedule PLANT'!CT17</f>
        <v>0.97</v>
      </c>
      <c r="F1967" s="1243">
        <f>+'INPUT - B Schedule PLANT'!CU17</f>
        <v>0</v>
      </c>
      <c r="G1967" s="1243">
        <f t="shared" si="358"/>
        <v>2979477.5100000007</v>
      </c>
      <c r="H1967" s="1243"/>
      <c r="I1967" s="1243">
        <f t="shared" si="355"/>
        <v>384601.92000000004</v>
      </c>
      <c r="J1967" s="376">
        <f>$J$1625</f>
        <v>1.2699999999999999E-2</v>
      </c>
      <c r="K1967" s="1243">
        <f t="shared" ref="K1967:K1973" si="359">ROUND((G1967+D1967)/2*J1967/12,0)</f>
        <v>3153</v>
      </c>
      <c r="L1967" s="1243">
        <v>0</v>
      </c>
      <c r="M1967" s="1243">
        <f t="shared" si="356"/>
        <v>0</v>
      </c>
      <c r="N1967" s="1243">
        <v>-7600.33</v>
      </c>
      <c r="O1967" s="1243">
        <f t="shared" si="357"/>
        <v>380154.59</v>
      </c>
    </row>
    <row r="1968" spans="1:15">
      <c r="A1968" s="361">
        <f t="shared" si="353"/>
        <v>13</v>
      </c>
      <c r="B1968" s="365">
        <v>374.5</v>
      </c>
      <c r="C1968" s="358" t="s">
        <v>385</v>
      </c>
      <c r="D1968" s="1243">
        <f t="shared" si="354"/>
        <v>2666577.16</v>
      </c>
      <c r="E1968" s="1243">
        <f>+'INPUT - B Schedule PLANT'!CT18</f>
        <v>0</v>
      </c>
      <c r="F1968" s="1243">
        <f>+'INPUT - B Schedule PLANT'!CU18</f>
        <v>0</v>
      </c>
      <c r="G1968" s="1243">
        <f t="shared" si="358"/>
        <v>2666577.16</v>
      </c>
      <c r="H1968" s="1243"/>
      <c r="I1968" s="1243">
        <f t="shared" si="355"/>
        <v>1168520.1900000013</v>
      </c>
      <c r="J1968" s="376">
        <f>$J$1626</f>
        <v>1.0999999999999999E-2</v>
      </c>
      <c r="K1968" s="1243">
        <f t="shared" si="359"/>
        <v>2444</v>
      </c>
      <c r="L1968" s="1243">
        <v>0</v>
      </c>
      <c r="M1968" s="1243">
        <f t="shared" si="356"/>
        <v>0</v>
      </c>
      <c r="N1968" s="1243">
        <v>0</v>
      </c>
      <c r="O1968" s="1243">
        <f t="shared" si="357"/>
        <v>1170964.1900000013</v>
      </c>
    </row>
    <row r="1969" spans="1:15">
      <c r="A1969" s="361">
        <f t="shared" si="353"/>
        <v>14</v>
      </c>
      <c r="B1969" s="365">
        <v>375.2</v>
      </c>
      <c r="C1969" s="358" t="s">
        <v>386</v>
      </c>
      <c r="D1969" s="1243">
        <f t="shared" si="354"/>
        <v>2124.98</v>
      </c>
      <c r="E1969" s="1243">
        <f>+'INPUT - B Schedule PLANT'!CT19</f>
        <v>0</v>
      </c>
      <c r="F1969" s="1243">
        <f>+'INPUT - B Schedule PLANT'!CU19</f>
        <v>0</v>
      </c>
      <c r="G1969" s="1243">
        <f t="shared" si="358"/>
        <v>2124.98</v>
      </c>
      <c r="H1969" s="1243"/>
      <c r="I1969" s="1243">
        <f t="shared" si="355"/>
        <v>2075.3000000000002</v>
      </c>
      <c r="J1969" s="376">
        <f>$J$1627</f>
        <v>2.3199999999999998E-2</v>
      </c>
      <c r="K1969" s="1243">
        <f t="shared" si="359"/>
        <v>4</v>
      </c>
      <c r="L1969" s="1243">
        <v>0</v>
      </c>
      <c r="M1969" s="1243">
        <f t="shared" si="356"/>
        <v>0</v>
      </c>
      <c r="N1969" s="1243">
        <v>0</v>
      </c>
      <c r="O1969" s="1243">
        <f t="shared" si="357"/>
        <v>2079.3000000000002</v>
      </c>
    </row>
    <row r="1970" spans="1:15">
      <c r="A1970" s="361">
        <f t="shared" si="353"/>
        <v>15</v>
      </c>
      <c r="B1970" s="365">
        <v>375.3</v>
      </c>
      <c r="C1970" s="358" t="s">
        <v>387</v>
      </c>
      <c r="D1970" s="1243">
        <f t="shared" si="354"/>
        <v>0</v>
      </c>
      <c r="E1970" s="1243">
        <f>+'INPUT - B Schedule PLANT'!CT20</f>
        <v>0</v>
      </c>
      <c r="F1970" s="1243">
        <f>+'INPUT - B Schedule PLANT'!CU20</f>
        <v>0</v>
      </c>
      <c r="G1970" s="1243">
        <f t="shared" si="358"/>
        <v>0</v>
      </c>
      <c r="H1970" s="1243"/>
      <c r="I1970" s="1243">
        <f t="shared" si="355"/>
        <v>-77.66</v>
      </c>
      <c r="J1970" s="376">
        <f>$J$1628</f>
        <v>2.3199999999999998E-2</v>
      </c>
      <c r="K1970" s="1243">
        <f t="shared" si="359"/>
        <v>0</v>
      </c>
      <c r="L1970" s="1243">
        <v>0</v>
      </c>
      <c r="M1970" s="1243">
        <f t="shared" si="356"/>
        <v>0</v>
      </c>
      <c r="N1970" s="1243">
        <v>0</v>
      </c>
      <c r="O1970" s="1243">
        <f t="shared" si="357"/>
        <v>-77.66</v>
      </c>
    </row>
    <row r="1971" spans="1:15">
      <c r="A1971" s="361">
        <f t="shared" si="353"/>
        <v>16</v>
      </c>
      <c r="B1971" s="365">
        <v>375.4</v>
      </c>
      <c r="C1971" s="358" t="s">
        <v>388</v>
      </c>
      <c r="D1971" s="1243">
        <f t="shared" si="354"/>
        <v>3239248.8899999992</v>
      </c>
      <c r="E1971" s="1243">
        <f>+'INPUT - B Schedule PLANT'!CT21</f>
        <v>22776.36</v>
      </c>
      <c r="F1971" s="1243">
        <f>+'INPUT - B Schedule PLANT'!CU21</f>
        <v>0</v>
      </c>
      <c r="G1971" s="1243">
        <f t="shared" si="358"/>
        <v>3262025.2499999991</v>
      </c>
      <c r="H1971" s="1243"/>
      <c r="I1971" s="1243">
        <f t="shared" si="355"/>
        <v>470319.43000000011</v>
      </c>
      <c r="J1971" s="376">
        <f>$J$1629</f>
        <v>2.3199999999999998E-2</v>
      </c>
      <c r="K1971" s="1243">
        <f t="shared" si="359"/>
        <v>6285</v>
      </c>
      <c r="L1971" s="1243">
        <v>0</v>
      </c>
      <c r="M1971" s="1243">
        <f t="shared" si="356"/>
        <v>0</v>
      </c>
      <c r="N1971" s="1243">
        <v>0</v>
      </c>
      <c r="O1971" s="1243">
        <f t="shared" si="357"/>
        <v>476604.43000000011</v>
      </c>
    </row>
    <row r="1972" spans="1:15">
      <c r="A1972" s="361">
        <f t="shared" si="353"/>
        <v>17</v>
      </c>
      <c r="B1972" s="365">
        <v>375.6</v>
      </c>
      <c r="C1972" s="358" t="s">
        <v>389</v>
      </c>
      <c r="D1972" s="1243">
        <f t="shared" si="354"/>
        <v>0</v>
      </c>
      <c r="E1972" s="1243">
        <f>+'INPUT - B Schedule PLANT'!CT22</f>
        <v>0</v>
      </c>
      <c r="F1972" s="1243">
        <f>+'INPUT - B Schedule PLANT'!CU22</f>
        <v>0</v>
      </c>
      <c r="G1972" s="1243">
        <f t="shared" si="358"/>
        <v>0</v>
      </c>
      <c r="H1972" s="1243"/>
      <c r="I1972" s="1243">
        <f t="shared" si="355"/>
        <v>0.02</v>
      </c>
      <c r="J1972" s="376">
        <f>$J$1630</f>
        <v>2.3199999999999998E-2</v>
      </c>
      <c r="K1972" s="1243">
        <f t="shared" si="359"/>
        <v>0</v>
      </c>
      <c r="L1972" s="1243">
        <v>0</v>
      </c>
      <c r="M1972" s="1243">
        <f t="shared" si="356"/>
        <v>0</v>
      </c>
      <c r="N1972" s="1243">
        <v>0</v>
      </c>
      <c r="O1972" s="1243">
        <f t="shared" si="357"/>
        <v>0.02</v>
      </c>
    </row>
    <row r="1973" spans="1:15">
      <c r="A1973" s="361">
        <f t="shared" si="353"/>
        <v>18</v>
      </c>
      <c r="B1973" s="365">
        <v>375.7</v>
      </c>
      <c r="C1973" s="358" t="s">
        <v>390</v>
      </c>
      <c r="D1973" s="1243">
        <f t="shared" si="354"/>
        <v>9587092.5600000005</v>
      </c>
      <c r="E1973" s="1243">
        <f>+'INPUT - B Schedule PLANT'!CT23</f>
        <v>0</v>
      </c>
      <c r="F1973" s="1243">
        <f>+'INPUT - B Schedule PLANT'!CU23</f>
        <v>0</v>
      </c>
      <c r="G1973" s="1243">
        <f t="shared" si="358"/>
        <v>9587092.5600000005</v>
      </c>
      <c r="H1973" s="1243"/>
      <c r="I1973" s="1243">
        <f t="shared" si="355"/>
        <v>4781715.6999999983</v>
      </c>
      <c r="J1973" s="376">
        <f>$J$1631</f>
        <v>2.3199999999999998E-2</v>
      </c>
      <c r="K1973" s="1243">
        <f t="shared" si="359"/>
        <v>18535</v>
      </c>
      <c r="L1973" s="1243">
        <v>0</v>
      </c>
      <c r="M1973" s="1243">
        <f t="shared" si="356"/>
        <v>0</v>
      </c>
      <c r="N1973" s="1243">
        <v>0</v>
      </c>
      <c r="O1973" s="1243">
        <f t="shared" si="357"/>
        <v>4800250.6999999983</v>
      </c>
    </row>
    <row r="1974" spans="1:15">
      <c r="A1974" s="361">
        <f t="shared" si="353"/>
        <v>19</v>
      </c>
      <c r="B1974" s="365">
        <v>375.71</v>
      </c>
      <c r="C1974" s="358" t="s">
        <v>391</v>
      </c>
      <c r="D1974" s="1243">
        <f t="shared" si="354"/>
        <v>880994.59</v>
      </c>
      <c r="E1974" s="1243">
        <f>+'INPUT - B Schedule PLANT'!CT24</f>
        <v>0</v>
      </c>
      <c r="F1974" s="1243">
        <f>+'INPUT - B Schedule PLANT'!CU24</f>
        <v>0</v>
      </c>
      <c r="G1974" s="1243">
        <f t="shared" si="358"/>
        <v>880994.59</v>
      </c>
      <c r="H1974" s="1243"/>
      <c r="I1974" s="1243">
        <f t="shared" si="355"/>
        <v>782680.82000000053</v>
      </c>
      <c r="J1974" s="375" t="str">
        <f>$J$1632</f>
        <v>Amort.</v>
      </c>
      <c r="K1974" s="1243">
        <f>$K$1290</f>
        <v>4743.54</v>
      </c>
      <c r="L1974" s="1243">
        <v>0</v>
      </c>
      <c r="M1974" s="1243">
        <f t="shared" si="356"/>
        <v>0</v>
      </c>
      <c r="N1974" s="1243">
        <v>0</v>
      </c>
      <c r="O1974" s="1243">
        <f t="shared" si="357"/>
        <v>787424.36000000057</v>
      </c>
    </row>
    <row r="1975" spans="1:15">
      <c r="A1975" s="361">
        <f t="shared" si="353"/>
        <v>20</v>
      </c>
      <c r="B1975" s="365">
        <v>375.8</v>
      </c>
      <c r="C1975" s="358" t="s">
        <v>392</v>
      </c>
      <c r="D1975" s="1243">
        <f t="shared" si="354"/>
        <v>132125.04</v>
      </c>
      <c r="E1975" s="1243">
        <f>+'INPUT - B Schedule PLANT'!CT25</f>
        <v>0</v>
      </c>
      <c r="F1975" s="1243">
        <f>+'INPUT - B Schedule PLANT'!CU25</f>
        <v>0</v>
      </c>
      <c r="G1975" s="1243">
        <f t="shared" si="358"/>
        <v>132125.04</v>
      </c>
      <c r="H1975" s="1243"/>
      <c r="I1975" s="1243">
        <f t="shared" si="355"/>
        <v>12763.43</v>
      </c>
      <c r="J1975" s="376">
        <f>$J$1633</f>
        <v>2.3199999999999998E-2</v>
      </c>
      <c r="K1975" s="1243">
        <f t="shared" ref="K1975:K1994" si="360">ROUND((G1975+D1975)/2*J1975/12,0)</f>
        <v>255</v>
      </c>
      <c r="L1975" s="1243">
        <v>0</v>
      </c>
      <c r="M1975" s="1243">
        <f t="shared" si="356"/>
        <v>0</v>
      </c>
      <c r="N1975" s="1243">
        <v>0</v>
      </c>
      <c r="O1975" s="1243">
        <f t="shared" si="357"/>
        <v>13018.43</v>
      </c>
    </row>
    <row r="1976" spans="1:15">
      <c r="A1976" s="361">
        <f t="shared" si="353"/>
        <v>21</v>
      </c>
      <c r="B1976" s="365">
        <v>376</v>
      </c>
      <c r="C1976" s="358" t="s">
        <v>1621</v>
      </c>
      <c r="D1976" s="1243">
        <f t="shared" si="354"/>
        <v>413949651.31677526</v>
      </c>
      <c r="E1976" s="1243">
        <f>'WPB-2.1.D SMRP'!E809</f>
        <v>780556.6924144628</v>
      </c>
      <c r="F1976" s="1243">
        <f>'WPB-2.1.D SMRP'!F809</f>
        <v>-24970.992690836629</v>
      </c>
      <c r="G1976" s="1243">
        <f t="shared" si="358"/>
        <v>414705237.01649886</v>
      </c>
      <c r="H1976" s="1243"/>
      <c r="I1976" s="1243">
        <f t="shared" si="355"/>
        <v>82370342.94999446</v>
      </c>
      <c r="J1976" s="376">
        <f>$J$1634</f>
        <v>1.7399999999999999E-2</v>
      </c>
      <c r="K1976" s="1243">
        <f>'WPB-2.1.D SMRP'!K809</f>
        <v>600774.81099999999</v>
      </c>
      <c r="L1976" s="1243">
        <v>0</v>
      </c>
      <c r="M1976" s="1243">
        <f>F1976</f>
        <v>-24970.992690836629</v>
      </c>
      <c r="N1976" s="1243">
        <f>'WPB-2.1.D SMRP'!N809</f>
        <v>-10407.248626245895</v>
      </c>
      <c r="O1976" s="1243">
        <f t="shared" si="357"/>
        <v>82935739.519677386</v>
      </c>
    </row>
    <row r="1977" spans="1:15">
      <c r="A1977" s="361">
        <f t="shared" si="353"/>
        <v>22</v>
      </c>
      <c r="B1977" s="365">
        <v>378.1</v>
      </c>
      <c r="C1977" s="358" t="s">
        <v>394</v>
      </c>
      <c r="D1977" s="1243">
        <f t="shared" si="354"/>
        <v>167304.12</v>
      </c>
      <c r="E1977" s="1243">
        <f>+'INPUT - B Schedule PLANT'!CT27</f>
        <v>0</v>
      </c>
      <c r="F1977" s="1243">
        <f>+'INPUT - B Schedule PLANT'!CU27</f>
        <v>0</v>
      </c>
      <c r="G1977" s="1243">
        <f t="shared" si="358"/>
        <v>167304.12</v>
      </c>
      <c r="H1977" s="1243"/>
      <c r="I1977" s="1243">
        <f t="shared" si="355"/>
        <v>10824.849999999926</v>
      </c>
      <c r="J1977" s="376">
        <f>$J$1635</f>
        <v>2.52E-2</v>
      </c>
      <c r="K1977" s="1243">
        <f t="shared" si="360"/>
        <v>351</v>
      </c>
      <c r="L1977" s="1243">
        <v>0</v>
      </c>
      <c r="M1977" s="1243">
        <f t="shared" si="356"/>
        <v>0</v>
      </c>
      <c r="N1977" s="1243">
        <v>0</v>
      </c>
      <c r="O1977" s="1243">
        <f t="shared" si="357"/>
        <v>11175.849999999926</v>
      </c>
    </row>
    <row r="1978" spans="1:15">
      <c r="A1978" s="361">
        <f t="shared" si="353"/>
        <v>23</v>
      </c>
      <c r="B1978" s="365">
        <v>378.2</v>
      </c>
      <c r="C1978" s="358" t="s">
        <v>1622</v>
      </c>
      <c r="D1978" s="1243">
        <f t="shared" si="354"/>
        <v>26780211.885248285</v>
      </c>
      <c r="E1978" s="1243">
        <f>'WPB-2.1.D SMRP'!E813</f>
        <v>30659.570364636784</v>
      </c>
      <c r="F1978" s="1243">
        <f>'WPB-2.1.D SMRP'!F813</f>
        <v>-1.5877358564466704E-3</v>
      </c>
      <c r="G1978" s="1243">
        <f t="shared" si="358"/>
        <v>26810871.454025183</v>
      </c>
      <c r="H1978" s="1243"/>
      <c r="I1978" s="1243">
        <f t="shared" si="355"/>
        <v>3468021.5244734744</v>
      </c>
      <c r="J1978" s="376">
        <f>$J$1636</f>
        <v>2.52E-2</v>
      </c>
      <c r="K1978" s="1243">
        <f>'WPB-2.1.D SMRP'!K813</f>
        <v>56270.408000000003</v>
      </c>
      <c r="L1978" s="1243">
        <v>0</v>
      </c>
      <c r="M1978" s="1243">
        <f>F1978</f>
        <v>-1.5877358564466704E-3</v>
      </c>
      <c r="N1978" s="1243">
        <f>'WPB-2.1.D SMRP'!N813</f>
        <v>-70522.65205808483</v>
      </c>
      <c r="O1978" s="1243">
        <f t="shared" si="357"/>
        <v>3453769.2788276533</v>
      </c>
    </row>
    <row r="1979" spans="1:15">
      <c r="A1979" s="361">
        <f t="shared" si="353"/>
        <v>24</v>
      </c>
      <c r="B1979" s="365">
        <v>378.3</v>
      </c>
      <c r="C1979" s="358" t="s">
        <v>396</v>
      </c>
      <c r="D1979" s="1243">
        <f t="shared" si="354"/>
        <v>45443.08</v>
      </c>
      <c r="E1979" s="1243">
        <f>+'INPUT - B Schedule PLANT'!CT29</f>
        <v>0</v>
      </c>
      <c r="F1979" s="1243">
        <f>+'INPUT - B Schedule PLANT'!CU29</f>
        <v>0</v>
      </c>
      <c r="G1979" s="1243">
        <f t="shared" si="358"/>
        <v>45443.08</v>
      </c>
      <c r="H1979" s="1243"/>
      <c r="I1979" s="1243">
        <f t="shared" si="355"/>
        <v>43643.320000000007</v>
      </c>
      <c r="J1979" s="376">
        <f>$J$1637</f>
        <v>2.52E-2</v>
      </c>
      <c r="K1979" s="1243">
        <f t="shared" si="360"/>
        <v>95</v>
      </c>
      <c r="L1979" s="1243">
        <v>0</v>
      </c>
      <c r="M1979" s="1243">
        <f t="shared" si="356"/>
        <v>0</v>
      </c>
      <c r="N1979" s="1243">
        <v>0</v>
      </c>
      <c r="O1979" s="1243">
        <f t="shared" si="357"/>
        <v>43738.320000000007</v>
      </c>
    </row>
    <row r="1980" spans="1:15">
      <c r="A1980" s="361">
        <f t="shared" si="353"/>
        <v>25</v>
      </c>
      <c r="B1980" s="365">
        <v>379.1</v>
      </c>
      <c r="C1980" s="358" t="s">
        <v>397</v>
      </c>
      <c r="D1980" s="1243">
        <f t="shared" si="354"/>
        <v>1554144.06</v>
      </c>
      <c r="E1980" s="1243">
        <f>+'INPUT - B Schedule PLANT'!CT30</f>
        <v>0</v>
      </c>
      <c r="F1980" s="1243">
        <f>+'INPUT - B Schedule PLANT'!CU30</f>
        <v>0</v>
      </c>
      <c r="G1980" s="1243">
        <f t="shared" si="358"/>
        <v>1554144.06</v>
      </c>
      <c r="H1980" s="1243"/>
      <c r="I1980" s="1243">
        <f t="shared" si="355"/>
        <v>367055.19000000006</v>
      </c>
      <c r="J1980" s="376">
        <f>$J$1638</f>
        <v>2.4199999999999999E-2</v>
      </c>
      <c r="K1980" s="1243">
        <f t="shared" si="360"/>
        <v>3134</v>
      </c>
      <c r="L1980" s="1243">
        <v>0</v>
      </c>
      <c r="M1980" s="1243">
        <f t="shared" si="356"/>
        <v>0</v>
      </c>
      <c r="N1980" s="1243">
        <v>0</v>
      </c>
      <c r="O1980" s="1243">
        <f t="shared" si="357"/>
        <v>370189.19000000006</v>
      </c>
    </row>
    <row r="1981" spans="1:15">
      <c r="A1981" s="361">
        <f t="shared" si="353"/>
        <v>26</v>
      </c>
      <c r="B1981" s="365">
        <v>380</v>
      </c>
      <c r="C1981" s="358" t="s">
        <v>1623</v>
      </c>
      <c r="D1981" s="1243">
        <f t="shared" si="354"/>
        <v>203775826.2610403</v>
      </c>
      <c r="E1981" s="1243">
        <f>'WPB-2.1.D SMRP'!E817</f>
        <v>99769.360000000102</v>
      </c>
      <c r="F1981" s="1243">
        <f>'WPB-2.1.D SMRP'!F817</f>
        <v>-81672.01269817393</v>
      </c>
      <c r="G1981" s="1243">
        <f t="shared" si="358"/>
        <v>203793923.60834214</v>
      </c>
      <c r="H1981" s="1243"/>
      <c r="I1981" s="1243">
        <f t="shared" si="355"/>
        <v>62318896.960111573</v>
      </c>
      <c r="J1981" s="376">
        <f>$J$1639</f>
        <v>3.9800000000000002E-2</v>
      </c>
      <c r="K1981" s="1243">
        <f>'WPB-2.1.D SMRP'!K817</f>
        <v>675886.45200000005</v>
      </c>
      <c r="L1981" s="1243">
        <v>0</v>
      </c>
      <c r="M1981" s="1243">
        <f>F1981</f>
        <v>-81672.01269817393</v>
      </c>
      <c r="N1981" s="1243">
        <f>'WPB-2.1.D SMRP'!N817</f>
        <v>4.1290283261332661E-3</v>
      </c>
      <c r="O1981" s="1243">
        <f t="shared" si="357"/>
        <v>62913111.403542429</v>
      </c>
    </row>
    <row r="1982" spans="1:15">
      <c r="A1982" s="361">
        <f t="shared" si="353"/>
        <v>27</v>
      </c>
      <c r="B1982" s="365">
        <v>381</v>
      </c>
      <c r="C1982" s="358" t="s">
        <v>399</v>
      </c>
      <c r="D1982" s="1243">
        <f t="shared" si="354"/>
        <v>19392731.440000005</v>
      </c>
      <c r="E1982" s="1243">
        <f>+'INPUT - B Schedule PLANT'!CT32</f>
        <v>46950.42</v>
      </c>
      <c r="F1982" s="1243">
        <f>+'INPUT - B Schedule PLANT'!CU32</f>
        <v>-57147.87</v>
      </c>
      <c r="G1982" s="1243">
        <f t="shared" si="358"/>
        <v>19382533.990000006</v>
      </c>
      <c r="H1982" s="1243"/>
      <c r="I1982" s="1243">
        <f t="shared" si="355"/>
        <v>1861683.9299999995</v>
      </c>
      <c r="J1982" s="376">
        <f>$J$1640</f>
        <v>2.6499999999999999E-2</v>
      </c>
      <c r="K1982" s="1243">
        <f t="shared" si="360"/>
        <v>42814</v>
      </c>
      <c r="L1982" s="1243">
        <v>0</v>
      </c>
      <c r="M1982" s="1243">
        <f t="shared" si="356"/>
        <v>-57147.87</v>
      </c>
      <c r="N1982" s="1243">
        <v>0</v>
      </c>
      <c r="O1982" s="1243">
        <f t="shared" si="357"/>
        <v>1847350.0599999994</v>
      </c>
    </row>
    <row r="1983" spans="1:15">
      <c r="A1983" s="361">
        <f t="shared" si="353"/>
        <v>28</v>
      </c>
      <c r="B1983" s="365">
        <v>381.1</v>
      </c>
      <c r="C1983" s="358" t="s">
        <v>2366</v>
      </c>
      <c r="D1983" s="1243">
        <f t="shared" si="354"/>
        <v>9980854.4800000004</v>
      </c>
      <c r="E1983" s="1243">
        <f>+'INPUT - B Schedule PLANT'!CT33</f>
        <v>0</v>
      </c>
      <c r="F1983" s="1243">
        <f>+'INPUT - B Schedule PLANT'!CU33</f>
        <v>0</v>
      </c>
      <c r="G1983" s="1243">
        <f t="shared" si="358"/>
        <v>9980854.4800000004</v>
      </c>
      <c r="H1983" s="1243"/>
      <c r="I1983" s="1243">
        <f t="shared" si="355"/>
        <v>5672169.0300000031</v>
      </c>
      <c r="J1983" s="376">
        <f>$J$1641</f>
        <v>7.4800000000000005E-2</v>
      </c>
      <c r="K1983" s="1243">
        <f t="shared" si="360"/>
        <v>62214</v>
      </c>
      <c r="L1983" s="1243">
        <v>0</v>
      </c>
      <c r="M1983" s="1243">
        <f t="shared" si="356"/>
        <v>0</v>
      </c>
      <c r="N1983" s="1243">
        <v>0</v>
      </c>
      <c r="O1983" s="1243">
        <f t="shared" si="357"/>
        <v>5734383.0300000031</v>
      </c>
    </row>
    <row r="1984" spans="1:15">
      <c r="A1984" s="361">
        <f t="shared" si="353"/>
        <v>29</v>
      </c>
      <c r="B1984" s="365">
        <v>382</v>
      </c>
      <c r="C1984" s="358" t="s">
        <v>1624</v>
      </c>
      <c r="D1984" s="1243">
        <f t="shared" si="354"/>
        <v>10585676.411640527</v>
      </c>
      <c r="E1984" s="1243">
        <f>'WPB-2.1.D SMRP'!E821</f>
        <v>5611.3</v>
      </c>
      <c r="F1984" s="1243">
        <f>'WPB-2.1.D SMRP'!F821</f>
        <v>-1419.4563233495805</v>
      </c>
      <c r="G1984" s="1243">
        <f t="shared" si="358"/>
        <v>10589868.255317178</v>
      </c>
      <c r="H1984" s="1243"/>
      <c r="I1984" s="1243">
        <f t="shared" si="355"/>
        <v>5916132.7546405271</v>
      </c>
      <c r="J1984" s="376">
        <f>$J$1642</f>
        <v>1.77E-2</v>
      </c>
      <c r="K1984" s="1243">
        <f>'WPB-2.1.D SMRP'!K821</f>
        <v>15617.314</v>
      </c>
      <c r="L1984" s="1243">
        <v>0</v>
      </c>
      <c r="M1984" s="1243">
        <f t="shared" si="356"/>
        <v>-1419.4563233495805</v>
      </c>
      <c r="N1984" s="1243">
        <f>'WPB-2.1.D SMRP'!N821</f>
        <v>0</v>
      </c>
      <c r="O1984" s="1243">
        <f t="shared" si="357"/>
        <v>5930330.6123171775</v>
      </c>
    </row>
    <row r="1985" spans="1:16">
      <c r="A1985" s="361">
        <f t="shared" si="353"/>
        <v>30</v>
      </c>
      <c r="B1985" s="365">
        <v>383</v>
      </c>
      <c r="C1985" s="358" t="s">
        <v>1625</v>
      </c>
      <c r="D1985" s="1243">
        <f t="shared" si="354"/>
        <v>7434451.4812477725</v>
      </c>
      <c r="E1985" s="1243">
        <f>'WPB-2.1.D SMRP'!E825</f>
        <v>14135.630735645658</v>
      </c>
      <c r="F1985" s="1243">
        <f>'WPB-2.1.D SMRP'!F825</f>
        <v>-352.54660076965752</v>
      </c>
      <c r="G1985" s="1243">
        <f t="shared" si="358"/>
        <v>7448234.5653826492</v>
      </c>
      <c r="H1985" s="1243"/>
      <c r="I1985" s="1243">
        <f t="shared" si="355"/>
        <v>2545506.1091471915</v>
      </c>
      <c r="J1985" s="376">
        <f>$J$1643</f>
        <v>1.9400000000000001E-2</v>
      </c>
      <c r="K1985" s="1243">
        <f>'WPB-2.1.D SMRP'!K825</f>
        <v>12030.218000000001</v>
      </c>
      <c r="L1985" s="1243">
        <v>0</v>
      </c>
      <c r="M1985" s="1243">
        <f t="shared" si="356"/>
        <v>-352.54660076965752</v>
      </c>
      <c r="N1985" s="1243">
        <f>'WPB-2.1.D SMRP'!N825</f>
        <v>0</v>
      </c>
      <c r="O1985" s="1243">
        <f t="shared" si="357"/>
        <v>2557183.7805464217</v>
      </c>
    </row>
    <row r="1986" spans="1:16">
      <c r="A1986" s="361">
        <f t="shared" si="353"/>
        <v>31</v>
      </c>
      <c r="B1986" s="365">
        <v>384</v>
      </c>
      <c r="C1986" s="358" t="s">
        <v>402</v>
      </c>
      <c r="D1986" s="1243">
        <f t="shared" si="354"/>
        <v>2085124.8599999999</v>
      </c>
      <c r="E1986" s="1243">
        <f>+'INPUT - B Schedule PLANT'!CT36</f>
        <v>13.24</v>
      </c>
      <c r="F1986" s="1243">
        <f>+'INPUT - B Schedule PLANT'!CU36</f>
        <v>0</v>
      </c>
      <c r="G1986" s="1243">
        <f t="shared" si="358"/>
        <v>2085138.0999999999</v>
      </c>
      <c r="H1986" s="1243"/>
      <c r="I1986" s="1243">
        <f t="shared" si="355"/>
        <v>1736922.0399999991</v>
      </c>
      <c r="J1986" s="376">
        <f>$J$1644</f>
        <v>9.9000000000000008E-3</v>
      </c>
      <c r="K1986" s="1243">
        <f t="shared" si="360"/>
        <v>1720</v>
      </c>
      <c r="L1986" s="1243">
        <v>0</v>
      </c>
      <c r="M1986" s="1243">
        <f t="shared" si="356"/>
        <v>0</v>
      </c>
      <c r="N1986" s="1243">
        <v>0</v>
      </c>
      <c r="O1986" s="1243">
        <f t="shared" si="357"/>
        <v>1738642.0399999991</v>
      </c>
    </row>
    <row r="1987" spans="1:16">
      <c r="A1987" s="361">
        <f t="shared" si="353"/>
        <v>32</v>
      </c>
      <c r="B1987" s="365">
        <v>385</v>
      </c>
      <c r="C1987" s="358" t="s">
        <v>403</v>
      </c>
      <c r="D1987" s="1243">
        <f t="shared" si="354"/>
        <v>6148762.0700000003</v>
      </c>
      <c r="E1987" s="1243">
        <f>+'INPUT - B Schedule PLANT'!CT37</f>
        <v>19168.09</v>
      </c>
      <c r="F1987" s="1243">
        <f>+'INPUT - B Schedule PLANT'!CU37</f>
        <v>-12167.91</v>
      </c>
      <c r="G1987" s="1243">
        <f t="shared" si="358"/>
        <v>6155762.25</v>
      </c>
      <c r="H1987" s="1243"/>
      <c r="I1987" s="1243">
        <f t="shared" si="355"/>
        <v>845312.77</v>
      </c>
      <c r="J1987" s="376">
        <f>$J$1645</f>
        <v>3.73E-2</v>
      </c>
      <c r="K1987" s="1243">
        <f t="shared" si="360"/>
        <v>19123</v>
      </c>
      <c r="L1987" s="1243">
        <v>0</v>
      </c>
      <c r="M1987" s="1243">
        <f t="shared" si="356"/>
        <v>-12167.91</v>
      </c>
      <c r="N1987" s="1243">
        <v>-1025.68</v>
      </c>
      <c r="O1987" s="1243">
        <f t="shared" si="357"/>
        <v>851242.17999999993</v>
      </c>
    </row>
    <row r="1988" spans="1:16">
      <c r="A1988" s="361">
        <f t="shared" si="353"/>
        <v>33</v>
      </c>
      <c r="B1988" s="365">
        <v>387.2</v>
      </c>
      <c r="C1988" s="358" t="s">
        <v>404</v>
      </c>
      <c r="D1988" s="1243">
        <f t="shared" si="354"/>
        <v>0</v>
      </c>
      <c r="E1988" s="1243">
        <f>+'INPUT - B Schedule PLANT'!CT38</f>
        <v>0</v>
      </c>
      <c r="F1988" s="1243">
        <f>+'INPUT - B Schedule PLANT'!CU38</f>
        <v>0</v>
      </c>
      <c r="G1988" s="1243">
        <f t="shared" si="358"/>
        <v>0</v>
      </c>
      <c r="H1988" s="1243"/>
      <c r="I1988" s="1243">
        <f t="shared" si="355"/>
        <v>-59912.03</v>
      </c>
      <c r="J1988" s="376">
        <f>$J$1646</f>
        <v>0</v>
      </c>
      <c r="K1988" s="1243">
        <f t="shared" si="360"/>
        <v>0</v>
      </c>
      <c r="L1988" s="1243">
        <v>0</v>
      </c>
      <c r="M1988" s="1243">
        <f t="shared" si="356"/>
        <v>0</v>
      </c>
      <c r="N1988" s="1243">
        <v>0</v>
      </c>
      <c r="O1988" s="1243">
        <f t="shared" si="357"/>
        <v>-59912.03</v>
      </c>
    </row>
    <row r="1989" spans="1:16">
      <c r="A1989" s="361">
        <f t="shared" si="353"/>
        <v>34</v>
      </c>
      <c r="B1989" s="365">
        <v>387.41</v>
      </c>
      <c r="C1989" s="358" t="s">
        <v>405</v>
      </c>
      <c r="D1989" s="1243">
        <f t="shared" si="354"/>
        <v>260538.46000000008</v>
      </c>
      <c r="E1989" s="1243">
        <f>+'INPUT - B Schedule PLANT'!CT39</f>
        <v>0</v>
      </c>
      <c r="F1989" s="1243">
        <f>+'INPUT - B Schedule PLANT'!CU39</f>
        <v>0</v>
      </c>
      <c r="G1989" s="1243">
        <f t="shared" si="358"/>
        <v>260538.46000000008</v>
      </c>
      <c r="H1989" s="1243"/>
      <c r="I1989" s="1243">
        <f t="shared" si="355"/>
        <v>63911.970000000059</v>
      </c>
      <c r="J1989" s="376">
        <f>$J$1647</f>
        <v>3.2399999999999998E-2</v>
      </c>
      <c r="K1989" s="1243">
        <f t="shared" si="360"/>
        <v>703</v>
      </c>
      <c r="L1989" s="1243">
        <v>0</v>
      </c>
      <c r="M1989" s="1243">
        <f t="shared" si="356"/>
        <v>0</v>
      </c>
      <c r="N1989" s="1243">
        <v>0</v>
      </c>
      <c r="O1989" s="1243">
        <f t="shared" si="357"/>
        <v>64614.970000000059</v>
      </c>
    </row>
    <row r="1990" spans="1:16">
      <c r="A1990" s="361">
        <f t="shared" si="353"/>
        <v>35</v>
      </c>
      <c r="B1990" s="365">
        <v>387.42</v>
      </c>
      <c r="C1990" s="358" t="s">
        <v>406</v>
      </c>
      <c r="D1990" s="1243">
        <f t="shared" si="354"/>
        <v>419367.40000000008</v>
      </c>
      <c r="E1990" s="1243">
        <f>+'INPUT - B Schedule PLANT'!CT40</f>
        <v>0</v>
      </c>
      <c r="F1990" s="1243">
        <f>+'INPUT - B Schedule PLANT'!CU40</f>
        <v>0</v>
      </c>
      <c r="G1990" s="1243">
        <f t="shared" si="358"/>
        <v>419367.40000000008</v>
      </c>
      <c r="H1990" s="1243"/>
      <c r="I1990" s="1243">
        <f t="shared" si="355"/>
        <v>349059.80999999976</v>
      </c>
      <c r="J1990" s="376">
        <f>$J$1648</f>
        <v>3.2399999999999998E-2</v>
      </c>
      <c r="K1990" s="1243">
        <f t="shared" si="360"/>
        <v>1132</v>
      </c>
      <c r="L1990" s="1243">
        <v>0</v>
      </c>
      <c r="M1990" s="1243">
        <f t="shared" si="356"/>
        <v>0</v>
      </c>
      <c r="N1990" s="1243">
        <v>0</v>
      </c>
      <c r="O1990" s="1243">
        <f t="shared" si="357"/>
        <v>350191.80999999976</v>
      </c>
    </row>
    <row r="1991" spans="1:16">
      <c r="A1991" s="361">
        <f t="shared" si="353"/>
        <v>36</v>
      </c>
      <c r="B1991" s="365">
        <v>387.44</v>
      </c>
      <c r="C1991" s="358" t="s">
        <v>407</v>
      </c>
      <c r="D1991" s="1243">
        <f t="shared" si="354"/>
        <v>124678.76000000001</v>
      </c>
      <c r="E1991" s="1243">
        <f>+'INPUT - B Schedule PLANT'!CT41</f>
        <v>0</v>
      </c>
      <c r="F1991" s="1243">
        <f>+'INPUT - B Schedule PLANT'!CU41</f>
        <v>0</v>
      </c>
      <c r="G1991" s="1243">
        <f t="shared" si="358"/>
        <v>124678.76000000001</v>
      </c>
      <c r="H1991" s="1243"/>
      <c r="I1991" s="1243">
        <f t="shared" si="355"/>
        <v>69090.390000000014</v>
      </c>
      <c r="J1991" s="376">
        <f>$J$1649</f>
        <v>3.2399999999999998E-2</v>
      </c>
      <c r="K1991" s="1243">
        <f t="shared" si="360"/>
        <v>337</v>
      </c>
      <c r="L1991" s="1243">
        <v>0</v>
      </c>
      <c r="M1991" s="1243">
        <f t="shared" si="356"/>
        <v>0</v>
      </c>
      <c r="N1991" s="1243">
        <v>0</v>
      </c>
      <c r="O1991" s="1243">
        <f t="shared" si="357"/>
        <v>69427.390000000014</v>
      </c>
    </row>
    <row r="1992" spans="1:16">
      <c r="A1992" s="361">
        <f t="shared" si="353"/>
        <v>37</v>
      </c>
      <c r="B1992" s="365">
        <v>387.45</v>
      </c>
      <c r="C1992" s="358" t="s">
        <v>408</v>
      </c>
      <c r="D1992" s="1243">
        <f t="shared" si="354"/>
        <v>6010004.5000000009</v>
      </c>
      <c r="E1992" s="1243">
        <f>+'INPUT - B Schedule PLANT'!CT42</f>
        <v>7676.08</v>
      </c>
      <c r="F1992" s="1243">
        <f>+'INPUT - B Schedule PLANT'!CU42</f>
        <v>-16296.73</v>
      </c>
      <c r="G1992" s="1243">
        <f t="shared" si="358"/>
        <v>6001383.8500000006</v>
      </c>
      <c r="H1992" s="1243"/>
      <c r="I1992" s="1243">
        <f t="shared" si="355"/>
        <v>-688832.90999999992</v>
      </c>
      <c r="J1992" s="376">
        <f>$J$1650</f>
        <v>3.2399999999999998E-2</v>
      </c>
      <c r="K1992" s="1243">
        <f t="shared" si="360"/>
        <v>16215</v>
      </c>
      <c r="L1992" s="1243">
        <v>0</v>
      </c>
      <c r="M1992" s="1243">
        <f t="shared" si="356"/>
        <v>-16296.73</v>
      </c>
      <c r="N1992" s="1243">
        <v>-2218.41</v>
      </c>
      <c r="O1992" s="1243">
        <f t="shared" si="357"/>
        <v>-691133.04999999993</v>
      </c>
    </row>
    <row r="1993" spans="1:16">
      <c r="A1993" s="361">
        <f t="shared" si="353"/>
        <v>38</v>
      </c>
      <c r="B1993" s="365">
        <v>387.46</v>
      </c>
      <c r="C1993" s="358" t="s">
        <v>409</v>
      </c>
      <c r="D1993" s="1243">
        <f t="shared" si="354"/>
        <v>113644.47</v>
      </c>
      <c r="E1993" s="1243">
        <f>+'INPUT - B Schedule PLANT'!CT43</f>
        <v>0</v>
      </c>
      <c r="F1993" s="1243">
        <f>+'INPUT - B Schedule PLANT'!CU43</f>
        <v>0</v>
      </c>
      <c r="G1993" s="1243">
        <f t="shared" si="358"/>
        <v>113644.47</v>
      </c>
      <c r="H1993" s="1243"/>
      <c r="I1993" s="1243">
        <f t="shared" si="355"/>
        <v>115418.07</v>
      </c>
      <c r="J1993" s="376">
        <f>$J$1651</f>
        <v>3.2399999999999998E-2</v>
      </c>
      <c r="K1993" s="1243">
        <f t="shared" si="360"/>
        <v>307</v>
      </c>
      <c r="L1993" s="1243">
        <v>0</v>
      </c>
      <c r="M1993" s="1243">
        <f t="shared" si="356"/>
        <v>0</v>
      </c>
      <c r="N1993" s="1243">
        <v>0</v>
      </c>
      <c r="O1993" s="1243">
        <f t="shared" si="357"/>
        <v>115725.07</v>
      </c>
    </row>
    <row r="1994" spans="1:16">
      <c r="A1994" s="361">
        <f t="shared" si="353"/>
        <v>39</v>
      </c>
      <c r="B1994" s="365">
        <v>387.5</v>
      </c>
      <c r="C1994" s="358" t="s">
        <v>1075</v>
      </c>
      <c r="D1994" s="1244">
        <f t="shared" si="354"/>
        <v>238072.69</v>
      </c>
      <c r="E1994" s="1244">
        <f>+'INPUT - B Schedule PLANT'!CT44</f>
        <v>0</v>
      </c>
      <c r="F1994" s="1244">
        <f>+'INPUT - B Schedule PLANT'!CU44</f>
        <v>0</v>
      </c>
      <c r="G1994" s="1244">
        <f t="shared" si="358"/>
        <v>238072.69</v>
      </c>
      <c r="H1994" s="1243"/>
      <c r="I1994" s="1244">
        <f t="shared" si="355"/>
        <v>52044.470000000023</v>
      </c>
      <c r="J1994" s="376">
        <f>$J$1652</f>
        <v>0.13669999999999999</v>
      </c>
      <c r="K1994" s="1244">
        <f t="shared" si="360"/>
        <v>2712</v>
      </c>
      <c r="L1994" s="1244">
        <v>0</v>
      </c>
      <c r="M1994" s="1244">
        <f t="shared" si="356"/>
        <v>0</v>
      </c>
      <c r="N1994" s="1244">
        <v>0</v>
      </c>
      <c r="O1994" s="1244">
        <f t="shared" si="357"/>
        <v>54756.470000000023</v>
      </c>
    </row>
    <row r="1995" spans="1:16">
      <c r="A1995" s="361">
        <f t="shared" si="353"/>
        <v>40</v>
      </c>
      <c r="C1995" s="365" t="s">
        <v>1601</v>
      </c>
      <c r="D1995" s="1243">
        <f>SUM(D1965:D1994)</f>
        <v>729431319.56595242</v>
      </c>
      <c r="E1995" s="1243">
        <f>SUM(E1965:E1994)</f>
        <v>1027317.7135147454</v>
      </c>
      <c r="F1995" s="1243">
        <f>SUM(F1965:F1994)</f>
        <v>-194027.51990086568</v>
      </c>
      <c r="G1995" s="1243">
        <f>SUM(G1965:G1994)</f>
        <v>730264609.75956619</v>
      </c>
      <c r="H1995" s="1243"/>
      <c r="I1995" s="1243">
        <f>SUM(I1965:I1994)</f>
        <v>174659368.09836718</v>
      </c>
      <c r="J1995" s="369"/>
      <c r="K1995" s="1243">
        <f>SUM(K1965:K1994)</f>
        <v>1546855.7430000002</v>
      </c>
      <c r="L1995" s="1243">
        <f>SUM(L1965:L1994)</f>
        <v>0</v>
      </c>
      <c r="M1995" s="1243">
        <f>SUM(M1965:M1994)</f>
        <v>-194027.51990086568</v>
      </c>
      <c r="N1995" s="1243">
        <f>SUM(N1965:N1994)</f>
        <v>-91774.316555302386</v>
      </c>
      <c r="O1995" s="1243">
        <f>SUM(O1965:O1994)</f>
        <v>175920422.00491101</v>
      </c>
    </row>
    <row r="1996" spans="1:16">
      <c r="B1996" s="367"/>
      <c r="C1996" s="368"/>
      <c r="D1996" s="369"/>
      <c r="E1996" s="369"/>
      <c r="F1996" s="369"/>
      <c r="G1996" s="369"/>
      <c r="I1996" s="369"/>
      <c r="J1996" s="369"/>
      <c r="K1996" s="369"/>
      <c r="L1996" s="369"/>
      <c r="M1996" s="369"/>
      <c r="N1996" s="369"/>
      <c r="O1996" s="369"/>
    </row>
    <row r="1997" spans="1:16">
      <c r="I1997" s="369"/>
      <c r="J1997" s="369"/>
      <c r="K1997" s="369"/>
      <c r="L1997" s="369"/>
      <c r="M1997" s="369"/>
      <c r="N1997" s="369"/>
      <c r="O1997" s="369"/>
    </row>
    <row r="1998" spans="1:16" s="291" customFormat="1">
      <c r="A1998" s="1308" t="str">
        <f>$A$1</f>
        <v>COLUMBIA GAS OF KENTUCKY, INC.</v>
      </c>
      <c r="B1998" s="1308"/>
      <c r="C1998" s="1308"/>
      <c r="D1998" s="1308"/>
      <c r="E1998" s="1308"/>
      <c r="F1998" s="1308"/>
      <c r="G1998" s="1308"/>
      <c r="H1998" s="1308"/>
      <c r="I1998" s="1308"/>
      <c r="J1998" s="1308"/>
      <c r="K1998" s="1308"/>
      <c r="L1998" s="1308"/>
      <c r="M1998" s="1308"/>
      <c r="N1998" s="1308"/>
      <c r="O1998" s="1308"/>
    </row>
    <row r="1999" spans="1:16" s="291" customFormat="1">
      <c r="A1999" s="1308" t="str">
        <f>$A$2</f>
        <v>CASE NO. 2024 - 00092</v>
      </c>
      <c r="B1999" s="1308"/>
      <c r="C1999" s="1308"/>
      <c r="D1999" s="1308"/>
      <c r="E1999" s="1308"/>
      <c r="F1999" s="1308"/>
      <c r="G1999" s="1308"/>
      <c r="H1999" s="1308"/>
      <c r="I1999" s="1308"/>
      <c r="J1999" s="1308"/>
      <c r="K1999" s="1308"/>
      <c r="L1999" s="1308"/>
      <c r="M1999" s="1308"/>
      <c r="N1999" s="1308"/>
      <c r="O1999" s="1308"/>
    </row>
    <row r="2000" spans="1:16" s="291" customFormat="1">
      <c r="A2000" s="1308" t="str">
        <f>$A$3</f>
        <v>DETAIL OF ACTUAL &amp; FORECASTED PLANT, ACCUMULATED RESERVE &amp; DEPRECIATION EXPENSE</v>
      </c>
      <c r="B2000" s="1308"/>
      <c r="C2000" s="1308"/>
      <c r="D2000" s="1308"/>
      <c r="E2000" s="1308"/>
      <c r="F2000" s="1308"/>
      <c r="G2000" s="1308"/>
      <c r="H2000" s="1308"/>
      <c r="I2000" s="1308"/>
      <c r="J2000" s="1308"/>
      <c r="K2000" s="1308"/>
      <c r="L2000" s="1308"/>
      <c r="M2000" s="1308"/>
      <c r="N2000" s="1308"/>
      <c r="O2000" s="1308"/>
      <c r="P2000" s="357"/>
    </row>
    <row r="2001" spans="1:16" s="291" customFormat="1">
      <c r="A2001" s="1308" t="str">
        <f>$A$4</f>
        <v>FROM JANUARY 01, 2023 THROUGH DECEMBER 31, 2025</v>
      </c>
      <c r="B2001" s="1308"/>
      <c r="C2001" s="1308"/>
      <c r="D2001" s="1308"/>
      <c r="E2001" s="1308"/>
      <c r="F2001" s="1308"/>
      <c r="G2001" s="1308"/>
      <c r="H2001" s="1308"/>
      <c r="I2001" s="1308"/>
      <c r="J2001" s="1308"/>
      <c r="K2001" s="1308"/>
      <c r="L2001" s="1308"/>
      <c r="M2001" s="1308"/>
      <c r="N2001" s="1308"/>
      <c r="O2001" s="1308"/>
    </row>
    <row r="2002" spans="1:16" s="291" customFormat="1">
      <c r="B2002" s="293"/>
      <c r="P2002" s="312"/>
    </row>
    <row r="2003" spans="1:16" s="291" customFormat="1">
      <c r="A2003" s="297" t="str">
        <f>$A$6</f>
        <v xml:space="preserve">DATA: _X_ BASE PERIOD _X_ FORECASTED PERIOD     </v>
      </c>
      <c r="B2003" s="293"/>
      <c r="O2003" s="312" t="str">
        <f>$O$6</f>
        <v>WPB-2.1.C</v>
      </c>
      <c r="P2003" s="312"/>
    </row>
    <row r="2004" spans="1:16" s="291" customFormat="1">
      <c r="A2004" s="297" t="str">
        <f>$A$7</f>
        <v>TYPE OF FILING:___X___ORIGINAL______UPDATED</v>
      </c>
      <c r="B2004" s="293"/>
      <c r="O2004" s="312" t="s">
        <v>2187</v>
      </c>
      <c r="P2004" s="312"/>
    </row>
    <row r="2005" spans="1:16" s="291" customFormat="1">
      <c r="A2005" s="297" t="str">
        <f>$A$8</f>
        <v>WORKPAPER REFERENCE NO(S).:</v>
      </c>
      <c r="B2005" s="293"/>
      <c r="O2005" s="312" t="str">
        <f>$O$8</f>
        <v>WITNESS: GORE</v>
      </c>
    </row>
    <row r="2006" spans="1:16">
      <c r="A2006" s="918"/>
      <c r="B2006" s="919"/>
      <c r="C2006" s="918"/>
      <c r="D2006" s="918"/>
      <c r="E2006" s="918"/>
      <c r="F2006" s="918"/>
      <c r="G2006" s="918"/>
      <c r="H2006" s="918"/>
      <c r="I2006" s="918"/>
      <c r="J2006" s="918"/>
      <c r="K2006" s="918"/>
      <c r="L2006" s="918"/>
      <c r="M2006" s="918"/>
      <c r="N2006" s="918"/>
      <c r="O2006" s="920"/>
    </row>
    <row r="2007" spans="1:16">
      <c r="D2007" s="1311" t="s">
        <v>1768</v>
      </c>
      <c r="E2007" s="1311"/>
      <c r="F2007" s="1311"/>
      <c r="G2007" s="1311"/>
      <c r="I2007" s="1311" t="s">
        <v>1769</v>
      </c>
      <c r="J2007" s="1311"/>
      <c r="K2007" s="1311"/>
      <c r="L2007" s="1311"/>
      <c r="M2007" s="1311"/>
      <c r="N2007" s="1311"/>
      <c r="O2007" s="1311"/>
    </row>
    <row r="2008" spans="1:16">
      <c r="D2008" s="360">
        <f>D1949</f>
        <v>45444</v>
      </c>
      <c r="G2008" s="360">
        <f>G1949</f>
        <v>45473</v>
      </c>
      <c r="I2008" s="360">
        <f>D2008</f>
        <v>45444</v>
      </c>
      <c r="O2008" s="360">
        <f>G2008</f>
        <v>45473</v>
      </c>
    </row>
    <row r="2009" spans="1:16">
      <c r="D2009" s="361" t="s">
        <v>1757</v>
      </c>
      <c r="G2009" s="361" t="s">
        <v>1757</v>
      </c>
      <c r="I2009" s="361" t="s">
        <v>1758</v>
      </c>
      <c r="J2009" s="361" t="s">
        <v>488</v>
      </c>
      <c r="L2009" s="361" t="s">
        <v>1758</v>
      </c>
      <c r="O2009" s="361" t="s">
        <v>1758</v>
      </c>
    </row>
    <row r="2010" spans="1:16">
      <c r="A2010" s="361" t="s">
        <v>1770</v>
      </c>
      <c r="B2010" s="361" t="s">
        <v>368</v>
      </c>
      <c r="C2010" s="361"/>
      <c r="D2010" s="361" t="s">
        <v>437</v>
      </c>
      <c r="G2010" s="361" t="s">
        <v>439</v>
      </c>
      <c r="I2010" s="361" t="s">
        <v>437</v>
      </c>
      <c r="J2010" s="361" t="s">
        <v>1771</v>
      </c>
      <c r="K2010" s="361" t="s">
        <v>1772</v>
      </c>
      <c r="L2010" s="361" t="s">
        <v>1759</v>
      </c>
      <c r="N2010" s="361" t="s">
        <v>1760</v>
      </c>
      <c r="O2010" s="361" t="s">
        <v>439</v>
      </c>
    </row>
    <row r="2011" spans="1:16">
      <c r="A2011" s="364" t="s">
        <v>316</v>
      </c>
      <c r="B2011" s="364" t="s">
        <v>316</v>
      </c>
      <c r="C2011" s="364" t="s">
        <v>451</v>
      </c>
      <c r="D2011" s="364" t="s">
        <v>441</v>
      </c>
      <c r="E2011" s="364" t="s">
        <v>442</v>
      </c>
      <c r="F2011" s="364" t="s">
        <v>443</v>
      </c>
      <c r="G2011" s="364" t="s">
        <v>441</v>
      </c>
      <c r="I2011" s="364" t="s">
        <v>441</v>
      </c>
      <c r="J2011" s="364" t="s">
        <v>1773</v>
      </c>
      <c r="K2011" s="364" t="s">
        <v>1771</v>
      </c>
      <c r="L2011" s="364" t="s">
        <v>355</v>
      </c>
      <c r="M2011" s="364" t="s">
        <v>443</v>
      </c>
      <c r="N2011" s="364" t="s">
        <v>1763</v>
      </c>
      <c r="O2011" s="364" t="s">
        <v>441</v>
      </c>
    </row>
    <row r="2012" spans="1:16">
      <c r="D2012" s="361" t="s">
        <v>532</v>
      </c>
      <c r="E2012" s="361" t="s">
        <v>541</v>
      </c>
      <c r="F2012" s="361" t="s">
        <v>542</v>
      </c>
      <c r="G2012" s="361" t="s">
        <v>1764</v>
      </c>
      <c r="I2012" s="334" t="str">
        <f>"(5)"</f>
        <v>(5)</v>
      </c>
      <c r="J2012" s="334" t="str">
        <f>"(6)"</f>
        <v>(6)</v>
      </c>
      <c r="K2012" s="334" t="str">
        <f>"(7)=((1+4)/2*6/12))"</f>
        <v>(7)=((1+4)/2*6/12))</v>
      </c>
      <c r="L2012" s="334" t="str">
        <f>"(8)"</f>
        <v>(8)</v>
      </c>
      <c r="M2012" s="334" t="str">
        <f>"(9)"</f>
        <v>(9)</v>
      </c>
      <c r="N2012" s="334" t="str">
        <f>"(10)"</f>
        <v>(10)</v>
      </c>
      <c r="O2012" s="334" t="str">
        <f>"(11=5+7+8+9+10)"</f>
        <v>(11=5+7+8+9+10)</v>
      </c>
    </row>
    <row r="2013" spans="1:16">
      <c r="D2013" s="361" t="s">
        <v>320</v>
      </c>
      <c r="E2013" s="361" t="s">
        <v>320</v>
      </c>
      <c r="F2013" s="361" t="s">
        <v>320</v>
      </c>
      <c r="G2013" s="361" t="s">
        <v>320</v>
      </c>
      <c r="I2013" s="334" t="s">
        <v>320</v>
      </c>
      <c r="J2013" s="334" t="s">
        <v>529</v>
      </c>
      <c r="K2013" s="334" t="s">
        <v>320</v>
      </c>
      <c r="L2013" s="334" t="s">
        <v>320</v>
      </c>
      <c r="M2013" s="334" t="s">
        <v>320</v>
      </c>
      <c r="N2013" s="334" t="s">
        <v>320</v>
      </c>
      <c r="O2013" s="334" t="s">
        <v>320</v>
      </c>
    </row>
    <row r="2014" spans="1:16">
      <c r="A2014" s="361">
        <v>1</v>
      </c>
      <c r="B2014" s="363" t="s">
        <v>411</v>
      </c>
      <c r="D2014" s="361"/>
      <c r="E2014" s="361"/>
      <c r="F2014" s="361"/>
      <c r="G2014" s="361"/>
      <c r="I2014" s="334"/>
      <c r="J2014" s="334"/>
      <c r="K2014" s="334"/>
      <c r="L2014" s="334"/>
      <c r="M2014" s="334"/>
      <c r="N2014" s="334"/>
      <c r="O2014" s="334"/>
    </row>
    <row r="2015" spans="1:16">
      <c r="A2015" s="361">
        <f>A2014+1</f>
        <v>2</v>
      </c>
      <c r="B2015" s="365">
        <v>391.1</v>
      </c>
      <c r="C2015" s="358" t="s">
        <v>412</v>
      </c>
      <c r="D2015" s="1243">
        <f t="shared" ref="D2015:D2028" si="361">G1901</f>
        <v>921741.33000000007</v>
      </c>
      <c r="E2015" s="1243">
        <f>+'INPUT - B Schedule PLANT'!CT46</f>
        <v>0</v>
      </c>
      <c r="F2015" s="1243">
        <f>+'INPUT - B Schedule PLANT'!CU46</f>
        <v>0</v>
      </c>
      <c r="G2015" s="1243">
        <f>SUM(D2015:F2015)</f>
        <v>921741.33000000007</v>
      </c>
      <c r="I2015" s="378">
        <f t="shared" ref="I2015:I2028" si="362">O1901</f>
        <v>134044.37</v>
      </c>
      <c r="J2015" s="376">
        <f>$J$1673</f>
        <v>4.9700000000000001E-2</v>
      </c>
      <c r="K2015" s="1243">
        <f>ROUND((G2015+D2015)/2*J2015/12,0)</f>
        <v>3818</v>
      </c>
      <c r="L2015" s="1243">
        <v>0</v>
      </c>
      <c r="M2015" s="1243">
        <f t="shared" ref="M2015:M2028" si="363">F2015</f>
        <v>0</v>
      </c>
      <c r="N2015" s="1243">
        <v>0</v>
      </c>
      <c r="O2015" s="1243">
        <f t="shared" ref="O2015:O2028" si="364">I2015+K2015+L2015+M2015+N2015</f>
        <v>137862.37</v>
      </c>
    </row>
    <row r="2016" spans="1:16">
      <c r="A2016" s="361">
        <f t="shared" ref="A2016:A2029" si="365">A2015+1</f>
        <v>3</v>
      </c>
      <c r="B2016" s="365">
        <v>391.11</v>
      </c>
      <c r="C2016" s="358" t="s">
        <v>413</v>
      </c>
      <c r="D2016" s="1243">
        <f t="shared" si="361"/>
        <v>0</v>
      </c>
      <c r="E2016" s="1243">
        <f>+'INPUT - B Schedule PLANT'!CT47</f>
        <v>0</v>
      </c>
      <c r="F2016" s="1243">
        <f>+'INPUT - B Schedule PLANT'!CU47</f>
        <v>0</v>
      </c>
      <c r="G2016" s="1243">
        <f t="shared" ref="G2016:G2023" si="366">SUM(D2016:F2016)</f>
        <v>0</v>
      </c>
      <c r="I2016" s="378">
        <f t="shared" si="362"/>
        <v>-18933.789999999997</v>
      </c>
      <c r="J2016" s="376">
        <f>$J$1674</f>
        <v>0</v>
      </c>
      <c r="K2016" s="1243">
        <f>ROUND((G2016+D2016)/2*J2016/12,0)</f>
        <v>0</v>
      </c>
      <c r="L2016" s="1243">
        <v>0</v>
      </c>
      <c r="M2016" s="1243">
        <f t="shared" si="363"/>
        <v>0</v>
      </c>
      <c r="N2016" s="1243">
        <v>0</v>
      </c>
      <c r="O2016" s="1243">
        <f t="shared" si="364"/>
        <v>-18933.789999999997</v>
      </c>
    </row>
    <row r="2017" spans="1:15">
      <c r="A2017" s="361">
        <f t="shared" si="365"/>
        <v>4</v>
      </c>
      <c r="B2017" s="365">
        <v>391.12</v>
      </c>
      <c r="C2017" s="358" t="s">
        <v>414</v>
      </c>
      <c r="D2017" s="1243">
        <f t="shared" si="361"/>
        <v>37129.580000000009</v>
      </c>
      <c r="E2017" s="1243">
        <f>+'INPUT - B Schedule PLANT'!CT48</f>
        <v>0</v>
      </c>
      <c r="F2017" s="1243">
        <f>+'INPUT - B Schedule PLANT'!CU48</f>
        <v>0</v>
      </c>
      <c r="G2017" s="1243">
        <f t="shared" si="366"/>
        <v>37129.580000000009</v>
      </c>
      <c r="I2017" s="378">
        <f t="shared" si="362"/>
        <v>-2189.0300000000007</v>
      </c>
      <c r="J2017" s="376">
        <f>$J$1675</f>
        <v>0.2</v>
      </c>
      <c r="K2017" s="1243">
        <f>ROUND((G2017+D2017)/2*J2017/12,0)</f>
        <v>619</v>
      </c>
      <c r="L2017" s="1243">
        <v>0</v>
      </c>
      <c r="M2017" s="1243">
        <f t="shared" si="363"/>
        <v>0</v>
      </c>
      <c r="N2017" s="1243">
        <v>0</v>
      </c>
      <c r="O2017" s="1243">
        <f t="shared" si="364"/>
        <v>-1570.0300000000007</v>
      </c>
    </row>
    <row r="2018" spans="1:15">
      <c r="A2018" s="361">
        <f t="shared" si="365"/>
        <v>5</v>
      </c>
      <c r="B2018" s="365">
        <v>392.2</v>
      </c>
      <c r="C2018" s="358" t="s">
        <v>524</v>
      </c>
      <c r="D2018" s="1243">
        <f t="shared" si="361"/>
        <v>48924.4</v>
      </c>
      <c r="E2018" s="1243">
        <f>+'INPUT - B Schedule PLANT'!CT49</f>
        <v>0</v>
      </c>
      <c r="F2018" s="1243">
        <f>+'INPUT - B Schedule PLANT'!CU49</f>
        <v>0</v>
      </c>
      <c r="G2018" s="1243">
        <f t="shared" si="366"/>
        <v>48924.4</v>
      </c>
      <c r="I2018" s="378">
        <f t="shared" si="362"/>
        <v>17328.359999999961</v>
      </c>
      <c r="J2018" s="376">
        <f>$J$1676</f>
        <v>8.9999999999999993E-3</v>
      </c>
      <c r="K2018" s="1243">
        <f>ROUND((G2018+D2018)/2*J2018/12,0)</f>
        <v>37</v>
      </c>
      <c r="L2018" s="1243">
        <v>0</v>
      </c>
      <c r="M2018" s="1243">
        <f t="shared" si="363"/>
        <v>0</v>
      </c>
      <c r="N2018" s="1243">
        <v>0</v>
      </c>
      <c r="O2018" s="1243">
        <f t="shared" si="364"/>
        <v>17365.359999999961</v>
      </c>
    </row>
    <row r="2019" spans="1:15">
      <c r="A2019" s="361">
        <f t="shared" si="365"/>
        <v>6</v>
      </c>
      <c r="B2019" s="365">
        <v>392.21</v>
      </c>
      <c r="C2019" s="358" t="s">
        <v>415</v>
      </c>
      <c r="D2019" s="1243">
        <f t="shared" si="361"/>
        <v>24462.2</v>
      </c>
      <c r="E2019" s="1243">
        <f>+'INPUT - B Schedule PLANT'!CT50</f>
        <v>0</v>
      </c>
      <c r="F2019" s="1243">
        <f>+'INPUT - B Schedule PLANT'!CU50</f>
        <v>0</v>
      </c>
      <c r="G2019" s="1243">
        <f t="shared" si="366"/>
        <v>24462.2</v>
      </c>
      <c r="I2019" s="378">
        <f t="shared" si="362"/>
        <v>44808.01</v>
      </c>
      <c r="J2019" s="376">
        <f>$J$1677</f>
        <v>8.9999999999999993E-3</v>
      </c>
      <c r="K2019" s="1243">
        <f>ROUND((G2019+D2019)/2*J2019/12,0)</f>
        <v>18</v>
      </c>
      <c r="L2019" s="1243">
        <v>0</v>
      </c>
      <c r="M2019" s="1243">
        <f t="shared" si="363"/>
        <v>0</v>
      </c>
      <c r="N2019" s="1243">
        <v>0</v>
      </c>
      <c r="O2019" s="1243">
        <f t="shared" si="364"/>
        <v>44826.01</v>
      </c>
    </row>
    <row r="2020" spans="1:15">
      <c r="A2020" s="361">
        <f t="shared" si="365"/>
        <v>7</v>
      </c>
      <c r="B2020" s="365">
        <v>393</v>
      </c>
      <c r="C2020" s="358" t="s">
        <v>416</v>
      </c>
      <c r="D2020" s="1243">
        <f t="shared" si="361"/>
        <v>0</v>
      </c>
      <c r="E2020" s="1243">
        <f>+'INPUT - B Schedule PLANT'!CT51</f>
        <v>0</v>
      </c>
      <c r="F2020" s="1243">
        <f>+'INPUT - B Schedule PLANT'!CU51</f>
        <v>0</v>
      </c>
      <c r="G2020" s="1243">
        <f t="shared" si="366"/>
        <v>0</v>
      </c>
      <c r="I2020" s="378">
        <f t="shared" si="362"/>
        <v>0</v>
      </c>
      <c r="J2020" s="376" t="str">
        <f>$J$1678</f>
        <v>Amort.</v>
      </c>
      <c r="K2020" s="1243">
        <v>0</v>
      </c>
      <c r="L2020" s="1243">
        <v>0</v>
      </c>
      <c r="M2020" s="1243">
        <f t="shared" si="363"/>
        <v>0</v>
      </c>
      <c r="N2020" s="1243">
        <v>0</v>
      </c>
      <c r="O2020" s="1243">
        <f t="shared" si="364"/>
        <v>0</v>
      </c>
    </row>
    <row r="2021" spans="1:15">
      <c r="A2021" s="361">
        <f t="shared" si="365"/>
        <v>8</v>
      </c>
      <c r="B2021" s="365">
        <v>394.1</v>
      </c>
      <c r="C2021" s="358" t="s">
        <v>417</v>
      </c>
      <c r="D2021" s="1243">
        <f t="shared" si="361"/>
        <v>9739</v>
      </c>
      <c r="E2021" s="1243">
        <f>+'INPUT - B Schedule PLANT'!CT52</f>
        <v>0</v>
      </c>
      <c r="F2021" s="1243">
        <f>+'INPUT - B Schedule PLANT'!CU52</f>
        <v>0</v>
      </c>
      <c r="G2021" s="1243">
        <f t="shared" si="366"/>
        <v>9739</v>
      </c>
      <c r="I2021" s="378">
        <f t="shared" si="362"/>
        <v>4236.0700000000006</v>
      </c>
      <c r="J2021" s="376">
        <f>$J$1679</f>
        <v>0.04</v>
      </c>
      <c r="K2021" s="1243">
        <f>ROUND((G2021+D2021)/2*J2021/12,0)</f>
        <v>32</v>
      </c>
      <c r="L2021" s="1243">
        <v>0</v>
      </c>
      <c r="M2021" s="1243">
        <f t="shared" si="363"/>
        <v>0</v>
      </c>
      <c r="N2021" s="1243">
        <v>0</v>
      </c>
      <c r="O2021" s="1243">
        <f t="shared" si="364"/>
        <v>4268.0700000000006</v>
      </c>
    </row>
    <row r="2022" spans="1:15">
      <c r="A2022" s="361">
        <f t="shared" si="365"/>
        <v>9</v>
      </c>
      <c r="B2022" s="365">
        <v>394.11</v>
      </c>
      <c r="C2022" s="358" t="s">
        <v>418</v>
      </c>
      <c r="D2022" s="1243">
        <f t="shared" si="361"/>
        <v>0</v>
      </c>
      <c r="E2022" s="1243">
        <f>+'INPUT - B Schedule PLANT'!CT53</f>
        <v>0</v>
      </c>
      <c r="F2022" s="1243">
        <f>+'INPUT - B Schedule PLANT'!CU53</f>
        <v>0</v>
      </c>
      <c r="G2022" s="1243">
        <f t="shared" si="366"/>
        <v>0</v>
      </c>
      <c r="I2022" s="378">
        <f t="shared" si="362"/>
        <v>-26071.5</v>
      </c>
      <c r="J2022" s="376">
        <f>$J$1680</f>
        <v>0.04</v>
      </c>
      <c r="K2022" s="1243">
        <f>ROUND((G2022+D2022)/2*J2022/12,0)</f>
        <v>0</v>
      </c>
      <c r="L2022" s="1243">
        <v>0</v>
      </c>
      <c r="M2022" s="1243">
        <f t="shared" si="363"/>
        <v>0</v>
      </c>
      <c r="N2022" s="1243">
        <v>0</v>
      </c>
      <c r="O2022" s="1243">
        <f t="shared" si="364"/>
        <v>-26071.5</v>
      </c>
    </row>
    <row r="2023" spans="1:15">
      <c r="A2023" s="361">
        <f t="shared" si="365"/>
        <v>10</v>
      </c>
      <c r="B2023" s="365">
        <v>394.13</v>
      </c>
      <c r="C2023" s="358" t="s">
        <v>515</v>
      </c>
      <c r="D2023" s="1243">
        <f t="shared" si="361"/>
        <v>0</v>
      </c>
      <c r="E2023" s="1243">
        <f>+'INPUT - B Schedule PLANT'!CT54</f>
        <v>0</v>
      </c>
      <c r="F2023" s="1243">
        <f>+'INPUT - B Schedule PLANT'!CU54</f>
        <v>0</v>
      </c>
      <c r="G2023" s="1243">
        <f t="shared" si="366"/>
        <v>0</v>
      </c>
      <c r="I2023" s="378">
        <f t="shared" si="362"/>
        <v>37937.360000000001</v>
      </c>
      <c r="J2023" s="376" t="str">
        <f>$J$1681</f>
        <v>Amort.</v>
      </c>
      <c r="K2023" s="1243">
        <v>0</v>
      </c>
      <c r="L2023" s="1243">
        <v>0</v>
      </c>
      <c r="M2023" s="1243">
        <f t="shared" si="363"/>
        <v>0</v>
      </c>
      <c r="N2023" s="1243">
        <v>0</v>
      </c>
      <c r="O2023" s="1243">
        <f t="shared" si="364"/>
        <v>37937.360000000001</v>
      </c>
    </row>
    <row r="2024" spans="1:15">
      <c r="A2024" s="361">
        <f t="shared" si="365"/>
        <v>11</v>
      </c>
      <c r="B2024" s="365">
        <v>394.2</v>
      </c>
      <c r="C2024" s="358" t="s">
        <v>420</v>
      </c>
      <c r="D2024" s="1243">
        <f t="shared" si="361"/>
        <v>0</v>
      </c>
      <c r="E2024" s="1243">
        <f>+'INPUT - B Schedule PLANT'!CT55</f>
        <v>0</v>
      </c>
      <c r="F2024" s="1243">
        <f>+'INPUT - B Schedule PLANT'!CU55</f>
        <v>0</v>
      </c>
      <c r="G2024" s="1243">
        <f>SUM(D2024:F2024)</f>
        <v>0</v>
      </c>
      <c r="I2024" s="378">
        <f t="shared" si="362"/>
        <v>185.21</v>
      </c>
      <c r="J2024" s="376">
        <f>$J$1682</f>
        <v>0.04</v>
      </c>
      <c r="K2024" s="1243">
        <f>ROUND((G2024+D2024)/2*J2024/12,0)</f>
        <v>0</v>
      </c>
      <c r="L2024" s="1243">
        <v>0</v>
      </c>
      <c r="M2024" s="1243">
        <f t="shared" si="363"/>
        <v>0</v>
      </c>
      <c r="N2024" s="1243">
        <v>0</v>
      </c>
      <c r="O2024" s="1243">
        <f t="shared" si="364"/>
        <v>185.21</v>
      </c>
    </row>
    <row r="2025" spans="1:15">
      <c r="A2025" s="361">
        <f t="shared" si="365"/>
        <v>12</v>
      </c>
      <c r="B2025" s="365">
        <v>394.3</v>
      </c>
      <c r="C2025" s="358" t="s">
        <v>1602</v>
      </c>
      <c r="D2025" s="1243">
        <f t="shared" si="361"/>
        <v>5178329.5199999996</v>
      </c>
      <c r="E2025" s="1243">
        <f>+'INPUT - B Schedule PLANT'!CT56</f>
        <v>4978.6000000000004</v>
      </c>
      <c r="F2025" s="1243">
        <f>+'INPUT - B Schedule PLANT'!CU56</f>
        <v>-1475.34</v>
      </c>
      <c r="G2025" s="1243">
        <f>SUM(D2025:F2025)</f>
        <v>5181832.7799999993</v>
      </c>
      <c r="I2025" s="378">
        <f t="shared" si="362"/>
        <v>1602285.0399999998</v>
      </c>
      <c r="J2025" s="376">
        <f>$J$1683</f>
        <v>0.04</v>
      </c>
      <c r="K2025" s="1243">
        <f>ROUND((G2025+D2025)/2*J2025/12,0)</f>
        <v>17267</v>
      </c>
      <c r="L2025" s="1243">
        <v>0</v>
      </c>
      <c r="M2025" s="1243">
        <f t="shared" si="363"/>
        <v>-1475.34</v>
      </c>
      <c r="N2025" s="1243">
        <v>0</v>
      </c>
      <c r="O2025" s="1243">
        <f t="shared" si="364"/>
        <v>1618076.6999999997</v>
      </c>
    </row>
    <row r="2026" spans="1:15">
      <c r="A2026" s="361">
        <f t="shared" si="365"/>
        <v>13</v>
      </c>
      <c r="B2026" s="365">
        <v>395</v>
      </c>
      <c r="C2026" s="358" t="s">
        <v>422</v>
      </c>
      <c r="D2026" s="1243">
        <f t="shared" si="361"/>
        <v>0</v>
      </c>
      <c r="E2026" s="1243">
        <f>+'INPUT - B Schedule PLANT'!CT57</f>
        <v>0</v>
      </c>
      <c r="F2026" s="1243">
        <f>+'INPUT - B Schedule PLANT'!CU57</f>
        <v>0</v>
      </c>
      <c r="G2026" s="1243">
        <f>SUM(D2026:F2026)</f>
        <v>0</v>
      </c>
      <c r="I2026" s="378">
        <f t="shared" si="362"/>
        <v>-100.69999999999845</v>
      </c>
      <c r="J2026" s="376">
        <f>$J$1684</f>
        <v>0.05</v>
      </c>
      <c r="K2026" s="1243">
        <f>ROUND((G2026+D2026)/2*J2026/12,0)</f>
        <v>0</v>
      </c>
      <c r="L2026" s="1243">
        <v>0</v>
      </c>
      <c r="M2026" s="1243">
        <f t="shared" si="363"/>
        <v>0</v>
      </c>
      <c r="N2026" s="1243">
        <v>0</v>
      </c>
      <c r="O2026" s="1243">
        <f t="shared" si="364"/>
        <v>-100.69999999999845</v>
      </c>
    </row>
    <row r="2027" spans="1:15">
      <c r="A2027" s="361">
        <f t="shared" si="365"/>
        <v>14</v>
      </c>
      <c r="B2027" s="365">
        <v>396</v>
      </c>
      <c r="C2027" s="358" t="s">
        <v>423</v>
      </c>
      <c r="D2027" s="1243">
        <f t="shared" si="361"/>
        <v>185547</v>
      </c>
      <c r="E2027" s="1243">
        <f>+'INPUT - B Schedule PLANT'!CT58</f>
        <v>0</v>
      </c>
      <c r="F2027" s="1243">
        <f>+'INPUT - B Schedule PLANT'!CU58</f>
        <v>0</v>
      </c>
      <c r="G2027" s="1243">
        <f>SUM(D2027:F2027)</f>
        <v>185547</v>
      </c>
      <c r="I2027" s="378">
        <f t="shared" si="362"/>
        <v>171938.14</v>
      </c>
      <c r="J2027" s="376">
        <f>$J$1685</f>
        <v>0</v>
      </c>
      <c r="K2027" s="1243">
        <f>ROUND((G2027+D2027)/2*J2027/12,0)</f>
        <v>0</v>
      </c>
      <c r="L2027" s="1243">
        <v>0</v>
      </c>
      <c r="M2027" s="1243">
        <f t="shared" si="363"/>
        <v>0</v>
      </c>
      <c r="N2027" s="1243">
        <v>0</v>
      </c>
      <c r="O2027" s="1243">
        <f t="shared" si="364"/>
        <v>171938.14</v>
      </c>
    </row>
    <row r="2028" spans="1:15">
      <c r="A2028" s="361">
        <f t="shared" si="365"/>
        <v>15</v>
      </c>
      <c r="B2028" s="365">
        <v>398</v>
      </c>
      <c r="C2028" s="358" t="s">
        <v>424</v>
      </c>
      <c r="D2028" s="1244">
        <f t="shared" si="361"/>
        <v>148028.20000000001</v>
      </c>
      <c r="E2028" s="1244">
        <f>+'INPUT - B Schedule PLANT'!CT59</f>
        <v>0</v>
      </c>
      <c r="F2028" s="1244">
        <f>+'INPUT - B Schedule PLANT'!CU59</f>
        <v>0</v>
      </c>
      <c r="G2028" s="1244">
        <f>SUM(D2028:F2028)</f>
        <v>148028.20000000001</v>
      </c>
      <c r="I2028" s="924">
        <f t="shared" si="362"/>
        <v>74218.549999999945</v>
      </c>
      <c r="J2028" s="376">
        <f>$J$1686</f>
        <v>6.6699999999999995E-2</v>
      </c>
      <c r="K2028" s="1244">
        <f>ROUND((G2028+D2028)/2*J2028/12,0)</f>
        <v>823</v>
      </c>
      <c r="L2028" s="1244">
        <v>0</v>
      </c>
      <c r="M2028" s="1244">
        <f t="shared" si="363"/>
        <v>0</v>
      </c>
      <c r="N2028" s="1244">
        <v>0</v>
      </c>
      <c r="O2028" s="1244">
        <f t="shared" si="364"/>
        <v>75041.549999999945</v>
      </c>
    </row>
    <row r="2029" spans="1:15">
      <c r="A2029" s="361">
        <f t="shared" si="365"/>
        <v>16</v>
      </c>
      <c r="B2029" s="367"/>
      <c r="C2029" s="358" t="s">
        <v>425</v>
      </c>
      <c r="D2029" s="1243">
        <f>SUM(D2015:D2028)</f>
        <v>6553901.2299999995</v>
      </c>
      <c r="E2029" s="1243">
        <f>SUM(E2015:E2028)</f>
        <v>4978.6000000000004</v>
      </c>
      <c r="F2029" s="1243">
        <f>SUM(F2015:F2028)</f>
        <v>-1475.34</v>
      </c>
      <c r="G2029" s="1243">
        <f>SUM(G2015:G2028)</f>
        <v>6557404.4899999993</v>
      </c>
      <c r="I2029" s="369">
        <f>SUM(I2015:I2028)</f>
        <v>2039686.09</v>
      </c>
      <c r="J2029" s="369"/>
      <c r="K2029" s="1243">
        <f>SUM(K2015:K2028)</f>
        <v>22614</v>
      </c>
      <c r="L2029" s="1243">
        <f>SUM(L2015:L2028)</f>
        <v>0</v>
      </c>
      <c r="M2029" s="1243">
        <f>SUM(M2015:M2028)</f>
        <v>-1475.34</v>
      </c>
      <c r="N2029" s="1243">
        <f>SUM(N2015:N2028)</f>
        <v>0</v>
      </c>
      <c r="O2029" s="1243">
        <f>SUM(O2015:O2028)</f>
        <v>2060824.7499999998</v>
      </c>
    </row>
    <row r="2030" spans="1:15">
      <c r="A2030" s="361"/>
      <c r="D2030" s="1243"/>
      <c r="E2030" s="1243"/>
      <c r="F2030" s="1243"/>
      <c r="G2030" s="1243"/>
      <c r="I2030" s="369"/>
      <c r="J2030" s="369"/>
      <c r="K2030" s="1243"/>
      <c r="L2030" s="1243"/>
      <c r="M2030" s="1243"/>
      <c r="N2030" s="1243"/>
      <c r="O2030" s="1243"/>
    </row>
    <row r="2031" spans="1:15">
      <c r="A2031" s="361">
        <f>A2029+1</f>
        <v>17</v>
      </c>
      <c r="B2031" s="363" t="s">
        <v>1038</v>
      </c>
      <c r="D2031" s="1243"/>
      <c r="E2031" s="1243"/>
      <c r="F2031" s="1243"/>
      <c r="G2031" s="1243"/>
      <c r="I2031" s="369"/>
      <c r="J2031" s="369"/>
      <c r="K2031" s="1243"/>
      <c r="L2031" s="1243"/>
      <c r="M2031" s="1243"/>
      <c r="N2031" s="1243"/>
      <c r="O2031" s="1243"/>
    </row>
    <row r="2032" spans="1:15">
      <c r="A2032" s="361">
        <f>A2031+1</f>
        <v>18</v>
      </c>
      <c r="B2032" s="365">
        <v>378.21</v>
      </c>
      <c r="C2032" s="358" t="s">
        <v>1037</v>
      </c>
      <c r="D2032" s="1244">
        <f>G1918</f>
        <v>-777092</v>
      </c>
      <c r="E2032" s="1244">
        <v>0</v>
      </c>
      <c r="F2032" s="1244">
        <v>0</v>
      </c>
      <c r="G2032" s="1244">
        <f>SUM(D2032:F2032)</f>
        <v>-777092</v>
      </c>
      <c r="I2032" s="923">
        <f>O1918</f>
        <v>-215091.19000000018</v>
      </c>
      <c r="J2032" s="376" t="str">
        <f>$J$1690</f>
        <v>Amort.</v>
      </c>
      <c r="K2032" s="1244">
        <f>$K$1348</f>
        <v>-2144.17</v>
      </c>
      <c r="L2032" s="1244"/>
      <c r="M2032" s="1244">
        <f>F2032</f>
        <v>0</v>
      </c>
      <c r="N2032" s="1244">
        <v>0</v>
      </c>
      <c r="O2032" s="1244">
        <f>I2032+K2032+L2032+M2032+N2032</f>
        <v>-217235.36000000019</v>
      </c>
    </row>
    <row r="2033" spans="1:15">
      <c r="A2033" s="361">
        <f>A2032+1</f>
        <v>19</v>
      </c>
      <c r="B2033" s="370"/>
      <c r="C2033" s="358" t="s">
        <v>1579</v>
      </c>
      <c r="D2033" s="1243">
        <f>SUM(D2032)</f>
        <v>-777092</v>
      </c>
      <c r="E2033" s="1243">
        <f>SUM(E2032)</f>
        <v>0</v>
      </c>
      <c r="F2033" s="1243">
        <f>SUM(F2032)</f>
        <v>0</v>
      </c>
      <c r="G2033" s="1243">
        <f>SUM(G2032)</f>
        <v>-777092</v>
      </c>
      <c r="I2033" s="369">
        <f>SUM(I2032)</f>
        <v>-215091.19000000018</v>
      </c>
      <c r="J2033" s="369"/>
      <c r="K2033" s="1243">
        <f>SUM(K2032)</f>
        <v>-2144.17</v>
      </c>
      <c r="L2033" s="1243">
        <f>SUM(L2032)</f>
        <v>0</v>
      </c>
      <c r="M2033" s="1243">
        <f>SUM(M2032)</f>
        <v>0</v>
      </c>
      <c r="N2033" s="1243">
        <f>SUM(N2032)</f>
        <v>0</v>
      </c>
      <c r="O2033" s="1243">
        <f>SUM(O2032)</f>
        <v>-217235.36000000019</v>
      </c>
    </row>
    <row r="2034" spans="1:15">
      <c r="A2034" s="361"/>
      <c r="B2034" s="370"/>
      <c r="D2034" s="1243"/>
      <c r="E2034" s="1243"/>
      <c r="F2034" s="1243"/>
      <c r="G2034" s="1243"/>
      <c r="I2034" s="369"/>
      <c r="J2034" s="369"/>
      <c r="K2034" s="1243"/>
      <c r="L2034" s="1243"/>
      <c r="M2034" s="1243"/>
      <c r="N2034" s="1243"/>
      <c r="O2034" s="1243"/>
    </row>
    <row r="2035" spans="1:15">
      <c r="A2035" s="361">
        <f>A2033+1</f>
        <v>20</v>
      </c>
      <c r="B2035" s="370"/>
      <c r="C2035" s="358" t="s">
        <v>2037</v>
      </c>
      <c r="D2035" s="1243">
        <f>D1962+D1995+D2029+D2033</f>
        <v>748774641.61008334</v>
      </c>
      <c r="E2035" s="1243">
        <f>E1962+E1995+E2029+E2033</f>
        <v>1657904.780689056</v>
      </c>
      <c r="F2035" s="1243">
        <f>F1962+F1995+F2029+F2033</f>
        <v>-418253.55990086572</v>
      </c>
      <c r="G2035" s="1243">
        <f>G1962+G1995+G2029+G2033</f>
        <v>750014292.83087134</v>
      </c>
      <c r="I2035" s="369">
        <f>I1962+I1995+I2029+I2033</f>
        <v>183225028.05590275</v>
      </c>
      <c r="J2035" s="369"/>
      <c r="K2035" s="1243">
        <f>K1962+K1995+K2029+K2033</f>
        <v>1797977.1878017716</v>
      </c>
      <c r="L2035" s="1243">
        <f>L1962+L1995+L2029+L2033</f>
        <v>0</v>
      </c>
      <c r="M2035" s="1243">
        <f>M1962+M1995+M2029+M2033</f>
        <v>-418253.55990086572</v>
      </c>
      <c r="N2035" s="1243">
        <f>N1962+N1995+N2029+N2033</f>
        <v>-91774.316555302386</v>
      </c>
      <c r="O2035" s="1243">
        <f>O1962+O1995+O2029+O2033</f>
        <v>184512977.36724833</v>
      </c>
    </row>
    <row r="2036" spans="1:15">
      <c r="A2036" s="361"/>
      <c r="B2036" s="370"/>
      <c r="D2036" s="369"/>
      <c r="E2036" s="369"/>
      <c r="F2036" s="369"/>
      <c r="G2036" s="369"/>
      <c r="I2036" s="369"/>
      <c r="J2036" s="369"/>
      <c r="K2036" s="1243"/>
      <c r="L2036" s="1243"/>
      <c r="M2036" s="1243"/>
      <c r="N2036" s="1243"/>
      <c r="O2036" s="1243"/>
    </row>
    <row r="2037" spans="1:15">
      <c r="A2037" s="361">
        <f>A2035+1</f>
        <v>21</v>
      </c>
      <c r="B2037" s="370"/>
      <c r="C2037" s="358" t="s">
        <v>2038</v>
      </c>
      <c r="D2037" s="1243">
        <v>0</v>
      </c>
      <c r="E2037" s="1249">
        <v>0</v>
      </c>
      <c r="F2037" s="1249">
        <v>0</v>
      </c>
      <c r="G2037" s="1249">
        <f>SUM(D2037:F2037)</f>
        <v>0</v>
      </c>
      <c r="I2037" s="369">
        <f>O1923</f>
        <v>-6687302.71</v>
      </c>
      <c r="J2037" s="369"/>
      <c r="K2037" s="1243"/>
      <c r="L2037" s="1243"/>
      <c r="M2037" s="1243"/>
      <c r="N2037" s="1243"/>
      <c r="O2037" s="1243">
        <f>I2037+K2037+L2037+M2037+N2037</f>
        <v>-6687302.71</v>
      </c>
    </row>
    <row r="2038" spans="1:15">
      <c r="A2038" s="361"/>
      <c r="B2038" s="370"/>
      <c r="C2038" s="368"/>
      <c r="I2038" s="369"/>
      <c r="J2038" s="369"/>
      <c r="K2038" s="1243"/>
      <c r="L2038" s="1243"/>
      <c r="M2038" s="1243"/>
      <c r="N2038" s="1243"/>
      <c r="O2038" s="1243"/>
    </row>
    <row r="2039" spans="1:15">
      <c r="A2039" s="361">
        <f>A2037+1</f>
        <v>22</v>
      </c>
      <c r="C2039" s="358" t="s">
        <v>1603</v>
      </c>
      <c r="D2039" s="1247">
        <f>D2035+D2037</f>
        <v>748774641.61008334</v>
      </c>
      <c r="E2039" s="1247">
        <f t="shared" ref="E2039:O2039" si="367">E2035+E2037</f>
        <v>1657904.780689056</v>
      </c>
      <c r="F2039" s="1247">
        <f t="shared" si="367"/>
        <v>-418253.55990086572</v>
      </c>
      <c r="G2039" s="1247">
        <f t="shared" si="367"/>
        <v>750014292.83087134</v>
      </c>
      <c r="I2039" s="379">
        <f t="shared" si="367"/>
        <v>176537725.34590274</v>
      </c>
      <c r="J2039" s="369"/>
      <c r="K2039" s="1247">
        <f t="shared" si="367"/>
        <v>1797977.1878017716</v>
      </c>
      <c r="L2039" s="1247">
        <f t="shared" si="367"/>
        <v>0</v>
      </c>
      <c r="M2039" s="1247">
        <f t="shared" si="367"/>
        <v>-418253.55990086572</v>
      </c>
      <c r="N2039" s="1247">
        <f t="shared" si="367"/>
        <v>-91774.316555302386</v>
      </c>
      <c r="O2039" s="1247">
        <f t="shared" si="367"/>
        <v>177825674.65724832</v>
      </c>
    </row>
    <row r="2040" spans="1:15">
      <c r="A2040" s="361"/>
      <c r="D2040" s="1243"/>
      <c r="E2040" s="1243"/>
      <c r="F2040" s="1243"/>
      <c r="G2040" s="1243"/>
      <c r="I2040" s="369"/>
      <c r="J2040" s="369"/>
      <c r="K2040" s="1243"/>
      <c r="L2040" s="1243"/>
      <c r="M2040" s="1243"/>
      <c r="N2040" s="1243"/>
      <c r="O2040" s="1243"/>
    </row>
    <row r="2041" spans="1:15">
      <c r="A2041" s="361"/>
      <c r="D2041" s="1243"/>
      <c r="E2041" s="1243"/>
      <c r="F2041" s="1243"/>
      <c r="G2041" s="1243"/>
      <c r="I2041" s="369"/>
      <c r="J2041" s="369"/>
      <c r="K2041" s="1243"/>
      <c r="L2041" s="1243"/>
      <c r="M2041" s="1243"/>
      <c r="N2041" s="1243"/>
      <c r="O2041" s="1243"/>
    </row>
    <row r="2042" spans="1:15">
      <c r="A2042" s="361">
        <f>A2039+1</f>
        <v>23</v>
      </c>
      <c r="B2042" s="363" t="s">
        <v>1774</v>
      </c>
      <c r="D2042" s="1243"/>
      <c r="E2042" s="1243"/>
      <c r="F2042" s="1243"/>
      <c r="G2042" s="1243"/>
      <c r="J2042" s="369"/>
      <c r="K2042" s="1243"/>
      <c r="L2042" s="1243"/>
      <c r="M2042" s="1243"/>
      <c r="N2042" s="1243"/>
      <c r="O2042" s="1243"/>
    </row>
    <row r="2043" spans="1:15">
      <c r="A2043" s="361">
        <f t="shared" ref="A2043:A2048" si="368">A2042+1</f>
        <v>24</v>
      </c>
      <c r="B2043" s="365">
        <v>376</v>
      </c>
      <c r="C2043" s="358" t="s">
        <v>1775</v>
      </c>
      <c r="D2043" s="1243">
        <f>G1929</f>
        <v>36971103.743224777</v>
      </c>
      <c r="E2043" s="1243">
        <f>'WPB-2.1.D SMRP'!E800</f>
        <v>1857378.4875855374</v>
      </c>
      <c r="F2043" s="1243">
        <f>'WPB-2.1.D SMRP'!F800</f>
        <v>-1945.5473091633708</v>
      </c>
      <c r="G2043" s="1243">
        <f>SUM(D2043:F2043)</f>
        <v>38826536.683501154</v>
      </c>
      <c r="I2043" s="369">
        <f>O1929</f>
        <v>74134.160005595753</v>
      </c>
      <c r="J2043" s="376">
        <f>$J$1701</f>
        <v>1.7399999999999999E-2</v>
      </c>
      <c r="K2043" s="1243">
        <f>'WPB-2.1.D SMRP'!K800</f>
        <v>54953.188999999998</v>
      </c>
      <c r="L2043" s="1243">
        <v>0</v>
      </c>
      <c r="M2043" s="1243">
        <f>F2043</f>
        <v>-1945.5473091633708</v>
      </c>
      <c r="N2043" s="1243">
        <f>'WPB-2.1.D SMRP'!N800</f>
        <v>-1257.6313737541047</v>
      </c>
      <c r="O2043" s="1243">
        <f>I2043+K2043+L2043+M2043+N2043</f>
        <v>125884.17032267827</v>
      </c>
    </row>
    <row r="2044" spans="1:15">
      <c r="A2044" s="361">
        <f t="shared" si="368"/>
        <v>25</v>
      </c>
      <c r="B2044" s="365">
        <v>378.2</v>
      </c>
      <c r="C2044" s="358" t="s">
        <v>1776</v>
      </c>
      <c r="D2044" s="1243">
        <f>G1930</f>
        <v>250814.08475171446</v>
      </c>
      <c r="E2044" s="1243">
        <f>'WPB-2.1.D SMRP'!E801</f>
        <v>14630.75963536322</v>
      </c>
      <c r="F2044" s="1243">
        <f>'WPB-2.1.D SMRP'!F801</f>
        <v>-32162.548412264143</v>
      </c>
      <c r="G2044" s="1243">
        <f>SUM(D2044:F2044)</f>
        <v>233282.29597481352</v>
      </c>
      <c r="I2044" s="369">
        <f>O1930</f>
        <v>-531241.6744734738</v>
      </c>
      <c r="J2044" s="376">
        <f>$J$1702</f>
        <v>2.52E-2</v>
      </c>
      <c r="K2044" s="1243">
        <f>'WPB-2.1.D SMRP'!K801</f>
        <v>508.59199999999998</v>
      </c>
      <c r="L2044" s="1243">
        <v>0</v>
      </c>
      <c r="M2044" s="1243">
        <f>F2044</f>
        <v>-32162.548412264143</v>
      </c>
      <c r="N2044" s="1243">
        <f>'WPB-2.1.D SMRP'!N801</f>
        <v>-9306.3479419151718</v>
      </c>
      <c r="O2044" s="1243">
        <f>I2044+K2044+L2044+M2044+N2044</f>
        <v>-572201.9788276531</v>
      </c>
    </row>
    <row r="2045" spans="1:15">
      <c r="A2045" s="361">
        <f t="shared" si="368"/>
        <v>26</v>
      </c>
      <c r="B2045" s="365">
        <v>380</v>
      </c>
      <c r="C2045" s="358" t="s">
        <v>1777</v>
      </c>
      <c r="D2045" s="1243">
        <f>G1931</f>
        <v>14872091.238959666</v>
      </c>
      <c r="E2045" s="1243">
        <f>'WPB-2.1.D SMRP'!E802</f>
        <v>1661620.43</v>
      </c>
      <c r="F2045" s="1243">
        <f>'WPB-2.1.D SMRP'!F802</f>
        <v>-507119.27730182611</v>
      </c>
      <c r="G2045" s="1243">
        <f>SUM(D2045:F2045)</f>
        <v>16026592.39165784</v>
      </c>
      <c r="I2045" s="369">
        <f>O1931</f>
        <v>-7138053.4401115524</v>
      </c>
      <c r="J2045" s="376">
        <f>$J$1703</f>
        <v>3.9800000000000002E-2</v>
      </c>
      <c r="K2045" s="1243">
        <f>'WPB-2.1.D SMRP'!K802</f>
        <v>51240.548000000003</v>
      </c>
      <c r="L2045" s="1243">
        <v>0</v>
      </c>
      <c r="M2045" s="1243">
        <f>F2045</f>
        <v>-507119.27730182611</v>
      </c>
      <c r="N2045" s="1243">
        <f>'WPB-2.1.D SMRP'!N802</f>
        <v>-198956.40412902832</v>
      </c>
      <c r="O2045" s="1243">
        <f>I2045+K2045+L2045+M2045+N2045</f>
        <v>-7792888.5735424068</v>
      </c>
    </row>
    <row r="2046" spans="1:15">
      <c r="A2046" s="361">
        <f t="shared" si="368"/>
        <v>27</v>
      </c>
      <c r="B2046" s="365">
        <v>382</v>
      </c>
      <c r="C2046" s="358" t="s">
        <v>1778</v>
      </c>
      <c r="D2046" s="1243">
        <f>G1932</f>
        <v>178394.94835947393</v>
      </c>
      <c r="E2046" s="1243">
        <f>'WPB-2.1.D SMRP'!E803</f>
        <v>1480.79</v>
      </c>
      <c r="F2046" s="1243">
        <f>'WPB-2.1.D SMRP'!F803</f>
        <v>-3262.1136766504192</v>
      </c>
      <c r="G2046" s="1243">
        <f>SUM(D2046:F2046)</f>
        <v>176613.62468282352</v>
      </c>
      <c r="I2046" s="369">
        <f>O1932</f>
        <v>-57283.274640526019</v>
      </c>
      <c r="J2046" s="376">
        <f>$J$1704</f>
        <v>1.77E-2</v>
      </c>
      <c r="K2046" s="1243">
        <f>'WPB-2.1.D SMRP'!K803</f>
        <v>261.68599999999998</v>
      </c>
      <c r="L2046" s="1243">
        <v>0</v>
      </c>
      <c r="M2046" s="1243">
        <f>F2046</f>
        <v>-3262.1136766504192</v>
      </c>
      <c r="N2046" s="1243">
        <f>'WPB-2.1.D SMRP'!N803</f>
        <v>0</v>
      </c>
      <c r="O2046" s="1243">
        <f>I2046+K2046+L2046+M2046+N2046</f>
        <v>-60283.702317176438</v>
      </c>
    </row>
    <row r="2047" spans="1:15">
      <c r="A2047" s="361">
        <f t="shared" si="368"/>
        <v>28</v>
      </c>
      <c r="B2047" s="365">
        <v>383</v>
      </c>
      <c r="C2047" s="358" t="s">
        <v>1779</v>
      </c>
      <c r="D2047" s="1244">
        <f>G1933</f>
        <v>62104.528752224884</v>
      </c>
      <c r="E2047" s="1244">
        <f>'WPB-2.1.D SMRP'!E804</f>
        <v>9872.4492643543435</v>
      </c>
      <c r="F2047" s="1244">
        <f>'WPB-2.1.D SMRP'!F804</f>
        <v>-245.63339923034246</v>
      </c>
      <c r="G2047" s="1244">
        <f>SUM(D2047:F2047)</f>
        <v>71731.344617348892</v>
      </c>
      <c r="I2047" s="923">
        <f>O1933</f>
        <v>-7981.9981471911578</v>
      </c>
      <c r="J2047" s="376">
        <f>$J$1705</f>
        <v>1.9400000000000001E-2</v>
      </c>
      <c r="K2047" s="1244">
        <f>'WPB-2.1.D SMRP'!K804</f>
        <v>107.782</v>
      </c>
      <c r="L2047" s="1244">
        <v>0</v>
      </c>
      <c r="M2047" s="1244">
        <f>F2047</f>
        <v>-245.63339923034246</v>
      </c>
      <c r="N2047" s="1244">
        <f>'WPB-2.1.D SMRP'!N804</f>
        <v>0</v>
      </c>
      <c r="O2047" s="1244">
        <f>I2047+K2047+L2047+M2047+N2047</f>
        <v>-8119.8495464215002</v>
      </c>
    </row>
    <row r="2048" spans="1:15">
      <c r="A2048" s="361">
        <f t="shared" si="368"/>
        <v>29</v>
      </c>
      <c r="C2048" s="358" t="s">
        <v>1780</v>
      </c>
      <c r="D2048" s="1243">
        <f>SUM(D2043:D2047)</f>
        <v>52334508.544047862</v>
      </c>
      <c r="E2048" s="1243">
        <f>SUM(E2043:E2047)</f>
        <v>3544982.9164852551</v>
      </c>
      <c r="F2048" s="1243">
        <f>SUM(F2043:F2047)</f>
        <v>-544735.12009913439</v>
      </c>
      <c r="G2048" s="1243">
        <f>SUM(G2043:G2047)</f>
        <v>55334756.340433978</v>
      </c>
      <c r="I2048" s="369">
        <f>SUM(I2043:I2047)</f>
        <v>-7660426.2273671478</v>
      </c>
      <c r="J2048" s="369"/>
      <c r="K2048" s="1243">
        <f>SUM(K2043:K2047)</f>
        <v>107071.79700000001</v>
      </c>
      <c r="L2048" s="1243">
        <f>SUM(L2043:L2047)</f>
        <v>0</v>
      </c>
      <c r="M2048" s="1243">
        <f>SUM(M2043:M2047)</f>
        <v>-544735.12009913439</v>
      </c>
      <c r="N2048" s="1243">
        <f>SUM(N2043:N2047)</f>
        <v>-209520.3834446976</v>
      </c>
      <c r="O2048" s="1243">
        <f>SUM(O2043:O2047)</f>
        <v>-8307609.933910979</v>
      </c>
    </row>
    <row r="2049" spans="1:16">
      <c r="A2049" s="361"/>
      <c r="D2049" s="1243"/>
      <c r="E2049" s="1243"/>
      <c r="F2049" s="1243"/>
      <c r="G2049" s="1243"/>
      <c r="I2049" s="369"/>
      <c r="J2049" s="369"/>
      <c r="K2049" s="1243"/>
      <c r="L2049" s="1243"/>
      <c r="M2049" s="1243"/>
      <c r="N2049" s="1243"/>
      <c r="O2049" s="1243"/>
    </row>
    <row r="2050" spans="1:16" ht="13.5" thickBot="1">
      <c r="A2050" s="361">
        <f>A2048+1</f>
        <v>30</v>
      </c>
      <c r="C2050" s="358" t="s">
        <v>447</v>
      </c>
      <c r="D2050" s="1248">
        <f>D2039+D2048</f>
        <v>801109150.15413117</v>
      </c>
      <c r="E2050" s="1248">
        <f>E2039+E2048</f>
        <v>5202887.6971743107</v>
      </c>
      <c r="F2050" s="1248">
        <f>F2039+F2048</f>
        <v>-962988.68000000017</v>
      </c>
      <c r="G2050" s="1248">
        <f>G2039+G2048</f>
        <v>805349049.1713053</v>
      </c>
      <c r="I2050" s="381">
        <f>I2039+I2048</f>
        <v>168877299.11853558</v>
      </c>
      <c r="J2050" s="369"/>
      <c r="K2050" s="1248">
        <f>K2039+K2048</f>
        <v>1905048.9848017716</v>
      </c>
      <c r="L2050" s="1248">
        <f>L2039+L2048</f>
        <v>0</v>
      </c>
      <c r="M2050" s="1248">
        <f>M2039+M2048</f>
        <v>-962988.68000000017</v>
      </c>
      <c r="N2050" s="1248">
        <f>N2039+N2048</f>
        <v>-301294.69999999995</v>
      </c>
      <c r="O2050" s="1248">
        <f>O2039+O2048</f>
        <v>169518064.72333735</v>
      </c>
    </row>
    <row r="2051" spans="1:16" ht="13.5" thickTop="1"/>
    <row r="2053" spans="1:16" s="291" customFormat="1">
      <c r="A2053" s="1308" t="str">
        <f>$A$1</f>
        <v>COLUMBIA GAS OF KENTUCKY, INC.</v>
      </c>
      <c r="B2053" s="1308"/>
      <c r="C2053" s="1308"/>
      <c r="D2053" s="1308"/>
      <c r="E2053" s="1308"/>
      <c r="F2053" s="1308"/>
      <c r="G2053" s="1308"/>
      <c r="H2053" s="1308"/>
      <c r="I2053" s="1308"/>
      <c r="J2053" s="1308"/>
      <c r="K2053" s="1308"/>
      <c r="L2053" s="1308"/>
      <c r="M2053" s="1308"/>
      <c r="N2053" s="1308"/>
      <c r="O2053" s="1308"/>
    </row>
    <row r="2054" spans="1:16" s="291" customFormat="1">
      <c r="A2054" s="1308" t="str">
        <f>$A$2</f>
        <v>CASE NO. 2024 - 00092</v>
      </c>
      <c r="B2054" s="1308"/>
      <c r="C2054" s="1308"/>
      <c r="D2054" s="1308"/>
      <c r="E2054" s="1308"/>
      <c r="F2054" s="1308"/>
      <c r="G2054" s="1308"/>
      <c r="H2054" s="1308"/>
      <c r="I2054" s="1308"/>
      <c r="J2054" s="1308"/>
      <c r="K2054" s="1308"/>
      <c r="L2054" s="1308"/>
      <c r="M2054" s="1308"/>
      <c r="N2054" s="1308"/>
      <c r="O2054" s="1308"/>
    </row>
    <row r="2055" spans="1:16" s="291" customFormat="1">
      <c r="A2055" s="1308" t="str">
        <f>$A$3</f>
        <v>DETAIL OF ACTUAL &amp; FORECASTED PLANT, ACCUMULATED RESERVE &amp; DEPRECIATION EXPENSE</v>
      </c>
      <c r="B2055" s="1308"/>
      <c r="C2055" s="1308"/>
      <c r="D2055" s="1308"/>
      <c r="E2055" s="1308"/>
      <c r="F2055" s="1308"/>
      <c r="G2055" s="1308"/>
      <c r="H2055" s="1308"/>
      <c r="I2055" s="1308"/>
      <c r="J2055" s="1308"/>
      <c r="K2055" s="1308"/>
      <c r="L2055" s="1308"/>
      <c r="M2055" s="1308"/>
      <c r="N2055" s="1308"/>
      <c r="O2055" s="1308"/>
      <c r="P2055" s="357"/>
    </row>
    <row r="2056" spans="1:16" s="291" customFormat="1">
      <c r="A2056" s="1308" t="str">
        <f>$A$4</f>
        <v>FROM JANUARY 01, 2023 THROUGH DECEMBER 31, 2025</v>
      </c>
      <c r="B2056" s="1308"/>
      <c r="C2056" s="1308"/>
      <c r="D2056" s="1308"/>
      <c r="E2056" s="1308"/>
      <c r="F2056" s="1308"/>
      <c r="G2056" s="1308"/>
      <c r="H2056" s="1308"/>
      <c r="I2056" s="1308"/>
      <c r="J2056" s="1308"/>
      <c r="K2056" s="1308"/>
      <c r="L2056" s="1308"/>
      <c r="M2056" s="1308"/>
      <c r="N2056" s="1308"/>
      <c r="O2056" s="1308"/>
    </row>
    <row r="2057" spans="1:16" s="291" customFormat="1">
      <c r="B2057" s="293"/>
      <c r="P2057" s="312"/>
    </row>
    <row r="2058" spans="1:16" s="291" customFormat="1">
      <c r="A2058" s="297" t="str">
        <f>$A$6</f>
        <v xml:space="preserve">DATA: _X_ BASE PERIOD _X_ FORECASTED PERIOD     </v>
      </c>
      <c r="B2058" s="293"/>
      <c r="O2058" s="312" t="str">
        <f>$O$6</f>
        <v>WPB-2.1.C</v>
      </c>
      <c r="P2058" s="312"/>
    </row>
    <row r="2059" spans="1:16" s="291" customFormat="1">
      <c r="A2059" s="297" t="str">
        <f>$A$7</f>
        <v>TYPE OF FILING:___X___ORIGINAL______UPDATED</v>
      </c>
      <c r="B2059" s="293"/>
      <c r="O2059" s="312" t="s">
        <v>2186</v>
      </c>
      <c r="P2059" s="312"/>
    </row>
    <row r="2060" spans="1:16" s="291" customFormat="1">
      <c r="A2060" s="297" t="str">
        <f>$A$8</f>
        <v>WORKPAPER REFERENCE NO(S).:</v>
      </c>
      <c r="B2060" s="293"/>
      <c r="O2060" s="312" t="str">
        <f>$O$8</f>
        <v>WITNESS: GORE</v>
      </c>
    </row>
    <row r="2061" spans="1:16">
      <c r="A2061" s="918"/>
      <c r="B2061" s="919"/>
      <c r="C2061" s="918"/>
      <c r="D2061" s="918"/>
      <c r="E2061" s="918"/>
      <c r="F2061" s="918"/>
      <c r="G2061" s="918"/>
      <c r="H2061" s="918"/>
      <c r="I2061" s="918"/>
      <c r="J2061" s="918"/>
      <c r="K2061" s="918"/>
      <c r="L2061" s="918"/>
      <c r="M2061" s="918"/>
      <c r="N2061" s="918"/>
      <c r="O2061" s="920"/>
    </row>
    <row r="2062" spans="1:16">
      <c r="D2062" s="1311" t="s">
        <v>1768</v>
      </c>
      <c r="E2062" s="1311"/>
      <c r="F2062" s="1311"/>
      <c r="G2062" s="1311"/>
      <c r="I2062" s="1311" t="s">
        <v>1769</v>
      </c>
      <c r="J2062" s="1311"/>
      <c r="K2062" s="1311"/>
      <c r="L2062" s="1311"/>
      <c r="M2062" s="1311"/>
      <c r="N2062" s="1311"/>
      <c r="O2062" s="1311"/>
    </row>
    <row r="2063" spans="1:16">
      <c r="D2063" s="360">
        <f>G2008+1</f>
        <v>45474</v>
      </c>
      <c r="G2063" s="360">
        <f>D2063+30</f>
        <v>45504</v>
      </c>
      <c r="I2063" s="360">
        <f>D2063</f>
        <v>45474</v>
      </c>
      <c r="O2063" s="360">
        <f>G2063</f>
        <v>45504</v>
      </c>
    </row>
    <row r="2064" spans="1:16">
      <c r="D2064" s="361" t="s">
        <v>1757</v>
      </c>
      <c r="G2064" s="361" t="s">
        <v>1757</v>
      </c>
      <c r="I2064" s="361" t="s">
        <v>1758</v>
      </c>
      <c r="J2064" s="361" t="s">
        <v>488</v>
      </c>
      <c r="L2064" s="361" t="s">
        <v>1758</v>
      </c>
      <c r="O2064" s="361" t="s">
        <v>1758</v>
      </c>
    </row>
    <row r="2065" spans="1:15">
      <c r="A2065" s="361" t="s">
        <v>1770</v>
      </c>
      <c r="B2065" s="361" t="s">
        <v>368</v>
      </c>
      <c r="C2065" s="361"/>
      <c r="D2065" s="361" t="s">
        <v>437</v>
      </c>
      <c r="G2065" s="361" t="s">
        <v>439</v>
      </c>
      <c r="I2065" s="361" t="s">
        <v>437</v>
      </c>
      <c r="J2065" s="361" t="s">
        <v>1771</v>
      </c>
      <c r="K2065" s="361" t="s">
        <v>1772</v>
      </c>
      <c r="L2065" s="361" t="s">
        <v>1759</v>
      </c>
      <c r="N2065" s="361" t="s">
        <v>1760</v>
      </c>
      <c r="O2065" s="361" t="s">
        <v>439</v>
      </c>
    </row>
    <row r="2066" spans="1:15">
      <c r="A2066" s="364" t="s">
        <v>316</v>
      </c>
      <c r="B2066" s="364" t="s">
        <v>316</v>
      </c>
      <c r="C2066" s="364" t="s">
        <v>451</v>
      </c>
      <c r="D2066" s="364" t="s">
        <v>441</v>
      </c>
      <c r="E2066" s="364" t="s">
        <v>442</v>
      </c>
      <c r="F2066" s="364" t="s">
        <v>443</v>
      </c>
      <c r="G2066" s="364" t="s">
        <v>441</v>
      </c>
      <c r="I2066" s="364" t="s">
        <v>441</v>
      </c>
      <c r="J2066" s="364" t="s">
        <v>1773</v>
      </c>
      <c r="K2066" s="364" t="s">
        <v>1771</v>
      </c>
      <c r="L2066" s="364" t="s">
        <v>355</v>
      </c>
      <c r="M2066" s="364" t="s">
        <v>443</v>
      </c>
      <c r="N2066" s="364" t="s">
        <v>1763</v>
      </c>
      <c r="O2066" s="364" t="s">
        <v>441</v>
      </c>
    </row>
    <row r="2067" spans="1:15">
      <c r="D2067" s="361" t="s">
        <v>532</v>
      </c>
      <c r="E2067" s="361" t="s">
        <v>541</v>
      </c>
      <c r="F2067" s="361" t="s">
        <v>542</v>
      </c>
      <c r="G2067" s="361" t="s">
        <v>1764</v>
      </c>
      <c r="I2067" s="334" t="str">
        <f>"(5)"</f>
        <v>(5)</v>
      </c>
      <c r="J2067" s="334" t="str">
        <f>"(6)"</f>
        <v>(6)</v>
      </c>
      <c r="K2067" s="334" t="str">
        <f>"(7)=((1+4)/2*6/12))"</f>
        <v>(7)=((1+4)/2*6/12))</v>
      </c>
      <c r="L2067" s="334" t="str">
        <f>"(8)"</f>
        <v>(8)</v>
      </c>
      <c r="M2067" s="334" t="str">
        <f>"(9)"</f>
        <v>(9)</v>
      </c>
      <c r="N2067" s="334" t="str">
        <f>"(10)"</f>
        <v>(10)</v>
      </c>
      <c r="O2067" s="334" t="str">
        <f>"(11=5+7+8+9+10)"</f>
        <v>(11=5+7+8+9+10)</v>
      </c>
    </row>
    <row r="2068" spans="1:15">
      <c r="D2068" s="361" t="s">
        <v>320</v>
      </c>
      <c r="E2068" s="361" t="s">
        <v>320</v>
      </c>
      <c r="F2068" s="361" t="s">
        <v>320</v>
      </c>
      <c r="G2068" s="361" t="s">
        <v>320</v>
      </c>
      <c r="I2068" s="334" t="s">
        <v>320</v>
      </c>
      <c r="J2068" s="334" t="s">
        <v>529</v>
      </c>
      <c r="K2068" s="334" t="s">
        <v>320</v>
      </c>
      <c r="L2068" s="334" t="s">
        <v>320</v>
      </c>
      <c r="M2068" s="334" t="s">
        <v>320</v>
      </c>
      <c r="N2068" s="334" t="s">
        <v>320</v>
      </c>
      <c r="O2068" s="334" t="s">
        <v>320</v>
      </c>
    </row>
    <row r="2069" spans="1:15">
      <c r="A2069" s="361">
        <v>1</v>
      </c>
      <c r="B2069" s="362" t="s">
        <v>373</v>
      </c>
      <c r="D2069" s="361"/>
      <c r="E2069" s="361"/>
      <c r="F2069" s="361"/>
      <c r="G2069" s="361"/>
      <c r="I2069" s="334"/>
      <c r="J2069" s="334"/>
      <c r="K2069" s="334"/>
      <c r="L2069" s="334"/>
      <c r="M2069" s="334"/>
      <c r="N2069" s="334"/>
      <c r="O2069" s="334"/>
    </row>
    <row r="2070" spans="1:15">
      <c r="A2070" s="361">
        <f>A2069+1</f>
        <v>2</v>
      </c>
      <c r="B2070" s="365">
        <v>301</v>
      </c>
      <c r="C2070" s="358" t="s">
        <v>374</v>
      </c>
      <c r="D2070" s="1243">
        <f t="shared" ref="D2070:D2075" si="369">G1956</f>
        <v>521.20000000000005</v>
      </c>
      <c r="E2070" s="1243">
        <v>0</v>
      </c>
      <c r="F2070" s="1243">
        <v>0</v>
      </c>
      <c r="G2070" s="1243">
        <f t="shared" ref="G2070:G2075" si="370">SUM(D2070:F2070)</f>
        <v>521.20000000000005</v>
      </c>
      <c r="H2070" s="1243"/>
      <c r="I2070" s="1243">
        <f t="shared" ref="I2070:I2075" si="371">O1956</f>
        <v>0</v>
      </c>
      <c r="J2070" s="375" t="str">
        <f>$J$1614</f>
        <v>Amort.</v>
      </c>
      <c r="K2070" s="1243">
        <v>0</v>
      </c>
      <c r="L2070" s="1243">
        <v>0</v>
      </c>
      <c r="M2070" s="1243">
        <f t="shared" ref="M2070:M2075" si="372">F2070</f>
        <v>0</v>
      </c>
      <c r="N2070" s="1243">
        <v>0</v>
      </c>
      <c r="O2070" s="1243">
        <f t="shared" ref="O2070:O2075" si="373">I2070+K2070+L2070+M2070+N2070</f>
        <v>0</v>
      </c>
    </row>
    <row r="2071" spans="1:15">
      <c r="A2071" s="361">
        <f t="shared" ref="A2071:A2076" si="374">A2070+1</f>
        <v>3</v>
      </c>
      <c r="B2071" s="365">
        <v>303</v>
      </c>
      <c r="C2071" s="358" t="s">
        <v>375</v>
      </c>
      <c r="D2071" s="1243">
        <f t="shared" si="369"/>
        <v>96334.51</v>
      </c>
      <c r="E2071" s="1243">
        <v>0</v>
      </c>
      <c r="F2071" s="1243">
        <v>0</v>
      </c>
      <c r="G2071" s="1243">
        <f t="shared" si="370"/>
        <v>96334.51</v>
      </c>
      <c r="H2071" s="1243"/>
      <c r="I2071" s="1243">
        <f t="shared" si="371"/>
        <v>80467.956833333403</v>
      </c>
      <c r="J2071" s="375" t="str">
        <f>$J$1615</f>
        <v>Amort.</v>
      </c>
      <c r="K2071" s="1243">
        <f>+'WPB-2.1.E Intangibles'!K47</f>
        <v>267.59780555555557</v>
      </c>
      <c r="L2071" s="1243">
        <v>0</v>
      </c>
      <c r="M2071" s="1243">
        <f t="shared" si="372"/>
        <v>0</v>
      </c>
      <c r="N2071" s="1243">
        <v>0</v>
      </c>
      <c r="O2071" s="1243">
        <f t="shared" si="373"/>
        <v>80735.554638888963</v>
      </c>
    </row>
    <row r="2072" spans="1:15">
      <c r="A2072" s="361">
        <f t="shared" si="374"/>
        <v>4</v>
      </c>
      <c r="B2072" s="365">
        <v>303.10000000000002</v>
      </c>
      <c r="C2072" s="358" t="s">
        <v>376</v>
      </c>
      <c r="D2072" s="1243">
        <f t="shared" si="369"/>
        <v>943.27</v>
      </c>
      <c r="E2072" s="1243">
        <v>0</v>
      </c>
      <c r="F2072" s="1243">
        <v>0</v>
      </c>
      <c r="G2072" s="1243">
        <f t="shared" si="370"/>
        <v>943.27</v>
      </c>
      <c r="H2072" s="1243"/>
      <c r="I2072" s="1243">
        <f t="shared" si="371"/>
        <v>318.35000000000008</v>
      </c>
      <c r="J2072" s="375" t="str">
        <f>$J$1616</f>
        <v>Amort.</v>
      </c>
      <c r="K2072" s="1243">
        <v>0</v>
      </c>
      <c r="L2072" s="1243">
        <v>0</v>
      </c>
      <c r="M2072" s="1243">
        <f>F2072</f>
        <v>0</v>
      </c>
      <c r="N2072" s="1243">
        <v>0</v>
      </c>
      <c r="O2072" s="1243">
        <f t="shared" si="373"/>
        <v>318.35000000000008</v>
      </c>
    </row>
    <row r="2073" spans="1:15">
      <c r="A2073" s="361">
        <f t="shared" si="374"/>
        <v>5</v>
      </c>
      <c r="B2073" s="365">
        <v>303.2</v>
      </c>
      <c r="C2073" s="358" t="s">
        <v>377</v>
      </c>
      <c r="D2073" s="1243">
        <f t="shared" si="369"/>
        <v>0</v>
      </c>
      <c r="E2073" s="1243">
        <v>0</v>
      </c>
      <c r="F2073" s="1243">
        <v>0</v>
      </c>
      <c r="G2073" s="1243">
        <f t="shared" si="370"/>
        <v>0</v>
      </c>
      <c r="H2073" s="1243"/>
      <c r="I2073" s="1243">
        <f t="shared" si="371"/>
        <v>0</v>
      </c>
      <c r="J2073" s="375" t="str">
        <f>$J$1617</f>
        <v>Amort.</v>
      </c>
      <c r="K2073" s="1243">
        <v>0</v>
      </c>
      <c r="L2073" s="1243">
        <v>0</v>
      </c>
      <c r="M2073" s="1243">
        <f t="shared" si="372"/>
        <v>0</v>
      </c>
      <c r="N2073" s="1243">
        <v>0</v>
      </c>
      <c r="O2073" s="1243">
        <f t="shared" si="373"/>
        <v>0</v>
      </c>
    </row>
    <row r="2074" spans="1:15">
      <c r="A2074" s="361">
        <f t="shared" si="374"/>
        <v>6</v>
      </c>
      <c r="B2074" s="365">
        <v>303.3</v>
      </c>
      <c r="C2074" s="358" t="s">
        <v>378</v>
      </c>
      <c r="D2074" s="1243">
        <f t="shared" si="369"/>
        <v>11765857.390000002</v>
      </c>
      <c r="E2074" s="1243">
        <f>+'WPB-2.1.E Intangibles'!K17</f>
        <v>1089068</v>
      </c>
      <c r="F2074" s="1243">
        <f>-'WPB-2.1.E Intangibles'!K35</f>
        <v>-384711.06</v>
      </c>
      <c r="G2074" s="1243">
        <f t="shared" si="370"/>
        <v>12470214.330000002</v>
      </c>
      <c r="H2074" s="1243"/>
      <c r="I2074" s="1243">
        <f t="shared" si="371"/>
        <v>5532424.6756666703</v>
      </c>
      <c r="J2074" s="375" t="str">
        <f>$J$1618</f>
        <v>Amort.</v>
      </c>
      <c r="K2074" s="1243">
        <f>+'WPB-2.1.E Intangibles'!K48</f>
        <v>205452.51233333349</v>
      </c>
      <c r="L2074" s="1243">
        <v>0</v>
      </c>
      <c r="M2074" s="1243">
        <f t="shared" si="372"/>
        <v>-384711.06</v>
      </c>
      <c r="N2074" s="1243">
        <v>0</v>
      </c>
      <c r="O2074" s="1243">
        <f t="shared" si="373"/>
        <v>5353166.1280000042</v>
      </c>
    </row>
    <row r="2075" spans="1:15">
      <c r="A2075" s="361">
        <f t="shared" si="374"/>
        <v>7</v>
      </c>
      <c r="B2075" s="365">
        <v>303.99</v>
      </c>
      <c r="C2075" s="358" t="s">
        <v>1129</v>
      </c>
      <c r="D2075" s="1244">
        <f t="shared" si="369"/>
        <v>2105714.2113052025</v>
      </c>
      <c r="E2075" s="1244">
        <f>+'WPB-2.1.E Intangibles'!K21</f>
        <v>5415.6353020317774</v>
      </c>
      <c r="F2075" s="1244">
        <f>-'WPB-2.1.E Intangibles'!K36</f>
        <v>-27374.639999999999</v>
      </c>
      <c r="G2075" s="1244">
        <f t="shared" si="370"/>
        <v>2083755.2066072344</v>
      </c>
      <c r="H2075" s="1243"/>
      <c r="I2075" s="1244">
        <f t="shared" si="371"/>
        <v>1135754.9898373415</v>
      </c>
      <c r="J2075" s="375" t="str">
        <f>$J$1619</f>
        <v>Amort.</v>
      </c>
      <c r="K2075" s="1244">
        <f>+'WPB-2.1.E Intangibles'!K49</f>
        <v>35193.615516851685</v>
      </c>
      <c r="L2075" s="1244">
        <v>0</v>
      </c>
      <c r="M2075" s="1244">
        <f t="shared" si="372"/>
        <v>-27374.639999999999</v>
      </c>
      <c r="N2075" s="1244">
        <v>0</v>
      </c>
      <c r="O2075" s="1244">
        <f t="shared" si="373"/>
        <v>1143573.9653541932</v>
      </c>
    </row>
    <row r="2076" spans="1:15">
      <c r="A2076" s="361">
        <f t="shared" si="374"/>
        <v>8</v>
      </c>
      <c r="B2076" s="367"/>
      <c r="C2076" s="358" t="s">
        <v>379</v>
      </c>
      <c r="D2076" s="1243">
        <f>SUM(D2070:D2075)</f>
        <v>13969370.581305206</v>
      </c>
      <c r="E2076" s="1243">
        <f>SUM(E2070:E2075)</f>
        <v>1094483.6353020319</v>
      </c>
      <c r="F2076" s="1243">
        <f>SUM(F2070:F2075)</f>
        <v>-412085.7</v>
      </c>
      <c r="G2076" s="1243">
        <f>SUM(G2070:G2075)</f>
        <v>14651768.516607236</v>
      </c>
      <c r="H2076" s="1243"/>
      <c r="I2076" s="1243">
        <f>SUM(I2070:I2075)</f>
        <v>6748965.9723373447</v>
      </c>
      <c r="J2076" s="369"/>
      <c r="K2076" s="1243">
        <f>SUM(K2070:K2075)</f>
        <v>240913.72565574074</v>
      </c>
      <c r="L2076" s="1243">
        <f>SUM(L2070:L2075)</f>
        <v>0</v>
      </c>
      <c r="M2076" s="1243">
        <f>SUM(M2070:M2075)</f>
        <v>-412085.7</v>
      </c>
      <c r="N2076" s="1243">
        <f>SUM(N2070:N2075)</f>
        <v>0</v>
      </c>
      <c r="O2076" s="1243">
        <f>SUM(O2070:O2075)</f>
        <v>6577793.9979930865</v>
      </c>
    </row>
    <row r="2077" spans="1:15">
      <c r="A2077" s="361"/>
      <c r="B2077" s="367"/>
      <c r="C2077" s="368"/>
      <c r="D2077" s="1243"/>
      <c r="E2077" s="1243"/>
      <c r="F2077" s="1243"/>
      <c r="G2077" s="1243"/>
      <c r="H2077" s="1243"/>
      <c r="I2077" s="1243"/>
      <c r="J2077" s="369"/>
      <c r="K2077" s="1243"/>
      <c r="L2077" s="1243"/>
      <c r="M2077" s="1243"/>
      <c r="N2077" s="1243"/>
      <c r="O2077" s="1243"/>
    </row>
    <row r="2078" spans="1:15">
      <c r="A2078" s="361">
        <f>A2076+1</f>
        <v>9</v>
      </c>
      <c r="B2078" s="362" t="s">
        <v>1600</v>
      </c>
      <c r="C2078" s="368"/>
      <c r="D2078" s="1243"/>
      <c r="E2078" s="1243"/>
      <c r="F2078" s="1243"/>
      <c r="G2078" s="1243"/>
      <c r="H2078" s="1243"/>
      <c r="I2078" s="1243"/>
      <c r="J2078" s="369"/>
      <c r="K2078" s="1243"/>
      <c r="L2078" s="1243"/>
      <c r="M2078" s="1243"/>
      <c r="N2078" s="1243"/>
      <c r="O2078" s="1243"/>
    </row>
    <row r="2079" spans="1:15">
      <c r="A2079" s="361">
        <f t="shared" ref="A2079:A2109" si="375">A2078+1</f>
        <v>10</v>
      </c>
      <c r="B2079" s="365">
        <v>374.1</v>
      </c>
      <c r="C2079" s="358" t="s">
        <v>382</v>
      </c>
      <c r="D2079" s="1243">
        <f t="shared" ref="D2079:D2108" si="376">G1965</f>
        <v>205.4</v>
      </c>
      <c r="E2079" s="1243">
        <f>+'INPUT - B Schedule PLANT'!CY15</f>
        <v>0</v>
      </c>
      <c r="F2079" s="1243">
        <f>+'INPUT - B Schedule PLANT'!CZ15</f>
        <v>0</v>
      </c>
      <c r="G2079" s="1243">
        <f>SUM(D2079:F2079)</f>
        <v>205.4</v>
      </c>
      <c r="H2079" s="1243"/>
      <c r="I2079" s="1243">
        <f t="shared" ref="I2079:I2108" si="377">O1965</f>
        <v>0</v>
      </c>
      <c r="J2079" s="375" t="str">
        <f>$J$1623</f>
        <v>Non-Dep.</v>
      </c>
      <c r="K2079" s="1243">
        <v>0</v>
      </c>
      <c r="L2079" s="1243">
        <v>0</v>
      </c>
      <c r="M2079" s="1243">
        <f t="shared" ref="M2079:M2108" si="378">F2079</f>
        <v>0</v>
      </c>
      <c r="N2079" s="1243">
        <v>0</v>
      </c>
      <c r="O2079" s="1243">
        <f t="shared" ref="O2079:O2108" si="379">I2079+K2079+L2079+M2079+N2079</f>
        <v>0</v>
      </c>
    </row>
    <row r="2080" spans="1:15">
      <c r="A2080" s="361">
        <f t="shared" si="375"/>
        <v>11</v>
      </c>
      <c r="B2080" s="365">
        <v>374.2</v>
      </c>
      <c r="C2080" s="358" t="s">
        <v>383</v>
      </c>
      <c r="D2080" s="1243">
        <f t="shared" si="376"/>
        <v>876986.66</v>
      </c>
      <c r="E2080" s="1243">
        <f>+'INPUT - B Schedule PLANT'!CY16</f>
        <v>0</v>
      </c>
      <c r="F2080" s="1243">
        <f>+'INPUT - B Schedule PLANT'!CZ16</f>
        <v>0</v>
      </c>
      <c r="G2080" s="1243">
        <f t="shared" ref="G2080:G2108" si="380">SUM(D2080:F2080)</f>
        <v>876986.66</v>
      </c>
      <c r="H2080" s="1243"/>
      <c r="I2080" s="1243">
        <f t="shared" si="377"/>
        <v>-522.25</v>
      </c>
      <c r="J2080" s="375" t="str">
        <f>$J$1624</f>
        <v>Non-Dep.</v>
      </c>
      <c r="K2080" s="1243">
        <v>0</v>
      </c>
      <c r="L2080" s="1243">
        <v>0</v>
      </c>
      <c r="M2080" s="1243">
        <f t="shared" si="378"/>
        <v>0</v>
      </c>
      <c r="N2080" s="1243">
        <v>0</v>
      </c>
      <c r="O2080" s="1243">
        <f t="shared" si="379"/>
        <v>-522.25</v>
      </c>
    </row>
    <row r="2081" spans="1:15">
      <c r="A2081" s="361">
        <f t="shared" si="375"/>
        <v>12</v>
      </c>
      <c r="B2081" s="365">
        <v>374.4</v>
      </c>
      <c r="C2081" s="358" t="s">
        <v>384</v>
      </c>
      <c r="D2081" s="1243">
        <f t="shared" si="376"/>
        <v>2979477.5100000007</v>
      </c>
      <c r="E2081" s="1243">
        <f>+'INPUT - B Schedule PLANT'!CY17</f>
        <v>124235.29999999999</v>
      </c>
      <c r="F2081" s="1243">
        <f>+'INPUT - B Schedule PLANT'!CZ17</f>
        <v>0</v>
      </c>
      <c r="G2081" s="1243">
        <f t="shared" si="380"/>
        <v>3103712.8100000005</v>
      </c>
      <c r="H2081" s="1243"/>
      <c r="I2081" s="1243">
        <f t="shared" si="377"/>
        <v>380154.59</v>
      </c>
      <c r="J2081" s="376">
        <f>$J$1625</f>
        <v>1.2699999999999999E-2</v>
      </c>
      <c r="K2081" s="1243">
        <f t="shared" ref="K2081:K2087" si="381">ROUND((G2081+D2081)/2*J2081/12,0)</f>
        <v>3219</v>
      </c>
      <c r="L2081" s="1243">
        <v>0</v>
      </c>
      <c r="M2081" s="1243">
        <f t="shared" si="378"/>
        <v>0</v>
      </c>
      <c r="N2081" s="1243">
        <v>0</v>
      </c>
      <c r="O2081" s="1243">
        <f t="shared" si="379"/>
        <v>383373.59</v>
      </c>
    </row>
    <row r="2082" spans="1:15">
      <c r="A2082" s="361">
        <f t="shared" si="375"/>
        <v>13</v>
      </c>
      <c r="B2082" s="365">
        <v>374.5</v>
      </c>
      <c r="C2082" s="358" t="s">
        <v>385</v>
      </c>
      <c r="D2082" s="1243">
        <f t="shared" si="376"/>
        <v>2666577.16</v>
      </c>
      <c r="E2082" s="1243">
        <f>+'INPUT - B Schedule PLANT'!CY18</f>
        <v>0</v>
      </c>
      <c r="F2082" s="1243">
        <f>+'INPUT - B Schedule PLANT'!CZ18</f>
        <v>0</v>
      </c>
      <c r="G2082" s="1243">
        <f t="shared" si="380"/>
        <v>2666577.16</v>
      </c>
      <c r="H2082" s="1243"/>
      <c r="I2082" s="1243">
        <f t="shared" si="377"/>
        <v>1170964.1900000013</v>
      </c>
      <c r="J2082" s="376">
        <f>$J$1626</f>
        <v>1.0999999999999999E-2</v>
      </c>
      <c r="K2082" s="1243">
        <f t="shared" si="381"/>
        <v>2444</v>
      </c>
      <c r="L2082" s="1243">
        <v>0</v>
      </c>
      <c r="M2082" s="1243">
        <f t="shared" si="378"/>
        <v>0</v>
      </c>
      <c r="N2082" s="1243">
        <v>0</v>
      </c>
      <c r="O2082" s="1243">
        <f t="shared" si="379"/>
        <v>1173408.1900000013</v>
      </c>
    </row>
    <row r="2083" spans="1:15">
      <c r="A2083" s="361">
        <f t="shared" si="375"/>
        <v>14</v>
      </c>
      <c r="B2083" s="365">
        <v>375.2</v>
      </c>
      <c r="C2083" s="358" t="s">
        <v>386</v>
      </c>
      <c r="D2083" s="1243">
        <f t="shared" si="376"/>
        <v>2124.98</v>
      </c>
      <c r="E2083" s="1243">
        <f>+'INPUT - B Schedule PLANT'!CY19</f>
        <v>0</v>
      </c>
      <c r="F2083" s="1243">
        <f>+'INPUT - B Schedule PLANT'!CZ19</f>
        <v>0</v>
      </c>
      <c r="G2083" s="1243">
        <f t="shared" si="380"/>
        <v>2124.98</v>
      </c>
      <c r="H2083" s="1243"/>
      <c r="I2083" s="1243">
        <f t="shared" si="377"/>
        <v>2079.3000000000002</v>
      </c>
      <c r="J2083" s="376">
        <f>$J$1627</f>
        <v>2.3199999999999998E-2</v>
      </c>
      <c r="K2083" s="1243">
        <f t="shared" si="381"/>
        <v>4</v>
      </c>
      <c r="L2083" s="1243">
        <v>0</v>
      </c>
      <c r="M2083" s="1243">
        <f t="shared" si="378"/>
        <v>0</v>
      </c>
      <c r="N2083" s="1243">
        <v>0</v>
      </c>
      <c r="O2083" s="1243">
        <f t="shared" si="379"/>
        <v>2083.3000000000002</v>
      </c>
    </row>
    <row r="2084" spans="1:15">
      <c r="A2084" s="361">
        <f t="shared" si="375"/>
        <v>15</v>
      </c>
      <c r="B2084" s="365">
        <v>375.3</v>
      </c>
      <c r="C2084" s="358" t="s">
        <v>387</v>
      </c>
      <c r="D2084" s="1243">
        <f t="shared" si="376"/>
        <v>0</v>
      </c>
      <c r="E2084" s="1243">
        <f>+'INPUT - B Schedule PLANT'!CY20</f>
        <v>0</v>
      </c>
      <c r="F2084" s="1243">
        <f>+'INPUT - B Schedule PLANT'!CZ20</f>
        <v>0</v>
      </c>
      <c r="G2084" s="1243">
        <f t="shared" si="380"/>
        <v>0</v>
      </c>
      <c r="H2084" s="1243"/>
      <c r="I2084" s="1243">
        <f t="shared" si="377"/>
        <v>-77.66</v>
      </c>
      <c r="J2084" s="376">
        <f>$J$1628</f>
        <v>2.3199999999999998E-2</v>
      </c>
      <c r="K2084" s="1243">
        <f t="shared" si="381"/>
        <v>0</v>
      </c>
      <c r="L2084" s="1243">
        <v>0</v>
      </c>
      <c r="M2084" s="1243">
        <f t="shared" si="378"/>
        <v>0</v>
      </c>
      <c r="N2084" s="1243">
        <v>0</v>
      </c>
      <c r="O2084" s="1243">
        <f t="shared" si="379"/>
        <v>-77.66</v>
      </c>
    </row>
    <row r="2085" spans="1:15">
      <c r="A2085" s="361">
        <f t="shared" si="375"/>
        <v>16</v>
      </c>
      <c r="B2085" s="365">
        <v>375.4</v>
      </c>
      <c r="C2085" s="358" t="s">
        <v>388</v>
      </c>
      <c r="D2085" s="1243">
        <f t="shared" si="376"/>
        <v>3262025.2499999991</v>
      </c>
      <c r="E2085" s="1243">
        <f>+'INPUT - B Schedule PLANT'!CY21</f>
        <v>48647.76</v>
      </c>
      <c r="F2085" s="1243">
        <f>+'INPUT - B Schedule PLANT'!CZ21</f>
        <v>-24.75</v>
      </c>
      <c r="G2085" s="1243">
        <f t="shared" si="380"/>
        <v>3310648.2599999988</v>
      </c>
      <c r="H2085" s="1243"/>
      <c r="I2085" s="1243">
        <f t="shared" si="377"/>
        <v>476604.43000000011</v>
      </c>
      <c r="J2085" s="376">
        <f>$J$1629</f>
        <v>2.3199999999999998E-2</v>
      </c>
      <c r="K2085" s="1243">
        <f t="shared" si="381"/>
        <v>6354</v>
      </c>
      <c r="L2085" s="1243">
        <v>0</v>
      </c>
      <c r="M2085" s="1243">
        <f t="shared" si="378"/>
        <v>-24.75</v>
      </c>
      <c r="N2085" s="1243">
        <v>-8037.92</v>
      </c>
      <c r="O2085" s="1243">
        <f t="shared" si="379"/>
        <v>474895.76000000013</v>
      </c>
    </row>
    <row r="2086" spans="1:15">
      <c r="A2086" s="361">
        <f t="shared" si="375"/>
        <v>17</v>
      </c>
      <c r="B2086" s="365">
        <v>375.6</v>
      </c>
      <c r="C2086" s="358" t="s">
        <v>389</v>
      </c>
      <c r="D2086" s="1243">
        <f t="shared" si="376"/>
        <v>0</v>
      </c>
      <c r="E2086" s="1243">
        <f>+'INPUT - B Schedule PLANT'!CY22</f>
        <v>0</v>
      </c>
      <c r="F2086" s="1243">
        <f>+'INPUT - B Schedule PLANT'!CZ22</f>
        <v>0</v>
      </c>
      <c r="G2086" s="1243">
        <f t="shared" si="380"/>
        <v>0</v>
      </c>
      <c r="H2086" s="1243"/>
      <c r="I2086" s="1243">
        <f t="shared" si="377"/>
        <v>0.02</v>
      </c>
      <c r="J2086" s="376">
        <f>$J$1630</f>
        <v>2.3199999999999998E-2</v>
      </c>
      <c r="K2086" s="1243">
        <f t="shared" si="381"/>
        <v>0</v>
      </c>
      <c r="L2086" s="1243">
        <v>0</v>
      </c>
      <c r="M2086" s="1243">
        <f t="shared" si="378"/>
        <v>0</v>
      </c>
      <c r="N2086" s="1243">
        <v>0</v>
      </c>
      <c r="O2086" s="1243">
        <f t="shared" si="379"/>
        <v>0.02</v>
      </c>
    </row>
    <row r="2087" spans="1:15">
      <c r="A2087" s="361">
        <f t="shared" si="375"/>
        <v>18</v>
      </c>
      <c r="B2087" s="365">
        <v>375.7</v>
      </c>
      <c r="C2087" s="358" t="s">
        <v>390</v>
      </c>
      <c r="D2087" s="1243">
        <f t="shared" si="376"/>
        <v>9587092.5600000005</v>
      </c>
      <c r="E2087" s="1243">
        <f>+'INPUT - B Schedule PLANT'!CY23</f>
        <v>1394.94</v>
      </c>
      <c r="F2087" s="1243">
        <f>+'INPUT - B Schedule PLANT'!CZ23</f>
        <v>0</v>
      </c>
      <c r="G2087" s="1243">
        <f t="shared" si="380"/>
        <v>9588487.5</v>
      </c>
      <c r="H2087" s="1243"/>
      <c r="I2087" s="1243">
        <f t="shared" si="377"/>
        <v>4800250.6999999983</v>
      </c>
      <c r="J2087" s="376">
        <f>$J$1631</f>
        <v>2.3199999999999998E-2</v>
      </c>
      <c r="K2087" s="1243">
        <f t="shared" si="381"/>
        <v>18536</v>
      </c>
      <c r="L2087" s="1243">
        <v>0</v>
      </c>
      <c r="M2087" s="1243">
        <f t="shared" si="378"/>
        <v>0</v>
      </c>
      <c r="N2087" s="1243">
        <v>0</v>
      </c>
      <c r="O2087" s="1243">
        <f t="shared" si="379"/>
        <v>4818786.6999999983</v>
      </c>
    </row>
    <row r="2088" spans="1:15">
      <c r="A2088" s="361">
        <f t="shared" si="375"/>
        <v>19</v>
      </c>
      <c r="B2088" s="365">
        <v>375.71</v>
      </c>
      <c r="C2088" s="358" t="s">
        <v>391</v>
      </c>
      <c r="D2088" s="1243">
        <f t="shared" si="376"/>
        <v>880994.59</v>
      </c>
      <c r="E2088" s="1243">
        <f>+'INPUT - B Schedule PLANT'!CY24</f>
        <v>0</v>
      </c>
      <c r="F2088" s="1243">
        <f>+'INPUT - B Schedule PLANT'!CZ24</f>
        <v>0</v>
      </c>
      <c r="G2088" s="1243">
        <f t="shared" si="380"/>
        <v>880994.59</v>
      </c>
      <c r="H2088" s="1243"/>
      <c r="I2088" s="1243">
        <f t="shared" si="377"/>
        <v>787424.36000000057</v>
      </c>
      <c r="J2088" s="375" t="str">
        <f>$J$1632</f>
        <v>Amort.</v>
      </c>
      <c r="K2088" s="1243">
        <f>$K$1290</f>
        <v>4743.54</v>
      </c>
      <c r="L2088" s="1243">
        <v>0</v>
      </c>
      <c r="M2088" s="1243">
        <f t="shared" si="378"/>
        <v>0</v>
      </c>
      <c r="N2088" s="1243">
        <v>0</v>
      </c>
      <c r="O2088" s="1243">
        <f t="shared" si="379"/>
        <v>792167.90000000061</v>
      </c>
    </row>
    <row r="2089" spans="1:15">
      <c r="A2089" s="361">
        <f t="shared" si="375"/>
        <v>20</v>
      </c>
      <c r="B2089" s="365">
        <v>375.8</v>
      </c>
      <c r="C2089" s="358" t="s">
        <v>392</v>
      </c>
      <c r="D2089" s="1243">
        <f t="shared" si="376"/>
        <v>132125.04</v>
      </c>
      <c r="E2089" s="1243">
        <f>+'INPUT - B Schedule PLANT'!CY25</f>
        <v>0</v>
      </c>
      <c r="F2089" s="1243">
        <f>+'INPUT - B Schedule PLANT'!CZ25</f>
        <v>0</v>
      </c>
      <c r="G2089" s="1243">
        <f t="shared" si="380"/>
        <v>132125.04</v>
      </c>
      <c r="H2089" s="1243"/>
      <c r="I2089" s="1243">
        <f t="shared" si="377"/>
        <v>13018.43</v>
      </c>
      <c r="J2089" s="376">
        <f>$J$1633</f>
        <v>2.3199999999999998E-2</v>
      </c>
      <c r="K2089" s="1243">
        <f t="shared" ref="K2089:K2108" si="382">ROUND((G2089+D2089)/2*J2089/12,0)</f>
        <v>255</v>
      </c>
      <c r="L2089" s="1243">
        <v>0</v>
      </c>
      <c r="M2089" s="1243">
        <f t="shared" si="378"/>
        <v>0</v>
      </c>
      <c r="N2089" s="1243">
        <v>0</v>
      </c>
      <c r="O2089" s="1243">
        <f t="shared" si="379"/>
        <v>13273.43</v>
      </c>
    </row>
    <row r="2090" spans="1:15">
      <c r="A2090" s="361">
        <f t="shared" si="375"/>
        <v>21</v>
      </c>
      <c r="B2090" s="365">
        <v>376</v>
      </c>
      <c r="C2090" s="358" t="s">
        <v>1621</v>
      </c>
      <c r="D2090" s="1243">
        <f t="shared" si="376"/>
        <v>414705237.01649886</v>
      </c>
      <c r="E2090" s="1243">
        <f>'WPB-2.1.D SMRP'!E855</f>
        <v>486117.79734060145</v>
      </c>
      <c r="F2090" s="1243">
        <f>'WPB-2.1.D SMRP'!F855</f>
        <v>-23094.874398484801</v>
      </c>
      <c r="G2090" s="1243">
        <f t="shared" si="380"/>
        <v>415168259.93944097</v>
      </c>
      <c r="H2090" s="1243"/>
      <c r="I2090" s="1243">
        <f t="shared" si="377"/>
        <v>82935739.519677386</v>
      </c>
      <c r="J2090" s="376">
        <f>$J$1634</f>
        <v>1.7399999999999999E-2</v>
      </c>
      <c r="K2090" s="1243">
        <f>'WPB-2.1.D SMRP'!K855</f>
        <v>601658.28500000003</v>
      </c>
      <c r="L2090" s="1243">
        <v>0</v>
      </c>
      <c r="M2090" s="1243">
        <f>F2090</f>
        <v>-23094.874398484801</v>
      </c>
      <c r="N2090" s="1243">
        <f>'WPB-2.1.D SMRP'!N855</f>
        <v>-11104.691885343038</v>
      </c>
      <c r="O2090" s="1243">
        <f t="shared" si="379"/>
        <v>83503198.23839356</v>
      </c>
    </row>
    <row r="2091" spans="1:15">
      <c r="A2091" s="361">
        <f t="shared" si="375"/>
        <v>22</v>
      </c>
      <c r="B2091" s="365">
        <v>378.1</v>
      </c>
      <c r="C2091" s="358" t="s">
        <v>394</v>
      </c>
      <c r="D2091" s="1243">
        <f t="shared" si="376"/>
        <v>167304.12</v>
      </c>
      <c r="E2091" s="1243">
        <f>+'INPUT - B Schedule PLANT'!CY27</f>
        <v>0</v>
      </c>
      <c r="F2091" s="1243">
        <f>+'INPUT - B Schedule PLANT'!CZ27</f>
        <v>0</v>
      </c>
      <c r="G2091" s="1243">
        <f t="shared" si="380"/>
        <v>167304.12</v>
      </c>
      <c r="H2091" s="1243"/>
      <c r="I2091" s="1243">
        <f t="shared" si="377"/>
        <v>11175.849999999926</v>
      </c>
      <c r="J2091" s="376">
        <f>$J$1635</f>
        <v>2.52E-2</v>
      </c>
      <c r="K2091" s="1243">
        <f t="shared" si="382"/>
        <v>351</v>
      </c>
      <c r="L2091" s="1243">
        <v>0</v>
      </c>
      <c r="M2091" s="1243">
        <f t="shared" si="378"/>
        <v>0</v>
      </c>
      <c r="N2091" s="1243">
        <v>0</v>
      </c>
      <c r="O2091" s="1243">
        <f t="shared" si="379"/>
        <v>11526.849999999926</v>
      </c>
    </row>
    <row r="2092" spans="1:15">
      <c r="A2092" s="361">
        <f t="shared" si="375"/>
        <v>23</v>
      </c>
      <c r="B2092" s="365">
        <v>378.2</v>
      </c>
      <c r="C2092" s="358" t="s">
        <v>1622</v>
      </c>
      <c r="D2092" s="1243">
        <f t="shared" si="376"/>
        <v>26810871.454025183</v>
      </c>
      <c r="E2092" s="1243">
        <f>'WPB-2.1.D SMRP'!E859</f>
        <v>557051.97479424777</v>
      </c>
      <c r="F2092" s="1243">
        <f>'WPB-2.1.D SMRP'!F859</f>
        <v>-4.3354481531423517E-3</v>
      </c>
      <c r="G2092" s="1243">
        <f t="shared" si="380"/>
        <v>27367923.424483981</v>
      </c>
      <c r="H2092" s="1243"/>
      <c r="I2092" s="1243">
        <f t="shared" si="377"/>
        <v>3453769.2788276533</v>
      </c>
      <c r="J2092" s="376">
        <f>$J$1636</f>
        <v>2.52E-2</v>
      </c>
      <c r="K2092" s="1243">
        <f>'WPB-2.1.D SMRP'!K859</f>
        <v>56887.8</v>
      </c>
      <c r="L2092" s="1243">
        <v>0</v>
      </c>
      <c r="M2092" s="1243">
        <f>F2092</f>
        <v>-4.3354481531423517E-3</v>
      </c>
      <c r="N2092" s="1243">
        <f>'WPB-2.1.D SMRP'!N859</f>
        <v>-7324.0573708600041</v>
      </c>
      <c r="O2092" s="1243">
        <f t="shared" si="379"/>
        <v>3503333.0171213448</v>
      </c>
    </row>
    <row r="2093" spans="1:15">
      <c r="A2093" s="361">
        <f t="shared" si="375"/>
        <v>24</v>
      </c>
      <c r="B2093" s="365">
        <v>378.3</v>
      </c>
      <c r="C2093" s="358" t="s">
        <v>396</v>
      </c>
      <c r="D2093" s="1243">
        <f t="shared" si="376"/>
        <v>45443.08</v>
      </c>
      <c r="E2093" s="1243">
        <f>+'INPUT - B Schedule PLANT'!CY29</f>
        <v>0</v>
      </c>
      <c r="F2093" s="1243">
        <f>+'INPUT - B Schedule PLANT'!CZ29</f>
        <v>0</v>
      </c>
      <c r="G2093" s="1243">
        <f t="shared" si="380"/>
        <v>45443.08</v>
      </c>
      <c r="H2093" s="1243"/>
      <c r="I2093" s="1243">
        <f t="shared" si="377"/>
        <v>43738.320000000007</v>
      </c>
      <c r="J2093" s="376">
        <f>$J$1637</f>
        <v>2.52E-2</v>
      </c>
      <c r="K2093" s="1243">
        <f t="shared" si="382"/>
        <v>95</v>
      </c>
      <c r="L2093" s="1243">
        <v>0</v>
      </c>
      <c r="M2093" s="1243">
        <f t="shared" si="378"/>
        <v>0</v>
      </c>
      <c r="N2093" s="1243">
        <v>0</v>
      </c>
      <c r="O2093" s="1243">
        <f t="shared" si="379"/>
        <v>43833.320000000007</v>
      </c>
    </row>
    <row r="2094" spans="1:15">
      <c r="A2094" s="361">
        <f t="shared" si="375"/>
        <v>25</v>
      </c>
      <c r="B2094" s="365">
        <v>379.1</v>
      </c>
      <c r="C2094" s="358" t="s">
        <v>397</v>
      </c>
      <c r="D2094" s="1243">
        <f t="shared" si="376"/>
        <v>1554144.06</v>
      </c>
      <c r="E2094" s="1243">
        <f>+'INPUT - B Schedule PLANT'!CY30</f>
        <v>0</v>
      </c>
      <c r="F2094" s="1243">
        <f>+'INPUT - B Schedule PLANT'!CZ30</f>
        <v>0</v>
      </c>
      <c r="G2094" s="1243">
        <f t="shared" si="380"/>
        <v>1554144.06</v>
      </c>
      <c r="H2094" s="1243"/>
      <c r="I2094" s="1243">
        <f t="shared" si="377"/>
        <v>370189.19000000006</v>
      </c>
      <c r="J2094" s="376">
        <f>$J$1638</f>
        <v>2.4199999999999999E-2</v>
      </c>
      <c r="K2094" s="1243">
        <f t="shared" si="382"/>
        <v>3134</v>
      </c>
      <c r="L2094" s="1243">
        <v>0</v>
      </c>
      <c r="M2094" s="1243">
        <f t="shared" si="378"/>
        <v>0</v>
      </c>
      <c r="N2094" s="1243">
        <v>0</v>
      </c>
      <c r="O2094" s="1243">
        <f t="shared" si="379"/>
        <v>373323.19000000006</v>
      </c>
    </row>
    <row r="2095" spans="1:15">
      <c r="A2095" s="361">
        <f t="shared" si="375"/>
        <v>26</v>
      </c>
      <c r="B2095" s="365">
        <v>380</v>
      </c>
      <c r="C2095" s="358" t="s">
        <v>1623</v>
      </c>
      <c r="D2095" s="1243">
        <f t="shared" si="376"/>
        <v>203793923.60834214</v>
      </c>
      <c r="E2095" s="1243">
        <f>'WPB-2.1.D SMRP'!E863</f>
        <v>50719.649999999907</v>
      </c>
      <c r="F2095" s="1243">
        <f>'WPB-2.1.D SMRP'!F863</f>
        <v>-63993.721490201948</v>
      </c>
      <c r="G2095" s="1243">
        <f t="shared" si="380"/>
        <v>203780649.53685194</v>
      </c>
      <c r="H2095" s="1243"/>
      <c r="I2095" s="1243">
        <f t="shared" si="377"/>
        <v>62913111.403542429</v>
      </c>
      <c r="J2095" s="376">
        <f>$J$1639</f>
        <v>3.9800000000000002E-2</v>
      </c>
      <c r="K2095" s="1243">
        <f>'WPB-2.1.D SMRP'!K863</f>
        <v>675894.76600000006</v>
      </c>
      <c r="L2095" s="1243">
        <v>0</v>
      </c>
      <c r="M2095" s="1243">
        <f>F2095</f>
        <v>-63993.721490201948</v>
      </c>
      <c r="N2095" s="1243">
        <f>'WPB-2.1.D SMRP'!N863</f>
        <v>-3.604002355132252E-3</v>
      </c>
      <c r="O2095" s="1243">
        <f t="shared" si="379"/>
        <v>63525012.444448225</v>
      </c>
    </row>
    <row r="2096" spans="1:15">
      <c r="A2096" s="361">
        <f t="shared" si="375"/>
        <v>27</v>
      </c>
      <c r="B2096" s="365">
        <v>381</v>
      </c>
      <c r="C2096" s="358" t="s">
        <v>399</v>
      </c>
      <c r="D2096" s="1243">
        <f t="shared" si="376"/>
        <v>19382533.990000006</v>
      </c>
      <c r="E2096" s="1243">
        <f>+'INPUT - B Schedule PLANT'!CY32</f>
        <v>98375.95</v>
      </c>
      <c r="F2096" s="1243">
        <f>+'INPUT - B Schedule PLANT'!CZ32</f>
        <v>-52367.69</v>
      </c>
      <c r="G2096" s="1243">
        <f t="shared" si="380"/>
        <v>19428542.250000004</v>
      </c>
      <c r="H2096" s="1243"/>
      <c r="I2096" s="1243">
        <f t="shared" si="377"/>
        <v>1847350.0599999994</v>
      </c>
      <c r="J2096" s="376">
        <f>$J$1640</f>
        <v>2.6499999999999999E-2</v>
      </c>
      <c r="K2096" s="1243">
        <f t="shared" si="382"/>
        <v>42854</v>
      </c>
      <c r="L2096" s="1243">
        <v>0</v>
      </c>
      <c r="M2096" s="1243">
        <f t="shared" si="378"/>
        <v>-52367.69</v>
      </c>
      <c r="N2096" s="1243">
        <v>0</v>
      </c>
      <c r="O2096" s="1243">
        <f t="shared" si="379"/>
        <v>1837836.3699999994</v>
      </c>
    </row>
    <row r="2097" spans="1:15">
      <c r="A2097" s="361">
        <f t="shared" si="375"/>
        <v>28</v>
      </c>
      <c r="B2097" s="365">
        <v>381.1</v>
      </c>
      <c r="C2097" s="358" t="s">
        <v>2366</v>
      </c>
      <c r="D2097" s="1243">
        <f t="shared" si="376"/>
        <v>9980854.4800000004</v>
      </c>
      <c r="E2097" s="1243">
        <f>+'INPUT - B Schedule PLANT'!CY33</f>
        <v>0</v>
      </c>
      <c r="F2097" s="1243">
        <f>+'INPUT - B Schedule PLANT'!CZ33</f>
        <v>0</v>
      </c>
      <c r="G2097" s="1243">
        <f t="shared" si="380"/>
        <v>9980854.4800000004</v>
      </c>
      <c r="H2097" s="1243"/>
      <c r="I2097" s="1243">
        <f t="shared" si="377"/>
        <v>5734383.0300000031</v>
      </c>
      <c r="J2097" s="376">
        <f>$J$1641</f>
        <v>7.4800000000000005E-2</v>
      </c>
      <c r="K2097" s="1243">
        <f t="shared" si="382"/>
        <v>62214</v>
      </c>
      <c r="L2097" s="1243">
        <v>0</v>
      </c>
      <c r="M2097" s="1243">
        <f t="shared" si="378"/>
        <v>0</v>
      </c>
      <c r="N2097" s="1243">
        <v>0</v>
      </c>
      <c r="O2097" s="1243">
        <f t="shared" si="379"/>
        <v>5796597.0300000031</v>
      </c>
    </row>
    <row r="2098" spans="1:15">
      <c r="A2098" s="361">
        <f t="shared" si="375"/>
        <v>29</v>
      </c>
      <c r="B2098" s="365">
        <v>382</v>
      </c>
      <c r="C2098" s="358" t="s">
        <v>1624</v>
      </c>
      <c r="D2098" s="1243">
        <f t="shared" si="376"/>
        <v>10589868.255317178</v>
      </c>
      <c r="E2098" s="1243">
        <f>'WPB-2.1.D SMRP'!E867</f>
        <v>7232.1799999999985</v>
      </c>
      <c r="F2098" s="1243">
        <f>'WPB-2.1.D SMRP'!F867</f>
        <v>-1372.0375263640485</v>
      </c>
      <c r="G2098" s="1243">
        <f t="shared" si="380"/>
        <v>10595728.397790814</v>
      </c>
      <c r="H2098" s="1243"/>
      <c r="I2098" s="1243">
        <f t="shared" si="377"/>
        <v>5930330.6123171775</v>
      </c>
      <c r="J2098" s="376">
        <f>$J$1642</f>
        <v>1.77E-2</v>
      </c>
      <c r="K2098" s="1243">
        <f>'WPB-2.1.D SMRP'!K867</f>
        <v>15623.486000000001</v>
      </c>
      <c r="L2098" s="1243">
        <v>0</v>
      </c>
      <c r="M2098" s="1243">
        <f t="shared" si="378"/>
        <v>-1372.0375263640485</v>
      </c>
      <c r="N2098" s="1243">
        <f>'WPB-2.1.D SMRP'!N867</f>
        <v>0</v>
      </c>
      <c r="O2098" s="1243">
        <f t="shared" si="379"/>
        <v>5944582.0607908126</v>
      </c>
    </row>
    <row r="2099" spans="1:15">
      <c r="A2099" s="361">
        <f t="shared" si="375"/>
        <v>30</v>
      </c>
      <c r="B2099" s="365">
        <v>383</v>
      </c>
      <c r="C2099" s="358" t="s">
        <v>1625</v>
      </c>
      <c r="D2099" s="1243">
        <f t="shared" si="376"/>
        <v>7448234.5653826492</v>
      </c>
      <c r="E2099" s="1243">
        <f>'WPB-2.1.D SMRP'!E871</f>
        <v>9112.3504776841164</v>
      </c>
      <c r="F2099" s="1243">
        <f>'WPB-2.1.D SMRP'!F871</f>
        <v>-1698.1100000000001</v>
      </c>
      <c r="G2099" s="1243">
        <f t="shared" si="380"/>
        <v>7455648.8058603331</v>
      </c>
      <c r="H2099" s="1243"/>
      <c r="I2099" s="1243">
        <f t="shared" si="377"/>
        <v>2557183.7805464217</v>
      </c>
      <c r="J2099" s="376">
        <f>$J$1643</f>
        <v>1.9400000000000001E-2</v>
      </c>
      <c r="K2099" s="1243">
        <f>'WPB-2.1.D SMRP'!K871</f>
        <v>12047.171</v>
      </c>
      <c r="L2099" s="1243">
        <v>0</v>
      </c>
      <c r="M2099" s="1243">
        <f t="shared" si="378"/>
        <v>-1698.1100000000001</v>
      </c>
      <c r="N2099" s="1243">
        <f>'WPB-2.1.D SMRP'!N871</f>
        <v>0</v>
      </c>
      <c r="O2099" s="1243">
        <f t="shared" si="379"/>
        <v>2567532.8415464219</v>
      </c>
    </row>
    <row r="2100" spans="1:15">
      <c r="A2100" s="361">
        <f t="shared" si="375"/>
        <v>31</v>
      </c>
      <c r="B2100" s="365">
        <v>384</v>
      </c>
      <c r="C2100" s="358" t="s">
        <v>402</v>
      </c>
      <c r="D2100" s="1243">
        <f t="shared" si="376"/>
        <v>2085138.0999999999</v>
      </c>
      <c r="E2100" s="1243">
        <f>+'INPUT - B Schedule PLANT'!CY36</f>
        <v>13.24</v>
      </c>
      <c r="F2100" s="1243">
        <f>+'INPUT - B Schedule PLANT'!CZ36</f>
        <v>0</v>
      </c>
      <c r="G2100" s="1243">
        <f t="shared" si="380"/>
        <v>2085151.3399999999</v>
      </c>
      <c r="H2100" s="1243"/>
      <c r="I2100" s="1243">
        <f t="shared" si="377"/>
        <v>1738642.0399999991</v>
      </c>
      <c r="J2100" s="376">
        <f>$J$1644</f>
        <v>9.9000000000000008E-3</v>
      </c>
      <c r="K2100" s="1243">
        <f t="shared" si="382"/>
        <v>1720</v>
      </c>
      <c r="L2100" s="1243">
        <v>0</v>
      </c>
      <c r="M2100" s="1243">
        <f t="shared" si="378"/>
        <v>0</v>
      </c>
      <c r="N2100" s="1243">
        <v>0</v>
      </c>
      <c r="O2100" s="1243">
        <f t="shared" si="379"/>
        <v>1740362.0399999991</v>
      </c>
    </row>
    <row r="2101" spans="1:15">
      <c r="A2101" s="361">
        <f t="shared" si="375"/>
        <v>32</v>
      </c>
      <c r="B2101" s="365">
        <v>385</v>
      </c>
      <c r="C2101" s="358" t="s">
        <v>403</v>
      </c>
      <c r="D2101" s="1243">
        <f t="shared" si="376"/>
        <v>6155762.25</v>
      </c>
      <c r="E2101" s="1243">
        <f>+'INPUT - B Schedule PLANT'!CY37</f>
        <v>8012.76</v>
      </c>
      <c r="F2101" s="1243">
        <f>+'INPUT - B Schedule PLANT'!CZ37</f>
        <v>-13380.56</v>
      </c>
      <c r="G2101" s="1243">
        <f t="shared" si="380"/>
        <v>6150394.4500000002</v>
      </c>
      <c r="H2101" s="1243"/>
      <c r="I2101" s="1243">
        <f t="shared" si="377"/>
        <v>851242.17999999993</v>
      </c>
      <c r="J2101" s="376">
        <f>$J$1645</f>
        <v>3.73E-2</v>
      </c>
      <c r="K2101" s="1243">
        <f t="shared" si="382"/>
        <v>19126</v>
      </c>
      <c r="L2101" s="1243">
        <v>0</v>
      </c>
      <c r="M2101" s="1243">
        <f t="shared" si="378"/>
        <v>-13380.56</v>
      </c>
      <c r="N2101" s="1243">
        <v>-336.29</v>
      </c>
      <c r="O2101" s="1243">
        <f t="shared" si="379"/>
        <v>856651.32999999984</v>
      </c>
    </row>
    <row r="2102" spans="1:15">
      <c r="A2102" s="361">
        <f t="shared" si="375"/>
        <v>33</v>
      </c>
      <c r="B2102" s="365">
        <v>387.2</v>
      </c>
      <c r="C2102" s="358" t="s">
        <v>404</v>
      </c>
      <c r="D2102" s="1243">
        <f t="shared" si="376"/>
        <v>0</v>
      </c>
      <c r="E2102" s="1243">
        <f>+'INPUT - B Schedule PLANT'!CY38</f>
        <v>0</v>
      </c>
      <c r="F2102" s="1243">
        <f>+'INPUT - B Schedule PLANT'!CZ38</f>
        <v>0</v>
      </c>
      <c r="G2102" s="1243">
        <f t="shared" si="380"/>
        <v>0</v>
      </c>
      <c r="H2102" s="1243"/>
      <c r="I2102" s="1243">
        <f t="shared" si="377"/>
        <v>-59912.03</v>
      </c>
      <c r="J2102" s="376">
        <f>$J$1646</f>
        <v>0</v>
      </c>
      <c r="K2102" s="1243">
        <f t="shared" si="382"/>
        <v>0</v>
      </c>
      <c r="L2102" s="1243">
        <v>0</v>
      </c>
      <c r="M2102" s="1243">
        <f t="shared" si="378"/>
        <v>0</v>
      </c>
      <c r="N2102" s="1243">
        <v>0</v>
      </c>
      <c r="O2102" s="1243">
        <f t="shared" si="379"/>
        <v>-59912.03</v>
      </c>
    </row>
    <row r="2103" spans="1:15">
      <c r="A2103" s="361">
        <f t="shared" si="375"/>
        <v>34</v>
      </c>
      <c r="B2103" s="365">
        <v>387.41</v>
      </c>
      <c r="C2103" s="358" t="s">
        <v>405</v>
      </c>
      <c r="D2103" s="1243">
        <f t="shared" si="376"/>
        <v>260538.46000000008</v>
      </c>
      <c r="E2103" s="1243">
        <f>+'INPUT - B Schedule PLANT'!CY39</f>
        <v>0</v>
      </c>
      <c r="F2103" s="1243">
        <f>+'INPUT - B Schedule PLANT'!CZ39</f>
        <v>0</v>
      </c>
      <c r="G2103" s="1243">
        <f t="shared" si="380"/>
        <v>260538.46000000008</v>
      </c>
      <c r="H2103" s="1243"/>
      <c r="I2103" s="1243">
        <f t="shared" si="377"/>
        <v>64614.970000000059</v>
      </c>
      <c r="J2103" s="376">
        <f>$J$1647</f>
        <v>3.2399999999999998E-2</v>
      </c>
      <c r="K2103" s="1243">
        <f t="shared" si="382"/>
        <v>703</v>
      </c>
      <c r="L2103" s="1243">
        <v>0</v>
      </c>
      <c r="M2103" s="1243">
        <f t="shared" si="378"/>
        <v>0</v>
      </c>
      <c r="N2103" s="1243">
        <v>0</v>
      </c>
      <c r="O2103" s="1243">
        <f t="shared" si="379"/>
        <v>65317.970000000059</v>
      </c>
    </row>
    <row r="2104" spans="1:15">
      <c r="A2104" s="361">
        <f t="shared" si="375"/>
        <v>35</v>
      </c>
      <c r="B2104" s="365">
        <v>387.42</v>
      </c>
      <c r="C2104" s="358" t="s">
        <v>406</v>
      </c>
      <c r="D2104" s="1243">
        <f t="shared" si="376"/>
        <v>419367.40000000008</v>
      </c>
      <c r="E2104" s="1243">
        <f>+'INPUT - B Schedule PLANT'!CY40</f>
        <v>0</v>
      </c>
      <c r="F2104" s="1243">
        <f>+'INPUT - B Schedule PLANT'!CZ40</f>
        <v>0</v>
      </c>
      <c r="G2104" s="1243">
        <f t="shared" si="380"/>
        <v>419367.40000000008</v>
      </c>
      <c r="H2104" s="1243"/>
      <c r="I2104" s="1243">
        <f t="shared" si="377"/>
        <v>350191.80999999976</v>
      </c>
      <c r="J2104" s="376">
        <f>$J$1648</f>
        <v>3.2399999999999998E-2</v>
      </c>
      <c r="K2104" s="1243">
        <f t="shared" si="382"/>
        <v>1132</v>
      </c>
      <c r="L2104" s="1243">
        <v>0</v>
      </c>
      <c r="M2104" s="1243">
        <f t="shared" si="378"/>
        <v>0</v>
      </c>
      <c r="N2104" s="1243">
        <v>0</v>
      </c>
      <c r="O2104" s="1243">
        <f t="shared" si="379"/>
        <v>351323.80999999976</v>
      </c>
    </row>
    <row r="2105" spans="1:15">
      <c r="A2105" s="361">
        <f t="shared" si="375"/>
        <v>36</v>
      </c>
      <c r="B2105" s="365">
        <v>387.44</v>
      </c>
      <c r="C2105" s="358" t="s">
        <v>407</v>
      </c>
      <c r="D2105" s="1243">
        <f t="shared" si="376"/>
        <v>124678.76000000001</v>
      </c>
      <c r="E2105" s="1243">
        <f>+'INPUT - B Schedule PLANT'!CY41</f>
        <v>0</v>
      </c>
      <c r="F2105" s="1243">
        <f>+'INPUT - B Schedule PLANT'!CZ41</f>
        <v>0</v>
      </c>
      <c r="G2105" s="1243">
        <f t="shared" si="380"/>
        <v>124678.76000000001</v>
      </c>
      <c r="H2105" s="1243"/>
      <c r="I2105" s="1243">
        <f t="shared" si="377"/>
        <v>69427.390000000014</v>
      </c>
      <c r="J2105" s="376">
        <f>$J$1649</f>
        <v>3.2399999999999998E-2</v>
      </c>
      <c r="K2105" s="1243">
        <f t="shared" si="382"/>
        <v>337</v>
      </c>
      <c r="L2105" s="1243">
        <v>0</v>
      </c>
      <c r="M2105" s="1243">
        <f t="shared" si="378"/>
        <v>0</v>
      </c>
      <c r="N2105" s="1243">
        <v>0</v>
      </c>
      <c r="O2105" s="1243">
        <f t="shared" si="379"/>
        <v>69764.390000000014</v>
      </c>
    </row>
    <row r="2106" spans="1:15">
      <c r="A2106" s="361">
        <f t="shared" si="375"/>
        <v>37</v>
      </c>
      <c r="B2106" s="365">
        <v>387.45</v>
      </c>
      <c r="C2106" s="358" t="s">
        <v>408</v>
      </c>
      <c r="D2106" s="1243">
        <f t="shared" si="376"/>
        <v>6001383.8500000006</v>
      </c>
      <c r="E2106" s="1243">
        <f>+'INPUT - B Schedule PLANT'!CY42</f>
        <v>71695.38</v>
      </c>
      <c r="F2106" s="1243">
        <f>+'INPUT - B Schedule PLANT'!CZ42</f>
        <v>0</v>
      </c>
      <c r="G2106" s="1243">
        <f t="shared" si="380"/>
        <v>6073079.2300000004</v>
      </c>
      <c r="H2106" s="1243"/>
      <c r="I2106" s="1243">
        <f t="shared" si="377"/>
        <v>-691133.04999999993</v>
      </c>
      <c r="J2106" s="376">
        <f>$J$1650</f>
        <v>3.2399999999999998E-2</v>
      </c>
      <c r="K2106" s="1243">
        <f t="shared" si="382"/>
        <v>16301</v>
      </c>
      <c r="L2106" s="1243">
        <v>0</v>
      </c>
      <c r="M2106" s="1243">
        <f t="shared" si="378"/>
        <v>0</v>
      </c>
      <c r="N2106" s="1243">
        <v>0</v>
      </c>
      <c r="O2106" s="1243">
        <f t="shared" si="379"/>
        <v>-674832.04999999993</v>
      </c>
    </row>
    <row r="2107" spans="1:15">
      <c r="A2107" s="361">
        <f t="shared" si="375"/>
        <v>38</v>
      </c>
      <c r="B2107" s="365">
        <v>387.46</v>
      </c>
      <c r="C2107" s="358" t="s">
        <v>409</v>
      </c>
      <c r="D2107" s="1243">
        <f t="shared" si="376"/>
        <v>113644.47</v>
      </c>
      <c r="E2107" s="1243">
        <f>+'INPUT - B Schedule PLANT'!CY43</f>
        <v>0</v>
      </c>
      <c r="F2107" s="1243">
        <f>+'INPUT - B Schedule PLANT'!CZ43</f>
        <v>0</v>
      </c>
      <c r="G2107" s="1243">
        <f t="shared" si="380"/>
        <v>113644.47</v>
      </c>
      <c r="H2107" s="1243"/>
      <c r="I2107" s="1243">
        <f t="shared" si="377"/>
        <v>115725.07</v>
      </c>
      <c r="J2107" s="376">
        <f>$J$1651</f>
        <v>3.2399999999999998E-2</v>
      </c>
      <c r="K2107" s="1243">
        <f t="shared" si="382"/>
        <v>307</v>
      </c>
      <c r="L2107" s="1243">
        <v>0</v>
      </c>
      <c r="M2107" s="1243">
        <f t="shared" si="378"/>
        <v>0</v>
      </c>
      <c r="N2107" s="1243">
        <v>0</v>
      </c>
      <c r="O2107" s="1243">
        <f t="shared" si="379"/>
        <v>116032.07</v>
      </c>
    </row>
    <row r="2108" spans="1:15">
      <c r="A2108" s="361">
        <f t="shared" si="375"/>
        <v>39</v>
      </c>
      <c r="B2108" s="365">
        <v>387.5</v>
      </c>
      <c r="C2108" s="358" t="s">
        <v>1075</v>
      </c>
      <c r="D2108" s="1244">
        <f t="shared" si="376"/>
        <v>238072.69</v>
      </c>
      <c r="E2108" s="1243">
        <f>+'INPUT - B Schedule PLANT'!CY44</f>
        <v>0</v>
      </c>
      <c r="F2108" s="1243">
        <f>+'INPUT - B Schedule PLANT'!CZ44</f>
        <v>0</v>
      </c>
      <c r="G2108" s="1244">
        <f t="shared" si="380"/>
        <v>238072.69</v>
      </c>
      <c r="H2108" s="1243"/>
      <c r="I2108" s="1244">
        <f t="shared" si="377"/>
        <v>54756.470000000023</v>
      </c>
      <c r="J2108" s="376">
        <f>$J$1652</f>
        <v>0.13669999999999999</v>
      </c>
      <c r="K2108" s="1244">
        <f t="shared" si="382"/>
        <v>2712</v>
      </c>
      <c r="L2108" s="1244">
        <v>0</v>
      </c>
      <c r="M2108" s="1244">
        <f t="shared" si="378"/>
        <v>0</v>
      </c>
      <c r="N2108" s="1244">
        <v>0</v>
      </c>
      <c r="O2108" s="1244">
        <f t="shared" si="379"/>
        <v>57468.470000000023</v>
      </c>
    </row>
    <row r="2109" spans="1:15">
      <c r="A2109" s="361">
        <f t="shared" si="375"/>
        <v>40</v>
      </c>
      <c r="C2109" s="365" t="s">
        <v>1601</v>
      </c>
      <c r="D2109" s="1243">
        <f>SUM(D2079:D2108)</f>
        <v>730264609.75956619</v>
      </c>
      <c r="E2109" s="1243">
        <f>SUM(E2079:E2108)</f>
        <v>1462609.2826125333</v>
      </c>
      <c r="F2109" s="1243">
        <f>SUM(F2079:F2108)</f>
        <v>-155931.74775049897</v>
      </c>
      <c r="G2109" s="1243">
        <f>SUM(G2079:G2108)</f>
        <v>731571287.29442811</v>
      </c>
      <c r="H2109" s="1243"/>
      <c r="I2109" s="1243">
        <f>SUM(I2079:I2108)</f>
        <v>175920422.00491101</v>
      </c>
      <c r="J2109" s="369"/>
      <c r="K2109" s="1243">
        <f>SUM(K2079:K2108)</f>
        <v>1548653.0480000004</v>
      </c>
      <c r="L2109" s="1243">
        <f>SUM(L2079:L2108)</f>
        <v>0</v>
      </c>
      <c r="M2109" s="1243">
        <f>SUM(M2079:M2108)</f>
        <v>-155931.74775049897</v>
      </c>
      <c r="N2109" s="1243">
        <f>SUM(N2079:N2108)</f>
        <v>-26802.9628602054</v>
      </c>
      <c r="O2109" s="1243">
        <f>SUM(O2079:O2108)</f>
        <v>177286340.34230033</v>
      </c>
    </row>
    <row r="2110" spans="1:15">
      <c r="B2110" s="367"/>
      <c r="C2110" s="368"/>
      <c r="D2110" s="369"/>
      <c r="E2110" s="369"/>
      <c r="F2110" s="369"/>
      <c r="G2110" s="369"/>
      <c r="I2110" s="369"/>
      <c r="J2110" s="369"/>
      <c r="K2110" s="369"/>
      <c r="L2110" s="369"/>
      <c r="M2110" s="369"/>
      <c r="N2110" s="369"/>
      <c r="O2110" s="369"/>
    </row>
    <row r="2111" spans="1:15">
      <c r="I2111" s="369"/>
      <c r="J2111" s="369"/>
      <c r="K2111" s="369"/>
      <c r="L2111" s="369"/>
      <c r="M2111" s="369"/>
      <c r="N2111" s="369"/>
      <c r="O2111" s="369"/>
    </row>
    <row r="2112" spans="1:15" s="291" customFormat="1">
      <c r="A2112" s="1308" t="str">
        <f>$A$1</f>
        <v>COLUMBIA GAS OF KENTUCKY, INC.</v>
      </c>
      <c r="B2112" s="1308"/>
      <c r="C2112" s="1308"/>
      <c r="D2112" s="1308"/>
      <c r="E2112" s="1308"/>
      <c r="F2112" s="1308"/>
      <c r="G2112" s="1308"/>
      <c r="H2112" s="1308"/>
      <c r="I2112" s="1308"/>
      <c r="J2112" s="1308"/>
      <c r="K2112" s="1308"/>
      <c r="L2112" s="1308"/>
      <c r="M2112" s="1308"/>
      <c r="N2112" s="1308"/>
      <c r="O2112" s="1308"/>
    </row>
    <row r="2113" spans="1:16" s="291" customFormat="1">
      <c r="A2113" s="1308" t="str">
        <f>$A$2</f>
        <v>CASE NO. 2024 - 00092</v>
      </c>
      <c r="B2113" s="1308"/>
      <c r="C2113" s="1308"/>
      <c r="D2113" s="1308"/>
      <c r="E2113" s="1308"/>
      <c r="F2113" s="1308"/>
      <c r="G2113" s="1308"/>
      <c r="H2113" s="1308"/>
      <c r="I2113" s="1308"/>
      <c r="J2113" s="1308"/>
      <c r="K2113" s="1308"/>
      <c r="L2113" s="1308"/>
      <c r="M2113" s="1308"/>
      <c r="N2113" s="1308"/>
      <c r="O2113" s="1308"/>
    </row>
    <row r="2114" spans="1:16" s="291" customFormat="1">
      <c r="A2114" s="1308" t="str">
        <f>$A$3</f>
        <v>DETAIL OF ACTUAL &amp; FORECASTED PLANT, ACCUMULATED RESERVE &amp; DEPRECIATION EXPENSE</v>
      </c>
      <c r="B2114" s="1308"/>
      <c r="C2114" s="1308"/>
      <c r="D2114" s="1308"/>
      <c r="E2114" s="1308"/>
      <c r="F2114" s="1308"/>
      <c r="G2114" s="1308"/>
      <c r="H2114" s="1308"/>
      <c r="I2114" s="1308"/>
      <c r="J2114" s="1308"/>
      <c r="K2114" s="1308"/>
      <c r="L2114" s="1308"/>
      <c r="M2114" s="1308"/>
      <c r="N2114" s="1308"/>
      <c r="O2114" s="1308"/>
      <c r="P2114" s="357"/>
    </row>
    <row r="2115" spans="1:16" s="291" customFormat="1">
      <c r="A2115" s="1308" t="str">
        <f>$A$4</f>
        <v>FROM JANUARY 01, 2023 THROUGH DECEMBER 31, 2025</v>
      </c>
      <c r="B2115" s="1308"/>
      <c r="C2115" s="1308"/>
      <c r="D2115" s="1308"/>
      <c r="E2115" s="1308"/>
      <c r="F2115" s="1308"/>
      <c r="G2115" s="1308"/>
      <c r="H2115" s="1308"/>
      <c r="I2115" s="1308"/>
      <c r="J2115" s="1308"/>
      <c r="K2115" s="1308"/>
      <c r="L2115" s="1308"/>
      <c r="M2115" s="1308"/>
      <c r="N2115" s="1308"/>
      <c r="O2115" s="1308"/>
    </row>
    <row r="2116" spans="1:16" s="291" customFormat="1">
      <c r="B2116" s="293"/>
      <c r="P2116" s="312"/>
    </row>
    <row r="2117" spans="1:16" s="291" customFormat="1">
      <c r="A2117" s="297" t="str">
        <f>$A$6</f>
        <v xml:space="preserve">DATA: _X_ BASE PERIOD _X_ FORECASTED PERIOD     </v>
      </c>
      <c r="B2117" s="293"/>
      <c r="O2117" s="312" t="str">
        <f>$O$6</f>
        <v>WPB-2.1.C</v>
      </c>
      <c r="P2117" s="312"/>
    </row>
    <row r="2118" spans="1:16" s="291" customFormat="1">
      <c r="A2118" s="297" t="str">
        <f>$A$7</f>
        <v>TYPE OF FILING:___X___ORIGINAL______UPDATED</v>
      </c>
      <c r="B2118" s="293"/>
      <c r="O2118" s="312" t="s">
        <v>2185</v>
      </c>
      <c r="P2118" s="312"/>
    </row>
    <row r="2119" spans="1:16" s="291" customFormat="1">
      <c r="A2119" s="297" t="str">
        <f>$A$8</f>
        <v>WORKPAPER REFERENCE NO(S).:</v>
      </c>
      <c r="B2119" s="293"/>
      <c r="O2119" s="312" t="str">
        <f>$O$8</f>
        <v>WITNESS: GORE</v>
      </c>
    </row>
    <row r="2120" spans="1:16">
      <c r="A2120" s="918"/>
      <c r="B2120" s="919"/>
      <c r="C2120" s="918"/>
      <c r="D2120" s="918"/>
      <c r="E2120" s="918"/>
      <c r="F2120" s="918"/>
      <c r="G2120" s="918"/>
      <c r="H2120" s="918"/>
      <c r="I2120" s="918"/>
      <c r="J2120" s="918"/>
      <c r="K2120" s="918"/>
      <c r="L2120" s="918"/>
      <c r="M2120" s="918"/>
      <c r="N2120" s="918"/>
      <c r="O2120" s="920"/>
    </row>
    <row r="2121" spans="1:16">
      <c r="D2121" s="1311" t="s">
        <v>1768</v>
      </c>
      <c r="E2121" s="1311"/>
      <c r="F2121" s="1311"/>
      <c r="G2121" s="1311"/>
      <c r="I2121" s="1311" t="s">
        <v>1769</v>
      </c>
      <c r="J2121" s="1311"/>
      <c r="K2121" s="1311"/>
      <c r="L2121" s="1311"/>
      <c r="M2121" s="1311"/>
      <c r="N2121" s="1311"/>
      <c r="O2121" s="1311"/>
    </row>
    <row r="2122" spans="1:16">
      <c r="D2122" s="360">
        <f>D2063</f>
        <v>45474</v>
      </c>
      <c r="G2122" s="360">
        <f>G2063</f>
        <v>45504</v>
      </c>
      <c r="I2122" s="360">
        <f>D2122</f>
        <v>45474</v>
      </c>
      <c r="O2122" s="360">
        <f>G2122</f>
        <v>45504</v>
      </c>
    </row>
    <row r="2123" spans="1:16">
      <c r="D2123" s="361" t="s">
        <v>1757</v>
      </c>
      <c r="G2123" s="361" t="s">
        <v>1757</v>
      </c>
      <c r="I2123" s="361" t="s">
        <v>1758</v>
      </c>
      <c r="J2123" s="361" t="s">
        <v>488</v>
      </c>
      <c r="L2123" s="361" t="s">
        <v>1758</v>
      </c>
      <c r="O2123" s="361" t="s">
        <v>1758</v>
      </c>
    </row>
    <row r="2124" spans="1:16">
      <c r="A2124" s="361" t="s">
        <v>1770</v>
      </c>
      <c r="B2124" s="361" t="s">
        <v>368</v>
      </c>
      <c r="C2124" s="361"/>
      <c r="D2124" s="361" t="s">
        <v>437</v>
      </c>
      <c r="G2124" s="361" t="s">
        <v>439</v>
      </c>
      <c r="I2124" s="361" t="s">
        <v>437</v>
      </c>
      <c r="J2124" s="361" t="s">
        <v>1771</v>
      </c>
      <c r="K2124" s="361" t="s">
        <v>1772</v>
      </c>
      <c r="L2124" s="361" t="s">
        <v>1759</v>
      </c>
      <c r="N2124" s="361" t="s">
        <v>1760</v>
      </c>
      <c r="O2124" s="361" t="s">
        <v>439</v>
      </c>
    </row>
    <row r="2125" spans="1:16">
      <c r="A2125" s="364" t="s">
        <v>316</v>
      </c>
      <c r="B2125" s="364" t="s">
        <v>316</v>
      </c>
      <c r="C2125" s="364" t="s">
        <v>451</v>
      </c>
      <c r="D2125" s="364" t="s">
        <v>441</v>
      </c>
      <c r="E2125" s="364" t="s">
        <v>442</v>
      </c>
      <c r="F2125" s="364" t="s">
        <v>443</v>
      </c>
      <c r="G2125" s="364" t="s">
        <v>441</v>
      </c>
      <c r="I2125" s="364" t="s">
        <v>441</v>
      </c>
      <c r="J2125" s="364" t="s">
        <v>1773</v>
      </c>
      <c r="K2125" s="364" t="s">
        <v>1771</v>
      </c>
      <c r="L2125" s="364" t="s">
        <v>355</v>
      </c>
      <c r="M2125" s="364" t="s">
        <v>443</v>
      </c>
      <c r="N2125" s="364" t="s">
        <v>1763</v>
      </c>
      <c r="O2125" s="364" t="s">
        <v>441</v>
      </c>
    </row>
    <row r="2126" spans="1:16">
      <c r="D2126" s="361" t="s">
        <v>532</v>
      </c>
      <c r="E2126" s="361" t="s">
        <v>541</v>
      </c>
      <c r="F2126" s="361" t="s">
        <v>542</v>
      </c>
      <c r="G2126" s="361" t="s">
        <v>1764</v>
      </c>
      <c r="I2126" s="334" t="str">
        <f>"(5)"</f>
        <v>(5)</v>
      </c>
      <c r="J2126" s="334" t="str">
        <f>"(6)"</f>
        <v>(6)</v>
      </c>
      <c r="K2126" s="334" t="str">
        <f>"(7)=((1+4)/2*6/12))"</f>
        <v>(7)=((1+4)/2*6/12))</v>
      </c>
      <c r="L2126" s="334" t="str">
        <f>"(8)"</f>
        <v>(8)</v>
      </c>
      <c r="M2126" s="334" t="str">
        <f>"(9)"</f>
        <v>(9)</v>
      </c>
      <c r="N2126" s="334" t="str">
        <f>"(10)"</f>
        <v>(10)</v>
      </c>
      <c r="O2126" s="334" t="str">
        <f>"(11=5+7+8+9+10)"</f>
        <v>(11=5+7+8+9+10)</v>
      </c>
    </row>
    <row r="2127" spans="1:16">
      <c r="D2127" s="361" t="s">
        <v>320</v>
      </c>
      <c r="E2127" s="361" t="s">
        <v>320</v>
      </c>
      <c r="F2127" s="361" t="s">
        <v>320</v>
      </c>
      <c r="G2127" s="361" t="s">
        <v>320</v>
      </c>
      <c r="I2127" s="334" t="s">
        <v>320</v>
      </c>
      <c r="J2127" s="334" t="s">
        <v>529</v>
      </c>
      <c r="K2127" s="334" t="s">
        <v>320</v>
      </c>
      <c r="L2127" s="334" t="s">
        <v>320</v>
      </c>
      <c r="M2127" s="334" t="s">
        <v>320</v>
      </c>
      <c r="N2127" s="334" t="s">
        <v>320</v>
      </c>
      <c r="O2127" s="334" t="s">
        <v>320</v>
      </c>
    </row>
    <row r="2128" spans="1:16">
      <c r="A2128" s="361">
        <v>1</v>
      </c>
      <c r="B2128" s="363" t="s">
        <v>411</v>
      </c>
      <c r="D2128" s="361"/>
      <c r="E2128" s="361"/>
      <c r="F2128" s="361"/>
      <c r="G2128" s="361"/>
      <c r="I2128" s="334"/>
      <c r="J2128" s="334"/>
      <c r="K2128" s="334"/>
      <c r="L2128" s="334"/>
      <c r="M2128" s="334"/>
      <c r="N2128" s="334"/>
      <c r="O2128" s="334"/>
    </row>
    <row r="2129" spans="1:15">
      <c r="A2129" s="361">
        <f>A2128+1</f>
        <v>2</v>
      </c>
      <c r="B2129" s="365">
        <v>391.1</v>
      </c>
      <c r="C2129" s="358" t="s">
        <v>412</v>
      </c>
      <c r="D2129" s="1243">
        <f t="shared" ref="D2129:D2142" si="383">G2015</f>
        <v>921741.33000000007</v>
      </c>
      <c r="E2129" s="1243">
        <f>+'INPUT - B Schedule PLANT'!CY46</f>
        <v>0</v>
      </c>
      <c r="F2129" s="1243">
        <f>+'INPUT - B Schedule PLANT'!CZ46</f>
        <v>0</v>
      </c>
      <c r="G2129" s="1243">
        <f>SUM(D2129:F2129)</f>
        <v>921741.33000000007</v>
      </c>
      <c r="H2129" s="1243"/>
      <c r="I2129" s="1245">
        <f t="shared" ref="I2129:I2142" si="384">O2015</f>
        <v>137862.37</v>
      </c>
      <c r="J2129" s="376">
        <f>$J$1673</f>
        <v>4.9700000000000001E-2</v>
      </c>
      <c r="K2129" s="1243">
        <f>ROUND((G2129+D2129)/2*J2129/12,0)</f>
        <v>3818</v>
      </c>
      <c r="L2129" s="1243">
        <v>0</v>
      </c>
      <c r="M2129" s="1243">
        <f t="shared" ref="M2129:M2142" si="385">F2129</f>
        <v>0</v>
      </c>
      <c r="N2129" s="1243">
        <v>0</v>
      </c>
      <c r="O2129" s="1243">
        <f t="shared" ref="O2129:O2142" si="386">I2129+K2129+L2129+M2129+N2129</f>
        <v>141680.37</v>
      </c>
    </row>
    <row r="2130" spans="1:15">
      <c r="A2130" s="361">
        <f t="shared" ref="A2130:A2143" si="387">A2129+1</f>
        <v>3</v>
      </c>
      <c r="B2130" s="365">
        <v>391.11</v>
      </c>
      <c r="C2130" s="358" t="s">
        <v>413</v>
      </c>
      <c r="D2130" s="1243">
        <f t="shared" si="383"/>
        <v>0</v>
      </c>
      <c r="E2130" s="1243">
        <f>+'INPUT - B Schedule PLANT'!CY47</f>
        <v>0</v>
      </c>
      <c r="F2130" s="1243">
        <f>+'INPUT - B Schedule PLANT'!CZ47</f>
        <v>0</v>
      </c>
      <c r="G2130" s="1243">
        <f t="shared" ref="G2130:G2137" si="388">SUM(D2130:F2130)</f>
        <v>0</v>
      </c>
      <c r="H2130" s="1243"/>
      <c r="I2130" s="1245">
        <f t="shared" si="384"/>
        <v>-18933.789999999997</v>
      </c>
      <c r="J2130" s="376">
        <f>$J$1674</f>
        <v>0</v>
      </c>
      <c r="K2130" s="1243">
        <f>ROUND((G2130+D2130)/2*J2130/12,0)</f>
        <v>0</v>
      </c>
      <c r="L2130" s="1243">
        <v>0</v>
      </c>
      <c r="M2130" s="1243">
        <f t="shared" si="385"/>
        <v>0</v>
      </c>
      <c r="N2130" s="1243">
        <v>0</v>
      </c>
      <c r="O2130" s="1243">
        <f t="shared" si="386"/>
        <v>-18933.789999999997</v>
      </c>
    </row>
    <row r="2131" spans="1:15">
      <c r="A2131" s="361">
        <f t="shared" si="387"/>
        <v>4</v>
      </c>
      <c r="B2131" s="365">
        <v>391.12</v>
      </c>
      <c r="C2131" s="358" t="s">
        <v>414</v>
      </c>
      <c r="D2131" s="1243">
        <f t="shared" si="383"/>
        <v>37129.580000000009</v>
      </c>
      <c r="E2131" s="1243">
        <f>+'INPUT - B Schedule PLANT'!CY48</f>
        <v>0</v>
      </c>
      <c r="F2131" s="1243">
        <f>+'INPUT - B Schedule PLANT'!CZ48</f>
        <v>0</v>
      </c>
      <c r="G2131" s="1243">
        <f t="shared" si="388"/>
        <v>37129.580000000009</v>
      </c>
      <c r="H2131" s="1243"/>
      <c r="I2131" s="1245">
        <f t="shared" si="384"/>
        <v>-1570.0300000000007</v>
      </c>
      <c r="J2131" s="376">
        <f>$J$1675</f>
        <v>0.2</v>
      </c>
      <c r="K2131" s="1243">
        <f>ROUND((G2131+D2131)/2*J2131/12,0)</f>
        <v>619</v>
      </c>
      <c r="L2131" s="1243">
        <v>0</v>
      </c>
      <c r="M2131" s="1243">
        <f t="shared" si="385"/>
        <v>0</v>
      </c>
      <c r="N2131" s="1243">
        <v>0</v>
      </c>
      <c r="O2131" s="1243">
        <f t="shared" si="386"/>
        <v>-951.03000000000065</v>
      </c>
    </row>
    <row r="2132" spans="1:15">
      <c r="A2132" s="361">
        <f t="shared" si="387"/>
        <v>5</v>
      </c>
      <c r="B2132" s="365">
        <v>392.2</v>
      </c>
      <c r="C2132" s="358" t="s">
        <v>524</v>
      </c>
      <c r="D2132" s="1243">
        <f t="shared" si="383"/>
        <v>48924.4</v>
      </c>
      <c r="E2132" s="1243">
        <f>+'INPUT - B Schedule PLANT'!CY49</f>
        <v>0</v>
      </c>
      <c r="F2132" s="1243">
        <f>+'INPUT - B Schedule PLANT'!CZ49</f>
        <v>0</v>
      </c>
      <c r="G2132" s="1243">
        <f t="shared" si="388"/>
        <v>48924.4</v>
      </c>
      <c r="H2132" s="1243"/>
      <c r="I2132" s="1245">
        <f t="shared" si="384"/>
        <v>17365.359999999961</v>
      </c>
      <c r="J2132" s="376">
        <f>$J$1676</f>
        <v>8.9999999999999993E-3</v>
      </c>
      <c r="K2132" s="1243">
        <f>ROUND((G2132+D2132)/2*J2132/12,0)</f>
        <v>37</v>
      </c>
      <c r="L2132" s="1243">
        <v>0</v>
      </c>
      <c r="M2132" s="1243">
        <f t="shared" si="385"/>
        <v>0</v>
      </c>
      <c r="N2132" s="1243">
        <v>0</v>
      </c>
      <c r="O2132" s="1243">
        <f t="shared" si="386"/>
        <v>17402.359999999961</v>
      </c>
    </row>
    <row r="2133" spans="1:15">
      <c r="A2133" s="361">
        <f t="shared" si="387"/>
        <v>6</v>
      </c>
      <c r="B2133" s="365">
        <v>392.21</v>
      </c>
      <c r="C2133" s="358" t="s">
        <v>415</v>
      </c>
      <c r="D2133" s="1243">
        <f t="shared" si="383"/>
        <v>24462.2</v>
      </c>
      <c r="E2133" s="1243">
        <f>+'INPUT - B Schedule PLANT'!CY50</f>
        <v>0</v>
      </c>
      <c r="F2133" s="1243">
        <f>+'INPUT - B Schedule PLANT'!CZ50</f>
        <v>0</v>
      </c>
      <c r="G2133" s="1243">
        <f t="shared" si="388"/>
        <v>24462.2</v>
      </c>
      <c r="H2133" s="1243"/>
      <c r="I2133" s="1245">
        <f t="shared" si="384"/>
        <v>44826.01</v>
      </c>
      <c r="J2133" s="376">
        <f>$J$1677</f>
        <v>8.9999999999999993E-3</v>
      </c>
      <c r="K2133" s="1243">
        <f>ROUND((G2133+D2133)/2*J2133/12,0)</f>
        <v>18</v>
      </c>
      <c r="L2133" s="1243">
        <v>0</v>
      </c>
      <c r="M2133" s="1243">
        <f t="shared" si="385"/>
        <v>0</v>
      </c>
      <c r="N2133" s="1243">
        <v>0</v>
      </c>
      <c r="O2133" s="1243">
        <f t="shared" si="386"/>
        <v>44844.01</v>
      </c>
    </row>
    <row r="2134" spans="1:15">
      <c r="A2134" s="361">
        <f t="shared" si="387"/>
        <v>7</v>
      </c>
      <c r="B2134" s="365">
        <v>393</v>
      </c>
      <c r="C2134" s="358" t="s">
        <v>416</v>
      </c>
      <c r="D2134" s="1243">
        <f t="shared" si="383"/>
        <v>0</v>
      </c>
      <c r="E2134" s="1243">
        <f>+'INPUT - B Schedule PLANT'!CY51</f>
        <v>0</v>
      </c>
      <c r="F2134" s="1243">
        <f>+'INPUT - B Schedule PLANT'!CZ51</f>
        <v>0</v>
      </c>
      <c r="G2134" s="1243">
        <f t="shared" si="388"/>
        <v>0</v>
      </c>
      <c r="H2134" s="1243"/>
      <c r="I2134" s="1245">
        <f t="shared" si="384"/>
        <v>0</v>
      </c>
      <c r="J2134" s="376" t="str">
        <f>$J$1678</f>
        <v>Amort.</v>
      </c>
      <c r="K2134" s="1243">
        <v>0</v>
      </c>
      <c r="L2134" s="1243">
        <v>0</v>
      </c>
      <c r="M2134" s="1243">
        <f t="shared" si="385"/>
        <v>0</v>
      </c>
      <c r="N2134" s="1243">
        <v>0</v>
      </c>
      <c r="O2134" s="1243">
        <f t="shared" si="386"/>
        <v>0</v>
      </c>
    </row>
    <row r="2135" spans="1:15">
      <c r="A2135" s="361">
        <f t="shared" si="387"/>
        <v>8</v>
      </c>
      <c r="B2135" s="365">
        <v>394.1</v>
      </c>
      <c r="C2135" s="358" t="s">
        <v>417</v>
      </c>
      <c r="D2135" s="1243">
        <f t="shared" si="383"/>
        <v>9739</v>
      </c>
      <c r="E2135" s="1243">
        <f>+'INPUT - B Schedule PLANT'!CY52</f>
        <v>0</v>
      </c>
      <c r="F2135" s="1243">
        <f>+'INPUT - B Schedule PLANT'!CZ52</f>
        <v>0</v>
      </c>
      <c r="G2135" s="1243">
        <f t="shared" si="388"/>
        <v>9739</v>
      </c>
      <c r="H2135" s="1243"/>
      <c r="I2135" s="1245">
        <f t="shared" si="384"/>
        <v>4268.0700000000006</v>
      </c>
      <c r="J2135" s="376">
        <f>$J$1679</f>
        <v>0.04</v>
      </c>
      <c r="K2135" s="1243">
        <f>ROUND((G2135+D2135)/2*J2135/12,0)</f>
        <v>32</v>
      </c>
      <c r="L2135" s="1243">
        <v>0</v>
      </c>
      <c r="M2135" s="1243">
        <f t="shared" si="385"/>
        <v>0</v>
      </c>
      <c r="N2135" s="1243">
        <v>0</v>
      </c>
      <c r="O2135" s="1243">
        <f t="shared" si="386"/>
        <v>4300.0700000000006</v>
      </c>
    </row>
    <row r="2136" spans="1:15">
      <c r="A2136" s="361">
        <f t="shared" si="387"/>
        <v>9</v>
      </c>
      <c r="B2136" s="365">
        <v>394.11</v>
      </c>
      <c r="C2136" s="358" t="s">
        <v>418</v>
      </c>
      <c r="D2136" s="1243">
        <f t="shared" si="383"/>
        <v>0</v>
      </c>
      <c r="E2136" s="1243">
        <f>+'INPUT - B Schedule PLANT'!CY53</f>
        <v>0</v>
      </c>
      <c r="F2136" s="1243">
        <f>+'INPUT - B Schedule PLANT'!CZ53</f>
        <v>0</v>
      </c>
      <c r="G2136" s="1243">
        <f t="shared" si="388"/>
        <v>0</v>
      </c>
      <c r="H2136" s="1243"/>
      <c r="I2136" s="1245">
        <f t="shared" si="384"/>
        <v>-26071.5</v>
      </c>
      <c r="J2136" s="376">
        <f>$J$1680</f>
        <v>0.04</v>
      </c>
      <c r="K2136" s="1243">
        <f>ROUND((G2136+D2136)/2*J2136/12,0)</f>
        <v>0</v>
      </c>
      <c r="L2136" s="1243">
        <v>0</v>
      </c>
      <c r="M2136" s="1243">
        <f t="shared" si="385"/>
        <v>0</v>
      </c>
      <c r="N2136" s="1243">
        <v>0</v>
      </c>
      <c r="O2136" s="1243">
        <f t="shared" si="386"/>
        <v>-26071.5</v>
      </c>
    </row>
    <row r="2137" spans="1:15">
      <c r="A2137" s="361">
        <f t="shared" si="387"/>
        <v>10</v>
      </c>
      <c r="B2137" s="365">
        <v>394.13</v>
      </c>
      <c r="C2137" s="358" t="s">
        <v>515</v>
      </c>
      <c r="D2137" s="1243">
        <f t="shared" si="383"/>
        <v>0</v>
      </c>
      <c r="E2137" s="1243">
        <f>+'INPUT - B Schedule PLANT'!CY54</f>
        <v>0</v>
      </c>
      <c r="F2137" s="1243">
        <f>+'INPUT - B Schedule PLANT'!CZ54</f>
        <v>0</v>
      </c>
      <c r="G2137" s="1243">
        <f t="shared" si="388"/>
        <v>0</v>
      </c>
      <c r="H2137" s="1243"/>
      <c r="I2137" s="1245">
        <f t="shared" si="384"/>
        <v>37937.360000000001</v>
      </c>
      <c r="J2137" s="376" t="str">
        <f>$J$1681</f>
        <v>Amort.</v>
      </c>
      <c r="K2137" s="1243">
        <v>0</v>
      </c>
      <c r="L2137" s="1243">
        <v>0</v>
      </c>
      <c r="M2137" s="1243">
        <f t="shared" si="385"/>
        <v>0</v>
      </c>
      <c r="N2137" s="1243">
        <v>0</v>
      </c>
      <c r="O2137" s="1243">
        <f t="shared" si="386"/>
        <v>37937.360000000001</v>
      </c>
    </row>
    <row r="2138" spans="1:15">
      <c r="A2138" s="361">
        <f t="shared" si="387"/>
        <v>11</v>
      </c>
      <c r="B2138" s="365">
        <v>394.2</v>
      </c>
      <c r="C2138" s="358" t="s">
        <v>420</v>
      </c>
      <c r="D2138" s="1243">
        <f t="shared" si="383"/>
        <v>0</v>
      </c>
      <c r="E2138" s="1243">
        <f>+'INPUT - B Schedule PLANT'!CY55</f>
        <v>0</v>
      </c>
      <c r="F2138" s="1243">
        <f>+'INPUT - B Schedule PLANT'!CZ55</f>
        <v>0</v>
      </c>
      <c r="G2138" s="1243">
        <f>SUM(D2138:F2138)</f>
        <v>0</v>
      </c>
      <c r="H2138" s="1243"/>
      <c r="I2138" s="1245">
        <f t="shared" si="384"/>
        <v>185.21</v>
      </c>
      <c r="J2138" s="376">
        <f>$J$1682</f>
        <v>0.04</v>
      </c>
      <c r="K2138" s="1243">
        <f>ROUND((G2138+D2138)/2*J2138/12,0)</f>
        <v>0</v>
      </c>
      <c r="L2138" s="1243">
        <v>0</v>
      </c>
      <c r="M2138" s="1243">
        <f t="shared" si="385"/>
        <v>0</v>
      </c>
      <c r="N2138" s="1243">
        <v>0</v>
      </c>
      <c r="O2138" s="1243">
        <f t="shared" si="386"/>
        <v>185.21</v>
      </c>
    </row>
    <row r="2139" spans="1:15">
      <c r="A2139" s="361">
        <f t="shared" si="387"/>
        <v>12</v>
      </c>
      <c r="B2139" s="365">
        <v>394.3</v>
      </c>
      <c r="C2139" s="358" t="s">
        <v>1602</v>
      </c>
      <c r="D2139" s="1243">
        <f t="shared" si="383"/>
        <v>5181832.7799999993</v>
      </c>
      <c r="E2139" s="1243">
        <f>+'INPUT - B Schedule PLANT'!CY56</f>
        <v>50661.56</v>
      </c>
      <c r="F2139" s="1243">
        <f>+'INPUT - B Schedule PLANT'!CZ56</f>
        <v>-13884.05</v>
      </c>
      <c r="G2139" s="1243">
        <f>SUM(D2139:F2139)</f>
        <v>5218610.2899999991</v>
      </c>
      <c r="H2139" s="1243"/>
      <c r="I2139" s="1245">
        <f t="shared" si="384"/>
        <v>1618076.6999999997</v>
      </c>
      <c r="J2139" s="376">
        <f>$J$1683</f>
        <v>0.04</v>
      </c>
      <c r="K2139" s="1243">
        <f>ROUND((G2139+D2139)/2*J2139/12,0)</f>
        <v>17334</v>
      </c>
      <c r="L2139" s="1243">
        <v>0</v>
      </c>
      <c r="M2139" s="1243">
        <f t="shared" si="385"/>
        <v>-13884.05</v>
      </c>
      <c r="N2139" s="1243">
        <v>0</v>
      </c>
      <c r="O2139" s="1243">
        <f t="shared" si="386"/>
        <v>1621526.6499999997</v>
      </c>
    </row>
    <row r="2140" spans="1:15">
      <c r="A2140" s="361">
        <f t="shared" si="387"/>
        <v>13</v>
      </c>
      <c r="B2140" s="365">
        <v>395</v>
      </c>
      <c r="C2140" s="358" t="s">
        <v>422</v>
      </c>
      <c r="D2140" s="1243">
        <f t="shared" si="383"/>
        <v>0</v>
      </c>
      <c r="E2140" s="1243">
        <f>+'INPUT - B Schedule PLANT'!CY57</f>
        <v>0</v>
      </c>
      <c r="F2140" s="1243">
        <f>+'INPUT - B Schedule PLANT'!CZ57</f>
        <v>0</v>
      </c>
      <c r="G2140" s="1243">
        <f>SUM(D2140:F2140)</f>
        <v>0</v>
      </c>
      <c r="H2140" s="1243"/>
      <c r="I2140" s="1245">
        <f t="shared" si="384"/>
        <v>-100.69999999999845</v>
      </c>
      <c r="J2140" s="376">
        <f>$J$1684</f>
        <v>0.05</v>
      </c>
      <c r="K2140" s="1243">
        <f>ROUND((G2140+D2140)/2*J2140/12,0)</f>
        <v>0</v>
      </c>
      <c r="L2140" s="1243">
        <v>0</v>
      </c>
      <c r="M2140" s="1243">
        <f t="shared" si="385"/>
        <v>0</v>
      </c>
      <c r="N2140" s="1243">
        <v>0</v>
      </c>
      <c r="O2140" s="1243">
        <f t="shared" si="386"/>
        <v>-100.69999999999845</v>
      </c>
    </row>
    <row r="2141" spans="1:15">
      <c r="A2141" s="361">
        <f t="shared" si="387"/>
        <v>14</v>
      </c>
      <c r="B2141" s="365">
        <v>396</v>
      </c>
      <c r="C2141" s="358" t="s">
        <v>423</v>
      </c>
      <c r="D2141" s="1243">
        <f t="shared" si="383"/>
        <v>185547</v>
      </c>
      <c r="E2141" s="1243">
        <f>+'INPUT - B Schedule PLANT'!CY58</f>
        <v>0</v>
      </c>
      <c r="F2141" s="1243">
        <f>+'INPUT - B Schedule PLANT'!CZ58</f>
        <v>0</v>
      </c>
      <c r="G2141" s="1243">
        <f>SUM(D2141:F2141)</f>
        <v>185547</v>
      </c>
      <c r="H2141" s="1243"/>
      <c r="I2141" s="1245">
        <f t="shared" si="384"/>
        <v>171938.14</v>
      </c>
      <c r="J2141" s="376">
        <f>$J$1685</f>
        <v>0</v>
      </c>
      <c r="K2141" s="1243">
        <f>ROUND((G2141+D2141)/2*J2141/12,0)</f>
        <v>0</v>
      </c>
      <c r="L2141" s="1243">
        <v>0</v>
      </c>
      <c r="M2141" s="1243">
        <f t="shared" si="385"/>
        <v>0</v>
      </c>
      <c r="N2141" s="1243">
        <v>0</v>
      </c>
      <c r="O2141" s="1243">
        <f t="shared" si="386"/>
        <v>171938.14</v>
      </c>
    </row>
    <row r="2142" spans="1:15">
      <c r="A2142" s="361">
        <f t="shared" si="387"/>
        <v>15</v>
      </c>
      <c r="B2142" s="365">
        <v>398</v>
      </c>
      <c r="C2142" s="358" t="s">
        <v>424</v>
      </c>
      <c r="D2142" s="1244">
        <f t="shared" si="383"/>
        <v>148028.20000000001</v>
      </c>
      <c r="E2142" s="1244">
        <f>+'INPUT - B Schedule PLANT'!CY59</f>
        <v>0</v>
      </c>
      <c r="F2142" s="1244">
        <f>+'INPUT - B Schedule PLANT'!CZ59</f>
        <v>0</v>
      </c>
      <c r="G2142" s="1244">
        <f>SUM(D2142:F2142)</f>
        <v>148028.20000000001</v>
      </c>
      <c r="H2142" s="1243"/>
      <c r="I2142" s="1246">
        <f t="shared" si="384"/>
        <v>75041.549999999945</v>
      </c>
      <c r="J2142" s="376">
        <f>$J$1686</f>
        <v>6.6699999999999995E-2</v>
      </c>
      <c r="K2142" s="1244">
        <f>ROUND((G2142+D2142)/2*J2142/12,0)</f>
        <v>823</v>
      </c>
      <c r="L2142" s="1244">
        <v>0</v>
      </c>
      <c r="M2142" s="1244">
        <f t="shared" si="385"/>
        <v>0</v>
      </c>
      <c r="N2142" s="1244">
        <v>0</v>
      </c>
      <c r="O2142" s="1244">
        <f t="shared" si="386"/>
        <v>75864.549999999945</v>
      </c>
    </row>
    <row r="2143" spans="1:15">
      <c r="A2143" s="361">
        <f t="shared" si="387"/>
        <v>16</v>
      </c>
      <c r="B2143" s="367"/>
      <c r="C2143" s="358" t="s">
        <v>425</v>
      </c>
      <c r="D2143" s="1243">
        <f>SUM(D2129:D2142)</f>
        <v>6557404.4899999993</v>
      </c>
      <c r="E2143" s="1243">
        <f>SUM(E2129:E2142)</f>
        <v>50661.56</v>
      </c>
      <c r="F2143" s="1243">
        <f>SUM(F2129:F2142)</f>
        <v>-13884.05</v>
      </c>
      <c r="G2143" s="1243">
        <f>SUM(G2129:G2142)</f>
        <v>6594181.9999999991</v>
      </c>
      <c r="H2143" s="1243"/>
      <c r="I2143" s="1243">
        <f>SUM(I2129:I2142)</f>
        <v>2060824.7499999998</v>
      </c>
      <c r="J2143" s="369"/>
      <c r="K2143" s="1243">
        <f>SUM(K2129:K2142)</f>
        <v>22681</v>
      </c>
      <c r="L2143" s="1243">
        <f>SUM(L2129:L2142)</f>
        <v>0</v>
      </c>
      <c r="M2143" s="1243">
        <f>SUM(M2129:M2142)</f>
        <v>-13884.05</v>
      </c>
      <c r="N2143" s="1243">
        <f>SUM(N2129:N2142)</f>
        <v>0</v>
      </c>
      <c r="O2143" s="1243">
        <f>SUM(O2129:O2142)</f>
        <v>2069621.7</v>
      </c>
    </row>
    <row r="2144" spans="1:15">
      <c r="A2144" s="361"/>
      <c r="D2144" s="1243"/>
      <c r="E2144" s="1243"/>
      <c r="F2144" s="1243"/>
      <c r="G2144" s="1243"/>
      <c r="H2144" s="1243"/>
      <c r="I2144" s="1243"/>
      <c r="J2144" s="369"/>
      <c r="K2144" s="1243"/>
      <c r="L2144" s="1243"/>
      <c r="M2144" s="1243"/>
      <c r="N2144" s="1243"/>
      <c r="O2144" s="1243"/>
    </row>
    <row r="2145" spans="1:15">
      <c r="A2145" s="361">
        <f>A2143+1</f>
        <v>17</v>
      </c>
      <c r="B2145" s="363" t="s">
        <v>1038</v>
      </c>
      <c r="D2145" s="1243"/>
      <c r="E2145" s="1243"/>
      <c r="F2145" s="1243"/>
      <c r="G2145" s="1243"/>
      <c r="H2145" s="1243"/>
      <c r="I2145" s="1243"/>
      <c r="J2145" s="369"/>
      <c r="K2145" s="1243"/>
      <c r="L2145" s="1243"/>
      <c r="M2145" s="1243"/>
      <c r="N2145" s="1243"/>
      <c r="O2145" s="1243"/>
    </row>
    <row r="2146" spans="1:15">
      <c r="A2146" s="361">
        <f>A2145+1</f>
        <v>18</v>
      </c>
      <c r="B2146" s="365">
        <v>378.21</v>
      </c>
      <c r="C2146" s="358" t="s">
        <v>1037</v>
      </c>
      <c r="D2146" s="1244">
        <f>G2032</f>
        <v>-777092</v>
      </c>
      <c r="E2146" s="1244">
        <v>0</v>
      </c>
      <c r="F2146" s="1244">
        <v>0</v>
      </c>
      <c r="G2146" s="1244">
        <f>SUM(D2146:F2146)</f>
        <v>-777092</v>
      </c>
      <c r="H2146" s="1243"/>
      <c r="I2146" s="1244">
        <f>O2032</f>
        <v>-217235.36000000019</v>
      </c>
      <c r="J2146" s="376" t="str">
        <f>$J$1690</f>
        <v>Amort.</v>
      </c>
      <c r="K2146" s="1244">
        <f>$K$1348</f>
        <v>-2144.17</v>
      </c>
      <c r="L2146" s="1244">
        <v>0</v>
      </c>
      <c r="M2146" s="1244">
        <f>F2146</f>
        <v>0</v>
      </c>
      <c r="N2146" s="1244">
        <v>0</v>
      </c>
      <c r="O2146" s="1244">
        <f>I2146+K2146+L2146+M2146+N2146</f>
        <v>-219379.5300000002</v>
      </c>
    </row>
    <row r="2147" spans="1:15">
      <c r="A2147" s="361">
        <f>A2146+1</f>
        <v>19</v>
      </c>
      <c r="B2147" s="370"/>
      <c r="C2147" s="358" t="s">
        <v>1579</v>
      </c>
      <c r="D2147" s="1243">
        <f>SUM(D2146)</f>
        <v>-777092</v>
      </c>
      <c r="E2147" s="1243">
        <f>SUM(E2146)</f>
        <v>0</v>
      </c>
      <c r="F2147" s="1243">
        <f>SUM(F2146)</f>
        <v>0</v>
      </c>
      <c r="G2147" s="1243">
        <f>SUM(G2146)</f>
        <v>-777092</v>
      </c>
      <c r="H2147" s="1243"/>
      <c r="I2147" s="1243">
        <f>SUM(I2146)</f>
        <v>-217235.36000000019</v>
      </c>
      <c r="J2147" s="369"/>
      <c r="K2147" s="1243">
        <f>SUM(K2146)</f>
        <v>-2144.17</v>
      </c>
      <c r="L2147" s="1243">
        <f>SUM(L2146)</f>
        <v>0</v>
      </c>
      <c r="M2147" s="1243">
        <f>SUM(M2146)</f>
        <v>0</v>
      </c>
      <c r="N2147" s="1243">
        <f>SUM(N2146)</f>
        <v>0</v>
      </c>
      <c r="O2147" s="1243">
        <f>SUM(O2146)</f>
        <v>-219379.5300000002</v>
      </c>
    </row>
    <row r="2148" spans="1:15">
      <c r="A2148" s="361"/>
      <c r="B2148" s="370"/>
      <c r="D2148" s="1243"/>
      <c r="E2148" s="1243"/>
      <c r="F2148" s="1243"/>
      <c r="G2148" s="1243"/>
      <c r="H2148" s="1243"/>
      <c r="I2148" s="1243"/>
      <c r="J2148" s="369"/>
      <c r="K2148" s="1243"/>
      <c r="L2148" s="1243"/>
      <c r="M2148" s="1243"/>
      <c r="N2148" s="1243"/>
      <c r="O2148" s="1243"/>
    </row>
    <row r="2149" spans="1:15">
      <c r="A2149" s="361">
        <f>A2147+1</f>
        <v>20</v>
      </c>
      <c r="B2149" s="370"/>
      <c r="C2149" s="358" t="s">
        <v>2037</v>
      </c>
      <c r="D2149" s="1243">
        <f>D2076+D2109+D2143+D2147</f>
        <v>750014292.83087134</v>
      </c>
      <c r="E2149" s="1243">
        <f>E2076+E2109+E2143+E2147</f>
        <v>2607754.4779145652</v>
      </c>
      <c r="F2149" s="1243">
        <f>F2076+F2109+F2143+F2147</f>
        <v>-581901.49775049905</v>
      </c>
      <c r="G2149" s="1243">
        <f>G2076+G2109+G2143+G2147</f>
        <v>752040145.81103539</v>
      </c>
      <c r="H2149" s="1243"/>
      <c r="I2149" s="1243">
        <f>I2076+I2109+I2143+I2147</f>
        <v>184512977.36724833</v>
      </c>
      <c r="J2149" s="369"/>
      <c r="K2149" s="1243">
        <f>K2076+K2109+K2143+K2147</f>
        <v>1810103.6036557413</v>
      </c>
      <c r="L2149" s="1243">
        <f>L2076+L2109+L2143+L2147</f>
        <v>0</v>
      </c>
      <c r="M2149" s="1243">
        <f>M2076+M2109+M2143+M2147</f>
        <v>-581901.49775049905</v>
      </c>
      <c r="N2149" s="1243">
        <f>N2076+N2109+N2143+N2147</f>
        <v>-26802.9628602054</v>
      </c>
      <c r="O2149" s="1243">
        <f>O2076+O2109+O2143+O2147</f>
        <v>185714376.51029339</v>
      </c>
    </row>
    <row r="2150" spans="1:15">
      <c r="A2150" s="361"/>
      <c r="B2150" s="370"/>
      <c r="D2150" s="1243"/>
      <c r="E2150" s="1243"/>
      <c r="F2150" s="1243"/>
      <c r="G2150" s="1243"/>
      <c r="H2150" s="1243"/>
      <c r="I2150" s="1243"/>
      <c r="J2150" s="369"/>
      <c r="K2150" s="1243"/>
      <c r="L2150" s="1243"/>
      <c r="M2150" s="1243"/>
      <c r="N2150" s="1243"/>
      <c r="O2150" s="1243"/>
    </row>
    <row r="2151" spans="1:15">
      <c r="A2151" s="361">
        <f>A2149+1</f>
        <v>21</v>
      </c>
      <c r="B2151" s="370"/>
      <c r="C2151" s="358" t="s">
        <v>2038</v>
      </c>
      <c r="D2151" s="1243">
        <v>0</v>
      </c>
      <c r="E2151" s="1249">
        <v>0</v>
      </c>
      <c r="F2151" s="1249">
        <v>0</v>
      </c>
      <c r="G2151" s="1249">
        <f>SUM(D2151:F2151)</f>
        <v>0</v>
      </c>
      <c r="H2151" s="1243"/>
      <c r="I2151" s="1243">
        <f>O2037</f>
        <v>-6687302.71</v>
      </c>
      <c r="J2151" s="369"/>
      <c r="K2151" s="1243"/>
      <c r="L2151" s="1243"/>
      <c r="M2151" s="1243"/>
      <c r="N2151" s="1243"/>
      <c r="O2151" s="1243">
        <f>I2151+K2151+L2151+M2151+N2151</f>
        <v>-6687302.71</v>
      </c>
    </row>
    <row r="2152" spans="1:15">
      <c r="A2152" s="361"/>
      <c r="B2152" s="370"/>
      <c r="C2152" s="368"/>
      <c r="D2152" s="1243"/>
      <c r="E2152" s="1243"/>
      <c r="F2152" s="1243"/>
      <c r="G2152" s="1243"/>
      <c r="H2152" s="1243"/>
      <c r="I2152" s="1243"/>
      <c r="J2152" s="369"/>
      <c r="K2152" s="1243"/>
      <c r="L2152" s="1243"/>
      <c r="M2152" s="1243"/>
      <c r="N2152" s="1243"/>
      <c r="O2152" s="1243"/>
    </row>
    <row r="2153" spans="1:15">
      <c r="A2153" s="361">
        <f>A2151+1</f>
        <v>22</v>
      </c>
      <c r="C2153" s="358" t="s">
        <v>1603</v>
      </c>
      <c r="D2153" s="1247">
        <f>D2149+D2151</f>
        <v>750014292.83087134</v>
      </c>
      <c r="E2153" s="1247">
        <f t="shared" ref="E2153:O2153" si="389">E2149+E2151</f>
        <v>2607754.4779145652</v>
      </c>
      <c r="F2153" s="1247">
        <f t="shared" si="389"/>
        <v>-581901.49775049905</v>
      </c>
      <c r="G2153" s="1247">
        <f t="shared" si="389"/>
        <v>752040145.81103539</v>
      </c>
      <c r="H2153" s="1243"/>
      <c r="I2153" s="1247">
        <f t="shared" si="389"/>
        <v>177825674.65724832</v>
      </c>
      <c r="J2153" s="369"/>
      <c r="K2153" s="1247">
        <f t="shared" si="389"/>
        <v>1810103.6036557413</v>
      </c>
      <c r="L2153" s="1247">
        <f t="shared" si="389"/>
        <v>0</v>
      </c>
      <c r="M2153" s="1247">
        <f t="shared" si="389"/>
        <v>-581901.49775049905</v>
      </c>
      <c r="N2153" s="1247">
        <f t="shared" si="389"/>
        <v>-26802.9628602054</v>
      </c>
      <c r="O2153" s="1247">
        <f t="shared" si="389"/>
        <v>179027073.80029339</v>
      </c>
    </row>
    <row r="2154" spans="1:15">
      <c r="A2154" s="361"/>
      <c r="D2154" s="1243"/>
      <c r="E2154" s="1243"/>
      <c r="F2154" s="1243"/>
      <c r="G2154" s="1243"/>
      <c r="H2154" s="1243"/>
      <c r="I2154" s="1243"/>
      <c r="J2154" s="369"/>
      <c r="K2154" s="1243"/>
      <c r="L2154" s="1243"/>
      <c r="M2154" s="1243"/>
      <c r="N2154" s="1243"/>
      <c r="O2154" s="1243"/>
    </row>
    <row r="2155" spans="1:15">
      <c r="A2155" s="361"/>
      <c r="D2155" s="1243"/>
      <c r="E2155" s="1243"/>
      <c r="F2155" s="1243"/>
      <c r="G2155" s="1243"/>
      <c r="H2155" s="1243"/>
      <c r="I2155" s="1243"/>
      <c r="J2155" s="369"/>
      <c r="K2155" s="1243"/>
      <c r="L2155" s="1243"/>
      <c r="M2155" s="1243"/>
      <c r="N2155" s="1243"/>
      <c r="O2155" s="1243"/>
    </row>
    <row r="2156" spans="1:15">
      <c r="A2156" s="361">
        <f>A2153+1</f>
        <v>23</v>
      </c>
      <c r="B2156" s="363" t="s">
        <v>1774</v>
      </c>
      <c r="D2156" s="1243"/>
      <c r="E2156" s="1243"/>
      <c r="F2156" s="1243"/>
      <c r="G2156" s="1243"/>
      <c r="H2156" s="1243"/>
      <c r="I2156" s="1243"/>
      <c r="J2156" s="369"/>
      <c r="K2156" s="1243"/>
      <c r="L2156" s="1243"/>
      <c r="M2156" s="1243"/>
      <c r="N2156" s="1243"/>
      <c r="O2156" s="1243"/>
    </row>
    <row r="2157" spans="1:15">
      <c r="A2157" s="361">
        <f t="shared" ref="A2157:A2162" si="390">A2156+1</f>
        <v>24</v>
      </c>
      <c r="B2157" s="365">
        <v>376</v>
      </c>
      <c r="C2157" s="358" t="s">
        <v>1775</v>
      </c>
      <c r="D2157" s="1243">
        <f>G2043</f>
        <v>38826536.683501154</v>
      </c>
      <c r="E2157" s="1243">
        <f>'WPB-2.1.D SMRP'!E846</f>
        <v>1190107.9726593986</v>
      </c>
      <c r="F2157" s="1243">
        <f>'WPB-2.1.D SMRP'!F846</f>
        <v>-7052.2056015152011</v>
      </c>
      <c r="G2157" s="1243">
        <f>SUM(D2157:F2157)</f>
        <v>40009592.450559042</v>
      </c>
      <c r="H2157" s="1243"/>
      <c r="I2157" s="1243">
        <f>O2043</f>
        <v>125884.17032267827</v>
      </c>
      <c r="J2157" s="376">
        <f>$J$1701</f>
        <v>1.7399999999999999E-2</v>
      </c>
      <c r="K2157" s="1243">
        <f>'WPB-2.1.D SMRP'!K846</f>
        <v>57155.714999999997</v>
      </c>
      <c r="L2157" s="1243">
        <v>0</v>
      </c>
      <c r="M2157" s="1243">
        <f>F2157</f>
        <v>-7052.2056015152011</v>
      </c>
      <c r="N2157" s="1243">
        <f>'WPB-2.1.D SMRP'!N846</f>
        <v>-3331.7281146569626</v>
      </c>
      <c r="O2157" s="1243">
        <f>I2157+K2157+L2157+M2157+N2157</f>
        <v>172655.9516065061</v>
      </c>
    </row>
    <row r="2158" spans="1:15">
      <c r="A2158" s="361">
        <f t="shared" si="390"/>
        <v>25</v>
      </c>
      <c r="B2158" s="365">
        <v>378.2</v>
      </c>
      <c r="C2158" s="358" t="s">
        <v>1776</v>
      </c>
      <c r="D2158" s="1243">
        <f>G2044</f>
        <v>233282.29597481352</v>
      </c>
      <c r="E2158" s="1243">
        <f>'WPB-2.1.D SMRP'!E847</f>
        <v>265825.43520575226</v>
      </c>
      <c r="F2158" s="1243">
        <f>'WPB-2.1.D SMRP'!F847</f>
        <v>-56110.765664551844</v>
      </c>
      <c r="G2158" s="1243">
        <f>SUM(D2158:F2158)</f>
        <v>442996.96551601391</v>
      </c>
      <c r="H2158" s="1243"/>
      <c r="I2158" s="1243">
        <f>O2044</f>
        <v>-572201.9788276531</v>
      </c>
      <c r="J2158" s="376">
        <f>$J$1702</f>
        <v>2.52E-2</v>
      </c>
      <c r="K2158" s="1243">
        <f>'WPB-2.1.D SMRP'!K847</f>
        <v>710.2</v>
      </c>
      <c r="L2158" s="1243">
        <v>0</v>
      </c>
      <c r="M2158" s="1243">
        <f>F2158</f>
        <v>-56110.765664551844</v>
      </c>
      <c r="N2158" s="1243">
        <f>'WPB-2.1.D SMRP'!N847</f>
        <v>-2422.6226291399967</v>
      </c>
      <c r="O2158" s="1243">
        <f>I2158+K2158+L2158+M2158+N2158</f>
        <v>-630025.16712134506</v>
      </c>
    </row>
    <row r="2159" spans="1:15">
      <c r="A2159" s="361">
        <f t="shared" si="390"/>
        <v>26</v>
      </c>
      <c r="B2159" s="365">
        <v>380</v>
      </c>
      <c r="C2159" s="358" t="s">
        <v>1777</v>
      </c>
      <c r="D2159" s="1243">
        <f>G2045</f>
        <v>16026592.39165784</v>
      </c>
      <c r="E2159" s="1243">
        <f>'WPB-2.1.D SMRP'!E848</f>
        <v>1343019.56</v>
      </c>
      <c r="F2159" s="1243">
        <f>'WPB-2.1.D SMRP'!F848</f>
        <v>-397350.93850979803</v>
      </c>
      <c r="G2159" s="1243">
        <f>SUM(D2159:F2159)</f>
        <v>16972261.01314804</v>
      </c>
      <c r="H2159" s="1243"/>
      <c r="I2159" s="1243">
        <f>O2045</f>
        <v>-7792888.5735424068</v>
      </c>
      <c r="J2159" s="376">
        <f>$J$1703</f>
        <v>3.9800000000000002E-2</v>
      </c>
      <c r="K2159" s="1243">
        <f>'WPB-2.1.D SMRP'!K848</f>
        <v>54723.233999999997</v>
      </c>
      <c r="L2159" s="1243">
        <v>0</v>
      </c>
      <c r="M2159" s="1243">
        <f>F2159</f>
        <v>-397350.93850979803</v>
      </c>
      <c r="N2159" s="1243">
        <f>'WPB-2.1.D SMRP'!N848</f>
        <v>-175243.06639599765</v>
      </c>
      <c r="O2159" s="1243">
        <f>I2159+K2159+L2159+M2159+N2159</f>
        <v>-8310759.3444482023</v>
      </c>
    </row>
    <row r="2160" spans="1:15">
      <c r="A2160" s="361">
        <f t="shared" si="390"/>
        <v>27</v>
      </c>
      <c r="B2160" s="365">
        <v>382</v>
      </c>
      <c r="C2160" s="358" t="s">
        <v>1778</v>
      </c>
      <c r="D2160" s="1243">
        <f>G2046</f>
        <v>176613.62468282352</v>
      </c>
      <c r="E2160" s="1243">
        <f>'WPB-2.1.D SMRP'!E849</f>
        <v>5205.8500000000004</v>
      </c>
      <c r="F2160" s="1243">
        <f>'WPB-2.1.D SMRP'!F849</f>
        <v>-3153.1324736359516</v>
      </c>
      <c r="G2160" s="1243">
        <f>SUM(D2160:F2160)</f>
        <v>178666.34220918757</v>
      </c>
      <c r="H2160" s="1243"/>
      <c r="I2160" s="1243">
        <f>O2046</f>
        <v>-60283.702317176438</v>
      </c>
      <c r="J2160" s="376">
        <f>$J$1704</f>
        <v>1.77E-2</v>
      </c>
      <c r="K2160" s="1243">
        <f>'WPB-2.1.D SMRP'!K849</f>
        <v>262.51400000000001</v>
      </c>
      <c r="L2160" s="1243">
        <v>0</v>
      </c>
      <c r="M2160" s="1243">
        <f>F2160</f>
        <v>-3153.1324736359516</v>
      </c>
      <c r="N2160" s="1243">
        <f>'WPB-2.1.D SMRP'!N849</f>
        <v>0</v>
      </c>
      <c r="O2160" s="1243">
        <f>I2160+K2160+L2160+M2160+N2160</f>
        <v>-63174.320790812388</v>
      </c>
    </row>
    <row r="2161" spans="1:16">
      <c r="A2161" s="361">
        <f t="shared" si="390"/>
        <v>28</v>
      </c>
      <c r="B2161" s="365">
        <v>383</v>
      </c>
      <c r="C2161" s="358" t="s">
        <v>1779</v>
      </c>
      <c r="D2161" s="1244">
        <f>G2047</f>
        <v>71731.344617348892</v>
      </c>
      <c r="E2161" s="1244">
        <f>'WPB-2.1.D SMRP'!E850</f>
        <v>6364.1495223158836</v>
      </c>
      <c r="F2161" s="1244">
        <f>'WPB-2.1.D SMRP'!F850</f>
        <v>-390.19</v>
      </c>
      <c r="G2161" s="1244">
        <f>SUM(D2161:F2161)</f>
        <v>77705.304139664775</v>
      </c>
      <c r="H2161" s="1243"/>
      <c r="I2161" s="1244">
        <f>O2047</f>
        <v>-8119.8495464215002</v>
      </c>
      <c r="J2161" s="376">
        <f>$J$1705</f>
        <v>1.9400000000000001E-2</v>
      </c>
      <c r="K2161" s="1244">
        <f>'WPB-2.1.D SMRP'!K850</f>
        <v>120.82899999999999</v>
      </c>
      <c r="L2161" s="1244">
        <v>0</v>
      </c>
      <c r="M2161" s="1244">
        <f>F2161</f>
        <v>-390.19</v>
      </c>
      <c r="N2161" s="1244">
        <f>'WPB-2.1.D SMRP'!N850</f>
        <v>0</v>
      </c>
      <c r="O2161" s="1244">
        <f>I2161+K2161+L2161+M2161+N2161</f>
        <v>-8389.2105464215001</v>
      </c>
    </row>
    <row r="2162" spans="1:16">
      <c r="A2162" s="361">
        <f t="shared" si="390"/>
        <v>29</v>
      </c>
      <c r="C2162" s="358" t="s">
        <v>1780</v>
      </c>
      <c r="D2162" s="1243">
        <f>SUM(D2157:D2161)</f>
        <v>55334756.340433978</v>
      </c>
      <c r="E2162" s="1243">
        <f>SUM(E2157:E2161)</f>
        <v>2810522.9673874667</v>
      </c>
      <c r="F2162" s="1243">
        <f>SUM(F2157:F2161)</f>
        <v>-464057.23224950104</v>
      </c>
      <c r="G2162" s="1243">
        <f>SUM(G2157:G2161)</f>
        <v>57681222.075571954</v>
      </c>
      <c r="H2162" s="1243"/>
      <c r="I2162" s="1243">
        <f>SUM(I2157:I2161)</f>
        <v>-8307609.933910979</v>
      </c>
      <c r="J2162" s="369"/>
      <c r="K2162" s="1243">
        <f>SUM(K2157:K2161)</f>
        <v>112972.49199999998</v>
      </c>
      <c r="L2162" s="1243">
        <f>SUM(L2157:L2161)</f>
        <v>0</v>
      </c>
      <c r="M2162" s="1243">
        <f>SUM(M2157:M2161)</f>
        <v>-464057.23224950104</v>
      </c>
      <c r="N2162" s="1243">
        <f>SUM(N2157:N2161)</f>
        <v>-180997.41713979462</v>
      </c>
      <c r="O2162" s="1243">
        <f>SUM(O2157:O2161)</f>
        <v>-8839692.0913002752</v>
      </c>
    </row>
    <row r="2163" spans="1:16">
      <c r="A2163" s="361"/>
      <c r="D2163" s="1243"/>
      <c r="E2163" s="1243"/>
      <c r="F2163" s="1243"/>
      <c r="G2163" s="1243"/>
      <c r="H2163" s="1243"/>
      <c r="I2163" s="1243"/>
      <c r="J2163" s="369"/>
      <c r="K2163" s="1243"/>
      <c r="L2163" s="1243"/>
      <c r="M2163" s="1243"/>
      <c r="N2163" s="1243"/>
      <c r="O2163" s="1243"/>
    </row>
    <row r="2164" spans="1:16" ht="13.5" thickBot="1">
      <c r="A2164" s="361">
        <f>A2162+1</f>
        <v>30</v>
      </c>
      <c r="C2164" s="358" t="s">
        <v>447</v>
      </c>
      <c r="D2164" s="1248">
        <f>D2153+D2162</f>
        <v>805349049.1713053</v>
      </c>
      <c r="E2164" s="1248">
        <f>E2153+E2162</f>
        <v>5418277.4453020319</v>
      </c>
      <c r="F2164" s="1248">
        <f>F2153+F2162</f>
        <v>-1045958.7300000001</v>
      </c>
      <c r="G2164" s="1248">
        <f>G2153+G2162</f>
        <v>809721367.88660741</v>
      </c>
      <c r="H2164" s="1243"/>
      <c r="I2164" s="1248">
        <f>I2153+I2162</f>
        <v>169518064.72333735</v>
      </c>
      <c r="J2164" s="369"/>
      <c r="K2164" s="1248">
        <f>K2153+K2162</f>
        <v>1923076.0956557414</v>
      </c>
      <c r="L2164" s="1248">
        <f>L2153+L2162</f>
        <v>0</v>
      </c>
      <c r="M2164" s="1248">
        <f>M2153+M2162</f>
        <v>-1045958.7300000001</v>
      </c>
      <c r="N2164" s="1248">
        <f>N2153+N2162</f>
        <v>-207800.38</v>
      </c>
      <c r="O2164" s="1248">
        <f>O2153+O2162</f>
        <v>170187381.70899311</v>
      </c>
    </row>
    <row r="2165" spans="1:16" ht="13.5" thickTop="1"/>
    <row r="2167" spans="1:16" s="291" customFormat="1">
      <c r="A2167" s="1308" t="str">
        <f>$A$1</f>
        <v>COLUMBIA GAS OF KENTUCKY, INC.</v>
      </c>
      <c r="B2167" s="1308"/>
      <c r="C2167" s="1308"/>
      <c r="D2167" s="1308"/>
      <c r="E2167" s="1308"/>
      <c r="F2167" s="1308"/>
      <c r="G2167" s="1308"/>
      <c r="H2167" s="1308"/>
      <c r="I2167" s="1308"/>
      <c r="J2167" s="1308"/>
      <c r="K2167" s="1308"/>
      <c r="L2167" s="1308"/>
      <c r="M2167" s="1308"/>
      <c r="N2167" s="1308"/>
      <c r="O2167" s="1308"/>
    </row>
    <row r="2168" spans="1:16" s="291" customFormat="1">
      <c r="A2168" s="1308" t="str">
        <f>$A$2</f>
        <v>CASE NO. 2024 - 00092</v>
      </c>
      <c r="B2168" s="1308"/>
      <c r="C2168" s="1308"/>
      <c r="D2168" s="1308"/>
      <c r="E2168" s="1308"/>
      <c r="F2168" s="1308"/>
      <c r="G2168" s="1308"/>
      <c r="H2168" s="1308"/>
      <c r="I2168" s="1308"/>
      <c r="J2168" s="1308"/>
      <c r="K2168" s="1308"/>
      <c r="L2168" s="1308"/>
      <c r="M2168" s="1308"/>
      <c r="N2168" s="1308"/>
      <c r="O2168" s="1308"/>
    </row>
    <row r="2169" spans="1:16" s="291" customFormat="1">
      <c r="A2169" s="1308" t="str">
        <f>$A$3</f>
        <v>DETAIL OF ACTUAL &amp; FORECASTED PLANT, ACCUMULATED RESERVE &amp; DEPRECIATION EXPENSE</v>
      </c>
      <c r="B2169" s="1308"/>
      <c r="C2169" s="1308"/>
      <c r="D2169" s="1308"/>
      <c r="E2169" s="1308"/>
      <c r="F2169" s="1308"/>
      <c r="G2169" s="1308"/>
      <c r="H2169" s="1308"/>
      <c r="I2169" s="1308"/>
      <c r="J2169" s="1308"/>
      <c r="K2169" s="1308"/>
      <c r="L2169" s="1308"/>
      <c r="M2169" s="1308"/>
      <c r="N2169" s="1308"/>
      <c r="O2169" s="1308"/>
      <c r="P2169" s="357"/>
    </row>
    <row r="2170" spans="1:16" s="291" customFormat="1">
      <c r="A2170" s="1308" t="str">
        <f>$A$4</f>
        <v>FROM JANUARY 01, 2023 THROUGH DECEMBER 31, 2025</v>
      </c>
      <c r="B2170" s="1308"/>
      <c r="C2170" s="1308"/>
      <c r="D2170" s="1308"/>
      <c r="E2170" s="1308"/>
      <c r="F2170" s="1308"/>
      <c r="G2170" s="1308"/>
      <c r="H2170" s="1308"/>
      <c r="I2170" s="1308"/>
      <c r="J2170" s="1308"/>
      <c r="K2170" s="1308"/>
      <c r="L2170" s="1308"/>
      <c r="M2170" s="1308"/>
      <c r="N2170" s="1308"/>
      <c r="O2170" s="1308"/>
    </row>
    <row r="2171" spans="1:16" s="291" customFormat="1">
      <c r="B2171" s="293"/>
      <c r="P2171" s="312"/>
    </row>
    <row r="2172" spans="1:16" s="291" customFormat="1">
      <c r="A2172" s="297" t="str">
        <f>$A$6</f>
        <v xml:space="preserve">DATA: _X_ BASE PERIOD _X_ FORECASTED PERIOD     </v>
      </c>
      <c r="B2172" s="293"/>
      <c r="O2172" s="312" t="str">
        <f>$O$6</f>
        <v>WPB-2.1.C</v>
      </c>
      <c r="P2172" s="312"/>
    </row>
    <row r="2173" spans="1:16" s="291" customFormat="1">
      <c r="A2173" s="297" t="str">
        <f>$A$7</f>
        <v>TYPE OF FILING:___X___ORIGINAL______UPDATED</v>
      </c>
      <c r="B2173" s="293"/>
      <c r="O2173" s="312" t="s">
        <v>2184</v>
      </c>
      <c r="P2173" s="312"/>
    </row>
    <row r="2174" spans="1:16" s="291" customFormat="1">
      <c r="A2174" s="297" t="str">
        <f>$A$8</f>
        <v>WORKPAPER REFERENCE NO(S).:</v>
      </c>
      <c r="B2174" s="293"/>
      <c r="O2174" s="312" t="str">
        <f>$O$8</f>
        <v>WITNESS: GORE</v>
      </c>
    </row>
    <row r="2175" spans="1:16">
      <c r="A2175" s="918"/>
      <c r="B2175" s="919"/>
      <c r="C2175" s="918"/>
      <c r="D2175" s="918"/>
      <c r="E2175" s="918"/>
      <c r="F2175" s="918"/>
      <c r="G2175" s="918"/>
      <c r="H2175" s="918"/>
      <c r="I2175" s="918"/>
      <c r="J2175" s="918"/>
      <c r="K2175" s="918"/>
      <c r="L2175" s="918"/>
      <c r="M2175" s="918"/>
      <c r="N2175" s="918"/>
      <c r="O2175" s="920"/>
    </row>
    <row r="2176" spans="1:16">
      <c r="D2176" s="1311" t="s">
        <v>1768</v>
      </c>
      <c r="E2176" s="1311"/>
      <c r="F2176" s="1311"/>
      <c r="G2176" s="1311"/>
      <c r="I2176" s="1311" t="s">
        <v>1769</v>
      </c>
      <c r="J2176" s="1311"/>
      <c r="K2176" s="1311"/>
      <c r="L2176" s="1311"/>
      <c r="M2176" s="1311"/>
      <c r="N2176" s="1311"/>
      <c r="O2176" s="1311"/>
    </row>
    <row r="2177" spans="1:15">
      <c r="D2177" s="360">
        <f>G2122+1</f>
        <v>45505</v>
      </c>
      <c r="G2177" s="360">
        <f>D2177+30</f>
        <v>45535</v>
      </c>
      <c r="I2177" s="360">
        <f>D2177</f>
        <v>45505</v>
      </c>
      <c r="O2177" s="360">
        <f>G2177</f>
        <v>45535</v>
      </c>
    </row>
    <row r="2178" spans="1:15">
      <c r="D2178" s="361" t="s">
        <v>1757</v>
      </c>
      <c r="G2178" s="361" t="s">
        <v>1757</v>
      </c>
      <c r="I2178" s="361" t="s">
        <v>1758</v>
      </c>
      <c r="J2178" s="361" t="s">
        <v>488</v>
      </c>
      <c r="L2178" s="361" t="s">
        <v>1758</v>
      </c>
      <c r="O2178" s="361" t="s">
        <v>1758</v>
      </c>
    </row>
    <row r="2179" spans="1:15">
      <c r="A2179" s="361" t="s">
        <v>1770</v>
      </c>
      <c r="B2179" s="361" t="s">
        <v>368</v>
      </c>
      <c r="C2179" s="361"/>
      <c r="D2179" s="361" t="s">
        <v>437</v>
      </c>
      <c r="G2179" s="361" t="s">
        <v>439</v>
      </c>
      <c r="I2179" s="361" t="s">
        <v>437</v>
      </c>
      <c r="J2179" s="361" t="s">
        <v>1771</v>
      </c>
      <c r="K2179" s="361" t="s">
        <v>1772</v>
      </c>
      <c r="L2179" s="361" t="s">
        <v>1759</v>
      </c>
      <c r="N2179" s="361" t="s">
        <v>1760</v>
      </c>
      <c r="O2179" s="361" t="s">
        <v>439</v>
      </c>
    </row>
    <row r="2180" spans="1:15">
      <c r="A2180" s="364" t="s">
        <v>316</v>
      </c>
      <c r="B2180" s="364" t="s">
        <v>316</v>
      </c>
      <c r="C2180" s="364" t="s">
        <v>451</v>
      </c>
      <c r="D2180" s="364" t="s">
        <v>441</v>
      </c>
      <c r="E2180" s="364" t="s">
        <v>442</v>
      </c>
      <c r="F2180" s="364" t="s">
        <v>443</v>
      </c>
      <c r="G2180" s="364" t="s">
        <v>441</v>
      </c>
      <c r="I2180" s="364" t="s">
        <v>441</v>
      </c>
      <c r="J2180" s="364" t="s">
        <v>1773</v>
      </c>
      <c r="K2180" s="364" t="s">
        <v>1771</v>
      </c>
      <c r="L2180" s="364" t="s">
        <v>355</v>
      </c>
      <c r="M2180" s="364" t="s">
        <v>443</v>
      </c>
      <c r="N2180" s="364" t="s">
        <v>1763</v>
      </c>
      <c r="O2180" s="364" t="s">
        <v>441</v>
      </c>
    </row>
    <row r="2181" spans="1:15">
      <c r="D2181" s="361" t="s">
        <v>532</v>
      </c>
      <c r="E2181" s="361" t="s">
        <v>541</v>
      </c>
      <c r="F2181" s="361" t="s">
        <v>542</v>
      </c>
      <c r="G2181" s="361" t="s">
        <v>1764</v>
      </c>
      <c r="I2181" s="334" t="str">
        <f>"(5)"</f>
        <v>(5)</v>
      </c>
      <c r="J2181" s="334" t="str">
        <f>"(6)"</f>
        <v>(6)</v>
      </c>
      <c r="K2181" s="334" t="str">
        <f>"(7)=((1+4)/2*6/12))"</f>
        <v>(7)=((1+4)/2*6/12))</v>
      </c>
      <c r="L2181" s="334" t="str">
        <f>"(8)"</f>
        <v>(8)</v>
      </c>
      <c r="M2181" s="334" t="str">
        <f>"(9)"</f>
        <v>(9)</v>
      </c>
      <c r="N2181" s="334" t="str">
        <f>"(10)"</f>
        <v>(10)</v>
      </c>
      <c r="O2181" s="334" t="str">
        <f>"(11=5+7+8+9+10)"</f>
        <v>(11=5+7+8+9+10)</v>
      </c>
    </row>
    <row r="2182" spans="1:15">
      <c r="D2182" s="361" t="s">
        <v>320</v>
      </c>
      <c r="E2182" s="361" t="s">
        <v>320</v>
      </c>
      <c r="F2182" s="361" t="s">
        <v>320</v>
      </c>
      <c r="G2182" s="361" t="s">
        <v>320</v>
      </c>
      <c r="I2182" s="334" t="s">
        <v>320</v>
      </c>
      <c r="J2182" s="334" t="s">
        <v>529</v>
      </c>
      <c r="K2182" s="334" t="s">
        <v>320</v>
      </c>
      <c r="L2182" s="334" t="s">
        <v>320</v>
      </c>
      <c r="M2182" s="334" t="s">
        <v>320</v>
      </c>
      <c r="N2182" s="334" t="s">
        <v>320</v>
      </c>
      <c r="O2182" s="334" t="s">
        <v>320</v>
      </c>
    </row>
    <row r="2183" spans="1:15">
      <c r="A2183" s="361">
        <v>1</v>
      </c>
      <c r="B2183" s="362" t="s">
        <v>373</v>
      </c>
      <c r="D2183" s="361"/>
      <c r="E2183" s="361"/>
      <c r="F2183" s="361"/>
      <c r="G2183" s="361"/>
      <c r="I2183" s="334"/>
      <c r="J2183" s="334"/>
      <c r="K2183" s="334"/>
      <c r="L2183" s="334"/>
      <c r="M2183" s="334"/>
      <c r="N2183" s="334"/>
      <c r="O2183" s="334"/>
    </row>
    <row r="2184" spans="1:15">
      <c r="A2184" s="361">
        <f>A2183+1</f>
        <v>2</v>
      </c>
      <c r="B2184" s="365">
        <v>301</v>
      </c>
      <c r="C2184" s="358" t="s">
        <v>374</v>
      </c>
      <c r="D2184" s="1243">
        <f t="shared" ref="D2184:D2189" si="391">G2070</f>
        <v>521.20000000000005</v>
      </c>
      <c r="E2184" s="1243">
        <v>0</v>
      </c>
      <c r="F2184" s="1243">
        <v>0</v>
      </c>
      <c r="G2184" s="1243">
        <f t="shared" ref="G2184:G2189" si="392">SUM(D2184:F2184)</f>
        <v>521.20000000000005</v>
      </c>
      <c r="H2184" s="1243"/>
      <c r="I2184" s="1243">
        <f t="shared" ref="I2184:I2189" si="393">O2070</f>
        <v>0</v>
      </c>
      <c r="J2184" s="375" t="str">
        <f>$J$1614</f>
        <v>Amort.</v>
      </c>
      <c r="K2184" s="1243">
        <v>0</v>
      </c>
      <c r="L2184" s="1243">
        <v>0</v>
      </c>
      <c r="M2184" s="1243">
        <f t="shared" ref="M2184:M2189" si="394">F2184</f>
        <v>0</v>
      </c>
      <c r="N2184" s="1243">
        <v>0</v>
      </c>
      <c r="O2184" s="1243">
        <f t="shared" ref="O2184:O2189" si="395">I2184+K2184+L2184+M2184+N2184</f>
        <v>0</v>
      </c>
    </row>
    <row r="2185" spans="1:15">
      <c r="A2185" s="361">
        <f t="shared" ref="A2185:A2190" si="396">A2184+1</f>
        <v>3</v>
      </c>
      <c r="B2185" s="365">
        <v>303</v>
      </c>
      <c r="C2185" s="358" t="s">
        <v>375</v>
      </c>
      <c r="D2185" s="1243">
        <f t="shared" si="391"/>
        <v>96334.51</v>
      </c>
      <c r="E2185" s="1243">
        <v>0</v>
      </c>
      <c r="F2185" s="1243">
        <v>0</v>
      </c>
      <c r="G2185" s="1243">
        <f t="shared" si="392"/>
        <v>96334.51</v>
      </c>
      <c r="H2185" s="1243"/>
      <c r="I2185" s="1243">
        <f t="shared" si="393"/>
        <v>80735.554638888963</v>
      </c>
      <c r="J2185" s="375" t="str">
        <f>$J$1615</f>
        <v>Amort.</v>
      </c>
      <c r="K2185" s="1243">
        <f>+'WPB-2.1.E Intangibles'!L47</f>
        <v>267.59780555555557</v>
      </c>
      <c r="L2185" s="1243">
        <v>0</v>
      </c>
      <c r="M2185" s="1243">
        <f t="shared" si="394"/>
        <v>0</v>
      </c>
      <c r="N2185" s="1243">
        <v>0</v>
      </c>
      <c r="O2185" s="1243">
        <f t="shared" si="395"/>
        <v>81003.152444444524</v>
      </c>
    </row>
    <row r="2186" spans="1:15">
      <c r="A2186" s="361">
        <f t="shared" si="396"/>
        <v>4</v>
      </c>
      <c r="B2186" s="365">
        <v>303.10000000000002</v>
      </c>
      <c r="C2186" s="358" t="s">
        <v>376</v>
      </c>
      <c r="D2186" s="1243">
        <f t="shared" si="391"/>
        <v>943.27</v>
      </c>
      <c r="E2186" s="1243">
        <v>0</v>
      </c>
      <c r="F2186" s="1243">
        <v>0</v>
      </c>
      <c r="G2186" s="1243">
        <f t="shared" si="392"/>
        <v>943.27</v>
      </c>
      <c r="H2186" s="1243"/>
      <c r="I2186" s="1243">
        <f t="shared" si="393"/>
        <v>318.35000000000008</v>
      </c>
      <c r="J2186" s="375" t="str">
        <f>$J$1616</f>
        <v>Amort.</v>
      </c>
      <c r="K2186" s="1243">
        <v>0</v>
      </c>
      <c r="L2186" s="1243">
        <v>0</v>
      </c>
      <c r="M2186" s="1243">
        <f t="shared" si="394"/>
        <v>0</v>
      </c>
      <c r="N2186" s="1243">
        <v>0</v>
      </c>
      <c r="O2186" s="1243">
        <f t="shared" si="395"/>
        <v>318.35000000000008</v>
      </c>
    </row>
    <row r="2187" spans="1:15">
      <c r="A2187" s="361">
        <f t="shared" si="396"/>
        <v>5</v>
      </c>
      <c r="B2187" s="365">
        <v>303.2</v>
      </c>
      <c r="C2187" s="358" t="s">
        <v>377</v>
      </c>
      <c r="D2187" s="1243">
        <f t="shared" si="391"/>
        <v>0</v>
      </c>
      <c r="E2187" s="1243">
        <v>0</v>
      </c>
      <c r="F2187" s="1243">
        <v>0</v>
      </c>
      <c r="G2187" s="1243">
        <f t="shared" si="392"/>
        <v>0</v>
      </c>
      <c r="H2187" s="1243"/>
      <c r="I2187" s="1243">
        <f t="shared" si="393"/>
        <v>0</v>
      </c>
      <c r="J2187" s="375" t="str">
        <f>$J$1617</f>
        <v>Amort.</v>
      </c>
      <c r="K2187" s="1243">
        <v>0</v>
      </c>
      <c r="L2187" s="1243">
        <v>0</v>
      </c>
      <c r="M2187" s="1243">
        <f t="shared" si="394"/>
        <v>0</v>
      </c>
      <c r="N2187" s="1243">
        <v>0</v>
      </c>
      <c r="O2187" s="1243">
        <f t="shared" si="395"/>
        <v>0</v>
      </c>
    </row>
    <row r="2188" spans="1:15">
      <c r="A2188" s="361">
        <f t="shared" si="396"/>
        <v>6</v>
      </c>
      <c r="B2188" s="365">
        <v>303.3</v>
      </c>
      <c r="C2188" s="358" t="s">
        <v>378</v>
      </c>
      <c r="D2188" s="1243">
        <f t="shared" si="391"/>
        <v>12470214.330000002</v>
      </c>
      <c r="E2188" s="1243">
        <f>+'WPB-2.1.E Intangibles'!L17</f>
        <v>138184</v>
      </c>
      <c r="F2188" s="1243">
        <f>-'WPB-2.1.E Intangibles'!L35</f>
        <v>-42648.62</v>
      </c>
      <c r="G2188" s="1243">
        <f t="shared" si="392"/>
        <v>12565749.710000003</v>
      </c>
      <c r="H2188" s="1243"/>
      <c r="I2188" s="1243">
        <f t="shared" si="393"/>
        <v>5353166.1280000042</v>
      </c>
      <c r="J2188" s="375" t="str">
        <f>$J$1618</f>
        <v>Amort.</v>
      </c>
      <c r="K2188" s="1243">
        <f>+'WPB-2.1.E Intangibles'!L48</f>
        <v>215219.88233333349</v>
      </c>
      <c r="L2188" s="1243">
        <v>0</v>
      </c>
      <c r="M2188" s="1243">
        <f t="shared" si="394"/>
        <v>-42648.62</v>
      </c>
      <c r="N2188" s="1243">
        <v>0</v>
      </c>
      <c r="O2188" s="1243">
        <f t="shared" si="395"/>
        <v>5525737.3903333377</v>
      </c>
    </row>
    <row r="2189" spans="1:15">
      <c r="A2189" s="361">
        <f t="shared" si="396"/>
        <v>7</v>
      </c>
      <c r="B2189" s="365">
        <v>303.99</v>
      </c>
      <c r="C2189" s="358" t="s">
        <v>1129</v>
      </c>
      <c r="D2189" s="1244">
        <f t="shared" si="391"/>
        <v>2083755.2066072344</v>
      </c>
      <c r="E2189" s="1244">
        <f>+'WPB-2.1.E Intangibles'!L21</f>
        <v>10835.120203137652</v>
      </c>
      <c r="F2189" s="1244">
        <f>-'WPB-2.1.E Intangibles'!L36</f>
        <v>0</v>
      </c>
      <c r="G2189" s="1244">
        <f t="shared" si="392"/>
        <v>2094590.3268103721</v>
      </c>
      <c r="H2189" s="1243"/>
      <c r="I2189" s="1244">
        <f t="shared" si="393"/>
        <v>1143573.9653541932</v>
      </c>
      <c r="J2189" s="375" t="str">
        <f>$J$1619</f>
        <v>Amort.</v>
      </c>
      <c r="K2189" s="1244">
        <f>+'WPB-2.1.E Intangibles'!L49</f>
        <v>35329.03847939476</v>
      </c>
      <c r="L2189" s="1244">
        <v>0</v>
      </c>
      <c r="M2189" s="1244">
        <f t="shared" si="394"/>
        <v>0</v>
      </c>
      <c r="N2189" s="1244">
        <v>0</v>
      </c>
      <c r="O2189" s="1244">
        <f t="shared" si="395"/>
        <v>1178903.003833588</v>
      </c>
    </row>
    <row r="2190" spans="1:15">
      <c r="A2190" s="361">
        <f t="shared" si="396"/>
        <v>8</v>
      </c>
      <c r="B2190" s="367"/>
      <c r="C2190" s="358" t="s">
        <v>379</v>
      </c>
      <c r="D2190" s="1243">
        <f>SUM(D2184:D2189)</f>
        <v>14651768.516607236</v>
      </c>
      <c r="E2190" s="1243">
        <f>SUM(E2184:E2189)</f>
        <v>149019.12020313766</v>
      </c>
      <c r="F2190" s="1243">
        <f>SUM(F2184:F2189)</f>
        <v>-42648.62</v>
      </c>
      <c r="G2190" s="1243">
        <f>SUM(G2184:G2189)</f>
        <v>14758139.016810376</v>
      </c>
      <c r="H2190" s="1243"/>
      <c r="I2190" s="1243">
        <f>SUM(I2184:I2189)</f>
        <v>6577793.9979930865</v>
      </c>
      <c r="J2190" s="369"/>
      <c r="K2190" s="1243">
        <f>SUM(K2184:K2189)</f>
        <v>250816.51861828379</v>
      </c>
      <c r="L2190" s="1243">
        <f>SUM(L2184:L2189)</f>
        <v>0</v>
      </c>
      <c r="M2190" s="1243">
        <f>SUM(M2184:M2189)</f>
        <v>-42648.62</v>
      </c>
      <c r="N2190" s="1243">
        <f>SUM(N2184:N2189)</f>
        <v>0</v>
      </c>
      <c r="O2190" s="1243">
        <f>SUM(O2184:O2189)</f>
        <v>6785961.8966113701</v>
      </c>
    </row>
    <row r="2191" spans="1:15">
      <c r="A2191" s="361"/>
      <c r="B2191" s="367"/>
      <c r="C2191" s="368"/>
      <c r="D2191" s="1243"/>
      <c r="E2191" s="1243"/>
      <c r="F2191" s="1243"/>
      <c r="G2191" s="1243"/>
      <c r="H2191" s="1243"/>
      <c r="I2191" s="1243"/>
      <c r="J2191" s="369"/>
      <c r="K2191" s="1243"/>
      <c r="L2191" s="1243"/>
      <c r="M2191" s="1243"/>
      <c r="N2191" s="1243"/>
      <c r="O2191" s="1243"/>
    </row>
    <row r="2192" spans="1:15">
      <c r="A2192" s="361">
        <f>A2190+1</f>
        <v>9</v>
      </c>
      <c r="B2192" s="362" t="s">
        <v>1600</v>
      </c>
      <c r="C2192" s="368"/>
      <c r="D2192" s="1243"/>
      <c r="E2192" s="1243"/>
      <c r="F2192" s="1243"/>
      <c r="G2192" s="1243"/>
      <c r="H2192" s="1243"/>
      <c r="I2192" s="1243"/>
      <c r="J2192" s="369"/>
      <c r="K2192" s="1243"/>
      <c r="L2192" s="1243"/>
      <c r="M2192" s="1243"/>
      <c r="N2192" s="1243"/>
      <c r="O2192" s="1243"/>
    </row>
    <row r="2193" spans="1:15">
      <c r="A2193" s="361">
        <f t="shared" ref="A2193:A2223" si="397">A2192+1</f>
        <v>10</v>
      </c>
      <c r="B2193" s="365">
        <v>374.1</v>
      </c>
      <c r="C2193" s="358" t="s">
        <v>382</v>
      </c>
      <c r="D2193" s="1243">
        <f t="shared" ref="D2193:D2222" si="398">G2079</f>
        <v>205.4</v>
      </c>
      <c r="E2193" s="1243">
        <f>+'INPUT - B Schedule PLANT'!DD15</f>
        <v>0</v>
      </c>
      <c r="F2193" s="1243">
        <f>+'INPUT - B Schedule PLANT'!DE15</f>
        <v>0</v>
      </c>
      <c r="G2193" s="1243">
        <f>SUM(D2193:F2193)</f>
        <v>205.4</v>
      </c>
      <c r="H2193" s="1243"/>
      <c r="I2193" s="1243">
        <f t="shared" ref="I2193:I2222" si="399">O2079</f>
        <v>0</v>
      </c>
      <c r="J2193" s="375" t="str">
        <f>$J$1623</f>
        <v>Non-Dep.</v>
      </c>
      <c r="K2193" s="1243">
        <v>0</v>
      </c>
      <c r="L2193" s="1243">
        <v>0</v>
      </c>
      <c r="M2193" s="1243">
        <f t="shared" ref="M2193:M2222" si="400">F2193</f>
        <v>0</v>
      </c>
      <c r="N2193" s="1243">
        <v>0</v>
      </c>
      <c r="O2193" s="1243">
        <f t="shared" ref="O2193:O2222" si="401">I2193+K2193+L2193+M2193+N2193</f>
        <v>0</v>
      </c>
    </row>
    <row r="2194" spans="1:15">
      <c r="A2194" s="361">
        <f t="shared" si="397"/>
        <v>11</v>
      </c>
      <c r="B2194" s="365">
        <v>374.2</v>
      </c>
      <c r="C2194" s="358" t="s">
        <v>383</v>
      </c>
      <c r="D2194" s="1243">
        <f t="shared" si="398"/>
        <v>876986.66</v>
      </c>
      <c r="E2194" s="1243">
        <f>+'INPUT - B Schedule PLANT'!DD16</f>
        <v>0</v>
      </c>
      <c r="F2194" s="1243">
        <f>+'INPUT - B Schedule PLANT'!DE16</f>
        <v>0</v>
      </c>
      <c r="G2194" s="1243">
        <f t="shared" ref="G2194:G2222" si="402">SUM(D2194:F2194)</f>
        <v>876986.66</v>
      </c>
      <c r="H2194" s="1243"/>
      <c r="I2194" s="1243">
        <f t="shared" si="399"/>
        <v>-522.25</v>
      </c>
      <c r="J2194" s="375" t="str">
        <f>$J$1624</f>
        <v>Non-Dep.</v>
      </c>
      <c r="K2194" s="1243">
        <v>0</v>
      </c>
      <c r="L2194" s="1243">
        <v>0</v>
      </c>
      <c r="M2194" s="1243">
        <f t="shared" si="400"/>
        <v>0</v>
      </c>
      <c r="N2194" s="1243">
        <v>0</v>
      </c>
      <c r="O2194" s="1243">
        <f t="shared" si="401"/>
        <v>-522.25</v>
      </c>
    </row>
    <row r="2195" spans="1:15">
      <c r="A2195" s="361">
        <f t="shared" si="397"/>
        <v>12</v>
      </c>
      <c r="B2195" s="365">
        <v>374.4</v>
      </c>
      <c r="C2195" s="358" t="s">
        <v>384</v>
      </c>
      <c r="D2195" s="1243">
        <f t="shared" si="398"/>
        <v>3103712.8100000005</v>
      </c>
      <c r="E2195" s="1243">
        <f>+'INPUT - B Schedule PLANT'!DD17</f>
        <v>1988.41</v>
      </c>
      <c r="F2195" s="1243">
        <f>+'INPUT - B Schedule PLANT'!DE17</f>
        <v>0</v>
      </c>
      <c r="G2195" s="1243">
        <f t="shared" si="402"/>
        <v>3105701.2200000007</v>
      </c>
      <c r="H2195" s="1243"/>
      <c r="I2195" s="1243">
        <f t="shared" si="399"/>
        <v>383373.59</v>
      </c>
      <c r="J2195" s="376">
        <f>$J$1625</f>
        <v>1.2699999999999999E-2</v>
      </c>
      <c r="K2195" s="1243">
        <f t="shared" ref="K2195:K2201" si="403">ROUND((G2195+D2195)/2*J2195/12,0)</f>
        <v>3286</v>
      </c>
      <c r="L2195" s="1243">
        <v>0</v>
      </c>
      <c r="M2195" s="1243">
        <f t="shared" si="400"/>
        <v>0</v>
      </c>
      <c r="N2195" s="1243">
        <v>0</v>
      </c>
      <c r="O2195" s="1243">
        <f t="shared" si="401"/>
        <v>386659.59</v>
      </c>
    </row>
    <row r="2196" spans="1:15">
      <c r="A2196" s="361">
        <f t="shared" si="397"/>
        <v>13</v>
      </c>
      <c r="B2196" s="365">
        <v>374.5</v>
      </c>
      <c r="C2196" s="358" t="s">
        <v>385</v>
      </c>
      <c r="D2196" s="1243">
        <f t="shared" si="398"/>
        <v>2666577.16</v>
      </c>
      <c r="E2196" s="1243">
        <f>+'INPUT - B Schedule PLANT'!DD18</f>
        <v>0</v>
      </c>
      <c r="F2196" s="1243">
        <f>+'INPUT - B Schedule PLANT'!DE18</f>
        <v>0</v>
      </c>
      <c r="G2196" s="1243">
        <f t="shared" si="402"/>
        <v>2666577.16</v>
      </c>
      <c r="H2196" s="1243"/>
      <c r="I2196" s="1243">
        <f t="shared" si="399"/>
        <v>1173408.1900000013</v>
      </c>
      <c r="J2196" s="376">
        <f>$J$1626</f>
        <v>1.0999999999999999E-2</v>
      </c>
      <c r="K2196" s="1243">
        <f t="shared" si="403"/>
        <v>2444</v>
      </c>
      <c r="L2196" s="1243">
        <v>0</v>
      </c>
      <c r="M2196" s="1243">
        <f t="shared" si="400"/>
        <v>0</v>
      </c>
      <c r="N2196" s="1243">
        <v>0</v>
      </c>
      <c r="O2196" s="1243">
        <f t="shared" si="401"/>
        <v>1175852.1900000013</v>
      </c>
    </row>
    <row r="2197" spans="1:15">
      <c r="A2197" s="361">
        <f t="shared" si="397"/>
        <v>14</v>
      </c>
      <c r="B2197" s="365">
        <v>375.2</v>
      </c>
      <c r="C2197" s="358" t="s">
        <v>386</v>
      </c>
      <c r="D2197" s="1243">
        <f t="shared" si="398"/>
        <v>2124.98</v>
      </c>
      <c r="E2197" s="1243">
        <f>+'INPUT - B Schedule PLANT'!DD19</f>
        <v>0</v>
      </c>
      <c r="F2197" s="1243">
        <f>+'INPUT - B Schedule PLANT'!DE19</f>
        <v>0</v>
      </c>
      <c r="G2197" s="1243">
        <f t="shared" si="402"/>
        <v>2124.98</v>
      </c>
      <c r="H2197" s="1243"/>
      <c r="I2197" s="1243">
        <f t="shared" si="399"/>
        <v>2083.3000000000002</v>
      </c>
      <c r="J2197" s="376">
        <f>$J$1627</f>
        <v>2.3199999999999998E-2</v>
      </c>
      <c r="K2197" s="1243">
        <f t="shared" si="403"/>
        <v>4</v>
      </c>
      <c r="L2197" s="1243">
        <v>0</v>
      </c>
      <c r="M2197" s="1243">
        <f t="shared" si="400"/>
        <v>0</v>
      </c>
      <c r="N2197" s="1243">
        <v>0</v>
      </c>
      <c r="O2197" s="1243">
        <f t="shared" si="401"/>
        <v>2087.3000000000002</v>
      </c>
    </row>
    <row r="2198" spans="1:15">
      <c r="A2198" s="361">
        <f t="shared" si="397"/>
        <v>15</v>
      </c>
      <c r="B2198" s="365">
        <v>375.3</v>
      </c>
      <c r="C2198" s="358" t="s">
        <v>387</v>
      </c>
      <c r="D2198" s="1243">
        <f t="shared" si="398"/>
        <v>0</v>
      </c>
      <c r="E2198" s="1243">
        <f>+'INPUT - B Schedule PLANT'!DD20</f>
        <v>0</v>
      </c>
      <c r="F2198" s="1243">
        <f>+'INPUT - B Schedule PLANT'!DE20</f>
        <v>0</v>
      </c>
      <c r="G2198" s="1243">
        <f t="shared" si="402"/>
        <v>0</v>
      </c>
      <c r="H2198" s="1243"/>
      <c r="I2198" s="1243">
        <f t="shared" si="399"/>
        <v>-77.66</v>
      </c>
      <c r="J2198" s="376">
        <f>$J$1628</f>
        <v>2.3199999999999998E-2</v>
      </c>
      <c r="K2198" s="1243">
        <f t="shared" si="403"/>
        <v>0</v>
      </c>
      <c r="L2198" s="1243">
        <v>0</v>
      </c>
      <c r="M2198" s="1243">
        <f t="shared" si="400"/>
        <v>0</v>
      </c>
      <c r="N2198" s="1243">
        <v>0</v>
      </c>
      <c r="O2198" s="1243">
        <f t="shared" si="401"/>
        <v>-77.66</v>
      </c>
    </row>
    <row r="2199" spans="1:15">
      <c r="A2199" s="361">
        <f t="shared" si="397"/>
        <v>16</v>
      </c>
      <c r="B2199" s="365">
        <v>375.4</v>
      </c>
      <c r="C2199" s="358" t="s">
        <v>388</v>
      </c>
      <c r="D2199" s="1243">
        <f t="shared" si="398"/>
        <v>3310648.2599999988</v>
      </c>
      <c r="E2199" s="1243">
        <f>+'INPUT - B Schedule PLANT'!DD21</f>
        <v>0</v>
      </c>
      <c r="F2199" s="1243">
        <f>+'INPUT - B Schedule PLANT'!DE21</f>
        <v>0</v>
      </c>
      <c r="G2199" s="1243">
        <f t="shared" si="402"/>
        <v>3310648.2599999988</v>
      </c>
      <c r="H2199" s="1243"/>
      <c r="I2199" s="1243">
        <f t="shared" si="399"/>
        <v>474895.76000000013</v>
      </c>
      <c r="J2199" s="376">
        <f>$J$1629</f>
        <v>2.3199999999999998E-2</v>
      </c>
      <c r="K2199" s="1243">
        <f t="shared" si="403"/>
        <v>6401</v>
      </c>
      <c r="L2199" s="1243">
        <v>0</v>
      </c>
      <c r="M2199" s="1243">
        <f t="shared" si="400"/>
        <v>0</v>
      </c>
      <c r="N2199" s="1243">
        <v>0</v>
      </c>
      <c r="O2199" s="1243">
        <f t="shared" si="401"/>
        <v>481296.76000000013</v>
      </c>
    </row>
    <row r="2200" spans="1:15">
      <c r="A2200" s="361">
        <f t="shared" si="397"/>
        <v>17</v>
      </c>
      <c r="B2200" s="365">
        <v>375.6</v>
      </c>
      <c r="C2200" s="358" t="s">
        <v>389</v>
      </c>
      <c r="D2200" s="1243">
        <f t="shared" si="398"/>
        <v>0</v>
      </c>
      <c r="E2200" s="1243">
        <f>+'INPUT - B Schedule PLANT'!DD22</f>
        <v>0</v>
      </c>
      <c r="F2200" s="1243">
        <f>+'INPUT - B Schedule PLANT'!DE22</f>
        <v>0</v>
      </c>
      <c r="G2200" s="1243">
        <f t="shared" si="402"/>
        <v>0</v>
      </c>
      <c r="H2200" s="1243"/>
      <c r="I2200" s="1243">
        <f t="shared" si="399"/>
        <v>0.02</v>
      </c>
      <c r="J2200" s="376">
        <f>$J$1630</f>
        <v>2.3199999999999998E-2</v>
      </c>
      <c r="K2200" s="1243">
        <f t="shared" si="403"/>
        <v>0</v>
      </c>
      <c r="L2200" s="1243">
        <v>0</v>
      </c>
      <c r="M2200" s="1243">
        <f t="shared" si="400"/>
        <v>0</v>
      </c>
      <c r="N2200" s="1243">
        <v>0</v>
      </c>
      <c r="O2200" s="1243">
        <f t="shared" si="401"/>
        <v>0.02</v>
      </c>
    </row>
    <row r="2201" spans="1:15">
      <c r="A2201" s="361">
        <f t="shared" si="397"/>
        <v>18</v>
      </c>
      <c r="B2201" s="365">
        <v>375.7</v>
      </c>
      <c r="C2201" s="358" t="s">
        <v>390</v>
      </c>
      <c r="D2201" s="1243">
        <f t="shared" si="398"/>
        <v>9588487.5</v>
      </c>
      <c r="E2201" s="1243">
        <f>+'INPUT - B Schedule PLANT'!DD23</f>
        <v>64868.01</v>
      </c>
      <c r="F2201" s="1243">
        <f>+'INPUT - B Schedule PLANT'!DE23</f>
        <v>0</v>
      </c>
      <c r="G2201" s="1243">
        <f t="shared" si="402"/>
        <v>9653355.5099999998</v>
      </c>
      <c r="H2201" s="1243"/>
      <c r="I2201" s="1243">
        <f t="shared" si="399"/>
        <v>4818786.6999999983</v>
      </c>
      <c r="J2201" s="376">
        <f>$J$1631</f>
        <v>2.3199999999999998E-2</v>
      </c>
      <c r="K2201" s="1243">
        <f t="shared" si="403"/>
        <v>18600</v>
      </c>
      <c r="L2201" s="1243">
        <v>0</v>
      </c>
      <c r="M2201" s="1243">
        <f t="shared" si="400"/>
        <v>0</v>
      </c>
      <c r="N2201" s="1243">
        <v>0</v>
      </c>
      <c r="O2201" s="1243">
        <f t="shared" si="401"/>
        <v>4837386.6999999983</v>
      </c>
    </row>
    <row r="2202" spans="1:15">
      <c r="A2202" s="361">
        <f t="shared" si="397"/>
        <v>19</v>
      </c>
      <c r="B2202" s="365">
        <v>375.71</v>
      </c>
      <c r="C2202" s="358" t="s">
        <v>391</v>
      </c>
      <c r="D2202" s="1243">
        <f t="shared" si="398"/>
        <v>880994.59</v>
      </c>
      <c r="E2202" s="1243">
        <f>+'INPUT - B Schedule PLANT'!DD24</f>
        <v>0</v>
      </c>
      <c r="F2202" s="1243">
        <f>+'INPUT - B Schedule PLANT'!DE24</f>
        <v>0</v>
      </c>
      <c r="G2202" s="1243">
        <f t="shared" si="402"/>
        <v>880994.59</v>
      </c>
      <c r="H2202" s="1243"/>
      <c r="I2202" s="1243">
        <f t="shared" si="399"/>
        <v>792167.90000000061</v>
      </c>
      <c r="J2202" s="375" t="str">
        <f>$J$1632</f>
        <v>Amort.</v>
      </c>
      <c r="K2202" s="1243">
        <f>$K$1290</f>
        <v>4743.54</v>
      </c>
      <c r="L2202" s="1243">
        <v>0</v>
      </c>
      <c r="M2202" s="1243">
        <f t="shared" si="400"/>
        <v>0</v>
      </c>
      <c r="N2202" s="1243">
        <v>0</v>
      </c>
      <c r="O2202" s="1243">
        <f t="shared" si="401"/>
        <v>796911.44000000064</v>
      </c>
    </row>
    <row r="2203" spans="1:15">
      <c r="A2203" s="361">
        <f t="shared" si="397"/>
        <v>20</v>
      </c>
      <c r="B2203" s="365">
        <v>375.8</v>
      </c>
      <c r="C2203" s="358" t="s">
        <v>392</v>
      </c>
      <c r="D2203" s="1243">
        <f t="shared" si="398"/>
        <v>132125.04</v>
      </c>
      <c r="E2203" s="1243">
        <f>+'INPUT - B Schedule PLANT'!DD25</f>
        <v>0</v>
      </c>
      <c r="F2203" s="1243">
        <f>+'INPUT - B Schedule PLANT'!DE25</f>
        <v>0</v>
      </c>
      <c r="G2203" s="1243">
        <f t="shared" si="402"/>
        <v>132125.04</v>
      </c>
      <c r="H2203" s="1243"/>
      <c r="I2203" s="1243">
        <f t="shared" si="399"/>
        <v>13273.43</v>
      </c>
      <c r="J2203" s="376">
        <f>$J$1633</f>
        <v>2.3199999999999998E-2</v>
      </c>
      <c r="K2203" s="1243">
        <f t="shared" ref="K2203:K2222" si="404">ROUND((G2203+D2203)/2*J2203/12,0)</f>
        <v>255</v>
      </c>
      <c r="L2203" s="1243">
        <v>0</v>
      </c>
      <c r="M2203" s="1243">
        <f t="shared" si="400"/>
        <v>0</v>
      </c>
      <c r="N2203" s="1243">
        <v>0</v>
      </c>
      <c r="O2203" s="1243">
        <f t="shared" si="401"/>
        <v>13528.43</v>
      </c>
    </row>
    <row r="2204" spans="1:15">
      <c r="A2204" s="361">
        <f t="shared" si="397"/>
        <v>21</v>
      </c>
      <c r="B2204" s="365">
        <v>376</v>
      </c>
      <c r="C2204" s="358" t="s">
        <v>1621</v>
      </c>
      <c r="D2204" s="1243">
        <f t="shared" si="398"/>
        <v>415168259.93944097</v>
      </c>
      <c r="E2204" s="1243">
        <f>'WPB-2.1.D SMRP'!E901</f>
        <v>454632.36610402307</v>
      </c>
      <c r="F2204" s="1243">
        <f>'WPB-2.1.D SMRP'!F901</f>
        <v>-13414.874138883257</v>
      </c>
      <c r="G2204" s="1243">
        <f t="shared" si="402"/>
        <v>415609477.43140608</v>
      </c>
      <c r="H2204" s="1243"/>
      <c r="I2204" s="1243">
        <f t="shared" si="399"/>
        <v>83503198.23839356</v>
      </c>
      <c r="J2204" s="376">
        <f>$J$1634</f>
        <v>1.7399999999999999E-2</v>
      </c>
      <c r="K2204" s="1243">
        <f>'WPB-2.1.D SMRP'!K901</f>
        <v>602313.42299999995</v>
      </c>
      <c r="L2204" s="1243">
        <v>0</v>
      </c>
      <c r="M2204" s="1243">
        <f>F2204</f>
        <v>-13414.874138883257</v>
      </c>
      <c r="N2204" s="1243">
        <f>'WPB-2.1.D SMRP'!N901</f>
        <v>-13706.34579236056</v>
      </c>
      <c r="O2204" s="1243">
        <f t="shared" si="401"/>
        <v>84078390.441462323</v>
      </c>
    </row>
    <row r="2205" spans="1:15">
      <c r="A2205" s="361">
        <f t="shared" si="397"/>
        <v>22</v>
      </c>
      <c r="B2205" s="365">
        <v>378.1</v>
      </c>
      <c r="C2205" s="358" t="s">
        <v>394</v>
      </c>
      <c r="D2205" s="1243">
        <f t="shared" si="398"/>
        <v>167304.12</v>
      </c>
      <c r="E2205" s="1243">
        <f>+'INPUT - B Schedule PLANT'!DD27</f>
        <v>0</v>
      </c>
      <c r="F2205" s="1243">
        <f>+'INPUT - B Schedule PLANT'!DE27</f>
        <v>-40703.980000000003</v>
      </c>
      <c r="G2205" s="1243">
        <f t="shared" si="402"/>
        <v>126600.13999999998</v>
      </c>
      <c r="H2205" s="1243"/>
      <c r="I2205" s="1243">
        <f t="shared" si="399"/>
        <v>11526.849999999926</v>
      </c>
      <c r="J2205" s="376">
        <f>$J$1635</f>
        <v>2.52E-2</v>
      </c>
      <c r="K2205" s="1243">
        <f t="shared" si="404"/>
        <v>309</v>
      </c>
      <c r="L2205" s="1243">
        <v>0</v>
      </c>
      <c r="M2205" s="1243">
        <f t="shared" si="400"/>
        <v>-40703.980000000003</v>
      </c>
      <c r="N2205" s="1243">
        <v>0</v>
      </c>
      <c r="O2205" s="1243">
        <f t="shared" si="401"/>
        <v>-28868.130000000077</v>
      </c>
    </row>
    <row r="2206" spans="1:15">
      <c r="A2206" s="361">
        <f t="shared" si="397"/>
        <v>23</v>
      </c>
      <c r="B2206" s="365">
        <v>378.2</v>
      </c>
      <c r="C2206" s="358" t="s">
        <v>1622</v>
      </c>
      <c r="D2206" s="1243">
        <f t="shared" si="398"/>
        <v>27367923.424483981</v>
      </c>
      <c r="E2206" s="1243">
        <f>'WPB-2.1.D SMRP'!E905</f>
        <v>36234.155995138062</v>
      </c>
      <c r="F2206" s="1243">
        <f>'WPB-2.1.D SMRP'!F905</f>
        <v>1.4272146763687488E-3</v>
      </c>
      <c r="G2206" s="1243">
        <f t="shared" si="402"/>
        <v>27404157.581906334</v>
      </c>
      <c r="H2206" s="1243"/>
      <c r="I2206" s="1243">
        <f t="shared" si="399"/>
        <v>3503333.0171213448</v>
      </c>
      <c r="J2206" s="376">
        <f>$J$1636</f>
        <v>2.52E-2</v>
      </c>
      <c r="K2206" s="1243">
        <f>'WPB-2.1.D SMRP'!K905</f>
        <v>57510.534</v>
      </c>
      <c r="L2206" s="1243">
        <v>0</v>
      </c>
      <c r="M2206" s="1243">
        <f>F2206</f>
        <v>1.4272146763687488E-3</v>
      </c>
      <c r="N2206" s="1243">
        <f>'WPB-2.1.D SMRP'!N905</f>
        <v>-45281.167523627759</v>
      </c>
      <c r="O2206" s="1243">
        <f t="shared" si="401"/>
        <v>3515562.3850249317</v>
      </c>
    </row>
    <row r="2207" spans="1:15">
      <c r="A2207" s="361">
        <f t="shared" si="397"/>
        <v>24</v>
      </c>
      <c r="B2207" s="365">
        <v>378.3</v>
      </c>
      <c r="C2207" s="358" t="s">
        <v>396</v>
      </c>
      <c r="D2207" s="1243">
        <f t="shared" si="398"/>
        <v>45443.08</v>
      </c>
      <c r="E2207" s="1243">
        <f>+'INPUT - B Schedule PLANT'!DD29</f>
        <v>0</v>
      </c>
      <c r="F2207" s="1243">
        <f>+'INPUT - B Schedule PLANT'!DE29</f>
        <v>0</v>
      </c>
      <c r="G2207" s="1243">
        <f t="shared" si="402"/>
        <v>45443.08</v>
      </c>
      <c r="H2207" s="1243"/>
      <c r="I2207" s="1243">
        <f t="shared" si="399"/>
        <v>43833.320000000007</v>
      </c>
      <c r="J2207" s="376">
        <f>$J$1637</f>
        <v>2.52E-2</v>
      </c>
      <c r="K2207" s="1243">
        <f t="shared" si="404"/>
        <v>95</v>
      </c>
      <c r="L2207" s="1243">
        <v>0</v>
      </c>
      <c r="M2207" s="1243">
        <f t="shared" si="400"/>
        <v>0</v>
      </c>
      <c r="N2207" s="1243">
        <v>0</v>
      </c>
      <c r="O2207" s="1243">
        <f t="shared" si="401"/>
        <v>43928.320000000007</v>
      </c>
    </row>
    <row r="2208" spans="1:15">
      <c r="A2208" s="361">
        <f t="shared" si="397"/>
        <v>25</v>
      </c>
      <c r="B2208" s="365">
        <v>379.1</v>
      </c>
      <c r="C2208" s="358" t="s">
        <v>397</v>
      </c>
      <c r="D2208" s="1243">
        <f t="shared" si="398"/>
        <v>1554144.06</v>
      </c>
      <c r="E2208" s="1243">
        <f>+'INPUT - B Schedule PLANT'!DD30</f>
        <v>0</v>
      </c>
      <c r="F2208" s="1243">
        <f>+'INPUT - B Schedule PLANT'!DE30</f>
        <v>0</v>
      </c>
      <c r="G2208" s="1243">
        <f t="shared" si="402"/>
        <v>1554144.06</v>
      </c>
      <c r="H2208" s="1243"/>
      <c r="I2208" s="1243">
        <f t="shared" si="399"/>
        <v>373323.19000000006</v>
      </c>
      <c r="J2208" s="376">
        <f>$J$1638</f>
        <v>2.4199999999999999E-2</v>
      </c>
      <c r="K2208" s="1243">
        <f t="shared" si="404"/>
        <v>3134</v>
      </c>
      <c r="L2208" s="1243">
        <v>0</v>
      </c>
      <c r="M2208" s="1243">
        <f t="shared" si="400"/>
        <v>0</v>
      </c>
      <c r="N2208" s="1243">
        <v>0</v>
      </c>
      <c r="O2208" s="1243">
        <f t="shared" si="401"/>
        <v>376457.19000000006</v>
      </c>
    </row>
    <row r="2209" spans="1:15">
      <c r="A2209" s="361">
        <f t="shared" si="397"/>
        <v>26</v>
      </c>
      <c r="B2209" s="365">
        <v>380</v>
      </c>
      <c r="C2209" s="358" t="s">
        <v>1623</v>
      </c>
      <c r="D2209" s="1243">
        <f t="shared" si="398"/>
        <v>203780649.53685194</v>
      </c>
      <c r="E2209" s="1243">
        <f>'WPB-2.1.D SMRP'!E909</f>
        <v>124479.64999999991</v>
      </c>
      <c r="F2209" s="1243">
        <f>'WPB-2.1.D SMRP'!F909</f>
        <v>-46809.248204947158</v>
      </c>
      <c r="G2209" s="1243">
        <f t="shared" si="402"/>
        <v>203858319.938647</v>
      </c>
      <c r="H2209" s="1243"/>
      <c r="I2209" s="1243">
        <f t="shared" si="399"/>
        <v>63525012.444448225</v>
      </c>
      <c r="J2209" s="376">
        <f>$J$1639</f>
        <v>3.9800000000000002E-2</v>
      </c>
      <c r="K2209" s="1243">
        <f>'WPB-2.1.D SMRP'!K909</f>
        <v>676001.44200000004</v>
      </c>
      <c r="L2209" s="1243">
        <v>0</v>
      </c>
      <c r="M2209" s="1243">
        <f>F2209</f>
        <v>-46809.248204947158</v>
      </c>
      <c r="N2209" s="1243">
        <f>'WPB-2.1.D SMRP'!N909</f>
        <v>4.360547784017399E-3</v>
      </c>
      <c r="O2209" s="1243">
        <f t="shared" si="401"/>
        <v>64154204.64260383</v>
      </c>
    </row>
    <row r="2210" spans="1:15">
      <c r="A2210" s="361">
        <f t="shared" si="397"/>
        <v>27</v>
      </c>
      <c r="B2210" s="365">
        <v>381</v>
      </c>
      <c r="C2210" s="358" t="s">
        <v>399</v>
      </c>
      <c r="D2210" s="1243">
        <f t="shared" si="398"/>
        <v>19428542.250000004</v>
      </c>
      <c r="E2210" s="1243">
        <f>+'INPUT - B Schedule PLANT'!DD32</f>
        <v>246144.92</v>
      </c>
      <c r="F2210" s="1243">
        <f>+'INPUT - B Schedule PLANT'!DE32</f>
        <v>-36785.74</v>
      </c>
      <c r="G2210" s="1243">
        <f t="shared" si="402"/>
        <v>19637901.430000007</v>
      </c>
      <c r="H2210" s="1243"/>
      <c r="I2210" s="1243">
        <f t="shared" si="399"/>
        <v>1837836.3699999994</v>
      </c>
      <c r="J2210" s="376">
        <f>$J$1640</f>
        <v>2.6499999999999999E-2</v>
      </c>
      <c r="K2210" s="1243">
        <f t="shared" si="404"/>
        <v>43136</v>
      </c>
      <c r="L2210" s="1243">
        <v>0</v>
      </c>
      <c r="M2210" s="1243">
        <f t="shared" si="400"/>
        <v>-36785.74</v>
      </c>
      <c r="N2210" s="1243">
        <v>-4327.18</v>
      </c>
      <c r="O2210" s="1243">
        <f t="shared" si="401"/>
        <v>1839859.4499999995</v>
      </c>
    </row>
    <row r="2211" spans="1:15">
      <c r="A2211" s="361">
        <f t="shared" si="397"/>
        <v>28</v>
      </c>
      <c r="B2211" s="365">
        <v>381.1</v>
      </c>
      <c r="C2211" s="358" t="s">
        <v>2366</v>
      </c>
      <c r="D2211" s="1243">
        <f t="shared" si="398"/>
        <v>9980854.4800000004</v>
      </c>
      <c r="E2211" s="1243">
        <f>+'INPUT - B Schedule PLANT'!DD33</f>
        <v>0</v>
      </c>
      <c r="F2211" s="1243">
        <f>+'INPUT - B Schedule PLANT'!DE33</f>
        <v>0</v>
      </c>
      <c r="G2211" s="1243">
        <f t="shared" si="402"/>
        <v>9980854.4800000004</v>
      </c>
      <c r="H2211" s="1243"/>
      <c r="I2211" s="1243">
        <f t="shared" si="399"/>
        <v>5796597.0300000031</v>
      </c>
      <c r="J2211" s="376">
        <f>$J$1641</f>
        <v>7.4800000000000005E-2</v>
      </c>
      <c r="K2211" s="1243">
        <f t="shared" si="404"/>
        <v>62214</v>
      </c>
      <c r="L2211" s="1243">
        <v>0</v>
      </c>
      <c r="M2211" s="1243">
        <f t="shared" si="400"/>
        <v>0</v>
      </c>
      <c r="N2211" s="1243">
        <v>0</v>
      </c>
      <c r="O2211" s="1243">
        <f t="shared" si="401"/>
        <v>5858811.0300000031</v>
      </c>
    </row>
    <row r="2212" spans="1:15">
      <c r="A2212" s="361">
        <f t="shared" si="397"/>
        <v>29</v>
      </c>
      <c r="B2212" s="365">
        <v>382</v>
      </c>
      <c r="C2212" s="358" t="s">
        <v>1624</v>
      </c>
      <c r="D2212" s="1243">
        <f t="shared" si="398"/>
        <v>10595728.397790814</v>
      </c>
      <c r="E2212" s="1243">
        <f>'WPB-2.1.D SMRP'!E913</f>
        <v>11743.200000000003</v>
      </c>
      <c r="F2212" s="1243">
        <f>'WPB-2.1.D SMRP'!F913</f>
        <v>-1966.7051469898825</v>
      </c>
      <c r="G2212" s="1243">
        <f t="shared" si="402"/>
        <v>10605504.892643822</v>
      </c>
      <c r="H2212" s="1243"/>
      <c r="I2212" s="1243">
        <f t="shared" si="399"/>
        <v>5944582.0607908126</v>
      </c>
      <c r="J2212" s="376">
        <f>$J$1642</f>
        <v>1.77E-2</v>
      </c>
      <c r="K2212" s="1243">
        <f>'WPB-2.1.D SMRP'!K913</f>
        <v>15635.848</v>
      </c>
      <c r="L2212" s="1243">
        <v>0</v>
      </c>
      <c r="M2212" s="1243">
        <f t="shared" si="400"/>
        <v>-1966.7051469898825</v>
      </c>
      <c r="N2212" s="1243">
        <f>'WPB-2.1.D SMRP'!N913</f>
        <v>0</v>
      </c>
      <c r="O2212" s="1243">
        <f t="shared" si="401"/>
        <v>5958251.203643823</v>
      </c>
    </row>
    <row r="2213" spans="1:15">
      <c r="A2213" s="361">
        <f t="shared" si="397"/>
        <v>30</v>
      </c>
      <c r="B2213" s="365">
        <v>383</v>
      </c>
      <c r="C2213" s="358" t="s">
        <v>1625</v>
      </c>
      <c r="D2213" s="1243">
        <f t="shared" si="398"/>
        <v>7455648.8058603331</v>
      </c>
      <c r="E2213" s="1243">
        <f>'WPB-2.1.D SMRP'!E917</f>
        <v>12184.598468331402</v>
      </c>
      <c r="F2213" s="1243">
        <f>'WPB-2.1.D SMRP'!F917</f>
        <v>-351.56301749403212</v>
      </c>
      <c r="G2213" s="1243">
        <f t="shared" si="402"/>
        <v>7467481.8413111707</v>
      </c>
      <c r="H2213" s="1243"/>
      <c r="I2213" s="1243">
        <f t="shared" si="399"/>
        <v>2567532.8415464219</v>
      </c>
      <c r="J2213" s="376">
        <f>$J$1643</f>
        <v>1.9400000000000001E-2</v>
      </c>
      <c r="K2213" s="1243">
        <f>'WPB-2.1.D SMRP'!K917</f>
        <v>12062.319</v>
      </c>
      <c r="L2213" s="1243">
        <v>0</v>
      </c>
      <c r="M2213" s="1243">
        <f t="shared" si="400"/>
        <v>-351.56301749403212</v>
      </c>
      <c r="N2213" s="1243">
        <f>'WPB-2.1.D SMRP'!N917</f>
        <v>0</v>
      </c>
      <c r="O2213" s="1243">
        <f t="shared" si="401"/>
        <v>2579243.597528928</v>
      </c>
    </row>
    <row r="2214" spans="1:15">
      <c r="A2214" s="361">
        <f t="shared" si="397"/>
        <v>31</v>
      </c>
      <c r="B2214" s="365">
        <v>384</v>
      </c>
      <c r="C2214" s="358" t="s">
        <v>402</v>
      </c>
      <c r="D2214" s="1243">
        <f t="shared" si="398"/>
        <v>2085151.3399999999</v>
      </c>
      <c r="E2214" s="1243">
        <f>+'INPUT - B Schedule PLANT'!DD36</f>
        <v>13.24</v>
      </c>
      <c r="F2214" s="1243">
        <f>+'INPUT - B Schedule PLANT'!DE36</f>
        <v>0</v>
      </c>
      <c r="G2214" s="1243">
        <f t="shared" si="402"/>
        <v>2085164.5799999998</v>
      </c>
      <c r="H2214" s="1243"/>
      <c r="I2214" s="1243">
        <f t="shared" si="399"/>
        <v>1740362.0399999991</v>
      </c>
      <c r="J2214" s="376">
        <f>$J$1644</f>
        <v>9.9000000000000008E-3</v>
      </c>
      <c r="K2214" s="1243">
        <f t="shared" si="404"/>
        <v>1720</v>
      </c>
      <c r="L2214" s="1243">
        <v>0</v>
      </c>
      <c r="M2214" s="1243">
        <f t="shared" si="400"/>
        <v>0</v>
      </c>
      <c r="N2214" s="1243">
        <v>0</v>
      </c>
      <c r="O2214" s="1243">
        <f t="shared" si="401"/>
        <v>1742082.0399999991</v>
      </c>
    </row>
    <row r="2215" spans="1:15">
      <c r="A2215" s="361">
        <f t="shared" si="397"/>
        <v>32</v>
      </c>
      <c r="B2215" s="365">
        <v>385</v>
      </c>
      <c r="C2215" s="358" t="s">
        <v>403</v>
      </c>
      <c r="D2215" s="1243">
        <f t="shared" si="398"/>
        <v>6150394.4500000002</v>
      </c>
      <c r="E2215" s="1243">
        <f>+'INPUT - B Schedule PLANT'!DD37</f>
        <v>63737.21</v>
      </c>
      <c r="F2215" s="1243">
        <f>+'INPUT - B Schedule PLANT'!DE37</f>
        <v>-9663.3700000000008</v>
      </c>
      <c r="G2215" s="1243">
        <f t="shared" si="402"/>
        <v>6204468.29</v>
      </c>
      <c r="H2215" s="1243"/>
      <c r="I2215" s="1243">
        <f t="shared" si="399"/>
        <v>856651.32999999984</v>
      </c>
      <c r="J2215" s="376">
        <f>$J$1645</f>
        <v>3.73E-2</v>
      </c>
      <c r="K2215" s="1243">
        <f t="shared" si="404"/>
        <v>19202</v>
      </c>
      <c r="L2215" s="1243">
        <v>0</v>
      </c>
      <c r="M2215" s="1243">
        <f t="shared" si="400"/>
        <v>-9663.3700000000008</v>
      </c>
      <c r="N2215" s="1243">
        <v>-860.3</v>
      </c>
      <c r="O2215" s="1243">
        <f t="shared" si="401"/>
        <v>865329.6599999998</v>
      </c>
    </row>
    <row r="2216" spans="1:15">
      <c r="A2216" s="361">
        <f t="shared" si="397"/>
        <v>33</v>
      </c>
      <c r="B2216" s="365">
        <v>387.2</v>
      </c>
      <c r="C2216" s="358" t="s">
        <v>404</v>
      </c>
      <c r="D2216" s="1243">
        <f t="shared" si="398"/>
        <v>0</v>
      </c>
      <c r="E2216" s="1243">
        <f>+'INPUT - B Schedule PLANT'!DD38</f>
        <v>0</v>
      </c>
      <c r="F2216" s="1243">
        <f>+'INPUT - B Schedule PLANT'!DE38</f>
        <v>0</v>
      </c>
      <c r="G2216" s="1243">
        <f t="shared" si="402"/>
        <v>0</v>
      </c>
      <c r="H2216" s="1243"/>
      <c r="I2216" s="1243">
        <f t="shared" si="399"/>
        <v>-59912.03</v>
      </c>
      <c r="J2216" s="376">
        <f>$J$1646</f>
        <v>0</v>
      </c>
      <c r="K2216" s="1243">
        <f t="shared" si="404"/>
        <v>0</v>
      </c>
      <c r="L2216" s="1243">
        <v>0</v>
      </c>
      <c r="M2216" s="1243">
        <f t="shared" si="400"/>
        <v>0</v>
      </c>
      <c r="N2216" s="1243">
        <v>0</v>
      </c>
      <c r="O2216" s="1243">
        <f t="shared" si="401"/>
        <v>-59912.03</v>
      </c>
    </row>
    <row r="2217" spans="1:15">
      <c r="A2217" s="361">
        <f t="shared" si="397"/>
        <v>34</v>
      </c>
      <c r="B2217" s="365">
        <v>387.41</v>
      </c>
      <c r="C2217" s="358" t="s">
        <v>405</v>
      </c>
      <c r="D2217" s="1243">
        <f t="shared" si="398"/>
        <v>260538.46000000008</v>
      </c>
      <c r="E2217" s="1243">
        <f>+'INPUT - B Schedule PLANT'!DD39</f>
        <v>0</v>
      </c>
      <c r="F2217" s="1243">
        <f>+'INPUT - B Schedule PLANT'!DE39</f>
        <v>0</v>
      </c>
      <c r="G2217" s="1243">
        <f t="shared" si="402"/>
        <v>260538.46000000008</v>
      </c>
      <c r="H2217" s="1243"/>
      <c r="I2217" s="1243">
        <f t="shared" si="399"/>
        <v>65317.970000000059</v>
      </c>
      <c r="J2217" s="376">
        <f>$J$1647</f>
        <v>3.2399999999999998E-2</v>
      </c>
      <c r="K2217" s="1243">
        <f t="shared" si="404"/>
        <v>703</v>
      </c>
      <c r="L2217" s="1243">
        <v>0</v>
      </c>
      <c r="M2217" s="1243">
        <f t="shared" si="400"/>
        <v>0</v>
      </c>
      <c r="N2217" s="1243">
        <v>0</v>
      </c>
      <c r="O2217" s="1243">
        <f t="shared" si="401"/>
        <v>66020.970000000059</v>
      </c>
    </row>
    <row r="2218" spans="1:15">
      <c r="A2218" s="361">
        <f t="shared" si="397"/>
        <v>35</v>
      </c>
      <c r="B2218" s="365">
        <v>387.42</v>
      </c>
      <c r="C2218" s="358" t="s">
        <v>406</v>
      </c>
      <c r="D2218" s="1243">
        <f t="shared" si="398"/>
        <v>419367.40000000008</v>
      </c>
      <c r="E2218" s="1243">
        <f>+'INPUT - B Schedule PLANT'!DD40</f>
        <v>0</v>
      </c>
      <c r="F2218" s="1243">
        <f>+'INPUT - B Schedule PLANT'!DE40</f>
        <v>0</v>
      </c>
      <c r="G2218" s="1243">
        <f t="shared" si="402"/>
        <v>419367.40000000008</v>
      </c>
      <c r="H2218" s="1243"/>
      <c r="I2218" s="1243">
        <f t="shared" si="399"/>
        <v>351323.80999999976</v>
      </c>
      <c r="J2218" s="376">
        <f>$J$1648</f>
        <v>3.2399999999999998E-2</v>
      </c>
      <c r="K2218" s="1243">
        <f t="shared" si="404"/>
        <v>1132</v>
      </c>
      <c r="L2218" s="1243">
        <v>0</v>
      </c>
      <c r="M2218" s="1243">
        <f t="shared" si="400"/>
        <v>0</v>
      </c>
      <c r="N2218" s="1243">
        <v>0</v>
      </c>
      <c r="O2218" s="1243">
        <f t="shared" si="401"/>
        <v>352455.80999999976</v>
      </c>
    </row>
    <row r="2219" spans="1:15">
      <c r="A2219" s="361">
        <f t="shared" si="397"/>
        <v>36</v>
      </c>
      <c r="B2219" s="365">
        <v>387.44</v>
      </c>
      <c r="C2219" s="358" t="s">
        <v>407</v>
      </c>
      <c r="D2219" s="1243">
        <f t="shared" si="398"/>
        <v>124678.76000000001</v>
      </c>
      <c r="E2219" s="1243">
        <f>+'INPUT - B Schedule PLANT'!DD41</f>
        <v>0</v>
      </c>
      <c r="F2219" s="1243">
        <f>+'INPUT - B Schedule PLANT'!DE41</f>
        <v>0</v>
      </c>
      <c r="G2219" s="1243">
        <f t="shared" si="402"/>
        <v>124678.76000000001</v>
      </c>
      <c r="H2219" s="1243"/>
      <c r="I2219" s="1243">
        <f t="shared" si="399"/>
        <v>69764.390000000014</v>
      </c>
      <c r="J2219" s="376">
        <f>$J$1649</f>
        <v>3.2399999999999998E-2</v>
      </c>
      <c r="K2219" s="1243">
        <f t="shared" si="404"/>
        <v>337</v>
      </c>
      <c r="L2219" s="1243">
        <v>0</v>
      </c>
      <c r="M2219" s="1243">
        <f t="shared" si="400"/>
        <v>0</v>
      </c>
      <c r="N2219" s="1243">
        <v>0</v>
      </c>
      <c r="O2219" s="1243">
        <f t="shared" si="401"/>
        <v>70101.390000000014</v>
      </c>
    </row>
    <row r="2220" spans="1:15">
      <c r="A2220" s="361">
        <f t="shared" si="397"/>
        <v>37</v>
      </c>
      <c r="B2220" s="365">
        <v>387.45</v>
      </c>
      <c r="C2220" s="358" t="s">
        <v>408</v>
      </c>
      <c r="D2220" s="1243">
        <f t="shared" si="398"/>
        <v>6073079.2300000004</v>
      </c>
      <c r="E2220" s="1243">
        <f>+'INPUT - B Schedule PLANT'!DD42</f>
        <v>98223.95</v>
      </c>
      <c r="F2220" s="1243">
        <f>+'INPUT - B Schedule PLANT'!DE42</f>
        <v>-52277.25</v>
      </c>
      <c r="G2220" s="1243">
        <f t="shared" si="402"/>
        <v>6119025.9300000006</v>
      </c>
      <c r="H2220" s="1243"/>
      <c r="I2220" s="1243">
        <f t="shared" si="399"/>
        <v>-674832.04999999993</v>
      </c>
      <c r="J2220" s="376">
        <f>$J$1650</f>
        <v>3.2399999999999998E-2</v>
      </c>
      <c r="K2220" s="1243">
        <f t="shared" si="404"/>
        <v>16459</v>
      </c>
      <c r="L2220" s="1243">
        <v>0</v>
      </c>
      <c r="M2220" s="1243">
        <f t="shared" si="400"/>
        <v>-52277.25</v>
      </c>
      <c r="N2220" s="1243">
        <v>-284.89</v>
      </c>
      <c r="O2220" s="1243">
        <f t="shared" si="401"/>
        <v>-710935.19</v>
      </c>
    </row>
    <row r="2221" spans="1:15">
      <c r="A2221" s="361">
        <f t="shared" si="397"/>
        <v>38</v>
      </c>
      <c r="B2221" s="365">
        <v>387.46</v>
      </c>
      <c r="C2221" s="358" t="s">
        <v>409</v>
      </c>
      <c r="D2221" s="1243">
        <f t="shared" si="398"/>
        <v>113644.47</v>
      </c>
      <c r="E2221" s="1243">
        <f>+'INPUT - B Schedule PLANT'!DD43</f>
        <v>0</v>
      </c>
      <c r="F2221" s="1243">
        <f>+'INPUT - B Schedule PLANT'!DE43</f>
        <v>0</v>
      </c>
      <c r="G2221" s="1243">
        <f t="shared" si="402"/>
        <v>113644.47</v>
      </c>
      <c r="H2221" s="1243"/>
      <c r="I2221" s="1243">
        <f t="shared" si="399"/>
        <v>116032.07</v>
      </c>
      <c r="J2221" s="376">
        <f>$J$1651</f>
        <v>3.2399999999999998E-2</v>
      </c>
      <c r="K2221" s="1243">
        <f t="shared" si="404"/>
        <v>307</v>
      </c>
      <c r="L2221" s="1243">
        <v>0</v>
      </c>
      <c r="M2221" s="1243">
        <f t="shared" si="400"/>
        <v>0</v>
      </c>
      <c r="N2221" s="1243">
        <v>0</v>
      </c>
      <c r="O2221" s="1243">
        <f t="shared" si="401"/>
        <v>116339.07</v>
      </c>
    </row>
    <row r="2222" spans="1:15">
      <c r="A2222" s="361">
        <f t="shared" si="397"/>
        <v>39</v>
      </c>
      <c r="B2222" s="365">
        <v>387.5</v>
      </c>
      <c r="C2222" s="358" t="s">
        <v>1075</v>
      </c>
      <c r="D2222" s="1244">
        <f t="shared" si="398"/>
        <v>238072.69</v>
      </c>
      <c r="E2222" s="1244">
        <f>+'INPUT - B Schedule PLANT'!DD44</f>
        <v>0</v>
      </c>
      <c r="F2222" s="1244">
        <f>+'INPUT - B Schedule PLANT'!DE44</f>
        <v>0</v>
      </c>
      <c r="G2222" s="1244">
        <f t="shared" si="402"/>
        <v>238072.69</v>
      </c>
      <c r="H2222" s="1243"/>
      <c r="I2222" s="1244">
        <f t="shared" si="399"/>
        <v>57468.470000000023</v>
      </c>
      <c r="J2222" s="376">
        <f>$J$1652</f>
        <v>0.13669999999999999</v>
      </c>
      <c r="K2222" s="1244">
        <f t="shared" si="404"/>
        <v>2712</v>
      </c>
      <c r="L2222" s="1244">
        <v>0</v>
      </c>
      <c r="M2222" s="1244">
        <f t="shared" si="400"/>
        <v>0</v>
      </c>
      <c r="N2222" s="1244">
        <v>0</v>
      </c>
      <c r="O2222" s="1244">
        <f t="shared" si="401"/>
        <v>60180.470000000023</v>
      </c>
    </row>
    <row r="2223" spans="1:15">
      <c r="A2223" s="361">
        <f t="shared" si="397"/>
        <v>40</v>
      </c>
      <c r="C2223" s="365" t="s">
        <v>1601</v>
      </c>
      <c r="D2223" s="1243">
        <f>SUM(D2193:D2222)</f>
        <v>731571287.29442811</v>
      </c>
      <c r="E2223" s="1243">
        <f>SUM(E2193:E2222)</f>
        <v>1114249.7105674923</v>
      </c>
      <c r="F2223" s="1243">
        <f>SUM(F2193:F2222)</f>
        <v>-201972.72908109965</v>
      </c>
      <c r="G2223" s="1243">
        <f>SUM(G2193:G2222)</f>
        <v>732483564.27591443</v>
      </c>
      <c r="H2223" s="1243"/>
      <c r="I2223" s="1243">
        <f>SUM(I2193:I2222)</f>
        <v>177286340.34230033</v>
      </c>
      <c r="J2223" s="369"/>
      <c r="K2223" s="1243">
        <f>SUM(K2193:K2222)</f>
        <v>1550717.1059999999</v>
      </c>
      <c r="L2223" s="1243">
        <f>SUM(L2193:L2222)</f>
        <v>0</v>
      </c>
      <c r="M2223" s="1243">
        <f>SUM(M2193:M2222)</f>
        <v>-201972.72908109965</v>
      </c>
      <c r="N2223" s="1243">
        <f>SUM(N2193:N2222)</f>
        <v>-64459.878955440538</v>
      </c>
      <c r="O2223" s="1243">
        <f>SUM(O2193:O2222)</f>
        <v>178570624.84026381</v>
      </c>
    </row>
    <row r="2224" spans="1:15">
      <c r="B2224" s="367"/>
      <c r="C2224" s="368"/>
      <c r="D2224" s="369"/>
      <c r="E2224" s="369"/>
      <c r="F2224" s="369"/>
      <c r="G2224" s="369"/>
      <c r="I2224" s="369"/>
      <c r="J2224" s="369"/>
      <c r="K2224" s="369"/>
      <c r="L2224" s="369"/>
      <c r="M2224" s="369"/>
      <c r="N2224" s="369"/>
      <c r="O2224" s="369"/>
    </row>
    <row r="2225" spans="1:16">
      <c r="I2225" s="369"/>
      <c r="J2225" s="369"/>
      <c r="K2225" s="369"/>
      <c r="L2225" s="369"/>
      <c r="M2225" s="369"/>
      <c r="N2225" s="369"/>
      <c r="O2225" s="369"/>
    </row>
    <row r="2226" spans="1:16" s="291" customFormat="1">
      <c r="A2226" s="1308" t="str">
        <f>$A$1</f>
        <v>COLUMBIA GAS OF KENTUCKY, INC.</v>
      </c>
      <c r="B2226" s="1308"/>
      <c r="C2226" s="1308"/>
      <c r="D2226" s="1308"/>
      <c r="E2226" s="1308"/>
      <c r="F2226" s="1308"/>
      <c r="G2226" s="1308"/>
      <c r="H2226" s="1308"/>
      <c r="I2226" s="1308"/>
      <c r="J2226" s="1308"/>
      <c r="K2226" s="1308"/>
      <c r="L2226" s="1308"/>
      <c r="M2226" s="1308"/>
      <c r="N2226" s="1308"/>
      <c r="O2226" s="1308"/>
    </row>
    <row r="2227" spans="1:16" s="291" customFormat="1">
      <c r="A2227" s="1308" t="str">
        <f>$A$2</f>
        <v>CASE NO. 2024 - 00092</v>
      </c>
      <c r="B2227" s="1308"/>
      <c r="C2227" s="1308"/>
      <c r="D2227" s="1308"/>
      <c r="E2227" s="1308"/>
      <c r="F2227" s="1308"/>
      <c r="G2227" s="1308"/>
      <c r="H2227" s="1308"/>
      <c r="I2227" s="1308"/>
      <c r="J2227" s="1308"/>
      <c r="K2227" s="1308"/>
      <c r="L2227" s="1308"/>
      <c r="M2227" s="1308"/>
      <c r="N2227" s="1308"/>
      <c r="O2227" s="1308"/>
    </row>
    <row r="2228" spans="1:16" s="291" customFormat="1">
      <c r="A2228" s="1308" t="str">
        <f>$A$3</f>
        <v>DETAIL OF ACTUAL &amp; FORECASTED PLANT, ACCUMULATED RESERVE &amp; DEPRECIATION EXPENSE</v>
      </c>
      <c r="B2228" s="1308"/>
      <c r="C2228" s="1308"/>
      <c r="D2228" s="1308"/>
      <c r="E2228" s="1308"/>
      <c r="F2228" s="1308"/>
      <c r="G2228" s="1308"/>
      <c r="H2228" s="1308"/>
      <c r="I2228" s="1308"/>
      <c r="J2228" s="1308"/>
      <c r="K2228" s="1308"/>
      <c r="L2228" s="1308"/>
      <c r="M2228" s="1308"/>
      <c r="N2228" s="1308"/>
      <c r="O2228" s="1308"/>
      <c r="P2228" s="357"/>
    </row>
    <row r="2229" spans="1:16" s="291" customFormat="1">
      <c r="A2229" s="1308" t="str">
        <f>$A$4</f>
        <v>FROM JANUARY 01, 2023 THROUGH DECEMBER 31, 2025</v>
      </c>
      <c r="B2229" s="1308"/>
      <c r="C2229" s="1308"/>
      <c r="D2229" s="1308"/>
      <c r="E2229" s="1308"/>
      <c r="F2229" s="1308"/>
      <c r="G2229" s="1308"/>
      <c r="H2229" s="1308"/>
      <c r="I2229" s="1308"/>
      <c r="J2229" s="1308"/>
      <c r="K2229" s="1308"/>
      <c r="L2229" s="1308"/>
      <c r="M2229" s="1308"/>
      <c r="N2229" s="1308"/>
      <c r="O2229" s="1308"/>
    </row>
    <row r="2230" spans="1:16" s="291" customFormat="1">
      <c r="B2230" s="293"/>
      <c r="P2230" s="312"/>
    </row>
    <row r="2231" spans="1:16" s="291" customFormat="1">
      <c r="A2231" s="297" t="str">
        <f>$A$6</f>
        <v xml:space="preserve">DATA: _X_ BASE PERIOD _X_ FORECASTED PERIOD     </v>
      </c>
      <c r="B2231" s="293"/>
      <c r="O2231" s="312" t="str">
        <f>$O$6</f>
        <v>WPB-2.1.C</v>
      </c>
      <c r="P2231" s="312"/>
    </row>
    <row r="2232" spans="1:16" s="291" customFormat="1">
      <c r="A2232" s="297" t="str">
        <f>$A$7</f>
        <v>TYPE OF FILING:___X___ORIGINAL______UPDATED</v>
      </c>
      <c r="B2232" s="293"/>
      <c r="O2232" s="312" t="s">
        <v>2183</v>
      </c>
      <c r="P2232" s="312"/>
    </row>
    <row r="2233" spans="1:16" s="291" customFormat="1">
      <c r="A2233" s="297" t="str">
        <f>$A$8</f>
        <v>WORKPAPER REFERENCE NO(S).:</v>
      </c>
      <c r="B2233" s="293"/>
      <c r="O2233" s="312" t="str">
        <f>$O$8</f>
        <v>WITNESS: GORE</v>
      </c>
    </row>
    <row r="2234" spans="1:16">
      <c r="A2234" s="918"/>
      <c r="B2234" s="919"/>
      <c r="C2234" s="918"/>
      <c r="D2234" s="918"/>
      <c r="E2234" s="918"/>
      <c r="F2234" s="918"/>
      <c r="G2234" s="918"/>
      <c r="H2234" s="918"/>
      <c r="I2234" s="918"/>
      <c r="J2234" s="918"/>
      <c r="K2234" s="918"/>
      <c r="L2234" s="918"/>
      <c r="M2234" s="918"/>
      <c r="N2234" s="918"/>
      <c r="O2234" s="920"/>
    </row>
    <row r="2235" spans="1:16">
      <c r="D2235" s="1311" t="s">
        <v>1768</v>
      </c>
      <c r="E2235" s="1311"/>
      <c r="F2235" s="1311"/>
      <c r="G2235" s="1311"/>
      <c r="I2235" s="1311" t="s">
        <v>1769</v>
      </c>
      <c r="J2235" s="1311"/>
      <c r="K2235" s="1311"/>
      <c r="L2235" s="1311"/>
      <c r="M2235" s="1311"/>
      <c r="N2235" s="1311"/>
      <c r="O2235" s="1311"/>
    </row>
    <row r="2236" spans="1:16">
      <c r="D2236" s="360">
        <f>D2177</f>
        <v>45505</v>
      </c>
      <c r="G2236" s="360">
        <f>G2177</f>
        <v>45535</v>
      </c>
      <c r="I2236" s="360">
        <f>D2236</f>
        <v>45505</v>
      </c>
      <c r="O2236" s="360">
        <f>G2236</f>
        <v>45535</v>
      </c>
    </row>
    <row r="2237" spans="1:16">
      <c r="D2237" s="361" t="s">
        <v>1757</v>
      </c>
      <c r="G2237" s="361" t="s">
        <v>1757</v>
      </c>
      <c r="I2237" s="361" t="s">
        <v>1758</v>
      </c>
      <c r="J2237" s="361" t="s">
        <v>488</v>
      </c>
      <c r="L2237" s="361" t="s">
        <v>1758</v>
      </c>
      <c r="O2237" s="361" t="s">
        <v>1758</v>
      </c>
    </row>
    <row r="2238" spans="1:16">
      <c r="A2238" s="361" t="s">
        <v>1770</v>
      </c>
      <c r="B2238" s="361" t="s">
        <v>368</v>
      </c>
      <c r="C2238" s="361"/>
      <c r="D2238" s="361" t="s">
        <v>437</v>
      </c>
      <c r="G2238" s="361" t="s">
        <v>439</v>
      </c>
      <c r="I2238" s="361" t="s">
        <v>437</v>
      </c>
      <c r="J2238" s="361" t="s">
        <v>1771</v>
      </c>
      <c r="K2238" s="361" t="s">
        <v>1772</v>
      </c>
      <c r="L2238" s="361" t="s">
        <v>1759</v>
      </c>
      <c r="N2238" s="361" t="s">
        <v>1760</v>
      </c>
      <c r="O2238" s="361" t="s">
        <v>439</v>
      </c>
    </row>
    <row r="2239" spans="1:16">
      <c r="A2239" s="364" t="s">
        <v>316</v>
      </c>
      <c r="B2239" s="364" t="s">
        <v>316</v>
      </c>
      <c r="C2239" s="364" t="s">
        <v>451</v>
      </c>
      <c r="D2239" s="364" t="s">
        <v>441</v>
      </c>
      <c r="E2239" s="364" t="s">
        <v>442</v>
      </c>
      <c r="F2239" s="364" t="s">
        <v>443</v>
      </c>
      <c r="G2239" s="364" t="s">
        <v>441</v>
      </c>
      <c r="I2239" s="364" t="s">
        <v>441</v>
      </c>
      <c r="J2239" s="364" t="s">
        <v>1773</v>
      </c>
      <c r="K2239" s="364" t="s">
        <v>1771</v>
      </c>
      <c r="L2239" s="364" t="s">
        <v>355</v>
      </c>
      <c r="M2239" s="364" t="s">
        <v>443</v>
      </c>
      <c r="N2239" s="364" t="s">
        <v>1763</v>
      </c>
      <c r="O2239" s="364" t="s">
        <v>441</v>
      </c>
    </row>
    <row r="2240" spans="1:16">
      <c r="D2240" s="361" t="s">
        <v>532</v>
      </c>
      <c r="E2240" s="361" t="s">
        <v>541</v>
      </c>
      <c r="F2240" s="361" t="s">
        <v>542</v>
      </c>
      <c r="G2240" s="361" t="s">
        <v>1764</v>
      </c>
      <c r="I2240" s="334" t="str">
        <f>"(5)"</f>
        <v>(5)</v>
      </c>
      <c r="J2240" s="334" t="str">
        <f>"(6)"</f>
        <v>(6)</v>
      </c>
      <c r="K2240" s="334" t="str">
        <f>"(7)=((1+4)/2*6/12))"</f>
        <v>(7)=((1+4)/2*6/12))</v>
      </c>
      <c r="L2240" s="334" t="str">
        <f>"(8)"</f>
        <v>(8)</v>
      </c>
      <c r="M2240" s="334" t="str">
        <f>"(9)"</f>
        <v>(9)</v>
      </c>
      <c r="N2240" s="334" t="str">
        <f>"(10)"</f>
        <v>(10)</v>
      </c>
      <c r="O2240" s="334" t="str">
        <f>"(11=5+7+8+9+10)"</f>
        <v>(11=5+7+8+9+10)</v>
      </c>
    </row>
    <row r="2241" spans="1:15">
      <c r="D2241" s="361" t="s">
        <v>320</v>
      </c>
      <c r="E2241" s="361" t="s">
        <v>320</v>
      </c>
      <c r="F2241" s="361" t="s">
        <v>320</v>
      </c>
      <c r="G2241" s="361" t="s">
        <v>320</v>
      </c>
      <c r="I2241" s="334" t="s">
        <v>320</v>
      </c>
      <c r="J2241" s="334" t="s">
        <v>529</v>
      </c>
      <c r="K2241" s="334" t="s">
        <v>320</v>
      </c>
      <c r="L2241" s="334" t="s">
        <v>320</v>
      </c>
      <c r="M2241" s="334" t="s">
        <v>320</v>
      </c>
      <c r="N2241" s="334" t="s">
        <v>320</v>
      </c>
      <c r="O2241" s="334" t="s">
        <v>320</v>
      </c>
    </row>
    <row r="2242" spans="1:15">
      <c r="A2242" s="361">
        <v>1</v>
      </c>
      <c r="B2242" s="363" t="s">
        <v>411</v>
      </c>
      <c r="D2242" s="361"/>
      <c r="E2242" s="361"/>
      <c r="F2242" s="361"/>
      <c r="G2242" s="361"/>
      <c r="I2242" s="334"/>
      <c r="J2242" s="334"/>
      <c r="K2242" s="334"/>
      <c r="L2242" s="334"/>
      <c r="M2242" s="334"/>
      <c r="N2242" s="334"/>
      <c r="O2242" s="334"/>
    </row>
    <row r="2243" spans="1:15">
      <c r="A2243" s="361">
        <f>A2242+1</f>
        <v>2</v>
      </c>
      <c r="B2243" s="365">
        <v>391.1</v>
      </c>
      <c r="C2243" s="358" t="s">
        <v>412</v>
      </c>
      <c r="D2243" s="1243">
        <f t="shared" ref="D2243:D2256" si="405">G2129</f>
        <v>921741.33000000007</v>
      </c>
      <c r="E2243" s="1243">
        <f>+'INPUT - B Schedule PLANT'!DD46</f>
        <v>0</v>
      </c>
      <c r="F2243" s="1243">
        <f>+'INPUT - B Schedule PLANT'!DE46</f>
        <v>0</v>
      </c>
      <c r="G2243" s="1243">
        <f>SUM(D2243:F2243)</f>
        <v>921741.33000000007</v>
      </c>
      <c r="H2243" s="1243"/>
      <c r="I2243" s="1245">
        <f t="shared" ref="I2243:I2256" si="406">O2129</f>
        <v>141680.37</v>
      </c>
      <c r="J2243" s="376">
        <f>$J$1673</f>
        <v>4.9700000000000001E-2</v>
      </c>
      <c r="K2243" s="1243">
        <f>ROUND((G2243+D2243)/2*J2243/12,0)</f>
        <v>3818</v>
      </c>
      <c r="L2243" s="1243">
        <v>0</v>
      </c>
      <c r="M2243" s="1243">
        <f t="shared" ref="M2243:M2256" si="407">F2243</f>
        <v>0</v>
      </c>
      <c r="N2243" s="1243">
        <v>0</v>
      </c>
      <c r="O2243" s="1243">
        <f t="shared" ref="O2243:O2256" si="408">I2243+K2243+L2243+M2243+N2243</f>
        <v>145498.37</v>
      </c>
    </row>
    <row r="2244" spans="1:15">
      <c r="A2244" s="361">
        <f t="shared" ref="A2244:A2257" si="409">A2243+1</f>
        <v>3</v>
      </c>
      <c r="B2244" s="365">
        <v>391.11</v>
      </c>
      <c r="C2244" s="358" t="s">
        <v>413</v>
      </c>
      <c r="D2244" s="1243">
        <f t="shared" si="405"/>
        <v>0</v>
      </c>
      <c r="E2244" s="1243">
        <f>+'INPUT - B Schedule PLANT'!DD47</f>
        <v>0</v>
      </c>
      <c r="F2244" s="1243">
        <f>+'INPUT - B Schedule PLANT'!DE47</f>
        <v>0</v>
      </c>
      <c r="G2244" s="1243">
        <f t="shared" ref="G2244:G2251" si="410">SUM(D2244:F2244)</f>
        <v>0</v>
      </c>
      <c r="H2244" s="1243"/>
      <c r="I2244" s="1245">
        <f t="shared" si="406"/>
        <v>-18933.789999999997</v>
      </c>
      <c r="J2244" s="376">
        <f>$J$1674</f>
        <v>0</v>
      </c>
      <c r="K2244" s="1243">
        <f>ROUND((G2244+D2244)/2*J2244/12,0)</f>
        <v>0</v>
      </c>
      <c r="L2244" s="1243">
        <v>0</v>
      </c>
      <c r="M2244" s="1243">
        <f t="shared" si="407"/>
        <v>0</v>
      </c>
      <c r="N2244" s="1243">
        <v>0</v>
      </c>
      <c r="O2244" s="1243">
        <f t="shared" si="408"/>
        <v>-18933.789999999997</v>
      </c>
    </row>
    <row r="2245" spans="1:15">
      <c r="A2245" s="361">
        <f t="shared" si="409"/>
        <v>4</v>
      </c>
      <c r="B2245" s="365">
        <v>391.12</v>
      </c>
      <c r="C2245" s="358" t="s">
        <v>414</v>
      </c>
      <c r="D2245" s="1243">
        <f t="shared" si="405"/>
        <v>37129.580000000009</v>
      </c>
      <c r="E2245" s="1243">
        <f>+'INPUT - B Schedule PLANT'!DD48</f>
        <v>0</v>
      </c>
      <c r="F2245" s="1243">
        <f>+'INPUT - B Schedule PLANT'!DE48</f>
        <v>0</v>
      </c>
      <c r="G2245" s="1243">
        <f t="shared" si="410"/>
        <v>37129.580000000009</v>
      </c>
      <c r="H2245" s="1243"/>
      <c r="I2245" s="1245">
        <f t="shared" si="406"/>
        <v>-951.03000000000065</v>
      </c>
      <c r="J2245" s="376">
        <f>$J$1675</f>
        <v>0.2</v>
      </c>
      <c r="K2245" s="1243">
        <f>ROUND((G2245+D2245)/2*J2245/12,0)</f>
        <v>619</v>
      </c>
      <c r="L2245" s="1243">
        <v>0</v>
      </c>
      <c r="M2245" s="1243">
        <f t="shared" si="407"/>
        <v>0</v>
      </c>
      <c r="N2245" s="1243">
        <v>0</v>
      </c>
      <c r="O2245" s="1243">
        <f t="shared" si="408"/>
        <v>-332.03000000000065</v>
      </c>
    </row>
    <row r="2246" spans="1:15">
      <c r="A2246" s="361">
        <f t="shared" si="409"/>
        <v>5</v>
      </c>
      <c r="B2246" s="365">
        <v>392.2</v>
      </c>
      <c r="C2246" s="358" t="s">
        <v>524</v>
      </c>
      <c r="D2246" s="1243">
        <f t="shared" si="405"/>
        <v>48924.4</v>
      </c>
      <c r="E2246" s="1243">
        <f>+'INPUT - B Schedule PLANT'!DD49</f>
        <v>0</v>
      </c>
      <c r="F2246" s="1243">
        <f>+'INPUT - B Schedule PLANT'!DE49</f>
        <v>0</v>
      </c>
      <c r="G2246" s="1243">
        <f t="shared" si="410"/>
        <v>48924.4</v>
      </c>
      <c r="H2246" s="1243"/>
      <c r="I2246" s="1245">
        <f t="shared" si="406"/>
        <v>17402.359999999961</v>
      </c>
      <c r="J2246" s="376">
        <f>$J$1676</f>
        <v>8.9999999999999993E-3</v>
      </c>
      <c r="K2246" s="1243">
        <f>ROUND((G2246+D2246)/2*J2246/12,0)</f>
        <v>37</v>
      </c>
      <c r="L2246" s="1243">
        <v>0</v>
      </c>
      <c r="M2246" s="1243">
        <f t="shared" si="407"/>
        <v>0</v>
      </c>
      <c r="N2246" s="1243">
        <v>0</v>
      </c>
      <c r="O2246" s="1243">
        <f t="shared" si="408"/>
        <v>17439.359999999961</v>
      </c>
    </row>
    <row r="2247" spans="1:15">
      <c r="A2247" s="361">
        <f t="shared" si="409"/>
        <v>6</v>
      </c>
      <c r="B2247" s="365">
        <v>392.21</v>
      </c>
      <c r="C2247" s="358" t="s">
        <v>415</v>
      </c>
      <c r="D2247" s="1243">
        <f t="shared" si="405"/>
        <v>24462.2</v>
      </c>
      <c r="E2247" s="1243">
        <f>+'INPUT - B Schedule PLANT'!DD50</f>
        <v>0</v>
      </c>
      <c r="F2247" s="1243">
        <f>+'INPUT - B Schedule PLANT'!DE50</f>
        <v>0</v>
      </c>
      <c r="G2247" s="1243">
        <f t="shared" si="410"/>
        <v>24462.2</v>
      </c>
      <c r="H2247" s="1243"/>
      <c r="I2247" s="1245">
        <f t="shared" si="406"/>
        <v>44844.01</v>
      </c>
      <c r="J2247" s="376">
        <f>$J$1677</f>
        <v>8.9999999999999993E-3</v>
      </c>
      <c r="K2247" s="1243">
        <f>ROUND((G2247+D2247)/2*J2247/12,0)</f>
        <v>18</v>
      </c>
      <c r="L2247" s="1243">
        <v>0</v>
      </c>
      <c r="M2247" s="1243">
        <f t="shared" si="407"/>
        <v>0</v>
      </c>
      <c r="N2247" s="1243">
        <v>0</v>
      </c>
      <c r="O2247" s="1243">
        <f t="shared" si="408"/>
        <v>44862.01</v>
      </c>
    </row>
    <row r="2248" spans="1:15">
      <c r="A2248" s="361">
        <f t="shared" si="409"/>
        <v>7</v>
      </c>
      <c r="B2248" s="365">
        <v>393</v>
      </c>
      <c r="C2248" s="358" t="s">
        <v>416</v>
      </c>
      <c r="D2248" s="1243">
        <f t="shared" si="405"/>
        <v>0</v>
      </c>
      <c r="E2248" s="1243">
        <f>+'INPUT - B Schedule PLANT'!DD51</f>
        <v>0</v>
      </c>
      <c r="F2248" s="1243">
        <f>+'INPUT - B Schedule PLANT'!DE51</f>
        <v>0</v>
      </c>
      <c r="G2248" s="1243">
        <f t="shared" si="410"/>
        <v>0</v>
      </c>
      <c r="H2248" s="1243"/>
      <c r="I2248" s="1245">
        <f t="shared" si="406"/>
        <v>0</v>
      </c>
      <c r="J2248" s="376" t="str">
        <f>$J$1678</f>
        <v>Amort.</v>
      </c>
      <c r="K2248" s="1243">
        <v>0</v>
      </c>
      <c r="L2248" s="1243">
        <v>0</v>
      </c>
      <c r="M2248" s="1243">
        <f t="shared" si="407"/>
        <v>0</v>
      </c>
      <c r="N2248" s="1243">
        <v>0</v>
      </c>
      <c r="O2248" s="1243">
        <f t="shared" si="408"/>
        <v>0</v>
      </c>
    </row>
    <row r="2249" spans="1:15">
      <c r="A2249" s="361">
        <f t="shared" si="409"/>
        <v>8</v>
      </c>
      <c r="B2249" s="365">
        <v>394.1</v>
      </c>
      <c r="C2249" s="358" t="s">
        <v>417</v>
      </c>
      <c r="D2249" s="1243">
        <f t="shared" si="405"/>
        <v>9739</v>
      </c>
      <c r="E2249" s="1243">
        <f>+'INPUT - B Schedule PLANT'!DD52</f>
        <v>0</v>
      </c>
      <c r="F2249" s="1243">
        <f>+'INPUT - B Schedule PLANT'!DE52</f>
        <v>0</v>
      </c>
      <c r="G2249" s="1243">
        <f t="shared" si="410"/>
        <v>9739</v>
      </c>
      <c r="H2249" s="1243"/>
      <c r="I2249" s="1245">
        <f t="shared" si="406"/>
        <v>4300.0700000000006</v>
      </c>
      <c r="J2249" s="376">
        <f>$J$1679</f>
        <v>0.04</v>
      </c>
      <c r="K2249" s="1243">
        <f>ROUND((G2249+D2249)/2*J2249/12,0)</f>
        <v>32</v>
      </c>
      <c r="L2249" s="1243">
        <v>0</v>
      </c>
      <c r="M2249" s="1243">
        <f t="shared" si="407"/>
        <v>0</v>
      </c>
      <c r="N2249" s="1243">
        <v>0</v>
      </c>
      <c r="O2249" s="1243">
        <f t="shared" si="408"/>
        <v>4332.0700000000006</v>
      </c>
    </row>
    <row r="2250" spans="1:15">
      <c r="A2250" s="361">
        <f t="shared" si="409"/>
        <v>9</v>
      </c>
      <c r="B2250" s="365">
        <v>394.11</v>
      </c>
      <c r="C2250" s="358" t="s">
        <v>418</v>
      </c>
      <c r="D2250" s="1243">
        <f t="shared" si="405"/>
        <v>0</v>
      </c>
      <c r="E2250" s="1243">
        <f>+'INPUT - B Schedule PLANT'!DD53</f>
        <v>0</v>
      </c>
      <c r="F2250" s="1243">
        <f>+'INPUT - B Schedule PLANT'!DE53</f>
        <v>0</v>
      </c>
      <c r="G2250" s="1243">
        <f t="shared" si="410"/>
        <v>0</v>
      </c>
      <c r="H2250" s="1243"/>
      <c r="I2250" s="1245">
        <f t="shared" si="406"/>
        <v>-26071.5</v>
      </c>
      <c r="J2250" s="376">
        <f>$J$1680</f>
        <v>0.04</v>
      </c>
      <c r="K2250" s="1243">
        <f>ROUND((G2250+D2250)/2*J2250/12,0)</f>
        <v>0</v>
      </c>
      <c r="L2250" s="1243">
        <v>0</v>
      </c>
      <c r="M2250" s="1243">
        <f t="shared" si="407"/>
        <v>0</v>
      </c>
      <c r="N2250" s="1243">
        <v>0</v>
      </c>
      <c r="O2250" s="1243">
        <f t="shared" si="408"/>
        <v>-26071.5</v>
      </c>
    </row>
    <row r="2251" spans="1:15">
      <c r="A2251" s="361">
        <f t="shared" si="409"/>
        <v>10</v>
      </c>
      <c r="B2251" s="365">
        <v>394.13</v>
      </c>
      <c r="C2251" s="358" t="s">
        <v>515</v>
      </c>
      <c r="D2251" s="1243">
        <f t="shared" si="405"/>
        <v>0</v>
      </c>
      <c r="E2251" s="1243">
        <f>+'INPUT - B Schedule PLANT'!DD54</f>
        <v>0</v>
      </c>
      <c r="F2251" s="1243">
        <f>+'INPUT - B Schedule PLANT'!DE54</f>
        <v>0</v>
      </c>
      <c r="G2251" s="1243">
        <f t="shared" si="410"/>
        <v>0</v>
      </c>
      <c r="H2251" s="1243"/>
      <c r="I2251" s="1245">
        <f t="shared" si="406"/>
        <v>37937.360000000001</v>
      </c>
      <c r="J2251" s="376" t="str">
        <f>$J$1681</f>
        <v>Amort.</v>
      </c>
      <c r="K2251" s="1243">
        <v>0</v>
      </c>
      <c r="L2251" s="1243">
        <v>0</v>
      </c>
      <c r="M2251" s="1243">
        <f t="shared" si="407"/>
        <v>0</v>
      </c>
      <c r="N2251" s="1243">
        <v>0</v>
      </c>
      <c r="O2251" s="1243">
        <f t="shared" si="408"/>
        <v>37937.360000000001</v>
      </c>
    </row>
    <row r="2252" spans="1:15">
      <c r="A2252" s="361">
        <f t="shared" si="409"/>
        <v>11</v>
      </c>
      <c r="B2252" s="365">
        <v>394.2</v>
      </c>
      <c r="C2252" s="358" t="s">
        <v>420</v>
      </c>
      <c r="D2252" s="1243">
        <f t="shared" si="405"/>
        <v>0</v>
      </c>
      <c r="E2252" s="1243">
        <f>+'INPUT - B Schedule PLANT'!DD55</f>
        <v>0</v>
      </c>
      <c r="F2252" s="1243">
        <f>+'INPUT - B Schedule PLANT'!DE55</f>
        <v>0</v>
      </c>
      <c r="G2252" s="1243">
        <f>SUM(D2252:F2252)</f>
        <v>0</v>
      </c>
      <c r="H2252" s="1243"/>
      <c r="I2252" s="1245">
        <f t="shared" si="406"/>
        <v>185.21</v>
      </c>
      <c r="J2252" s="376">
        <f>$J$1682</f>
        <v>0.04</v>
      </c>
      <c r="K2252" s="1243">
        <f>ROUND((G2252+D2252)/2*J2252/12,0)</f>
        <v>0</v>
      </c>
      <c r="L2252" s="1243">
        <v>0</v>
      </c>
      <c r="M2252" s="1243">
        <f t="shared" si="407"/>
        <v>0</v>
      </c>
      <c r="N2252" s="1243">
        <v>0</v>
      </c>
      <c r="O2252" s="1243">
        <f t="shared" si="408"/>
        <v>185.21</v>
      </c>
    </row>
    <row r="2253" spans="1:15">
      <c r="A2253" s="361">
        <f t="shared" si="409"/>
        <v>12</v>
      </c>
      <c r="B2253" s="365">
        <v>394.3</v>
      </c>
      <c r="C2253" s="358" t="s">
        <v>1602</v>
      </c>
      <c r="D2253" s="1243">
        <f t="shared" si="405"/>
        <v>5218610.2899999991</v>
      </c>
      <c r="E2253" s="1243">
        <f>+'INPUT - B Schedule PLANT'!DD56</f>
        <v>26063.37</v>
      </c>
      <c r="F2253" s="1243">
        <f>+'INPUT - B Schedule PLANT'!DE56</f>
        <v>0</v>
      </c>
      <c r="G2253" s="1243">
        <f>SUM(D2253:F2253)</f>
        <v>5244673.6599999992</v>
      </c>
      <c r="H2253" s="1243"/>
      <c r="I2253" s="1245">
        <f t="shared" si="406"/>
        <v>1621526.6499999997</v>
      </c>
      <c r="J2253" s="376">
        <f>$J$1683</f>
        <v>0.04</v>
      </c>
      <c r="K2253" s="1243">
        <f>ROUND((G2253+D2253)/2*J2253/12,0)</f>
        <v>17439</v>
      </c>
      <c r="L2253" s="1243">
        <v>0</v>
      </c>
      <c r="M2253" s="1243">
        <f t="shared" si="407"/>
        <v>0</v>
      </c>
      <c r="N2253" s="1243">
        <v>0</v>
      </c>
      <c r="O2253" s="1243">
        <f t="shared" si="408"/>
        <v>1638965.6499999997</v>
      </c>
    </row>
    <row r="2254" spans="1:15">
      <c r="A2254" s="361">
        <f t="shared" si="409"/>
        <v>13</v>
      </c>
      <c r="B2254" s="365">
        <v>395</v>
      </c>
      <c r="C2254" s="358" t="s">
        <v>422</v>
      </c>
      <c r="D2254" s="1243">
        <f t="shared" si="405"/>
        <v>0</v>
      </c>
      <c r="E2254" s="1243">
        <f>+'INPUT - B Schedule PLANT'!DD57</f>
        <v>0</v>
      </c>
      <c r="F2254" s="1243">
        <f>+'INPUT - B Schedule PLANT'!DE57</f>
        <v>0</v>
      </c>
      <c r="G2254" s="1243">
        <f>SUM(D2254:F2254)</f>
        <v>0</v>
      </c>
      <c r="H2254" s="1243"/>
      <c r="I2254" s="1245">
        <f t="shared" si="406"/>
        <v>-100.69999999999845</v>
      </c>
      <c r="J2254" s="376">
        <f>$J$1684</f>
        <v>0.05</v>
      </c>
      <c r="K2254" s="1243">
        <f>ROUND((G2254+D2254)/2*J2254/12,0)</f>
        <v>0</v>
      </c>
      <c r="L2254" s="1243">
        <v>0</v>
      </c>
      <c r="M2254" s="1243">
        <f t="shared" si="407"/>
        <v>0</v>
      </c>
      <c r="N2254" s="1243">
        <v>0</v>
      </c>
      <c r="O2254" s="1243">
        <f t="shared" si="408"/>
        <v>-100.69999999999845</v>
      </c>
    </row>
    <row r="2255" spans="1:15">
      <c r="A2255" s="361">
        <f t="shared" si="409"/>
        <v>14</v>
      </c>
      <c r="B2255" s="365">
        <v>396</v>
      </c>
      <c r="C2255" s="358" t="s">
        <v>423</v>
      </c>
      <c r="D2255" s="1243">
        <f t="shared" si="405"/>
        <v>185547</v>
      </c>
      <c r="E2255" s="1243">
        <f>+'INPUT - B Schedule PLANT'!DD58</f>
        <v>0</v>
      </c>
      <c r="F2255" s="1243">
        <f>+'INPUT - B Schedule PLANT'!DE58</f>
        <v>0</v>
      </c>
      <c r="G2255" s="1243">
        <f>SUM(D2255:F2255)</f>
        <v>185547</v>
      </c>
      <c r="H2255" s="1243"/>
      <c r="I2255" s="1245">
        <f t="shared" si="406"/>
        <v>171938.14</v>
      </c>
      <c r="J2255" s="376">
        <f>$J$1685</f>
        <v>0</v>
      </c>
      <c r="K2255" s="1243">
        <f>ROUND((G2255+D2255)/2*J2255/12,0)</f>
        <v>0</v>
      </c>
      <c r="L2255" s="1243">
        <v>0</v>
      </c>
      <c r="M2255" s="1243">
        <f t="shared" si="407"/>
        <v>0</v>
      </c>
      <c r="N2255" s="1243">
        <v>0</v>
      </c>
      <c r="O2255" s="1243">
        <f t="shared" si="408"/>
        <v>171938.14</v>
      </c>
    </row>
    <row r="2256" spans="1:15">
      <c r="A2256" s="361">
        <f t="shared" si="409"/>
        <v>15</v>
      </c>
      <c r="B2256" s="365">
        <v>398</v>
      </c>
      <c r="C2256" s="358" t="s">
        <v>424</v>
      </c>
      <c r="D2256" s="1244">
        <f t="shared" si="405"/>
        <v>148028.20000000001</v>
      </c>
      <c r="E2256" s="1244">
        <f>+'INPUT - B Schedule PLANT'!DD59</f>
        <v>0</v>
      </c>
      <c r="F2256" s="1244">
        <f>+'INPUT - B Schedule PLANT'!DE59</f>
        <v>0</v>
      </c>
      <c r="G2256" s="1244">
        <f>SUM(D2256:F2256)</f>
        <v>148028.20000000001</v>
      </c>
      <c r="H2256" s="1243"/>
      <c r="I2256" s="1246">
        <f t="shared" si="406"/>
        <v>75864.549999999945</v>
      </c>
      <c r="J2256" s="376">
        <f>$J$1686</f>
        <v>6.6699999999999995E-2</v>
      </c>
      <c r="K2256" s="1244">
        <f>ROUND((G2256+D2256)/2*J2256/12,0)</f>
        <v>823</v>
      </c>
      <c r="L2256" s="1244">
        <v>0</v>
      </c>
      <c r="M2256" s="1244">
        <f t="shared" si="407"/>
        <v>0</v>
      </c>
      <c r="N2256" s="1244">
        <v>0</v>
      </c>
      <c r="O2256" s="1244">
        <f t="shared" si="408"/>
        <v>76687.549999999945</v>
      </c>
    </row>
    <row r="2257" spans="1:15">
      <c r="A2257" s="361">
        <f t="shared" si="409"/>
        <v>16</v>
      </c>
      <c r="B2257" s="367"/>
      <c r="C2257" s="358" t="s">
        <v>425</v>
      </c>
      <c r="D2257" s="1243">
        <f>SUM(D2243:D2256)</f>
        <v>6594181.9999999991</v>
      </c>
      <c r="E2257" s="1243">
        <f>SUM(E2243:E2256)</f>
        <v>26063.37</v>
      </c>
      <c r="F2257" s="1243">
        <f>SUM(F2243:F2256)</f>
        <v>0</v>
      </c>
      <c r="G2257" s="1243">
        <f>SUM(G2243:G2256)</f>
        <v>6620245.3699999992</v>
      </c>
      <c r="H2257" s="1243"/>
      <c r="I2257" s="1243">
        <f>SUM(I2243:I2256)</f>
        <v>2069621.7</v>
      </c>
      <c r="J2257" s="369"/>
      <c r="K2257" s="1243">
        <f>SUM(K2243:K2256)</f>
        <v>22786</v>
      </c>
      <c r="L2257" s="1243">
        <f>SUM(L2243:L2256)</f>
        <v>0</v>
      </c>
      <c r="M2257" s="1243">
        <f>SUM(M2243:M2256)</f>
        <v>0</v>
      </c>
      <c r="N2257" s="1243">
        <f>SUM(N2243:N2256)</f>
        <v>0</v>
      </c>
      <c r="O2257" s="1243">
        <f>SUM(O2243:O2256)</f>
        <v>2092407.7</v>
      </c>
    </row>
    <row r="2258" spans="1:15">
      <c r="A2258" s="361"/>
      <c r="D2258" s="1243"/>
      <c r="E2258" s="1243"/>
      <c r="F2258" s="1243"/>
      <c r="G2258" s="1243"/>
      <c r="H2258" s="1243"/>
      <c r="I2258" s="1243"/>
      <c r="J2258" s="369"/>
      <c r="K2258" s="1243"/>
      <c r="L2258" s="1243"/>
      <c r="M2258" s="1243"/>
      <c r="N2258" s="1243"/>
      <c r="O2258" s="1243"/>
    </row>
    <row r="2259" spans="1:15">
      <c r="A2259" s="361">
        <f>A2257+1</f>
        <v>17</v>
      </c>
      <c r="B2259" s="363" t="s">
        <v>1038</v>
      </c>
      <c r="D2259" s="1243"/>
      <c r="E2259" s="1243"/>
      <c r="F2259" s="1243"/>
      <c r="G2259" s="1243"/>
      <c r="H2259" s="1243"/>
      <c r="I2259" s="1243"/>
      <c r="J2259" s="369"/>
      <c r="K2259" s="1243"/>
      <c r="L2259" s="1243"/>
      <c r="M2259" s="1243"/>
      <c r="N2259" s="1243"/>
      <c r="O2259" s="1243"/>
    </row>
    <row r="2260" spans="1:15">
      <c r="A2260" s="361">
        <f>A2259+1</f>
        <v>18</v>
      </c>
      <c r="B2260" s="365">
        <v>378.21</v>
      </c>
      <c r="C2260" s="358" t="s">
        <v>1037</v>
      </c>
      <c r="D2260" s="1244">
        <f>G2146</f>
        <v>-777092</v>
      </c>
      <c r="E2260" s="1244">
        <v>0</v>
      </c>
      <c r="F2260" s="1244">
        <v>0</v>
      </c>
      <c r="G2260" s="1244">
        <f>SUM(D2260:F2260)</f>
        <v>-777092</v>
      </c>
      <c r="H2260" s="1243"/>
      <c r="I2260" s="1244">
        <f>O2146</f>
        <v>-219379.5300000002</v>
      </c>
      <c r="J2260" s="376" t="str">
        <f>$J$1690</f>
        <v>Amort.</v>
      </c>
      <c r="K2260" s="1244">
        <f>$K$1348</f>
        <v>-2144.17</v>
      </c>
      <c r="L2260" s="1244">
        <v>0</v>
      </c>
      <c r="M2260" s="1244">
        <f>F2260</f>
        <v>0</v>
      </c>
      <c r="N2260" s="1244">
        <v>0</v>
      </c>
      <c r="O2260" s="1244">
        <f>I2260+K2260+L2260+M2260+N2260</f>
        <v>-221523.70000000022</v>
      </c>
    </row>
    <row r="2261" spans="1:15">
      <c r="A2261" s="361">
        <f>A2260+1</f>
        <v>19</v>
      </c>
      <c r="B2261" s="370"/>
      <c r="C2261" s="358" t="s">
        <v>1579</v>
      </c>
      <c r="D2261" s="1243">
        <f>SUM(D2260)</f>
        <v>-777092</v>
      </c>
      <c r="E2261" s="1243">
        <f>SUM(E2260)</f>
        <v>0</v>
      </c>
      <c r="F2261" s="1243">
        <f>SUM(F2260)</f>
        <v>0</v>
      </c>
      <c r="G2261" s="1243">
        <f>SUM(G2260)</f>
        <v>-777092</v>
      </c>
      <c r="H2261" s="1243"/>
      <c r="I2261" s="1243">
        <f>SUM(I2260)</f>
        <v>-219379.5300000002</v>
      </c>
      <c r="J2261" s="369"/>
      <c r="K2261" s="1243">
        <f>SUM(K2260)</f>
        <v>-2144.17</v>
      </c>
      <c r="L2261" s="1243">
        <f>SUM(L2260)</f>
        <v>0</v>
      </c>
      <c r="M2261" s="1243">
        <f>SUM(M2260)</f>
        <v>0</v>
      </c>
      <c r="N2261" s="1243">
        <f>SUM(N2260)</f>
        <v>0</v>
      </c>
      <c r="O2261" s="1243">
        <f>SUM(O2260)</f>
        <v>-221523.70000000022</v>
      </c>
    </row>
    <row r="2262" spans="1:15">
      <c r="A2262" s="361"/>
      <c r="B2262" s="370"/>
      <c r="D2262" s="1243"/>
      <c r="E2262" s="1243"/>
      <c r="F2262" s="1243"/>
      <c r="G2262" s="1243"/>
      <c r="H2262" s="1243"/>
      <c r="I2262" s="1243"/>
      <c r="J2262" s="369"/>
      <c r="K2262" s="1243"/>
      <c r="L2262" s="1243"/>
      <c r="M2262" s="1243"/>
      <c r="N2262" s="1243"/>
      <c r="O2262" s="1243"/>
    </row>
    <row r="2263" spans="1:15">
      <c r="A2263" s="361">
        <f>A2261+1</f>
        <v>20</v>
      </c>
      <c r="B2263" s="370"/>
      <c r="C2263" s="358" t="s">
        <v>2037</v>
      </c>
      <c r="D2263" s="1243">
        <f>D2190+D2223+D2257+D2261</f>
        <v>752040145.81103539</v>
      </c>
      <c r="E2263" s="1243">
        <f>E2190+E2223+E2257+E2261</f>
        <v>1289332.20077063</v>
      </c>
      <c r="F2263" s="1243">
        <f>F2190+F2223+F2257+F2261</f>
        <v>-244621.34908109964</v>
      </c>
      <c r="G2263" s="1243">
        <f>G2190+G2223+G2257+G2261</f>
        <v>753084856.66272485</v>
      </c>
      <c r="H2263" s="1243"/>
      <c r="I2263" s="1243">
        <f>I2190+I2223+I2257+I2261</f>
        <v>185714376.51029339</v>
      </c>
      <c r="J2263" s="369"/>
      <c r="K2263" s="1243">
        <f>K2190+K2223+K2257+K2261</f>
        <v>1822175.4546182838</v>
      </c>
      <c r="L2263" s="1243">
        <f>L2190+L2223+L2257+L2261</f>
        <v>0</v>
      </c>
      <c r="M2263" s="1243">
        <f>M2190+M2223+M2257+M2261</f>
        <v>-244621.34908109964</v>
      </c>
      <c r="N2263" s="1243">
        <f>N2190+N2223+N2257+N2261</f>
        <v>-64459.878955440538</v>
      </c>
      <c r="O2263" s="1243">
        <f>O2190+O2223+O2257+O2261</f>
        <v>187227470.73687518</v>
      </c>
    </row>
    <row r="2264" spans="1:15">
      <c r="A2264" s="361"/>
      <c r="B2264" s="370"/>
      <c r="D2264" s="1243"/>
      <c r="E2264" s="1243"/>
      <c r="F2264" s="1243"/>
      <c r="G2264" s="1243"/>
      <c r="H2264" s="1243"/>
      <c r="I2264" s="1243"/>
      <c r="J2264" s="369"/>
      <c r="K2264" s="1243"/>
      <c r="L2264" s="1243"/>
      <c r="M2264" s="1243"/>
      <c r="N2264" s="1243"/>
      <c r="O2264" s="1243"/>
    </row>
    <row r="2265" spans="1:15">
      <c r="A2265" s="361">
        <f>A2263+1</f>
        <v>21</v>
      </c>
      <c r="B2265" s="370"/>
      <c r="C2265" s="358" t="s">
        <v>2038</v>
      </c>
      <c r="D2265" s="1243">
        <v>0</v>
      </c>
      <c r="E2265" s="1249">
        <v>0</v>
      </c>
      <c r="F2265" s="1249">
        <v>0</v>
      </c>
      <c r="G2265" s="1249">
        <f>SUM(D2265:F2265)</f>
        <v>0</v>
      </c>
      <c r="H2265" s="1243"/>
      <c r="I2265" s="1243">
        <f>O2151</f>
        <v>-6687302.71</v>
      </c>
      <c r="J2265" s="369"/>
      <c r="K2265" s="1243"/>
      <c r="L2265" s="1243"/>
      <c r="M2265" s="1243"/>
      <c r="N2265" s="1243"/>
      <c r="O2265" s="1243">
        <f>I2265+K2265+L2265+M2265+N2265</f>
        <v>-6687302.71</v>
      </c>
    </row>
    <row r="2266" spans="1:15">
      <c r="A2266" s="361"/>
      <c r="B2266" s="370"/>
      <c r="C2266" s="368"/>
      <c r="D2266" s="1243"/>
      <c r="E2266" s="1243"/>
      <c r="F2266" s="1243"/>
      <c r="G2266" s="1243"/>
      <c r="H2266" s="1243"/>
      <c r="I2266" s="1243"/>
      <c r="J2266" s="369"/>
      <c r="K2266" s="1243"/>
      <c r="L2266" s="1243"/>
      <c r="M2266" s="1243"/>
      <c r="N2266" s="1243"/>
      <c r="O2266" s="1243"/>
    </row>
    <row r="2267" spans="1:15">
      <c r="A2267" s="361">
        <f>A2265+1</f>
        <v>22</v>
      </c>
      <c r="C2267" s="358" t="s">
        <v>2884</v>
      </c>
      <c r="D2267" s="1247">
        <f>D2263+D2265</f>
        <v>752040145.81103539</v>
      </c>
      <c r="E2267" s="1247">
        <f t="shared" ref="E2267:O2267" si="411">E2263+E2265</f>
        <v>1289332.20077063</v>
      </c>
      <c r="F2267" s="1247">
        <f t="shared" si="411"/>
        <v>-244621.34908109964</v>
      </c>
      <c r="G2267" s="1247">
        <f t="shared" si="411"/>
        <v>753084856.66272485</v>
      </c>
      <c r="H2267" s="1243"/>
      <c r="I2267" s="1247">
        <f t="shared" si="411"/>
        <v>179027073.80029339</v>
      </c>
      <c r="J2267" s="369"/>
      <c r="K2267" s="1247">
        <f t="shared" si="411"/>
        <v>1822175.4546182838</v>
      </c>
      <c r="L2267" s="1247">
        <f t="shared" si="411"/>
        <v>0</v>
      </c>
      <c r="M2267" s="1247">
        <f t="shared" si="411"/>
        <v>-244621.34908109964</v>
      </c>
      <c r="N2267" s="1247">
        <f t="shared" si="411"/>
        <v>-64459.878955440538</v>
      </c>
      <c r="O2267" s="1247">
        <f t="shared" si="411"/>
        <v>180540168.02687517</v>
      </c>
    </row>
    <row r="2268" spans="1:15">
      <c r="A2268" s="361"/>
      <c r="D2268" s="1243"/>
      <c r="E2268" s="1243"/>
      <c r="F2268" s="1243"/>
      <c r="G2268" s="1243"/>
      <c r="H2268" s="1243"/>
      <c r="I2268" s="1243"/>
      <c r="J2268" s="369"/>
      <c r="K2268" s="1243"/>
      <c r="L2268" s="1243"/>
      <c r="M2268" s="1243"/>
      <c r="N2268" s="1243"/>
      <c r="O2268" s="1243"/>
    </row>
    <row r="2269" spans="1:15">
      <c r="A2269" s="361"/>
      <c r="D2269" s="1243"/>
      <c r="E2269" s="1243"/>
      <c r="F2269" s="1243"/>
      <c r="G2269" s="1243"/>
      <c r="H2269" s="1243"/>
      <c r="I2269" s="1243"/>
      <c r="J2269" s="369"/>
      <c r="K2269" s="1243"/>
      <c r="L2269" s="1243"/>
      <c r="M2269" s="1243"/>
      <c r="N2269" s="1243"/>
      <c r="O2269" s="1243"/>
    </row>
    <row r="2270" spans="1:15">
      <c r="A2270" s="361">
        <f>A2267+1</f>
        <v>23</v>
      </c>
      <c r="B2270" s="363" t="s">
        <v>1774</v>
      </c>
      <c r="D2270" s="1243"/>
      <c r="E2270" s="1243"/>
      <c r="F2270" s="1243"/>
      <c r="G2270" s="1243"/>
      <c r="H2270" s="1243"/>
      <c r="I2270" s="1243"/>
      <c r="J2270" s="369"/>
      <c r="K2270" s="1243"/>
      <c r="L2270" s="1243"/>
      <c r="M2270" s="1243"/>
      <c r="N2270" s="1243"/>
      <c r="O2270" s="1243"/>
    </row>
    <row r="2271" spans="1:15">
      <c r="A2271" s="361">
        <f t="shared" ref="A2271:A2276" si="412">A2270+1</f>
        <v>24</v>
      </c>
      <c r="B2271" s="365">
        <v>376</v>
      </c>
      <c r="C2271" s="358" t="s">
        <v>1775</v>
      </c>
      <c r="D2271" s="1243">
        <f>G2157</f>
        <v>40009592.450559042</v>
      </c>
      <c r="E2271" s="1243">
        <f>'WPB-2.1.D SMRP'!E892</f>
        <v>1137187.6338959769</v>
      </c>
      <c r="F2271" s="1243">
        <f>'WPB-2.1.D SMRP'!F892</f>
        <v>-1219.9458611167438</v>
      </c>
      <c r="G2271" s="1243">
        <f>SUM(D2271:F2271)</f>
        <v>41145560.138593905</v>
      </c>
      <c r="H2271" s="1243"/>
      <c r="I2271" s="1243">
        <f>O2157</f>
        <v>172655.9516065061</v>
      </c>
      <c r="J2271" s="376">
        <f>$J$1701</f>
        <v>1.7399999999999999E-2</v>
      </c>
      <c r="K2271" s="1243">
        <f>'WPB-2.1.D SMRP'!K892</f>
        <v>58837.576999999997</v>
      </c>
      <c r="L2271" s="1243">
        <v>0</v>
      </c>
      <c r="M2271" s="1243">
        <f>F2271</f>
        <v>-1219.9458611167438</v>
      </c>
      <c r="N2271" s="1243">
        <f>'WPB-2.1.D SMRP'!N892</f>
        <v>-27.694207639440808</v>
      </c>
      <c r="O2271" s="1243">
        <f>I2271+K2271+L2271+M2271+N2271</f>
        <v>230245.88853774991</v>
      </c>
    </row>
    <row r="2272" spans="1:15">
      <c r="A2272" s="361">
        <f t="shared" si="412"/>
        <v>25</v>
      </c>
      <c r="B2272" s="365">
        <v>378.2</v>
      </c>
      <c r="C2272" s="358" t="s">
        <v>1776</v>
      </c>
      <c r="D2272" s="1243">
        <f>G2158</f>
        <v>442996.96551601391</v>
      </c>
      <c r="E2272" s="1243">
        <f>'WPB-2.1.D SMRP'!E893</f>
        <v>17290.954004861935</v>
      </c>
      <c r="F2272" s="1243">
        <f>'WPB-2.1.D SMRP'!F893</f>
        <v>-23514.051427214676</v>
      </c>
      <c r="G2272" s="1243">
        <f>SUM(D2272:F2272)</f>
        <v>436773.86809366115</v>
      </c>
      <c r="H2272" s="1243"/>
      <c r="I2272" s="1243">
        <f>O2158</f>
        <v>-630025.16712134506</v>
      </c>
      <c r="J2272" s="376">
        <f>$J$1702</f>
        <v>2.52E-2</v>
      </c>
      <c r="K2272" s="1243">
        <f>'WPB-2.1.D SMRP'!K893</f>
        <v>923.46600000000001</v>
      </c>
      <c r="L2272" s="1243">
        <v>0</v>
      </c>
      <c r="M2272" s="1243">
        <f>F2272</f>
        <v>-23514.051427214676</v>
      </c>
      <c r="N2272" s="1243">
        <f>'WPB-2.1.D SMRP'!N893</f>
        <v>-11474.302476372244</v>
      </c>
      <c r="O2272" s="1243">
        <f>I2272+K2272+L2272+M2272+N2272</f>
        <v>-664090.05502493191</v>
      </c>
    </row>
    <row r="2273" spans="1:16">
      <c r="A2273" s="361">
        <f t="shared" si="412"/>
        <v>26</v>
      </c>
      <c r="B2273" s="365">
        <v>380</v>
      </c>
      <c r="C2273" s="358" t="s">
        <v>1777</v>
      </c>
      <c r="D2273" s="1243">
        <f>G2159</f>
        <v>16972261.01314804</v>
      </c>
      <c r="E2273" s="1243">
        <f>'WPB-2.1.D SMRP'!E894</f>
        <v>1738824.36</v>
      </c>
      <c r="F2273" s="1243">
        <f>'WPB-2.1.D SMRP'!F894</f>
        <v>-290648.80179505283</v>
      </c>
      <c r="G2273" s="1243">
        <f>SUM(D2273:F2273)</f>
        <v>18420436.571352985</v>
      </c>
      <c r="H2273" s="1243"/>
      <c r="I2273" s="1243">
        <f>O2159</f>
        <v>-8310759.3444482023</v>
      </c>
      <c r="J2273" s="376">
        <f>$J$1703</f>
        <v>3.9800000000000002E-2</v>
      </c>
      <c r="K2273" s="1243">
        <f>'WPB-2.1.D SMRP'!K894</f>
        <v>58692.557999999997</v>
      </c>
      <c r="L2273" s="1243">
        <v>0</v>
      </c>
      <c r="M2273" s="1243">
        <f>F2273</f>
        <v>-290648.80179505283</v>
      </c>
      <c r="N2273" s="1243">
        <f>'WPB-2.1.D SMRP'!N894</f>
        <v>-221185.27436054777</v>
      </c>
      <c r="O2273" s="1243">
        <f>I2273+K2273+L2273+M2273+N2273</f>
        <v>-8763900.8626038022</v>
      </c>
    </row>
    <row r="2274" spans="1:16">
      <c r="A2274" s="361">
        <f t="shared" si="412"/>
        <v>27</v>
      </c>
      <c r="B2274" s="365">
        <v>382</v>
      </c>
      <c r="C2274" s="358" t="s">
        <v>1778</v>
      </c>
      <c r="D2274" s="1243">
        <f>G2160</f>
        <v>178666.34220918757</v>
      </c>
      <c r="E2274" s="1243">
        <f>'WPB-2.1.D SMRP'!E895</f>
        <v>15573.38</v>
      </c>
      <c r="F2274" s="1243">
        <f>'WPB-2.1.D SMRP'!F895</f>
        <v>-4519.7548530101176</v>
      </c>
      <c r="G2274" s="1243">
        <f>SUM(D2274:F2274)</f>
        <v>189719.96735617745</v>
      </c>
      <c r="H2274" s="1243"/>
      <c r="I2274" s="1243">
        <f>O2160</f>
        <v>-63174.320790812388</v>
      </c>
      <c r="J2274" s="376">
        <f>$J$1704</f>
        <v>1.77E-2</v>
      </c>
      <c r="K2274" s="1243">
        <f>'WPB-2.1.D SMRP'!K895</f>
        <v>272.15199999999999</v>
      </c>
      <c r="L2274" s="1243">
        <v>0</v>
      </c>
      <c r="M2274" s="1243">
        <f>F2274</f>
        <v>-4519.7548530101176</v>
      </c>
      <c r="N2274" s="1243">
        <f>'WPB-2.1.D SMRP'!N895</f>
        <v>0</v>
      </c>
      <c r="O2274" s="1243">
        <f>I2274+K2274+L2274+M2274+N2274</f>
        <v>-67421.923643822505</v>
      </c>
    </row>
    <row r="2275" spans="1:16">
      <c r="A2275" s="361">
        <f t="shared" si="412"/>
        <v>28</v>
      </c>
      <c r="B2275" s="365">
        <v>383</v>
      </c>
      <c r="C2275" s="358" t="s">
        <v>1779</v>
      </c>
      <c r="D2275" s="1244">
        <f>G2161</f>
        <v>77705.304139664775</v>
      </c>
      <c r="E2275" s="1244">
        <f>'WPB-2.1.D SMRP'!E896</f>
        <v>8509.8315316685985</v>
      </c>
      <c r="F2275" s="1244">
        <f>'WPB-2.1.D SMRP'!F896</f>
        <v>-244.94698250596784</v>
      </c>
      <c r="G2275" s="1244">
        <f>SUM(D2275:F2275)</f>
        <v>85970.188688827417</v>
      </c>
      <c r="H2275" s="1243"/>
      <c r="I2275" s="1244">
        <f>O2161</f>
        <v>-8389.2105464215001</v>
      </c>
      <c r="J2275" s="376">
        <f>$J$1705</f>
        <v>1.9400000000000001E-2</v>
      </c>
      <c r="K2275" s="1244">
        <f>'WPB-2.1.D SMRP'!K896</f>
        <v>132.68100000000001</v>
      </c>
      <c r="L2275" s="1244">
        <v>0</v>
      </c>
      <c r="M2275" s="1244">
        <f>F2275</f>
        <v>-244.94698250596784</v>
      </c>
      <c r="N2275" s="1244">
        <f>'WPB-2.1.D SMRP'!N896</f>
        <v>0</v>
      </c>
      <c r="O2275" s="1244">
        <f>I2275+K2275+L2275+M2275+N2275</f>
        <v>-8501.4765289274674</v>
      </c>
    </row>
    <row r="2276" spans="1:16">
      <c r="A2276" s="361">
        <f t="shared" si="412"/>
        <v>29</v>
      </c>
      <c r="C2276" s="358" t="s">
        <v>1780</v>
      </c>
      <c r="D2276" s="1243">
        <f>SUM(D2271:D2275)</f>
        <v>57681222.075571954</v>
      </c>
      <c r="E2276" s="1243">
        <f>SUM(E2271:E2275)</f>
        <v>2917386.1594325076</v>
      </c>
      <c r="F2276" s="1243">
        <f>SUM(F2271:F2275)</f>
        <v>-320147.5009189003</v>
      </c>
      <c r="G2276" s="1243">
        <f>SUM(G2271:G2275)</f>
        <v>60278460.73408556</v>
      </c>
      <c r="H2276" s="1243"/>
      <c r="I2276" s="1243">
        <f>SUM(I2271:I2275)</f>
        <v>-8839692.0913002752</v>
      </c>
      <c r="J2276" s="369"/>
      <c r="K2276" s="1243">
        <f>SUM(K2271:K2275)</f>
        <v>118858.43399999999</v>
      </c>
      <c r="L2276" s="1243">
        <f>SUM(L2271:L2275)</f>
        <v>0</v>
      </c>
      <c r="M2276" s="1243">
        <f>SUM(M2271:M2275)</f>
        <v>-320147.5009189003</v>
      </c>
      <c r="N2276" s="1243">
        <f>SUM(N2271:N2275)</f>
        <v>-232687.27104455946</v>
      </c>
      <c r="O2276" s="1243">
        <f>SUM(O2271:O2275)</f>
        <v>-9273668.4292637333</v>
      </c>
    </row>
    <row r="2277" spans="1:16">
      <c r="A2277" s="361"/>
      <c r="D2277" s="1243"/>
      <c r="E2277" s="1243"/>
      <c r="F2277" s="1243"/>
      <c r="G2277" s="1243"/>
      <c r="H2277" s="1243"/>
      <c r="I2277" s="1243"/>
      <c r="J2277" s="369"/>
      <c r="K2277" s="1243"/>
      <c r="L2277" s="1243"/>
      <c r="M2277" s="1243"/>
      <c r="N2277" s="1243"/>
      <c r="O2277" s="1243"/>
    </row>
    <row r="2278" spans="1:16" ht="13.5" thickBot="1">
      <c r="A2278" s="361">
        <f>A2276+1</f>
        <v>30</v>
      </c>
      <c r="C2278" s="358" t="s">
        <v>447</v>
      </c>
      <c r="D2278" s="1248">
        <f>D2267+D2276</f>
        <v>809721367.88660741</v>
      </c>
      <c r="E2278" s="1248">
        <f>E2267+E2276</f>
        <v>4206718.3602031376</v>
      </c>
      <c r="F2278" s="1248">
        <f>F2267+F2276</f>
        <v>-564768.85</v>
      </c>
      <c r="G2278" s="1248">
        <f>G2267+G2276</f>
        <v>813363317.39681041</v>
      </c>
      <c r="H2278" s="1243"/>
      <c r="I2278" s="1248">
        <f>I2267+I2276</f>
        <v>170187381.70899311</v>
      </c>
      <c r="J2278" s="369"/>
      <c r="K2278" s="1248">
        <f>K2267+K2276</f>
        <v>1941033.8886182837</v>
      </c>
      <c r="L2278" s="1248">
        <f>L2267+L2276</f>
        <v>0</v>
      </c>
      <c r="M2278" s="1248">
        <f>M2267+M2276</f>
        <v>-564768.85</v>
      </c>
      <c r="N2278" s="1248">
        <f>N2267+N2276</f>
        <v>-297147.15000000002</v>
      </c>
      <c r="O2278" s="1248">
        <f>O2267+O2276</f>
        <v>171266499.59761143</v>
      </c>
    </row>
    <row r="2279" spans="1:16" ht="13.5" thickTop="1"/>
    <row r="2281" spans="1:16" s="291" customFormat="1">
      <c r="A2281" s="1308" t="str">
        <f>$A$1</f>
        <v>COLUMBIA GAS OF KENTUCKY, INC.</v>
      </c>
      <c r="B2281" s="1308"/>
      <c r="C2281" s="1308"/>
      <c r="D2281" s="1308"/>
      <c r="E2281" s="1308"/>
      <c r="F2281" s="1308"/>
      <c r="G2281" s="1308"/>
      <c r="H2281" s="1308"/>
      <c r="I2281" s="1308"/>
      <c r="J2281" s="1308"/>
      <c r="K2281" s="1308"/>
      <c r="L2281" s="1308"/>
      <c r="M2281" s="1308"/>
      <c r="N2281" s="1308"/>
      <c r="O2281" s="1308"/>
    </row>
    <row r="2282" spans="1:16" s="291" customFormat="1">
      <c r="A2282" s="1308" t="str">
        <f>$A$2</f>
        <v>CASE NO. 2024 - 00092</v>
      </c>
      <c r="B2282" s="1308"/>
      <c r="C2282" s="1308"/>
      <c r="D2282" s="1308"/>
      <c r="E2282" s="1308"/>
      <c r="F2282" s="1308"/>
      <c r="G2282" s="1308"/>
      <c r="H2282" s="1308"/>
      <c r="I2282" s="1308"/>
      <c r="J2282" s="1308"/>
      <c r="K2282" s="1308"/>
      <c r="L2282" s="1308"/>
      <c r="M2282" s="1308"/>
      <c r="N2282" s="1308"/>
      <c r="O2282" s="1308"/>
    </row>
    <row r="2283" spans="1:16" s="291" customFormat="1">
      <c r="A2283" s="1308" t="str">
        <f>$A$3</f>
        <v>DETAIL OF ACTUAL &amp; FORECASTED PLANT, ACCUMULATED RESERVE &amp; DEPRECIATION EXPENSE</v>
      </c>
      <c r="B2283" s="1308"/>
      <c r="C2283" s="1308"/>
      <c r="D2283" s="1308"/>
      <c r="E2283" s="1308"/>
      <c r="F2283" s="1308"/>
      <c r="G2283" s="1308"/>
      <c r="H2283" s="1308"/>
      <c r="I2283" s="1308"/>
      <c r="J2283" s="1308"/>
      <c r="K2283" s="1308"/>
      <c r="L2283" s="1308"/>
      <c r="M2283" s="1308"/>
      <c r="N2283" s="1308"/>
      <c r="O2283" s="1308"/>
      <c r="P2283" s="357"/>
    </row>
    <row r="2284" spans="1:16" s="291" customFormat="1">
      <c r="A2284" s="1308" t="str">
        <f>$A$4</f>
        <v>FROM JANUARY 01, 2023 THROUGH DECEMBER 31, 2025</v>
      </c>
      <c r="B2284" s="1308"/>
      <c r="C2284" s="1308"/>
      <c r="D2284" s="1308"/>
      <c r="E2284" s="1308"/>
      <c r="F2284" s="1308"/>
      <c r="G2284" s="1308"/>
      <c r="H2284" s="1308"/>
      <c r="I2284" s="1308"/>
      <c r="J2284" s="1308"/>
      <c r="K2284" s="1308"/>
      <c r="L2284" s="1308"/>
      <c r="M2284" s="1308"/>
      <c r="N2284" s="1308"/>
      <c r="O2284" s="1308"/>
    </row>
    <row r="2285" spans="1:16" s="291" customFormat="1">
      <c r="B2285" s="293"/>
      <c r="P2285" s="312"/>
    </row>
    <row r="2286" spans="1:16" s="291" customFormat="1">
      <c r="A2286" s="297" t="str">
        <f>$A$6</f>
        <v xml:space="preserve">DATA: _X_ BASE PERIOD _X_ FORECASTED PERIOD     </v>
      </c>
      <c r="B2286" s="293"/>
      <c r="O2286" s="312" t="str">
        <f>$O$6</f>
        <v>WPB-2.1.C</v>
      </c>
      <c r="P2286" s="312"/>
    </row>
    <row r="2287" spans="1:16" s="291" customFormat="1">
      <c r="A2287" s="297" t="str">
        <f>$A$7</f>
        <v>TYPE OF FILING:___X___ORIGINAL______UPDATED</v>
      </c>
      <c r="B2287" s="293"/>
      <c r="O2287" s="312" t="s">
        <v>2182</v>
      </c>
      <c r="P2287" s="312"/>
    </row>
    <row r="2288" spans="1:16" s="291" customFormat="1">
      <c r="A2288" s="297" t="str">
        <f>$A$8</f>
        <v>WORKPAPER REFERENCE NO(S).:</v>
      </c>
      <c r="B2288" s="293"/>
      <c r="O2288" s="312" t="str">
        <f>$O$8</f>
        <v>WITNESS: GORE</v>
      </c>
    </row>
    <row r="2289" spans="1:15">
      <c r="A2289" s="918"/>
      <c r="B2289" s="919"/>
      <c r="C2289" s="918"/>
      <c r="D2289" s="918"/>
      <c r="E2289" s="918"/>
      <c r="F2289" s="918"/>
      <c r="G2289" s="918"/>
      <c r="H2289" s="918"/>
      <c r="I2289" s="918"/>
      <c r="J2289" s="918"/>
      <c r="K2289" s="918"/>
      <c r="L2289" s="918"/>
      <c r="M2289" s="918"/>
      <c r="N2289" s="918"/>
      <c r="O2289" s="920"/>
    </row>
    <row r="2290" spans="1:15">
      <c r="D2290" s="1311" t="s">
        <v>1768</v>
      </c>
      <c r="E2290" s="1311"/>
      <c r="F2290" s="1311"/>
      <c r="G2290" s="1311"/>
      <c r="I2290" s="1311" t="s">
        <v>1769</v>
      </c>
      <c r="J2290" s="1311"/>
      <c r="K2290" s="1311"/>
      <c r="L2290" s="1311"/>
      <c r="M2290" s="1311"/>
      <c r="N2290" s="1311"/>
      <c r="O2290" s="1311"/>
    </row>
    <row r="2291" spans="1:15">
      <c r="D2291" s="360">
        <f>G2236+1</f>
        <v>45536</v>
      </c>
      <c r="G2291" s="360">
        <f>D2291+29</f>
        <v>45565</v>
      </c>
      <c r="I2291" s="360">
        <f>D2291</f>
        <v>45536</v>
      </c>
      <c r="O2291" s="360">
        <f>G2291</f>
        <v>45565</v>
      </c>
    </row>
    <row r="2292" spans="1:15">
      <c r="D2292" s="361" t="s">
        <v>1757</v>
      </c>
      <c r="G2292" s="361" t="s">
        <v>1757</v>
      </c>
      <c r="I2292" s="361" t="s">
        <v>1758</v>
      </c>
      <c r="J2292" s="361" t="s">
        <v>488</v>
      </c>
      <c r="L2292" s="361" t="s">
        <v>1758</v>
      </c>
      <c r="O2292" s="361" t="s">
        <v>1758</v>
      </c>
    </row>
    <row r="2293" spans="1:15">
      <c r="A2293" s="361" t="s">
        <v>1770</v>
      </c>
      <c r="B2293" s="361" t="s">
        <v>368</v>
      </c>
      <c r="C2293" s="361"/>
      <c r="D2293" s="361" t="s">
        <v>437</v>
      </c>
      <c r="G2293" s="361" t="s">
        <v>439</v>
      </c>
      <c r="I2293" s="361" t="s">
        <v>437</v>
      </c>
      <c r="J2293" s="361" t="s">
        <v>1771</v>
      </c>
      <c r="K2293" s="361" t="s">
        <v>1772</v>
      </c>
      <c r="L2293" s="361" t="s">
        <v>1759</v>
      </c>
      <c r="N2293" s="361" t="s">
        <v>1760</v>
      </c>
      <c r="O2293" s="361" t="s">
        <v>439</v>
      </c>
    </row>
    <row r="2294" spans="1:15">
      <c r="A2294" s="364" t="s">
        <v>316</v>
      </c>
      <c r="B2294" s="364" t="s">
        <v>316</v>
      </c>
      <c r="C2294" s="364" t="s">
        <v>451</v>
      </c>
      <c r="D2294" s="364" t="s">
        <v>441</v>
      </c>
      <c r="E2294" s="364" t="s">
        <v>442</v>
      </c>
      <c r="F2294" s="364" t="s">
        <v>443</v>
      </c>
      <c r="G2294" s="364" t="s">
        <v>441</v>
      </c>
      <c r="I2294" s="364" t="s">
        <v>441</v>
      </c>
      <c r="J2294" s="364" t="s">
        <v>1773</v>
      </c>
      <c r="K2294" s="364" t="s">
        <v>1771</v>
      </c>
      <c r="L2294" s="364" t="s">
        <v>355</v>
      </c>
      <c r="M2294" s="364" t="s">
        <v>443</v>
      </c>
      <c r="N2294" s="364" t="s">
        <v>1763</v>
      </c>
      <c r="O2294" s="364" t="s">
        <v>441</v>
      </c>
    </row>
    <row r="2295" spans="1:15">
      <c r="D2295" s="361" t="s">
        <v>532</v>
      </c>
      <c r="E2295" s="361" t="s">
        <v>541</v>
      </c>
      <c r="F2295" s="361" t="s">
        <v>542</v>
      </c>
      <c r="G2295" s="361" t="s">
        <v>1764</v>
      </c>
      <c r="I2295" s="334" t="str">
        <f>"(5)"</f>
        <v>(5)</v>
      </c>
      <c r="J2295" s="334" t="str">
        <f>"(6)"</f>
        <v>(6)</v>
      </c>
      <c r="K2295" s="334" t="str">
        <f>"(7)=((1+4)/2*6/12))"</f>
        <v>(7)=((1+4)/2*6/12))</v>
      </c>
      <c r="L2295" s="334" t="str">
        <f>"(8)"</f>
        <v>(8)</v>
      </c>
      <c r="M2295" s="334" t="str">
        <f>"(9)"</f>
        <v>(9)</v>
      </c>
      <c r="N2295" s="334" t="str">
        <f>"(10)"</f>
        <v>(10)</v>
      </c>
      <c r="O2295" s="334" t="str">
        <f>"(11=5+7+8+9+10)"</f>
        <v>(11=5+7+8+9+10)</v>
      </c>
    </row>
    <row r="2296" spans="1:15">
      <c r="D2296" s="361" t="s">
        <v>320</v>
      </c>
      <c r="E2296" s="361" t="s">
        <v>320</v>
      </c>
      <c r="F2296" s="361" t="s">
        <v>320</v>
      </c>
      <c r="G2296" s="361" t="s">
        <v>320</v>
      </c>
      <c r="I2296" s="334" t="s">
        <v>320</v>
      </c>
      <c r="J2296" s="334" t="s">
        <v>529</v>
      </c>
      <c r="K2296" s="334" t="s">
        <v>320</v>
      </c>
      <c r="L2296" s="334" t="s">
        <v>320</v>
      </c>
      <c r="M2296" s="334" t="s">
        <v>320</v>
      </c>
      <c r="N2296" s="334" t="s">
        <v>320</v>
      </c>
      <c r="O2296" s="334" t="s">
        <v>320</v>
      </c>
    </row>
    <row r="2297" spans="1:15">
      <c r="A2297" s="361">
        <v>1</v>
      </c>
      <c r="B2297" s="362" t="s">
        <v>373</v>
      </c>
      <c r="D2297" s="361"/>
      <c r="E2297" s="361"/>
      <c r="F2297" s="361"/>
      <c r="G2297" s="361"/>
      <c r="I2297" s="334"/>
      <c r="J2297" s="334"/>
      <c r="K2297" s="334"/>
      <c r="L2297" s="334"/>
      <c r="M2297" s="334"/>
      <c r="N2297" s="334"/>
      <c r="O2297" s="334"/>
    </row>
    <row r="2298" spans="1:15">
      <c r="A2298" s="361">
        <f>A2297+1</f>
        <v>2</v>
      </c>
      <c r="B2298" s="365">
        <v>301</v>
      </c>
      <c r="C2298" s="358" t="s">
        <v>374</v>
      </c>
      <c r="D2298" s="1243">
        <f t="shared" ref="D2298:D2303" si="413">G2184</f>
        <v>521.20000000000005</v>
      </c>
      <c r="E2298" s="1243">
        <v>0</v>
      </c>
      <c r="F2298" s="1243">
        <v>0</v>
      </c>
      <c r="G2298" s="1243">
        <f t="shared" ref="G2298:G2303" si="414">SUM(D2298:F2298)</f>
        <v>521.20000000000005</v>
      </c>
      <c r="H2298" s="1243"/>
      <c r="I2298" s="1243">
        <f t="shared" ref="I2298:I2303" si="415">O2184</f>
        <v>0</v>
      </c>
      <c r="J2298" s="375" t="str">
        <f>$J$1614</f>
        <v>Amort.</v>
      </c>
      <c r="K2298" s="1243">
        <v>0</v>
      </c>
      <c r="L2298" s="1243">
        <v>0</v>
      </c>
      <c r="M2298" s="1243">
        <f t="shared" ref="M2298:M2303" si="416">F2298</f>
        <v>0</v>
      </c>
      <c r="N2298" s="1243">
        <v>0</v>
      </c>
      <c r="O2298" s="1243">
        <f t="shared" ref="O2298:O2303" si="417">I2298+K2298+L2298+M2298+N2298</f>
        <v>0</v>
      </c>
    </row>
    <row r="2299" spans="1:15">
      <c r="A2299" s="361">
        <f t="shared" ref="A2299:A2304" si="418">A2298+1</f>
        <v>3</v>
      </c>
      <c r="B2299" s="365">
        <v>303</v>
      </c>
      <c r="C2299" s="358" t="s">
        <v>375</v>
      </c>
      <c r="D2299" s="1243">
        <f t="shared" si="413"/>
        <v>96334.51</v>
      </c>
      <c r="E2299" s="1243">
        <v>0</v>
      </c>
      <c r="F2299" s="1243">
        <v>0</v>
      </c>
      <c r="G2299" s="1243">
        <f t="shared" si="414"/>
        <v>96334.51</v>
      </c>
      <c r="H2299" s="1243"/>
      <c r="I2299" s="1243">
        <f t="shared" si="415"/>
        <v>81003.152444444524</v>
      </c>
      <c r="J2299" s="375" t="str">
        <f>$J$1615</f>
        <v>Amort.</v>
      </c>
      <c r="K2299" s="1243">
        <f>+'WPB-2.1.E Intangibles'!M47</f>
        <v>267.59780555555557</v>
      </c>
      <c r="L2299" s="1243">
        <v>0</v>
      </c>
      <c r="M2299" s="1243">
        <f t="shared" si="416"/>
        <v>0</v>
      </c>
      <c r="N2299" s="1243">
        <v>0</v>
      </c>
      <c r="O2299" s="1243">
        <f t="shared" si="417"/>
        <v>81270.750250000085</v>
      </c>
    </row>
    <row r="2300" spans="1:15">
      <c r="A2300" s="361">
        <f t="shared" si="418"/>
        <v>4</v>
      </c>
      <c r="B2300" s="365">
        <v>303.10000000000002</v>
      </c>
      <c r="C2300" s="358" t="s">
        <v>376</v>
      </c>
      <c r="D2300" s="1243">
        <f t="shared" si="413"/>
        <v>943.27</v>
      </c>
      <c r="E2300" s="1243">
        <v>0</v>
      </c>
      <c r="F2300" s="1243">
        <v>0</v>
      </c>
      <c r="G2300" s="1243">
        <f t="shared" si="414"/>
        <v>943.27</v>
      </c>
      <c r="H2300" s="1243"/>
      <c r="I2300" s="1243">
        <f t="shared" si="415"/>
        <v>318.35000000000008</v>
      </c>
      <c r="J2300" s="375" t="str">
        <f>$J$1616</f>
        <v>Amort.</v>
      </c>
      <c r="K2300" s="1243">
        <v>0</v>
      </c>
      <c r="L2300" s="1243">
        <v>0</v>
      </c>
      <c r="M2300" s="1243">
        <f t="shared" si="416"/>
        <v>0</v>
      </c>
      <c r="N2300" s="1243">
        <v>0</v>
      </c>
      <c r="O2300" s="1243">
        <f t="shared" si="417"/>
        <v>318.35000000000008</v>
      </c>
    </row>
    <row r="2301" spans="1:15">
      <c r="A2301" s="361">
        <f t="shared" si="418"/>
        <v>5</v>
      </c>
      <c r="B2301" s="365">
        <v>303.2</v>
      </c>
      <c r="C2301" s="358" t="s">
        <v>377</v>
      </c>
      <c r="D2301" s="1243">
        <f t="shared" si="413"/>
        <v>0</v>
      </c>
      <c r="E2301" s="1243">
        <v>0</v>
      </c>
      <c r="F2301" s="1243">
        <v>0</v>
      </c>
      <c r="G2301" s="1243">
        <f t="shared" si="414"/>
        <v>0</v>
      </c>
      <c r="H2301" s="1243"/>
      <c r="I2301" s="1243">
        <f t="shared" si="415"/>
        <v>0</v>
      </c>
      <c r="J2301" s="375" t="str">
        <f>$J$1617</f>
        <v>Amort.</v>
      </c>
      <c r="K2301" s="1243">
        <v>0</v>
      </c>
      <c r="L2301" s="1243">
        <v>0</v>
      </c>
      <c r="M2301" s="1243">
        <f t="shared" si="416"/>
        <v>0</v>
      </c>
      <c r="N2301" s="1243">
        <v>0</v>
      </c>
      <c r="O2301" s="1243">
        <f t="shared" si="417"/>
        <v>0</v>
      </c>
    </row>
    <row r="2302" spans="1:15">
      <c r="A2302" s="361">
        <f t="shared" si="418"/>
        <v>6</v>
      </c>
      <c r="B2302" s="365">
        <v>303.3</v>
      </c>
      <c r="C2302" s="358" t="s">
        <v>378</v>
      </c>
      <c r="D2302" s="1243">
        <f t="shared" si="413"/>
        <v>12565749.710000003</v>
      </c>
      <c r="E2302" s="1243">
        <f>+'WPB-2.1.E Intangibles'!M17</f>
        <v>12791</v>
      </c>
      <c r="F2302" s="1243">
        <f>-'WPB-2.1.E Intangibles'!M35</f>
        <v>-11181.699999999999</v>
      </c>
      <c r="G2302" s="1243">
        <f t="shared" si="414"/>
        <v>12567359.010000004</v>
      </c>
      <c r="H2302" s="1243"/>
      <c r="I2302" s="1243">
        <f t="shared" si="415"/>
        <v>5525737.3903333377</v>
      </c>
      <c r="J2302" s="375" t="str">
        <f>$J$1618</f>
        <v>Amort.</v>
      </c>
      <c r="K2302" s="1243">
        <f>+'WPB-2.1.E Intangibles'!M48</f>
        <v>216036.93233333351</v>
      </c>
      <c r="L2302" s="1243">
        <v>0</v>
      </c>
      <c r="M2302" s="1243">
        <f t="shared" si="416"/>
        <v>-11181.699999999999</v>
      </c>
      <c r="N2302" s="1243">
        <v>0</v>
      </c>
      <c r="O2302" s="1243">
        <f t="shared" si="417"/>
        <v>5730592.6226666709</v>
      </c>
    </row>
    <row r="2303" spans="1:15">
      <c r="A2303" s="361">
        <f t="shared" si="418"/>
        <v>7</v>
      </c>
      <c r="B2303" s="365">
        <v>303.99</v>
      </c>
      <c r="C2303" s="358" t="s">
        <v>1129</v>
      </c>
      <c r="D2303" s="1244">
        <f t="shared" si="413"/>
        <v>2094590.3268103721</v>
      </c>
      <c r="E2303" s="1244">
        <f>+'WPB-2.1.E Intangibles'!M21</f>
        <v>1002.965519295847</v>
      </c>
      <c r="F2303" s="1244">
        <f>'WPB-2.1.E Intangibles'!M36</f>
        <v>0</v>
      </c>
      <c r="G2303" s="1244">
        <f t="shared" si="414"/>
        <v>2095593.2923296678</v>
      </c>
      <c r="H2303" s="1243"/>
      <c r="I2303" s="1244">
        <f t="shared" si="415"/>
        <v>1178903.003833588</v>
      </c>
      <c r="J2303" s="375" t="str">
        <f>$J$1619</f>
        <v>Amort.</v>
      </c>
      <c r="K2303" s="1244">
        <f>+'WPB-2.1.E Intangibles'!M49</f>
        <v>35427.689193748374</v>
      </c>
      <c r="L2303" s="1244">
        <v>0</v>
      </c>
      <c r="M2303" s="1244">
        <f t="shared" si="416"/>
        <v>0</v>
      </c>
      <c r="N2303" s="1244">
        <v>0</v>
      </c>
      <c r="O2303" s="1244">
        <f t="shared" si="417"/>
        <v>1214330.6930273364</v>
      </c>
    </row>
    <row r="2304" spans="1:15">
      <c r="A2304" s="361">
        <f t="shared" si="418"/>
        <v>8</v>
      </c>
      <c r="B2304" s="367"/>
      <c r="C2304" s="358" t="s">
        <v>379</v>
      </c>
      <c r="D2304" s="1243">
        <f>SUM(D2298:D2303)</f>
        <v>14758139.016810376</v>
      </c>
      <c r="E2304" s="1243">
        <f>SUM(E2298:E2303)</f>
        <v>13793.965519295847</v>
      </c>
      <c r="F2304" s="1243">
        <f>SUM(F2298:F2303)</f>
        <v>-11181.699999999999</v>
      </c>
      <c r="G2304" s="1243">
        <f>SUM(G2298:G2303)</f>
        <v>14760751.282329671</v>
      </c>
      <c r="H2304" s="1243"/>
      <c r="I2304" s="1243">
        <f>SUM(I2298:I2303)</f>
        <v>6785961.8966113701</v>
      </c>
      <c r="J2304" s="369"/>
      <c r="K2304" s="1243">
        <f>SUM(K2298:K2303)</f>
        <v>251732.21933263744</v>
      </c>
      <c r="L2304" s="1243">
        <f>SUM(L2298:L2303)</f>
        <v>0</v>
      </c>
      <c r="M2304" s="1243">
        <f>SUM(M2298:M2303)</f>
        <v>-11181.699999999999</v>
      </c>
      <c r="N2304" s="1243">
        <f>SUM(N2298:N2303)</f>
        <v>0</v>
      </c>
      <c r="O2304" s="1243">
        <f>SUM(O2298:O2303)</f>
        <v>7026512.4159440072</v>
      </c>
    </row>
    <row r="2305" spans="1:15">
      <c r="A2305" s="361"/>
      <c r="B2305" s="367"/>
      <c r="C2305" s="368"/>
      <c r="D2305" s="1243"/>
      <c r="E2305" s="1243"/>
      <c r="F2305" s="1243"/>
      <c r="G2305" s="1243"/>
      <c r="H2305" s="1243"/>
      <c r="I2305" s="1243"/>
      <c r="J2305" s="369"/>
      <c r="K2305" s="1243"/>
      <c r="L2305" s="1243"/>
      <c r="M2305" s="1243"/>
      <c r="N2305" s="1243"/>
      <c r="O2305" s="1243"/>
    </row>
    <row r="2306" spans="1:15">
      <c r="A2306" s="361">
        <f>A2304+1</f>
        <v>9</v>
      </c>
      <c r="B2306" s="362" t="s">
        <v>1600</v>
      </c>
      <c r="C2306" s="368"/>
      <c r="D2306" s="1243"/>
      <c r="E2306" s="1243"/>
      <c r="F2306" s="1243"/>
      <c r="G2306" s="1243"/>
      <c r="H2306" s="1243"/>
      <c r="I2306" s="1243"/>
      <c r="J2306" s="369"/>
      <c r="K2306" s="1243"/>
      <c r="L2306" s="1243"/>
      <c r="M2306" s="1243"/>
      <c r="N2306" s="1243"/>
      <c r="O2306" s="1243"/>
    </row>
    <row r="2307" spans="1:15">
      <c r="A2307" s="361">
        <f t="shared" ref="A2307:A2337" si="419">A2306+1</f>
        <v>10</v>
      </c>
      <c r="B2307" s="365">
        <v>374.1</v>
      </c>
      <c r="C2307" s="358" t="s">
        <v>382</v>
      </c>
      <c r="D2307" s="1243">
        <f t="shared" ref="D2307:D2336" si="420">G2193</f>
        <v>205.4</v>
      </c>
      <c r="E2307" s="1243">
        <f>+'INPUT - B Schedule PLANT'!DI15</f>
        <v>0</v>
      </c>
      <c r="F2307" s="1243">
        <f>+'INPUT - B Schedule PLANT'!DJ15</f>
        <v>0</v>
      </c>
      <c r="G2307" s="1243">
        <f>SUM(D2307:F2307)</f>
        <v>205.4</v>
      </c>
      <c r="H2307" s="1243"/>
      <c r="I2307" s="1243">
        <f t="shared" ref="I2307:I2336" si="421">O2193</f>
        <v>0</v>
      </c>
      <c r="J2307" s="375" t="str">
        <f>$J$1623</f>
        <v>Non-Dep.</v>
      </c>
      <c r="K2307" s="1243">
        <v>0</v>
      </c>
      <c r="L2307" s="1243">
        <v>0</v>
      </c>
      <c r="M2307" s="1243">
        <f t="shared" ref="M2307:M2336" si="422">F2307</f>
        <v>0</v>
      </c>
      <c r="N2307" s="1243">
        <v>0</v>
      </c>
      <c r="O2307" s="1243">
        <f t="shared" ref="O2307:O2336" si="423">I2307+K2307+L2307+M2307+N2307</f>
        <v>0</v>
      </c>
    </row>
    <row r="2308" spans="1:15">
      <c r="A2308" s="361">
        <f t="shared" si="419"/>
        <v>11</v>
      </c>
      <c r="B2308" s="365">
        <v>374.2</v>
      </c>
      <c r="C2308" s="358" t="s">
        <v>383</v>
      </c>
      <c r="D2308" s="1243">
        <f t="shared" si="420"/>
        <v>876986.66</v>
      </c>
      <c r="E2308" s="1243">
        <f>+'INPUT - B Schedule PLANT'!DI16</f>
        <v>0</v>
      </c>
      <c r="F2308" s="1243">
        <f>+'INPUT - B Schedule PLANT'!DJ16</f>
        <v>0</v>
      </c>
      <c r="G2308" s="1243">
        <f t="shared" ref="G2308:G2336" si="424">SUM(D2308:F2308)</f>
        <v>876986.66</v>
      </c>
      <c r="H2308" s="1243"/>
      <c r="I2308" s="1243">
        <f t="shared" si="421"/>
        <v>-522.25</v>
      </c>
      <c r="J2308" s="375" t="str">
        <f>$J$1624</f>
        <v>Non-Dep.</v>
      </c>
      <c r="K2308" s="1243">
        <v>0</v>
      </c>
      <c r="L2308" s="1243">
        <v>0</v>
      </c>
      <c r="M2308" s="1243">
        <f t="shared" si="422"/>
        <v>0</v>
      </c>
      <c r="N2308" s="1243">
        <v>0</v>
      </c>
      <c r="O2308" s="1243">
        <f t="shared" si="423"/>
        <v>-522.25</v>
      </c>
    </row>
    <row r="2309" spans="1:15">
      <c r="A2309" s="361">
        <f t="shared" si="419"/>
        <v>12</v>
      </c>
      <c r="B2309" s="365">
        <v>374.4</v>
      </c>
      <c r="C2309" s="358" t="s">
        <v>384</v>
      </c>
      <c r="D2309" s="1243">
        <f t="shared" si="420"/>
        <v>3105701.2200000007</v>
      </c>
      <c r="E2309" s="1243">
        <f>+'INPUT - B Schedule PLANT'!DI17</f>
        <v>3645.69</v>
      </c>
      <c r="F2309" s="1243">
        <f>+'INPUT - B Schedule PLANT'!DJ17</f>
        <v>0</v>
      </c>
      <c r="G2309" s="1243">
        <f t="shared" si="424"/>
        <v>3109346.9100000006</v>
      </c>
      <c r="H2309" s="1243"/>
      <c r="I2309" s="1243">
        <f t="shared" si="421"/>
        <v>386659.59</v>
      </c>
      <c r="J2309" s="376">
        <f>$J$1625</f>
        <v>1.2699999999999999E-2</v>
      </c>
      <c r="K2309" s="1243">
        <f t="shared" ref="K2309:K2315" si="425">ROUND((G2309+D2309)/2*J2309/12,0)</f>
        <v>3289</v>
      </c>
      <c r="L2309" s="1243">
        <v>0</v>
      </c>
      <c r="M2309" s="1243">
        <f t="shared" si="422"/>
        <v>0</v>
      </c>
      <c r="N2309" s="1243">
        <v>0</v>
      </c>
      <c r="O2309" s="1243">
        <f t="shared" si="423"/>
        <v>389948.59</v>
      </c>
    </row>
    <row r="2310" spans="1:15">
      <c r="A2310" s="361">
        <f t="shared" si="419"/>
        <v>13</v>
      </c>
      <c r="B2310" s="365">
        <v>374.5</v>
      </c>
      <c r="C2310" s="358" t="s">
        <v>385</v>
      </c>
      <c r="D2310" s="1243">
        <f t="shared" si="420"/>
        <v>2666577.16</v>
      </c>
      <c r="E2310" s="1243">
        <f>+'INPUT - B Schedule PLANT'!DI18</f>
        <v>0</v>
      </c>
      <c r="F2310" s="1243">
        <f>+'INPUT - B Schedule PLANT'!DJ18</f>
        <v>0</v>
      </c>
      <c r="G2310" s="1243">
        <f t="shared" si="424"/>
        <v>2666577.16</v>
      </c>
      <c r="H2310" s="1243"/>
      <c r="I2310" s="1243">
        <f t="shared" si="421"/>
        <v>1175852.1900000013</v>
      </c>
      <c r="J2310" s="376">
        <f>$J$1626</f>
        <v>1.0999999999999999E-2</v>
      </c>
      <c r="K2310" s="1243">
        <f t="shared" si="425"/>
        <v>2444</v>
      </c>
      <c r="L2310" s="1243">
        <v>0</v>
      </c>
      <c r="M2310" s="1243">
        <f t="shared" si="422"/>
        <v>0</v>
      </c>
      <c r="N2310" s="1243">
        <v>0</v>
      </c>
      <c r="O2310" s="1243">
        <f t="shared" si="423"/>
        <v>1178296.1900000013</v>
      </c>
    </row>
    <row r="2311" spans="1:15">
      <c r="A2311" s="361">
        <f t="shared" si="419"/>
        <v>14</v>
      </c>
      <c r="B2311" s="365">
        <v>375.2</v>
      </c>
      <c r="C2311" s="358" t="s">
        <v>386</v>
      </c>
      <c r="D2311" s="1243">
        <f t="shared" si="420"/>
        <v>2124.98</v>
      </c>
      <c r="E2311" s="1243">
        <f>+'INPUT - B Schedule PLANT'!DI19</f>
        <v>0</v>
      </c>
      <c r="F2311" s="1243">
        <f>+'INPUT - B Schedule PLANT'!DJ19</f>
        <v>0</v>
      </c>
      <c r="G2311" s="1243">
        <f t="shared" si="424"/>
        <v>2124.98</v>
      </c>
      <c r="H2311" s="1243"/>
      <c r="I2311" s="1243">
        <f t="shared" si="421"/>
        <v>2087.3000000000002</v>
      </c>
      <c r="J2311" s="376">
        <f>$J$1627</f>
        <v>2.3199999999999998E-2</v>
      </c>
      <c r="K2311" s="1243">
        <f t="shared" si="425"/>
        <v>4</v>
      </c>
      <c r="L2311" s="1243">
        <v>0</v>
      </c>
      <c r="M2311" s="1243">
        <f t="shared" si="422"/>
        <v>0</v>
      </c>
      <c r="N2311" s="1243">
        <v>0</v>
      </c>
      <c r="O2311" s="1243">
        <f t="shared" si="423"/>
        <v>2091.3000000000002</v>
      </c>
    </row>
    <row r="2312" spans="1:15">
      <c r="A2312" s="361">
        <f t="shared" si="419"/>
        <v>15</v>
      </c>
      <c r="B2312" s="365">
        <v>375.3</v>
      </c>
      <c r="C2312" s="358" t="s">
        <v>387</v>
      </c>
      <c r="D2312" s="1243">
        <f t="shared" si="420"/>
        <v>0</v>
      </c>
      <c r="E2312" s="1243">
        <f>+'INPUT - B Schedule PLANT'!DI20</f>
        <v>0</v>
      </c>
      <c r="F2312" s="1243">
        <f>+'INPUT - B Schedule PLANT'!DJ20</f>
        <v>0</v>
      </c>
      <c r="G2312" s="1243">
        <f t="shared" si="424"/>
        <v>0</v>
      </c>
      <c r="H2312" s="1243"/>
      <c r="I2312" s="1243">
        <f t="shared" si="421"/>
        <v>-77.66</v>
      </c>
      <c r="J2312" s="376">
        <f>$J$1628</f>
        <v>2.3199999999999998E-2</v>
      </c>
      <c r="K2312" s="1243">
        <f t="shared" si="425"/>
        <v>0</v>
      </c>
      <c r="L2312" s="1243">
        <v>0</v>
      </c>
      <c r="M2312" s="1243">
        <f t="shared" si="422"/>
        <v>0</v>
      </c>
      <c r="N2312" s="1243">
        <v>0</v>
      </c>
      <c r="O2312" s="1243">
        <f t="shared" si="423"/>
        <v>-77.66</v>
      </c>
    </row>
    <row r="2313" spans="1:15">
      <c r="A2313" s="361">
        <f t="shared" si="419"/>
        <v>16</v>
      </c>
      <c r="B2313" s="365">
        <v>375.4</v>
      </c>
      <c r="C2313" s="358" t="s">
        <v>388</v>
      </c>
      <c r="D2313" s="1243">
        <f t="shared" si="420"/>
        <v>3310648.2599999988</v>
      </c>
      <c r="E2313" s="1243">
        <f>+'INPUT - B Schedule PLANT'!DI21</f>
        <v>62292.28</v>
      </c>
      <c r="F2313" s="1243">
        <f>+'INPUT - B Schedule PLANT'!DJ21</f>
        <v>-2216.88</v>
      </c>
      <c r="G2313" s="1243">
        <f t="shared" si="424"/>
        <v>3370723.6599999988</v>
      </c>
      <c r="H2313" s="1243"/>
      <c r="I2313" s="1243">
        <f t="shared" si="421"/>
        <v>481296.76000000013</v>
      </c>
      <c r="J2313" s="376">
        <f>$J$1629</f>
        <v>2.3199999999999998E-2</v>
      </c>
      <c r="K2313" s="1243">
        <f t="shared" si="425"/>
        <v>6459</v>
      </c>
      <c r="L2313" s="1243">
        <v>0</v>
      </c>
      <c r="M2313" s="1243">
        <f t="shared" si="422"/>
        <v>-2216.88</v>
      </c>
      <c r="N2313" s="1243">
        <v>0</v>
      </c>
      <c r="O2313" s="1243">
        <f t="shared" si="423"/>
        <v>485538.88000000012</v>
      </c>
    </row>
    <row r="2314" spans="1:15">
      <c r="A2314" s="361">
        <f t="shared" si="419"/>
        <v>17</v>
      </c>
      <c r="B2314" s="365">
        <v>375.6</v>
      </c>
      <c r="C2314" s="358" t="s">
        <v>389</v>
      </c>
      <c r="D2314" s="1243">
        <f t="shared" si="420"/>
        <v>0</v>
      </c>
      <c r="E2314" s="1243">
        <f>+'INPUT - B Schedule PLANT'!DI22</f>
        <v>0</v>
      </c>
      <c r="F2314" s="1243">
        <f>+'INPUT - B Schedule PLANT'!DJ22</f>
        <v>0</v>
      </c>
      <c r="G2314" s="1243">
        <f t="shared" si="424"/>
        <v>0</v>
      </c>
      <c r="H2314" s="1243"/>
      <c r="I2314" s="1243">
        <f t="shared" si="421"/>
        <v>0.02</v>
      </c>
      <c r="J2314" s="376">
        <f>$J$1630</f>
        <v>2.3199999999999998E-2</v>
      </c>
      <c r="K2314" s="1243">
        <f t="shared" si="425"/>
        <v>0</v>
      </c>
      <c r="L2314" s="1243">
        <v>0</v>
      </c>
      <c r="M2314" s="1243">
        <f t="shared" si="422"/>
        <v>0</v>
      </c>
      <c r="N2314" s="1243">
        <v>0</v>
      </c>
      <c r="O2314" s="1243">
        <f t="shared" si="423"/>
        <v>0.02</v>
      </c>
    </row>
    <row r="2315" spans="1:15">
      <c r="A2315" s="361">
        <f t="shared" si="419"/>
        <v>18</v>
      </c>
      <c r="B2315" s="365">
        <v>375.7</v>
      </c>
      <c r="C2315" s="358" t="s">
        <v>390</v>
      </c>
      <c r="D2315" s="1243">
        <f t="shared" si="420"/>
        <v>9653355.5099999998</v>
      </c>
      <c r="E2315" s="1243">
        <f>+'INPUT - B Schedule PLANT'!DI23</f>
        <v>19478.59</v>
      </c>
      <c r="F2315" s="1243">
        <f>+'INPUT - B Schedule PLANT'!DJ23</f>
        <v>0</v>
      </c>
      <c r="G2315" s="1243">
        <f t="shared" si="424"/>
        <v>9672834.0999999996</v>
      </c>
      <c r="H2315" s="1243"/>
      <c r="I2315" s="1243">
        <f t="shared" si="421"/>
        <v>4837386.6999999983</v>
      </c>
      <c r="J2315" s="376">
        <f>$J$1631</f>
        <v>2.3199999999999998E-2</v>
      </c>
      <c r="K2315" s="1243">
        <f t="shared" si="425"/>
        <v>18682</v>
      </c>
      <c r="L2315" s="1243">
        <v>0</v>
      </c>
      <c r="M2315" s="1243">
        <f t="shared" si="422"/>
        <v>0</v>
      </c>
      <c r="N2315" s="1243">
        <v>0</v>
      </c>
      <c r="O2315" s="1243">
        <f t="shared" si="423"/>
        <v>4856068.6999999983</v>
      </c>
    </row>
    <row r="2316" spans="1:15">
      <c r="A2316" s="361">
        <f t="shared" si="419"/>
        <v>19</v>
      </c>
      <c r="B2316" s="365">
        <v>375.71</v>
      </c>
      <c r="C2316" s="358" t="s">
        <v>391</v>
      </c>
      <c r="D2316" s="1243">
        <f t="shared" si="420"/>
        <v>880994.59</v>
      </c>
      <c r="E2316" s="1243">
        <f>+'INPUT - B Schedule PLANT'!DI24</f>
        <v>0</v>
      </c>
      <c r="F2316" s="1243">
        <f>+'INPUT - B Schedule PLANT'!DJ24</f>
        <v>0</v>
      </c>
      <c r="G2316" s="1243">
        <f t="shared" si="424"/>
        <v>880994.59</v>
      </c>
      <c r="H2316" s="1243"/>
      <c r="I2316" s="1243">
        <f t="shared" si="421"/>
        <v>796911.44000000064</v>
      </c>
      <c r="J2316" s="375" t="str">
        <f>$J$1632</f>
        <v>Amort.</v>
      </c>
      <c r="K2316" s="1243">
        <f>$K$1290</f>
        <v>4743.54</v>
      </c>
      <c r="L2316" s="1243">
        <v>0</v>
      </c>
      <c r="M2316" s="1243">
        <f t="shared" si="422"/>
        <v>0</v>
      </c>
      <c r="N2316" s="1243">
        <v>0</v>
      </c>
      <c r="O2316" s="1243">
        <f t="shared" si="423"/>
        <v>801654.98000000068</v>
      </c>
    </row>
    <row r="2317" spans="1:15">
      <c r="A2317" s="361">
        <f t="shared" si="419"/>
        <v>20</v>
      </c>
      <c r="B2317" s="365">
        <v>375.8</v>
      </c>
      <c r="C2317" s="358" t="s">
        <v>392</v>
      </c>
      <c r="D2317" s="1243">
        <f t="shared" si="420"/>
        <v>132125.04</v>
      </c>
      <c r="E2317" s="1243">
        <f>+'INPUT - B Schedule PLANT'!DI25</f>
        <v>0</v>
      </c>
      <c r="F2317" s="1243">
        <f>+'INPUT - B Schedule PLANT'!DJ25</f>
        <v>0</v>
      </c>
      <c r="G2317" s="1243">
        <f t="shared" si="424"/>
        <v>132125.04</v>
      </c>
      <c r="H2317" s="1243"/>
      <c r="I2317" s="1243">
        <f t="shared" si="421"/>
        <v>13528.43</v>
      </c>
      <c r="J2317" s="376">
        <f>$J$1633</f>
        <v>2.3199999999999998E-2</v>
      </c>
      <c r="K2317" s="1243">
        <f t="shared" ref="K2317:K2336" si="426">ROUND((G2317+D2317)/2*J2317/12,0)</f>
        <v>255</v>
      </c>
      <c r="L2317" s="1243">
        <v>0</v>
      </c>
      <c r="M2317" s="1243">
        <f t="shared" si="422"/>
        <v>0</v>
      </c>
      <c r="N2317" s="1243">
        <v>0</v>
      </c>
      <c r="O2317" s="1243">
        <f t="shared" si="423"/>
        <v>13783.43</v>
      </c>
    </row>
    <row r="2318" spans="1:15">
      <c r="A2318" s="361">
        <f t="shared" si="419"/>
        <v>21</v>
      </c>
      <c r="B2318" s="365">
        <v>376</v>
      </c>
      <c r="C2318" s="358" t="s">
        <v>1621</v>
      </c>
      <c r="D2318" s="1243">
        <f t="shared" si="420"/>
        <v>415609477.43140608</v>
      </c>
      <c r="E2318" s="1243">
        <f>'WPB-2.1.D SMRP'!E947</f>
        <v>1182626.4555979986</v>
      </c>
      <c r="F2318" s="1243">
        <f>'WPB-2.1.D SMRP'!F947</f>
        <v>-63501.83</v>
      </c>
      <c r="G2318" s="1243">
        <f t="shared" si="424"/>
        <v>416728602.05700409</v>
      </c>
      <c r="H2318" s="1243"/>
      <c r="I2318" s="1243">
        <f t="shared" si="421"/>
        <v>84078390.441462323</v>
      </c>
      <c r="J2318" s="376">
        <f>$J$1634</f>
        <v>1.7399999999999999E-2</v>
      </c>
      <c r="K2318" s="1243">
        <f>'WPB-2.1.D SMRP'!K947</f>
        <v>603445.18700000003</v>
      </c>
      <c r="L2318" s="1243">
        <v>0</v>
      </c>
      <c r="M2318" s="1243">
        <f>F2318</f>
        <v>-63501.83</v>
      </c>
      <c r="N2318" s="1243">
        <f>'WPB-2.1.D SMRP'!N947</f>
        <v>-16963.057681174643</v>
      </c>
      <c r="O2318" s="1243">
        <f t="shared" si="423"/>
        <v>84601370.740781158</v>
      </c>
    </row>
    <row r="2319" spans="1:15">
      <c r="A2319" s="361">
        <f t="shared" si="419"/>
        <v>22</v>
      </c>
      <c r="B2319" s="365">
        <v>378.1</v>
      </c>
      <c r="C2319" s="358" t="s">
        <v>394</v>
      </c>
      <c r="D2319" s="1243">
        <f t="shared" si="420"/>
        <v>126600.13999999998</v>
      </c>
      <c r="E2319" s="1243">
        <f>+'INPUT - B Schedule PLANT'!DI27</f>
        <v>0</v>
      </c>
      <c r="F2319" s="1243">
        <f>+'INPUT - B Schedule PLANT'!DJ27</f>
        <v>0</v>
      </c>
      <c r="G2319" s="1243">
        <f t="shared" si="424"/>
        <v>126600.13999999998</v>
      </c>
      <c r="H2319" s="1243"/>
      <c r="I2319" s="1243">
        <f t="shared" si="421"/>
        <v>-28868.130000000077</v>
      </c>
      <c r="J2319" s="376">
        <f>$J$1635</f>
        <v>2.52E-2</v>
      </c>
      <c r="K2319" s="1243">
        <f t="shared" si="426"/>
        <v>266</v>
      </c>
      <c r="L2319" s="1243">
        <v>0</v>
      </c>
      <c r="M2319" s="1243">
        <f t="shared" si="422"/>
        <v>0</v>
      </c>
      <c r="N2319" s="1243">
        <v>0</v>
      </c>
      <c r="O2319" s="1243">
        <f t="shared" si="423"/>
        <v>-28602.130000000077</v>
      </c>
    </row>
    <row r="2320" spans="1:15">
      <c r="A2320" s="361">
        <f t="shared" si="419"/>
        <v>23</v>
      </c>
      <c r="B2320" s="365">
        <v>378.2</v>
      </c>
      <c r="C2320" s="358" t="s">
        <v>1622</v>
      </c>
      <c r="D2320" s="1243">
        <f t="shared" si="420"/>
        <v>27404157.581906334</v>
      </c>
      <c r="E2320" s="1243">
        <f>'WPB-2.1.D SMRP'!E951</f>
        <v>113814.15378506746</v>
      </c>
      <c r="F2320" s="1243">
        <f>'WPB-2.1.D SMRP'!F951</f>
        <v>-1.4353164151543751E-3</v>
      </c>
      <c r="G2320" s="1243">
        <f t="shared" si="424"/>
        <v>27517971.734256085</v>
      </c>
      <c r="H2320" s="1243"/>
      <c r="I2320" s="1243">
        <f t="shared" si="421"/>
        <v>3515562.3850249317</v>
      </c>
      <c r="J2320" s="376">
        <f>$J$1636</f>
        <v>2.52E-2</v>
      </c>
      <c r="K2320" s="1243">
        <f>'WPB-2.1.D SMRP'!K951</f>
        <v>57668.675000000003</v>
      </c>
      <c r="L2320" s="1243">
        <v>0</v>
      </c>
      <c r="M2320" s="1243">
        <f>F2320</f>
        <v>-1.4353164151543751E-3</v>
      </c>
      <c r="N2320" s="1243">
        <f>'WPB-2.1.D SMRP'!N951</f>
        <v>44489.674405808561</v>
      </c>
      <c r="O2320" s="1243">
        <f t="shared" si="423"/>
        <v>3617720.7329954235</v>
      </c>
    </row>
    <row r="2321" spans="1:15">
      <c r="A2321" s="361">
        <f t="shared" si="419"/>
        <v>24</v>
      </c>
      <c r="B2321" s="365">
        <v>378.3</v>
      </c>
      <c r="C2321" s="358" t="s">
        <v>396</v>
      </c>
      <c r="D2321" s="1243">
        <f t="shared" si="420"/>
        <v>45443.08</v>
      </c>
      <c r="E2321" s="1243">
        <f>+'INPUT - B Schedule PLANT'!DI29</f>
        <v>0</v>
      </c>
      <c r="F2321" s="1243">
        <f>+'INPUT - B Schedule PLANT'!DJ29</f>
        <v>0</v>
      </c>
      <c r="G2321" s="1243">
        <f t="shared" si="424"/>
        <v>45443.08</v>
      </c>
      <c r="H2321" s="1243"/>
      <c r="I2321" s="1243">
        <f t="shared" si="421"/>
        <v>43928.320000000007</v>
      </c>
      <c r="J2321" s="376">
        <f>$J$1637</f>
        <v>2.52E-2</v>
      </c>
      <c r="K2321" s="1243">
        <f t="shared" si="426"/>
        <v>95</v>
      </c>
      <c r="L2321" s="1243">
        <v>0</v>
      </c>
      <c r="M2321" s="1243">
        <f t="shared" si="422"/>
        <v>0</v>
      </c>
      <c r="N2321" s="1243">
        <v>0</v>
      </c>
      <c r="O2321" s="1243">
        <f t="shared" si="423"/>
        <v>44023.320000000007</v>
      </c>
    </row>
    <row r="2322" spans="1:15">
      <c r="A2322" s="361">
        <f t="shared" si="419"/>
        <v>25</v>
      </c>
      <c r="B2322" s="365">
        <v>379.1</v>
      </c>
      <c r="C2322" s="358" t="s">
        <v>397</v>
      </c>
      <c r="D2322" s="1243">
        <f t="shared" si="420"/>
        <v>1554144.06</v>
      </c>
      <c r="E2322" s="1243">
        <f>+'INPUT - B Schedule PLANT'!DI30</f>
        <v>0</v>
      </c>
      <c r="F2322" s="1243">
        <f>+'INPUT - B Schedule PLANT'!DJ30</f>
        <v>0</v>
      </c>
      <c r="G2322" s="1243">
        <f t="shared" si="424"/>
        <v>1554144.06</v>
      </c>
      <c r="H2322" s="1243"/>
      <c r="I2322" s="1243">
        <f t="shared" si="421"/>
        <v>376457.19000000006</v>
      </c>
      <c r="J2322" s="376">
        <f>$J$1638</f>
        <v>2.4199999999999999E-2</v>
      </c>
      <c r="K2322" s="1243">
        <f t="shared" si="426"/>
        <v>3134</v>
      </c>
      <c r="L2322" s="1243">
        <v>0</v>
      </c>
      <c r="M2322" s="1243">
        <f t="shared" si="422"/>
        <v>0</v>
      </c>
      <c r="N2322" s="1243">
        <v>0</v>
      </c>
      <c r="O2322" s="1243">
        <f t="shared" si="423"/>
        <v>379591.19000000006</v>
      </c>
    </row>
    <row r="2323" spans="1:15">
      <c r="A2323" s="361">
        <f t="shared" si="419"/>
        <v>26</v>
      </c>
      <c r="B2323" s="365">
        <v>380</v>
      </c>
      <c r="C2323" s="358" t="s">
        <v>1623</v>
      </c>
      <c r="D2323" s="1243">
        <f t="shared" si="420"/>
        <v>203858319.938647</v>
      </c>
      <c r="E2323" s="1243">
        <f>'WPB-2.1.D SMRP'!E955</f>
        <v>115196.51000000001</v>
      </c>
      <c r="F2323" s="1243">
        <f>'WPB-2.1.D SMRP'!F955</f>
        <v>-71471.097387489106</v>
      </c>
      <c r="G2323" s="1243">
        <f t="shared" si="424"/>
        <v>203902045.3512595</v>
      </c>
      <c r="H2323" s="1243"/>
      <c r="I2323" s="1243">
        <f t="shared" si="421"/>
        <v>64154204.64260383</v>
      </c>
      <c r="J2323" s="376">
        <f>$J$1639</f>
        <v>3.9800000000000002E-2</v>
      </c>
      <c r="K2323" s="1243">
        <f>'WPB-2.1.D SMRP'!K955</f>
        <v>676203.24699999997</v>
      </c>
      <c r="L2323" s="1243">
        <v>0</v>
      </c>
      <c r="M2323" s="1243">
        <f>F2323</f>
        <v>-71471.097387489106</v>
      </c>
      <c r="N2323" s="1243">
        <f>'WPB-2.1.D SMRP'!N955</f>
        <v>-1.0186050494667143E-3</v>
      </c>
      <c r="O2323" s="1243">
        <f t="shared" si="423"/>
        <v>64758936.791197732</v>
      </c>
    </row>
    <row r="2324" spans="1:15">
      <c r="A2324" s="361">
        <f t="shared" si="419"/>
        <v>27</v>
      </c>
      <c r="B2324" s="365">
        <v>381</v>
      </c>
      <c r="C2324" s="358" t="s">
        <v>399</v>
      </c>
      <c r="D2324" s="1243">
        <f t="shared" si="420"/>
        <v>19637901.430000007</v>
      </c>
      <c r="E2324" s="1243">
        <f>+'INPUT - B Schedule PLANT'!DI32</f>
        <v>61871.56</v>
      </c>
      <c r="F2324" s="1243">
        <f>+'INPUT - B Schedule PLANT'!DJ32</f>
        <v>-34559.61</v>
      </c>
      <c r="G2324" s="1243">
        <f t="shared" si="424"/>
        <v>19665213.380000006</v>
      </c>
      <c r="H2324" s="1243"/>
      <c r="I2324" s="1243">
        <f t="shared" si="421"/>
        <v>1839859.4499999995</v>
      </c>
      <c r="J2324" s="376">
        <f>$J$1640</f>
        <v>2.6499999999999999E-2</v>
      </c>
      <c r="K2324" s="1243">
        <f t="shared" si="426"/>
        <v>43397</v>
      </c>
      <c r="L2324" s="1243">
        <v>0</v>
      </c>
      <c r="M2324" s="1243">
        <f t="shared" si="422"/>
        <v>-34559.61</v>
      </c>
      <c r="N2324" s="1243">
        <v>-1483.2200000000003</v>
      </c>
      <c r="O2324" s="1243">
        <f t="shared" si="423"/>
        <v>1847213.6199999994</v>
      </c>
    </row>
    <row r="2325" spans="1:15">
      <c r="A2325" s="361">
        <f t="shared" si="419"/>
        <v>28</v>
      </c>
      <c r="B2325" s="365">
        <v>381.1</v>
      </c>
      <c r="C2325" s="358" t="s">
        <v>2366</v>
      </c>
      <c r="D2325" s="1243">
        <f t="shared" si="420"/>
        <v>9980854.4800000004</v>
      </c>
      <c r="E2325" s="1243">
        <f>+'INPUT - B Schedule PLANT'!DI33</f>
        <v>0</v>
      </c>
      <c r="F2325" s="1243">
        <f>+'INPUT - B Schedule PLANT'!DJ33</f>
        <v>0</v>
      </c>
      <c r="G2325" s="1243">
        <f t="shared" si="424"/>
        <v>9980854.4800000004</v>
      </c>
      <c r="H2325" s="1243"/>
      <c r="I2325" s="1243">
        <f t="shared" si="421"/>
        <v>5858811.0300000031</v>
      </c>
      <c r="J2325" s="376">
        <f>$J$1641</f>
        <v>7.4800000000000005E-2</v>
      </c>
      <c r="K2325" s="1243">
        <f t="shared" si="426"/>
        <v>62214</v>
      </c>
      <c r="L2325" s="1243">
        <v>0</v>
      </c>
      <c r="M2325" s="1243">
        <f t="shared" si="422"/>
        <v>0</v>
      </c>
      <c r="N2325" s="1243">
        <v>0</v>
      </c>
      <c r="O2325" s="1243">
        <f t="shared" si="423"/>
        <v>5921025.0300000031</v>
      </c>
    </row>
    <row r="2326" spans="1:15">
      <c r="A2326" s="361">
        <f t="shared" si="419"/>
        <v>29</v>
      </c>
      <c r="B2326" s="365">
        <v>382</v>
      </c>
      <c r="C2326" s="358" t="s">
        <v>1624</v>
      </c>
      <c r="D2326" s="1243">
        <f t="shared" si="420"/>
        <v>10605504.892643822</v>
      </c>
      <c r="E2326" s="1243">
        <f>'WPB-2.1.D SMRP'!E959</f>
        <v>22561.460000000003</v>
      </c>
      <c r="F2326" s="1243">
        <f>'WPB-2.1.D SMRP'!F959</f>
        <v>-1473.3578133240035</v>
      </c>
      <c r="G2326" s="1243">
        <f t="shared" si="424"/>
        <v>10626592.994830498</v>
      </c>
      <c r="H2326" s="1243"/>
      <c r="I2326" s="1243">
        <f t="shared" si="421"/>
        <v>5958251.203643823</v>
      </c>
      <c r="J2326" s="376">
        <f>$J$1642</f>
        <v>1.77E-2</v>
      </c>
      <c r="K2326" s="1243">
        <f>'WPB-2.1.D SMRP'!K959</f>
        <v>15658.296</v>
      </c>
      <c r="L2326" s="1243">
        <v>0</v>
      </c>
      <c r="M2326" s="1243">
        <f t="shared" si="422"/>
        <v>-1473.3578133240035</v>
      </c>
      <c r="N2326" s="1243">
        <f>'WPB-2.1.D SMRP'!N959</f>
        <v>0</v>
      </c>
      <c r="O2326" s="1243">
        <f t="shared" si="423"/>
        <v>5972436.1418304993</v>
      </c>
    </row>
    <row r="2327" spans="1:15">
      <c r="A2327" s="361">
        <f t="shared" si="419"/>
        <v>30</v>
      </c>
      <c r="B2327" s="365">
        <v>383</v>
      </c>
      <c r="C2327" s="358" t="s">
        <v>1625</v>
      </c>
      <c r="D2327" s="1243">
        <f t="shared" si="420"/>
        <v>7467481.8413111707</v>
      </c>
      <c r="E2327" s="1243">
        <f>'WPB-2.1.D SMRP'!E963</f>
        <v>29287.064692250307</v>
      </c>
      <c r="F2327" s="1243">
        <f>'WPB-2.1.D SMRP'!F963</f>
        <v>-535.7925783530568</v>
      </c>
      <c r="G2327" s="1243">
        <f t="shared" si="424"/>
        <v>7496233.1134250686</v>
      </c>
      <c r="H2327" s="1243"/>
      <c r="I2327" s="1243">
        <f t="shared" si="421"/>
        <v>2579243.597528928</v>
      </c>
      <c r="J2327" s="376">
        <f>$J$1643</f>
        <v>1.9400000000000001E-2</v>
      </c>
      <c r="K2327" s="1243">
        <f>'WPB-2.1.D SMRP'!K963</f>
        <v>12095.454</v>
      </c>
      <c r="L2327" s="1243">
        <v>0</v>
      </c>
      <c r="M2327" s="1243">
        <f t="shared" si="422"/>
        <v>-535.7925783530568</v>
      </c>
      <c r="N2327" s="1243">
        <f>'WPB-2.1.D SMRP'!N963</f>
        <v>0</v>
      </c>
      <c r="O2327" s="1243">
        <f t="shared" si="423"/>
        <v>2590803.2589505748</v>
      </c>
    </row>
    <row r="2328" spans="1:15">
      <c r="A2328" s="361">
        <f t="shared" si="419"/>
        <v>31</v>
      </c>
      <c r="B2328" s="365">
        <v>384</v>
      </c>
      <c r="C2328" s="358" t="s">
        <v>402</v>
      </c>
      <c r="D2328" s="1243">
        <f t="shared" si="420"/>
        <v>2085164.5799999998</v>
      </c>
      <c r="E2328" s="1243">
        <f>+'INPUT - B Schedule PLANT'!DI36</f>
        <v>13.26</v>
      </c>
      <c r="F2328" s="1243">
        <f>+'INPUT - B Schedule PLANT'!DJ36</f>
        <v>0</v>
      </c>
      <c r="G2328" s="1243">
        <f t="shared" si="424"/>
        <v>2085177.8399999999</v>
      </c>
      <c r="H2328" s="1243"/>
      <c r="I2328" s="1243">
        <f t="shared" si="421"/>
        <v>1742082.0399999991</v>
      </c>
      <c r="J2328" s="376">
        <f>$J$1644</f>
        <v>9.9000000000000008E-3</v>
      </c>
      <c r="K2328" s="1243">
        <f t="shared" si="426"/>
        <v>1720</v>
      </c>
      <c r="L2328" s="1243">
        <v>0</v>
      </c>
      <c r="M2328" s="1243">
        <f t="shared" si="422"/>
        <v>0</v>
      </c>
      <c r="N2328" s="1243">
        <v>0</v>
      </c>
      <c r="O2328" s="1243">
        <f t="shared" si="423"/>
        <v>1743802.0399999991</v>
      </c>
    </row>
    <row r="2329" spans="1:15">
      <c r="A2329" s="361">
        <f t="shared" si="419"/>
        <v>32</v>
      </c>
      <c r="B2329" s="365">
        <v>385</v>
      </c>
      <c r="C2329" s="358" t="s">
        <v>403</v>
      </c>
      <c r="D2329" s="1243">
        <f t="shared" si="420"/>
        <v>6204468.29</v>
      </c>
      <c r="E2329" s="1243">
        <f>+'INPUT - B Schedule PLANT'!DI37</f>
        <v>6164.91</v>
      </c>
      <c r="F2329" s="1243">
        <f>+'INPUT - B Schedule PLANT'!DJ37</f>
        <v>-3267.33</v>
      </c>
      <c r="G2329" s="1243">
        <f t="shared" si="424"/>
        <v>6207365.8700000001</v>
      </c>
      <c r="H2329" s="1243"/>
      <c r="I2329" s="1243">
        <f t="shared" si="421"/>
        <v>865329.6599999998</v>
      </c>
      <c r="J2329" s="376">
        <f>$J$1645</f>
        <v>3.73E-2</v>
      </c>
      <c r="K2329" s="1243">
        <f t="shared" si="426"/>
        <v>19290</v>
      </c>
      <c r="L2329" s="1243">
        <v>0</v>
      </c>
      <c r="M2329" s="1243">
        <f t="shared" si="422"/>
        <v>-3267.33</v>
      </c>
      <c r="N2329" s="1243">
        <v>-45272.87</v>
      </c>
      <c r="O2329" s="1243">
        <f t="shared" si="423"/>
        <v>836079.45999999985</v>
      </c>
    </row>
    <row r="2330" spans="1:15">
      <c r="A2330" s="361">
        <f t="shared" si="419"/>
        <v>33</v>
      </c>
      <c r="B2330" s="365">
        <v>387.2</v>
      </c>
      <c r="C2330" s="358" t="s">
        <v>404</v>
      </c>
      <c r="D2330" s="1243">
        <f t="shared" si="420"/>
        <v>0</v>
      </c>
      <c r="E2330" s="1243">
        <f>+'INPUT - B Schedule PLANT'!DI38</f>
        <v>0</v>
      </c>
      <c r="F2330" s="1243">
        <f>+'INPUT - B Schedule PLANT'!DJ38</f>
        <v>0</v>
      </c>
      <c r="G2330" s="1243">
        <f t="shared" si="424"/>
        <v>0</v>
      </c>
      <c r="H2330" s="1243"/>
      <c r="I2330" s="1243">
        <f t="shared" si="421"/>
        <v>-59912.03</v>
      </c>
      <c r="J2330" s="376">
        <f>$J$1646</f>
        <v>0</v>
      </c>
      <c r="K2330" s="1243">
        <f t="shared" si="426"/>
        <v>0</v>
      </c>
      <c r="L2330" s="1243">
        <v>0</v>
      </c>
      <c r="M2330" s="1243">
        <f t="shared" si="422"/>
        <v>0</v>
      </c>
      <c r="N2330" s="1243">
        <v>0</v>
      </c>
      <c r="O2330" s="1243">
        <f t="shared" si="423"/>
        <v>-59912.03</v>
      </c>
    </row>
    <row r="2331" spans="1:15">
      <c r="A2331" s="361">
        <f t="shared" si="419"/>
        <v>34</v>
      </c>
      <c r="B2331" s="365">
        <v>387.41</v>
      </c>
      <c r="C2331" s="358" t="s">
        <v>405</v>
      </c>
      <c r="D2331" s="1243">
        <f t="shared" si="420"/>
        <v>260538.46000000008</v>
      </c>
      <c r="E2331" s="1243">
        <f>+'INPUT - B Schedule PLANT'!DI39</f>
        <v>0</v>
      </c>
      <c r="F2331" s="1243">
        <f>+'INPUT - B Schedule PLANT'!DJ39</f>
        <v>0</v>
      </c>
      <c r="G2331" s="1243">
        <f t="shared" si="424"/>
        <v>260538.46000000008</v>
      </c>
      <c r="H2331" s="1243"/>
      <c r="I2331" s="1243">
        <f t="shared" si="421"/>
        <v>66020.970000000059</v>
      </c>
      <c r="J2331" s="376">
        <f>$J$1647</f>
        <v>3.2399999999999998E-2</v>
      </c>
      <c r="K2331" s="1243">
        <f t="shared" si="426"/>
        <v>703</v>
      </c>
      <c r="L2331" s="1243">
        <v>0</v>
      </c>
      <c r="M2331" s="1243">
        <f t="shared" si="422"/>
        <v>0</v>
      </c>
      <c r="N2331" s="1243">
        <v>0</v>
      </c>
      <c r="O2331" s="1243">
        <f t="shared" si="423"/>
        <v>66723.970000000059</v>
      </c>
    </row>
    <row r="2332" spans="1:15">
      <c r="A2332" s="361">
        <f t="shared" si="419"/>
        <v>35</v>
      </c>
      <c r="B2332" s="365">
        <v>387.42</v>
      </c>
      <c r="C2332" s="358" t="s">
        <v>406</v>
      </c>
      <c r="D2332" s="1243">
        <f t="shared" si="420"/>
        <v>419367.40000000008</v>
      </c>
      <c r="E2332" s="1243">
        <f>+'INPUT - B Schedule PLANT'!DI40</f>
        <v>0</v>
      </c>
      <c r="F2332" s="1243">
        <f>+'INPUT - B Schedule PLANT'!DJ40</f>
        <v>0</v>
      </c>
      <c r="G2332" s="1243">
        <f t="shared" si="424"/>
        <v>419367.40000000008</v>
      </c>
      <c r="H2332" s="1243"/>
      <c r="I2332" s="1243">
        <f t="shared" si="421"/>
        <v>352455.80999999976</v>
      </c>
      <c r="J2332" s="376">
        <f>$J$1648</f>
        <v>3.2399999999999998E-2</v>
      </c>
      <c r="K2332" s="1243">
        <f t="shared" si="426"/>
        <v>1132</v>
      </c>
      <c r="L2332" s="1243">
        <v>0</v>
      </c>
      <c r="M2332" s="1243">
        <f t="shared" si="422"/>
        <v>0</v>
      </c>
      <c r="N2332" s="1243">
        <v>0</v>
      </c>
      <c r="O2332" s="1243">
        <f t="shared" si="423"/>
        <v>353587.80999999976</v>
      </c>
    </row>
    <row r="2333" spans="1:15">
      <c r="A2333" s="361">
        <f t="shared" si="419"/>
        <v>36</v>
      </c>
      <c r="B2333" s="365">
        <v>387.44</v>
      </c>
      <c r="C2333" s="358" t="s">
        <v>407</v>
      </c>
      <c r="D2333" s="1243">
        <f t="shared" si="420"/>
        <v>124678.76000000001</v>
      </c>
      <c r="E2333" s="1243">
        <f>+'INPUT - B Schedule PLANT'!DI41</f>
        <v>0</v>
      </c>
      <c r="F2333" s="1243">
        <f>+'INPUT - B Schedule PLANT'!DJ41</f>
        <v>0</v>
      </c>
      <c r="G2333" s="1243">
        <f t="shared" si="424"/>
        <v>124678.76000000001</v>
      </c>
      <c r="H2333" s="1243"/>
      <c r="I2333" s="1243">
        <f t="shared" si="421"/>
        <v>70101.390000000014</v>
      </c>
      <c r="J2333" s="376">
        <f>$J$1649</f>
        <v>3.2399999999999998E-2</v>
      </c>
      <c r="K2333" s="1243">
        <f t="shared" si="426"/>
        <v>337</v>
      </c>
      <c r="L2333" s="1243">
        <v>0</v>
      </c>
      <c r="M2333" s="1243">
        <f t="shared" si="422"/>
        <v>0</v>
      </c>
      <c r="N2333" s="1243">
        <v>0</v>
      </c>
      <c r="O2333" s="1243">
        <f t="shared" si="423"/>
        <v>70438.390000000014</v>
      </c>
    </row>
    <row r="2334" spans="1:15">
      <c r="A2334" s="361">
        <f t="shared" si="419"/>
        <v>37</v>
      </c>
      <c r="B2334" s="365">
        <v>387.45</v>
      </c>
      <c r="C2334" s="358" t="s">
        <v>408</v>
      </c>
      <c r="D2334" s="1243">
        <f t="shared" si="420"/>
        <v>6119025.9300000006</v>
      </c>
      <c r="E2334" s="1243">
        <f>+'INPUT - B Schedule PLANT'!DI42</f>
        <v>71469.48</v>
      </c>
      <c r="F2334" s="1243">
        <f>+'INPUT - B Schedule PLANT'!DJ42</f>
        <v>-41824.660000000003</v>
      </c>
      <c r="G2334" s="1243">
        <f t="shared" si="424"/>
        <v>6148670.7500000009</v>
      </c>
      <c r="H2334" s="1243"/>
      <c r="I2334" s="1243">
        <f t="shared" si="421"/>
        <v>-710935.19</v>
      </c>
      <c r="J2334" s="376">
        <f>$J$1650</f>
        <v>3.2399999999999998E-2</v>
      </c>
      <c r="K2334" s="1243">
        <f t="shared" si="426"/>
        <v>16561</v>
      </c>
      <c r="L2334" s="1243">
        <v>0</v>
      </c>
      <c r="M2334" s="1243">
        <f t="shared" si="422"/>
        <v>-41824.660000000003</v>
      </c>
      <c r="N2334" s="1243">
        <v>-14.6</v>
      </c>
      <c r="O2334" s="1243">
        <f t="shared" si="423"/>
        <v>-736213.45</v>
      </c>
    </row>
    <row r="2335" spans="1:15">
      <c r="A2335" s="361">
        <f t="shared" si="419"/>
        <v>38</v>
      </c>
      <c r="B2335" s="365">
        <v>387.46</v>
      </c>
      <c r="C2335" s="358" t="s">
        <v>409</v>
      </c>
      <c r="D2335" s="1243">
        <f t="shared" si="420"/>
        <v>113644.47</v>
      </c>
      <c r="E2335" s="1243">
        <f>+'INPUT - B Schedule PLANT'!DI43</f>
        <v>0</v>
      </c>
      <c r="F2335" s="1243">
        <f>+'INPUT - B Schedule PLANT'!DJ43</f>
        <v>0</v>
      </c>
      <c r="G2335" s="1243">
        <f t="shared" si="424"/>
        <v>113644.47</v>
      </c>
      <c r="H2335" s="1243"/>
      <c r="I2335" s="1243">
        <f t="shared" si="421"/>
        <v>116339.07</v>
      </c>
      <c r="J2335" s="376">
        <f>$J$1651</f>
        <v>3.2399999999999998E-2</v>
      </c>
      <c r="K2335" s="1243">
        <f t="shared" si="426"/>
        <v>307</v>
      </c>
      <c r="L2335" s="1243">
        <v>0</v>
      </c>
      <c r="M2335" s="1243">
        <f t="shared" si="422"/>
        <v>0</v>
      </c>
      <c r="N2335" s="1243">
        <v>0</v>
      </c>
      <c r="O2335" s="1243">
        <f t="shared" si="423"/>
        <v>116646.07</v>
      </c>
    </row>
    <row r="2336" spans="1:15">
      <c r="A2336" s="361">
        <f t="shared" si="419"/>
        <v>39</v>
      </c>
      <c r="B2336" s="365">
        <v>387.5</v>
      </c>
      <c r="C2336" s="358" t="s">
        <v>1075</v>
      </c>
      <c r="D2336" s="1244">
        <f t="shared" si="420"/>
        <v>238072.69</v>
      </c>
      <c r="E2336" s="1244">
        <f>+'INPUT - B Schedule PLANT'!DI44</f>
        <v>0</v>
      </c>
      <c r="F2336" s="1244">
        <f>+'INPUT - B Schedule PLANT'!DJ44</f>
        <v>0</v>
      </c>
      <c r="G2336" s="1244">
        <f t="shared" si="424"/>
        <v>238072.69</v>
      </c>
      <c r="H2336" s="1243"/>
      <c r="I2336" s="1244">
        <f t="shared" si="421"/>
        <v>60180.470000000023</v>
      </c>
      <c r="J2336" s="376">
        <f>$J$1652</f>
        <v>0.13669999999999999</v>
      </c>
      <c r="K2336" s="1244">
        <f t="shared" si="426"/>
        <v>2712</v>
      </c>
      <c r="L2336" s="1244">
        <v>0</v>
      </c>
      <c r="M2336" s="1244">
        <f t="shared" si="422"/>
        <v>0</v>
      </c>
      <c r="N2336" s="1244">
        <v>0</v>
      </c>
      <c r="O2336" s="1244">
        <f t="shared" si="423"/>
        <v>62892.470000000023</v>
      </c>
    </row>
    <row r="2337" spans="1:16">
      <c r="A2337" s="361">
        <f t="shared" si="419"/>
        <v>40</v>
      </c>
      <c r="C2337" s="365" t="s">
        <v>1601</v>
      </c>
      <c r="D2337" s="1243">
        <f>SUM(D2307:D2336)</f>
        <v>732483564.27591443</v>
      </c>
      <c r="E2337" s="1243">
        <f>SUM(E2307:E2336)</f>
        <v>1688421.4140753162</v>
      </c>
      <c r="F2337" s="1243">
        <f>SUM(F2307:F2336)</f>
        <v>-218850.55921448255</v>
      </c>
      <c r="G2337" s="1243">
        <f>SUM(G2307:G2336)</f>
        <v>733953135.13077533</v>
      </c>
      <c r="H2337" s="1243"/>
      <c r="I2337" s="1243">
        <f>SUM(I2307:I2336)</f>
        <v>178570624.84026381</v>
      </c>
      <c r="J2337" s="369"/>
      <c r="K2337" s="1243">
        <f>SUM(K2307:K2336)</f>
        <v>1552815.3990000002</v>
      </c>
      <c r="L2337" s="1243">
        <f>SUM(L2307:L2336)</f>
        <v>0</v>
      </c>
      <c r="M2337" s="1243">
        <f>SUM(M2307:M2336)</f>
        <v>-218850.55921448255</v>
      </c>
      <c r="N2337" s="1243">
        <f>SUM(N2307:N2336)</f>
        <v>-19244.074293971134</v>
      </c>
      <c r="O2337" s="1243">
        <f>SUM(O2307:O2336)</f>
        <v>179885345.60575536</v>
      </c>
    </row>
    <row r="2338" spans="1:16">
      <c r="B2338" s="367"/>
      <c r="C2338" s="368"/>
      <c r="D2338" s="369"/>
      <c r="E2338" s="369"/>
      <c r="F2338" s="369"/>
      <c r="G2338" s="369"/>
      <c r="I2338" s="369"/>
      <c r="J2338" s="369"/>
      <c r="K2338" s="369"/>
      <c r="L2338" s="369"/>
      <c r="M2338" s="369"/>
      <c r="N2338" s="369"/>
      <c r="O2338" s="369"/>
    </row>
    <row r="2339" spans="1:16">
      <c r="I2339" s="369"/>
      <c r="J2339" s="369"/>
      <c r="K2339" s="369"/>
      <c r="L2339" s="369"/>
      <c r="M2339" s="369"/>
      <c r="N2339" s="369"/>
      <c r="O2339" s="369"/>
    </row>
    <row r="2340" spans="1:16" s="291" customFormat="1">
      <c r="A2340" s="1308" t="str">
        <f>$A$1</f>
        <v>COLUMBIA GAS OF KENTUCKY, INC.</v>
      </c>
      <c r="B2340" s="1308"/>
      <c r="C2340" s="1308"/>
      <c r="D2340" s="1308"/>
      <c r="E2340" s="1308"/>
      <c r="F2340" s="1308"/>
      <c r="G2340" s="1308"/>
      <c r="H2340" s="1308"/>
      <c r="I2340" s="1308"/>
      <c r="J2340" s="1308"/>
      <c r="K2340" s="1308"/>
      <c r="L2340" s="1308"/>
      <c r="M2340" s="1308"/>
      <c r="N2340" s="1308"/>
      <c r="O2340" s="1308"/>
    </row>
    <row r="2341" spans="1:16" s="291" customFormat="1">
      <c r="A2341" s="1308" t="str">
        <f>$A$2</f>
        <v>CASE NO. 2024 - 00092</v>
      </c>
      <c r="B2341" s="1308"/>
      <c r="C2341" s="1308"/>
      <c r="D2341" s="1308"/>
      <c r="E2341" s="1308"/>
      <c r="F2341" s="1308"/>
      <c r="G2341" s="1308"/>
      <c r="H2341" s="1308"/>
      <c r="I2341" s="1308"/>
      <c r="J2341" s="1308"/>
      <c r="K2341" s="1308"/>
      <c r="L2341" s="1308"/>
      <c r="M2341" s="1308"/>
      <c r="N2341" s="1308"/>
      <c r="O2341" s="1308"/>
    </row>
    <row r="2342" spans="1:16" s="291" customFormat="1">
      <c r="A2342" s="1308" t="str">
        <f>$A$3</f>
        <v>DETAIL OF ACTUAL &amp; FORECASTED PLANT, ACCUMULATED RESERVE &amp; DEPRECIATION EXPENSE</v>
      </c>
      <c r="B2342" s="1308"/>
      <c r="C2342" s="1308"/>
      <c r="D2342" s="1308"/>
      <c r="E2342" s="1308"/>
      <c r="F2342" s="1308"/>
      <c r="G2342" s="1308"/>
      <c r="H2342" s="1308"/>
      <c r="I2342" s="1308"/>
      <c r="J2342" s="1308"/>
      <c r="K2342" s="1308"/>
      <c r="L2342" s="1308"/>
      <c r="M2342" s="1308"/>
      <c r="N2342" s="1308"/>
      <c r="O2342" s="1308"/>
      <c r="P2342" s="357"/>
    </row>
    <row r="2343" spans="1:16" s="291" customFormat="1">
      <c r="A2343" s="1308" t="str">
        <f>$A$4</f>
        <v>FROM JANUARY 01, 2023 THROUGH DECEMBER 31, 2025</v>
      </c>
      <c r="B2343" s="1308"/>
      <c r="C2343" s="1308"/>
      <c r="D2343" s="1308"/>
      <c r="E2343" s="1308"/>
      <c r="F2343" s="1308"/>
      <c r="G2343" s="1308"/>
      <c r="H2343" s="1308"/>
      <c r="I2343" s="1308"/>
      <c r="J2343" s="1308"/>
      <c r="K2343" s="1308"/>
      <c r="L2343" s="1308"/>
      <c r="M2343" s="1308"/>
      <c r="N2343" s="1308"/>
      <c r="O2343" s="1308"/>
    </row>
    <row r="2344" spans="1:16" s="291" customFormat="1">
      <c r="B2344" s="293"/>
      <c r="P2344" s="312"/>
    </row>
    <row r="2345" spans="1:16" s="291" customFormat="1">
      <c r="A2345" s="297" t="str">
        <f>$A$6</f>
        <v xml:space="preserve">DATA: _X_ BASE PERIOD _X_ FORECASTED PERIOD     </v>
      </c>
      <c r="B2345" s="293"/>
      <c r="O2345" s="312" t="str">
        <f>$O$6</f>
        <v>WPB-2.1.C</v>
      </c>
      <c r="P2345" s="312"/>
    </row>
    <row r="2346" spans="1:16" s="291" customFormat="1">
      <c r="A2346" s="297" t="str">
        <f>$A$7</f>
        <v>TYPE OF FILING:___X___ORIGINAL______UPDATED</v>
      </c>
      <c r="B2346" s="293"/>
      <c r="O2346" s="312" t="s">
        <v>2181</v>
      </c>
      <c r="P2346" s="312"/>
    </row>
    <row r="2347" spans="1:16" s="291" customFormat="1">
      <c r="A2347" s="297" t="str">
        <f>$A$8</f>
        <v>WORKPAPER REFERENCE NO(S).:</v>
      </c>
      <c r="B2347" s="293"/>
      <c r="O2347" s="312" t="str">
        <f>$O$8</f>
        <v>WITNESS: GORE</v>
      </c>
    </row>
    <row r="2348" spans="1:16">
      <c r="A2348" s="918"/>
      <c r="B2348" s="919"/>
      <c r="C2348" s="918"/>
      <c r="D2348" s="918"/>
      <c r="E2348" s="918"/>
      <c r="F2348" s="918"/>
      <c r="G2348" s="918"/>
      <c r="H2348" s="918"/>
      <c r="I2348" s="918"/>
      <c r="J2348" s="918"/>
      <c r="K2348" s="918"/>
      <c r="L2348" s="918"/>
      <c r="M2348" s="918"/>
      <c r="N2348" s="918"/>
      <c r="O2348" s="920"/>
    </row>
    <row r="2349" spans="1:16">
      <c r="D2349" s="1311" t="s">
        <v>1768</v>
      </c>
      <c r="E2349" s="1311"/>
      <c r="F2349" s="1311"/>
      <c r="G2349" s="1311"/>
      <c r="I2349" s="1311" t="s">
        <v>1769</v>
      </c>
      <c r="J2349" s="1311"/>
      <c r="K2349" s="1311"/>
      <c r="L2349" s="1311"/>
      <c r="M2349" s="1311"/>
      <c r="N2349" s="1311"/>
      <c r="O2349" s="1311"/>
    </row>
    <row r="2350" spans="1:16">
      <c r="D2350" s="360">
        <f>D2291</f>
        <v>45536</v>
      </c>
      <c r="G2350" s="360">
        <f>G2291</f>
        <v>45565</v>
      </c>
      <c r="I2350" s="360">
        <f>D2350</f>
        <v>45536</v>
      </c>
      <c r="O2350" s="360">
        <f>G2350</f>
        <v>45565</v>
      </c>
    </row>
    <row r="2351" spans="1:16">
      <c r="D2351" s="361" t="s">
        <v>1757</v>
      </c>
      <c r="G2351" s="361" t="s">
        <v>1757</v>
      </c>
      <c r="I2351" s="361" t="s">
        <v>1758</v>
      </c>
      <c r="J2351" s="361" t="s">
        <v>488</v>
      </c>
      <c r="L2351" s="361" t="s">
        <v>1758</v>
      </c>
      <c r="O2351" s="361" t="s">
        <v>1758</v>
      </c>
    </row>
    <row r="2352" spans="1:16">
      <c r="A2352" s="361" t="s">
        <v>1770</v>
      </c>
      <c r="B2352" s="361" t="s">
        <v>368</v>
      </c>
      <c r="C2352" s="361"/>
      <c r="D2352" s="361" t="s">
        <v>437</v>
      </c>
      <c r="G2352" s="361" t="s">
        <v>439</v>
      </c>
      <c r="I2352" s="361" t="s">
        <v>437</v>
      </c>
      <c r="J2352" s="361" t="s">
        <v>1771</v>
      </c>
      <c r="K2352" s="361" t="s">
        <v>1772</v>
      </c>
      <c r="L2352" s="361" t="s">
        <v>1759</v>
      </c>
      <c r="N2352" s="361" t="s">
        <v>1760</v>
      </c>
      <c r="O2352" s="361" t="s">
        <v>439</v>
      </c>
    </row>
    <row r="2353" spans="1:15">
      <c r="A2353" s="364" t="s">
        <v>316</v>
      </c>
      <c r="B2353" s="364" t="s">
        <v>316</v>
      </c>
      <c r="C2353" s="364" t="s">
        <v>451</v>
      </c>
      <c r="D2353" s="364" t="s">
        <v>441</v>
      </c>
      <c r="E2353" s="364" t="s">
        <v>442</v>
      </c>
      <c r="F2353" s="364" t="s">
        <v>443</v>
      </c>
      <c r="G2353" s="364" t="s">
        <v>441</v>
      </c>
      <c r="I2353" s="364" t="s">
        <v>441</v>
      </c>
      <c r="J2353" s="364" t="s">
        <v>1773</v>
      </c>
      <c r="K2353" s="364" t="s">
        <v>1771</v>
      </c>
      <c r="L2353" s="364" t="s">
        <v>355</v>
      </c>
      <c r="M2353" s="364" t="s">
        <v>443</v>
      </c>
      <c r="N2353" s="364" t="s">
        <v>1763</v>
      </c>
      <c r="O2353" s="364" t="s">
        <v>441</v>
      </c>
    </row>
    <row r="2354" spans="1:15">
      <c r="D2354" s="361" t="s">
        <v>532</v>
      </c>
      <c r="E2354" s="361" t="s">
        <v>541</v>
      </c>
      <c r="F2354" s="361" t="s">
        <v>542</v>
      </c>
      <c r="G2354" s="361" t="s">
        <v>1764</v>
      </c>
      <c r="I2354" s="334" t="str">
        <f>"(5)"</f>
        <v>(5)</v>
      </c>
      <c r="J2354" s="334" t="str">
        <f>"(6)"</f>
        <v>(6)</v>
      </c>
      <c r="K2354" s="334" t="str">
        <f>"(7)=((1+4)/2*6/12))"</f>
        <v>(7)=((1+4)/2*6/12))</v>
      </c>
      <c r="L2354" s="334" t="str">
        <f>"(8)"</f>
        <v>(8)</v>
      </c>
      <c r="M2354" s="334" t="str">
        <f>"(9)"</f>
        <v>(9)</v>
      </c>
      <c r="N2354" s="334" t="str">
        <f>"(10)"</f>
        <v>(10)</v>
      </c>
      <c r="O2354" s="334" t="str">
        <f>"(11=5+7+8+9+10)"</f>
        <v>(11=5+7+8+9+10)</v>
      </c>
    </row>
    <row r="2355" spans="1:15">
      <c r="D2355" s="361" t="s">
        <v>320</v>
      </c>
      <c r="E2355" s="361" t="s">
        <v>320</v>
      </c>
      <c r="F2355" s="361" t="s">
        <v>320</v>
      </c>
      <c r="G2355" s="361" t="s">
        <v>320</v>
      </c>
      <c r="I2355" s="334" t="s">
        <v>320</v>
      </c>
      <c r="J2355" s="334" t="s">
        <v>529</v>
      </c>
      <c r="K2355" s="334" t="s">
        <v>320</v>
      </c>
      <c r="L2355" s="334" t="s">
        <v>320</v>
      </c>
      <c r="M2355" s="334" t="s">
        <v>320</v>
      </c>
      <c r="N2355" s="334" t="s">
        <v>320</v>
      </c>
      <c r="O2355" s="334" t="s">
        <v>320</v>
      </c>
    </row>
    <row r="2356" spans="1:15">
      <c r="A2356" s="361">
        <v>1</v>
      </c>
      <c r="B2356" s="363" t="s">
        <v>411</v>
      </c>
      <c r="D2356" s="361"/>
      <c r="E2356" s="361"/>
      <c r="F2356" s="361"/>
      <c r="G2356" s="361"/>
      <c r="I2356" s="334"/>
      <c r="J2356" s="334"/>
      <c r="K2356" s="334"/>
      <c r="L2356" s="334"/>
      <c r="M2356" s="334"/>
      <c r="N2356" s="334"/>
      <c r="O2356" s="334"/>
    </row>
    <row r="2357" spans="1:15">
      <c r="A2357" s="361">
        <f>A2356+1</f>
        <v>2</v>
      </c>
      <c r="B2357" s="365">
        <v>391.1</v>
      </c>
      <c r="C2357" s="358" t="s">
        <v>412</v>
      </c>
      <c r="D2357" s="1243">
        <f t="shared" ref="D2357:D2370" si="427">G2243</f>
        <v>921741.33000000007</v>
      </c>
      <c r="E2357" s="1243">
        <f>+'INPUT - B Schedule PLANT'!DI46</f>
        <v>0</v>
      </c>
      <c r="F2357" s="1243">
        <f>+'INPUT - B Schedule PLANT'!DJ46</f>
        <v>0</v>
      </c>
      <c r="G2357" s="1243">
        <f>SUM(D2357:F2357)</f>
        <v>921741.33000000007</v>
      </c>
      <c r="I2357" s="1245">
        <f t="shared" ref="I2357:I2370" si="428">O2243</f>
        <v>145498.37</v>
      </c>
      <c r="J2357" s="376">
        <f>$J$1673</f>
        <v>4.9700000000000001E-2</v>
      </c>
      <c r="K2357" s="1243">
        <f>ROUND((G2357+D2357)/2*J2357/12,0)</f>
        <v>3818</v>
      </c>
      <c r="L2357" s="1243">
        <v>0</v>
      </c>
      <c r="M2357" s="1243">
        <f t="shared" ref="M2357:M2370" si="429">F2357</f>
        <v>0</v>
      </c>
      <c r="N2357" s="1243">
        <v>0</v>
      </c>
      <c r="O2357" s="1243">
        <f t="shared" ref="O2357:O2370" si="430">I2357+K2357+L2357+M2357+N2357</f>
        <v>149316.37</v>
      </c>
    </row>
    <row r="2358" spans="1:15">
      <c r="A2358" s="361">
        <f t="shared" ref="A2358:A2371" si="431">A2357+1</f>
        <v>3</v>
      </c>
      <c r="B2358" s="365">
        <v>391.11</v>
      </c>
      <c r="C2358" s="358" t="s">
        <v>413</v>
      </c>
      <c r="D2358" s="1243">
        <f t="shared" si="427"/>
        <v>0</v>
      </c>
      <c r="E2358" s="1243">
        <f>+'INPUT - B Schedule PLANT'!DI47</f>
        <v>0</v>
      </c>
      <c r="F2358" s="1243">
        <f>+'INPUT - B Schedule PLANT'!DJ47</f>
        <v>0</v>
      </c>
      <c r="G2358" s="1243">
        <f t="shared" ref="G2358:G2365" si="432">SUM(D2358:F2358)</f>
        <v>0</v>
      </c>
      <c r="I2358" s="1245">
        <f t="shared" si="428"/>
        <v>-18933.789999999997</v>
      </c>
      <c r="J2358" s="376">
        <f>$J$1674</f>
        <v>0</v>
      </c>
      <c r="K2358" s="1243">
        <f>ROUND((G2358+D2358)/2*J2358/12,0)</f>
        <v>0</v>
      </c>
      <c r="L2358" s="1243">
        <v>0</v>
      </c>
      <c r="M2358" s="1243">
        <f t="shared" si="429"/>
        <v>0</v>
      </c>
      <c r="N2358" s="1243">
        <v>0</v>
      </c>
      <c r="O2358" s="1243">
        <f t="shared" si="430"/>
        <v>-18933.789999999997</v>
      </c>
    </row>
    <row r="2359" spans="1:15">
      <c r="A2359" s="361">
        <f t="shared" si="431"/>
        <v>4</v>
      </c>
      <c r="B2359" s="365">
        <v>391.12</v>
      </c>
      <c r="C2359" s="358" t="s">
        <v>414</v>
      </c>
      <c r="D2359" s="1243">
        <f t="shared" si="427"/>
        <v>37129.580000000009</v>
      </c>
      <c r="E2359" s="1243">
        <f>+'INPUT - B Schedule PLANT'!DI48</f>
        <v>0</v>
      </c>
      <c r="F2359" s="1243">
        <f>+'INPUT - B Schedule PLANT'!DJ48</f>
        <v>0</v>
      </c>
      <c r="G2359" s="1243">
        <f t="shared" si="432"/>
        <v>37129.580000000009</v>
      </c>
      <c r="I2359" s="1245">
        <f t="shared" si="428"/>
        <v>-332.03000000000065</v>
      </c>
      <c r="J2359" s="376">
        <f>$J$1675</f>
        <v>0.2</v>
      </c>
      <c r="K2359" s="1243">
        <f>ROUND((G2359+D2359)/2*J2359/12,0)</f>
        <v>619</v>
      </c>
      <c r="L2359" s="1243">
        <v>0</v>
      </c>
      <c r="M2359" s="1243">
        <f t="shared" si="429"/>
        <v>0</v>
      </c>
      <c r="N2359" s="1243">
        <v>0</v>
      </c>
      <c r="O2359" s="1243">
        <f t="shared" si="430"/>
        <v>286.96999999999935</v>
      </c>
    </row>
    <row r="2360" spans="1:15">
      <c r="A2360" s="361">
        <f t="shared" si="431"/>
        <v>5</v>
      </c>
      <c r="B2360" s="365">
        <v>392.2</v>
      </c>
      <c r="C2360" s="358" t="s">
        <v>524</v>
      </c>
      <c r="D2360" s="1243">
        <f t="shared" si="427"/>
        <v>48924.4</v>
      </c>
      <c r="E2360" s="1243">
        <f>+'INPUT - B Schedule PLANT'!DI49</f>
        <v>0</v>
      </c>
      <c r="F2360" s="1243">
        <f>+'INPUT - B Schedule PLANT'!DJ49</f>
        <v>0</v>
      </c>
      <c r="G2360" s="1243">
        <f t="shared" si="432"/>
        <v>48924.4</v>
      </c>
      <c r="I2360" s="1245">
        <f t="shared" si="428"/>
        <v>17439.359999999961</v>
      </c>
      <c r="J2360" s="376">
        <f>$J$1676</f>
        <v>8.9999999999999993E-3</v>
      </c>
      <c r="K2360" s="1243">
        <f>ROUND((G2360+D2360)/2*J2360/12,0)</f>
        <v>37</v>
      </c>
      <c r="L2360" s="1243">
        <v>0</v>
      </c>
      <c r="M2360" s="1243">
        <f t="shared" si="429"/>
        <v>0</v>
      </c>
      <c r="N2360" s="1243">
        <v>0</v>
      </c>
      <c r="O2360" s="1243">
        <f t="shared" si="430"/>
        <v>17476.359999999961</v>
      </c>
    </row>
    <row r="2361" spans="1:15">
      <c r="A2361" s="361">
        <f t="shared" si="431"/>
        <v>6</v>
      </c>
      <c r="B2361" s="365">
        <v>392.21</v>
      </c>
      <c r="C2361" s="358" t="s">
        <v>415</v>
      </c>
      <c r="D2361" s="1243">
        <f t="shared" si="427"/>
        <v>24462.2</v>
      </c>
      <c r="E2361" s="1243">
        <f>+'INPUT - B Schedule PLANT'!DI50</f>
        <v>0</v>
      </c>
      <c r="F2361" s="1243">
        <f>+'INPUT - B Schedule PLANT'!DJ50</f>
        <v>0</v>
      </c>
      <c r="G2361" s="1243">
        <f t="shared" si="432"/>
        <v>24462.2</v>
      </c>
      <c r="I2361" s="1245">
        <f t="shared" si="428"/>
        <v>44862.01</v>
      </c>
      <c r="J2361" s="376">
        <f>$J$1677</f>
        <v>8.9999999999999993E-3</v>
      </c>
      <c r="K2361" s="1243">
        <f>ROUND((G2361+D2361)/2*J2361/12,0)</f>
        <v>18</v>
      </c>
      <c r="L2361" s="1243">
        <v>0</v>
      </c>
      <c r="M2361" s="1243">
        <f t="shared" si="429"/>
        <v>0</v>
      </c>
      <c r="N2361" s="1243">
        <v>0</v>
      </c>
      <c r="O2361" s="1243">
        <f t="shared" si="430"/>
        <v>44880.01</v>
      </c>
    </row>
    <row r="2362" spans="1:15">
      <c r="A2362" s="361">
        <f t="shared" si="431"/>
        <v>7</v>
      </c>
      <c r="B2362" s="365">
        <v>393</v>
      </c>
      <c r="C2362" s="358" t="s">
        <v>416</v>
      </c>
      <c r="D2362" s="1243">
        <f t="shared" si="427"/>
        <v>0</v>
      </c>
      <c r="E2362" s="1243">
        <f>+'INPUT - B Schedule PLANT'!DI51</f>
        <v>0</v>
      </c>
      <c r="F2362" s="1243">
        <f>+'INPUT - B Schedule PLANT'!DJ51</f>
        <v>0</v>
      </c>
      <c r="G2362" s="1243">
        <f t="shared" si="432"/>
        <v>0</v>
      </c>
      <c r="I2362" s="1245">
        <f t="shared" si="428"/>
        <v>0</v>
      </c>
      <c r="J2362" s="376" t="str">
        <f>$J$1678</f>
        <v>Amort.</v>
      </c>
      <c r="K2362" s="1243">
        <v>0</v>
      </c>
      <c r="L2362" s="1243">
        <v>0</v>
      </c>
      <c r="M2362" s="1243">
        <f t="shared" si="429"/>
        <v>0</v>
      </c>
      <c r="N2362" s="1243">
        <v>0</v>
      </c>
      <c r="O2362" s="1243">
        <f t="shared" si="430"/>
        <v>0</v>
      </c>
    </row>
    <row r="2363" spans="1:15">
      <c r="A2363" s="361">
        <f t="shared" si="431"/>
        <v>8</v>
      </c>
      <c r="B2363" s="365">
        <v>394.1</v>
      </c>
      <c r="C2363" s="358" t="s">
        <v>417</v>
      </c>
      <c r="D2363" s="1243">
        <f t="shared" si="427"/>
        <v>9739</v>
      </c>
      <c r="E2363" s="1243">
        <f>+'INPUT - B Schedule PLANT'!DI52</f>
        <v>0</v>
      </c>
      <c r="F2363" s="1243">
        <f>+'INPUT - B Schedule PLANT'!DJ52</f>
        <v>0</v>
      </c>
      <c r="G2363" s="1243">
        <f t="shared" si="432"/>
        <v>9739</v>
      </c>
      <c r="I2363" s="1245">
        <f t="shared" si="428"/>
        <v>4332.0700000000006</v>
      </c>
      <c r="J2363" s="376">
        <f>$J$1679</f>
        <v>0.04</v>
      </c>
      <c r="K2363" s="1243">
        <f>ROUND((G2363+D2363)/2*J2363/12,0)</f>
        <v>32</v>
      </c>
      <c r="L2363" s="1243">
        <v>0</v>
      </c>
      <c r="M2363" s="1243">
        <f t="shared" si="429"/>
        <v>0</v>
      </c>
      <c r="N2363" s="1243">
        <v>0</v>
      </c>
      <c r="O2363" s="1243">
        <f t="shared" si="430"/>
        <v>4364.0700000000006</v>
      </c>
    </row>
    <row r="2364" spans="1:15">
      <c r="A2364" s="361">
        <f t="shared" si="431"/>
        <v>9</v>
      </c>
      <c r="B2364" s="365">
        <v>394.11</v>
      </c>
      <c r="C2364" s="358" t="s">
        <v>418</v>
      </c>
      <c r="D2364" s="1243">
        <f t="shared" si="427"/>
        <v>0</v>
      </c>
      <c r="E2364" s="1243">
        <f>+'INPUT - B Schedule PLANT'!DI53</f>
        <v>0</v>
      </c>
      <c r="F2364" s="1243">
        <f>+'INPUT - B Schedule PLANT'!DJ53</f>
        <v>0</v>
      </c>
      <c r="G2364" s="1243">
        <f t="shared" si="432"/>
        <v>0</v>
      </c>
      <c r="I2364" s="1245">
        <f t="shared" si="428"/>
        <v>-26071.5</v>
      </c>
      <c r="J2364" s="376">
        <f>$J$1680</f>
        <v>0.04</v>
      </c>
      <c r="K2364" s="1243">
        <f>ROUND((G2364+D2364)/2*J2364/12,0)</f>
        <v>0</v>
      </c>
      <c r="L2364" s="1243">
        <v>0</v>
      </c>
      <c r="M2364" s="1243">
        <f t="shared" si="429"/>
        <v>0</v>
      </c>
      <c r="N2364" s="1243">
        <v>0</v>
      </c>
      <c r="O2364" s="1243">
        <f t="shared" si="430"/>
        <v>-26071.5</v>
      </c>
    </row>
    <row r="2365" spans="1:15">
      <c r="A2365" s="361">
        <f t="shared" si="431"/>
        <v>10</v>
      </c>
      <c r="B2365" s="365">
        <v>394.13</v>
      </c>
      <c r="C2365" s="358" t="s">
        <v>515</v>
      </c>
      <c r="D2365" s="1243">
        <f t="shared" si="427"/>
        <v>0</v>
      </c>
      <c r="E2365" s="1243">
        <f>+'INPUT - B Schedule PLANT'!DI54</f>
        <v>0</v>
      </c>
      <c r="F2365" s="1243">
        <f>+'INPUT - B Schedule PLANT'!DJ54</f>
        <v>0</v>
      </c>
      <c r="G2365" s="1243">
        <f t="shared" si="432"/>
        <v>0</v>
      </c>
      <c r="I2365" s="1245">
        <f t="shared" si="428"/>
        <v>37937.360000000001</v>
      </c>
      <c r="J2365" s="376" t="str">
        <f>$J$1681</f>
        <v>Amort.</v>
      </c>
      <c r="K2365" s="1243">
        <v>0</v>
      </c>
      <c r="L2365" s="1243">
        <v>0</v>
      </c>
      <c r="M2365" s="1243">
        <f t="shared" si="429"/>
        <v>0</v>
      </c>
      <c r="N2365" s="1243">
        <v>0</v>
      </c>
      <c r="O2365" s="1243">
        <f t="shared" si="430"/>
        <v>37937.360000000001</v>
      </c>
    </row>
    <row r="2366" spans="1:15">
      <c r="A2366" s="361">
        <f t="shared" si="431"/>
        <v>11</v>
      </c>
      <c r="B2366" s="365">
        <v>394.2</v>
      </c>
      <c r="C2366" s="358" t="s">
        <v>420</v>
      </c>
      <c r="D2366" s="1243">
        <f t="shared" si="427"/>
        <v>0</v>
      </c>
      <c r="E2366" s="1243">
        <f>+'INPUT - B Schedule PLANT'!DI55</f>
        <v>0</v>
      </c>
      <c r="F2366" s="1243">
        <f>+'INPUT - B Schedule PLANT'!DJ55</f>
        <v>0</v>
      </c>
      <c r="G2366" s="1243">
        <f>SUM(D2366:F2366)</f>
        <v>0</v>
      </c>
      <c r="I2366" s="1245">
        <f t="shared" si="428"/>
        <v>185.21</v>
      </c>
      <c r="J2366" s="376">
        <f>$J$1682</f>
        <v>0.04</v>
      </c>
      <c r="K2366" s="1243">
        <f>ROUND((G2366+D2366)/2*J2366/12,0)</f>
        <v>0</v>
      </c>
      <c r="L2366" s="1243">
        <v>0</v>
      </c>
      <c r="M2366" s="1243">
        <f t="shared" si="429"/>
        <v>0</v>
      </c>
      <c r="N2366" s="1243">
        <v>0</v>
      </c>
      <c r="O2366" s="1243">
        <f t="shared" si="430"/>
        <v>185.21</v>
      </c>
    </row>
    <row r="2367" spans="1:15">
      <c r="A2367" s="361">
        <f t="shared" si="431"/>
        <v>12</v>
      </c>
      <c r="B2367" s="365">
        <v>394.3</v>
      </c>
      <c r="C2367" s="358" t="s">
        <v>1602</v>
      </c>
      <c r="D2367" s="1243">
        <f t="shared" si="427"/>
        <v>5244673.6599999992</v>
      </c>
      <c r="E2367" s="1243">
        <f>+'INPUT - B Schedule PLANT'!DI56</f>
        <v>42923.83</v>
      </c>
      <c r="F2367" s="1243">
        <f>+'INPUT - B Schedule PLANT'!DJ56</f>
        <v>0</v>
      </c>
      <c r="G2367" s="1243">
        <f>SUM(D2367:F2367)</f>
        <v>5287597.4899999993</v>
      </c>
      <c r="I2367" s="1245">
        <f t="shared" si="428"/>
        <v>1638965.6499999997</v>
      </c>
      <c r="J2367" s="376">
        <f>$J$1683</f>
        <v>0.04</v>
      </c>
      <c r="K2367" s="1243">
        <f>ROUND((G2367+D2367)/2*J2367/12,0)</f>
        <v>17554</v>
      </c>
      <c r="L2367" s="1243">
        <v>0</v>
      </c>
      <c r="M2367" s="1243">
        <f t="shared" si="429"/>
        <v>0</v>
      </c>
      <c r="N2367" s="1243">
        <v>0</v>
      </c>
      <c r="O2367" s="1243">
        <f t="shared" si="430"/>
        <v>1656519.6499999997</v>
      </c>
    </row>
    <row r="2368" spans="1:15">
      <c r="A2368" s="361">
        <f t="shared" si="431"/>
        <v>13</v>
      </c>
      <c r="B2368" s="365">
        <v>395</v>
      </c>
      <c r="C2368" s="358" t="s">
        <v>422</v>
      </c>
      <c r="D2368" s="1243">
        <f t="shared" si="427"/>
        <v>0</v>
      </c>
      <c r="E2368" s="1243">
        <f>+'INPUT - B Schedule PLANT'!DI57</f>
        <v>0</v>
      </c>
      <c r="F2368" s="1243">
        <f>+'INPUT - B Schedule PLANT'!DJ57</f>
        <v>0</v>
      </c>
      <c r="G2368" s="1243">
        <f>SUM(D2368:F2368)</f>
        <v>0</v>
      </c>
      <c r="I2368" s="1245">
        <f t="shared" si="428"/>
        <v>-100.69999999999845</v>
      </c>
      <c r="J2368" s="376">
        <f>$J$1684</f>
        <v>0.05</v>
      </c>
      <c r="K2368" s="1243">
        <f>ROUND((G2368+D2368)/2*J2368/12,0)</f>
        <v>0</v>
      </c>
      <c r="L2368" s="1243">
        <v>0</v>
      </c>
      <c r="M2368" s="1243">
        <f t="shared" si="429"/>
        <v>0</v>
      </c>
      <c r="N2368" s="1243">
        <v>0</v>
      </c>
      <c r="O2368" s="1243">
        <f t="shared" si="430"/>
        <v>-100.69999999999845</v>
      </c>
    </row>
    <row r="2369" spans="1:15">
      <c r="A2369" s="361">
        <f t="shared" si="431"/>
        <v>14</v>
      </c>
      <c r="B2369" s="365">
        <v>396</v>
      </c>
      <c r="C2369" s="358" t="s">
        <v>423</v>
      </c>
      <c r="D2369" s="1243">
        <f t="shared" si="427"/>
        <v>185547</v>
      </c>
      <c r="E2369" s="1243">
        <f>+'INPUT - B Schedule PLANT'!DI58</f>
        <v>0</v>
      </c>
      <c r="F2369" s="1243">
        <f>+'INPUT - B Schedule PLANT'!DJ58</f>
        <v>0</v>
      </c>
      <c r="G2369" s="1243">
        <f>SUM(D2369:F2369)</f>
        <v>185547</v>
      </c>
      <c r="I2369" s="1245">
        <f t="shared" si="428"/>
        <v>171938.14</v>
      </c>
      <c r="J2369" s="376">
        <f>$J$1685</f>
        <v>0</v>
      </c>
      <c r="K2369" s="1243">
        <f>ROUND((G2369+D2369)/2*J2369/12,0)</f>
        <v>0</v>
      </c>
      <c r="L2369" s="1243">
        <v>0</v>
      </c>
      <c r="M2369" s="1243">
        <f t="shared" si="429"/>
        <v>0</v>
      </c>
      <c r="N2369" s="1243">
        <v>0</v>
      </c>
      <c r="O2369" s="1243">
        <f t="shared" si="430"/>
        <v>171938.14</v>
      </c>
    </row>
    <row r="2370" spans="1:15">
      <c r="A2370" s="361">
        <f t="shared" si="431"/>
        <v>15</v>
      </c>
      <c r="B2370" s="365">
        <v>398</v>
      </c>
      <c r="C2370" s="358" t="s">
        <v>424</v>
      </c>
      <c r="D2370" s="1244">
        <f t="shared" si="427"/>
        <v>148028.20000000001</v>
      </c>
      <c r="E2370" s="1244">
        <f>+'INPUT - B Schedule PLANT'!DI59</f>
        <v>0</v>
      </c>
      <c r="F2370" s="1244">
        <f>+'INPUT - B Schedule PLANT'!DJ59</f>
        <v>0</v>
      </c>
      <c r="G2370" s="1244">
        <f>SUM(D2370:F2370)</f>
        <v>148028.20000000001</v>
      </c>
      <c r="I2370" s="1246">
        <f t="shared" si="428"/>
        <v>76687.549999999945</v>
      </c>
      <c r="J2370" s="376">
        <f>$J$1686</f>
        <v>6.6699999999999995E-2</v>
      </c>
      <c r="K2370" s="1244">
        <f>ROUND((G2370+D2370)/2*J2370/12,0)</f>
        <v>823</v>
      </c>
      <c r="L2370" s="1244">
        <v>0</v>
      </c>
      <c r="M2370" s="1244">
        <f t="shared" si="429"/>
        <v>0</v>
      </c>
      <c r="N2370" s="1244">
        <v>0</v>
      </c>
      <c r="O2370" s="1244">
        <f t="shared" si="430"/>
        <v>77510.549999999945</v>
      </c>
    </row>
    <row r="2371" spans="1:15">
      <c r="A2371" s="361">
        <f t="shared" si="431"/>
        <v>16</v>
      </c>
      <c r="B2371" s="367"/>
      <c r="C2371" s="358" t="s">
        <v>425</v>
      </c>
      <c r="D2371" s="1243">
        <f>SUM(D2357:D2370)</f>
        <v>6620245.3699999992</v>
      </c>
      <c r="E2371" s="1243">
        <f>SUM(E2357:E2370)</f>
        <v>42923.83</v>
      </c>
      <c r="F2371" s="1243">
        <f>SUM(F2357:F2370)</f>
        <v>0</v>
      </c>
      <c r="G2371" s="1243">
        <f>SUM(G2357:G2370)</f>
        <v>6663169.1999999993</v>
      </c>
      <c r="I2371" s="1243">
        <f>SUM(I2357:I2370)</f>
        <v>2092407.7</v>
      </c>
      <c r="J2371" s="369"/>
      <c r="K2371" s="1243">
        <f>SUM(K2357:K2370)</f>
        <v>22901</v>
      </c>
      <c r="L2371" s="1243">
        <f>SUM(L2357:L2370)</f>
        <v>0</v>
      </c>
      <c r="M2371" s="1243">
        <f>SUM(M2357:M2370)</f>
        <v>0</v>
      </c>
      <c r="N2371" s="1243">
        <f>SUM(N2357:N2370)</f>
        <v>0</v>
      </c>
      <c r="O2371" s="1243">
        <f>SUM(O2357:O2370)</f>
        <v>2115308.6999999997</v>
      </c>
    </row>
    <row r="2372" spans="1:15">
      <c r="A2372" s="361"/>
      <c r="D2372" s="1243"/>
      <c r="E2372" s="1243"/>
      <c r="F2372" s="1243"/>
      <c r="G2372" s="1243"/>
      <c r="I2372" s="1243"/>
      <c r="J2372" s="369"/>
      <c r="K2372" s="1243"/>
      <c r="L2372" s="1243"/>
      <c r="M2372" s="1243"/>
      <c r="N2372" s="1243"/>
      <c r="O2372" s="1243"/>
    </row>
    <row r="2373" spans="1:15">
      <c r="A2373" s="361">
        <f>A2371+1</f>
        <v>17</v>
      </c>
      <c r="B2373" s="363" t="s">
        <v>1038</v>
      </c>
      <c r="D2373" s="1243"/>
      <c r="E2373" s="1243"/>
      <c r="F2373" s="1243"/>
      <c r="G2373" s="1243"/>
      <c r="I2373" s="1243"/>
      <c r="J2373" s="369"/>
      <c r="K2373" s="1243"/>
      <c r="L2373" s="1243"/>
      <c r="M2373" s="1243"/>
      <c r="N2373" s="1243"/>
      <c r="O2373" s="1243"/>
    </row>
    <row r="2374" spans="1:15">
      <c r="A2374" s="361">
        <f>A2373+1</f>
        <v>18</v>
      </c>
      <c r="B2374" s="365">
        <v>378.21</v>
      </c>
      <c r="C2374" s="358" t="s">
        <v>1037</v>
      </c>
      <c r="D2374" s="1244">
        <f>G2260</f>
        <v>-777092</v>
      </c>
      <c r="E2374" s="1244">
        <v>0</v>
      </c>
      <c r="F2374" s="1244">
        <v>0</v>
      </c>
      <c r="G2374" s="1244">
        <f>SUM(D2374:F2374)</f>
        <v>-777092</v>
      </c>
      <c r="I2374" s="1244">
        <f>O2260</f>
        <v>-221523.70000000022</v>
      </c>
      <c r="J2374" s="376" t="str">
        <f>$J$1690</f>
        <v>Amort.</v>
      </c>
      <c r="K2374" s="1244">
        <f>$K$1348</f>
        <v>-2144.17</v>
      </c>
      <c r="L2374" s="1244">
        <v>0</v>
      </c>
      <c r="M2374" s="1244">
        <f>F2374</f>
        <v>0</v>
      </c>
      <c r="N2374" s="1244">
        <v>0</v>
      </c>
      <c r="O2374" s="1244">
        <f>I2374+K2374+L2374+M2374+N2374</f>
        <v>-223667.87000000023</v>
      </c>
    </row>
    <row r="2375" spans="1:15">
      <c r="A2375" s="361">
        <f>A2374+1</f>
        <v>19</v>
      </c>
      <c r="B2375" s="370"/>
      <c r="C2375" s="358" t="s">
        <v>1579</v>
      </c>
      <c r="D2375" s="1243">
        <f>SUM(D2374)</f>
        <v>-777092</v>
      </c>
      <c r="E2375" s="1243">
        <f>SUM(E2374)</f>
        <v>0</v>
      </c>
      <c r="F2375" s="1243">
        <f>SUM(F2374)</f>
        <v>0</v>
      </c>
      <c r="G2375" s="1243">
        <f>SUM(G2374)</f>
        <v>-777092</v>
      </c>
      <c r="I2375" s="1243">
        <f>SUM(I2374)</f>
        <v>-221523.70000000022</v>
      </c>
      <c r="J2375" s="369"/>
      <c r="K2375" s="1243">
        <f>SUM(K2374)</f>
        <v>-2144.17</v>
      </c>
      <c r="L2375" s="1243">
        <f>SUM(L2374)</f>
        <v>0</v>
      </c>
      <c r="M2375" s="1243">
        <f>SUM(M2374)</f>
        <v>0</v>
      </c>
      <c r="N2375" s="1243">
        <f>SUM(N2374)</f>
        <v>0</v>
      </c>
      <c r="O2375" s="1243">
        <f>SUM(O2374)</f>
        <v>-223667.87000000023</v>
      </c>
    </row>
    <row r="2376" spans="1:15">
      <c r="A2376" s="361"/>
      <c r="B2376" s="370"/>
      <c r="D2376" s="1243"/>
      <c r="E2376" s="1243"/>
      <c r="F2376" s="1243"/>
      <c r="G2376" s="1243"/>
      <c r="I2376" s="1243"/>
      <c r="J2376" s="369"/>
      <c r="K2376" s="1243"/>
      <c r="L2376" s="1243"/>
      <c r="M2376" s="1243"/>
      <c r="N2376" s="1243"/>
      <c r="O2376" s="1243"/>
    </row>
    <row r="2377" spans="1:15">
      <c r="A2377" s="361">
        <f>A2375+1</f>
        <v>20</v>
      </c>
      <c r="B2377" s="370"/>
      <c r="C2377" s="358" t="s">
        <v>2037</v>
      </c>
      <c r="D2377" s="1243">
        <f>D2304+D2337+D2371+D2375</f>
        <v>753084856.66272485</v>
      </c>
      <c r="E2377" s="1243">
        <f>E2304+E2337+E2371+E2375</f>
        <v>1745139.209594612</v>
      </c>
      <c r="F2377" s="1243">
        <f>F2304+F2337+F2371+F2375</f>
        <v>-230032.25921448256</v>
      </c>
      <c r="G2377" s="1243">
        <f>G2304+G2337+G2371+G2375</f>
        <v>754599963.61310506</v>
      </c>
      <c r="I2377" s="1243">
        <f>I2304+I2337+I2371+I2375</f>
        <v>187227470.73687518</v>
      </c>
      <c r="J2377" s="369"/>
      <c r="K2377" s="1243">
        <f>K2304+K2337+K2371+K2375</f>
        <v>1825304.4483326378</v>
      </c>
      <c r="L2377" s="1243">
        <f>L2304+L2337+L2371+L2375</f>
        <v>0</v>
      </c>
      <c r="M2377" s="1243">
        <f>M2304+M2337+M2371+M2375</f>
        <v>-230032.25921448256</v>
      </c>
      <c r="N2377" s="1243">
        <f>N2304+N2337+N2371+N2375</f>
        <v>-19244.074293971134</v>
      </c>
      <c r="O2377" s="1243">
        <f>O2304+O2337+O2371+O2375</f>
        <v>188803498.85169935</v>
      </c>
    </row>
    <row r="2378" spans="1:15">
      <c r="A2378" s="361"/>
      <c r="B2378" s="370"/>
      <c r="D2378" s="1243"/>
      <c r="E2378" s="1243"/>
      <c r="F2378" s="1243"/>
      <c r="G2378" s="1243"/>
      <c r="I2378" s="1243"/>
      <c r="J2378" s="369"/>
      <c r="K2378" s="1243"/>
      <c r="L2378" s="1243"/>
      <c r="M2378" s="1243"/>
      <c r="N2378" s="1243"/>
      <c r="O2378" s="1243"/>
    </row>
    <row r="2379" spans="1:15">
      <c r="A2379" s="361">
        <f>A2377+1</f>
        <v>21</v>
      </c>
      <c r="B2379" s="370"/>
      <c r="C2379" s="358" t="s">
        <v>2038</v>
      </c>
      <c r="D2379" s="1243">
        <v>0</v>
      </c>
      <c r="E2379" s="1249">
        <v>0</v>
      </c>
      <c r="F2379" s="1249">
        <v>0</v>
      </c>
      <c r="G2379" s="1249">
        <f>SUM(D2379:F2379)</f>
        <v>0</v>
      </c>
      <c r="I2379" s="1243">
        <f>O2265</f>
        <v>-6687302.71</v>
      </c>
      <c r="J2379" s="369"/>
      <c r="K2379" s="1243"/>
      <c r="L2379" s="1243"/>
      <c r="M2379" s="1243"/>
      <c r="N2379" s="1243"/>
      <c r="O2379" s="1243">
        <f>I2379+K2379+L2379+M2379+N2379</f>
        <v>-6687302.71</v>
      </c>
    </row>
    <row r="2380" spans="1:15">
      <c r="A2380" s="361"/>
      <c r="B2380" s="370"/>
      <c r="C2380" s="368"/>
      <c r="D2380" s="1243"/>
      <c r="E2380" s="1243"/>
      <c r="F2380" s="1243"/>
      <c r="G2380" s="1243"/>
      <c r="I2380" s="1243"/>
      <c r="J2380" s="369"/>
      <c r="K2380" s="1243"/>
      <c r="L2380" s="1243"/>
      <c r="M2380" s="1243"/>
      <c r="N2380" s="1243"/>
      <c r="O2380" s="1243"/>
    </row>
    <row r="2381" spans="1:15">
      <c r="A2381" s="361">
        <f>A2379+1</f>
        <v>22</v>
      </c>
      <c r="C2381" s="358" t="s">
        <v>1603</v>
      </c>
      <c r="D2381" s="1247">
        <f>D2377+D2379</f>
        <v>753084856.66272485</v>
      </c>
      <c r="E2381" s="1247">
        <f t="shared" ref="E2381:O2381" si="433">E2377+E2379</f>
        <v>1745139.209594612</v>
      </c>
      <c r="F2381" s="1247">
        <f t="shared" si="433"/>
        <v>-230032.25921448256</v>
      </c>
      <c r="G2381" s="1247">
        <f t="shared" si="433"/>
        <v>754599963.61310506</v>
      </c>
      <c r="I2381" s="1247">
        <f t="shared" si="433"/>
        <v>180540168.02687517</v>
      </c>
      <c r="J2381" s="369"/>
      <c r="K2381" s="1247">
        <f t="shared" si="433"/>
        <v>1825304.4483326378</v>
      </c>
      <c r="L2381" s="1247">
        <f t="shared" si="433"/>
        <v>0</v>
      </c>
      <c r="M2381" s="1247">
        <f t="shared" si="433"/>
        <v>-230032.25921448256</v>
      </c>
      <c r="N2381" s="1247">
        <f t="shared" si="433"/>
        <v>-19244.074293971134</v>
      </c>
      <c r="O2381" s="1247">
        <f t="shared" si="433"/>
        <v>182116196.14169934</v>
      </c>
    </row>
    <row r="2382" spans="1:15">
      <c r="A2382" s="361"/>
      <c r="D2382" s="1243"/>
      <c r="E2382" s="1243"/>
      <c r="F2382" s="1243"/>
      <c r="G2382" s="1243"/>
      <c r="I2382" s="1243"/>
      <c r="J2382" s="369"/>
      <c r="K2382" s="1243"/>
      <c r="L2382" s="1243"/>
      <c r="M2382" s="1243"/>
      <c r="N2382" s="1243"/>
      <c r="O2382" s="1243"/>
    </row>
    <row r="2383" spans="1:15">
      <c r="A2383" s="361"/>
      <c r="D2383" s="1243"/>
      <c r="E2383" s="1243"/>
      <c r="F2383" s="1243"/>
      <c r="G2383" s="1243"/>
      <c r="I2383" s="1243"/>
      <c r="J2383" s="369"/>
      <c r="K2383" s="1243"/>
      <c r="L2383" s="1243"/>
      <c r="M2383" s="1243"/>
      <c r="N2383" s="1243"/>
      <c r="O2383" s="1243"/>
    </row>
    <row r="2384" spans="1:15">
      <c r="A2384" s="361">
        <f>A2381+1</f>
        <v>23</v>
      </c>
      <c r="B2384" s="363" t="s">
        <v>1774</v>
      </c>
      <c r="D2384" s="1243"/>
      <c r="E2384" s="1243"/>
      <c r="F2384" s="1243"/>
      <c r="G2384" s="1243"/>
      <c r="I2384" s="1243"/>
      <c r="J2384" s="369"/>
      <c r="K2384" s="1243"/>
      <c r="L2384" s="1243"/>
      <c r="M2384" s="1243"/>
      <c r="N2384" s="1243"/>
      <c r="O2384" s="1243"/>
    </row>
    <row r="2385" spans="1:16">
      <c r="A2385" s="361">
        <f t="shared" ref="A2385:A2390" si="434">A2384+1</f>
        <v>24</v>
      </c>
      <c r="B2385" s="365">
        <v>376</v>
      </c>
      <c r="C2385" s="358" t="s">
        <v>1775</v>
      </c>
      <c r="D2385" s="1243">
        <f>G2271</f>
        <v>41145560.138593905</v>
      </c>
      <c r="E2385" s="1243">
        <f>'WPB-2.1.D SMRP'!E938</f>
        <v>2783904.0244020014</v>
      </c>
      <c r="F2385" s="1243">
        <f>'WPB-2.1.D SMRP'!F938</f>
        <v>-22782.86</v>
      </c>
      <c r="G2385" s="1243">
        <f>SUM(D2385:F2385)</f>
        <v>43906681.302995905</v>
      </c>
      <c r="I2385" s="1243">
        <f>O2271</f>
        <v>230245.88853774991</v>
      </c>
      <c r="J2385" s="376">
        <f>$J$1701</f>
        <v>1.7399999999999999E-2</v>
      </c>
      <c r="K2385" s="1243">
        <f>'WPB-2.1.D SMRP'!K938</f>
        <v>61662.813000000002</v>
      </c>
      <c r="L2385" s="1243">
        <v>0</v>
      </c>
      <c r="M2385" s="1243">
        <f>F2385</f>
        <v>-22782.86</v>
      </c>
      <c r="N2385" s="1243">
        <f>'WPB-2.1.D SMRP'!N938</f>
        <v>-11780.012318825358</v>
      </c>
      <c r="O2385" s="1243">
        <f>I2385+K2385+L2385+M2385+N2385</f>
        <v>257345.82921892457</v>
      </c>
    </row>
    <row r="2386" spans="1:16">
      <c r="A2386" s="361">
        <f t="shared" si="434"/>
        <v>25</v>
      </c>
      <c r="B2386" s="365">
        <v>378.2</v>
      </c>
      <c r="C2386" s="358" t="s">
        <v>1776</v>
      </c>
      <c r="D2386" s="1243">
        <f>G2272</f>
        <v>436773.86809366115</v>
      </c>
      <c r="E2386" s="1243">
        <f>'WPB-2.1.D SMRP'!E939</f>
        <v>57075.666214932549</v>
      </c>
      <c r="F2386" s="1243">
        <f>'WPB-2.1.D SMRP'!F939</f>
        <v>-42480.748564683585</v>
      </c>
      <c r="G2386" s="1243">
        <f>SUM(D2386:F2386)</f>
        <v>451368.78574391012</v>
      </c>
      <c r="I2386" s="1243">
        <f>O2272</f>
        <v>-664090.05502493191</v>
      </c>
      <c r="J2386" s="376">
        <f>$J$1702</f>
        <v>2.52E-2</v>
      </c>
      <c r="K2386" s="1243">
        <f>'WPB-2.1.D SMRP'!K939</f>
        <v>932.32500000000005</v>
      </c>
      <c r="L2386" s="1243">
        <v>0</v>
      </c>
      <c r="M2386" s="1243">
        <f>F2386</f>
        <v>-42480.748564683585</v>
      </c>
      <c r="N2386" s="1243">
        <f>'WPB-2.1.D SMRP'!N939</f>
        <v>-120367.16440580857</v>
      </c>
      <c r="O2386" s="1243">
        <f>I2386+K2386+L2386+M2386+N2386</f>
        <v>-826005.6429954241</v>
      </c>
    </row>
    <row r="2387" spans="1:16">
      <c r="A2387" s="361">
        <f t="shared" si="434"/>
        <v>26</v>
      </c>
      <c r="B2387" s="365">
        <v>380</v>
      </c>
      <c r="C2387" s="358" t="s">
        <v>1777</v>
      </c>
      <c r="D2387" s="1243">
        <f>G2273</f>
        <v>18420436.571352985</v>
      </c>
      <c r="E2387" s="1243">
        <f>'WPB-2.1.D SMRP'!E940</f>
        <v>1694212.25</v>
      </c>
      <c r="F2387" s="1243">
        <f>'WPB-2.1.D SMRP'!F940</f>
        <v>-433456.48261251091</v>
      </c>
      <c r="G2387" s="1243">
        <f>SUM(D2387:F2387)</f>
        <v>19681192.338740475</v>
      </c>
      <c r="I2387" s="1243">
        <f>O2273</f>
        <v>-8763900.8626038022</v>
      </c>
      <c r="J2387" s="376">
        <f>$J$1703</f>
        <v>3.9800000000000002E-2</v>
      </c>
      <c r="K2387" s="1243">
        <f>'WPB-2.1.D SMRP'!K940</f>
        <v>63184.752999999997</v>
      </c>
      <c r="L2387" s="1243">
        <v>0</v>
      </c>
      <c r="M2387" s="1243">
        <f>F2387</f>
        <v>-433456.48261251091</v>
      </c>
      <c r="N2387" s="1243">
        <f>'WPB-2.1.D SMRP'!N940</f>
        <v>-215452.50898139496</v>
      </c>
      <c r="O2387" s="1243">
        <f>I2387+K2387+L2387+M2387+N2387</f>
        <v>-9349625.1011977084</v>
      </c>
    </row>
    <row r="2388" spans="1:16">
      <c r="A2388" s="361">
        <f t="shared" si="434"/>
        <v>27</v>
      </c>
      <c r="B2388" s="365">
        <v>382</v>
      </c>
      <c r="C2388" s="358" t="s">
        <v>1778</v>
      </c>
      <c r="D2388" s="1243">
        <f>G2274</f>
        <v>189719.96735617745</v>
      </c>
      <c r="E2388" s="1243">
        <f>'WPB-2.1.D SMRP'!E941</f>
        <v>5131.59</v>
      </c>
      <c r="F2388" s="1243">
        <f>'WPB-2.1.D SMRP'!F941</f>
        <v>-2821.4321866759965</v>
      </c>
      <c r="G2388" s="1243">
        <f>SUM(D2388:F2388)</f>
        <v>192030.12516950147</v>
      </c>
      <c r="I2388" s="1243">
        <f>O2274</f>
        <v>-67421.923643822505</v>
      </c>
      <c r="J2388" s="376">
        <f>$J$1704</f>
        <v>1.77E-2</v>
      </c>
      <c r="K2388" s="1243">
        <f>'WPB-2.1.D SMRP'!K941</f>
        <v>281.70400000000001</v>
      </c>
      <c r="L2388" s="1243">
        <v>0</v>
      </c>
      <c r="M2388" s="1243">
        <f>F2388</f>
        <v>-2821.4321866759965</v>
      </c>
      <c r="N2388" s="1243">
        <f>'WPB-2.1.D SMRP'!N941</f>
        <v>0</v>
      </c>
      <c r="O2388" s="1243">
        <f>I2388+K2388+L2388+M2388+N2388</f>
        <v>-69961.651830498507</v>
      </c>
    </row>
    <row r="2389" spans="1:16">
      <c r="A2389" s="361">
        <f t="shared" si="434"/>
        <v>28</v>
      </c>
      <c r="B2389" s="365">
        <v>383</v>
      </c>
      <c r="C2389" s="358" t="s">
        <v>1779</v>
      </c>
      <c r="D2389" s="1244">
        <f>G2275</f>
        <v>85970.188688827417</v>
      </c>
      <c r="E2389" s="1244">
        <f>'WPB-2.1.D SMRP'!E942</f>
        <v>14593.285307749693</v>
      </c>
      <c r="F2389" s="1244">
        <f>'WPB-2.1.D SMRP'!F942</f>
        <v>-309.5274216469432</v>
      </c>
      <c r="G2389" s="1244">
        <f>SUM(D2389:F2389)</f>
        <v>100253.94657493017</v>
      </c>
      <c r="I2389" s="1244">
        <f>O2275</f>
        <v>-8501.4765289274674</v>
      </c>
      <c r="J2389" s="376">
        <f>$J$1705</f>
        <v>1.9400000000000001E-2</v>
      </c>
      <c r="K2389" s="1244">
        <f>'WPB-2.1.D SMRP'!K942</f>
        <v>150.54599999999999</v>
      </c>
      <c r="L2389" s="1244">
        <v>0</v>
      </c>
      <c r="M2389" s="1244">
        <f>F2389</f>
        <v>-309.5274216469432</v>
      </c>
      <c r="N2389" s="1244">
        <f>'WPB-2.1.D SMRP'!N942</f>
        <v>0</v>
      </c>
      <c r="O2389" s="1244">
        <f>I2389+K2389+L2389+M2389+N2389</f>
        <v>-8660.4579505744096</v>
      </c>
    </row>
    <row r="2390" spans="1:16">
      <c r="A2390" s="361">
        <f t="shared" si="434"/>
        <v>29</v>
      </c>
      <c r="C2390" s="358" t="s">
        <v>1780</v>
      </c>
      <c r="D2390" s="1243">
        <f>SUM(D2385:D2389)</f>
        <v>60278460.73408556</v>
      </c>
      <c r="E2390" s="1243">
        <f>SUM(E2385:E2389)</f>
        <v>4554916.8159246836</v>
      </c>
      <c r="F2390" s="1243">
        <f>SUM(F2385:F2389)</f>
        <v>-501851.05078551744</v>
      </c>
      <c r="G2390" s="1243">
        <f>SUM(G2385:G2389)</f>
        <v>64331526.499224722</v>
      </c>
      <c r="I2390" s="1243">
        <f>SUM(I2385:I2389)</f>
        <v>-9273668.4292637333</v>
      </c>
      <c r="J2390" s="369"/>
      <c r="K2390" s="1243">
        <f>SUM(K2385:K2389)</f>
        <v>126212.141</v>
      </c>
      <c r="L2390" s="1243">
        <f>SUM(L2385:L2389)</f>
        <v>0</v>
      </c>
      <c r="M2390" s="1243">
        <f>SUM(M2385:M2389)</f>
        <v>-501851.05078551744</v>
      </c>
      <c r="N2390" s="1243">
        <f>SUM(N2385:N2389)</f>
        <v>-347599.68570602889</v>
      </c>
      <c r="O2390" s="1243">
        <f>SUM(O2385:O2389)</f>
        <v>-9996907.0247552823</v>
      </c>
    </row>
    <row r="2391" spans="1:16">
      <c r="A2391" s="361"/>
      <c r="D2391" s="1243"/>
      <c r="E2391" s="1243"/>
      <c r="F2391" s="1243"/>
      <c r="G2391" s="1243"/>
      <c r="I2391" s="1243"/>
      <c r="J2391" s="369"/>
      <c r="K2391" s="1243"/>
      <c r="L2391" s="1243"/>
      <c r="M2391" s="1243"/>
      <c r="N2391" s="1243"/>
      <c r="O2391" s="1243"/>
    </row>
    <row r="2392" spans="1:16" ht="13.5" thickBot="1">
      <c r="A2392" s="361">
        <f>A2390+1</f>
        <v>30</v>
      </c>
      <c r="C2392" s="358" t="s">
        <v>447</v>
      </c>
      <c r="D2392" s="1248">
        <f>D2381+D2390</f>
        <v>813363317.39681041</v>
      </c>
      <c r="E2392" s="1248">
        <f>E2381+E2390</f>
        <v>6300056.0255192956</v>
      </c>
      <c r="F2392" s="1248">
        <f>F2381+F2390</f>
        <v>-731883.31</v>
      </c>
      <c r="G2392" s="1248">
        <f>G2381+G2390</f>
        <v>818931490.11232972</v>
      </c>
      <c r="I2392" s="1248">
        <f>I2381+I2390</f>
        <v>171266499.59761143</v>
      </c>
      <c r="J2392" s="369"/>
      <c r="K2392" s="1248">
        <f>K2381+K2390</f>
        <v>1951516.5893326378</v>
      </c>
      <c r="L2392" s="1248">
        <f>L2381+L2390</f>
        <v>0</v>
      </c>
      <c r="M2392" s="1248">
        <f>M2381+M2390</f>
        <v>-731883.31</v>
      </c>
      <c r="N2392" s="1248">
        <f>N2381+N2390</f>
        <v>-366843.76</v>
      </c>
      <c r="O2392" s="1248">
        <f>O2381+O2390</f>
        <v>172119289.11694407</v>
      </c>
    </row>
    <row r="2393" spans="1:16" ht="13.5" thickTop="1"/>
    <row r="2395" spans="1:16" s="291" customFormat="1">
      <c r="A2395" s="1308" t="str">
        <f>$A$1</f>
        <v>COLUMBIA GAS OF KENTUCKY, INC.</v>
      </c>
      <c r="B2395" s="1308"/>
      <c r="C2395" s="1308"/>
      <c r="D2395" s="1308"/>
      <c r="E2395" s="1308"/>
      <c r="F2395" s="1308"/>
      <c r="G2395" s="1308"/>
      <c r="H2395" s="1308"/>
      <c r="I2395" s="1308"/>
      <c r="J2395" s="1308"/>
      <c r="K2395" s="1308"/>
      <c r="L2395" s="1308"/>
      <c r="M2395" s="1308"/>
      <c r="N2395" s="1308"/>
      <c r="O2395" s="1308"/>
    </row>
    <row r="2396" spans="1:16" s="291" customFormat="1">
      <c r="A2396" s="1308" t="str">
        <f>$A$2</f>
        <v>CASE NO. 2024 - 00092</v>
      </c>
      <c r="B2396" s="1308"/>
      <c r="C2396" s="1308"/>
      <c r="D2396" s="1308"/>
      <c r="E2396" s="1308"/>
      <c r="F2396" s="1308"/>
      <c r="G2396" s="1308"/>
      <c r="H2396" s="1308"/>
      <c r="I2396" s="1308"/>
      <c r="J2396" s="1308"/>
      <c r="K2396" s="1308"/>
      <c r="L2396" s="1308"/>
      <c r="M2396" s="1308"/>
      <c r="N2396" s="1308"/>
      <c r="O2396" s="1308"/>
    </row>
    <row r="2397" spans="1:16" s="291" customFormat="1">
      <c r="A2397" s="1308" t="str">
        <f>$A$3</f>
        <v>DETAIL OF ACTUAL &amp; FORECASTED PLANT, ACCUMULATED RESERVE &amp; DEPRECIATION EXPENSE</v>
      </c>
      <c r="B2397" s="1308"/>
      <c r="C2397" s="1308"/>
      <c r="D2397" s="1308"/>
      <c r="E2397" s="1308"/>
      <c r="F2397" s="1308"/>
      <c r="G2397" s="1308"/>
      <c r="H2397" s="1308"/>
      <c r="I2397" s="1308"/>
      <c r="J2397" s="1308"/>
      <c r="K2397" s="1308"/>
      <c r="L2397" s="1308"/>
      <c r="M2397" s="1308"/>
      <c r="N2397" s="1308"/>
      <c r="O2397" s="1308"/>
      <c r="P2397" s="357"/>
    </row>
    <row r="2398" spans="1:16" s="291" customFormat="1">
      <c r="A2398" s="1308" t="str">
        <f>$A$4</f>
        <v>FROM JANUARY 01, 2023 THROUGH DECEMBER 31, 2025</v>
      </c>
      <c r="B2398" s="1308"/>
      <c r="C2398" s="1308"/>
      <c r="D2398" s="1308"/>
      <c r="E2398" s="1308"/>
      <c r="F2398" s="1308"/>
      <c r="G2398" s="1308"/>
      <c r="H2398" s="1308"/>
      <c r="I2398" s="1308"/>
      <c r="J2398" s="1308"/>
      <c r="K2398" s="1308"/>
      <c r="L2398" s="1308"/>
      <c r="M2398" s="1308"/>
      <c r="N2398" s="1308"/>
      <c r="O2398" s="1308"/>
    </row>
    <row r="2399" spans="1:16" s="291" customFormat="1">
      <c r="B2399" s="293"/>
      <c r="P2399" s="312"/>
    </row>
    <row r="2400" spans="1:16" s="291" customFormat="1">
      <c r="A2400" s="297" t="str">
        <f>$A$6</f>
        <v xml:space="preserve">DATA: _X_ BASE PERIOD _X_ FORECASTED PERIOD     </v>
      </c>
      <c r="B2400" s="293"/>
      <c r="O2400" s="312" t="str">
        <f>$O$6</f>
        <v>WPB-2.1.C</v>
      </c>
      <c r="P2400" s="312"/>
    </row>
    <row r="2401" spans="1:16" s="291" customFormat="1">
      <c r="A2401" s="297" t="str">
        <f>$A$7</f>
        <v>TYPE OF FILING:___X___ORIGINAL______UPDATED</v>
      </c>
      <c r="B2401" s="293"/>
      <c r="O2401" s="312" t="s">
        <v>2180</v>
      </c>
      <c r="P2401" s="312"/>
    </row>
    <row r="2402" spans="1:16" s="291" customFormat="1">
      <c r="A2402" s="297" t="str">
        <f>$A$8</f>
        <v>WORKPAPER REFERENCE NO(S).:</v>
      </c>
      <c r="B2402" s="293"/>
      <c r="O2402" s="312" t="str">
        <f>$O$8</f>
        <v>WITNESS: GORE</v>
      </c>
    </row>
    <row r="2403" spans="1:16">
      <c r="A2403" s="918"/>
      <c r="B2403" s="919"/>
      <c r="C2403" s="918"/>
      <c r="D2403" s="918"/>
      <c r="E2403" s="918"/>
      <c r="F2403" s="918"/>
      <c r="G2403" s="918"/>
      <c r="H2403" s="918"/>
      <c r="I2403" s="918"/>
      <c r="J2403" s="918"/>
      <c r="K2403" s="918"/>
      <c r="L2403" s="918"/>
      <c r="M2403" s="918"/>
      <c r="N2403" s="918"/>
      <c r="O2403" s="920"/>
    </row>
    <row r="2404" spans="1:16">
      <c r="D2404" s="1311" t="s">
        <v>1768</v>
      </c>
      <c r="E2404" s="1311"/>
      <c r="F2404" s="1311"/>
      <c r="G2404" s="1311"/>
      <c r="I2404" s="1311" t="s">
        <v>1769</v>
      </c>
      <c r="J2404" s="1311"/>
      <c r="K2404" s="1311"/>
      <c r="L2404" s="1311"/>
      <c r="M2404" s="1311"/>
      <c r="N2404" s="1311"/>
      <c r="O2404" s="1311"/>
    </row>
    <row r="2405" spans="1:16">
      <c r="D2405" s="360">
        <f>G2350+1</f>
        <v>45566</v>
      </c>
      <c r="G2405" s="360">
        <f>D2405+30</f>
        <v>45596</v>
      </c>
      <c r="I2405" s="360">
        <f>D2405</f>
        <v>45566</v>
      </c>
      <c r="O2405" s="360">
        <f>G2405</f>
        <v>45596</v>
      </c>
    </row>
    <row r="2406" spans="1:16">
      <c r="D2406" s="361" t="s">
        <v>1757</v>
      </c>
      <c r="G2406" s="361" t="s">
        <v>1757</v>
      </c>
      <c r="I2406" s="361" t="s">
        <v>1758</v>
      </c>
      <c r="J2406" s="361" t="s">
        <v>488</v>
      </c>
      <c r="L2406" s="361" t="s">
        <v>1758</v>
      </c>
      <c r="O2406" s="361" t="s">
        <v>1758</v>
      </c>
    </row>
    <row r="2407" spans="1:16">
      <c r="A2407" s="361" t="s">
        <v>1770</v>
      </c>
      <c r="B2407" s="361" t="s">
        <v>368</v>
      </c>
      <c r="C2407" s="361"/>
      <c r="D2407" s="361" t="s">
        <v>437</v>
      </c>
      <c r="G2407" s="361" t="s">
        <v>439</v>
      </c>
      <c r="I2407" s="361" t="s">
        <v>437</v>
      </c>
      <c r="J2407" s="361" t="s">
        <v>1771</v>
      </c>
      <c r="K2407" s="361" t="s">
        <v>1772</v>
      </c>
      <c r="L2407" s="361" t="s">
        <v>1759</v>
      </c>
      <c r="N2407" s="361" t="s">
        <v>1760</v>
      </c>
      <c r="O2407" s="361" t="s">
        <v>439</v>
      </c>
    </row>
    <row r="2408" spans="1:16">
      <c r="A2408" s="364" t="s">
        <v>316</v>
      </c>
      <c r="B2408" s="364" t="s">
        <v>316</v>
      </c>
      <c r="C2408" s="364" t="s">
        <v>451</v>
      </c>
      <c r="D2408" s="364" t="s">
        <v>441</v>
      </c>
      <c r="E2408" s="364" t="s">
        <v>442</v>
      </c>
      <c r="F2408" s="364" t="s">
        <v>443</v>
      </c>
      <c r="G2408" s="364" t="s">
        <v>441</v>
      </c>
      <c r="I2408" s="364" t="s">
        <v>441</v>
      </c>
      <c r="J2408" s="364" t="s">
        <v>1773</v>
      </c>
      <c r="K2408" s="364" t="s">
        <v>1771</v>
      </c>
      <c r="L2408" s="364" t="s">
        <v>355</v>
      </c>
      <c r="M2408" s="364" t="s">
        <v>443</v>
      </c>
      <c r="N2408" s="364" t="s">
        <v>1763</v>
      </c>
      <c r="O2408" s="364" t="s">
        <v>441</v>
      </c>
    </row>
    <row r="2409" spans="1:16">
      <c r="D2409" s="361" t="s">
        <v>532</v>
      </c>
      <c r="E2409" s="361" t="s">
        <v>541</v>
      </c>
      <c r="F2409" s="361" t="s">
        <v>542</v>
      </c>
      <c r="G2409" s="361" t="s">
        <v>1764</v>
      </c>
      <c r="I2409" s="334" t="str">
        <f>"(5)"</f>
        <v>(5)</v>
      </c>
      <c r="J2409" s="334" t="str">
        <f>"(6)"</f>
        <v>(6)</v>
      </c>
      <c r="K2409" s="334" t="str">
        <f>"(7)=((1+4)/2*6/12))"</f>
        <v>(7)=((1+4)/2*6/12))</v>
      </c>
      <c r="L2409" s="334" t="str">
        <f>"(8)"</f>
        <v>(8)</v>
      </c>
      <c r="M2409" s="334" t="str">
        <f>"(9)"</f>
        <v>(9)</v>
      </c>
      <c r="N2409" s="334" t="str">
        <f>"(10)"</f>
        <v>(10)</v>
      </c>
      <c r="O2409" s="334" t="str">
        <f>"(11=5+7+8+9+10)"</f>
        <v>(11=5+7+8+9+10)</v>
      </c>
    </row>
    <row r="2410" spans="1:16">
      <c r="D2410" s="361" t="s">
        <v>320</v>
      </c>
      <c r="E2410" s="361" t="s">
        <v>320</v>
      </c>
      <c r="F2410" s="361" t="s">
        <v>320</v>
      </c>
      <c r="G2410" s="361" t="s">
        <v>320</v>
      </c>
      <c r="I2410" s="334" t="s">
        <v>320</v>
      </c>
      <c r="J2410" s="334" t="s">
        <v>529</v>
      </c>
      <c r="K2410" s="334" t="s">
        <v>320</v>
      </c>
      <c r="L2410" s="334" t="s">
        <v>320</v>
      </c>
      <c r="M2410" s="334" t="s">
        <v>320</v>
      </c>
      <c r="N2410" s="334" t="s">
        <v>320</v>
      </c>
      <c r="O2410" s="334" t="s">
        <v>320</v>
      </c>
    </row>
    <row r="2411" spans="1:16">
      <c r="A2411" s="361">
        <v>1</v>
      </c>
      <c r="B2411" s="362" t="s">
        <v>373</v>
      </c>
      <c r="D2411" s="361"/>
      <c r="E2411" s="361"/>
      <c r="F2411" s="361"/>
      <c r="G2411" s="361"/>
      <c r="I2411" s="334"/>
      <c r="J2411" s="334"/>
      <c r="K2411" s="334"/>
      <c r="L2411" s="334"/>
      <c r="M2411" s="334"/>
      <c r="N2411" s="334"/>
      <c r="O2411" s="334"/>
    </row>
    <row r="2412" spans="1:16">
      <c r="A2412" s="361">
        <f>A2411+1</f>
        <v>2</v>
      </c>
      <c r="B2412" s="365">
        <v>301</v>
      </c>
      <c r="C2412" s="358" t="s">
        <v>374</v>
      </c>
      <c r="D2412" s="1243">
        <f t="shared" ref="D2412:D2417" si="435">G2298</f>
        <v>521.20000000000005</v>
      </c>
      <c r="E2412" s="1243">
        <v>0</v>
      </c>
      <c r="F2412" s="1243">
        <v>0</v>
      </c>
      <c r="G2412" s="1243">
        <f t="shared" ref="G2412:G2417" si="436">SUM(D2412:F2412)</f>
        <v>521.20000000000005</v>
      </c>
      <c r="H2412" s="1243"/>
      <c r="I2412" s="1243">
        <f t="shared" ref="I2412:I2417" si="437">O2298</f>
        <v>0</v>
      </c>
      <c r="J2412" s="375" t="str">
        <f>$J$1614</f>
        <v>Amort.</v>
      </c>
      <c r="K2412" s="1243">
        <v>0</v>
      </c>
      <c r="L2412" s="1243">
        <v>0</v>
      </c>
      <c r="M2412" s="1243">
        <f t="shared" ref="M2412:M2417" si="438">F2412</f>
        <v>0</v>
      </c>
      <c r="N2412" s="1243">
        <v>0</v>
      </c>
      <c r="O2412" s="1243">
        <f t="shared" ref="O2412:O2417" si="439">I2412+K2412+L2412+M2412+N2412</f>
        <v>0</v>
      </c>
    </row>
    <row r="2413" spans="1:16">
      <c r="A2413" s="361">
        <f t="shared" ref="A2413:A2418" si="440">A2412+1</f>
        <v>3</v>
      </c>
      <c r="B2413" s="365">
        <v>303</v>
      </c>
      <c r="C2413" s="358" t="s">
        <v>375</v>
      </c>
      <c r="D2413" s="1243">
        <f t="shared" si="435"/>
        <v>96334.51</v>
      </c>
      <c r="E2413" s="1243">
        <v>0</v>
      </c>
      <c r="F2413" s="1243">
        <v>0</v>
      </c>
      <c r="G2413" s="1243">
        <f t="shared" si="436"/>
        <v>96334.51</v>
      </c>
      <c r="H2413" s="1243"/>
      <c r="I2413" s="1243">
        <f t="shared" si="437"/>
        <v>81270.750250000085</v>
      </c>
      <c r="J2413" s="375" t="str">
        <f>$J$1615</f>
        <v>Amort.</v>
      </c>
      <c r="K2413" s="1243">
        <f>+'WPB-2.1.E Intangibles'!N47</f>
        <v>267.59780555555557</v>
      </c>
      <c r="L2413" s="1243">
        <v>0</v>
      </c>
      <c r="M2413" s="1243">
        <f t="shared" si="438"/>
        <v>0</v>
      </c>
      <c r="N2413" s="1243">
        <v>0</v>
      </c>
      <c r="O2413" s="1243">
        <f t="shared" si="439"/>
        <v>81538.348055555645</v>
      </c>
    </row>
    <row r="2414" spans="1:16">
      <c r="A2414" s="361">
        <f t="shared" si="440"/>
        <v>4</v>
      </c>
      <c r="B2414" s="365">
        <v>303.10000000000002</v>
      </c>
      <c r="C2414" s="358" t="s">
        <v>376</v>
      </c>
      <c r="D2414" s="1243">
        <f t="shared" si="435"/>
        <v>943.27</v>
      </c>
      <c r="E2414" s="1243">
        <v>0</v>
      </c>
      <c r="F2414" s="1243">
        <v>0</v>
      </c>
      <c r="G2414" s="1243">
        <f t="shared" si="436"/>
        <v>943.27</v>
      </c>
      <c r="H2414" s="1243"/>
      <c r="I2414" s="1243">
        <f t="shared" si="437"/>
        <v>318.35000000000008</v>
      </c>
      <c r="J2414" s="375" t="str">
        <f>$J$1616</f>
        <v>Amort.</v>
      </c>
      <c r="K2414" s="1243">
        <v>0</v>
      </c>
      <c r="L2414" s="1243">
        <v>0</v>
      </c>
      <c r="M2414" s="1243">
        <f t="shared" si="438"/>
        <v>0</v>
      </c>
      <c r="N2414" s="1243">
        <v>0</v>
      </c>
      <c r="O2414" s="1243">
        <f t="shared" si="439"/>
        <v>318.35000000000008</v>
      </c>
    </row>
    <row r="2415" spans="1:16">
      <c r="A2415" s="361">
        <f t="shared" si="440"/>
        <v>5</v>
      </c>
      <c r="B2415" s="365">
        <v>303.2</v>
      </c>
      <c r="C2415" s="358" t="s">
        <v>377</v>
      </c>
      <c r="D2415" s="1243">
        <f t="shared" si="435"/>
        <v>0</v>
      </c>
      <c r="E2415" s="1243">
        <v>0</v>
      </c>
      <c r="F2415" s="1243">
        <v>0</v>
      </c>
      <c r="G2415" s="1243">
        <f t="shared" si="436"/>
        <v>0</v>
      </c>
      <c r="H2415" s="1243"/>
      <c r="I2415" s="1243">
        <f t="shared" si="437"/>
        <v>0</v>
      </c>
      <c r="J2415" s="375" t="str">
        <f>$J$1617</f>
        <v>Amort.</v>
      </c>
      <c r="K2415" s="1243">
        <v>0</v>
      </c>
      <c r="L2415" s="1243">
        <v>0</v>
      </c>
      <c r="M2415" s="1243">
        <f t="shared" si="438"/>
        <v>0</v>
      </c>
      <c r="N2415" s="1243">
        <v>0</v>
      </c>
      <c r="O2415" s="1243">
        <f t="shared" si="439"/>
        <v>0</v>
      </c>
    </row>
    <row r="2416" spans="1:16">
      <c r="A2416" s="361">
        <f t="shared" si="440"/>
        <v>6</v>
      </c>
      <c r="B2416" s="365">
        <v>303.3</v>
      </c>
      <c r="C2416" s="358" t="s">
        <v>378</v>
      </c>
      <c r="D2416" s="1243">
        <f t="shared" si="435"/>
        <v>12567359.010000004</v>
      </c>
      <c r="E2416" s="1243">
        <f>+'WPB-2.1.E Intangibles'!N17</f>
        <v>197898</v>
      </c>
      <c r="F2416" s="1243">
        <f>-'WPB-2.1.E Intangibles'!N35</f>
        <v>-40480.840000000004</v>
      </c>
      <c r="G2416" s="1243">
        <f t="shared" si="436"/>
        <v>12724776.170000004</v>
      </c>
      <c r="H2416" s="1243"/>
      <c r="I2416" s="1243">
        <f t="shared" si="437"/>
        <v>5730592.6226666709</v>
      </c>
      <c r="J2416" s="375" t="str">
        <f>$J$1618</f>
        <v>Amort.</v>
      </c>
      <c r="K2416" s="1243">
        <f>+'WPB-2.1.E Intangibles'!N48</f>
        <v>214543.06400000016</v>
      </c>
      <c r="L2416" s="1243">
        <v>0</v>
      </c>
      <c r="M2416" s="1243">
        <f t="shared" si="438"/>
        <v>-40480.840000000004</v>
      </c>
      <c r="N2416" s="1243">
        <v>0</v>
      </c>
      <c r="O2416" s="1243">
        <f t="shared" si="439"/>
        <v>5904654.8466666713</v>
      </c>
    </row>
    <row r="2417" spans="1:15">
      <c r="A2417" s="361">
        <f t="shared" si="440"/>
        <v>7</v>
      </c>
      <c r="B2417" s="365">
        <v>303.99</v>
      </c>
      <c r="C2417" s="358" t="s">
        <v>1129</v>
      </c>
      <c r="D2417" s="1244">
        <f t="shared" si="435"/>
        <v>2095593.2923296678</v>
      </c>
      <c r="E2417" s="1244">
        <f>+'WPB-2.1.E Intangibles'!N21</f>
        <v>15517.312203905918</v>
      </c>
      <c r="F2417" s="1244">
        <f>-'WPB-2.1.E Intangibles'!N36</f>
        <v>-79.48</v>
      </c>
      <c r="G2417" s="1244">
        <f t="shared" si="436"/>
        <v>2111031.1245335736</v>
      </c>
      <c r="H2417" s="1243"/>
      <c r="I2417" s="1244">
        <f t="shared" si="437"/>
        <v>1214330.6930273364</v>
      </c>
      <c r="J2417" s="375" t="str">
        <f>$J$1619</f>
        <v>Amort.</v>
      </c>
      <c r="K2417" s="1244">
        <f>+'WPB-2.1.E Intangibles'!N49</f>
        <v>35563.958174775064</v>
      </c>
      <c r="L2417" s="1244">
        <v>0</v>
      </c>
      <c r="M2417" s="1244">
        <f t="shared" si="438"/>
        <v>-79.48</v>
      </c>
      <c r="N2417" s="1244">
        <v>0</v>
      </c>
      <c r="O2417" s="1244">
        <f t="shared" si="439"/>
        <v>1249815.1712021115</v>
      </c>
    </row>
    <row r="2418" spans="1:15">
      <c r="A2418" s="361">
        <f t="shared" si="440"/>
        <v>8</v>
      </c>
      <c r="B2418" s="367"/>
      <c r="C2418" s="358" t="s">
        <v>379</v>
      </c>
      <c r="D2418" s="1243">
        <f>SUM(D2412:D2417)</f>
        <v>14760751.282329671</v>
      </c>
      <c r="E2418" s="1243">
        <f>SUM(E2412:E2417)</f>
        <v>213415.31220390592</v>
      </c>
      <c r="F2418" s="1243">
        <f>SUM(F2412:F2417)</f>
        <v>-40560.320000000007</v>
      </c>
      <c r="G2418" s="1243">
        <f>SUM(G2412:G2417)</f>
        <v>14933606.274533577</v>
      </c>
      <c r="H2418" s="1243"/>
      <c r="I2418" s="1243">
        <f>SUM(I2412:I2417)</f>
        <v>7026512.4159440072</v>
      </c>
      <c r="J2418" s="369"/>
      <c r="K2418" s="1243">
        <f>SUM(K2412:K2417)</f>
        <v>250374.61998033078</v>
      </c>
      <c r="L2418" s="1243">
        <f>SUM(L2412:L2417)</f>
        <v>0</v>
      </c>
      <c r="M2418" s="1243">
        <f>SUM(M2412:M2417)</f>
        <v>-40560.320000000007</v>
      </c>
      <c r="N2418" s="1243">
        <f>SUM(N2412:N2417)</f>
        <v>0</v>
      </c>
      <c r="O2418" s="1243">
        <f>SUM(O2412:O2417)</f>
        <v>7236326.7159243394</v>
      </c>
    </row>
    <row r="2419" spans="1:15">
      <c r="A2419" s="361"/>
      <c r="B2419" s="367"/>
      <c r="C2419" s="368"/>
      <c r="D2419" s="1243"/>
      <c r="E2419" s="1243"/>
      <c r="F2419" s="1243"/>
      <c r="G2419" s="1243"/>
      <c r="H2419" s="1243"/>
      <c r="I2419" s="1243"/>
      <c r="J2419" s="369"/>
      <c r="K2419" s="1243"/>
      <c r="L2419" s="1243"/>
      <c r="M2419" s="1243"/>
      <c r="N2419" s="1243"/>
      <c r="O2419" s="1243"/>
    </row>
    <row r="2420" spans="1:15">
      <c r="A2420" s="361">
        <f>A2418+1</f>
        <v>9</v>
      </c>
      <c r="B2420" s="358" t="s">
        <v>1600</v>
      </c>
      <c r="C2420" s="368"/>
      <c r="D2420" s="1243"/>
      <c r="E2420" s="1243"/>
      <c r="F2420" s="1243"/>
      <c r="G2420" s="1243"/>
      <c r="H2420" s="1243"/>
      <c r="I2420" s="1243"/>
      <c r="J2420" s="369"/>
      <c r="K2420" s="1243"/>
      <c r="L2420" s="1243"/>
      <c r="M2420" s="1243"/>
      <c r="N2420" s="1243"/>
      <c r="O2420" s="1243"/>
    </row>
    <row r="2421" spans="1:15">
      <c r="A2421" s="361">
        <f t="shared" ref="A2421:A2451" si="441">A2420+1</f>
        <v>10</v>
      </c>
      <c r="B2421" s="365">
        <v>374.1</v>
      </c>
      <c r="C2421" s="358" t="s">
        <v>382</v>
      </c>
      <c r="D2421" s="1243">
        <f t="shared" ref="D2421:D2450" si="442">G2307</f>
        <v>205.4</v>
      </c>
      <c r="E2421" s="1243">
        <f>+'INPUT - B Schedule PLANT'!DN15</f>
        <v>0</v>
      </c>
      <c r="F2421" s="1243">
        <f>+'INPUT - B Schedule PLANT'!DO15</f>
        <v>0</v>
      </c>
      <c r="G2421" s="1243">
        <f>SUM(D2421:F2421)</f>
        <v>205.4</v>
      </c>
      <c r="H2421" s="1243"/>
      <c r="I2421" s="1243">
        <f t="shared" ref="I2421:I2450" si="443">O2307</f>
        <v>0</v>
      </c>
      <c r="J2421" s="375" t="str">
        <f>$J$1623</f>
        <v>Non-Dep.</v>
      </c>
      <c r="K2421" s="1243">
        <v>0</v>
      </c>
      <c r="L2421" s="1243">
        <v>0</v>
      </c>
      <c r="M2421" s="1243">
        <f t="shared" ref="M2421:M2450" si="444">F2421</f>
        <v>0</v>
      </c>
      <c r="N2421" s="1243">
        <v>0</v>
      </c>
      <c r="O2421" s="1243">
        <f t="shared" ref="O2421:O2450" si="445">I2421+K2421+L2421+M2421+N2421</f>
        <v>0</v>
      </c>
    </row>
    <row r="2422" spans="1:15">
      <c r="A2422" s="361">
        <f t="shared" si="441"/>
        <v>11</v>
      </c>
      <c r="B2422" s="365">
        <v>374.2</v>
      </c>
      <c r="C2422" s="358" t="s">
        <v>383</v>
      </c>
      <c r="D2422" s="1243">
        <f t="shared" si="442"/>
        <v>876986.66</v>
      </c>
      <c r="E2422" s="1243">
        <f>+'INPUT - B Schedule PLANT'!DN16</f>
        <v>0</v>
      </c>
      <c r="F2422" s="1243">
        <f>+'INPUT - B Schedule PLANT'!DO16</f>
        <v>0</v>
      </c>
      <c r="G2422" s="1243">
        <f t="shared" ref="G2422:G2450" si="446">SUM(D2422:F2422)</f>
        <v>876986.66</v>
      </c>
      <c r="H2422" s="1243"/>
      <c r="I2422" s="1243">
        <f t="shared" si="443"/>
        <v>-522.25</v>
      </c>
      <c r="J2422" s="375" t="str">
        <f>$J$1624</f>
        <v>Non-Dep.</v>
      </c>
      <c r="K2422" s="1243">
        <v>0</v>
      </c>
      <c r="L2422" s="1243">
        <v>0</v>
      </c>
      <c r="M2422" s="1243">
        <f t="shared" si="444"/>
        <v>0</v>
      </c>
      <c r="N2422" s="1243">
        <v>0</v>
      </c>
      <c r="O2422" s="1243">
        <f t="shared" si="445"/>
        <v>-522.25</v>
      </c>
    </row>
    <row r="2423" spans="1:15">
      <c r="A2423" s="361">
        <f t="shared" si="441"/>
        <v>12</v>
      </c>
      <c r="B2423" s="365">
        <v>374.4</v>
      </c>
      <c r="C2423" s="358" t="s">
        <v>384</v>
      </c>
      <c r="D2423" s="1243">
        <f t="shared" si="442"/>
        <v>3109346.9100000006</v>
      </c>
      <c r="E2423" s="1243">
        <f>+'INPUT - B Schedule PLANT'!DN17</f>
        <v>256.58999999999997</v>
      </c>
      <c r="F2423" s="1243">
        <f>+'INPUT - B Schedule PLANT'!DO17</f>
        <v>0</v>
      </c>
      <c r="G2423" s="1243">
        <f t="shared" si="446"/>
        <v>3109603.5000000005</v>
      </c>
      <c r="H2423" s="1243"/>
      <c r="I2423" s="1243">
        <f t="shared" si="443"/>
        <v>389948.59</v>
      </c>
      <c r="J2423" s="376">
        <f>$J$1625</f>
        <v>1.2699999999999999E-2</v>
      </c>
      <c r="K2423" s="1243">
        <f t="shared" ref="K2423:K2429" si="447">ROUND((G2423+D2423)/2*J2423/12,0)</f>
        <v>3291</v>
      </c>
      <c r="L2423" s="1243">
        <v>0</v>
      </c>
      <c r="M2423" s="1243">
        <f t="shared" si="444"/>
        <v>0</v>
      </c>
      <c r="N2423" s="1243">
        <v>0</v>
      </c>
      <c r="O2423" s="1243">
        <f t="shared" si="445"/>
        <v>393239.59</v>
      </c>
    </row>
    <row r="2424" spans="1:15">
      <c r="A2424" s="361">
        <f t="shared" si="441"/>
        <v>13</v>
      </c>
      <c r="B2424" s="365">
        <v>374.5</v>
      </c>
      <c r="C2424" s="358" t="s">
        <v>385</v>
      </c>
      <c r="D2424" s="1243">
        <f t="shared" si="442"/>
        <v>2666577.16</v>
      </c>
      <c r="E2424" s="1243">
        <f>+'INPUT - B Schedule PLANT'!DN18</f>
        <v>0</v>
      </c>
      <c r="F2424" s="1243">
        <f>+'INPUT - B Schedule PLANT'!DO18</f>
        <v>0</v>
      </c>
      <c r="G2424" s="1243">
        <f t="shared" si="446"/>
        <v>2666577.16</v>
      </c>
      <c r="H2424" s="1243"/>
      <c r="I2424" s="1243">
        <f t="shared" si="443"/>
        <v>1178296.1900000013</v>
      </c>
      <c r="J2424" s="376">
        <f>$J$1626</f>
        <v>1.0999999999999999E-2</v>
      </c>
      <c r="K2424" s="1243">
        <f t="shared" si="447"/>
        <v>2444</v>
      </c>
      <c r="L2424" s="1243">
        <v>0</v>
      </c>
      <c r="M2424" s="1243">
        <f t="shared" si="444"/>
        <v>0</v>
      </c>
      <c r="N2424" s="1243">
        <v>0</v>
      </c>
      <c r="O2424" s="1243">
        <f t="shared" si="445"/>
        <v>1180740.1900000013</v>
      </c>
    </row>
    <row r="2425" spans="1:15">
      <c r="A2425" s="361">
        <f t="shared" si="441"/>
        <v>14</v>
      </c>
      <c r="B2425" s="365">
        <v>375.2</v>
      </c>
      <c r="C2425" s="358" t="s">
        <v>386</v>
      </c>
      <c r="D2425" s="1243">
        <f t="shared" si="442"/>
        <v>2124.98</v>
      </c>
      <c r="E2425" s="1243">
        <f>+'INPUT - B Schedule PLANT'!DN19</f>
        <v>0</v>
      </c>
      <c r="F2425" s="1243">
        <f>+'INPUT - B Schedule PLANT'!DO19</f>
        <v>0</v>
      </c>
      <c r="G2425" s="1243">
        <f t="shared" si="446"/>
        <v>2124.98</v>
      </c>
      <c r="H2425" s="1243"/>
      <c r="I2425" s="1243">
        <f t="shared" si="443"/>
        <v>2091.3000000000002</v>
      </c>
      <c r="J2425" s="376">
        <f>$J$1627</f>
        <v>2.3199999999999998E-2</v>
      </c>
      <c r="K2425" s="1243">
        <f t="shared" si="447"/>
        <v>4</v>
      </c>
      <c r="L2425" s="1243">
        <v>0</v>
      </c>
      <c r="M2425" s="1243">
        <f t="shared" si="444"/>
        <v>0</v>
      </c>
      <c r="N2425" s="1243">
        <v>0</v>
      </c>
      <c r="O2425" s="1243">
        <f t="shared" si="445"/>
        <v>2095.3000000000002</v>
      </c>
    </row>
    <row r="2426" spans="1:15">
      <c r="A2426" s="361">
        <f t="shared" si="441"/>
        <v>15</v>
      </c>
      <c r="B2426" s="365">
        <v>375.3</v>
      </c>
      <c r="C2426" s="358" t="s">
        <v>387</v>
      </c>
      <c r="D2426" s="1243">
        <f t="shared" si="442"/>
        <v>0</v>
      </c>
      <c r="E2426" s="1243">
        <f>+'INPUT - B Schedule PLANT'!DN20</f>
        <v>0</v>
      </c>
      <c r="F2426" s="1243">
        <f>+'INPUT - B Schedule PLANT'!DO20</f>
        <v>0</v>
      </c>
      <c r="G2426" s="1243">
        <f t="shared" si="446"/>
        <v>0</v>
      </c>
      <c r="H2426" s="1243"/>
      <c r="I2426" s="1243">
        <f t="shared" si="443"/>
        <v>-77.66</v>
      </c>
      <c r="J2426" s="376">
        <f>$J$1628</f>
        <v>2.3199999999999998E-2</v>
      </c>
      <c r="K2426" s="1243">
        <f t="shared" si="447"/>
        <v>0</v>
      </c>
      <c r="L2426" s="1243">
        <v>0</v>
      </c>
      <c r="M2426" s="1243">
        <f t="shared" si="444"/>
        <v>0</v>
      </c>
      <c r="N2426" s="1243">
        <v>0</v>
      </c>
      <c r="O2426" s="1243">
        <f t="shared" si="445"/>
        <v>-77.66</v>
      </c>
    </row>
    <row r="2427" spans="1:15">
      <c r="A2427" s="361">
        <f t="shared" si="441"/>
        <v>16</v>
      </c>
      <c r="B2427" s="365">
        <v>375.4</v>
      </c>
      <c r="C2427" s="358" t="s">
        <v>388</v>
      </c>
      <c r="D2427" s="1243">
        <f t="shared" si="442"/>
        <v>3370723.6599999988</v>
      </c>
      <c r="E2427" s="1243">
        <f>+'INPUT - B Schedule PLANT'!DN21</f>
        <v>6048.98</v>
      </c>
      <c r="F2427" s="1243">
        <f>+'INPUT - B Schedule PLANT'!DO21</f>
        <v>0</v>
      </c>
      <c r="G2427" s="1243">
        <f t="shared" si="446"/>
        <v>3376772.6399999987</v>
      </c>
      <c r="H2427" s="1243"/>
      <c r="I2427" s="1243">
        <f t="shared" si="443"/>
        <v>485538.88000000012</v>
      </c>
      <c r="J2427" s="376">
        <f>$J$1629</f>
        <v>2.3199999999999998E-2</v>
      </c>
      <c r="K2427" s="1243">
        <f t="shared" si="447"/>
        <v>6523</v>
      </c>
      <c r="L2427" s="1243">
        <v>0</v>
      </c>
      <c r="M2427" s="1243">
        <f t="shared" si="444"/>
        <v>0</v>
      </c>
      <c r="N2427" s="1243">
        <v>-557.02</v>
      </c>
      <c r="O2427" s="1243">
        <f t="shared" si="445"/>
        <v>491504.8600000001</v>
      </c>
    </row>
    <row r="2428" spans="1:15">
      <c r="A2428" s="361">
        <f t="shared" si="441"/>
        <v>17</v>
      </c>
      <c r="B2428" s="365">
        <v>375.6</v>
      </c>
      <c r="C2428" s="358" t="s">
        <v>389</v>
      </c>
      <c r="D2428" s="1243">
        <f t="shared" si="442"/>
        <v>0</v>
      </c>
      <c r="E2428" s="1243">
        <f>+'INPUT - B Schedule PLANT'!DN22</f>
        <v>0</v>
      </c>
      <c r="F2428" s="1243">
        <f>+'INPUT - B Schedule PLANT'!DO22</f>
        <v>0</v>
      </c>
      <c r="G2428" s="1243">
        <f t="shared" si="446"/>
        <v>0</v>
      </c>
      <c r="H2428" s="1243"/>
      <c r="I2428" s="1243">
        <f t="shared" si="443"/>
        <v>0.02</v>
      </c>
      <c r="J2428" s="376">
        <f>$J$1630</f>
        <v>2.3199999999999998E-2</v>
      </c>
      <c r="K2428" s="1243">
        <f t="shared" si="447"/>
        <v>0</v>
      </c>
      <c r="L2428" s="1243">
        <v>0</v>
      </c>
      <c r="M2428" s="1243">
        <f t="shared" si="444"/>
        <v>0</v>
      </c>
      <c r="N2428" s="1243">
        <v>0</v>
      </c>
      <c r="O2428" s="1243">
        <f t="shared" si="445"/>
        <v>0.02</v>
      </c>
    </row>
    <row r="2429" spans="1:15">
      <c r="A2429" s="361">
        <f t="shared" si="441"/>
        <v>18</v>
      </c>
      <c r="B2429" s="365">
        <v>375.7</v>
      </c>
      <c r="C2429" s="358" t="s">
        <v>390</v>
      </c>
      <c r="D2429" s="1243">
        <f t="shared" si="442"/>
        <v>9672834.0999999996</v>
      </c>
      <c r="E2429" s="1243">
        <f>+'INPUT - B Schedule PLANT'!DN23</f>
        <v>9303.34</v>
      </c>
      <c r="F2429" s="1243">
        <f>+'INPUT - B Schedule PLANT'!DO23</f>
        <v>0</v>
      </c>
      <c r="G2429" s="1243">
        <f t="shared" si="446"/>
        <v>9682137.4399999995</v>
      </c>
      <c r="H2429" s="1243"/>
      <c r="I2429" s="1243">
        <f t="shared" si="443"/>
        <v>4856068.6999999983</v>
      </c>
      <c r="J2429" s="376">
        <f>$J$1631</f>
        <v>2.3199999999999998E-2</v>
      </c>
      <c r="K2429" s="1243">
        <f t="shared" si="447"/>
        <v>18710</v>
      </c>
      <c r="L2429" s="1243">
        <v>0</v>
      </c>
      <c r="M2429" s="1243">
        <f t="shared" si="444"/>
        <v>0</v>
      </c>
      <c r="N2429" s="1243">
        <v>0</v>
      </c>
      <c r="O2429" s="1243">
        <f t="shared" si="445"/>
        <v>4874778.6999999983</v>
      </c>
    </row>
    <row r="2430" spans="1:15">
      <c r="A2430" s="361">
        <f t="shared" si="441"/>
        <v>19</v>
      </c>
      <c r="B2430" s="365">
        <v>375.71</v>
      </c>
      <c r="C2430" s="358" t="s">
        <v>391</v>
      </c>
      <c r="D2430" s="1243">
        <f t="shared" si="442"/>
        <v>880994.59</v>
      </c>
      <c r="E2430" s="1243">
        <f>+'INPUT - B Schedule PLANT'!DN24</f>
        <v>0</v>
      </c>
      <c r="F2430" s="1243">
        <f>+'INPUT - B Schedule PLANT'!DO24</f>
        <v>0</v>
      </c>
      <c r="G2430" s="1243">
        <f t="shared" si="446"/>
        <v>880994.59</v>
      </c>
      <c r="H2430" s="1243"/>
      <c r="I2430" s="1243">
        <f t="shared" si="443"/>
        <v>801654.98000000068</v>
      </c>
      <c r="J2430" s="375" t="str">
        <f>$J$1632</f>
        <v>Amort.</v>
      </c>
      <c r="K2430" s="1243">
        <f>$K$1290</f>
        <v>4743.54</v>
      </c>
      <c r="L2430" s="1243">
        <v>0</v>
      </c>
      <c r="M2430" s="1243">
        <f t="shared" si="444"/>
        <v>0</v>
      </c>
      <c r="N2430" s="1243">
        <v>0</v>
      </c>
      <c r="O2430" s="1243">
        <f t="shared" si="445"/>
        <v>806398.52000000072</v>
      </c>
    </row>
    <row r="2431" spans="1:15">
      <c r="A2431" s="361">
        <f t="shared" si="441"/>
        <v>20</v>
      </c>
      <c r="B2431" s="365">
        <v>375.8</v>
      </c>
      <c r="C2431" s="358" t="s">
        <v>392</v>
      </c>
      <c r="D2431" s="1243">
        <f t="shared" si="442"/>
        <v>132125.04</v>
      </c>
      <c r="E2431" s="1243">
        <f>+'INPUT - B Schedule PLANT'!DN25</f>
        <v>0</v>
      </c>
      <c r="F2431" s="1243">
        <f>+'INPUT - B Schedule PLANT'!DO25</f>
        <v>0</v>
      </c>
      <c r="G2431" s="1243">
        <f t="shared" si="446"/>
        <v>132125.04</v>
      </c>
      <c r="H2431" s="1243"/>
      <c r="I2431" s="1243">
        <f t="shared" si="443"/>
        <v>13783.43</v>
      </c>
      <c r="J2431" s="376">
        <f>$J$1633</f>
        <v>2.3199999999999998E-2</v>
      </c>
      <c r="K2431" s="1243">
        <f t="shared" ref="K2431:K2450" si="448">ROUND((G2431+D2431)/2*J2431/12,0)</f>
        <v>255</v>
      </c>
      <c r="L2431" s="1243">
        <v>0</v>
      </c>
      <c r="M2431" s="1243">
        <f t="shared" si="444"/>
        <v>0</v>
      </c>
      <c r="N2431" s="1243">
        <v>0</v>
      </c>
      <c r="O2431" s="1243">
        <f t="shared" si="445"/>
        <v>14038.43</v>
      </c>
    </row>
    <row r="2432" spans="1:15">
      <c r="A2432" s="361">
        <f t="shared" si="441"/>
        <v>21</v>
      </c>
      <c r="B2432" s="365">
        <v>376</v>
      </c>
      <c r="C2432" s="358" t="s">
        <v>1621</v>
      </c>
      <c r="D2432" s="1243">
        <f t="shared" si="442"/>
        <v>416728602.05700409</v>
      </c>
      <c r="E2432" s="1243">
        <f>'WPB-2.1.D SMRP'!E993</f>
        <v>1264073.6058519986</v>
      </c>
      <c r="F2432" s="1243">
        <f>'WPB-2.1.D SMRP'!F993</f>
        <v>-52867.22</v>
      </c>
      <c r="G2432" s="1243">
        <f t="shared" si="446"/>
        <v>417939808.44285607</v>
      </c>
      <c r="H2432" s="1243"/>
      <c r="I2432" s="1243">
        <f t="shared" si="443"/>
        <v>84601370.740781158</v>
      </c>
      <c r="J2432" s="376">
        <f>$J$1634</f>
        <v>1.7399999999999999E-2</v>
      </c>
      <c r="K2432" s="1243">
        <f>'WPB-2.1.D SMRP'!K993</f>
        <v>605134.53300000005</v>
      </c>
      <c r="L2432" s="1243">
        <v>0</v>
      </c>
      <c r="M2432" s="1243">
        <f>F2432</f>
        <v>-52867.22</v>
      </c>
      <c r="N2432" s="1243">
        <f>'WPB-2.1.D SMRP'!N993</f>
        <v>-6651.8036063847958</v>
      </c>
      <c r="O2432" s="1243">
        <f t="shared" si="445"/>
        <v>85146986.250174776</v>
      </c>
    </row>
    <row r="2433" spans="1:15">
      <c r="A2433" s="361">
        <f t="shared" si="441"/>
        <v>22</v>
      </c>
      <c r="B2433" s="365">
        <v>378.1</v>
      </c>
      <c r="C2433" s="358" t="s">
        <v>394</v>
      </c>
      <c r="D2433" s="1243">
        <f t="shared" si="442"/>
        <v>126600.13999999998</v>
      </c>
      <c r="E2433" s="1243">
        <f>+'INPUT - B Schedule PLANT'!DN27</f>
        <v>0</v>
      </c>
      <c r="F2433" s="1243">
        <f>+'INPUT - B Schedule PLANT'!DO27</f>
        <v>-6637.27</v>
      </c>
      <c r="G2433" s="1243">
        <f t="shared" si="446"/>
        <v>119962.86999999998</v>
      </c>
      <c r="H2433" s="1243"/>
      <c r="I2433" s="1243">
        <f t="shared" si="443"/>
        <v>-28602.130000000077</v>
      </c>
      <c r="J2433" s="376">
        <f>$J$1635</f>
        <v>2.52E-2</v>
      </c>
      <c r="K2433" s="1243">
        <f t="shared" si="448"/>
        <v>259</v>
      </c>
      <c r="L2433" s="1243">
        <v>0</v>
      </c>
      <c r="M2433" s="1243">
        <f t="shared" si="444"/>
        <v>-6637.27</v>
      </c>
      <c r="N2433" s="1243">
        <v>0</v>
      </c>
      <c r="O2433" s="1243">
        <f t="shared" si="445"/>
        <v>-34980.400000000081</v>
      </c>
    </row>
    <row r="2434" spans="1:15">
      <c r="A2434" s="361">
        <f t="shared" si="441"/>
        <v>23</v>
      </c>
      <c r="B2434" s="365">
        <v>378.2</v>
      </c>
      <c r="C2434" s="358" t="s">
        <v>1622</v>
      </c>
      <c r="D2434" s="1243">
        <f t="shared" si="442"/>
        <v>27517971.734256085</v>
      </c>
      <c r="E2434" s="1243">
        <f>'WPB-2.1.D SMRP'!E997</f>
        <v>16334.108867591101</v>
      </c>
      <c r="F2434" s="1243">
        <f>'WPB-2.1.D SMRP'!F997</f>
        <v>4.3874537841475103E-3</v>
      </c>
      <c r="G2434" s="1243">
        <f t="shared" si="446"/>
        <v>27534305.847511128</v>
      </c>
      <c r="H2434" s="1243"/>
      <c r="I2434" s="1243">
        <f t="shared" si="443"/>
        <v>3617720.7329954235</v>
      </c>
      <c r="J2434" s="376">
        <f>$J$1636</f>
        <v>2.52E-2</v>
      </c>
      <c r="K2434" s="1243">
        <f>'WPB-2.1.D SMRP'!K997</f>
        <v>57804.565999999999</v>
      </c>
      <c r="L2434" s="1243">
        <v>0</v>
      </c>
      <c r="M2434" s="1243">
        <f>F2434</f>
        <v>4.3874537841475103E-3</v>
      </c>
      <c r="N2434" s="1243">
        <f>'WPB-2.1.D SMRP'!N997</f>
        <v>1263.3879322651901</v>
      </c>
      <c r="O2434" s="1243">
        <f t="shared" si="445"/>
        <v>3676788.6913151424</v>
      </c>
    </row>
    <row r="2435" spans="1:15">
      <c r="A2435" s="361">
        <f t="shared" si="441"/>
        <v>24</v>
      </c>
      <c r="B2435" s="365">
        <v>378.3</v>
      </c>
      <c r="C2435" s="358" t="s">
        <v>396</v>
      </c>
      <c r="D2435" s="1243">
        <f t="shared" si="442"/>
        <v>45443.08</v>
      </c>
      <c r="E2435" s="1243">
        <f>+'INPUT - B Schedule PLANT'!DN29</f>
        <v>0</v>
      </c>
      <c r="F2435" s="1243">
        <f>+'INPUT - B Schedule PLANT'!DO29</f>
        <v>0</v>
      </c>
      <c r="G2435" s="1243">
        <f t="shared" si="446"/>
        <v>45443.08</v>
      </c>
      <c r="H2435" s="1243"/>
      <c r="I2435" s="1243">
        <f t="shared" si="443"/>
        <v>44023.320000000007</v>
      </c>
      <c r="J2435" s="376">
        <f>$J$1637</f>
        <v>2.52E-2</v>
      </c>
      <c r="K2435" s="1243">
        <f t="shared" si="448"/>
        <v>95</v>
      </c>
      <c r="L2435" s="1243">
        <v>0</v>
      </c>
      <c r="M2435" s="1243">
        <f t="shared" si="444"/>
        <v>0</v>
      </c>
      <c r="N2435" s="1243">
        <v>0</v>
      </c>
      <c r="O2435" s="1243">
        <f t="shared" si="445"/>
        <v>44118.320000000007</v>
      </c>
    </row>
    <row r="2436" spans="1:15">
      <c r="A2436" s="361">
        <f t="shared" si="441"/>
        <v>25</v>
      </c>
      <c r="B2436" s="365">
        <v>379.1</v>
      </c>
      <c r="C2436" s="358" t="s">
        <v>397</v>
      </c>
      <c r="D2436" s="1243">
        <f t="shared" si="442"/>
        <v>1554144.06</v>
      </c>
      <c r="E2436" s="1243">
        <f>+'INPUT - B Schedule PLANT'!DN30</f>
        <v>0</v>
      </c>
      <c r="F2436" s="1243">
        <f>+'INPUT - B Schedule PLANT'!DO30</f>
        <v>0</v>
      </c>
      <c r="G2436" s="1243">
        <f t="shared" si="446"/>
        <v>1554144.06</v>
      </c>
      <c r="H2436" s="1243"/>
      <c r="I2436" s="1243">
        <f t="shared" si="443"/>
        <v>379591.19000000006</v>
      </c>
      <c r="J2436" s="376">
        <f>$J$1638</f>
        <v>2.4199999999999999E-2</v>
      </c>
      <c r="K2436" s="1243">
        <f t="shared" si="448"/>
        <v>3134</v>
      </c>
      <c r="L2436" s="1243">
        <v>0</v>
      </c>
      <c r="M2436" s="1243">
        <f t="shared" si="444"/>
        <v>0</v>
      </c>
      <c r="N2436" s="1243">
        <v>0</v>
      </c>
      <c r="O2436" s="1243">
        <f t="shared" si="445"/>
        <v>382725.19000000006</v>
      </c>
    </row>
    <row r="2437" spans="1:15">
      <c r="A2437" s="361">
        <f t="shared" si="441"/>
        <v>26</v>
      </c>
      <c r="B2437" s="365">
        <v>380</v>
      </c>
      <c r="C2437" s="358" t="s">
        <v>1623</v>
      </c>
      <c r="D2437" s="1243">
        <f t="shared" si="442"/>
        <v>203902045.3512595</v>
      </c>
      <c r="E2437" s="1243">
        <f>'WPB-2.1.D SMRP'!E1001</f>
        <v>165973.33999999985</v>
      </c>
      <c r="F2437" s="1243">
        <f>'WPB-2.1.D SMRP'!F1001</f>
        <v>-71084.540276539221</v>
      </c>
      <c r="G2437" s="1243">
        <f t="shared" si="446"/>
        <v>203996934.15098298</v>
      </c>
      <c r="H2437" s="1243"/>
      <c r="I2437" s="1243">
        <f t="shared" si="443"/>
        <v>64758936.791197732</v>
      </c>
      <c r="J2437" s="376">
        <f>$J$1639</f>
        <v>3.9800000000000002E-2</v>
      </c>
      <c r="K2437" s="1243">
        <f>'WPB-2.1.D SMRP'!K1001</f>
        <v>676432.37800000003</v>
      </c>
      <c r="L2437" s="1243">
        <v>0</v>
      </c>
      <c r="M2437" s="1243">
        <f>F2437</f>
        <v>-71084.540276539221</v>
      </c>
      <c r="N2437" s="1243">
        <f>'WPB-2.1.D SMRP'!N1001</f>
        <v>-2.1326921414583921E-3</v>
      </c>
      <c r="O2437" s="1243">
        <f t="shared" si="445"/>
        <v>65364284.626788497</v>
      </c>
    </row>
    <row r="2438" spans="1:15">
      <c r="A2438" s="361">
        <f t="shared" si="441"/>
        <v>27</v>
      </c>
      <c r="B2438" s="365">
        <v>381</v>
      </c>
      <c r="C2438" s="358" t="s">
        <v>399</v>
      </c>
      <c r="D2438" s="1243">
        <f t="shared" si="442"/>
        <v>19665213.380000006</v>
      </c>
      <c r="E2438" s="1243">
        <f>+'INPUT - B Schedule PLANT'!DN32</f>
        <v>631949.72</v>
      </c>
      <c r="F2438" s="1243">
        <f>+'INPUT - B Schedule PLANT'!DO32</f>
        <v>-43447.32</v>
      </c>
      <c r="G2438" s="1243">
        <f t="shared" si="446"/>
        <v>20253715.780000005</v>
      </c>
      <c r="H2438" s="1243"/>
      <c r="I2438" s="1243">
        <f t="shared" si="443"/>
        <v>1847213.6199999994</v>
      </c>
      <c r="J2438" s="376">
        <f>$J$1640</f>
        <v>2.6499999999999999E-2</v>
      </c>
      <c r="K2438" s="1243">
        <f t="shared" si="448"/>
        <v>44077</v>
      </c>
      <c r="L2438" s="1243">
        <v>0</v>
      </c>
      <c r="M2438" s="1243">
        <f t="shared" si="444"/>
        <v>-43447.32</v>
      </c>
      <c r="N2438" s="1243">
        <v>-4122.46</v>
      </c>
      <c r="O2438" s="1243">
        <f t="shared" si="445"/>
        <v>1843720.8399999994</v>
      </c>
    </row>
    <row r="2439" spans="1:15">
      <c r="A2439" s="361">
        <f t="shared" si="441"/>
        <v>28</v>
      </c>
      <c r="B2439" s="365">
        <v>381.1</v>
      </c>
      <c r="C2439" s="358" t="s">
        <v>2366</v>
      </c>
      <c r="D2439" s="1243">
        <f t="shared" si="442"/>
        <v>9980854.4800000004</v>
      </c>
      <c r="E2439" s="1243">
        <f>+'INPUT - B Schedule PLANT'!DN33</f>
        <v>0</v>
      </c>
      <c r="F2439" s="1243">
        <f>+'INPUT - B Schedule PLANT'!DO33</f>
        <v>0</v>
      </c>
      <c r="G2439" s="1243">
        <f t="shared" si="446"/>
        <v>9980854.4800000004</v>
      </c>
      <c r="H2439" s="1243"/>
      <c r="I2439" s="1243">
        <f t="shared" si="443"/>
        <v>5921025.0300000031</v>
      </c>
      <c r="J2439" s="376">
        <f>$J$1641</f>
        <v>7.4800000000000005E-2</v>
      </c>
      <c r="K2439" s="1243">
        <f t="shared" si="448"/>
        <v>62214</v>
      </c>
      <c r="L2439" s="1243">
        <v>0</v>
      </c>
      <c r="M2439" s="1243">
        <f t="shared" si="444"/>
        <v>0</v>
      </c>
      <c r="N2439" s="1243">
        <v>0</v>
      </c>
      <c r="O2439" s="1243">
        <f t="shared" si="445"/>
        <v>5983239.0300000031</v>
      </c>
    </row>
    <row r="2440" spans="1:15">
      <c r="A2440" s="361">
        <f t="shared" si="441"/>
        <v>29</v>
      </c>
      <c r="B2440" s="365">
        <v>382</v>
      </c>
      <c r="C2440" s="358" t="s">
        <v>1624</v>
      </c>
      <c r="D2440" s="1243">
        <f t="shared" si="442"/>
        <v>10626592.994830498</v>
      </c>
      <c r="E2440" s="1243">
        <f>'WPB-2.1.D SMRP'!E1005</f>
        <v>26267.850000000002</v>
      </c>
      <c r="F2440" s="1243">
        <f>'WPB-2.1.D SMRP'!F1005</f>
        <v>-1357.5868300033712</v>
      </c>
      <c r="G2440" s="1243">
        <f t="shared" si="446"/>
        <v>10651503.258000495</v>
      </c>
      <c r="H2440" s="1243"/>
      <c r="I2440" s="1243">
        <f t="shared" si="443"/>
        <v>5972436.1418304993</v>
      </c>
      <c r="J2440" s="376">
        <f>$J$1642</f>
        <v>1.77E-2</v>
      </c>
      <c r="K2440" s="1243">
        <f>'WPB-2.1.D SMRP'!K1005</f>
        <v>15692.594999999999</v>
      </c>
      <c r="L2440" s="1243">
        <v>0</v>
      </c>
      <c r="M2440" s="1243">
        <f t="shared" si="444"/>
        <v>-1357.5868300033712</v>
      </c>
      <c r="N2440" s="1243">
        <f>'WPB-2.1.D SMRP'!N1005</f>
        <v>0</v>
      </c>
      <c r="O2440" s="1243">
        <f t="shared" si="445"/>
        <v>5986771.1500004958</v>
      </c>
    </row>
    <row r="2441" spans="1:15">
      <c r="A2441" s="361">
        <f t="shared" si="441"/>
        <v>30</v>
      </c>
      <c r="B2441" s="365">
        <v>383</v>
      </c>
      <c r="C2441" s="358" t="s">
        <v>1625</v>
      </c>
      <c r="D2441" s="1243">
        <f t="shared" si="442"/>
        <v>7496233.1134250686</v>
      </c>
      <c r="E2441" s="1243">
        <f>'WPB-2.1.D SMRP'!E1009</f>
        <v>25864.526622921388</v>
      </c>
      <c r="F2441" s="1243">
        <f>'WPB-2.1.D SMRP'!F1009</f>
        <v>-496.39107622072424</v>
      </c>
      <c r="G2441" s="1243">
        <f t="shared" si="446"/>
        <v>7521601.2489717687</v>
      </c>
      <c r="H2441" s="1243"/>
      <c r="I2441" s="1243">
        <f t="shared" si="443"/>
        <v>2590803.2589505748</v>
      </c>
      <c r="J2441" s="376">
        <f>$J$1643</f>
        <v>1.9400000000000001E-2</v>
      </c>
      <c r="K2441" s="1243">
        <f>'WPB-2.1.D SMRP'!K1009</f>
        <v>12139.706</v>
      </c>
      <c r="L2441" s="1243">
        <v>0</v>
      </c>
      <c r="M2441" s="1243">
        <f t="shared" si="444"/>
        <v>-496.39107622072424</v>
      </c>
      <c r="N2441" s="1243">
        <f>'WPB-2.1.D SMRP'!N1009</f>
        <v>0</v>
      </c>
      <c r="O2441" s="1243">
        <f t="shared" si="445"/>
        <v>2602446.5738743539</v>
      </c>
    </row>
    <row r="2442" spans="1:15">
      <c r="A2442" s="361">
        <f t="shared" si="441"/>
        <v>31</v>
      </c>
      <c r="B2442" s="365">
        <v>384</v>
      </c>
      <c r="C2442" s="358" t="s">
        <v>402</v>
      </c>
      <c r="D2442" s="1243">
        <f t="shared" si="442"/>
        <v>2085177.8399999999</v>
      </c>
      <c r="E2442" s="1243">
        <f>+'INPUT - B Schedule PLANT'!DN36</f>
        <v>13.26</v>
      </c>
      <c r="F2442" s="1243">
        <f>+'INPUT - B Schedule PLANT'!DO36</f>
        <v>0</v>
      </c>
      <c r="G2442" s="1243">
        <f t="shared" si="446"/>
        <v>2085191.0999999999</v>
      </c>
      <c r="H2442" s="1243"/>
      <c r="I2442" s="1243">
        <f t="shared" si="443"/>
        <v>1743802.0399999991</v>
      </c>
      <c r="J2442" s="376">
        <f>$J$1644</f>
        <v>9.9000000000000008E-3</v>
      </c>
      <c r="K2442" s="1243">
        <f t="shared" si="448"/>
        <v>1720</v>
      </c>
      <c r="L2442" s="1243">
        <v>0</v>
      </c>
      <c r="M2442" s="1243">
        <f t="shared" si="444"/>
        <v>0</v>
      </c>
      <c r="N2442" s="1243">
        <v>0</v>
      </c>
      <c r="O2442" s="1243">
        <f t="shared" si="445"/>
        <v>1745522.0399999991</v>
      </c>
    </row>
    <row r="2443" spans="1:15">
      <c r="A2443" s="361">
        <f t="shared" si="441"/>
        <v>32</v>
      </c>
      <c r="B2443" s="365">
        <v>385</v>
      </c>
      <c r="C2443" s="358" t="s">
        <v>403</v>
      </c>
      <c r="D2443" s="1243">
        <f t="shared" si="442"/>
        <v>6207365.8700000001</v>
      </c>
      <c r="E2443" s="1243">
        <f>+'INPUT - B Schedule PLANT'!DN37</f>
        <v>20690.72</v>
      </c>
      <c r="F2443" s="1243">
        <f>+'INPUT - B Schedule PLANT'!DO37</f>
        <v>-22095.13</v>
      </c>
      <c r="G2443" s="1243">
        <f t="shared" si="446"/>
        <v>6205961.46</v>
      </c>
      <c r="H2443" s="1243"/>
      <c r="I2443" s="1243">
        <f t="shared" si="443"/>
        <v>836079.45999999985</v>
      </c>
      <c r="J2443" s="376">
        <f>$J$1645</f>
        <v>3.73E-2</v>
      </c>
      <c r="K2443" s="1243">
        <f t="shared" si="448"/>
        <v>19292</v>
      </c>
      <c r="L2443" s="1243">
        <v>0</v>
      </c>
      <c r="M2443" s="1243">
        <f t="shared" si="444"/>
        <v>-22095.13</v>
      </c>
      <c r="N2443" s="1243">
        <v>0</v>
      </c>
      <c r="O2443" s="1243">
        <f t="shared" si="445"/>
        <v>833276.32999999984</v>
      </c>
    </row>
    <row r="2444" spans="1:15">
      <c r="A2444" s="361">
        <f t="shared" si="441"/>
        <v>33</v>
      </c>
      <c r="B2444" s="365">
        <v>387.2</v>
      </c>
      <c r="C2444" s="358" t="s">
        <v>404</v>
      </c>
      <c r="D2444" s="1243">
        <f t="shared" si="442"/>
        <v>0</v>
      </c>
      <c r="E2444" s="1243">
        <f>+'INPUT - B Schedule PLANT'!DN38</f>
        <v>0</v>
      </c>
      <c r="F2444" s="1243">
        <f>+'INPUT - B Schedule PLANT'!DO38</f>
        <v>0</v>
      </c>
      <c r="G2444" s="1243">
        <f t="shared" si="446"/>
        <v>0</v>
      </c>
      <c r="H2444" s="1243"/>
      <c r="I2444" s="1243">
        <f t="shared" si="443"/>
        <v>-59912.03</v>
      </c>
      <c r="J2444" s="376">
        <f>$J$1646</f>
        <v>0</v>
      </c>
      <c r="K2444" s="1243">
        <f t="shared" si="448"/>
        <v>0</v>
      </c>
      <c r="L2444" s="1243">
        <v>0</v>
      </c>
      <c r="M2444" s="1243">
        <f t="shared" si="444"/>
        <v>0</v>
      </c>
      <c r="N2444" s="1243">
        <v>0</v>
      </c>
      <c r="O2444" s="1243">
        <f t="shared" si="445"/>
        <v>-59912.03</v>
      </c>
    </row>
    <row r="2445" spans="1:15">
      <c r="A2445" s="361">
        <f t="shared" si="441"/>
        <v>34</v>
      </c>
      <c r="B2445" s="365">
        <v>387.41</v>
      </c>
      <c r="C2445" s="358" t="s">
        <v>405</v>
      </c>
      <c r="D2445" s="1243">
        <f t="shared" si="442"/>
        <v>260538.46000000008</v>
      </c>
      <c r="E2445" s="1243">
        <f>+'INPUT - B Schedule PLANT'!DN39</f>
        <v>0</v>
      </c>
      <c r="F2445" s="1243">
        <f>+'INPUT - B Schedule PLANT'!DO39</f>
        <v>0</v>
      </c>
      <c r="G2445" s="1243">
        <f t="shared" si="446"/>
        <v>260538.46000000008</v>
      </c>
      <c r="H2445" s="1243"/>
      <c r="I2445" s="1243">
        <f t="shared" si="443"/>
        <v>66723.970000000059</v>
      </c>
      <c r="J2445" s="376">
        <f>$J$1647</f>
        <v>3.2399999999999998E-2</v>
      </c>
      <c r="K2445" s="1243">
        <f t="shared" si="448"/>
        <v>703</v>
      </c>
      <c r="L2445" s="1243">
        <v>0</v>
      </c>
      <c r="M2445" s="1243">
        <f t="shared" si="444"/>
        <v>0</v>
      </c>
      <c r="N2445" s="1243">
        <v>0</v>
      </c>
      <c r="O2445" s="1243">
        <f t="shared" si="445"/>
        <v>67426.970000000059</v>
      </c>
    </row>
    <row r="2446" spans="1:15">
      <c r="A2446" s="361">
        <f t="shared" si="441"/>
        <v>35</v>
      </c>
      <c r="B2446" s="365">
        <v>387.42</v>
      </c>
      <c r="C2446" s="358" t="s">
        <v>406</v>
      </c>
      <c r="D2446" s="1243">
        <f t="shared" si="442"/>
        <v>419367.40000000008</v>
      </c>
      <c r="E2446" s="1243">
        <f>+'INPUT - B Schedule PLANT'!DN40</f>
        <v>0</v>
      </c>
      <c r="F2446" s="1243">
        <f>+'INPUT - B Schedule PLANT'!DO40</f>
        <v>0</v>
      </c>
      <c r="G2446" s="1243">
        <f t="shared" si="446"/>
        <v>419367.40000000008</v>
      </c>
      <c r="H2446" s="1243"/>
      <c r="I2446" s="1243">
        <f t="shared" si="443"/>
        <v>353587.80999999976</v>
      </c>
      <c r="J2446" s="376">
        <f>$J$1648</f>
        <v>3.2399999999999998E-2</v>
      </c>
      <c r="K2446" s="1243">
        <f t="shared" si="448"/>
        <v>1132</v>
      </c>
      <c r="L2446" s="1243">
        <v>0</v>
      </c>
      <c r="M2446" s="1243">
        <f t="shared" si="444"/>
        <v>0</v>
      </c>
      <c r="N2446" s="1243">
        <v>0</v>
      </c>
      <c r="O2446" s="1243">
        <f t="shared" si="445"/>
        <v>354719.80999999976</v>
      </c>
    </row>
    <row r="2447" spans="1:15">
      <c r="A2447" s="361">
        <f t="shared" si="441"/>
        <v>36</v>
      </c>
      <c r="B2447" s="365">
        <v>387.44</v>
      </c>
      <c r="C2447" s="358" t="s">
        <v>407</v>
      </c>
      <c r="D2447" s="1243">
        <f t="shared" si="442"/>
        <v>124678.76000000001</v>
      </c>
      <c r="E2447" s="1243">
        <f>+'INPUT - B Schedule PLANT'!DN41</f>
        <v>0</v>
      </c>
      <c r="F2447" s="1243">
        <f>+'INPUT - B Schedule PLANT'!DO41</f>
        <v>0</v>
      </c>
      <c r="G2447" s="1243">
        <f t="shared" si="446"/>
        <v>124678.76000000001</v>
      </c>
      <c r="H2447" s="1243"/>
      <c r="I2447" s="1243">
        <f t="shared" si="443"/>
        <v>70438.390000000014</v>
      </c>
      <c r="J2447" s="376">
        <f>$J$1649</f>
        <v>3.2399999999999998E-2</v>
      </c>
      <c r="K2447" s="1243">
        <f t="shared" si="448"/>
        <v>337</v>
      </c>
      <c r="L2447" s="1243">
        <v>0</v>
      </c>
      <c r="M2447" s="1243">
        <f t="shared" si="444"/>
        <v>0</v>
      </c>
      <c r="N2447" s="1243">
        <v>0</v>
      </c>
      <c r="O2447" s="1243">
        <f t="shared" si="445"/>
        <v>70775.390000000014</v>
      </c>
    </row>
    <row r="2448" spans="1:15">
      <c r="A2448" s="361">
        <f t="shared" si="441"/>
        <v>37</v>
      </c>
      <c r="B2448" s="365">
        <v>387.45</v>
      </c>
      <c r="C2448" s="358" t="s">
        <v>408</v>
      </c>
      <c r="D2448" s="1243">
        <f t="shared" si="442"/>
        <v>6148670.7500000009</v>
      </c>
      <c r="E2448" s="1243">
        <f>+'INPUT - B Schedule PLANT'!DN42</f>
        <v>46801.7</v>
      </c>
      <c r="F2448" s="1243">
        <f>+'INPUT - B Schedule PLANT'!DO42</f>
        <v>-18077.13</v>
      </c>
      <c r="G2448" s="1243">
        <f t="shared" si="446"/>
        <v>6177395.3200000012</v>
      </c>
      <c r="H2448" s="1243"/>
      <c r="I2448" s="1243">
        <f t="shared" si="443"/>
        <v>-736213.45</v>
      </c>
      <c r="J2448" s="376">
        <f>$J$1650</f>
        <v>3.2399999999999998E-2</v>
      </c>
      <c r="K2448" s="1243">
        <f t="shared" si="448"/>
        <v>16640</v>
      </c>
      <c r="L2448" s="1243">
        <v>0</v>
      </c>
      <c r="M2448" s="1243">
        <f t="shared" si="444"/>
        <v>-18077.13</v>
      </c>
      <c r="N2448" s="1243">
        <v>0</v>
      </c>
      <c r="O2448" s="1243">
        <f t="shared" si="445"/>
        <v>-737650.58</v>
      </c>
    </row>
    <row r="2449" spans="1:16">
      <c r="A2449" s="361">
        <f t="shared" si="441"/>
        <v>38</v>
      </c>
      <c r="B2449" s="365">
        <v>387.46</v>
      </c>
      <c r="C2449" s="358" t="s">
        <v>409</v>
      </c>
      <c r="D2449" s="1243">
        <f t="shared" si="442"/>
        <v>113644.47</v>
      </c>
      <c r="E2449" s="1243">
        <f>+'INPUT - B Schedule PLANT'!DN43</f>
        <v>0</v>
      </c>
      <c r="F2449" s="1243">
        <f>+'INPUT - B Schedule PLANT'!DO43</f>
        <v>0</v>
      </c>
      <c r="G2449" s="1243">
        <f t="shared" si="446"/>
        <v>113644.47</v>
      </c>
      <c r="H2449" s="1243"/>
      <c r="I2449" s="1243">
        <f t="shared" si="443"/>
        <v>116646.07</v>
      </c>
      <c r="J2449" s="376">
        <f>$J$1651</f>
        <v>3.2399999999999998E-2</v>
      </c>
      <c r="K2449" s="1243">
        <f t="shared" si="448"/>
        <v>307</v>
      </c>
      <c r="L2449" s="1243">
        <v>0</v>
      </c>
      <c r="M2449" s="1243">
        <f t="shared" si="444"/>
        <v>0</v>
      </c>
      <c r="N2449" s="1243">
        <v>0</v>
      </c>
      <c r="O2449" s="1243">
        <f t="shared" si="445"/>
        <v>116953.07</v>
      </c>
    </row>
    <row r="2450" spans="1:16">
      <c r="A2450" s="361">
        <f t="shared" si="441"/>
        <v>39</v>
      </c>
      <c r="B2450" s="365">
        <v>387.5</v>
      </c>
      <c r="C2450" s="358" t="s">
        <v>1075</v>
      </c>
      <c r="D2450" s="1244">
        <f t="shared" si="442"/>
        <v>238072.69</v>
      </c>
      <c r="E2450" s="1244">
        <f>+'INPUT - B Schedule PLANT'!DN44</f>
        <v>0</v>
      </c>
      <c r="F2450" s="1244">
        <f>+'INPUT - B Schedule PLANT'!DO44</f>
        <v>0</v>
      </c>
      <c r="G2450" s="1244">
        <f t="shared" si="446"/>
        <v>238072.69</v>
      </c>
      <c r="H2450" s="1243"/>
      <c r="I2450" s="1244">
        <f t="shared" si="443"/>
        <v>62892.470000000023</v>
      </c>
      <c r="J2450" s="376">
        <f>$J$1652</f>
        <v>0.13669999999999999</v>
      </c>
      <c r="K2450" s="1244">
        <f t="shared" si="448"/>
        <v>2712</v>
      </c>
      <c r="L2450" s="1244">
        <v>0</v>
      </c>
      <c r="M2450" s="1244">
        <f t="shared" si="444"/>
        <v>0</v>
      </c>
      <c r="N2450" s="1244">
        <v>0</v>
      </c>
      <c r="O2450" s="1244">
        <f t="shared" si="445"/>
        <v>65604.47000000003</v>
      </c>
    </row>
    <row r="2451" spans="1:16">
      <c r="A2451" s="361">
        <f t="shared" si="441"/>
        <v>40</v>
      </c>
      <c r="C2451" s="365" t="s">
        <v>1601</v>
      </c>
      <c r="D2451" s="1243">
        <f>SUM(D2421:D2450)</f>
        <v>733953135.13077533</v>
      </c>
      <c r="E2451" s="1243">
        <f>SUM(E2421:E2450)</f>
        <v>2213577.7413425106</v>
      </c>
      <c r="F2451" s="1243">
        <f>SUM(F2421:F2450)</f>
        <v>-216062.58379530953</v>
      </c>
      <c r="G2451" s="1243">
        <f>SUM(G2421:G2450)</f>
        <v>735950650.28832269</v>
      </c>
      <c r="H2451" s="1243"/>
      <c r="I2451" s="1243">
        <f>SUM(I2421:I2450)</f>
        <v>179885345.60575536</v>
      </c>
      <c r="J2451" s="369"/>
      <c r="K2451" s="1243">
        <f>SUM(K2421:K2450)</f>
        <v>1555796.318</v>
      </c>
      <c r="L2451" s="1243">
        <f>SUM(L2421:L2450)</f>
        <v>0</v>
      </c>
      <c r="M2451" s="1243">
        <f>SUM(M2421:M2450)</f>
        <v>-216062.58379530953</v>
      </c>
      <c r="N2451" s="1243">
        <f>SUM(N2421:N2450)</f>
        <v>-10067.897806811747</v>
      </c>
      <c r="O2451" s="1243">
        <f>SUM(O2421:O2450)</f>
        <v>181215011.44215322</v>
      </c>
    </row>
    <row r="2452" spans="1:16">
      <c r="B2452" s="367"/>
      <c r="C2452" s="368"/>
      <c r="D2452" s="369"/>
      <c r="E2452" s="369"/>
      <c r="F2452" s="369"/>
      <c r="G2452" s="369"/>
      <c r="I2452" s="369"/>
      <c r="J2452" s="369"/>
      <c r="K2452" s="369"/>
      <c r="L2452" s="369"/>
      <c r="M2452" s="369"/>
      <c r="N2452" s="369"/>
      <c r="O2452" s="369"/>
    </row>
    <row r="2453" spans="1:16">
      <c r="I2453" s="369"/>
      <c r="J2453" s="369"/>
      <c r="K2453" s="369"/>
      <c r="L2453" s="369"/>
      <c r="M2453" s="369"/>
      <c r="N2453" s="369"/>
      <c r="O2453" s="369"/>
    </row>
    <row r="2454" spans="1:16" s="291" customFormat="1">
      <c r="A2454" s="1308" t="str">
        <f>$A$1</f>
        <v>COLUMBIA GAS OF KENTUCKY, INC.</v>
      </c>
      <c r="B2454" s="1308"/>
      <c r="C2454" s="1308"/>
      <c r="D2454" s="1308"/>
      <c r="E2454" s="1308"/>
      <c r="F2454" s="1308"/>
      <c r="G2454" s="1308"/>
      <c r="H2454" s="1308"/>
      <c r="I2454" s="1308"/>
      <c r="J2454" s="1308"/>
      <c r="K2454" s="1308"/>
      <c r="L2454" s="1308"/>
      <c r="M2454" s="1308"/>
      <c r="N2454" s="1308"/>
      <c r="O2454" s="1308"/>
    </row>
    <row r="2455" spans="1:16" s="291" customFormat="1">
      <c r="A2455" s="1308" t="str">
        <f>$A$2</f>
        <v>CASE NO. 2024 - 00092</v>
      </c>
      <c r="B2455" s="1308"/>
      <c r="C2455" s="1308"/>
      <c r="D2455" s="1308"/>
      <c r="E2455" s="1308"/>
      <c r="F2455" s="1308"/>
      <c r="G2455" s="1308"/>
      <c r="H2455" s="1308"/>
      <c r="I2455" s="1308"/>
      <c r="J2455" s="1308"/>
      <c r="K2455" s="1308"/>
      <c r="L2455" s="1308"/>
      <c r="M2455" s="1308"/>
      <c r="N2455" s="1308"/>
      <c r="O2455" s="1308"/>
    </row>
    <row r="2456" spans="1:16" s="291" customFormat="1">
      <c r="A2456" s="1308" t="str">
        <f>$A$3</f>
        <v>DETAIL OF ACTUAL &amp; FORECASTED PLANT, ACCUMULATED RESERVE &amp; DEPRECIATION EXPENSE</v>
      </c>
      <c r="B2456" s="1308"/>
      <c r="C2456" s="1308"/>
      <c r="D2456" s="1308"/>
      <c r="E2456" s="1308"/>
      <c r="F2456" s="1308"/>
      <c r="G2456" s="1308"/>
      <c r="H2456" s="1308"/>
      <c r="I2456" s="1308"/>
      <c r="J2456" s="1308"/>
      <c r="K2456" s="1308"/>
      <c r="L2456" s="1308"/>
      <c r="M2456" s="1308"/>
      <c r="N2456" s="1308"/>
      <c r="O2456" s="1308"/>
      <c r="P2456" s="357"/>
    </row>
    <row r="2457" spans="1:16" s="291" customFormat="1">
      <c r="A2457" s="1308" t="str">
        <f>$A$4</f>
        <v>FROM JANUARY 01, 2023 THROUGH DECEMBER 31, 2025</v>
      </c>
      <c r="B2457" s="1308"/>
      <c r="C2457" s="1308"/>
      <c r="D2457" s="1308"/>
      <c r="E2457" s="1308"/>
      <c r="F2457" s="1308"/>
      <c r="G2457" s="1308"/>
      <c r="H2457" s="1308"/>
      <c r="I2457" s="1308"/>
      <c r="J2457" s="1308"/>
      <c r="K2457" s="1308"/>
      <c r="L2457" s="1308"/>
      <c r="M2457" s="1308"/>
      <c r="N2457" s="1308"/>
      <c r="O2457" s="1308"/>
    </row>
    <row r="2458" spans="1:16" s="291" customFormat="1">
      <c r="B2458" s="293"/>
      <c r="P2458" s="312"/>
    </row>
    <row r="2459" spans="1:16" s="291" customFormat="1">
      <c r="A2459" s="297" t="str">
        <f>$A$6</f>
        <v xml:space="preserve">DATA: _X_ BASE PERIOD _X_ FORECASTED PERIOD     </v>
      </c>
      <c r="B2459" s="293"/>
      <c r="O2459" s="312" t="str">
        <f>$O$6</f>
        <v>WPB-2.1.C</v>
      </c>
      <c r="P2459" s="312"/>
    </row>
    <row r="2460" spans="1:16" s="291" customFormat="1">
      <c r="A2460" s="297" t="str">
        <f>$A$7</f>
        <v>TYPE OF FILING:___X___ORIGINAL______UPDATED</v>
      </c>
      <c r="B2460" s="293"/>
      <c r="O2460" s="312" t="s">
        <v>2179</v>
      </c>
      <c r="P2460" s="312"/>
    </row>
    <row r="2461" spans="1:16" s="291" customFormat="1">
      <c r="A2461" s="297" t="str">
        <f>$A$8</f>
        <v>WORKPAPER REFERENCE NO(S).:</v>
      </c>
      <c r="B2461" s="293"/>
      <c r="O2461" s="312" t="str">
        <f>$O$8</f>
        <v>WITNESS: GORE</v>
      </c>
    </row>
    <row r="2462" spans="1:16">
      <c r="A2462" s="918"/>
      <c r="B2462" s="919"/>
      <c r="C2462" s="918"/>
      <c r="D2462" s="918"/>
      <c r="E2462" s="918"/>
      <c r="F2462" s="918"/>
      <c r="G2462" s="918"/>
      <c r="H2462" s="918"/>
      <c r="I2462" s="918"/>
      <c r="J2462" s="918"/>
      <c r="K2462" s="918"/>
      <c r="L2462" s="918"/>
      <c r="M2462" s="918"/>
      <c r="N2462" s="918"/>
      <c r="O2462" s="920"/>
    </row>
    <row r="2463" spans="1:16">
      <c r="D2463" s="1311" t="s">
        <v>1768</v>
      </c>
      <c r="E2463" s="1311"/>
      <c r="F2463" s="1311"/>
      <c r="G2463" s="1311"/>
      <c r="I2463" s="1311" t="s">
        <v>1769</v>
      </c>
      <c r="J2463" s="1311"/>
      <c r="K2463" s="1311"/>
      <c r="L2463" s="1311"/>
      <c r="M2463" s="1311"/>
      <c r="N2463" s="1311"/>
      <c r="O2463" s="1311"/>
    </row>
    <row r="2464" spans="1:16">
      <c r="D2464" s="360">
        <f>D2405</f>
        <v>45566</v>
      </c>
      <c r="G2464" s="360">
        <f>G2405</f>
        <v>45596</v>
      </c>
      <c r="I2464" s="360">
        <f>D2464</f>
        <v>45566</v>
      </c>
      <c r="O2464" s="360">
        <f>G2464</f>
        <v>45596</v>
      </c>
    </row>
    <row r="2465" spans="1:15">
      <c r="D2465" s="361" t="s">
        <v>1757</v>
      </c>
      <c r="G2465" s="361" t="s">
        <v>1757</v>
      </c>
      <c r="I2465" s="361" t="s">
        <v>1758</v>
      </c>
      <c r="J2465" s="361" t="s">
        <v>488</v>
      </c>
      <c r="L2465" s="361" t="s">
        <v>1758</v>
      </c>
      <c r="O2465" s="361" t="s">
        <v>1758</v>
      </c>
    </row>
    <row r="2466" spans="1:15">
      <c r="A2466" s="361" t="s">
        <v>1770</v>
      </c>
      <c r="B2466" s="361" t="s">
        <v>368</v>
      </c>
      <c r="C2466" s="361"/>
      <c r="D2466" s="361" t="s">
        <v>437</v>
      </c>
      <c r="G2466" s="361" t="s">
        <v>439</v>
      </c>
      <c r="I2466" s="361" t="s">
        <v>437</v>
      </c>
      <c r="J2466" s="361" t="s">
        <v>1771</v>
      </c>
      <c r="K2466" s="361" t="s">
        <v>1772</v>
      </c>
      <c r="L2466" s="361" t="s">
        <v>1759</v>
      </c>
      <c r="N2466" s="361" t="s">
        <v>1760</v>
      </c>
      <c r="O2466" s="361" t="s">
        <v>439</v>
      </c>
    </row>
    <row r="2467" spans="1:15">
      <c r="A2467" s="364" t="s">
        <v>316</v>
      </c>
      <c r="B2467" s="364" t="s">
        <v>316</v>
      </c>
      <c r="C2467" s="364" t="s">
        <v>451</v>
      </c>
      <c r="D2467" s="364" t="s">
        <v>441</v>
      </c>
      <c r="E2467" s="364" t="s">
        <v>442</v>
      </c>
      <c r="F2467" s="364" t="s">
        <v>443</v>
      </c>
      <c r="G2467" s="364" t="s">
        <v>441</v>
      </c>
      <c r="I2467" s="364" t="s">
        <v>441</v>
      </c>
      <c r="J2467" s="364" t="s">
        <v>1773</v>
      </c>
      <c r="K2467" s="364" t="s">
        <v>1771</v>
      </c>
      <c r="L2467" s="364" t="s">
        <v>355</v>
      </c>
      <c r="M2467" s="364" t="s">
        <v>443</v>
      </c>
      <c r="N2467" s="364" t="s">
        <v>1763</v>
      </c>
      <c r="O2467" s="364" t="s">
        <v>441</v>
      </c>
    </row>
    <row r="2468" spans="1:15">
      <c r="D2468" s="361" t="s">
        <v>532</v>
      </c>
      <c r="E2468" s="361" t="s">
        <v>541</v>
      </c>
      <c r="F2468" s="361" t="s">
        <v>542</v>
      </c>
      <c r="G2468" s="361" t="s">
        <v>1764</v>
      </c>
      <c r="I2468" s="334" t="str">
        <f>"(5)"</f>
        <v>(5)</v>
      </c>
      <c r="J2468" s="334" t="str">
        <f>"(6)"</f>
        <v>(6)</v>
      </c>
      <c r="K2468" s="334" t="str">
        <f>"(7)=((1+4)/2*6/12))"</f>
        <v>(7)=((1+4)/2*6/12))</v>
      </c>
      <c r="L2468" s="334" t="str">
        <f>"(8)"</f>
        <v>(8)</v>
      </c>
      <c r="M2468" s="334" t="str">
        <f>"(9)"</f>
        <v>(9)</v>
      </c>
      <c r="N2468" s="334" t="str">
        <f>"(10)"</f>
        <v>(10)</v>
      </c>
      <c r="O2468" s="334" t="str">
        <f>"(11=5+7+8+9+10)"</f>
        <v>(11=5+7+8+9+10)</v>
      </c>
    </row>
    <row r="2469" spans="1:15">
      <c r="D2469" s="361" t="s">
        <v>320</v>
      </c>
      <c r="E2469" s="361" t="s">
        <v>320</v>
      </c>
      <c r="F2469" s="361" t="s">
        <v>320</v>
      </c>
      <c r="G2469" s="361" t="s">
        <v>320</v>
      </c>
      <c r="I2469" s="334" t="s">
        <v>320</v>
      </c>
      <c r="J2469" s="334" t="s">
        <v>529</v>
      </c>
      <c r="K2469" s="334" t="s">
        <v>320</v>
      </c>
      <c r="L2469" s="334" t="s">
        <v>320</v>
      </c>
      <c r="M2469" s="334" t="s">
        <v>320</v>
      </c>
      <c r="N2469" s="334" t="s">
        <v>320</v>
      </c>
      <c r="O2469" s="334" t="s">
        <v>320</v>
      </c>
    </row>
    <row r="2470" spans="1:15">
      <c r="A2470" s="361">
        <v>1</v>
      </c>
      <c r="B2470" s="363" t="s">
        <v>411</v>
      </c>
      <c r="D2470" s="361"/>
      <c r="E2470" s="361"/>
      <c r="F2470" s="361"/>
      <c r="G2470" s="361"/>
      <c r="I2470" s="334"/>
      <c r="J2470" s="334"/>
      <c r="K2470" s="334"/>
      <c r="L2470" s="334"/>
      <c r="M2470" s="334"/>
      <c r="N2470" s="334"/>
      <c r="O2470" s="334"/>
    </row>
    <row r="2471" spans="1:15">
      <c r="A2471" s="361">
        <f>A2470+1</f>
        <v>2</v>
      </c>
      <c r="B2471" s="365">
        <v>391.1</v>
      </c>
      <c r="C2471" s="358" t="s">
        <v>412</v>
      </c>
      <c r="D2471" s="1243">
        <f t="shared" ref="D2471:D2484" si="449">G2357</f>
        <v>921741.33000000007</v>
      </c>
      <c r="E2471" s="1243">
        <f>+'INPUT - B Schedule PLANT'!DN46</f>
        <v>0</v>
      </c>
      <c r="F2471" s="1243">
        <f>+'INPUT - B Schedule PLANT'!DO46</f>
        <v>0</v>
      </c>
      <c r="G2471" s="1243">
        <f>SUM(D2471:F2471)</f>
        <v>921741.33000000007</v>
      </c>
      <c r="I2471" s="1245">
        <f t="shared" ref="I2471:I2484" si="450">O2357</f>
        <v>149316.37</v>
      </c>
      <c r="J2471" s="376">
        <f>$J$1673</f>
        <v>4.9700000000000001E-2</v>
      </c>
      <c r="K2471" s="1243">
        <f>ROUND((G2471+D2471)/2*J2471/12,0)</f>
        <v>3818</v>
      </c>
      <c r="L2471" s="1243">
        <v>0</v>
      </c>
      <c r="M2471" s="1243">
        <f t="shared" ref="M2471:M2484" si="451">F2471</f>
        <v>0</v>
      </c>
      <c r="N2471" s="1243">
        <v>0</v>
      </c>
      <c r="O2471" s="1243">
        <f t="shared" ref="O2471:O2484" si="452">I2471+K2471+L2471+M2471+N2471</f>
        <v>153134.37</v>
      </c>
    </row>
    <row r="2472" spans="1:15">
      <c r="A2472" s="361">
        <f t="shared" ref="A2472:A2485" si="453">A2471+1</f>
        <v>3</v>
      </c>
      <c r="B2472" s="365">
        <v>391.11</v>
      </c>
      <c r="C2472" s="358" t="s">
        <v>413</v>
      </c>
      <c r="D2472" s="1243">
        <f t="shared" si="449"/>
        <v>0</v>
      </c>
      <c r="E2472" s="1243">
        <f>+'INPUT - B Schedule PLANT'!DN47</f>
        <v>0</v>
      </c>
      <c r="F2472" s="1243">
        <f>+'INPUT - B Schedule PLANT'!DO47</f>
        <v>0</v>
      </c>
      <c r="G2472" s="1243">
        <f t="shared" ref="G2472:G2479" si="454">SUM(D2472:F2472)</f>
        <v>0</v>
      </c>
      <c r="I2472" s="1245">
        <f t="shared" si="450"/>
        <v>-18933.789999999997</v>
      </c>
      <c r="J2472" s="376">
        <f>$J$1674</f>
        <v>0</v>
      </c>
      <c r="K2472" s="1243">
        <f>ROUND((G2472+D2472)/2*J2472/12,0)</f>
        <v>0</v>
      </c>
      <c r="L2472" s="1243">
        <v>0</v>
      </c>
      <c r="M2472" s="1243">
        <f t="shared" si="451"/>
        <v>0</v>
      </c>
      <c r="N2472" s="1243">
        <v>0</v>
      </c>
      <c r="O2472" s="1243">
        <f t="shared" si="452"/>
        <v>-18933.789999999997</v>
      </c>
    </row>
    <row r="2473" spans="1:15">
      <c r="A2473" s="361">
        <f t="shared" si="453"/>
        <v>4</v>
      </c>
      <c r="B2473" s="365">
        <v>391.12</v>
      </c>
      <c r="C2473" s="358" t="s">
        <v>414</v>
      </c>
      <c r="D2473" s="1243">
        <f t="shared" si="449"/>
        <v>37129.580000000009</v>
      </c>
      <c r="E2473" s="1243">
        <f>+'INPUT - B Schedule PLANT'!DN48</f>
        <v>0</v>
      </c>
      <c r="F2473" s="1243">
        <f>+'INPUT - B Schedule PLANT'!DO48</f>
        <v>0</v>
      </c>
      <c r="G2473" s="1243">
        <f t="shared" si="454"/>
        <v>37129.580000000009</v>
      </c>
      <c r="I2473" s="1245">
        <f t="shared" si="450"/>
        <v>286.96999999999935</v>
      </c>
      <c r="J2473" s="376">
        <f>$J$1675</f>
        <v>0.2</v>
      </c>
      <c r="K2473" s="1243">
        <f>ROUND((G2473+D2473)/2*J2473/12,0)</f>
        <v>619</v>
      </c>
      <c r="L2473" s="1243">
        <v>0</v>
      </c>
      <c r="M2473" s="1243">
        <f t="shared" si="451"/>
        <v>0</v>
      </c>
      <c r="N2473" s="1243">
        <v>0</v>
      </c>
      <c r="O2473" s="1243">
        <f t="shared" si="452"/>
        <v>905.96999999999935</v>
      </c>
    </row>
    <row r="2474" spans="1:15">
      <c r="A2474" s="361">
        <f t="shared" si="453"/>
        <v>5</v>
      </c>
      <c r="B2474" s="365">
        <v>392.2</v>
      </c>
      <c r="C2474" s="358" t="s">
        <v>524</v>
      </c>
      <c r="D2474" s="1243">
        <f t="shared" si="449"/>
        <v>48924.4</v>
      </c>
      <c r="E2474" s="1243">
        <f>+'INPUT - B Schedule PLANT'!DN49</f>
        <v>0</v>
      </c>
      <c r="F2474" s="1243">
        <f>+'INPUT - B Schedule PLANT'!DO49</f>
        <v>0</v>
      </c>
      <c r="G2474" s="1243">
        <f t="shared" si="454"/>
        <v>48924.4</v>
      </c>
      <c r="I2474" s="1245">
        <f t="shared" si="450"/>
        <v>17476.359999999961</v>
      </c>
      <c r="J2474" s="376">
        <f>$J$1676</f>
        <v>8.9999999999999993E-3</v>
      </c>
      <c r="K2474" s="1243">
        <f>ROUND((G2474+D2474)/2*J2474/12,0)</f>
        <v>37</v>
      </c>
      <c r="L2474" s="1243">
        <v>0</v>
      </c>
      <c r="M2474" s="1243">
        <f t="shared" si="451"/>
        <v>0</v>
      </c>
      <c r="N2474" s="1243">
        <v>0</v>
      </c>
      <c r="O2474" s="1243">
        <f t="shared" si="452"/>
        <v>17513.359999999961</v>
      </c>
    </row>
    <row r="2475" spans="1:15">
      <c r="A2475" s="361">
        <f t="shared" si="453"/>
        <v>6</v>
      </c>
      <c r="B2475" s="365">
        <v>392.21</v>
      </c>
      <c r="C2475" s="358" t="s">
        <v>415</v>
      </c>
      <c r="D2475" s="1243">
        <f t="shared" si="449"/>
        <v>24462.2</v>
      </c>
      <c r="E2475" s="1243">
        <f>+'INPUT - B Schedule PLANT'!DN50</f>
        <v>0</v>
      </c>
      <c r="F2475" s="1243">
        <f>+'INPUT - B Schedule PLANT'!DO50</f>
        <v>0</v>
      </c>
      <c r="G2475" s="1243">
        <f t="shared" si="454"/>
        <v>24462.2</v>
      </c>
      <c r="I2475" s="1245">
        <f t="shared" si="450"/>
        <v>44880.01</v>
      </c>
      <c r="J2475" s="376">
        <f>$J$1677</f>
        <v>8.9999999999999993E-3</v>
      </c>
      <c r="K2475" s="1243">
        <f>ROUND((G2475+D2475)/2*J2475/12,0)</f>
        <v>18</v>
      </c>
      <c r="L2475" s="1243">
        <v>0</v>
      </c>
      <c r="M2475" s="1243">
        <f t="shared" si="451"/>
        <v>0</v>
      </c>
      <c r="N2475" s="1243">
        <v>0</v>
      </c>
      <c r="O2475" s="1243">
        <f t="shared" si="452"/>
        <v>44898.01</v>
      </c>
    </row>
    <row r="2476" spans="1:15">
      <c r="A2476" s="361">
        <f t="shared" si="453"/>
        <v>7</v>
      </c>
      <c r="B2476" s="365">
        <v>393</v>
      </c>
      <c r="C2476" s="358" t="s">
        <v>416</v>
      </c>
      <c r="D2476" s="1243">
        <f t="shared" si="449"/>
        <v>0</v>
      </c>
      <c r="E2476" s="1243">
        <f>+'INPUT - B Schedule PLANT'!DN51</f>
        <v>0</v>
      </c>
      <c r="F2476" s="1243">
        <f>+'INPUT - B Schedule PLANT'!DO51</f>
        <v>0</v>
      </c>
      <c r="G2476" s="1243">
        <f t="shared" si="454"/>
        <v>0</v>
      </c>
      <c r="I2476" s="1245">
        <f t="shared" si="450"/>
        <v>0</v>
      </c>
      <c r="J2476" s="376" t="str">
        <f>$J$1678</f>
        <v>Amort.</v>
      </c>
      <c r="K2476" s="1243"/>
      <c r="L2476" s="1243">
        <v>0</v>
      </c>
      <c r="M2476" s="1243">
        <f t="shared" si="451"/>
        <v>0</v>
      </c>
      <c r="N2476" s="1243">
        <v>0</v>
      </c>
      <c r="O2476" s="1243">
        <f t="shared" si="452"/>
        <v>0</v>
      </c>
    </row>
    <row r="2477" spans="1:15">
      <c r="A2477" s="361">
        <f t="shared" si="453"/>
        <v>8</v>
      </c>
      <c r="B2477" s="365">
        <v>394.1</v>
      </c>
      <c r="C2477" s="358" t="s">
        <v>417</v>
      </c>
      <c r="D2477" s="1243">
        <f t="shared" si="449"/>
        <v>9739</v>
      </c>
      <c r="E2477" s="1243">
        <f>+'INPUT - B Schedule PLANT'!DN52</f>
        <v>0</v>
      </c>
      <c r="F2477" s="1243">
        <f>+'INPUT - B Schedule PLANT'!DO52</f>
        <v>0</v>
      </c>
      <c r="G2477" s="1243">
        <f t="shared" si="454"/>
        <v>9739</v>
      </c>
      <c r="I2477" s="1245">
        <f t="shared" si="450"/>
        <v>4364.0700000000006</v>
      </c>
      <c r="J2477" s="376">
        <f>$J$1679</f>
        <v>0.04</v>
      </c>
      <c r="K2477" s="1243">
        <f>ROUND((G2477+D2477)/2*J2477/12,0)</f>
        <v>32</v>
      </c>
      <c r="L2477" s="1243">
        <v>0</v>
      </c>
      <c r="M2477" s="1243">
        <f t="shared" si="451"/>
        <v>0</v>
      </c>
      <c r="N2477" s="1243">
        <v>0</v>
      </c>
      <c r="O2477" s="1243">
        <f t="shared" si="452"/>
        <v>4396.0700000000006</v>
      </c>
    </row>
    <row r="2478" spans="1:15">
      <c r="A2478" s="361">
        <f t="shared" si="453"/>
        <v>9</v>
      </c>
      <c r="B2478" s="365">
        <v>394.11</v>
      </c>
      <c r="C2478" s="358" t="s">
        <v>418</v>
      </c>
      <c r="D2478" s="1243">
        <f t="shared" si="449"/>
        <v>0</v>
      </c>
      <c r="E2478" s="1243">
        <f>+'INPUT - B Schedule PLANT'!DN53</f>
        <v>0</v>
      </c>
      <c r="F2478" s="1243">
        <f>+'INPUT - B Schedule PLANT'!DO53</f>
        <v>0</v>
      </c>
      <c r="G2478" s="1243">
        <f t="shared" si="454"/>
        <v>0</v>
      </c>
      <c r="I2478" s="1245">
        <f t="shared" si="450"/>
        <v>-26071.5</v>
      </c>
      <c r="J2478" s="376">
        <f>$J$1680</f>
        <v>0.04</v>
      </c>
      <c r="K2478" s="1243">
        <f>ROUND((G2478+D2478)/2*J2478/12,0)</f>
        <v>0</v>
      </c>
      <c r="L2478" s="1243">
        <v>0</v>
      </c>
      <c r="M2478" s="1243">
        <f t="shared" si="451"/>
        <v>0</v>
      </c>
      <c r="N2478" s="1243">
        <v>0</v>
      </c>
      <c r="O2478" s="1243">
        <f t="shared" si="452"/>
        <v>-26071.5</v>
      </c>
    </row>
    <row r="2479" spans="1:15">
      <c r="A2479" s="361">
        <f t="shared" si="453"/>
        <v>10</v>
      </c>
      <c r="B2479" s="365">
        <v>394.13</v>
      </c>
      <c r="C2479" s="358" t="s">
        <v>515</v>
      </c>
      <c r="D2479" s="1243">
        <f t="shared" si="449"/>
        <v>0</v>
      </c>
      <c r="E2479" s="1243">
        <f>+'INPUT - B Schedule PLANT'!DN54</f>
        <v>0</v>
      </c>
      <c r="F2479" s="1243">
        <f>+'INPUT - B Schedule PLANT'!DO54</f>
        <v>0</v>
      </c>
      <c r="G2479" s="1243">
        <f t="shared" si="454"/>
        <v>0</v>
      </c>
      <c r="I2479" s="1245">
        <f t="shared" si="450"/>
        <v>37937.360000000001</v>
      </c>
      <c r="J2479" s="376" t="str">
        <f>$J$1681</f>
        <v>Amort.</v>
      </c>
      <c r="K2479" s="1243"/>
      <c r="L2479" s="1243">
        <v>0</v>
      </c>
      <c r="M2479" s="1243">
        <f t="shared" si="451"/>
        <v>0</v>
      </c>
      <c r="N2479" s="1243">
        <v>0</v>
      </c>
      <c r="O2479" s="1243">
        <f t="shared" si="452"/>
        <v>37937.360000000001</v>
      </c>
    </row>
    <row r="2480" spans="1:15">
      <c r="A2480" s="361">
        <f t="shared" si="453"/>
        <v>11</v>
      </c>
      <c r="B2480" s="365">
        <v>394.2</v>
      </c>
      <c r="C2480" s="358" t="s">
        <v>420</v>
      </c>
      <c r="D2480" s="1243">
        <f t="shared" si="449"/>
        <v>0</v>
      </c>
      <c r="E2480" s="1243">
        <f>+'INPUT - B Schedule PLANT'!DN55</f>
        <v>0</v>
      </c>
      <c r="F2480" s="1243">
        <f>+'INPUT - B Schedule PLANT'!DO55</f>
        <v>0</v>
      </c>
      <c r="G2480" s="1243">
        <f>SUM(D2480:F2480)</f>
        <v>0</v>
      </c>
      <c r="I2480" s="1245">
        <f t="shared" si="450"/>
        <v>185.21</v>
      </c>
      <c r="J2480" s="376">
        <f>$J$1682</f>
        <v>0.04</v>
      </c>
      <c r="K2480" s="1243">
        <f>ROUND((G2480+D2480)/2*J2480/12,0)</f>
        <v>0</v>
      </c>
      <c r="L2480" s="1243">
        <v>0</v>
      </c>
      <c r="M2480" s="1243">
        <f t="shared" si="451"/>
        <v>0</v>
      </c>
      <c r="N2480" s="1243">
        <v>0</v>
      </c>
      <c r="O2480" s="1243">
        <f t="shared" si="452"/>
        <v>185.21</v>
      </c>
    </row>
    <row r="2481" spans="1:15">
      <c r="A2481" s="361">
        <f t="shared" si="453"/>
        <v>12</v>
      </c>
      <c r="B2481" s="365">
        <v>394.3</v>
      </c>
      <c r="C2481" s="358" t="s">
        <v>1602</v>
      </c>
      <c r="D2481" s="1243">
        <f t="shared" si="449"/>
        <v>5287597.4899999993</v>
      </c>
      <c r="E2481" s="1243">
        <f>+'INPUT - B Schedule PLANT'!DN56</f>
        <v>4876.1899999999996</v>
      </c>
      <c r="F2481" s="1243">
        <f>+'INPUT - B Schedule PLANT'!DO56</f>
        <v>-16318.26</v>
      </c>
      <c r="G2481" s="1243">
        <f>SUM(D2481:F2481)</f>
        <v>5276155.42</v>
      </c>
      <c r="I2481" s="1245">
        <f t="shared" si="450"/>
        <v>1656519.6499999997</v>
      </c>
      <c r="J2481" s="376">
        <f>$J$1683</f>
        <v>0.04</v>
      </c>
      <c r="K2481" s="1243">
        <f>ROUND((G2481+D2481)/2*J2481/12,0)</f>
        <v>17606</v>
      </c>
      <c r="L2481" s="1243">
        <v>0</v>
      </c>
      <c r="M2481" s="1243">
        <f t="shared" si="451"/>
        <v>-16318.26</v>
      </c>
      <c r="N2481" s="1243">
        <v>0</v>
      </c>
      <c r="O2481" s="1243">
        <f t="shared" si="452"/>
        <v>1657807.3899999997</v>
      </c>
    </row>
    <row r="2482" spans="1:15">
      <c r="A2482" s="361">
        <f t="shared" si="453"/>
        <v>13</v>
      </c>
      <c r="B2482" s="365">
        <v>395</v>
      </c>
      <c r="C2482" s="358" t="s">
        <v>422</v>
      </c>
      <c r="D2482" s="1243">
        <f t="shared" si="449"/>
        <v>0</v>
      </c>
      <c r="E2482" s="1243">
        <f>+'INPUT - B Schedule PLANT'!DN57</f>
        <v>0</v>
      </c>
      <c r="F2482" s="1243">
        <f>+'INPUT - B Schedule PLANT'!DO57</f>
        <v>0</v>
      </c>
      <c r="G2482" s="1243">
        <f>SUM(D2482:F2482)</f>
        <v>0</v>
      </c>
      <c r="I2482" s="1245">
        <f t="shared" si="450"/>
        <v>-100.69999999999845</v>
      </c>
      <c r="J2482" s="376">
        <f>$J$1684</f>
        <v>0.05</v>
      </c>
      <c r="K2482" s="1243">
        <f>ROUND((G2482+D2482)/2*J2482/12,0)</f>
        <v>0</v>
      </c>
      <c r="L2482" s="1243">
        <v>0</v>
      </c>
      <c r="M2482" s="1243">
        <f t="shared" si="451"/>
        <v>0</v>
      </c>
      <c r="N2482" s="1243">
        <v>0</v>
      </c>
      <c r="O2482" s="1243">
        <f t="shared" si="452"/>
        <v>-100.69999999999845</v>
      </c>
    </row>
    <row r="2483" spans="1:15">
      <c r="A2483" s="361">
        <f t="shared" si="453"/>
        <v>14</v>
      </c>
      <c r="B2483" s="365">
        <v>396</v>
      </c>
      <c r="C2483" s="358" t="s">
        <v>423</v>
      </c>
      <c r="D2483" s="1243">
        <f t="shared" si="449"/>
        <v>185547</v>
      </c>
      <c r="E2483" s="1243">
        <f>+'INPUT - B Schedule PLANT'!DN58</f>
        <v>0</v>
      </c>
      <c r="F2483" s="1243">
        <f>+'INPUT - B Schedule PLANT'!DO58</f>
        <v>0</v>
      </c>
      <c r="G2483" s="1243">
        <f>SUM(D2483:F2483)</f>
        <v>185547</v>
      </c>
      <c r="I2483" s="1245">
        <f t="shared" si="450"/>
        <v>171938.14</v>
      </c>
      <c r="J2483" s="376">
        <f>$J$1685</f>
        <v>0</v>
      </c>
      <c r="K2483" s="1243">
        <f>ROUND((G2483+D2483)/2*J2483/12,0)</f>
        <v>0</v>
      </c>
      <c r="L2483" s="1243">
        <v>0</v>
      </c>
      <c r="M2483" s="1243">
        <f t="shared" si="451"/>
        <v>0</v>
      </c>
      <c r="N2483" s="1243">
        <v>0</v>
      </c>
      <c r="O2483" s="1243">
        <f t="shared" si="452"/>
        <v>171938.14</v>
      </c>
    </row>
    <row r="2484" spans="1:15">
      <c r="A2484" s="361">
        <f t="shared" si="453"/>
        <v>15</v>
      </c>
      <c r="B2484" s="365">
        <v>398</v>
      </c>
      <c r="C2484" s="358" t="s">
        <v>424</v>
      </c>
      <c r="D2484" s="1244">
        <f t="shared" si="449"/>
        <v>148028.20000000001</v>
      </c>
      <c r="E2484" s="1244">
        <f>+'INPUT - B Schedule PLANT'!DN59</f>
        <v>0</v>
      </c>
      <c r="F2484" s="1244">
        <f>+'INPUT - B Schedule PLANT'!DO59</f>
        <v>0</v>
      </c>
      <c r="G2484" s="1244">
        <f>SUM(D2484:F2484)</f>
        <v>148028.20000000001</v>
      </c>
      <c r="I2484" s="1246">
        <f t="shared" si="450"/>
        <v>77510.549999999945</v>
      </c>
      <c r="J2484" s="376">
        <f>$J$1686</f>
        <v>6.6699999999999995E-2</v>
      </c>
      <c r="K2484" s="1244">
        <f>ROUND((G2484+D2484)/2*J2484/12,0)</f>
        <v>823</v>
      </c>
      <c r="L2484" s="1244">
        <v>0</v>
      </c>
      <c r="M2484" s="1244">
        <f t="shared" si="451"/>
        <v>0</v>
      </c>
      <c r="N2484" s="1244">
        <v>0</v>
      </c>
      <c r="O2484" s="1244">
        <f t="shared" si="452"/>
        <v>78333.549999999945</v>
      </c>
    </row>
    <row r="2485" spans="1:15">
      <c r="A2485" s="361">
        <f t="shared" si="453"/>
        <v>16</v>
      </c>
      <c r="B2485" s="367"/>
      <c r="C2485" s="358" t="s">
        <v>425</v>
      </c>
      <c r="D2485" s="1243">
        <f>SUM(D2471:D2484)</f>
        <v>6663169.1999999993</v>
      </c>
      <c r="E2485" s="1243">
        <f>SUM(E2471:E2484)</f>
        <v>4876.1899999999996</v>
      </c>
      <c r="F2485" s="1243">
        <f>SUM(F2471:F2484)</f>
        <v>-16318.26</v>
      </c>
      <c r="G2485" s="1243">
        <f>SUM(G2471:G2484)</f>
        <v>6651727.1299999999</v>
      </c>
      <c r="I2485" s="1243">
        <f>SUM(I2471:I2484)</f>
        <v>2115308.6999999997</v>
      </c>
      <c r="J2485" s="369"/>
      <c r="K2485" s="1243">
        <f>SUM(K2471:K2484)</f>
        <v>22953</v>
      </c>
      <c r="L2485" s="1243">
        <f>SUM(L2471:L2484)</f>
        <v>0</v>
      </c>
      <c r="M2485" s="1243">
        <f>SUM(M2471:M2484)</f>
        <v>-16318.26</v>
      </c>
      <c r="N2485" s="1243">
        <f>SUM(N2471:N2484)</f>
        <v>0</v>
      </c>
      <c r="O2485" s="1243">
        <f>SUM(O2471:O2484)</f>
        <v>2121943.4399999995</v>
      </c>
    </row>
    <row r="2486" spans="1:15">
      <c r="A2486" s="361"/>
      <c r="D2486" s="1243"/>
      <c r="E2486" s="1243"/>
      <c r="F2486" s="1243"/>
      <c r="G2486" s="1243"/>
      <c r="I2486" s="1243"/>
      <c r="J2486" s="369"/>
      <c r="K2486" s="1243"/>
      <c r="L2486" s="1243"/>
      <c r="M2486" s="1243"/>
      <c r="N2486" s="1243"/>
      <c r="O2486" s="1243"/>
    </row>
    <row r="2487" spans="1:15">
      <c r="A2487" s="361">
        <f>A2485+1</f>
        <v>17</v>
      </c>
      <c r="B2487" s="363" t="s">
        <v>1038</v>
      </c>
      <c r="D2487" s="1243"/>
      <c r="E2487" s="1243"/>
      <c r="F2487" s="1243"/>
      <c r="G2487" s="1243"/>
      <c r="I2487" s="1243"/>
      <c r="J2487" s="369"/>
      <c r="K2487" s="1243"/>
      <c r="L2487" s="1243"/>
      <c r="M2487" s="1243"/>
      <c r="N2487" s="1243"/>
      <c r="O2487" s="1243"/>
    </row>
    <row r="2488" spans="1:15">
      <c r="A2488" s="361">
        <f>A2487+1</f>
        <v>18</v>
      </c>
      <c r="B2488" s="365">
        <v>378.21</v>
      </c>
      <c r="C2488" s="358" t="s">
        <v>1037</v>
      </c>
      <c r="D2488" s="1244">
        <f>G2374</f>
        <v>-777092</v>
      </c>
      <c r="E2488" s="1244">
        <v>0</v>
      </c>
      <c r="F2488" s="1244">
        <v>0</v>
      </c>
      <c r="G2488" s="1244">
        <f>SUM(D2488:F2488)</f>
        <v>-777092</v>
      </c>
      <c r="I2488" s="1244">
        <f>O2374</f>
        <v>-223667.87000000023</v>
      </c>
      <c r="J2488" s="376" t="str">
        <f>$J$1690</f>
        <v>Amort.</v>
      </c>
      <c r="K2488" s="1244">
        <f>$K$1348</f>
        <v>-2144.17</v>
      </c>
      <c r="L2488" s="1244">
        <v>0</v>
      </c>
      <c r="M2488" s="1244">
        <f>F2488</f>
        <v>0</v>
      </c>
      <c r="N2488" s="1244">
        <v>0</v>
      </c>
      <c r="O2488" s="1244">
        <f>I2488+K2488+L2488+M2488+N2488</f>
        <v>-225812.04000000024</v>
      </c>
    </row>
    <row r="2489" spans="1:15">
      <c r="A2489" s="361">
        <f>A2488+1</f>
        <v>19</v>
      </c>
      <c r="B2489" s="370"/>
      <c r="C2489" s="358" t="s">
        <v>1579</v>
      </c>
      <c r="D2489" s="1243">
        <f>SUM(D2488)</f>
        <v>-777092</v>
      </c>
      <c r="E2489" s="1243">
        <f>SUM(E2488)</f>
        <v>0</v>
      </c>
      <c r="F2489" s="1243">
        <f>SUM(F2488)</f>
        <v>0</v>
      </c>
      <c r="G2489" s="1243">
        <f>SUM(G2488)</f>
        <v>-777092</v>
      </c>
      <c r="I2489" s="1243">
        <f>SUM(I2488)</f>
        <v>-223667.87000000023</v>
      </c>
      <c r="J2489" s="369"/>
      <c r="K2489" s="1243">
        <f>SUM(K2488)</f>
        <v>-2144.17</v>
      </c>
      <c r="L2489" s="1243">
        <f>SUM(L2488)</f>
        <v>0</v>
      </c>
      <c r="M2489" s="1243">
        <f>SUM(M2488)</f>
        <v>0</v>
      </c>
      <c r="N2489" s="1243">
        <f>SUM(N2488)</f>
        <v>0</v>
      </c>
      <c r="O2489" s="1243">
        <f>SUM(O2488)</f>
        <v>-225812.04000000024</v>
      </c>
    </row>
    <row r="2490" spans="1:15">
      <c r="A2490" s="361"/>
      <c r="B2490" s="370"/>
      <c r="D2490" s="1243"/>
      <c r="E2490" s="1243"/>
      <c r="F2490" s="1243"/>
      <c r="G2490" s="1243"/>
      <c r="I2490" s="1243"/>
      <c r="J2490" s="369"/>
      <c r="K2490" s="1243"/>
      <c r="L2490" s="1243"/>
      <c r="M2490" s="1243"/>
      <c r="N2490" s="1243"/>
      <c r="O2490" s="1243"/>
    </row>
    <row r="2491" spans="1:15">
      <c r="A2491" s="361">
        <f>A2489+1</f>
        <v>20</v>
      </c>
      <c r="B2491" s="370"/>
      <c r="C2491" s="358" t="s">
        <v>2037</v>
      </c>
      <c r="D2491" s="1243">
        <f>D2418+D2451+D2485+D2489</f>
        <v>754599963.61310506</v>
      </c>
      <c r="E2491" s="1243">
        <f>E2418+E2451+E2485+E2489</f>
        <v>2431869.2435464165</v>
      </c>
      <c r="F2491" s="1243">
        <f>F2418+F2451+F2485+F2489</f>
        <v>-272941.16379530955</v>
      </c>
      <c r="G2491" s="1243">
        <f>G2418+G2451+G2485+G2489</f>
        <v>756758891.69285631</v>
      </c>
      <c r="I2491" s="1243">
        <f>I2418+I2451+I2485+I2489</f>
        <v>188803498.85169935</v>
      </c>
      <c r="J2491" s="369"/>
      <c r="K2491" s="1243">
        <f>K2418+K2451+K2485+K2489</f>
        <v>1826979.7679803309</v>
      </c>
      <c r="L2491" s="1243">
        <f>L2418+L2451+L2485+L2489</f>
        <v>0</v>
      </c>
      <c r="M2491" s="1243">
        <f>M2418+M2451+M2485+M2489</f>
        <v>-272941.16379530955</v>
      </c>
      <c r="N2491" s="1243">
        <f>N2418+N2451+N2485+N2489</f>
        <v>-10067.897806811747</v>
      </c>
      <c r="O2491" s="1243">
        <f>O2418+O2451+O2485+O2489</f>
        <v>190347469.55807757</v>
      </c>
    </row>
    <row r="2492" spans="1:15">
      <c r="A2492" s="361"/>
      <c r="B2492" s="370"/>
      <c r="D2492" s="1243"/>
      <c r="E2492" s="1243"/>
      <c r="F2492" s="1243"/>
      <c r="G2492" s="1243"/>
      <c r="I2492" s="1243"/>
      <c r="J2492" s="369"/>
      <c r="K2492" s="1243"/>
      <c r="L2492" s="1243"/>
      <c r="M2492" s="1243"/>
      <c r="N2492" s="1243"/>
      <c r="O2492" s="1243"/>
    </row>
    <row r="2493" spans="1:15">
      <c r="A2493" s="361">
        <f>A2491+1</f>
        <v>21</v>
      </c>
      <c r="B2493" s="370"/>
      <c r="C2493" s="358" t="s">
        <v>2038</v>
      </c>
      <c r="D2493" s="1243">
        <v>0</v>
      </c>
      <c r="E2493" s="1249">
        <v>0</v>
      </c>
      <c r="F2493" s="1249">
        <v>0</v>
      </c>
      <c r="G2493" s="1249">
        <f>SUM(D2493:F2493)</f>
        <v>0</v>
      </c>
      <c r="I2493" s="1243">
        <f>O2379</f>
        <v>-6687302.71</v>
      </c>
      <c r="J2493" s="369"/>
      <c r="K2493" s="1243"/>
      <c r="L2493" s="1243"/>
      <c r="M2493" s="1243"/>
      <c r="N2493" s="1243"/>
      <c r="O2493" s="1243">
        <f>I2493+K2493+L2493+M2493+N2493</f>
        <v>-6687302.71</v>
      </c>
    </row>
    <row r="2494" spans="1:15">
      <c r="A2494" s="361"/>
      <c r="B2494" s="370"/>
      <c r="C2494" s="368"/>
      <c r="D2494" s="1243"/>
      <c r="E2494" s="1243"/>
      <c r="F2494" s="1243"/>
      <c r="G2494" s="1243"/>
      <c r="I2494" s="1243"/>
      <c r="J2494" s="369"/>
      <c r="K2494" s="1243"/>
      <c r="L2494" s="1243"/>
      <c r="M2494" s="1243"/>
      <c r="N2494" s="1243"/>
      <c r="O2494" s="1243"/>
    </row>
    <row r="2495" spans="1:15">
      <c r="A2495" s="361">
        <f>A2493+1</f>
        <v>22</v>
      </c>
      <c r="C2495" s="358" t="s">
        <v>1603</v>
      </c>
      <c r="D2495" s="1247">
        <f>D2491+D2493</f>
        <v>754599963.61310506</v>
      </c>
      <c r="E2495" s="1247">
        <f t="shared" ref="E2495:O2495" si="455">E2491+E2493</f>
        <v>2431869.2435464165</v>
      </c>
      <c r="F2495" s="1247">
        <f t="shared" si="455"/>
        <v>-272941.16379530955</v>
      </c>
      <c r="G2495" s="1247">
        <f t="shared" si="455"/>
        <v>756758891.69285631</v>
      </c>
      <c r="I2495" s="1247">
        <f t="shared" si="455"/>
        <v>182116196.14169934</v>
      </c>
      <c r="J2495" s="369"/>
      <c r="K2495" s="1247">
        <f t="shared" si="455"/>
        <v>1826979.7679803309</v>
      </c>
      <c r="L2495" s="1247">
        <f t="shared" si="455"/>
        <v>0</v>
      </c>
      <c r="M2495" s="1247">
        <f t="shared" si="455"/>
        <v>-272941.16379530955</v>
      </c>
      <c r="N2495" s="1247">
        <f t="shared" si="455"/>
        <v>-10067.897806811747</v>
      </c>
      <c r="O2495" s="1247">
        <f t="shared" si="455"/>
        <v>183660166.84807757</v>
      </c>
    </row>
    <row r="2496" spans="1:15">
      <c r="A2496" s="361"/>
      <c r="D2496" s="1243"/>
      <c r="E2496" s="1243"/>
      <c r="F2496" s="1243"/>
      <c r="G2496" s="1243"/>
      <c r="I2496" s="1243"/>
      <c r="J2496" s="369"/>
      <c r="K2496" s="1243"/>
      <c r="L2496" s="1243"/>
      <c r="M2496" s="1243"/>
      <c r="N2496" s="1243"/>
      <c r="O2496" s="1243"/>
    </row>
    <row r="2497" spans="1:16">
      <c r="A2497" s="361"/>
      <c r="D2497" s="1243"/>
      <c r="E2497" s="1243"/>
      <c r="F2497" s="1243"/>
      <c r="G2497" s="1243"/>
      <c r="I2497" s="1243"/>
      <c r="J2497" s="369"/>
      <c r="K2497" s="1243"/>
      <c r="L2497" s="1243"/>
      <c r="M2497" s="1243"/>
      <c r="N2497" s="1243"/>
      <c r="O2497" s="1243"/>
    </row>
    <row r="2498" spans="1:16">
      <c r="A2498" s="361">
        <f>A2495+1</f>
        <v>23</v>
      </c>
      <c r="B2498" s="363" t="s">
        <v>1774</v>
      </c>
      <c r="D2498" s="1243"/>
      <c r="E2498" s="1243"/>
      <c r="F2498" s="1243"/>
      <c r="G2498" s="1243"/>
      <c r="I2498" s="1243"/>
      <c r="J2498" s="369"/>
      <c r="K2498" s="1243"/>
      <c r="L2498" s="1243"/>
      <c r="M2498" s="1243"/>
      <c r="N2498" s="1243"/>
      <c r="O2498" s="1243"/>
    </row>
    <row r="2499" spans="1:16">
      <c r="A2499" s="361">
        <f t="shared" ref="A2499:A2504" si="456">A2498+1</f>
        <v>24</v>
      </c>
      <c r="B2499" s="365">
        <v>376</v>
      </c>
      <c r="C2499" s="358" t="s">
        <v>1775</v>
      </c>
      <c r="D2499" s="1243">
        <f>G2385</f>
        <v>43906681.302995905</v>
      </c>
      <c r="E2499" s="1243">
        <f>'WPB-2.1.D SMRP'!E984</f>
        <v>3427744.7341480013</v>
      </c>
      <c r="F2499" s="1243">
        <f>'WPB-2.1.D SMRP'!F984</f>
        <v>-22963.05</v>
      </c>
      <c r="G2499" s="1243">
        <f>SUM(D2499:F2499)</f>
        <v>47311462.987143911</v>
      </c>
      <c r="I2499" s="1243">
        <f>O2385</f>
        <v>257345.82921892457</v>
      </c>
      <c r="J2499" s="376">
        <f>$J$1701</f>
        <v>1.7399999999999999E-2</v>
      </c>
      <c r="K2499" s="1243">
        <f>'WPB-2.1.D SMRP'!K984</f>
        <v>66133.467000000004</v>
      </c>
      <c r="L2499" s="1243">
        <v>0</v>
      </c>
      <c r="M2499" s="1243">
        <f>F2499</f>
        <v>-22963.05</v>
      </c>
      <c r="N2499" s="1243">
        <f>'WPB-2.1.D SMRP'!N984</f>
        <v>-13082.236393615205</v>
      </c>
      <c r="O2499" s="1243">
        <f>I2499+K2499+L2499+M2499+N2499</f>
        <v>287434.00982530939</v>
      </c>
    </row>
    <row r="2500" spans="1:16">
      <c r="A2500" s="361">
        <f t="shared" si="456"/>
        <v>25</v>
      </c>
      <c r="B2500" s="365">
        <v>378.2</v>
      </c>
      <c r="C2500" s="358" t="s">
        <v>1776</v>
      </c>
      <c r="D2500" s="1243">
        <f>G2386</f>
        <v>451368.78574391012</v>
      </c>
      <c r="E2500" s="1243">
        <f>'WPB-2.1.D SMRP'!E985</f>
        <v>39486.911132408895</v>
      </c>
      <c r="F2500" s="1243">
        <f>'WPB-2.1.D SMRP'!F985</f>
        <v>-26692.364387453785</v>
      </c>
      <c r="G2500" s="1243">
        <f>SUM(D2500:F2500)</f>
        <v>464163.33248886524</v>
      </c>
      <c r="I2500" s="1243">
        <f>O2386</f>
        <v>-826005.6429954241</v>
      </c>
      <c r="J2500" s="376">
        <f>$J$1702</f>
        <v>2.52E-2</v>
      </c>
      <c r="K2500" s="1243">
        <f>'WPB-2.1.D SMRP'!K985</f>
        <v>961.43399999999997</v>
      </c>
      <c r="L2500" s="1243">
        <v>0</v>
      </c>
      <c r="M2500" s="1243">
        <f>F2500</f>
        <v>-26692.364387453785</v>
      </c>
      <c r="N2500" s="1243">
        <f>'WPB-2.1.D SMRP'!N985</f>
        <v>-2335.4079322651901</v>
      </c>
      <c r="O2500" s="1243">
        <f>I2500+K2500+L2500+M2500+N2500</f>
        <v>-854071.98131514306</v>
      </c>
    </row>
    <row r="2501" spans="1:16">
      <c r="A2501" s="361">
        <f t="shared" si="456"/>
        <v>26</v>
      </c>
      <c r="B2501" s="365">
        <v>380</v>
      </c>
      <c r="C2501" s="358" t="s">
        <v>1777</v>
      </c>
      <c r="D2501" s="1243">
        <f>G2387</f>
        <v>19681192.338740475</v>
      </c>
      <c r="E2501" s="1243">
        <f>'WPB-2.1.D SMRP'!E986</f>
        <v>1342617.55</v>
      </c>
      <c r="F2501" s="1243">
        <f>'WPB-2.1.D SMRP'!F986</f>
        <v>-452192.31972346077</v>
      </c>
      <c r="G2501" s="1243">
        <f>SUM(D2501:F2501)</f>
        <v>20571617.569017015</v>
      </c>
      <c r="I2501" s="1243">
        <f>O2387</f>
        <v>-9349625.1011977084</v>
      </c>
      <c r="J2501" s="376">
        <f>$J$1703</f>
        <v>3.9800000000000002E-2</v>
      </c>
      <c r="K2501" s="1243">
        <f>'WPB-2.1.D SMRP'!K986</f>
        <v>66752.622000000003</v>
      </c>
      <c r="L2501" s="1243">
        <v>0</v>
      </c>
      <c r="M2501" s="1243">
        <f>F2501</f>
        <v>-452192.31972346077</v>
      </c>
      <c r="N2501" s="1243">
        <f>'WPB-2.1.D SMRP'!N986</f>
        <v>-289256.14786730788</v>
      </c>
      <c r="O2501" s="1243">
        <f>I2501+K2501+L2501+M2501+N2501</f>
        <v>-10024320.946788477</v>
      </c>
    </row>
    <row r="2502" spans="1:16">
      <c r="A2502" s="361">
        <f t="shared" si="456"/>
        <v>27</v>
      </c>
      <c r="B2502" s="365">
        <v>382</v>
      </c>
      <c r="C2502" s="358" t="s">
        <v>1778</v>
      </c>
      <c r="D2502" s="1243">
        <f>G2388</f>
        <v>192030.12516950147</v>
      </c>
      <c r="E2502" s="1243">
        <f>'WPB-2.1.D SMRP'!E987</f>
        <v>1619.13</v>
      </c>
      <c r="F2502" s="1243">
        <f>'WPB-2.1.D SMRP'!F987</f>
        <v>-2426.5231699966289</v>
      </c>
      <c r="G2502" s="1243">
        <f>SUM(D2502:F2502)</f>
        <v>191222.73199950485</v>
      </c>
      <c r="I2502" s="1243">
        <f>O2388</f>
        <v>-69961.651830498507</v>
      </c>
      <c r="J2502" s="376">
        <f>$J$1704</f>
        <v>1.77E-2</v>
      </c>
      <c r="K2502" s="1243">
        <f>'WPB-2.1.D SMRP'!K987</f>
        <v>282.40499999999997</v>
      </c>
      <c r="L2502" s="1243">
        <v>0</v>
      </c>
      <c r="M2502" s="1243">
        <f>F2502</f>
        <v>-2426.5231699966289</v>
      </c>
      <c r="N2502" s="1243">
        <f>'WPB-2.1.D SMRP'!N987</f>
        <v>0</v>
      </c>
      <c r="O2502" s="1243">
        <f>I2502+K2502+L2502+M2502+N2502</f>
        <v>-72105.770000495133</v>
      </c>
    </row>
    <row r="2503" spans="1:16">
      <c r="A2503" s="361">
        <f t="shared" si="456"/>
        <v>28</v>
      </c>
      <c r="B2503" s="365">
        <v>383</v>
      </c>
      <c r="C2503" s="358" t="s">
        <v>1779</v>
      </c>
      <c r="D2503" s="1244">
        <f>G2389</f>
        <v>100253.94657493017</v>
      </c>
      <c r="E2503" s="1244">
        <f>'WPB-2.1.D SMRP'!E988</f>
        <v>14245.31337707861</v>
      </c>
      <c r="F2503" s="1244">
        <f>'WPB-2.1.D SMRP'!F988</f>
        <v>-273.35892377927576</v>
      </c>
      <c r="G2503" s="1244">
        <f>SUM(D2503:F2503)</f>
        <v>114225.90102822951</v>
      </c>
      <c r="I2503" s="1244">
        <f>O2389</f>
        <v>-8660.4579505744096</v>
      </c>
      <c r="J2503" s="376">
        <f>$J$1705</f>
        <v>1.9400000000000001E-2</v>
      </c>
      <c r="K2503" s="1244">
        <f>'WPB-2.1.D SMRP'!K988</f>
        <v>173.29400000000001</v>
      </c>
      <c r="L2503" s="1244">
        <v>0</v>
      </c>
      <c r="M2503" s="1244">
        <f>F2503</f>
        <v>-273.35892377927576</v>
      </c>
      <c r="N2503" s="1244">
        <f>'WPB-2.1.D SMRP'!N988</f>
        <v>0</v>
      </c>
      <c r="O2503" s="1244">
        <f>I2503+K2503+L2503+M2503+N2503</f>
        <v>-8760.5228743536863</v>
      </c>
    </row>
    <row r="2504" spans="1:16">
      <c r="A2504" s="361">
        <f t="shared" si="456"/>
        <v>29</v>
      </c>
      <c r="C2504" s="358" t="s">
        <v>1780</v>
      </c>
      <c r="D2504" s="1243">
        <f>SUM(D2499:D2503)</f>
        <v>64331526.499224722</v>
      </c>
      <c r="E2504" s="1243">
        <f>SUM(E2499:E2503)</f>
        <v>4825713.6386574889</v>
      </c>
      <c r="F2504" s="1243">
        <f>SUM(F2499:F2503)</f>
        <v>-504547.61620469042</v>
      </c>
      <c r="G2504" s="1243">
        <f>SUM(G2499:G2503)</f>
        <v>68652692.521677524</v>
      </c>
      <c r="I2504" s="1243">
        <f>SUM(I2499:I2503)</f>
        <v>-9996907.0247552823</v>
      </c>
      <c r="J2504" s="369"/>
      <c r="K2504" s="1243">
        <f>SUM(K2499:K2503)</f>
        <v>134303.22199999998</v>
      </c>
      <c r="L2504" s="1243">
        <f>SUM(L2499:L2503)</f>
        <v>0</v>
      </c>
      <c r="M2504" s="1243">
        <f>SUM(M2499:M2503)</f>
        <v>-504547.61620469042</v>
      </c>
      <c r="N2504" s="1243">
        <f>SUM(N2499:N2503)</f>
        <v>-304673.79219318827</v>
      </c>
      <c r="O2504" s="1243">
        <f>SUM(O2499:O2503)</f>
        <v>-10671825.211153159</v>
      </c>
    </row>
    <row r="2505" spans="1:16">
      <c r="A2505" s="361"/>
      <c r="D2505" s="1243"/>
      <c r="E2505" s="1243"/>
      <c r="F2505" s="1243"/>
      <c r="G2505" s="1243"/>
      <c r="I2505" s="1243"/>
      <c r="J2505" s="369"/>
      <c r="K2505" s="1243"/>
      <c r="L2505" s="1243"/>
      <c r="M2505" s="1243"/>
      <c r="N2505" s="1243"/>
      <c r="O2505" s="1243"/>
    </row>
    <row r="2506" spans="1:16" ht="13.5" thickBot="1">
      <c r="A2506" s="361">
        <f>A2504+1</f>
        <v>30</v>
      </c>
      <c r="C2506" s="358" t="s">
        <v>447</v>
      </c>
      <c r="D2506" s="1248">
        <f>D2495+D2504</f>
        <v>818931490.11232972</v>
      </c>
      <c r="E2506" s="1248">
        <f>E2495+E2504</f>
        <v>7257582.8822039049</v>
      </c>
      <c r="F2506" s="1248">
        <f>F2495+F2504</f>
        <v>-777488.78</v>
      </c>
      <c r="G2506" s="1248">
        <f>G2495+G2504</f>
        <v>825411584.21453381</v>
      </c>
      <c r="I2506" s="1248">
        <f>I2495+I2504</f>
        <v>172119289.11694407</v>
      </c>
      <c r="J2506" s="369"/>
      <c r="K2506" s="1248">
        <f>K2495+K2504</f>
        <v>1961282.9899803309</v>
      </c>
      <c r="L2506" s="1248">
        <f>L2495+L2504</f>
        <v>0</v>
      </c>
      <c r="M2506" s="1248">
        <f>M2495+M2504</f>
        <v>-777488.78</v>
      </c>
      <c r="N2506" s="1248">
        <f>N2495+N2504</f>
        <v>-314741.69</v>
      </c>
      <c r="O2506" s="1248">
        <f>O2495+O2504</f>
        <v>172988341.63692442</v>
      </c>
    </row>
    <row r="2507" spans="1:16" ht="13.5" thickTop="1"/>
    <row r="2509" spans="1:16" s="291" customFormat="1">
      <c r="A2509" s="1308" t="str">
        <f>$A$1</f>
        <v>COLUMBIA GAS OF KENTUCKY, INC.</v>
      </c>
      <c r="B2509" s="1308"/>
      <c r="C2509" s="1308"/>
      <c r="D2509" s="1308"/>
      <c r="E2509" s="1308"/>
      <c r="F2509" s="1308"/>
      <c r="G2509" s="1308"/>
      <c r="H2509" s="1308"/>
      <c r="I2509" s="1308"/>
      <c r="J2509" s="1308"/>
      <c r="K2509" s="1308"/>
      <c r="L2509" s="1308"/>
      <c r="M2509" s="1308"/>
      <c r="N2509" s="1308"/>
      <c r="O2509" s="1308"/>
    </row>
    <row r="2510" spans="1:16" s="291" customFormat="1">
      <c r="A2510" s="1308" t="str">
        <f>$A$2</f>
        <v>CASE NO. 2024 - 00092</v>
      </c>
      <c r="B2510" s="1308"/>
      <c r="C2510" s="1308"/>
      <c r="D2510" s="1308"/>
      <c r="E2510" s="1308"/>
      <c r="F2510" s="1308"/>
      <c r="G2510" s="1308"/>
      <c r="H2510" s="1308"/>
      <c r="I2510" s="1308"/>
      <c r="J2510" s="1308"/>
      <c r="K2510" s="1308"/>
      <c r="L2510" s="1308"/>
      <c r="M2510" s="1308"/>
      <c r="N2510" s="1308"/>
      <c r="O2510" s="1308"/>
    </row>
    <row r="2511" spans="1:16" s="291" customFormat="1">
      <c r="A2511" s="1308" t="str">
        <f>$A$3</f>
        <v>DETAIL OF ACTUAL &amp; FORECASTED PLANT, ACCUMULATED RESERVE &amp; DEPRECIATION EXPENSE</v>
      </c>
      <c r="B2511" s="1308"/>
      <c r="C2511" s="1308"/>
      <c r="D2511" s="1308"/>
      <c r="E2511" s="1308"/>
      <c r="F2511" s="1308"/>
      <c r="G2511" s="1308"/>
      <c r="H2511" s="1308"/>
      <c r="I2511" s="1308"/>
      <c r="J2511" s="1308"/>
      <c r="K2511" s="1308"/>
      <c r="L2511" s="1308"/>
      <c r="M2511" s="1308"/>
      <c r="N2511" s="1308"/>
      <c r="O2511" s="1308"/>
      <c r="P2511" s="357"/>
    </row>
    <row r="2512" spans="1:16" s="291" customFormat="1">
      <c r="A2512" s="1308" t="str">
        <f>$A$4</f>
        <v>FROM JANUARY 01, 2023 THROUGH DECEMBER 31, 2025</v>
      </c>
      <c r="B2512" s="1308"/>
      <c r="C2512" s="1308"/>
      <c r="D2512" s="1308"/>
      <c r="E2512" s="1308"/>
      <c r="F2512" s="1308"/>
      <c r="G2512" s="1308"/>
      <c r="H2512" s="1308"/>
      <c r="I2512" s="1308"/>
      <c r="J2512" s="1308"/>
      <c r="K2512" s="1308"/>
      <c r="L2512" s="1308"/>
      <c r="M2512" s="1308"/>
      <c r="N2512" s="1308"/>
      <c r="O2512" s="1308"/>
    </row>
    <row r="2513" spans="1:16" s="291" customFormat="1">
      <c r="B2513" s="293"/>
      <c r="P2513" s="312"/>
    </row>
    <row r="2514" spans="1:16" s="291" customFormat="1">
      <c r="A2514" s="297" t="str">
        <f>$A$6</f>
        <v xml:space="preserve">DATA: _X_ BASE PERIOD _X_ FORECASTED PERIOD     </v>
      </c>
      <c r="B2514" s="293"/>
      <c r="O2514" s="312" t="str">
        <f>$O$6</f>
        <v>WPB-2.1.C</v>
      </c>
      <c r="P2514" s="312"/>
    </row>
    <row r="2515" spans="1:16" s="291" customFormat="1">
      <c r="A2515" s="297" t="str">
        <f>$A$7</f>
        <v>TYPE OF FILING:___X___ORIGINAL______UPDATED</v>
      </c>
      <c r="B2515" s="293"/>
      <c r="O2515" s="312" t="s">
        <v>2178</v>
      </c>
      <c r="P2515" s="312"/>
    </row>
    <row r="2516" spans="1:16" s="291" customFormat="1">
      <c r="A2516" s="297" t="str">
        <f>$A$8</f>
        <v>WORKPAPER REFERENCE NO(S).:</v>
      </c>
      <c r="B2516" s="293"/>
      <c r="O2516" s="312" t="str">
        <f>$O$8</f>
        <v>WITNESS: GORE</v>
      </c>
    </row>
    <row r="2517" spans="1:16">
      <c r="A2517" s="918"/>
      <c r="B2517" s="919"/>
      <c r="C2517" s="918"/>
      <c r="D2517" s="918"/>
      <c r="E2517" s="918"/>
      <c r="F2517" s="918"/>
      <c r="G2517" s="918"/>
      <c r="H2517" s="918"/>
      <c r="I2517" s="918"/>
      <c r="J2517" s="918"/>
      <c r="K2517" s="918"/>
      <c r="L2517" s="918"/>
      <c r="M2517" s="918"/>
      <c r="N2517" s="918"/>
      <c r="O2517" s="920"/>
    </row>
    <row r="2518" spans="1:16">
      <c r="D2518" s="1311" t="s">
        <v>1768</v>
      </c>
      <c r="E2518" s="1311"/>
      <c r="F2518" s="1311"/>
      <c r="G2518" s="1311"/>
      <c r="I2518" s="1311" t="s">
        <v>1769</v>
      </c>
      <c r="J2518" s="1311"/>
      <c r="K2518" s="1311"/>
      <c r="L2518" s="1311"/>
      <c r="M2518" s="1311"/>
      <c r="N2518" s="1311"/>
      <c r="O2518" s="1311"/>
    </row>
    <row r="2519" spans="1:16">
      <c r="D2519" s="360">
        <f>G2464+1</f>
        <v>45597</v>
      </c>
      <c r="G2519" s="360">
        <f>D2519+29</f>
        <v>45626</v>
      </c>
      <c r="I2519" s="360">
        <f>D2519</f>
        <v>45597</v>
      </c>
      <c r="O2519" s="360">
        <f>G2519</f>
        <v>45626</v>
      </c>
    </row>
    <row r="2520" spans="1:16">
      <c r="D2520" s="361" t="s">
        <v>1757</v>
      </c>
      <c r="G2520" s="361" t="s">
        <v>1757</v>
      </c>
      <c r="I2520" s="361" t="s">
        <v>1758</v>
      </c>
      <c r="J2520" s="361" t="s">
        <v>488</v>
      </c>
      <c r="L2520" s="361" t="s">
        <v>1758</v>
      </c>
      <c r="O2520" s="361" t="s">
        <v>1758</v>
      </c>
    </row>
    <row r="2521" spans="1:16">
      <c r="A2521" s="361" t="s">
        <v>1770</v>
      </c>
      <c r="B2521" s="361" t="s">
        <v>368</v>
      </c>
      <c r="C2521" s="361"/>
      <c r="D2521" s="361" t="s">
        <v>437</v>
      </c>
      <c r="G2521" s="361" t="s">
        <v>439</v>
      </c>
      <c r="I2521" s="361" t="s">
        <v>437</v>
      </c>
      <c r="J2521" s="361" t="s">
        <v>1771</v>
      </c>
      <c r="K2521" s="361" t="s">
        <v>1772</v>
      </c>
      <c r="L2521" s="361" t="s">
        <v>1759</v>
      </c>
      <c r="N2521" s="361" t="s">
        <v>1760</v>
      </c>
      <c r="O2521" s="361" t="s">
        <v>439</v>
      </c>
    </row>
    <row r="2522" spans="1:16">
      <c r="A2522" s="364" t="s">
        <v>316</v>
      </c>
      <c r="B2522" s="364" t="s">
        <v>316</v>
      </c>
      <c r="C2522" s="364" t="s">
        <v>451</v>
      </c>
      <c r="D2522" s="364" t="s">
        <v>441</v>
      </c>
      <c r="E2522" s="364" t="s">
        <v>442</v>
      </c>
      <c r="F2522" s="364" t="s">
        <v>443</v>
      </c>
      <c r="G2522" s="364" t="s">
        <v>441</v>
      </c>
      <c r="I2522" s="364" t="s">
        <v>441</v>
      </c>
      <c r="J2522" s="364" t="s">
        <v>1773</v>
      </c>
      <c r="K2522" s="364" t="s">
        <v>1771</v>
      </c>
      <c r="L2522" s="364" t="s">
        <v>355</v>
      </c>
      <c r="M2522" s="364" t="s">
        <v>443</v>
      </c>
      <c r="N2522" s="364" t="s">
        <v>1763</v>
      </c>
      <c r="O2522" s="364" t="s">
        <v>441</v>
      </c>
    </row>
    <row r="2523" spans="1:16">
      <c r="D2523" s="361" t="s">
        <v>532</v>
      </c>
      <c r="E2523" s="361" t="s">
        <v>541</v>
      </c>
      <c r="F2523" s="361" t="s">
        <v>542</v>
      </c>
      <c r="G2523" s="361" t="s">
        <v>1764</v>
      </c>
      <c r="I2523" s="334" t="str">
        <f>"(5)"</f>
        <v>(5)</v>
      </c>
      <c r="J2523" s="334" t="str">
        <f>"(6)"</f>
        <v>(6)</v>
      </c>
      <c r="K2523" s="334" t="str">
        <f>"(7)=((1+4)/2*6/12))"</f>
        <v>(7)=((1+4)/2*6/12))</v>
      </c>
      <c r="L2523" s="334" t="str">
        <f>"(8)"</f>
        <v>(8)</v>
      </c>
      <c r="M2523" s="334" t="str">
        <f>"(9)"</f>
        <v>(9)</v>
      </c>
      <c r="N2523" s="334" t="str">
        <f>"(10)"</f>
        <v>(10)</v>
      </c>
      <c r="O2523" s="334" t="str">
        <f>"(11=5+7+8+9+10)"</f>
        <v>(11=5+7+8+9+10)</v>
      </c>
    </row>
    <row r="2524" spans="1:16">
      <c r="D2524" s="361" t="s">
        <v>320</v>
      </c>
      <c r="E2524" s="361" t="s">
        <v>320</v>
      </c>
      <c r="F2524" s="361" t="s">
        <v>320</v>
      </c>
      <c r="G2524" s="361" t="s">
        <v>320</v>
      </c>
      <c r="I2524" s="334" t="s">
        <v>320</v>
      </c>
      <c r="J2524" s="334" t="s">
        <v>529</v>
      </c>
      <c r="K2524" s="334" t="s">
        <v>320</v>
      </c>
      <c r="L2524" s="334" t="s">
        <v>320</v>
      </c>
      <c r="M2524" s="334" t="s">
        <v>320</v>
      </c>
      <c r="N2524" s="334" t="s">
        <v>320</v>
      </c>
      <c r="O2524" s="334" t="s">
        <v>320</v>
      </c>
    </row>
    <row r="2525" spans="1:16">
      <c r="A2525" s="361">
        <v>1</v>
      </c>
      <c r="B2525" s="362" t="s">
        <v>373</v>
      </c>
      <c r="D2525" s="361"/>
      <c r="E2525" s="361"/>
      <c r="F2525" s="361"/>
      <c r="G2525" s="361"/>
      <c r="I2525" s="334"/>
      <c r="J2525" s="334"/>
      <c r="K2525" s="334"/>
      <c r="L2525" s="334"/>
      <c r="M2525" s="334"/>
      <c r="N2525" s="334"/>
      <c r="O2525" s="334"/>
    </row>
    <row r="2526" spans="1:16">
      <c r="A2526" s="361">
        <f>A2525+1</f>
        <v>2</v>
      </c>
      <c r="B2526" s="365">
        <v>301</v>
      </c>
      <c r="C2526" s="358" t="s">
        <v>374</v>
      </c>
      <c r="D2526" s="1243">
        <f t="shared" ref="D2526:D2531" si="457">G2412</f>
        <v>521.20000000000005</v>
      </c>
      <c r="E2526" s="1243">
        <v>0</v>
      </c>
      <c r="F2526" s="1243">
        <v>0</v>
      </c>
      <c r="G2526" s="1243">
        <f t="shared" ref="G2526:G2531" si="458">SUM(D2526:F2526)</f>
        <v>521.20000000000005</v>
      </c>
      <c r="H2526" s="1243"/>
      <c r="I2526" s="1243">
        <f t="shared" ref="I2526:I2531" si="459">O2412</f>
        <v>0</v>
      </c>
      <c r="J2526" s="375" t="str">
        <f>$J$1614</f>
        <v>Amort.</v>
      </c>
      <c r="K2526" s="1243">
        <v>0</v>
      </c>
      <c r="L2526" s="1243">
        <v>0</v>
      </c>
      <c r="M2526" s="1243">
        <f t="shared" ref="M2526:M2531" si="460">F2526</f>
        <v>0</v>
      </c>
      <c r="N2526" s="1243">
        <v>0</v>
      </c>
      <c r="O2526" s="1243">
        <f t="shared" ref="O2526:O2531" si="461">I2526+K2526+L2526+M2526+N2526</f>
        <v>0</v>
      </c>
    </row>
    <row r="2527" spans="1:16">
      <c r="A2527" s="361">
        <f t="shared" ref="A2527:A2532" si="462">A2526+1</f>
        <v>3</v>
      </c>
      <c r="B2527" s="365">
        <v>303</v>
      </c>
      <c r="C2527" s="358" t="s">
        <v>375</v>
      </c>
      <c r="D2527" s="1243">
        <f t="shared" si="457"/>
        <v>96334.51</v>
      </c>
      <c r="E2527" s="1243">
        <v>0</v>
      </c>
      <c r="F2527" s="1243">
        <v>0</v>
      </c>
      <c r="G2527" s="1243">
        <f t="shared" si="458"/>
        <v>96334.51</v>
      </c>
      <c r="H2527" s="1243"/>
      <c r="I2527" s="1243">
        <f t="shared" si="459"/>
        <v>81538.348055555645</v>
      </c>
      <c r="J2527" s="375" t="str">
        <f>$J$1615</f>
        <v>Amort.</v>
      </c>
      <c r="K2527" s="1243">
        <f>+'WPB-2.1.E Intangibles'!O47</f>
        <v>267.59780555555557</v>
      </c>
      <c r="L2527" s="1243">
        <v>0</v>
      </c>
      <c r="M2527" s="1243">
        <f t="shared" si="460"/>
        <v>0</v>
      </c>
      <c r="N2527" s="1243">
        <v>0</v>
      </c>
      <c r="O2527" s="1243">
        <f t="shared" si="461"/>
        <v>81805.945861111206</v>
      </c>
    </row>
    <row r="2528" spans="1:16">
      <c r="A2528" s="361">
        <f t="shared" si="462"/>
        <v>4</v>
      </c>
      <c r="B2528" s="365">
        <v>303.10000000000002</v>
      </c>
      <c r="C2528" s="358" t="s">
        <v>376</v>
      </c>
      <c r="D2528" s="1243">
        <f t="shared" si="457"/>
        <v>943.27</v>
      </c>
      <c r="E2528" s="1243">
        <v>0</v>
      </c>
      <c r="F2528" s="1243">
        <v>0</v>
      </c>
      <c r="G2528" s="1243">
        <f t="shared" si="458"/>
        <v>943.27</v>
      </c>
      <c r="H2528" s="1243"/>
      <c r="I2528" s="1243">
        <f t="shared" si="459"/>
        <v>318.35000000000008</v>
      </c>
      <c r="J2528" s="375" t="str">
        <f>$J$1616</f>
        <v>Amort.</v>
      </c>
      <c r="K2528" s="1243">
        <v>0</v>
      </c>
      <c r="L2528" s="1243">
        <v>0</v>
      </c>
      <c r="M2528" s="1243">
        <f t="shared" si="460"/>
        <v>0</v>
      </c>
      <c r="N2528" s="1243">
        <v>0</v>
      </c>
      <c r="O2528" s="1243">
        <f t="shared" si="461"/>
        <v>318.35000000000008</v>
      </c>
    </row>
    <row r="2529" spans="1:15">
      <c r="A2529" s="361">
        <f t="shared" si="462"/>
        <v>5</v>
      </c>
      <c r="B2529" s="365">
        <v>303.2</v>
      </c>
      <c r="C2529" s="358" t="s">
        <v>377</v>
      </c>
      <c r="D2529" s="1243">
        <f t="shared" si="457"/>
        <v>0</v>
      </c>
      <c r="E2529" s="1243">
        <v>0</v>
      </c>
      <c r="F2529" s="1243">
        <v>0</v>
      </c>
      <c r="G2529" s="1243">
        <f t="shared" si="458"/>
        <v>0</v>
      </c>
      <c r="H2529" s="1243"/>
      <c r="I2529" s="1243">
        <f t="shared" si="459"/>
        <v>0</v>
      </c>
      <c r="J2529" s="375" t="str">
        <f>$J$1617</f>
        <v>Amort.</v>
      </c>
      <c r="K2529" s="1243">
        <v>0</v>
      </c>
      <c r="L2529" s="1243">
        <v>0</v>
      </c>
      <c r="M2529" s="1243">
        <f t="shared" si="460"/>
        <v>0</v>
      </c>
      <c r="N2529" s="1243">
        <v>0</v>
      </c>
      <c r="O2529" s="1243">
        <f t="shared" si="461"/>
        <v>0</v>
      </c>
    </row>
    <row r="2530" spans="1:15">
      <c r="A2530" s="361">
        <f t="shared" si="462"/>
        <v>6</v>
      </c>
      <c r="B2530" s="365">
        <v>303.3</v>
      </c>
      <c r="C2530" s="358" t="s">
        <v>378</v>
      </c>
      <c r="D2530" s="1243">
        <f t="shared" si="457"/>
        <v>12724776.170000004</v>
      </c>
      <c r="E2530" s="1243">
        <f>+'WPB-2.1.E Intangibles'!O17</f>
        <v>730728</v>
      </c>
      <c r="F2530" s="1243">
        <f>-'WPB-2.1.E Intangibles'!O35</f>
        <v>-328263.83999999997</v>
      </c>
      <c r="G2530" s="1243">
        <f t="shared" si="458"/>
        <v>13127240.330000004</v>
      </c>
      <c r="H2530" s="1243"/>
      <c r="I2530" s="1243">
        <f t="shared" si="459"/>
        <v>5904654.8466666713</v>
      </c>
      <c r="J2530" s="375" t="str">
        <f>$J$1618</f>
        <v>Amort.</v>
      </c>
      <c r="K2530" s="1243">
        <f>+'WPB-2.1.E Intangibles'!O48</f>
        <v>218317.45900000012</v>
      </c>
      <c r="L2530" s="1243">
        <v>0</v>
      </c>
      <c r="M2530" s="1243">
        <f t="shared" si="460"/>
        <v>-328263.83999999997</v>
      </c>
      <c r="N2530" s="1243">
        <v>0</v>
      </c>
      <c r="O2530" s="1243">
        <f t="shared" si="461"/>
        <v>5794708.4656666713</v>
      </c>
    </row>
    <row r="2531" spans="1:15">
      <c r="A2531" s="361">
        <f t="shared" si="462"/>
        <v>7</v>
      </c>
      <c r="B2531" s="365">
        <v>303.99</v>
      </c>
      <c r="C2531" s="358" t="s">
        <v>1129</v>
      </c>
      <c r="D2531" s="1244">
        <f t="shared" si="457"/>
        <v>2111031.1245335736</v>
      </c>
      <c r="E2531" s="1244">
        <f>+'WPB-2.1.E Intangibles'!O21</f>
        <v>57296.850432090447</v>
      </c>
      <c r="F2531" s="1244">
        <f>-'WPB-2.1.E Intangibles'!O36</f>
        <v>-161353.98000000001</v>
      </c>
      <c r="G2531" s="1244">
        <f t="shared" si="458"/>
        <v>2006973.9949656641</v>
      </c>
      <c r="H2531" s="1243"/>
      <c r="I2531" s="1244">
        <f t="shared" si="459"/>
        <v>1249815.1712021115</v>
      </c>
      <c r="J2531" s="375" t="str">
        <f>$J$1619</f>
        <v>Amort.</v>
      </c>
      <c r="K2531" s="1244">
        <f>+'WPB-2.1.E Intangibles'!O49</f>
        <v>33387.012863408352</v>
      </c>
      <c r="L2531" s="1244">
        <v>0</v>
      </c>
      <c r="M2531" s="1244">
        <f t="shared" si="460"/>
        <v>-161353.98000000001</v>
      </c>
      <c r="N2531" s="1244">
        <v>0</v>
      </c>
      <c r="O2531" s="1244">
        <f t="shared" si="461"/>
        <v>1121848.2040655199</v>
      </c>
    </row>
    <row r="2532" spans="1:15">
      <c r="A2532" s="361">
        <f t="shared" si="462"/>
        <v>8</v>
      </c>
      <c r="B2532" s="367"/>
      <c r="C2532" s="358" t="s">
        <v>379</v>
      </c>
      <c r="D2532" s="1243">
        <f>SUM(D2526:D2531)</f>
        <v>14933606.274533577</v>
      </c>
      <c r="E2532" s="1243">
        <f>SUM(E2526:E2531)</f>
        <v>788024.85043209046</v>
      </c>
      <c r="F2532" s="1243">
        <f>SUM(F2526:F2531)</f>
        <v>-489617.81999999995</v>
      </c>
      <c r="G2532" s="1243">
        <f>SUM(G2526:G2531)</f>
        <v>15232013.304965667</v>
      </c>
      <c r="H2532" s="1243"/>
      <c r="I2532" s="1243">
        <f>SUM(I2526:I2531)</f>
        <v>7236326.7159243394</v>
      </c>
      <c r="J2532" s="369"/>
      <c r="K2532" s="1243">
        <f>SUM(K2526:K2531)</f>
        <v>251972.06966896402</v>
      </c>
      <c r="L2532" s="1243">
        <f>SUM(L2526:L2531)</f>
        <v>0</v>
      </c>
      <c r="M2532" s="1243">
        <f>SUM(M2526:M2531)</f>
        <v>-489617.81999999995</v>
      </c>
      <c r="N2532" s="1243">
        <f>SUM(N2526:N2531)</f>
        <v>0</v>
      </c>
      <c r="O2532" s="1243">
        <f>SUM(O2526:O2531)</f>
        <v>6998680.9655933026</v>
      </c>
    </row>
    <row r="2533" spans="1:15">
      <c r="A2533" s="361"/>
      <c r="B2533" s="367"/>
      <c r="C2533" s="368"/>
      <c r="D2533" s="1243"/>
      <c r="E2533" s="1243"/>
      <c r="F2533" s="1243"/>
      <c r="G2533" s="1243"/>
      <c r="H2533" s="1243"/>
      <c r="I2533" s="1243"/>
      <c r="J2533" s="369"/>
      <c r="K2533" s="1243"/>
      <c r="L2533" s="1243"/>
      <c r="M2533" s="1243"/>
      <c r="N2533" s="1243"/>
      <c r="O2533" s="1243"/>
    </row>
    <row r="2534" spans="1:15">
      <c r="A2534" s="361">
        <f>A2532+1</f>
        <v>9</v>
      </c>
      <c r="B2534" s="362" t="s">
        <v>1600</v>
      </c>
      <c r="C2534" s="368"/>
      <c r="D2534" s="1243"/>
      <c r="E2534" s="1243"/>
      <c r="F2534" s="1243"/>
      <c r="G2534" s="1243"/>
      <c r="H2534" s="1243"/>
      <c r="I2534" s="1243"/>
      <c r="J2534" s="369"/>
      <c r="K2534" s="1243"/>
      <c r="L2534" s="1243"/>
      <c r="M2534" s="1243"/>
      <c r="N2534" s="1243"/>
      <c r="O2534" s="1243"/>
    </row>
    <row r="2535" spans="1:15">
      <c r="A2535" s="361">
        <f t="shared" ref="A2535:A2565" si="463">A2534+1</f>
        <v>10</v>
      </c>
      <c r="B2535" s="365">
        <v>374.1</v>
      </c>
      <c r="C2535" s="358" t="s">
        <v>382</v>
      </c>
      <c r="D2535" s="1243">
        <f t="shared" ref="D2535:D2564" si="464">G2421</f>
        <v>205.4</v>
      </c>
      <c r="E2535" s="1243">
        <f>+'INPUT - B Schedule PLANT'!DS15</f>
        <v>0</v>
      </c>
      <c r="F2535" s="1243">
        <f>+'INPUT - B Schedule PLANT'!DT15</f>
        <v>0</v>
      </c>
      <c r="G2535" s="1243">
        <f>SUM(D2535:F2535)</f>
        <v>205.4</v>
      </c>
      <c r="H2535" s="1243"/>
      <c r="I2535" s="1243">
        <f t="shared" ref="I2535:I2564" si="465">O2421</f>
        <v>0</v>
      </c>
      <c r="J2535" s="375" t="str">
        <f>$J$1623</f>
        <v>Non-Dep.</v>
      </c>
      <c r="K2535" s="1243">
        <v>0</v>
      </c>
      <c r="L2535" s="1243">
        <v>0</v>
      </c>
      <c r="M2535" s="1243">
        <f t="shared" ref="M2535:M2564" si="466">F2535</f>
        <v>0</v>
      </c>
      <c r="N2535" s="1243">
        <v>0</v>
      </c>
      <c r="O2535" s="1243">
        <f t="shared" ref="O2535:O2564" si="467">I2535+K2535+L2535+M2535+N2535</f>
        <v>0</v>
      </c>
    </row>
    <row r="2536" spans="1:15">
      <c r="A2536" s="361">
        <f t="shared" si="463"/>
        <v>11</v>
      </c>
      <c r="B2536" s="365">
        <v>374.2</v>
      </c>
      <c r="C2536" s="358" t="s">
        <v>383</v>
      </c>
      <c r="D2536" s="1243">
        <f t="shared" si="464"/>
        <v>876986.66</v>
      </c>
      <c r="E2536" s="1243">
        <f>+'INPUT - B Schedule PLANT'!DS16</f>
        <v>0</v>
      </c>
      <c r="F2536" s="1243">
        <f>+'INPUT - B Schedule PLANT'!DT16</f>
        <v>0</v>
      </c>
      <c r="G2536" s="1243">
        <f t="shared" ref="G2536:G2564" si="468">SUM(D2536:F2536)</f>
        <v>876986.66</v>
      </c>
      <c r="H2536" s="1243"/>
      <c r="I2536" s="1243">
        <f t="shared" si="465"/>
        <v>-522.25</v>
      </c>
      <c r="J2536" s="375" t="str">
        <f>$J$1624</f>
        <v>Non-Dep.</v>
      </c>
      <c r="K2536" s="1243">
        <v>0</v>
      </c>
      <c r="L2536" s="1243">
        <v>0</v>
      </c>
      <c r="M2536" s="1243">
        <f t="shared" si="466"/>
        <v>0</v>
      </c>
      <c r="N2536" s="1243">
        <v>0</v>
      </c>
      <c r="O2536" s="1243">
        <f t="shared" si="467"/>
        <v>-522.25</v>
      </c>
    </row>
    <row r="2537" spans="1:15">
      <c r="A2537" s="361">
        <f t="shared" si="463"/>
        <v>12</v>
      </c>
      <c r="B2537" s="365">
        <v>374.4</v>
      </c>
      <c r="C2537" s="358" t="s">
        <v>384</v>
      </c>
      <c r="D2537" s="1243">
        <f t="shared" si="464"/>
        <v>3109603.5000000005</v>
      </c>
      <c r="E2537" s="1243">
        <f>+'INPUT - B Schedule PLANT'!DS17</f>
        <v>157.32</v>
      </c>
      <c r="F2537" s="1243">
        <f>+'INPUT - B Schedule PLANT'!DT17</f>
        <v>0</v>
      </c>
      <c r="G2537" s="1243">
        <f t="shared" si="468"/>
        <v>3109760.8200000003</v>
      </c>
      <c r="H2537" s="1243"/>
      <c r="I2537" s="1243">
        <f t="shared" si="465"/>
        <v>393239.59</v>
      </c>
      <c r="J2537" s="376">
        <f>$J$1625</f>
        <v>1.2699999999999999E-2</v>
      </c>
      <c r="K2537" s="1243">
        <f t="shared" ref="K2537:K2543" si="469">ROUND((G2537+D2537)/2*J2537/12,0)</f>
        <v>3291</v>
      </c>
      <c r="L2537" s="1243">
        <v>0</v>
      </c>
      <c r="M2537" s="1243">
        <f t="shared" si="466"/>
        <v>0</v>
      </c>
      <c r="N2537" s="1243">
        <v>0</v>
      </c>
      <c r="O2537" s="1243">
        <f t="shared" si="467"/>
        <v>396530.59</v>
      </c>
    </row>
    <row r="2538" spans="1:15">
      <c r="A2538" s="361">
        <f t="shared" si="463"/>
        <v>13</v>
      </c>
      <c r="B2538" s="365">
        <v>374.5</v>
      </c>
      <c r="C2538" s="358" t="s">
        <v>385</v>
      </c>
      <c r="D2538" s="1243">
        <f t="shared" si="464"/>
        <v>2666577.16</v>
      </c>
      <c r="E2538" s="1243">
        <f>+'INPUT - B Schedule PLANT'!DS18</f>
        <v>0</v>
      </c>
      <c r="F2538" s="1243">
        <f>+'INPUT - B Schedule PLANT'!DT18</f>
        <v>0</v>
      </c>
      <c r="G2538" s="1243">
        <f t="shared" si="468"/>
        <v>2666577.16</v>
      </c>
      <c r="H2538" s="1243"/>
      <c r="I2538" s="1243">
        <f t="shared" si="465"/>
        <v>1180740.1900000013</v>
      </c>
      <c r="J2538" s="376">
        <f>$J$1626</f>
        <v>1.0999999999999999E-2</v>
      </c>
      <c r="K2538" s="1243">
        <f t="shared" si="469"/>
        <v>2444</v>
      </c>
      <c r="L2538" s="1243">
        <v>0</v>
      </c>
      <c r="M2538" s="1243">
        <f t="shared" si="466"/>
        <v>0</v>
      </c>
      <c r="N2538" s="1243">
        <v>0</v>
      </c>
      <c r="O2538" s="1243">
        <f t="shared" si="467"/>
        <v>1183184.1900000013</v>
      </c>
    </row>
    <row r="2539" spans="1:15">
      <c r="A2539" s="361">
        <f t="shared" si="463"/>
        <v>14</v>
      </c>
      <c r="B2539" s="365">
        <v>375.2</v>
      </c>
      <c r="C2539" s="358" t="s">
        <v>386</v>
      </c>
      <c r="D2539" s="1243">
        <f t="shared" si="464"/>
        <v>2124.98</v>
      </c>
      <c r="E2539" s="1243">
        <f>+'INPUT - B Schedule PLANT'!DS19</f>
        <v>0</v>
      </c>
      <c r="F2539" s="1243">
        <f>+'INPUT - B Schedule PLANT'!DT19</f>
        <v>0</v>
      </c>
      <c r="G2539" s="1243">
        <f t="shared" si="468"/>
        <v>2124.98</v>
      </c>
      <c r="H2539" s="1243"/>
      <c r="I2539" s="1243">
        <f t="shared" si="465"/>
        <v>2095.3000000000002</v>
      </c>
      <c r="J2539" s="376">
        <f>$J$1627</f>
        <v>2.3199999999999998E-2</v>
      </c>
      <c r="K2539" s="1243">
        <f t="shared" si="469"/>
        <v>4</v>
      </c>
      <c r="L2539" s="1243">
        <v>0</v>
      </c>
      <c r="M2539" s="1243">
        <f t="shared" si="466"/>
        <v>0</v>
      </c>
      <c r="N2539" s="1243">
        <v>0</v>
      </c>
      <c r="O2539" s="1243">
        <f t="shared" si="467"/>
        <v>2099.3000000000002</v>
      </c>
    </row>
    <row r="2540" spans="1:15">
      <c r="A2540" s="361">
        <f t="shared" si="463"/>
        <v>15</v>
      </c>
      <c r="B2540" s="365">
        <v>375.3</v>
      </c>
      <c r="C2540" s="358" t="s">
        <v>387</v>
      </c>
      <c r="D2540" s="1243">
        <f t="shared" si="464"/>
        <v>0</v>
      </c>
      <c r="E2540" s="1243">
        <f>+'INPUT - B Schedule PLANT'!DS20</f>
        <v>0</v>
      </c>
      <c r="F2540" s="1243">
        <f>+'INPUT - B Schedule PLANT'!DT20</f>
        <v>0</v>
      </c>
      <c r="G2540" s="1243">
        <f t="shared" si="468"/>
        <v>0</v>
      </c>
      <c r="H2540" s="1243"/>
      <c r="I2540" s="1243">
        <f t="shared" si="465"/>
        <v>-77.66</v>
      </c>
      <c r="J2540" s="376">
        <f>$J$1628</f>
        <v>2.3199999999999998E-2</v>
      </c>
      <c r="K2540" s="1243">
        <f t="shared" si="469"/>
        <v>0</v>
      </c>
      <c r="L2540" s="1243">
        <v>0</v>
      </c>
      <c r="M2540" s="1243">
        <f t="shared" si="466"/>
        <v>0</v>
      </c>
      <c r="N2540" s="1243">
        <v>0</v>
      </c>
      <c r="O2540" s="1243">
        <f t="shared" si="467"/>
        <v>-77.66</v>
      </c>
    </row>
    <row r="2541" spans="1:15">
      <c r="A2541" s="361">
        <f t="shared" si="463"/>
        <v>16</v>
      </c>
      <c r="B2541" s="365">
        <v>375.4</v>
      </c>
      <c r="C2541" s="358" t="s">
        <v>388</v>
      </c>
      <c r="D2541" s="1243">
        <f t="shared" si="464"/>
        <v>3376772.6399999987</v>
      </c>
      <c r="E2541" s="1243">
        <f>+'INPUT - B Schedule PLANT'!DS21</f>
        <v>33042.25</v>
      </c>
      <c r="F2541" s="1243">
        <f>+'INPUT - B Schedule PLANT'!DT21</f>
        <v>-10946.47</v>
      </c>
      <c r="G2541" s="1243">
        <f t="shared" si="468"/>
        <v>3398868.4199999985</v>
      </c>
      <c r="H2541" s="1243"/>
      <c r="I2541" s="1243">
        <f t="shared" si="465"/>
        <v>491504.8600000001</v>
      </c>
      <c r="J2541" s="376">
        <f>$J$1629</f>
        <v>2.3199999999999998E-2</v>
      </c>
      <c r="K2541" s="1243">
        <f t="shared" si="469"/>
        <v>6550</v>
      </c>
      <c r="L2541" s="1243">
        <v>0</v>
      </c>
      <c r="M2541" s="1243">
        <f t="shared" si="466"/>
        <v>-10946.47</v>
      </c>
      <c r="N2541" s="1243">
        <v>0</v>
      </c>
      <c r="O2541" s="1243">
        <f t="shared" si="467"/>
        <v>487108.39000000013</v>
      </c>
    </row>
    <row r="2542" spans="1:15">
      <c r="A2542" s="361">
        <f t="shared" si="463"/>
        <v>17</v>
      </c>
      <c r="B2542" s="365">
        <v>375.6</v>
      </c>
      <c r="C2542" s="358" t="s">
        <v>389</v>
      </c>
      <c r="D2542" s="1243">
        <f t="shared" si="464"/>
        <v>0</v>
      </c>
      <c r="E2542" s="1243">
        <f>+'INPUT - B Schedule PLANT'!DS22</f>
        <v>0</v>
      </c>
      <c r="F2542" s="1243">
        <f>+'INPUT - B Schedule PLANT'!DT22</f>
        <v>0</v>
      </c>
      <c r="G2542" s="1243">
        <f t="shared" si="468"/>
        <v>0</v>
      </c>
      <c r="H2542" s="1243"/>
      <c r="I2542" s="1243">
        <f t="shared" si="465"/>
        <v>0.02</v>
      </c>
      <c r="J2542" s="376">
        <f>$J$1630</f>
        <v>2.3199999999999998E-2</v>
      </c>
      <c r="K2542" s="1243">
        <f t="shared" si="469"/>
        <v>0</v>
      </c>
      <c r="L2542" s="1243">
        <v>0</v>
      </c>
      <c r="M2542" s="1243">
        <f t="shared" si="466"/>
        <v>0</v>
      </c>
      <c r="N2542" s="1243">
        <v>0</v>
      </c>
      <c r="O2542" s="1243">
        <f t="shared" si="467"/>
        <v>0.02</v>
      </c>
    </row>
    <row r="2543" spans="1:15">
      <c r="A2543" s="361">
        <f t="shared" si="463"/>
        <v>18</v>
      </c>
      <c r="B2543" s="365">
        <v>375.7</v>
      </c>
      <c r="C2543" s="358" t="s">
        <v>390</v>
      </c>
      <c r="D2543" s="1243">
        <f t="shared" si="464"/>
        <v>9682137.4399999995</v>
      </c>
      <c r="E2543" s="1243">
        <f>+'INPUT - B Schedule PLANT'!DS23</f>
        <v>0</v>
      </c>
      <c r="F2543" s="1243">
        <f>+'INPUT - B Schedule PLANT'!DT23</f>
        <v>-56.88</v>
      </c>
      <c r="G2543" s="1243">
        <f t="shared" si="468"/>
        <v>9682080.5599999987</v>
      </c>
      <c r="H2543" s="1243"/>
      <c r="I2543" s="1243">
        <f t="shared" si="465"/>
        <v>4874778.6999999983</v>
      </c>
      <c r="J2543" s="376">
        <f>$J$1631</f>
        <v>2.3199999999999998E-2</v>
      </c>
      <c r="K2543" s="1243">
        <f t="shared" si="469"/>
        <v>18719</v>
      </c>
      <c r="L2543" s="1243">
        <v>0</v>
      </c>
      <c r="M2543" s="1243">
        <f t="shared" si="466"/>
        <v>-56.88</v>
      </c>
      <c r="N2543" s="1243">
        <v>0</v>
      </c>
      <c r="O2543" s="1243">
        <f t="shared" si="467"/>
        <v>4893440.8199999984</v>
      </c>
    </row>
    <row r="2544" spans="1:15">
      <c r="A2544" s="361">
        <f t="shared" si="463"/>
        <v>19</v>
      </c>
      <c r="B2544" s="365">
        <v>375.71</v>
      </c>
      <c r="C2544" s="358" t="s">
        <v>391</v>
      </c>
      <c r="D2544" s="1243">
        <f t="shared" si="464"/>
        <v>880994.59</v>
      </c>
      <c r="E2544" s="1243">
        <f>+'INPUT - B Schedule PLANT'!DS24</f>
        <v>0</v>
      </c>
      <c r="F2544" s="1243">
        <f>+'INPUT - B Schedule PLANT'!DT24</f>
        <v>0</v>
      </c>
      <c r="G2544" s="1243">
        <f t="shared" si="468"/>
        <v>880994.59</v>
      </c>
      <c r="H2544" s="1243"/>
      <c r="I2544" s="1243">
        <f t="shared" si="465"/>
        <v>806398.52000000072</v>
      </c>
      <c r="J2544" s="375" t="str">
        <f>$J$1632</f>
        <v>Amort.</v>
      </c>
      <c r="K2544" s="1243">
        <f>$K$1290</f>
        <v>4743.54</v>
      </c>
      <c r="L2544" s="1243">
        <v>0</v>
      </c>
      <c r="M2544" s="1243">
        <f t="shared" si="466"/>
        <v>0</v>
      </c>
      <c r="N2544" s="1243">
        <v>0</v>
      </c>
      <c r="O2544" s="1243">
        <f t="shared" si="467"/>
        <v>811142.06000000075</v>
      </c>
    </row>
    <row r="2545" spans="1:15">
      <c r="A2545" s="361">
        <f t="shared" si="463"/>
        <v>20</v>
      </c>
      <c r="B2545" s="365">
        <v>375.8</v>
      </c>
      <c r="C2545" s="358" t="s">
        <v>392</v>
      </c>
      <c r="D2545" s="1243">
        <f t="shared" si="464"/>
        <v>132125.04</v>
      </c>
      <c r="E2545" s="1243">
        <f>+'INPUT - B Schedule PLANT'!DS25</f>
        <v>0</v>
      </c>
      <c r="F2545" s="1243">
        <f>+'INPUT - B Schedule PLANT'!DT25</f>
        <v>0</v>
      </c>
      <c r="G2545" s="1243">
        <f t="shared" si="468"/>
        <v>132125.04</v>
      </c>
      <c r="H2545" s="1243"/>
      <c r="I2545" s="1243">
        <f t="shared" si="465"/>
        <v>14038.43</v>
      </c>
      <c r="J2545" s="376">
        <f>$J$1633</f>
        <v>2.3199999999999998E-2</v>
      </c>
      <c r="K2545" s="1243">
        <f t="shared" ref="K2545:K2564" si="470">ROUND((G2545+D2545)/2*J2545/12,0)</f>
        <v>255</v>
      </c>
      <c r="L2545" s="1243">
        <v>0</v>
      </c>
      <c r="M2545" s="1243">
        <f t="shared" si="466"/>
        <v>0</v>
      </c>
      <c r="N2545" s="1243">
        <v>0</v>
      </c>
      <c r="O2545" s="1243">
        <f t="shared" si="467"/>
        <v>14293.43</v>
      </c>
    </row>
    <row r="2546" spans="1:15">
      <c r="A2546" s="361">
        <f t="shared" si="463"/>
        <v>21</v>
      </c>
      <c r="B2546" s="365">
        <v>376</v>
      </c>
      <c r="C2546" s="358" t="s">
        <v>1621</v>
      </c>
      <c r="D2546" s="1243">
        <f t="shared" si="464"/>
        <v>417939808.44285607</v>
      </c>
      <c r="E2546" s="1243">
        <f>'WPB-2.1.D SMRP'!E1039</f>
        <v>1042682.9610528836</v>
      </c>
      <c r="F2546" s="1243">
        <f>'WPB-2.1.D SMRP'!F1039</f>
        <v>-68525.574798255519</v>
      </c>
      <c r="G2546" s="1243">
        <f t="shared" si="468"/>
        <v>418913965.82911074</v>
      </c>
      <c r="H2546" s="1243"/>
      <c r="I2546" s="1243">
        <f t="shared" si="465"/>
        <v>85146986.250174776</v>
      </c>
      <c r="J2546" s="376">
        <f>$J$1634</f>
        <v>1.7399999999999999E-2</v>
      </c>
      <c r="K2546" s="1243">
        <f>'WPB-2.1.D SMRP'!K1039</f>
        <v>606718.24800000002</v>
      </c>
      <c r="L2546" s="1243">
        <v>0</v>
      </c>
      <c r="M2546" s="1243">
        <f>F2546</f>
        <v>-68525.574798255519</v>
      </c>
      <c r="N2546" s="1243">
        <f>'WPB-2.1.D SMRP'!N1039</f>
        <v>8027.1193047864554</v>
      </c>
      <c r="O2546" s="1243">
        <f t="shared" si="467"/>
        <v>85693206.042681307</v>
      </c>
    </row>
    <row r="2547" spans="1:15">
      <c r="A2547" s="361">
        <f t="shared" si="463"/>
        <v>22</v>
      </c>
      <c r="B2547" s="365">
        <v>378.1</v>
      </c>
      <c r="C2547" s="358" t="s">
        <v>394</v>
      </c>
      <c r="D2547" s="1243">
        <f t="shared" si="464"/>
        <v>119962.86999999998</v>
      </c>
      <c r="E2547" s="1243">
        <f>+'INPUT - B Schedule PLANT'!DS27</f>
        <v>0</v>
      </c>
      <c r="F2547" s="1243">
        <f>+'INPUT - B Schedule PLANT'!DT27</f>
        <v>-277438.87</v>
      </c>
      <c r="G2547" s="1243">
        <f t="shared" si="468"/>
        <v>-157476</v>
      </c>
      <c r="H2547" s="1243"/>
      <c r="I2547" s="1243">
        <f t="shared" si="465"/>
        <v>-34980.400000000081</v>
      </c>
      <c r="J2547" s="376">
        <f>$J$1635</f>
        <v>2.52E-2</v>
      </c>
      <c r="K2547" s="1243">
        <f t="shared" si="470"/>
        <v>-39</v>
      </c>
      <c r="L2547" s="1243">
        <v>0</v>
      </c>
      <c r="M2547" s="1243">
        <f t="shared" si="466"/>
        <v>-277438.87</v>
      </c>
      <c r="N2547" s="1243">
        <v>0</v>
      </c>
      <c r="O2547" s="1243">
        <f t="shared" si="467"/>
        <v>-312458.27000000008</v>
      </c>
    </row>
    <row r="2548" spans="1:15">
      <c r="A2548" s="361">
        <f t="shared" si="463"/>
        <v>23</v>
      </c>
      <c r="B2548" s="365">
        <v>378.2</v>
      </c>
      <c r="C2548" s="358" t="s">
        <v>1622</v>
      </c>
      <c r="D2548" s="1243">
        <f t="shared" si="464"/>
        <v>27534305.847511128</v>
      </c>
      <c r="E2548" s="1243">
        <f>'WPB-2.1.D SMRP'!E1043</f>
        <v>47983.930422164325</v>
      </c>
      <c r="F2548" s="1243">
        <f>'WPB-2.1.D SMRP'!F1043</f>
        <v>-2.1908049602643587E-3</v>
      </c>
      <c r="G2548" s="1243">
        <f t="shared" si="468"/>
        <v>27582289.775742486</v>
      </c>
      <c r="H2548" s="1243"/>
      <c r="I2548" s="1243">
        <f t="shared" si="465"/>
        <v>3676788.6913151424</v>
      </c>
      <c r="J2548" s="376">
        <f>$J$1636</f>
        <v>2.52E-2</v>
      </c>
      <c r="K2548" s="1243">
        <f>'WPB-2.1.D SMRP'!K1043</f>
        <v>57872.444000000003</v>
      </c>
      <c r="L2548" s="1243">
        <v>0</v>
      </c>
      <c r="M2548" s="1243">
        <f>F2548</f>
        <v>-2.1908049602643587E-3</v>
      </c>
      <c r="N2548" s="1243">
        <f>'WPB-2.1.D SMRP'!N1043</f>
        <v>-1262.4045598507055</v>
      </c>
      <c r="O2548" s="1243">
        <f t="shared" si="467"/>
        <v>3733398.7285644868</v>
      </c>
    </row>
    <row r="2549" spans="1:15">
      <c r="A2549" s="361">
        <f t="shared" si="463"/>
        <v>24</v>
      </c>
      <c r="B2549" s="365">
        <v>378.3</v>
      </c>
      <c r="C2549" s="358" t="s">
        <v>396</v>
      </c>
      <c r="D2549" s="1243">
        <f t="shared" si="464"/>
        <v>45443.08</v>
      </c>
      <c r="E2549" s="1243">
        <f>+'INPUT - B Schedule PLANT'!DS29</f>
        <v>0</v>
      </c>
      <c r="F2549" s="1243">
        <f>+'INPUT - B Schedule PLANT'!DT29</f>
        <v>0</v>
      </c>
      <c r="G2549" s="1243">
        <f t="shared" si="468"/>
        <v>45443.08</v>
      </c>
      <c r="H2549" s="1243"/>
      <c r="I2549" s="1243">
        <f t="shared" si="465"/>
        <v>44118.320000000007</v>
      </c>
      <c r="J2549" s="376">
        <f>$J$1637</f>
        <v>2.52E-2</v>
      </c>
      <c r="K2549" s="1243">
        <f t="shared" si="470"/>
        <v>95</v>
      </c>
      <c r="L2549" s="1243">
        <v>0</v>
      </c>
      <c r="M2549" s="1243">
        <f t="shared" si="466"/>
        <v>0</v>
      </c>
      <c r="N2549" s="1243">
        <v>0</v>
      </c>
      <c r="O2549" s="1243">
        <f t="shared" si="467"/>
        <v>44213.320000000007</v>
      </c>
    </row>
    <row r="2550" spans="1:15">
      <c r="A2550" s="361">
        <f t="shared" si="463"/>
        <v>25</v>
      </c>
      <c r="B2550" s="365">
        <v>379.1</v>
      </c>
      <c r="C2550" s="358" t="s">
        <v>397</v>
      </c>
      <c r="D2550" s="1243">
        <f t="shared" si="464"/>
        <v>1554144.06</v>
      </c>
      <c r="E2550" s="1243">
        <f>+'INPUT - B Schedule PLANT'!DS30</f>
        <v>0</v>
      </c>
      <c r="F2550" s="1243">
        <f>+'INPUT - B Schedule PLANT'!DT30</f>
        <v>0</v>
      </c>
      <c r="G2550" s="1243">
        <f t="shared" si="468"/>
        <v>1554144.06</v>
      </c>
      <c r="H2550" s="1243"/>
      <c r="I2550" s="1243">
        <f t="shared" si="465"/>
        <v>382725.19000000006</v>
      </c>
      <c r="J2550" s="376">
        <f>$J$1638</f>
        <v>2.4199999999999999E-2</v>
      </c>
      <c r="K2550" s="1243">
        <f t="shared" si="470"/>
        <v>3134</v>
      </c>
      <c r="L2550" s="1243">
        <v>0</v>
      </c>
      <c r="M2550" s="1243">
        <f t="shared" si="466"/>
        <v>0</v>
      </c>
      <c r="N2550" s="1243">
        <v>0</v>
      </c>
      <c r="O2550" s="1243">
        <f t="shared" si="467"/>
        <v>385859.19000000006</v>
      </c>
    </row>
    <row r="2551" spans="1:15">
      <c r="A2551" s="361">
        <f t="shared" si="463"/>
        <v>26</v>
      </c>
      <c r="B2551" s="365">
        <v>380</v>
      </c>
      <c r="C2551" s="358" t="s">
        <v>1623</v>
      </c>
      <c r="D2551" s="1243">
        <f t="shared" si="464"/>
        <v>203996934.15098298</v>
      </c>
      <c r="E2551" s="1243">
        <f>'WPB-2.1.D SMRP'!E1047</f>
        <v>244135.00405885279</v>
      </c>
      <c r="F2551" s="1243">
        <f>'WPB-2.1.D SMRP'!F1047</f>
        <v>-95975.144729288644</v>
      </c>
      <c r="G2551" s="1243">
        <f t="shared" si="468"/>
        <v>204145094.01031253</v>
      </c>
      <c r="H2551" s="1243"/>
      <c r="I2551" s="1243">
        <f t="shared" si="465"/>
        <v>65364284.626788497</v>
      </c>
      <c r="J2551" s="376">
        <f>$J$1639</f>
        <v>3.9800000000000002E-2</v>
      </c>
      <c r="K2551" s="1243">
        <f>'WPB-2.1.D SMRP'!K1047</f>
        <v>676835.89399999997</v>
      </c>
      <c r="L2551" s="1243">
        <v>0</v>
      </c>
      <c r="M2551" s="1243">
        <f>F2551</f>
        <v>-95975.144729288644</v>
      </c>
      <c r="N2551" s="1243">
        <f>'WPB-2.1.D SMRP'!N1047</f>
        <v>4.5096780522726476E-3</v>
      </c>
      <c r="O2551" s="1243">
        <f t="shared" si="467"/>
        <v>65945145.380568892</v>
      </c>
    </row>
    <row r="2552" spans="1:15">
      <c r="A2552" s="361">
        <f t="shared" si="463"/>
        <v>27</v>
      </c>
      <c r="B2552" s="365">
        <v>381</v>
      </c>
      <c r="C2552" s="358" t="s">
        <v>399</v>
      </c>
      <c r="D2552" s="1243">
        <f t="shared" si="464"/>
        <v>20253715.780000005</v>
      </c>
      <c r="E2552" s="1243">
        <f>+'INPUT - B Schedule PLANT'!DS32</f>
        <v>430946.9</v>
      </c>
      <c r="F2552" s="1243">
        <f>+'INPUT - B Schedule PLANT'!DT32</f>
        <v>-56322.96</v>
      </c>
      <c r="G2552" s="1243">
        <f t="shared" si="468"/>
        <v>20628339.720000003</v>
      </c>
      <c r="H2552" s="1243"/>
      <c r="I2552" s="1243">
        <f t="shared" si="465"/>
        <v>1843720.8399999994</v>
      </c>
      <c r="J2552" s="376">
        <f>$J$1640</f>
        <v>2.6499999999999999E-2</v>
      </c>
      <c r="K2552" s="1243">
        <f t="shared" si="470"/>
        <v>45141</v>
      </c>
      <c r="L2552" s="1243">
        <v>0</v>
      </c>
      <c r="M2552" s="1243">
        <f t="shared" si="466"/>
        <v>-56322.96</v>
      </c>
      <c r="N2552" s="1243">
        <v>-3643.7</v>
      </c>
      <c r="O2552" s="1243">
        <f t="shared" si="467"/>
        <v>1828895.1799999995</v>
      </c>
    </row>
    <row r="2553" spans="1:15">
      <c r="A2553" s="361">
        <f t="shared" si="463"/>
        <v>28</v>
      </c>
      <c r="B2553" s="365">
        <v>381.1</v>
      </c>
      <c r="C2553" s="358" t="s">
        <v>2366</v>
      </c>
      <c r="D2553" s="1243">
        <f t="shared" si="464"/>
        <v>9980854.4800000004</v>
      </c>
      <c r="E2553" s="1243">
        <f>+'INPUT - B Schedule PLANT'!DS33</f>
        <v>0</v>
      </c>
      <c r="F2553" s="1243">
        <f>+'INPUT - B Schedule PLANT'!DT33</f>
        <v>0</v>
      </c>
      <c r="G2553" s="1243">
        <f t="shared" si="468"/>
        <v>9980854.4800000004</v>
      </c>
      <c r="H2553" s="1243"/>
      <c r="I2553" s="1243">
        <f t="shared" si="465"/>
        <v>5983239.0300000031</v>
      </c>
      <c r="J2553" s="376">
        <f>$J$1641</f>
        <v>7.4800000000000005E-2</v>
      </c>
      <c r="K2553" s="1243">
        <f t="shared" si="470"/>
        <v>62214</v>
      </c>
      <c r="L2553" s="1243">
        <v>0</v>
      </c>
      <c r="M2553" s="1243">
        <f t="shared" si="466"/>
        <v>0</v>
      </c>
      <c r="N2553" s="1243">
        <v>0</v>
      </c>
      <c r="O2553" s="1243">
        <f t="shared" si="467"/>
        <v>6045453.0300000031</v>
      </c>
    </row>
    <row r="2554" spans="1:15">
      <c r="A2554" s="361">
        <f t="shared" si="463"/>
        <v>29</v>
      </c>
      <c r="B2554" s="365">
        <v>382</v>
      </c>
      <c r="C2554" s="358" t="s">
        <v>1624</v>
      </c>
      <c r="D2554" s="1243">
        <f t="shared" si="464"/>
        <v>10651503.258000495</v>
      </c>
      <c r="E2554" s="1243">
        <f>'WPB-2.1.D SMRP'!E1051</f>
        <v>16053.599874658788</v>
      </c>
      <c r="F2554" s="1243">
        <f>'WPB-2.1.D SMRP'!F1051</f>
        <v>-1667.5027587046575</v>
      </c>
      <c r="G2554" s="1243">
        <f t="shared" si="468"/>
        <v>10665889.355116449</v>
      </c>
      <c r="H2554" s="1243"/>
      <c r="I2554" s="1243">
        <f t="shared" si="465"/>
        <v>5986771.1500004958</v>
      </c>
      <c r="J2554" s="376">
        <f>$J$1642</f>
        <v>1.77E-2</v>
      </c>
      <c r="K2554" s="1243">
        <f>'WPB-2.1.D SMRP'!K1051</f>
        <v>15721.347</v>
      </c>
      <c r="L2554" s="1243">
        <v>0</v>
      </c>
      <c r="M2554" s="1243">
        <f t="shared" si="466"/>
        <v>-1667.5027587046575</v>
      </c>
      <c r="N2554" s="1243">
        <f>'WPB-2.1.D SMRP'!N1051</f>
        <v>0</v>
      </c>
      <c r="O2554" s="1243">
        <f t="shared" si="467"/>
        <v>6000824.9942417908</v>
      </c>
    </row>
    <row r="2555" spans="1:15">
      <c r="A2555" s="361">
        <f t="shared" si="463"/>
        <v>30</v>
      </c>
      <c r="B2555" s="365">
        <v>383</v>
      </c>
      <c r="C2555" s="358" t="s">
        <v>1625</v>
      </c>
      <c r="D2555" s="1243">
        <f t="shared" si="464"/>
        <v>7521601.2489717687</v>
      </c>
      <c r="E2555" s="1243">
        <f>'WPB-2.1.D SMRP'!E1055</f>
        <v>24709.177440501964</v>
      </c>
      <c r="F2555" s="1243">
        <f>'WPB-2.1.D SMRP'!F1055</f>
        <v>-791.44442285555965</v>
      </c>
      <c r="G2555" s="1243">
        <f t="shared" si="468"/>
        <v>7545518.9819894144</v>
      </c>
      <c r="H2555" s="1243"/>
      <c r="I2555" s="1243">
        <f t="shared" si="465"/>
        <v>2602446.5738743539</v>
      </c>
      <c r="J2555" s="376">
        <f>$J$1643</f>
        <v>1.9400000000000001E-2</v>
      </c>
      <c r="K2555" s="1243">
        <f>'WPB-2.1.D SMRP'!K1055</f>
        <v>12178.987999999999</v>
      </c>
      <c r="L2555" s="1243">
        <v>0</v>
      </c>
      <c r="M2555" s="1243">
        <f t="shared" si="466"/>
        <v>-791.44442285555965</v>
      </c>
      <c r="N2555" s="1243">
        <f>'WPB-2.1.D SMRP'!N1055</f>
        <v>0</v>
      </c>
      <c r="O2555" s="1243">
        <f t="shared" si="467"/>
        <v>2613834.1174514983</v>
      </c>
    </row>
    <row r="2556" spans="1:15">
      <c r="A2556" s="361">
        <f t="shared" si="463"/>
        <v>31</v>
      </c>
      <c r="B2556" s="365">
        <v>384</v>
      </c>
      <c r="C2556" s="358" t="s">
        <v>402</v>
      </c>
      <c r="D2556" s="1243">
        <f t="shared" si="464"/>
        <v>2085191.0999999999</v>
      </c>
      <c r="E2556" s="1243">
        <f>+'INPUT - B Schedule PLANT'!DS36</f>
        <v>13.26</v>
      </c>
      <c r="F2556" s="1243">
        <f>+'INPUT - B Schedule PLANT'!DT36</f>
        <v>0</v>
      </c>
      <c r="G2556" s="1243">
        <f t="shared" si="468"/>
        <v>2085204.3599999999</v>
      </c>
      <c r="H2556" s="1243"/>
      <c r="I2556" s="1243">
        <f t="shared" si="465"/>
        <v>1745522.0399999991</v>
      </c>
      <c r="J2556" s="376">
        <f>$J$1644</f>
        <v>9.9000000000000008E-3</v>
      </c>
      <c r="K2556" s="1243">
        <f t="shared" si="470"/>
        <v>1720</v>
      </c>
      <c r="L2556" s="1243">
        <v>0</v>
      </c>
      <c r="M2556" s="1243">
        <f t="shared" si="466"/>
        <v>0</v>
      </c>
      <c r="N2556" s="1243">
        <v>0</v>
      </c>
      <c r="O2556" s="1243">
        <f t="shared" si="467"/>
        <v>1747242.0399999991</v>
      </c>
    </row>
    <row r="2557" spans="1:15">
      <c r="A2557" s="361">
        <f t="shared" si="463"/>
        <v>32</v>
      </c>
      <c r="B2557" s="365">
        <v>385</v>
      </c>
      <c r="C2557" s="358" t="s">
        <v>403</v>
      </c>
      <c r="D2557" s="1243">
        <f t="shared" si="464"/>
        <v>6205961.46</v>
      </c>
      <c r="E2557" s="1243">
        <f>+'INPUT - B Schedule PLANT'!DS37</f>
        <v>9553.02</v>
      </c>
      <c r="F2557" s="1243">
        <f>+'INPUT - B Schedule PLANT'!DT37</f>
        <v>-7470.63</v>
      </c>
      <c r="G2557" s="1243">
        <f t="shared" si="468"/>
        <v>6208043.8499999996</v>
      </c>
      <c r="H2557" s="1243"/>
      <c r="I2557" s="1243">
        <f t="shared" si="465"/>
        <v>833276.32999999984</v>
      </c>
      <c r="J2557" s="376">
        <f>$J$1645</f>
        <v>3.73E-2</v>
      </c>
      <c r="K2557" s="1243">
        <f t="shared" si="470"/>
        <v>19293</v>
      </c>
      <c r="L2557" s="1243">
        <v>0</v>
      </c>
      <c r="M2557" s="1243">
        <f t="shared" si="466"/>
        <v>-7470.63</v>
      </c>
      <c r="N2557" s="1243">
        <v>0</v>
      </c>
      <c r="O2557" s="1243">
        <f t="shared" si="467"/>
        <v>845098.69999999984</v>
      </c>
    </row>
    <row r="2558" spans="1:15">
      <c r="A2558" s="361">
        <f t="shared" si="463"/>
        <v>33</v>
      </c>
      <c r="B2558" s="365">
        <v>387.2</v>
      </c>
      <c r="C2558" s="358" t="s">
        <v>404</v>
      </c>
      <c r="D2558" s="1243">
        <f t="shared" si="464"/>
        <v>0</v>
      </c>
      <c r="E2558" s="1243">
        <f>+'INPUT - B Schedule PLANT'!DS38</f>
        <v>0</v>
      </c>
      <c r="F2558" s="1243">
        <f>+'INPUT - B Schedule PLANT'!DT38</f>
        <v>0</v>
      </c>
      <c r="G2558" s="1243">
        <f t="shared" si="468"/>
        <v>0</v>
      </c>
      <c r="H2558" s="1243"/>
      <c r="I2558" s="1243">
        <f t="shared" si="465"/>
        <v>-59912.03</v>
      </c>
      <c r="J2558" s="376">
        <f>$J$1646</f>
        <v>0</v>
      </c>
      <c r="K2558" s="1243">
        <f t="shared" si="470"/>
        <v>0</v>
      </c>
      <c r="L2558" s="1243">
        <v>0</v>
      </c>
      <c r="M2558" s="1243">
        <f t="shared" si="466"/>
        <v>0</v>
      </c>
      <c r="N2558" s="1243">
        <v>0</v>
      </c>
      <c r="O2558" s="1243">
        <f t="shared" si="467"/>
        <v>-59912.03</v>
      </c>
    </row>
    <row r="2559" spans="1:15">
      <c r="A2559" s="361">
        <f t="shared" si="463"/>
        <v>34</v>
      </c>
      <c r="B2559" s="365">
        <v>387.41</v>
      </c>
      <c r="C2559" s="358" t="s">
        <v>405</v>
      </c>
      <c r="D2559" s="1243">
        <f t="shared" si="464"/>
        <v>260538.46000000008</v>
      </c>
      <c r="E2559" s="1243">
        <f>+'INPUT - B Schedule PLANT'!DS39</f>
        <v>0</v>
      </c>
      <c r="F2559" s="1243">
        <f>+'INPUT - B Schedule PLANT'!DT39</f>
        <v>0</v>
      </c>
      <c r="G2559" s="1243">
        <f t="shared" si="468"/>
        <v>260538.46000000008</v>
      </c>
      <c r="H2559" s="1243"/>
      <c r="I2559" s="1243">
        <f t="shared" si="465"/>
        <v>67426.970000000059</v>
      </c>
      <c r="J2559" s="376">
        <f>$J$1647</f>
        <v>3.2399999999999998E-2</v>
      </c>
      <c r="K2559" s="1243">
        <f t="shared" si="470"/>
        <v>703</v>
      </c>
      <c r="L2559" s="1243">
        <v>0</v>
      </c>
      <c r="M2559" s="1243">
        <f t="shared" si="466"/>
        <v>0</v>
      </c>
      <c r="N2559" s="1243">
        <v>0</v>
      </c>
      <c r="O2559" s="1243">
        <f t="shared" si="467"/>
        <v>68129.970000000059</v>
      </c>
    </row>
    <row r="2560" spans="1:15">
      <c r="A2560" s="361">
        <f t="shared" si="463"/>
        <v>35</v>
      </c>
      <c r="B2560" s="365">
        <v>387.42</v>
      </c>
      <c r="C2560" s="358" t="s">
        <v>406</v>
      </c>
      <c r="D2560" s="1243">
        <f t="shared" si="464"/>
        <v>419367.40000000008</v>
      </c>
      <c r="E2560" s="1243">
        <f>+'INPUT - B Schedule PLANT'!DS40</f>
        <v>0</v>
      </c>
      <c r="F2560" s="1243">
        <f>+'INPUT - B Schedule PLANT'!DT40</f>
        <v>0</v>
      </c>
      <c r="G2560" s="1243">
        <f t="shared" si="468"/>
        <v>419367.40000000008</v>
      </c>
      <c r="H2560" s="1243"/>
      <c r="I2560" s="1243">
        <f t="shared" si="465"/>
        <v>354719.80999999976</v>
      </c>
      <c r="J2560" s="376">
        <f>$J$1648</f>
        <v>3.2399999999999998E-2</v>
      </c>
      <c r="K2560" s="1243">
        <f t="shared" si="470"/>
        <v>1132</v>
      </c>
      <c r="L2560" s="1243">
        <v>0</v>
      </c>
      <c r="M2560" s="1243">
        <f t="shared" si="466"/>
        <v>0</v>
      </c>
      <c r="N2560" s="1243">
        <v>0</v>
      </c>
      <c r="O2560" s="1243">
        <f t="shared" si="467"/>
        <v>355851.80999999976</v>
      </c>
    </row>
    <row r="2561" spans="1:16">
      <c r="A2561" s="361">
        <f t="shared" si="463"/>
        <v>36</v>
      </c>
      <c r="B2561" s="365">
        <v>387.44</v>
      </c>
      <c r="C2561" s="358" t="s">
        <v>407</v>
      </c>
      <c r="D2561" s="1243">
        <f t="shared" si="464"/>
        <v>124678.76000000001</v>
      </c>
      <c r="E2561" s="1243">
        <f>+'INPUT - B Schedule PLANT'!DS41</f>
        <v>0</v>
      </c>
      <c r="F2561" s="1243">
        <f>+'INPUT - B Schedule PLANT'!DT41</f>
        <v>0</v>
      </c>
      <c r="G2561" s="1243">
        <f t="shared" si="468"/>
        <v>124678.76000000001</v>
      </c>
      <c r="H2561" s="1243"/>
      <c r="I2561" s="1243">
        <f t="shared" si="465"/>
        <v>70775.390000000014</v>
      </c>
      <c r="J2561" s="376">
        <f>$J$1649</f>
        <v>3.2399999999999998E-2</v>
      </c>
      <c r="K2561" s="1243">
        <f t="shared" si="470"/>
        <v>337</v>
      </c>
      <c r="L2561" s="1243">
        <v>0</v>
      </c>
      <c r="M2561" s="1243">
        <f t="shared" si="466"/>
        <v>0</v>
      </c>
      <c r="N2561" s="1243">
        <v>0</v>
      </c>
      <c r="O2561" s="1243">
        <f t="shared" si="467"/>
        <v>71112.390000000014</v>
      </c>
    </row>
    <row r="2562" spans="1:16">
      <c r="A2562" s="361">
        <f t="shared" si="463"/>
        <v>37</v>
      </c>
      <c r="B2562" s="365">
        <v>387.45</v>
      </c>
      <c r="C2562" s="358" t="s">
        <v>408</v>
      </c>
      <c r="D2562" s="1243">
        <f t="shared" si="464"/>
        <v>6177395.3200000012</v>
      </c>
      <c r="E2562" s="1243">
        <f>+'INPUT - B Schedule PLANT'!DS42</f>
        <v>41435.9</v>
      </c>
      <c r="F2562" s="1243">
        <f>+'INPUT - B Schedule PLANT'!DT42</f>
        <v>-18898.060000000001</v>
      </c>
      <c r="G2562" s="1243">
        <f t="shared" si="468"/>
        <v>6199933.160000002</v>
      </c>
      <c r="H2562" s="1243"/>
      <c r="I2562" s="1243">
        <f t="shared" si="465"/>
        <v>-737650.58</v>
      </c>
      <c r="J2562" s="376">
        <f>$J$1650</f>
        <v>3.2399999999999998E-2</v>
      </c>
      <c r="K2562" s="1243">
        <f t="shared" si="470"/>
        <v>16709</v>
      </c>
      <c r="L2562" s="1243">
        <v>0</v>
      </c>
      <c r="M2562" s="1243">
        <f t="shared" si="466"/>
        <v>-18898.060000000001</v>
      </c>
      <c r="N2562" s="1243">
        <v>0</v>
      </c>
      <c r="O2562" s="1243">
        <f t="shared" si="467"/>
        <v>-739839.64</v>
      </c>
    </row>
    <row r="2563" spans="1:16">
      <c r="A2563" s="361">
        <f t="shared" si="463"/>
        <v>38</v>
      </c>
      <c r="B2563" s="365">
        <v>387.46</v>
      </c>
      <c r="C2563" s="358" t="s">
        <v>409</v>
      </c>
      <c r="D2563" s="1243">
        <f t="shared" si="464"/>
        <v>113644.47</v>
      </c>
      <c r="E2563" s="1243">
        <f>+'INPUT - B Schedule PLANT'!DS43</f>
        <v>0</v>
      </c>
      <c r="F2563" s="1243">
        <f>+'INPUT - B Schedule PLANT'!DT43</f>
        <v>0</v>
      </c>
      <c r="G2563" s="1243">
        <f t="shared" si="468"/>
        <v>113644.47</v>
      </c>
      <c r="H2563" s="1243"/>
      <c r="I2563" s="1243">
        <f t="shared" si="465"/>
        <v>116953.07</v>
      </c>
      <c r="J2563" s="376">
        <f>$J$1651</f>
        <v>3.2399999999999998E-2</v>
      </c>
      <c r="K2563" s="1243">
        <f t="shared" si="470"/>
        <v>307</v>
      </c>
      <c r="L2563" s="1243">
        <v>0</v>
      </c>
      <c r="M2563" s="1243">
        <f t="shared" si="466"/>
        <v>0</v>
      </c>
      <c r="N2563" s="1243">
        <v>0</v>
      </c>
      <c r="O2563" s="1243">
        <f t="shared" si="467"/>
        <v>117260.07</v>
      </c>
    </row>
    <row r="2564" spans="1:16">
      <c r="A2564" s="361">
        <f t="shared" si="463"/>
        <v>39</v>
      </c>
      <c r="B2564" s="365">
        <v>387.5</v>
      </c>
      <c r="C2564" s="358" t="s">
        <v>1075</v>
      </c>
      <c r="D2564" s="1244">
        <f t="shared" si="464"/>
        <v>238072.69</v>
      </c>
      <c r="E2564" s="1244">
        <f>+'INPUT - B Schedule PLANT'!DS44</f>
        <v>0</v>
      </c>
      <c r="F2564" s="1244">
        <f>+'INPUT - B Schedule PLANT'!DT44</f>
        <v>0</v>
      </c>
      <c r="G2564" s="1244">
        <f t="shared" si="468"/>
        <v>238072.69</v>
      </c>
      <c r="H2564" s="1243"/>
      <c r="I2564" s="1244">
        <f t="shared" si="465"/>
        <v>65604.47000000003</v>
      </c>
      <c r="J2564" s="376">
        <f>$J$1652</f>
        <v>0.13669999999999999</v>
      </c>
      <c r="K2564" s="1244">
        <f t="shared" si="470"/>
        <v>2712</v>
      </c>
      <c r="L2564" s="1244">
        <v>0</v>
      </c>
      <c r="M2564" s="1244">
        <f t="shared" si="466"/>
        <v>0</v>
      </c>
      <c r="N2564" s="1244">
        <v>0</v>
      </c>
      <c r="O2564" s="1244">
        <f t="shared" si="467"/>
        <v>68316.47000000003</v>
      </c>
    </row>
    <row r="2565" spans="1:16">
      <c r="A2565" s="361">
        <f t="shared" si="463"/>
        <v>40</v>
      </c>
      <c r="C2565" s="365" t="s">
        <v>1601</v>
      </c>
      <c r="D2565" s="1243">
        <f>SUM(D2535:D2564)</f>
        <v>735950650.28832269</v>
      </c>
      <c r="E2565" s="1243">
        <f>SUM(E2535:E2564)</f>
        <v>1890713.3228490616</v>
      </c>
      <c r="F2565" s="1243">
        <f>SUM(F2535:F2564)</f>
        <v>-538093.53889990947</v>
      </c>
      <c r="G2565" s="1243">
        <f>SUM(G2535:G2564)</f>
        <v>737303270.0722717</v>
      </c>
      <c r="H2565" s="1243"/>
      <c r="I2565" s="1243">
        <f>SUM(I2535:I2564)</f>
        <v>181215011.44215322</v>
      </c>
      <c r="J2565" s="369"/>
      <c r="K2565" s="1243">
        <f>SUM(K2535:K2564)</f>
        <v>1558791.4610000001</v>
      </c>
      <c r="L2565" s="1243">
        <f>SUM(L2535:L2564)</f>
        <v>0</v>
      </c>
      <c r="M2565" s="1243">
        <f>SUM(M2535:M2564)</f>
        <v>-538093.53889990947</v>
      </c>
      <c r="N2565" s="1243">
        <f>SUM(N2535:N2564)</f>
        <v>3121.0192546138023</v>
      </c>
      <c r="O2565" s="1243">
        <f>SUM(O2535:O2564)</f>
        <v>182238830.38350797</v>
      </c>
    </row>
    <row r="2566" spans="1:16">
      <c r="B2566" s="367"/>
      <c r="C2566" s="368"/>
      <c r="D2566" s="369"/>
      <c r="E2566" s="369"/>
      <c r="F2566" s="369"/>
      <c r="G2566" s="369"/>
      <c r="I2566" s="369"/>
      <c r="J2566" s="369"/>
      <c r="K2566" s="369"/>
      <c r="L2566" s="369"/>
      <c r="M2566" s="369"/>
      <c r="N2566" s="369"/>
      <c r="O2566" s="369"/>
    </row>
    <row r="2567" spans="1:16">
      <c r="I2567" s="369"/>
      <c r="J2567" s="369"/>
      <c r="K2567" s="369"/>
      <c r="L2567" s="369"/>
      <c r="M2567" s="369"/>
      <c r="N2567" s="369"/>
      <c r="O2567" s="369"/>
    </row>
    <row r="2568" spans="1:16" s="291" customFormat="1">
      <c r="A2568" s="1308" t="str">
        <f>$A$1</f>
        <v>COLUMBIA GAS OF KENTUCKY, INC.</v>
      </c>
      <c r="B2568" s="1308"/>
      <c r="C2568" s="1308"/>
      <c r="D2568" s="1308"/>
      <c r="E2568" s="1308"/>
      <c r="F2568" s="1308"/>
      <c r="G2568" s="1308"/>
      <c r="H2568" s="1308"/>
      <c r="I2568" s="1308"/>
      <c r="J2568" s="1308"/>
      <c r="K2568" s="1308"/>
      <c r="L2568" s="1308"/>
      <c r="M2568" s="1308"/>
      <c r="N2568" s="1308"/>
      <c r="O2568" s="1308"/>
    </row>
    <row r="2569" spans="1:16" s="291" customFormat="1">
      <c r="A2569" s="1308" t="str">
        <f>$A$2</f>
        <v>CASE NO. 2024 - 00092</v>
      </c>
      <c r="B2569" s="1308"/>
      <c r="C2569" s="1308"/>
      <c r="D2569" s="1308"/>
      <c r="E2569" s="1308"/>
      <c r="F2569" s="1308"/>
      <c r="G2569" s="1308"/>
      <c r="H2569" s="1308"/>
      <c r="I2569" s="1308"/>
      <c r="J2569" s="1308"/>
      <c r="K2569" s="1308"/>
      <c r="L2569" s="1308"/>
      <c r="M2569" s="1308"/>
      <c r="N2569" s="1308"/>
      <c r="O2569" s="1308"/>
    </row>
    <row r="2570" spans="1:16" s="291" customFormat="1">
      <c r="A2570" s="1308" t="str">
        <f>$A$3</f>
        <v>DETAIL OF ACTUAL &amp; FORECASTED PLANT, ACCUMULATED RESERVE &amp; DEPRECIATION EXPENSE</v>
      </c>
      <c r="B2570" s="1308"/>
      <c r="C2570" s="1308"/>
      <c r="D2570" s="1308"/>
      <c r="E2570" s="1308"/>
      <c r="F2570" s="1308"/>
      <c r="G2570" s="1308"/>
      <c r="H2570" s="1308"/>
      <c r="I2570" s="1308"/>
      <c r="J2570" s="1308"/>
      <c r="K2570" s="1308"/>
      <c r="L2570" s="1308"/>
      <c r="M2570" s="1308"/>
      <c r="N2570" s="1308"/>
      <c r="O2570" s="1308"/>
      <c r="P2570" s="357"/>
    </row>
    <row r="2571" spans="1:16" s="291" customFormat="1">
      <c r="A2571" s="1308" t="str">
        <f>$A$4</f>
        <v>FROM JANUARY 01, 2023 THROUGH DECEMBER 31, 2025</v>
      </c>
      <c r="B2571" s="1308"/>
      <c r="C2571" s="1308"/>
      <c r="D2571" s="1308"/>
      <c r="E2571" s="1308"/>
      <c r="F2571" s="1308"/>
      <c r="G2571" s="1308"/>
      <c r="H2571" s="1308"/>
      <c r="I2571" s="1308"/>
      <c r="J2571" s="1308"/>
      <c r="K2571" s="1308"/>
      <c r="L2571" s="1308"/>
      <c r="M2571" s="1308"/>
      <c r="N2571" s="1308"/>
      <c r="O2571" s="1308"/>
    </row>
    <row r="2572" spans="1:16" s="291" customFormat="1">
      <c r="B2572" s="293"/>
      <c r="P2572" s="312"/>
    </row>
    <row r="2573" spans="1:16" s="291" customFormat="1">
      <c r="A2573" s="297" t="str">
        <f>$A$6</f>
        <v xml:space="preserve">DATA: _X_ BASE PERIOD _X_ FORECASTED PERIOD     </v>
      </c>
      <c r="B2573" s="293"/>
      <c r="O2573" s="312" t="str">
        <f>$O$6</f>
        <v>WPB-2.1.C</v>
      </c>
      <c r="P2573" s="312"/>
    </row>
    <row r="2574" spans="1:16" s="291" customFormat="1">
      <c r="A2574" s="297" t="str">
        <f>$A$7</f>
        <v>TYPE OF FILING:___X___ORIGINAL______UPDATED</v>
      </c>
      <c r="B2574" s="293"/>
      <c r="O2574" s="312" t="s">
        <v>2177</v>
      </c>
      <c r="P2574" s="312"/>
    </row>
    <row r="2575" spans="1:16" s="291" customFormat="1">
      <c r="A2575" s="297" t="str">
        <f>$A$8</f>
        <v>WORKPAPER REFERENCE NO(S).:</v>
      </c>
      <c r="B2575" s="293"/>
      <c r="O2575" s="312" t="str">
        <f>$O$8</f>
        <v>WITNESS: GORE</v>
      </c>
    </row>
    <row r="2576" spans="1:16">
      <c r="A2576" s="918"/>
      <c r="B2576" s="919"/>
      <c r="C2576" s="918"/>
      <c r="D2576" s="918"/>
      <c r="E2576" s="918"/>
      <c r="F2576" s="918"/>
      <c r="G2576" s="918"/>
      <c r="H2576" s="918"/>
      <c r="I2576" s="918"/>
      <c r="J2576" s="918"/>
      <c r="K2576" s="918"/>
      <c r="L2576" s="918"/>
      <c r="M2576" s="918"/>
      <c r="N2576" s="918"/>
      <c r="O2576" s="920"/>
    </row>
    <row r="2577" spans="1:15">
      <c r="D2577" s="1311" t="s">
        <v>1768</v>
      </c>
      <c r="E2577" s="1311"/>
      <c r="F2577" s="1311"/>
      <c r="G2577" s="1311"/>
      <c r="I2577" s="1311" t="s">
        <v>1769</v>
      </c>
      <c r="J2577" s="1311"/>
      <c r="K2577" s="1311"/>
      <c r="L2577" s="1311"/>
      <c r="M2577" s="1311"/>
      <c r="N2577" s="1311"/>
      <c r="O2577" s="1311"/>
    </row>
    <row r="2578" spans="1:15">
      <c r="D2578" s="360">
        <f>D2519</f>
        <v>45597</v>
      </c>
      <c r="G2578" s="360">
        <f>G2519</f>
        <v>45626</v>
      </c>
      <c r="I2578" s="360">
        <f>D2578</f>
        <v>45597</v>
      </c>
      <c r="O2578" s="360">
        <f>G2578</f>
        <v>45626</v>
      </c>
    </row>
    <row r="2579" spans="1:15">
      <c r="D2579" s="361" t="s">
        <v>1757</v>
      </c>
      <c r="G2579" s="361" t="s">
        <v>1757</v>
      </c>
      <c r="I2579" s="361" t="s">
        <v>1758</v>
      </c>
      <c r="J2579" s="361" t="s">
        <v>488</v>
      </c>
      <c r="L2579" s="361" t="s">
        <v>1758</v>
      </c>
      <c r="O2579" s="361" t="s">
        <v>1758</v>
      </c>
    </row>
    <row r="2580" spans="1:15">
      <c r="A2580" s="361" t="s">
        <v>1770</v>
      </c>
      <c r="B2580" s="361" t="s">
        <v>368</v>
      </c>
      <c r="C2580" s="361"/>
      <c r="D2580" s="361" t="s">
        <v>437</v>
      </c>
      <c r="G2580" s="361" t="s">
        <v>439</v>
      </c>
      <c r="I2580" s="361" t="s">
        <v>437</v>
      </c>
      <c r="J2580" s="361" t="s">
        <v>1771</v>
      </c>
      <c r="K2580" s="361" t="s">
        <v>1772</v>
      </c>
      <c r="L2580" s="361" t="s">
        <v>1759</v>
      </c>
      <c r="N2580" s="361" t="s">
        <v>1760</v>
      </c>
      <c r="O2580" s="361" t="s">
        <v>439</v>
      </c>
    </row>
    <row r="2581" spans="1:15">
      <c r="A2581" s="364" t="s">
        <v>316</v>
      </c>
      <c r="B2581" s="364" t="s">
        <v>316</v>
      </c>
      <c r="C2581" s="364" t="s">
        <v>451</v>
      </c>
      <c r="D2581" s="364" t="s">
        <v>441</v>
      </c>
      <c r="E2581" s="364" t="s">
        <v>442</v>
      </c>
      <c r="F2581" s="364" t="s">
        <v>443</v>
      </c>
      <c r="G2581" s="364" t="s">
        <v>441</v>
      </c>
      <c r="I2581" s="364" t="s">
        <v>441</v>
      </c>
      <c r="J2581" s="364" t="s">
        <v>1773</v>
      </c>
      <c r="K2581" s="364" t="s">
        <v>1771</v>
      </c>
      <c r="L2581" s="364" t="s">
        <v>355</v>
      </c>
      <c r="M2581" s="364" t="s">
        <v>443</v>
      </c>
      <c r="N2581" s="364" t="s">
        <v>1763</v>
      </c>
      <c r="O2581" s="364" t="s">
        <v>441</v>
      </c>
    </row>
    <row r="2582" spans="1:15">
      <c r="D2582" s="361" t="s">
        <v>532</v>
      </c>
      <c r="E2582" s="361" t="s">
        <v>541</v>
      </c>
      <c r="F2582" s="361" t="s">
        <v>542</v>
      </c>
      <c r="G2582" s="361" t="s">
        <v>1764</v>
      </c>
      <c r="I2582" s="334" t="str">
        <f>"(5)"</f>
        <v>(5)</v>
      </c>
      <c r="J2582" s="334" t="str">
        <f>"(6)"</f>
        <v>(6)</v>
      </c>
      <c r="K2582" s="334" t="str">
        <f>"(7)=((1+4)/2*6/12))"</f>
        <v>(7)=((1+4)/2*6/12))</v>
      </c>
      <c r="L2582" s="334" t="str">
        <f>"(8)"</f>
        <v>(8)</v>
      </c>
      <c r="M2582" s="334" t="str">
        <f>"(9)"</f>
        <v>(9)</v>
      </c>
      <c r="N2582" s="334" t="str">
        <f>"(10)"</f>
        <v>(10)</v>
      </c>
      <c r="O2582" s="334" t="str">
        <f>"(11=5+7+8+9+10)"</f>
        <v>(11=5+7+8+9+10)</v>
      </c>
    </row>
    <row r="2583" spans="1:15">
      <c r="D2583" s="361" t="s">
        <v>320</v>
      </c>
      <c r="E2583" s="361" t="s">
        <v>320</v>
      </c>
      <c r="F2583" s="361" t="s">
        <v>320</v>
      </c>
      <c r="G2583" s="361" t="s">
        <v>320</v>
      </c>
      <c r="I2583" s="334" t="s">
        <v>320</v>
      </c>
      <c r="J2583" s="334" t="s">
        <v>529</v>
      </c>
      <c r="K2583" s="334" t="s">
        <v>320</v>
      </c>
      <c r="L2583" s="334" t="s">
        <v>320</v>
      </c>
      <c r="M2583" s="334" t="s">
        <v>320</v>
      </c>
      <c r="N2583" s="334" t="s">
        <v>320</v>
      </c>
      <c r="O2583" s="334" t="s">
        <v>320</v>
      </c>
    </row>
    <row r="2584" spans="1:15">
      <c r="A2584" s="361">
        <v>1</v>
      </c>
      <c r="B2584" s="363" t="s">
        <v>411</v>
      </c>
      <c r="D2584" s="361"/>
      <c r="E2584" s="361"/>
      <c r="F2584" s="361"/>
      <c r="G2584" s="361"/>
      <c r="I2584" s="334"/>
      <c r="J2584" s="334"/>
      <c r="K2584" s="334"/>
      <c r="L2584" s="334"/>
      <c r="M2584" s="334"/>
      <c r="N2584" s="334"/>
      <c r="O2584" s="334"/>
    </row>
    <row r="2585" spans="1:15">
      <c r="A2585" s="361">
        <f>A2584+1</f>
        <v>2</v>
      </c>
      <c r="B2585" s="365">
        <v>391.1</v>
      </c>
      <c r="C2585" s="358" t="s">
        <v>412</v>
      </c>
      <c r="D2585" s="1243">
        <f t="shared" ref="D2585:D2598" si="471">G2471</f>
        <v>921741.33000000007</v>
      </c>
      <c r="E2585" s="1243">
        <f>+'INPUT - B Schedule PLANT'!DS46</f>
        <v>0</v>
      </c>
      <c r="F2585" s="1243">
        <f>+'INPUT - B Schedule PLANT'!DT46</f>
        <v>0</v>
      </c>
      <c r="G2585" s="1243">
        <f>SUM(D2585:F2585)</f>
        <v>921741.33000000007</v>
      </c>
      <c r="H2585" s="1243"/>
      <c r="I2585" s="1245">
        <f t="shared" ref="I2585:I2598" si="472">O2471</f>
        <v>153134.37</v>
      </c>
      <c r="J2585" s="376">
        <f>$J$1673</f>
        <v>4.9700000000000001E-2</v>
      </c>
      <c r="K2585" s="1243">
        <f>ROUND((G2585+D2585)/2*J2585/12,0)</f>
        <v>3818</v>
      </c>
      <c r="L2585" s="1243">
        <v>0</v>
      </c>
      <c r="M2585" s="1243">
        <f t="shared" ref="M2585:M2598" si="473">F2585</f>
        <v>0</v>
      </c>
      <c r="N2585" s="1243">
        <v>0</v>
      </c>
      <c r="O2585" s="1243">
        <f t="shared" ref="O2585:O2598" si="474">I2585+K2585+L2585+M2585+N2585</f>
        <v>156952.37</v>
      </c>
    </row>
    <row r="2586" spans="1:15">
      <c r="A2586" s="361">
        <f t="shared" ref="A2586:A2599" si="475">A2585+1</f>
        <v>3</v>
      </c>
      <c r="B2586" s="365">
        <v>391.11</v>
      </c>
      <c r="C2586" s="358" t="s">
        <v>413</v>
      </c>
      <c r="D2586" s="1243">
        <f t="shared" si="471"/>
        <v>0</v>
      </c>
      <c r="E2586" s="1243">
        <f>+'INPUT - B Schedule PLANT'!DS47</f>
        <v>0</v>
      </c>
      <c r="F2586" s="1243">
        <f>+'INPUT - B Schedule PLANT'!DT47</f>
        <v>0</v>
      </c>
      <c r="G2586" s="1243">
        <f t="shared" ref="G2586:G2593" si="476">SUM(D2586:F2586)</f>
        <v>0</v>
      </c>
      <c r="H2586" s="1243"/>
      <c r="I2586" s="1245">
        <f t="shared" si="472"/>
        <v>-18933.789999999997</v>
      </c>
      <c r="J2586" s="376">
        <f>$J$1674</f>
        <v>0</v>
      </c>
      <c r="K2586" s="1243">
        <f>ROUND((G2586+D2586)/2*J2586/12,0)</f>
        <v>0</v>
      </c>
      <c r="L2586" s="1243">
        <v>0</v>
      </c>
      <c r="M2586" s="1243">
        <f t="shared" si="473"/>
        <v>0</v>
      </c>
      <c r="N2586" s="1243">
        <v>0</v>
      </c>
      <c r="O2586" s="1243">
        <f t="shared" si="474"/>
        <v>-18933.789999999997</v>
      </c>
    </row>
    <row r="2587" spans="1:15">
      <c r="A2587" s="361">
        <f t="shared" si="475"/>
        <v>4</v>
      </c>
      <c r="B2587" s="365">
        <v>391.12</v>
      </c>
      <c r="C2587" s="358" t="s">
        <v>414</v>
      </c>
      <c r="D2587" s="1243">
        <f t="shared" si="471"/>
        <v>37129.580000000009</v>
      </c>
      <c r="E2587" s="1243">
        <f>+'INPUT - B Schedule PLANT'!DS48</f>
        <v>0</v>
      </c>
      <c r="F2587" s="1243">
        <f>+'INPUT - B Schedule PLANT'!DT48</f>
        <v>0</v>
      </c>
      <c r="G2587" s="1243">
        <f t="shared" si="476"/>
        <v>37129.580000000009</v>
      </c>
      <c r="H2587" s="1243"/>
      <c r="I2587" s="1245">
        <f t="shared" si="472"/>
        <v>905.96999999999935</v>
      </c>
      <c r="J2587" s="376">
        <f>$J$1675</f>
        <v>0.2</v>
      </c>
      <c r="K2587" s="1243">
        <f>ROUND((G2587+D2587)/2*J2587/12,0)</f>
        <v>619</v>
      </c>
      <c r="L2587" s="1243">
        <v>0</v>
      </c>
      <c r="M2587" s="1243">
        <f t="shared" si="473"/>
        <v>0</v>
      </c>
      <c r="N2587" s="1243">
        <v>0</v>
      </c>
      <c r="O2587" s="1243">
        <f t="shared" si="474"/>
        <v>1524.9699999999993</v>
      </c>
    </row>
    <row r="2588" spans="1:15">
      <c r="A2588" s="361">
        <f t="shared" si="475"/>
        <v>5</v>
      </c>
      <c r="B2588" s="365">
        <v>392.2</v>
      </c>
      <c r="C2588" s="358" t="s">
        <v>524</v>
      </c>
      <c r="D2588" s="1243">
        <f t="shared" si="471"/>
        <v>48924.4</v>
      </c>
      <c r="E2588" s="1243">
        <f>+'INPUT - B Schedule PLANT'!DS49</f>
        <v>0</v>
      </c>
      <c r="F2588" s="1243">
        <f>+'INPUT - B Schedule PLANT'!DT49</f>
        <v>0</v>
      </c>
      <c r="G2588" s="1243">
        <f t="shared" si="476"/>
        <v>48924.4</v>
      </c>
      <c r="H2588" s="1243"/>
      <c r="I2588" s="1245">
        <f t="shared" si="472"/>
        <v>17513.359999999961</v>
      </c>
      <c r="J2588" s="376">
        <f>$J$1676</f>
        <v>8.9999999999999993E-3</v>
      </c>
      <c r="K2588" s="1243">
        <f>ROUND((G2588+D2588)/2*J2588/12,0)</f>
        <v>37</v>
      </c>
      <c r="L2588" s="1243">
        <v>0</v>
      </c>
      <c r="M2588" s="1243">
        <f t="shared" si="473"/>
        <v>0</v>
      </c>
      <c r="N2588" s="1243">
        <v>0</v>
      </c>
      <c r="O2588" s="1243">
        <f t="shared" si="474"/>
        <v>17550.359999999961</v>
      </c>
    </row>
    <row r="2589" spans="1:15">
      <c r="A2589" s="361">
        <f t="shared" si="475"/>
        <v>6</v>
      </c>
      <c r="B2589" s="365">
        <v>392.21</v>
      </c>
      <c r="C2589" s="358" t="s">
        <v>415</v>
      </c>
      <c r="D2589" s="1243">
        <f t="shared" si="471"/>
        <v>24462.2</v>
      </c>
      <c r="E2589" s="1243">
        <f>+'INPUT - B Schedule PLANT'!DS50</f>
        <v>0</v>
      </c>
      <c r="F2589" s="1243">
        <f>+'INPUT - B Schedule PLANT'!DT50</f>
        <v>0</v>
      </c>
      <c r="G2589" s="1243">
        <f t="shared" si="476"/>
        <v>24462.2</v>
      </c>
      <c r="H2589" s="1243"/>
      <c r="I2589" s="1245">
        <f t="shared" si="472"/>
        <v>44898.01</v>
      </c>
      <c r="J2589" s="376">
        <f>$J$1677</f>
        <v>8.9999999999999993E-3</v>
      </c>
      <c r="K2589" s="1243">
        <f>ROUND((G2589+D2589)/2*J2589/12,0)</f>
        <v>18</v>
      </c>
      <c r="L2589" s="1243">
        <v>0</v>
      </c>
      <c r="M2589" s="1243">
        <f t="shared" si="473"/>
        <v>0</v>
      </c>
      <c r="N2589" s="1243">
        <v>0</v>
      </c>
      <c r="O2589" s="1243">
        <f t="shared" si="474"/>
        <v>44916.01</v>
      </c>
    </row>
    <row r="2590" spans="1:15">
      <c r="A2590" s="361">
        <f t="shared" si="475"/>
        <v>7</v>
      </c>
      <c r="B2590" s="365">
        <v>393</v>
      </c>
      <c r="C2590" s="358" t="s">
        <v>416</v>
      </c>
      <c r="D2590" s="1243">
        <f t="shared" si="471"/>
        <v>0</v>
      </c>
      <c r="E2590" s="1243">
        <f>+'INPUT - B Schedule PLANT'!DS51</f>
        <v>0</v>
      </c>
      <c r="F2590" s="1243">
        <f>+'INPUT - B Schedule PLANT'!DT51</f>
        <v>0</v>
      </c>
      <c r="G2590" s="1243">
        <f t="shared" si="476"/>
        <v>0</v>
      </c>
      <c r="H2590" s="1243"/>
      <c r="I2590" s="1245">
        <f t="shared" si="472"/>
        <v>0</v>
      </c>
      <c r="J2590" s="376" t="str">
        <f>$J$1678</f>
        <v>Amort.</v>
      </c>
      <c r="K2590" s="1243">
        <v>0</v>
      </c>
      <c r="L2590" s="1243">
        <v>0</v>
      </c>
      <c r="M2590" s="1243">
        <f t="shared" si="473"/>
        <v>0</v>
      </c>
      <c r="N2590" s="1243">
        <v>0</v>
      </c>
      <c r="O2590" s="1243">
        <f t="shared" si="474"/>
        <v>0</v>
      </c>
    </row>
    <row r="2591" spans="1:15">
      <c r="A2591" s="361">
        <f t="shared" si="475"/>
        <v>8</v>
      </c>
      <c r="B2591" s="365">
        <v>394.1</v>
      </c>
      <c r="C2591" s="358" t="s">
        <v>417</v>
      </c>
      <c r="D2591" s="1243">
        <f t="shared" si="471"/>
        <v>9739</v>
      </c>
      <c r="E2591" s="1243">
        <f>+'INPUT - B Schedule PLANT'!DS52</f>
        <v>0</v>
      </c>
      <c r="F2591" s="1243">
        <f>+'INPUT - B Schedule PLANT'!DT52</f>
        <v>0</v>
      </c>
      <c r="G2591" s="1243">
        <f t="shared" si="476"/>
        <v>9739</v>
      </c>
      <c r="H2591" s="1243"/>
      <c r="I2591" s="1245">
        <f t="shared" si="472"/>
        <v>4396.0700000000006</v>
      </c>
      <c r="J2591" s="376">
        <f>$J$1679</f>
        <v>0.04</v>
      </c>
      <c r="K2591" s="1243">
        <f>ROUND((G2591+D2591)/2*J2591/12,0)</f>
        <v>32</v>
      </c>
      <c r="L2591" s="1243">
        <v>0</v>
      </c>
      <c r="M2591" s="1243">
        <f t="shared" si="473"/>
        <v>0</v>
      </c>
      <c r="N2591" s="1243">
        <v>0</v>
      </c>
      <c r="O2591" s="1243">
        <f t="shared" si="474"/>
        <v>4428.0700000000006</v>
      </c>
    </row>
    <row r="2592" spans="1:15">
      <c r="A2592" s="361">
        <f t="shared" si="475"/>
        <v>9</v>
      </c>
      <c r="B2592" s="365">
        <v>394.11</v>
      </c>
      <c r="C2592" s="358" t="s">
        <v>418</v>
      </c>
      <c r="D2592" s="1243">
        <f t="shared" si="471"/>
        <v>0</v>
      </c>
      <c r="E2592" s="1243">
        <f>+'INPUT - B Schedule PLANT'!DS53</f>
        <v>0</v>
      </c>
      <c r="F2592" s="1243">
        <f>+'INPUT - B Schedule PLANT'!DT53</f>
        <v>0</v>
      </c>
      <c r="G2592" s="1243">
        <f t="shared" si="476"/>
        <v>0</v>
      </c>
      <c r="H2592" s="1243"/>
      <c r="I2592" s="1245">
        <f t="shared" si="472"/>
        <v>-26071.5</v>
      </c>
      <c r="J2592" s="376">
        <f>$J$1680</f>
        <v>0.04</v>
      </c>
      <c r="K2592" s="1243">
        <f>ROUND((G2592+D2592)/2*J2592/12,0)</f>
        <v>0</v>
      </c>
      <c r="L2592" s="1243">
        <v>0</v>
      </c>
      <c r="M2592" s="1243">
        <f t="shared" si="473"/>
        <v>0</v>
      </c>
      <c r="N2592" s="1243">
        <v>0</v>
      </c>
      <c r="O2592" s="1243">
        <f t="shared" si="474"/>
        <v>-26071.5</v>
      </c>
    </row>
    <row r="2593" spans="1:15">
      <c r="A2593" s="361">
        <f t="shared" si="475"/>
        <v>10</v>
      </c>
      <c r="B2593" s="365">
        <v>394.13</v>
      </c>
      <c r="C2593" s="358" t="s">
        <v>515</v>
      </c>
      <c r="D2593" s="1243">
        <f t="shared" si="471"/>
        <v>0</v>
      </c>
      <c r="E2593" s="1243">
        <f>+'INPUT - B Schedule PLANT'!DS54</f>
        <v>0</v>
      </c>
      <c r="F2593" s="1243">
        <f>+'INPUT - B Schedule PLANT'!DT54</f>
        <v>0</v>
      </c>
      <c r="G2593" s="1243">
        <f t="shared" si="476"/>
        <v>0</v>
      </c>
      <c r="H2593" s="1243"/>
      <c r="I2593" s="1245">
        <f t="shared" si="472"/>
        <v>37937.360000000001</v>
      </c>
      <c r="J2593" s="376" t="str">
        <f>$J$1681</f>
        <v>Amort.</v>
      </c>
      <c r="K2593" s="1243">
        <v>0</v>
      </c>
      <c r="L2593" s="1243">
        <v>0</v>
      </c>
      <c r="M2593" s="1243">
        <f t="shared" si="473"/>
        <v>0</v>
      </c>
      <c r="N2593" s="1243">
        <v>0</v>
      </c>
      <c r="O2593" s="1243">
        <f t="shared" si="474"/>
        <v>37937.360000000001</v>
      </c>
    </row>
    <row r="2594" spans="1:15">
      <c r="A2594" s="361">
        <f t="shared" si="475"/>
        <v>11</v>
      </c>
      <c r="B2594" s="365">
        <v>394.2</v>
      </c>
      <c r="C2594" s="358" t="s">
        <v>420</v>
      </c>
      <c r="D2594" s="1243">
        <f t="shared" si="471"/>
        <v>0</v>
      </c>
      <c r="E2594" s="1243">
        <f>+'INPUT - B Schedule PLANT'!DS55</f>
        <v>0</v>
      </c>
      <c r="F2594" s="1243">
        <f>+'INPUT - B Schedule PLANT'!DT55</f>
        <v>0</v>
      </c>
      <c r="G2594" s="1243">
        <f>SUM(D2594:F2594)</f>
        <v>0</v>
      </c>
      <c r="H2594" s="1243"/>
      <c r="I2594" s="1245">
        <f t="shared" si="472"/>
        <v>185.21</v>
      </c>
      <c r="J2594" s="376">
        <f>$J$1682</f>
        <v>0.04</v>
      </c>
      <c r="K2594" s="1243">
        <f>ROUND((G2594+D2594)/2*J2594/12,0)</f>
        <v>0</v>
      </c>
      <c r="L2594" s="1243">
        <v>0</v>
      </c>
      <c r="M2594" s="1243">
        <f t="shared" si="473"/>
        <v>0</v>
      </c>
      <c r="N2594" s="1243">
        <v>0</v>
      </c>
      <c r="O2594" s="1243">
        <f t="shared" si="474"/>
        <v>185.21</v>
      </c>
    </row>
    <row r="2595" spans="1:15">
      <c r="A2595" s="361">
        <f t="shared" si="475"/>
        <v>12</v>
      </c>
      <c r="B2595" s="365">
        <v>394.3</v>
      </c>
      <c r="C2595" s="358" t="s">
        <v>1602</v>
      </c>
      <c r="D2595" s="1243">
        <f t="shared" si="471"/>
        <v>5276155.42</v>
      </c>
      <c r="E2595" s="1243">
        <f>+'INPUT - B Schedule PLANT'!DS56</f>
        <v>22499.19</v>
      </c>
      <c r="F2595" s="1243">
        <f>+'INPUT - B Schedule PLANT'!DT56</f>
        <v>-2213.06</v>
      </c>
      <c r="G2595" s="1243">
        <f>SUM(D2595:F2595)</f>
        <v>5296441.5500000007</v>
      </c>
      <c r="H2595" s="1243"/>
      <c r="I2595" s="1245">
        <f t="shared" si="472"/>
        <v>1657807.3899999997</v>
      </c>
      <c r="J2595" s="376">
        <f>$J$1683</f>
        <v>0.04</v>
      </c>
      <c r="K2595" s="1243">
        <f>ROUND((G2595+D2595)/2*J2595/12,0)</f>
        <v>17621</v>
      </c>
      <c r="L2595" s="1243">
        <v>0</v>
      </c>
      <c r="M2595" s="1243">
        <f t="shared" si="473"/>
        <v>-2213.06</v>
      </c>
      <c r="N2595" s="1243">
        <v>0</v>
      </c>
      <c r="O2595" s="1243">
        <f t="shared" si="474"/>
        <v>1673215.3299999996</v>
      </c>
    </row>
    <row r="2596" spans="1:15">
      <c r="A2596" s="361">
        <f t="shared" si="475"/>
        <v>13</v>
      </c>
      <c r="B2596" s="365">
        <v>395</v>
      </c>
      <c r="C2596" s="358" t="s">
        <v>422</v>
      </c>
      <c r="D2596" s="1243">
        <f t="shared" si="471"/>
        <v>0</v>
      </c>
      <c r="E2596" s="1243">
        <f>+'INPUT - B Schedule PLANT'!DS57</f>
        <v>0</v>
      </c>
      <c r="F2596" s="1243">
        <f>+'INPUT - B Schedule PLANT'!DT57</f>
        <v>0</v>
      </c>
      <c r="G2596" s="1243">
        <f>SUM(D2596:F2596)</f>
        <v>0</v>
      </c>
      <c r="H2596" s="1243"/>
      <c r="I2596" s="1245">
        <f t="shared" si="472"/>
        <v>-100.69999999999845</v>
      </c>
      <c r="J2596" s="376">
        <f>$J$1684</f>
        <v>0.05</v>
      </c>
      <c r="K2596" s="1243">
        <f>ROUND((G2596+D2596)/2*J2596/12,0)</f>
        <v>0</v>
      </c>
      <c r="L2596" s="1243">
        <v>0</v>
      </c>
      <c r="M2596" s="1243">
        <f t="shared" si="473"/>
        <v>0</v>
      </c>
      <c r="N2596" s="1243">
        <v>0</v>
      </c>
      <c r="O2596" s="1243">
        <f t="shared" si="474"/>
        <v>-100.69999999999845</v>
      </c>
    </row>
    <row r="2597" spans="1:15">
      <c r="A2597" s="361">
        <f t="shared" si="475"/>
        <v>14</v>
      </c>
      <c r="B2597" s="365">
        <v>396</v>
      </c>
      <c r="C2597" s="358" t="s">
        <v>423</v>
      </c>
      <c r="D2597" s="1243">
        <f t="shared" si="471"/>
        <v>185547</v>
      </c>
      <c r="E2597" s="1243">
        <f>+'INPUT - B Schedule PLANT'!DS58</f>
        <v>0</v>
      </c>
      <c r="F2597" s="1243">
        <f>+'INPUT - B Schedule PLANT'!DT58</f>
        <v>0</v>
      </c>
      <c r="G2597" s="1243">
        <f>SUM(D2597:F2597)</f>
        <v>185547</v>
      </c>
      <c r="H2597" s="1243"/>
      <c r="I2597" s="1245">
        <f t="shared" si="472"/>
        <v>171938.14</v>
      </c>
      <c r="J2597" s="376">
        <f>$J$1685</f>
        <v>0</v>
      </c>
      <c r="K2597" s="1243">
        <f>ROUND((G2597+D2597)/2*J2597/12,0)</f>
        <v>0</v>
      </c>
      <c r="L2597" s="1243">
        <v>0</v>
      </c>
      <c r="M2597" s="1243">
        <f t="shared" si="473"/>
        <v>0</v>
      </c>
      <c r="N2597" s="1243">
        <v>0</v>
      </c>
      <c r="O2597" s="1243">
        <f t="shared" si="474"/>
        <v>171938.14</v>
      </c>
    </row>
    <row r="2598" spans="1:15">
      <c r="A2598" s="361">
        <f t="shared" si="475"/>
        <v>15</v>
      </c>
      <c r="B2598" s="365">
        <v>398</v>
      </c>
      <c r="C2598" s="358" t="s">
        <v>424</v>
      </c>
      <c r="D2598" s="1244">
        <f t="shared" si="471"/>
        <v>148028.20000000001</v>
      </c>
      <c r="E2598" s="1244">
        <f>+'INPUT - B Schedule PLANT'!DS59</f>
        <v>0</v>
      </c>
      <c r="F2598" s="1244">
        <f>+'INPUT - B Schedule PLANT'!DT59</f>
        <v>0</v>
      </c>
      <c r="G2598" s="1244">
        <f>SUM(D2598:F2598)</f>
        <v>148028.20000000001</v>
      </c>
      <c r="H2598" s="1243"/>
      <c r="I2598" s="1246">
        <f t="shared" si="472"/>
        <v>78333.549999999945</v>
      </c>
      <c r="J2598" s="376">
        <f>$J$1686</f>
        <v>6.6699999999999995E-2</v>
      </c>
      <c r="K2598" s="1244">
        <f>ROUND((G2598+D2598)/2*J2598/12,0)</f>
        <v>823</v>
      </c>
      <c r="L2598" s="1244">
        <v>0</v>
      </c>
      <c r="M2598" s="1244">
        <f t="shared" si="473"/>
        <v>0</v>
      </c>
      <c r="N2598" s="1244">
        <v>0</v>
      </c>
      <c r="O2598" s="1244">
        <f t="shared" si="474"/>
        <v>79156.549999999945</v>
      </c>
    </row>
    <row r="2599" spans="1:15">
      <c r="A2599" s="361">
        <f t="shared" si="475"/>
        <v>16</v>
      </c>
      <c r="B2599" s="367"/>
      <c r="C2599" s="358" t="s">
        <v>425</v>
      </c>
      <c r="D2599" s="1243">
        <f>SUM(D2585:D2598)</f>
        <v>6651727.1299999999</v>
      </c>
      <c r="E2599" s="1243">
        <f>SUM(E2585:E2598)</f>
        <v>22499.19</v>
      </c>
      <c r="F2599" s="1243">
        <f>SUM(F2585:F2598)</f>
        <v>-2213.06</v>
      </c>
      <c r="G2599" s="1243">
        <f>SUM(G2585:G2598)</f>
        <v>6672013.2600000007</v>
      </c>
      <c r="H2599" s="1243"/>
      <c r="I2599" s="1243">
        <f>SUM(I2585:I2598)</f>
        <v>2121943.4399999995</v>
      </c>
      <c r="J2599" s="369"/>
      <c r="K2599" s="1243">
        <f>SUM(K2585:K2598)</f>
        <v>22968</v>
      </c>
      <c r="L2599" s="1243">
        <f>SUM(L2585:L2598)</f>
        <v>0</v>
      </c>
      <c r="M2599" s="1243">
        <f>SUM(M2585:M2598)</f>
        <v>-2213.06</v>
      </c>
      <c r="N2599" s="1243">
        <f>SUM(N2585:N2598)</f>
        <v>0</v>
      </c>
      <c r="O2599" s="1243">
        <f>SUM(O2585:O2598)</f>
        <v>2142698.3799999994</v>
      </c>
    </row>
    <row r="2600" spans="1:15">
      <c r="A2600" s="361"/>
      <c r="D2600" s="1243"/>
      <c r="E2600" s="1243"/>
      <c r="F2600" s="1243"/>
      <c r="G2600" s="1243"/>
      <c r="H2600" s="1243"/>
      <c r="I2600" s="1243"/>
      <c r="J2600" s="369"/>
      <c r="K2600" s="1243"/>
      <c r="L2600" s="1243"/>
      <c r="M2600" s="1243"/>
      <c r="N2600" s="1243"/>
      <c r="O2600" s="1243"/>
    </row>
    <row r="2601" spans="1:15">
      <c r="A2601" s="361">
        <f>A2599+1</f>
        <v>17</v>
      </c>
      <c r="B2601" s="363" t="s">
        <v>1038</v>
      </c>
      <c r="D2601" s="1243"/>
      <c r="E2601" s="1243"/>
      <c r="F2601" s="1243"/>
      <c r="G2601" s="1243"/>
      <c r="H2601" s="1243"/>
      <c r="I2601" s="1243"/>
      <c r="J2601" s="369"/>
      <c r="K2601" s="1243"/>
      <c r="L2601" s="1243"/>
      <c r="M2601" s="1243"/>
      <c r="N2601" s="1243"/>
      <c r="O2601" s="1243"/>
    </row>
    <row r="2602" spans="1:15">
      <c r="A2602" s="361">
        <f>A2601+1</f>
        <v>18</v>
      </c>
      <c r="B2602" s="365">
        <v>378.21</v>
      </c>
      <c r="C2602" s="358" t="s">
        <v>1037</v>
      </c>
      <c r="D2602" s="1244">
        <f>G2488</f>
        <v>-777092</v>
      </c>
      <c r="E2602" s="1244">
        <v>0</v>
      </c>
      <c r="F2602" s="1244">
        <v>0</v>
      </c>
      <c r="G2602" s="1244">
        <f>SUM(D2602:F2602)</f>
        <v>-777092</v>
      </c>
      <c r="H2602" s="1243"/>
      <c r="I2602" s="1244">
        <f>O2488</f>
        <v>-225812.04000000024</v>
      </c>
      <c r="J2602" s="376" t="str">
        <f>$J$1690</f>
        <v>Amort.</v>
      </c>
      <c r="K2602" s="1244">
        <f>$K$1348</f>
        <v>-2144.17</v>
      </c>
      <c r="L2602" s="1244">
        <v>0</v>
      </c>
      <c r="M2602" s="1244">
        <f>F2602</f>
        <v>0</v>
      </c>
      <c r="N2602" s="1244">
        <v>0</v>
      </c>
      <c r="O2602" s="1244">
        <f>I2602+K2602+L2602+M2602+N2602</f>
        <v>-227956.21000000025</v>
      </c>
    </row>
    <row r="2603" spans="1:15">
      <c r="A2603" s="361">
        <f>A2602+1</f>
        <v>19</v>
      </c>
      <c r="B2603" s="370"/>
      <c r="C2603" s="358" t="s">
        <v>1579</v>
      </c>
      <c r="D2603" s="1243">
        <f>SUM(D2602)</f>
        <v>-777092</v>
      </c>
      <c r="E2603" s="1243">
        <f>SUM(E2602)</f>
        <v>0</v>
      </c>
      <c r="F2603" s="1243">
        <f>SUM(F2602)</f>
        <v>0</v>
      </c>
      <c r="G2603" s="1243">
        <f>SUM(G2602)</f>
        <v>-777092</v>
      </c>
      <c r="H2603" s="1243"/>
      <c r="I2603" s="1243">
        <f>SUM(I2602)</f>
        <v>-225812.04000000024</v>
      </c>
      <c r="J2603" s="369"/>
      <c r="K2603" s="1243">
        <f>SUM(K2602)</f>
        <v>-2144.17</v>
      </c>
      <c r="L2603" s="1243">
        <f>SUM(L2602)</f>
        <v>0</v>
      </c>
      <c r="M2603" s="1243">
        <f>SUM(M2602)</f>
        <v>0</v>
      </c>
      <c r="N2603" s="1243">
        <f>SUM(N2602)</f>
        <v>0</v>
      </c>
      <c r="O2603" s="1243">
        <f>SUM(O2602)</f>
        <v>-227956.21000000025</v>
      </c>
    </row>
    <row r="2604" spans="1:15">
      <c r="A2604" s="361"/>
      <c r="B2604" s="370"/>
      <c r="D2604" s="1243"/>
      <c r="E2604" s="1243"/>
      <c r="F2604" s="1243"/>
      <c r="G2604" s="1243"/>
      <c r="H2604" s="1243"/>
      <c r="I2604" s="1243"/>
      <c r="J2604" s="369"/>
      <c r="K2604" s="1243"/>
      <c r="L2604" s="1243"/>
      <c r="M2604" s="1243"/>
      <c r="N2604" s="1243"/>
      <c r="O2604" s="1243"/>
    </row>
    <row r="2605" spans="1:15">
      <c r="A2605" s="361">
        <f>A2603+1</f>
        <v>20</v>
      </c>
      <c r="B2605" s="370"/>
      <c r="C2605" s="358" t="s">
        <v>2037</v>
      </c>
      <c r="D2605" s="1243">
        <f>D2532+D2565+D2599+D2603</f>
        <v>756758891.69285631</v>
      </c>
      <c r="E2605" s="1243">
        <f>E2532+E2565+E2599+E2603</f>
        <v>2701237.3632811517</v>
      </c>
      <c r="F2605" s="1243">
        <f>F2532+F2565+F2599+F2603</f>
        <v>-1029924.4188999095</v>
      </c>
      <c r="G2605" s="1243">
        <f>G2532+G2565+G2599+G2603</f>
        <v>758430204.63723731</v>
      </c>
      <c r="H2605" s="1243"/>
      <c r="I2605" s="1243">
        <f>I2532+I2565+I2599+I2603</f>
        <v>190347469.55807757</v>
      </c>
      <c r="J2605" s="369"/>
      <c r="K2605" s="1243">
        <f>K2532+K2565+K2599+K2603</f>
        <v>1831587.3606689642</v>
      </c>
      <c r="L2605" s="1243">
        <f>L2532+L2565+L2599+L2603</f>
        <v>0</v>
      </c>
      <c r="M2605" s="1243">
        <f>M2532+M2565+M2599+M2603</f>
        <v>-1029924.4188999095</v>
      </c>
      <c r="N2605" s="1243">
        <f>N2532+N2565+N2599+N2603</f>
        <v>3121.0192546138023</v>
      </c>
      <c r="O2605" s="1243">
        <f>O2532+O2565+O2599+O2603</f>
        <v>191152253.51910126</v>
      </c>
    </row>
    <row r="2606" spans="1:15">
      <c r="A2606" s="361"/>
      <c r="B2606" s="370"/>
      <c r="D2606" s="1243"/>
      <c r="E2606" s="1243"/>
      <c r="F2606" s="1243"/>
      <c r="G2606" s="1243"/>
      <c r="H2606" s="1243"/>
      <c r="I2606" s="1243"/>
      <c r="J2606" s="369"/>
      <c r="K2606" s="1243"/>
      <c r="L2606" s="1243"/>
      <c r="M2606" s="1243"/>
      <c r="N2606" s="1243"/>
      <c r="O2606" s="1243"/>
    </row>
    <row r="2607" spans="1:15">
      <c r="A2607" s="361">
        <f>A2605+1</f>
        <v>21</v>
      </c>
      <c r="B2607" s="370"/>
      <c r="C2607" s="358" t="s">
        <v>2038</v>
      </c>
      <c r="D2607" s="1243">
        <v>0</v>
      </c>
      <c r="E2607" s="1249">
        <v>0</v>
      </c>
      <c r="F2607" s="1249">
        <v>0</v>
      </c>
      <c r="G2607" s="1249">
        <f>SUM(D2607:F2607)</f>
        <v>0</v>
      </c>
      <c r="H2607" s="1243"/>
      <c r="I2607" s="1243">
        <f>O2493</f>
        <v>-6687302.71</v>
      </c>
      <c r="J2607" s="369"/>
      <c r="K2607" s="1243"/>
      <c r="L2607" s="1243"/>
      <c r="M2607" s="1243"/>
      <c r="N2607" s="1243"/>
      <c r="O2607" s="1243">
        <f>I2607+K2607+L2607+M2607+N2607</f>
        <v>-6687302.71</v>
      </c>
    </row>
    <row r="2608" spans="1:15">
      <c r="A2608" s="361"/>
      <c r="B2608" s="370"/>
      <c r="C2608" s="368"/>
      <c r="D2608" s="1243"/>
      <c r="E2608" s="1243"/>
      <c r="F2608" s="1243"/>
      <c r="G2608" s="1243"/>
      <c r="H2608" s="1243"/>
      <c r="I2608" s="1243"/>
      <c r="J2608" s="369"/>
      <c r="K2608" s="1243"/>
      <c r="L2608" s="1243"/>
      <c r="M2608" s="1243"/>
      <c r="N2608" s="1243"/>
      <c r="O2608" s="1243"/>
    </row>
    <row r="2609" spans="1:15">
      <c r="A2609" s="361">
        <f>A2607+1</f>
        <v>22</v>
      </c>
      <c r="C2609" s="358" t="s">
        <v>1603</v>
      </c>
      <c r="D2609" s="1247">
        <f>D2605+D2607</f>
        <v>756758891.69285631</v>
      </c>
      <c r="E2609" s="1247">
        <f t="shared" ref="E2609:O2609" si="477">E2605+E2607</f>
        <v>2701237.3632811517</v>
      </c>
      <c r="F2609" s="1247">
        <f t="shared" si="477"/>
        <v>-1029924.4188999095</v>
      </c>
      <c r="G2609" s="1247">
        <f t="shared" si="477"/>
        <v>758430204.63723731</v>
      </c>
      <c r="H2609" s="1243"/>
      <c r="I2609" s="1247">
        <f t="shared" si="477"/>
        <v>183660166.84807757</v>
      </c>
      <c r="J2609" s="369"/>
      <c r="K2609" s="1247">
        <f t="shared" si="477"/>
        <v>1831587.3606689642</v>
      </c>
      <c r="L2609" s="1247">
        <f t="shared" si="477"/>
        <v>0</v>
      </c>
      <c r="M2609" s="1247">
        <f t="shared" si="477"/>
        <v>-1029924.4188999095</v>
      </c>
      <c r="N2609" s="1247">
        <f t="shared" si="477"/>
        <v>3121.0192546138023</v>
      </c>
      <c r="O2609" s="1247">
        <f t="shared" si="477"/>
        <v>184464950.80910125</v>
      </c>
    </row>
    <row r="2610" spans="1:15">
      <c r="A2610" s="361"/>
      <c r="D2610" s="1243"/>
      <c r="E2610" s="1243"/>
      <c r="F2610" s="1243"/>
      <c r="G2610" s="1243"/>
      <c r="H2610" s="1243"/>
      <c r="I2610" s="1243"/>
      <c r="J2610" s="369"/>
      <c r="K2610" s="1243"/>
      <c r="L2610" s="1243"/>
      <c r="M2610" s="1243"/>
      <c r="N2610" s="1243"/>
      <c r="O2610" s="1243"/>
    </row>
    <row r="2611" spans="1:15">
      <c r="A2611" s="361"/>
      <c r="D2611" s="1243"/>
      <c r="E2611" s="1243"/>
      <c r="F2611" s="1243"/>
      <c r="G2611" s="1243"/>
      <c r="H2611" s="1243"/>
      <c r="I2611" s="1243"/>
      <c r="J2611" s="369"/>
      <c r="K2611" s="1243"/>
      <c r="L2611" s="1243"/>
      <c r="M2611" s="1243"/>
      <c r="N2611" s="1243"/>
      <c r="O2611" s="1243"/>
    </row>
    <row r="2612" spans="1:15">
      <c r="A2612" s="361">
        <f>A2609+1</f>
        <v>23</v>
      </c>
      <c r="B2612" s="363" t="s">
        <v>1774</v>
      </c>
      <c r="D2612" s="1243"/>
      <c r="E2612" s="1243"/>
      <c r="F2612" s="1243"/>
      <c r="G2612" s="1243"/>
      <c r="H2612" s="1243"/>
      <c r="I2612" s="1243"/>
      <c r="J2612" s="369"/>
      <c r="K2612" s="1243"/>
      <c r="L2612" s="1243"/>
      <c r="M2612" s="1243"/>
      <c r="N2612" s="1243"/>
      <c r="O2612" s="1243"/>
    </row>
    <row r="2613" spans="1:15">
      <c r="A2613" s="361">
        <f t="shared" ref="A2613:A2618" si="478">A2612+1</f>
        <v>24</v>
      </c>
      <c r="B2613" s="365">
        <v>376</v>
      </c>
      <c r="C2613" s="358" t="s">
        <v>1775</v>
      </c>
      <c r="D2613" s="1243">
        <f>G2499</f>
        <v>47311462.987143911</v>
      </c>
      <c r="E2613" s="1243">
        <f>'WPB-2.1.D SMRP'!E1030</f>
        <v>1808638.0889471162</v>
      </c>
      <c r="F2613" s="1243">
        <f>'WPB-2.1.D SMRP'!F1030</f>
        <v>-28291.125201744471</v>
      </c>
      <c r="G2613" s="1243">
        <f>SUM(D2613:F2613)</f>
        <v>49091809.950889282</v>
      </c>
      <c r="H2613" s="1243"/>
      <c r="I2613" s="1243">
        <f>O2499</f>
        <v>287434.00982530939</v>
      </c>
      <c r="J2613" s="376">
        <f>$J$1701</f>
        <v>1.7399999999999999E-2</v>
      </c>
      <c r="K2613" s="1243">
        <f>'WPB-2.1.D SMRP'!K1030</f>
        <v>69892.751999999993</v>
      </c>
      <c r="L2613" s="1243">
        <v>0</v>
      </c>
      <c r="M2613" s="1243">
        <f>F2613</f>
        <v>-28291.125201744471</v>
      </c>
      <c r="N2613" s="1243">
        <f>'WPB-2.1.D SMRP'!N1030</f>
        <v>-11800.739304786455</v>
      </c>
      <c r="O2613" s="1243">
        <f>I2613+K2613+L2613+M2613+N2613</f>
        <v>317234.89731877844</v>
      </c>
    </row>
    <row r="2614" spans="1:15">
      <c r="A2614" s="361">
        <f t="shared" si="478"/>
        <v>25</v>
      </c>
      <c r="B2614" s="365">
        <v>378.2</v>
      </c>
      <c r="C2614" s="358" t="s">
        <v>1776</v>
      </c>
      <c r="D2614" s="1243">
        <f>G2500</f>
        <v>464163.33248886524</v>
      </c>
      <c r="E2614" s="1243">
        <f>'WPB-2.1.D SMRP'!E1031</f>
        <v>75803.69957783568</v>
      </c>
      <c r="F2614" s="1243">
        <f>'WPB-2.1.D SMRP'!F1031</f>
        <v>-47655.24780919504</v>
      </c>
      <c r="G2614" s="1243">
        <f>SUM(D2614:F2614)</f>
        <v>492311.78425750596</v>
      </c>
      <c r="H2614" s="1243"/>
      <c r="I2614" s="1243">
        <f>O2500</f>
        <v>-854071.98131514306</v>
      </c>
      <c r="J2614" s="376">
        <f>$J$1702</f>
        <v>2.52E-2</v>
      </c>
      <c r="K2614" s="1243">
        <f>'WPB-2.1.D SMRP'!K1031</f>
        <v>1004.556</v>
      </c>
      <c r="L2614" s="1243">
        <v>0</v>
      </c>
      <c r="M2614" s="1243">
        <f>F2614</f>
        <v>-47655.24780919504</v>
      </c>
      <c r="N2614" s="1243">
        <f>'WPB-2.1.D SMRP'!N1031</f>
        <v>-3436.1354401492945</v>
      </c>
      <c r="O2614" s="1243">
        <f>I2614+K2614+L2614+M2614+N2614</f>
        <v>-904158.8085644875</v>
      </c>
    </row>
    <row r="2615" spans="1:15">
      <c r="A2615" s="361">
        <f t="shared" si="478"/>
        <v>26</v>
      </c>
      <c r="B2615" s="365">
        <v>380</v>
      </c>
      <c r="C2615" s="358" t="s">
        <v>1777</v>
      </c>
      <c r="D2615" s="1243">
        <f>G2501</f>
        <v>20571617.569017015</v>
      </c>
      <c r="E2615" s="1243">
        <f>'WPB-2.1.D SMRP'!E1032</f>
        <v>1229330.0759411473</v>
      </c>
      <c r="F2615" s="1243">
        <f>'WPB-2.1.D SMRP'!F1032</f>
        <v>-524944.83527071134</v>
      </c>
      <c r="G2615" s="1243">
        <f>SUM(D2615:F2615)</f>
        <v>21276002.809687451</v>
      </c>
      <c r="H2615" s="1243"/>
      <c r="I2615" s="1243">
        <f>O2501</f>
        <v>-10024320.946788477</v>
      </c>
      <c r="J2615" s="376">
        <f>$J$1703</f>
        <v>3.9800000000000002E-2</v>
      </c>
      <c r="K2615" s="1243">
        <f>'WPB-2.1.D SMRP'!K1032</f>
        <v>69397.106</v>
      </c>
      <c r="L2615" s="1243">
        <v>0</v>
      </c>
      <c r="M2615" s="1243">
        <f>F2615</f>
        <v>-524944.83527071134</v>
      </c>
      <c r="N2615" s="1243">
        <f>'WPB-2.1.D SMRP'!N1032</f>
        <v>-264217.21450967807</v>
      </c>
      <c r="O2615" s="1243">
        <f>I2615+K2615+L2615+M2615+N2615</f>
        <v>-10744085.890568867</v>
      </c>
    </row>
    <row r="2616" spans="1:15">
      <c r="A2616" s="361">
        <f t="shared" si="478"/>
        <v>27</v>
      </c>
      <c r="B2616" s="365">
        <v>382</v>
      </c>
      <c r="C2616" s="358" t="s">
        <v>1778</v>
      </c>
      <c r="D2616" s="1243">
        <f>G2502</f>
        <v>191222.73199950485</v>
      </c>
      <c r="E2616" s="1243">
        <f>'WPB-2.1.D SMRP'!E1033</f>
        <v>14809.990125341212</v>
      </c>
      <c r="F2616" s="1243">
        <f>'WPB-2.1.D SMRP'!F1033</f>
        <v>-3076.4472412953423</v>
      </c>
      <c r="G2616" s="1243">
        <f>SUM(D2616:F2616)</f>
        <v>202956.27488355074</v>
      </c>
      <c r="H2616" s="1243"/>
      <c r="I2616" s="1243">
        <f>O2502</f>
        <v>-72105.770000495133</v>
      </c>
      <c r="J2616" s="376">
        <f>$J$1704</f>
        <v>1.77E-2</v>
      </c>
      <c r="K2616" s="1243">
        <f>'WPB-2.1.D SMRP'!K1033</f>
        <v>290.65300000000002</v>
      </c>
      <c r="L2616" s="1243">
        <v>0</v>
      </c>
      <c r="M2616" s="1243">
        <f>F2616</f>
        <v>-3076.4472412953423</v>
      </c>
      <c r="N2616" s="1243">
        <f>'WPB-2.1.D SMRP'!N1033</f>
        <v>0</v>
      </c>
      <c r="O2616" s="1243">
        <f>I2616+K2616+L2616+M2616+N2616</f>
        <v>-74891.564241790475</v>
      </c>
    </row>
    <row r="2617" spans="1:15">
      <c r="A2617" s="361">
        <f t="shared" si="478"/>
        <v>28</v>
      </c>
      <c r="B2617" s="365">
        <v>383</v>
      </c>
      <c r="C2617" s="358" t="s">
        <v>1779</v>
      </c>
      <c r="D2617" s="1244">
        <f>G2503</f>
        <v>114225.90102822951</v>
      </c>
      <c r="E2617" s="1244">
        <f>'WPB-2.1.D SMRP'!E1034</f>
        <v>14051.992559498034</v>
      </c>
      <c r="F2617" s="1244">
        <f>'WPB-2.1.D SMRP'!F1034</f>
        <v>-428.96557714444043</v>
      </c>
      <c r="G2617" s="1244">
        <f>SUM(D2617:F2617)</f>
        <v>127848.9280105831</v>
      </c>
      <c r="H2617" s="1243"/>
      <c r="I2617" s="1244">
        <f>O2503</f>
        <v>-8760.5228743536863</v>
      </c>
      <c r="J2617" s="376">
        <f>$J$1705</f>
        <v>1.9400000000000001E-2</v>
      </c>
      <c r="K2617" s="1244">
        <f>'WPB-2.1.D SMRP'!K1034</f>
        <v>196.012</v>
      </c>
      <c r="L2617" s="1244">
        <v>0</v>
      </c>
      <c r="M2617" s="1244">
        <f>F2617</f>
        <v>-428.96557714444043</v>
      </c>
      <c r="N2617" s="1244">
        <f>'WPB-2.1.D SMRP'!N1034</f>
        <v>0</v>
      </c>
      <c r="O2617" s="1244">
        <f>I2617+K2617+L2617+M2617+N2617</f>
        <v>-8993.4764514981252</v>
      </c>
    </row>
    <row r="2618" spans="1:15">
      <c r="A2618" s="361">
        <f t="shared" si="478"/>
        <v>29</v>
      </c>
      <c r="C2618" s="358" t="s">
        <v>1780</v>
      </c>
      <c r="D2618" s="1243">
        <f>SUM(D2613:D2617)</f>
        <v>68652692.521677524</v>
      </c>
      <c r="E2618" s="1243">
        <f>SUM(E2613:E2617)</f>
        <v>3142633.8471509386</v>
      </c>
      <c r="F2618" s="1243">
        <f>SUM(F2613:F2617)</f>
        <v>-604396.62110009068</v>
      </c>
      <c r="G2618" s="1243">
        <f>SUM(G2613:G2617)</f>
        <v>71190929.747728378</v>
      </c>
      <c r="H2618" s="1243"/>
      <c r="I2618" s="1243">
        <f>SUM(I2613:I2617)</f>
        <v>-10671825.211153159</v>
      </c>
      <c r="J2618" s="369"/>
      <c r="K2618" s="1243">
        <f>SUM(K2613:K2617)</f>
        <v>140781.07899999997</v>
      </c>
      <c r="L2618" s="1243">
        <f>SUM(L2613:L2617)</f>
        <v>0</v>
      </c>
      <c r="M2618" s="1243">
        <f>SUM(M2613:M2617)</f>
        <v>-604396.62110009068</v>
      </c>
      <c r="N2618" s="1243">
        <f>SUM(N2613:N2617)</f>
        <v>-279454.08925461385</v>
      </c>
      <c r="O2618" s="1243">
        <f>SUM(O2613:O2617)</f>
        <v>-11414894.842507865</v>
      </c>
    </row>
    <row r="2619" spans="1:15">
      <c r="A2619" s="361"/>
      <c r="D2619" s="1243"/>
      <c r="E2619" s="1243"/>
      <c r="F2619" s="1243"/>
      <c r="G2619" s="1243"/>
      <c r="H2619" s="1243"/>
      <c r="I2619" s="1243"/>
      <c r="J2619" s="369"/>
      <c r="K2619" s="1243"/>
      <c r="L2619" s="1243"/>
      <c r="M2619" s="1243"/>
      <c r="N2619" s="1243"/>
      <c r="O2619" s="1243"/>
    </row>
    <row r="2620" spans="1:15" ht="13.5" thickBot="1">
      <c r="A2620" s="361">
        <f>A2618+1</f>
        <v>30</v>
      </c>
      <c r="C2620" s="358" t="s">
        <v>447</v>
      </c>
      <c r="D2620" s="1248">
        <f>D2609+D2618</f>
        <v>825411584.21453381</v>
      </c>
      <c r="E2620" s="1248">
        <f>E2609+E2618</f>
        <v>5843871.2104320899</v>
      </c>
      <c r="F2620" s="1248">
        <f>F2609+F2618</f>
        <v>-1634321.04</v>
      </c>
      <c r="G2620" s="1248">
        <f>G2609+G2618</f>
        <v>829621134.38496566</v>
      </c>
      <c r="H2620" s="1243"/>
      <c r="I2620" s="1248">
        <f>I2609+I2618</f>
        <v>172988341.63692442</v>
      </c>
      <c r="J2620" s="369"/>
      <c r="K2620" s="1248">
        <f>K2609+K2618</f>
        <v>1972368.4396689641</v>
      </c>
      <c r="L2620" s="1248">
        <f>L2609+L2618</f>
        <v>0</v>
      </c>
      <c r="M2620" s="1248">
        <f>M2609+M2618</f>
        <v>-1634321.04</v>
      </c>
      <c r="N2620" s="1248">
        <f>N2609+N2618</f>
        <v>-276333.07000000007</v>
      </c>
      <c r="O2620" s="1248">
        <f>O2609+O2618</f>
        <v>173050055.96659338</v>
      </c>
    </row>
    <row r="2621" spans="1:15" ht="13.5" thickTop="1"/>
    <row r="2623" spans="1:15" s="291" customFormat="1">
      <c r="A2623" s="1308" t="str">
        <f>$A$1</f>
        <v>COLUMBIA GAS OF KENTUCKY, INC.</v>
      </c>
      <c r="B2623" s="1308"/>
      <c r="C2623" s="1308"/>
      <c r="D2623" s="1308"/>
      <c r="E2623" s="1308"/>
      <c r="F2623" s="1308"/>
      <c r="G2623" s="1308"/>
      <c r="H2623" s="1308"/>
      <c r="I2623" s="1308"/>
      <c r="J2623" s="1308"/>
      <c r="K2623" s="1308"/>
      <c r="L2623" s="1308"/>
      <c r="M2623" s="1308"/>
      <c r="N2623" s="1308"/>
      <c r="O2623" s="1308"/>
    </row>
    <row r="2624" spans="1:15" s="291" customFormat="1">
      <c r="A2624" s="1308" t="str">
        <f>$A$2</f>
        <v>CASE NO. 2024 - 00092</v>
      </c>
      <c r="B2624" s="1308"/>
      <c r="C2624" s="1308"/>
      <c r="D2624" s="1308"/>
      <c r="E2624" s="1308"/>
      <c r="F2624" s="1308"/>
      <c r="G2624" s="1308"/>
      <c r="H2624" s="1308"/>
      <c r="I2624" s="1308"/>
      <c r="J2624" s="1308"/>
      <c r="K2624" s="1308"/>
      <c r="L2624" s="1308"/>
      <c r="M2624" s="1308"/>
      <c r="N2624" s="1308"/>
      <c r="O2624" s="1308"/>
    </row>
    <row r="2625" spans="1:16" s="291" customFormat="1">
      <c r="A2625" s="1308" t="str">
        <f>$A$3</f>
        <v>DETAIL OF ACTUAL &amp; FORECASTED PLANT, ACCUMULATED RESERVE &amp; DEPRECIATION EXPENSE</v>
      </c>
      <c r="B2625" s="1308"/>
      <c r="C2625" s="1308"/>
      <c r="D2625" s="1308"/>
      <c r="E2625" s="1308"/>
      <c r="F2625" s="1308"/>
      <c r="G2625" s="1308"/>
      <c r="H2625" s="1308"/>
      <c r="I2625" s="1308"/>
      <c r="J2625" s="1308"/>
      <c r="K2625" s="1308"/>
      <c r="L2625" s="1308"/>
      <c r="M2625" s="1308"/>
      <c r="N2625" s="1308"/>
      <c r="O2625" s="1308"/>
      <c r="P2625" s="357"/>
    </row>
    <row r="2626" spans="1:16" s="291" customFormat="1">
      <c r="A2626" s="1308" t="str">
        <f>$A$4</f>
        <v>FROM JANUARY 01, 2023 THROUGH DECEMBER 31, 2025</v>
      </c>
      <c r="B2626" s="1308"/>
      <c r="C2626" s="1308"/>
      <c r="D2626" s="1308"/>
      <c r="E2626" s="1308"/>
      <c r="F2626" s="1308"/>
      <c r="G2626" s="1308"/>
      <c r="H2626" s="1308"/>
      <c r="I2626" s="1308"/>
      <c r="J2626" s="1308"/>
      <c r="K2626" s="1308"/>
      <c r="L2626" s="1308"/>
      <c r="M2626" s="1308"/>
      <c r="N2626" s="1308"/>
      <c r="O2626" s="1308"/>
    </row>
    <row r="2627" spans="1:16" s="291" customFormat="1">
      <c r="B2627" s="293"/>
      <c r="P2627" s="312"/>
    </row>
    <row r="2628" spans="1:16" s="291" customFormat="1">
      <c r="A2628" s="297" t="str">
        <f>$A$6</f>
        <v xml:space="preserve">DATA: _X_ BASE PERIOD _X_ FORECASTED PERIOD     </v>
      </c>
      <c r="B2628" s="293"/>
      <c r="O2628" s="312" t="str">
        <f>$O$6</f>
        <v>WPB-2.1.C</v>
      </c>
      <c r="P2628" s="312"/>
    </row>
    <row r="2629" spans="1:16" s="291" customFormat="1">
      <c r="A2629" s="297" t="str">
        <f>$A$7</f>
        <v>TYPE OF FILING:___X___ORIGINAL______UPDATED</v>
      </c>
      <c r="B2629" s="293"/>
      <c r="O2629" s="312" t="s">
        <v>2176</v>
      </c>
      <c r="P2629" s="312"/>
    </row>
    <row r="2630" spans="1:16" s="291" customFormat="1">
      <c r="A2630" s="297" t="str">
        <f>$A$8</f>
        <v>WORKPAPER REFERENCE NO(S).:</v>
      </c>
      <c r="B2630" s="293"/>
      <c r="O2630" s="312" t="str">
        <f>$O$8</f>
        <v>WITNESS: GORE</v>
      </c>
    </row>
    <row r="2631" spans="1:16">
      <c r="A2631" s="918"/>
      <c r="B2631" s="919"/>
      <c r="C2631" s="918"/>
      <c r="D2631" s="918"/>
      <c r="E2631" s="918"/>
      <c r="F2631" s="918"/>
      <c r="G2631" s="918"/>
      <c r="H2631" s="918"/>
      <c r="I2631" s="918"/>
      <c r="J2631" s="918"/>
      <c r="K2631" s="918"/>
      <c r="L2631" s="918"/>
      <c r="M2631" s="918"/>
      <c r="N2631" s="918"/>
      <c r="O2631" s="920"/>
    </row>
    <row r="2632" spans="1:16">
      <c r="D2632" s="1311" t="s">
        <v>1768</v>
      </c>
      <c r="E2632" s="1311"/>
      <c r="F2632" s="1311"/>
      <c r="G2632" s="1311"/>
      <c r="I2632" s="1311" t="s">
        <v>1769</v>
      </c>
      <c r="J2632" s="1311"/>
      <c r="K2632" s="1311"/>
      <c r="L2632" s="1311"/>
      <c r="M2632" s="1311"/>
      <c r="N2632" s="1311"/>
      <c r="O2632" s="1311"/>
    </row>
    <row r="2633" spans="1:16">
      <c r="D2633" s="360">
        <f>G2578+1</f>
        <v>45627</v>
      </c>
      <c r="G2633" s="360">
        <f>D2633+30</f>
        <v>45657</v>
      </c>
      <c r="I2633" s="360">
        <f>D2633</f>
        <v>45627</v>
      </c>
      <c r="O2633" s="360">
        <f>G2633</f>
        <v>45657</v>
      </c>
    </row>
    <row r="2634" spans="1:16">
      <c r="D2634" s="361" t="s">
        <v>1757</v>
      </c>
      <c r="G2634" s="361" t="s">
        <v>1757</v>
      </c>
      <c r="I2634" s="361" t="s">
        <v>1758</v>
      </c>
      <c r="J2634" s="361" t="s">
        <v>488</v>
      </c>
      <c r="L2634" s="361" t="s">
        <v>1758</v>
      </c>
      <c r="O2634" s="361" t="s">
        <v>1758</v>
      </c>
    </row>
    <row r="2635" spans="1:16">
      <c r="A2635" s="361" t="s">
        <v>1770</v>
      </c>
      <c r="B2635" s="361" t="s">
        <v>368</v>
      </c>
      <c r="C2635" s="361"/>
      <c r="D2635" s="361" t="s">
        <v>437</v>
      </c>
      <c r="G2635" s="361" t="s">
        <v>439</v>
      </c>
      <c r="I2635" s="361" t="s">
        <v>437</v>
      </c>
      <c r="J2635" s="361" t="s">
        <v>1771</v>
      </c>
      <c r="K2635" s="361" t="s">
        <v>1772</v>
      </c>
      <c r="L2635" s="361" t="s">
        <v>1759</v>
      </c>
      <c r="N2635" s="361" t="s">
        <v>1760</v>
      </c>
      <c r="O2635" s="361" t="s">
        <v>439</v>
      </c>
    </row>
    <row r="2636" spans="1:16">
      <c r="A2636" s="364" t="s">
        <v>316</v>
      </c>
      <c r="B2636" s="364" t="s">
        <v>316</v>
      </c>
      <c r="C2636" s="364" t="s">
        <v>451</v>
      </c>
      <c r="D2636" s="364" t="s">
        <v>441</v>
      </c>
      <c r="E2636" s="364" t="s">
        <v>442</v>
      </c>
      <c r="F2636" s="364" t="s">
        <v>443</v>
      </c>
      <c r="G2636" s="364" t="s">
        <v>441</v>
      </c>
      <c r="I2636" s="364" t="s">
        <v>441</v>
      </c>
      <c r="J2636" s="364" t="s">
        <v>1773</v>
      </c>
      <c r="K2636" s="364" t="s">
        <v>1771</v>
      </c>
      <c r="L2636" s="364" t="s">
        <v>355</v>
      </c>
      <c r="M2636" s="364" t="s">
        <v>443</v>
      </c>
      <c r="N2636" s="364" t="s">
        <v>1763</v>
      </c>
      <c r="O2636" s="364" t="s">
        <v>441</v>
      </c>
    </row>
    <row r="2637" spans="1:16">
      <c r="D2637" s="361" t="s">
        <v>532</v>
      </c>
      <c r="E2637" s="361" t="s">
        <v>541</v>
      </c>
      <c r="F2637" s="361" t="s">
        <v>542</v>
      </c>
      <c r="G2637" s="361" t="s">
        <v>1764</v>
      </c>
      <c r="I2637" s="334" t="str">
        <f>"(5)"</f>
        <v>(5)</v>
      </c>
      <c r="J2637" s="334" t="str">
        <f>"(6)"</f>
        <v>(6)</v>
      </c>
      <c r="K2637" s="334" t="str">
        <f>"(7)=((1+4)/2*6/12))"</f>
        <v>(7)=((1+4)/2*6/12))</v>
      </c>
      <c r="L2637" s="334" t="str">
        <f>"(8)"</f>
        <v>(8)</v>
      </c>
      <c r="M2637" s="334" t="str">
        <f>"(9)"</f>
        <v>(9)</v>
      </c>
      <c r="N2637" s="334" t="str">
        <f>"(10)"</f>
        <v>(10)</v>
      </c>
      <c r="O2637" s="334" t="str">
        <f>"(11=5+7+8+9+10)"</f>
        <v>(11=5+7+8+9+10)</v>
      </c>
    </row>
    <row r="2638" spans="1:16">
      <c r="D2638" s="361" t="s">
        <v>320</v>
      </c>
      <c r="E2638" s="361" t="s">
        <v>320</v>
      </c>
      <c r="F2638" s="361" t="s">
        <v>320</v>
      </c>
      <c r="G2638" s="361" t="s">
        <v>320</v>
      </c>
      <c r="I2638" s="334" t="s">
        <v>320</v>
      </c>
      <c r="J2638" s="334" t="s">
        <v>529</v>
      </c>
      <c r="K2638" s="334" t="s">
        <v>320</v>
      </c>
      <c r="L2638" s="334" t="s">
        <v>320</v>
      </c>
      <c r="M2638" s="334" t="s">
        <v>320</v>
      </c>
      <c r="N2638" s="334" t="s">
        <v>320</v>
      </c>
      <c r="O2638" s="334" t="s">
        <v>320</v>
      </c>
    </row>
    <row r="2639" spans="1:16">
      <c r="A2639" s="361">
        <v>1</v>
      </c>
      <c r="B2639" s="362" t="s">
        <v>373</v>
      </c>
      <c r="D2639" s="361"/>
      <c r="E2639" s="361"/>
      <c r="F2639" s="361"/>
      <c r="G2639" s="361"/>
      <c r="I2639" s="334"/>
      <c r="J2639" s="334"/>
      <c r="K2639" s="334"/>
      <c r="L2639" s="334"/>
      <c r="M2639" s="334"/>
      <c r="N2639" s="334"/>
      <c r="O2639" s="334"/>
    </row>
    <row r="2640" spans="1:16">
      <c r="A2640" s="361">
        <f>A2639+1</f>
        <v>2</v>
      </c>
      <c r="B2640" s="365">
        <v>301</v>
      </c>
      <c r="C2640" s="358" t="s">
        <v>374</v>
      </c>
      <c r="D2640" s="1243">
        <f t="shared" ref="D2640:D2645" si="479">G2526</f>
        <v>521.20000000000005</v>
      </c>
      <c r="E2640" s="1243">
        <v>0</v>
      </c>
      <c r="F2640" s="1243">
        <v>0</v>
      </c>
      <c r="G2640" s="1243">
        <f t="shared" ref="G2640:G2645" si="480">SUM(D2640:F2640)</f>
        <v>521.20000000000005</v>
      </c>
      <c r="H2640" s="1243"/>
      <c r="I2640" s="1243">
        <f t="shared" ref="I2640:I2645" si="481">O2526</f>
        <v>0</v>
      </c>
      <c r="J2640" s="375" t="str">
        <f>$J$1614</f>
        <v>Amort.</v>
      </c>
      <c r="K2640" s="1243">
        <v>0</v>
      </c>
      <c r="L2640" s="1243">
        <v>0</v>
      </c>
      <c r="M2640" s="1243">
        <f t="shared" ref="M2640:M2645" si="482">F2640</f>
        <v>0</v>
      </c>
      <c r="N2640" s="1243">
        <v>0</v>
      </c>
      <c r="O2640" s="1243">
        <f t="shared" ref="O2640:O2645" si="483">I2640+K2640+L2640+M2640+N2640</f>
        <v>0</v>
      </c>
    </row>
    <row r="2641" spans="1:15">
      <c r="A2641" s="361">
        <f t="shared" ref="A2641:A2646" si="484">A2640+1</f>
        <v>3</v>
      </c>
      <c r="B2641" s="365">
        <v>303</v>
      </c>
      <c r="C2641" s="358" t="s">
        <v>375</v>
      </c>
      <c r="D2641" s="1243">
        <f t="shared" si="479"/>
        <v>96334.51</v>
      </c>
      <c r="E2641" s="1243">
        <v>0</v>
      </c>
      <c r="F2641" s="1243">
        <v>0</v>
      </c>
      <c r="G2641" s="1243">
        <f t="shared" si="480"/>
        <v>96334.51</v>
      </c>
      <c r="H2641" s="1243"/>
      <c r="I2641" s="1243">
        <f t="shared" si="481"/>
        <v>81805.945861111206</v>
      </c>
      <c r="J2641" s="375" t="str">
        <f>$J$1615</f>
        <v>Amort.</v>
      </c>
      <c r="K2641" s="1243">
        <f>+'WPB-2.1.E Intangibles'!P47</f>
        <v>267.59780555555557</v>
      </c>
      <c r="L2641" s="1243">
        <v>0</v>
      </c>
      <c r="M2641" s="1243">
        <f t="shared" si="482"/>
        <v>0</v>
      </c>
      <c r="N2641" s="1243">
        <v>0</v>
      </c>
      <c r="O2641" s="1243">
        <f t="shared" si="483"/>
        <v>82073.543666666767</v>
      </c>
    </row>
    <row r="2642" spans="1:15">
      <c r="A2642" s="361">
        <f t="shared" si="484"/>
        <v>4</v>
      </c>
      <c r="B2642" s="365">
        <v>303.10000000000002</v>
      </c>
      <c r="C2642" s="358" t="s">
        <v>376</v>
      </c>
      <c r="D2642" s="1243">
        <f t="shared" si="479"/>
        <v>943.27</v>
      </c>
      <c r="E2642" s="1243">
        <v>0</v>
      </c>
      <c r="F2642" s="1243">
        <v>0</v>
      </c>
      <c r="G2642" s="1243">
        <f t="shared" si="480"/>
        <v>943.27</v>
      </c>
      <c r="H2642" s="1243"/>
      <c r="I2642" s="1243">
        <f t="shared" si="481"/>
        <v>318.35000000000008</v>
      </c>
      <c r="J2642" s="375" t="str">
        <f>$J$1616</f>
        <v>Amort.</v>
      </c>
      <c r="K2642" s="1243">
        <v>0</v>
      </c>
      <c r="L2642" s="1243">
        <v>0</v>
      </c>
      <c r="M2642" s="1243">
        <f t="shared" si="482"/>
        <v>0</v>
      </c>
      <c r="N2642" s="1243">
        <v>0</v>
      </c>
      <c r="O2642" s="1243">
        <f t="shared" si="483"/>
        <v>318.35000000000008</v>
      </c>
    </row>
    <row r="2643" spans="1:15">
      <c r="A2643" s="361">
        <f t="shared" si="484"/>
        <v>5</v>
      </c>
      <c r="B2643" s="365">
        <v>303.2</v>
      </c>
      <c r="C2643" s="358" t="s">
        <v>377</v>
      </c>
      <c r="D2643" s="1243">
        <f t="shared" si="479"/>
        <v>0</v>
      </c>
      <c r="E2643" s="1243">
        <v>0</v>
      </c>
      <c r="F2643" s="1243">
        <v>0</v>
      </c>
      <c r="G2643" s="1243">
        <f t="shared" si="480"/>
        <v>0</v>
      </c>
      <c r="H2643" s="1243"/>
      <c r="I2643" s="1243">
        <f t="shared" si="481"/>
        <v>0</v>
      </c>
      <c r="J2643" s="375" t="str">
        <f>$J$1617</f>
        <v>Amort.</v>
      </c>
      <c r="K2643" s="1243">
        <v>0</v>
      </c>
      <c r="L2643" s="1243">
        <v>0</v>
      </c>
      <c r="M2643" s="1243">
        <f t="shared" si="482"/>
        <v>0</v>
      </c>
      <c r="N2643" s="1243">
        <v>0</v>
      </c>
      <c r="O2643" s="1243">
        <f t="shared" si="483"/>
        <v>0</v>
      </c>
    </row>
    <row r="2644" spans="1:15">
      <c r="A2644" s="361">
        <f t="shared" si="484"/>
        <v>6</v>
      </c>
      <c r="B2644" s="365">
        <v>303.3</v>
      </c>
      <c r="C2644" s="358" t="s">
        <v>378</v>
      </c>
      <c r="D2644" s="1243">
        <f t="shared" si="479"/>
        <v>13127240.330000004</v>
      </c>
      <c r="E2644" s="1243">
        <f>+'WPB-2.1.E Intangibles'!P17</f>
        <v>721090</v>
      </c>
      <c r="F2644" s="1243">
        <f>-'WPB-2.1.E Intangibles'!P35</f>
        <v>-149532.32</v>
      </c>
      <c r="G2644" s="1243">
        <f t="shared" si="480"/>
        <v>13698798.010000004</v>
      </c>
      <c r="H2644" s="1243"/>
      <c r="I2644" s="1243">
        <f t="shared" si="481"/>
        <v>5794708.4656666713</v>
      </c>
      <c r="J2644" s="375" t="str">
        <f>$J$1618</f>
        <v>Amort.</v>
      </c>
      <c r="K2644" s="1243">
        <f>+'WPB-2.1.E Intangibles'!P48</f>
        <v>227150.31233333345</v>
      </c>
      <c r="L2644" s="1243">
        <v>0</v>
      </c>
      <c r="M2644" s="1243">
        <f t="shared" si="482"/>
        <v>-149532.32</v>
      </c>
      <c r="N2644" s="1243">
        <v>0</v>
      </c>
      <c r="O2644" s="1243">
        <f t="shared" si="483"/>
        <v>5872326.4580000043</v>
      </c>
    </row>
    <row r="2645" spans="1:15">
      <c r="A2645" s="361">
        <f t="shared" si="484"/>
        <v>7</v>
      </c>
      <c r="B2645" s="365">
        <v>303.99</v>
      </c>
      <c r="C2645" s="358" t="s">
        <v>1129</v>
      </c>
      <c r="D2645" s="1244">
        <f t="shared" si="479"/>
        <v>2006973.9949656641</v>
      </c>
      <c r="E2645" s="1244">
        <f>+'WPB-2.1.E Intangibles'!P21</f>
        <v>19175.777584525305</v>
      </c>
      <c r="F2645" s="1244">
        <f>-'WPB-2.1.E Intangibles'!P36</f>
        <v>0</v>
      </c>
      <c r="G2645" s="1244">
        <f t="shared" si="480"/>
        <v>2026149.7725501894</v>
      </c>
      <c r="H2645" s="1243"/>
      <c r="I2645" s="1244">
        <f t="shared" si="481"/>
        <v>1121848.2040655199</v>
      </c>
      <c r="J2645" s="375" t="str">
        <f>$J$1619</f>
        <v>Amort.</v>
      </c>
      <c r="K2645" s="1244">
        <f>+'WPB-2.1.E Intangibles'!P49</f>
        <v>33826.082596880144</v>
      </c>
      <c r="L2645" s="1244">
        <v>0</v>
      </c>
      <c r="M2645" s="1244">
        <f t="shared" si="482"/>
        <v>0</v>
      </c>
      <c r="N2645" s="1244">
        <v>0</v>
      </c>
      <c r="O2645" s="1244">
        <f t="shared" si="483"/>
        <v>1155674.2866624</v>
      </c>
    </row>
    <row r="2646" spans="1:15">
      <c r="A2646" s="361">
        <f t="shared" si="484"/>
        <v>8</v>
      </c>
      <c r="B2646" s="367"/>
      <c r="C2646" s="358" t="s">
        <v>379</v>
      </c>
      <c r="D2646" s="1243">
        <f>SUM(D2640:D2645)</f>
        <v>15232013.304965667</v>
      </c>
      <c r="E2646" s="1243">
        <f>SUM(E2640:E2645)</f>
        <v>740265.77758452529</v>
      </c>
      <c r="F2646" s="1243">
        <f>SUM(F2640:F2645)</f>
        <v>-149532.32</v>
      </c>
      <c r="G2646" s="1243">
        <f>SUM(G2640:G2645)</f>
        <v>15822746.762550194</v>
      </c>
      <c r="H2646" s="1243"/>
      <c r="I2646" s="1243">
        <f>SUM(I2640:I2645)</f>
        <v>6998680.9655933026</v>
      </c>
      <c r="J2646" s="369"/>
      <c r="K2646" s="1243">
        <f>SUM(K2640:K2645)</f>
        <v>261243.99273576916</v>
      </c>
      <c r="L2646" s="1243">
        <f>SUM(L2640:L2645)</f>
        <v>0</v>
      </c>
      <c r="M2646" s="1243">
        <f>SUM(M2640:M2645)</f>
        <v>-149532.32</v>
      </c>
      <c r="N2646" s="1243">
        <f>SUM(N2640:N2645)</f>
        <v>0</v>
      </c>
      <c r="O2646" s="1243">
        <f>SUM(O2640:O2645)</f>
        <v>7110392.638329071</v>
      </c>
    </row>
    <row r="2647" spans="1:15">
      <c r="A2647" s="361"/>
      <c r="B2647" s="367"/>
      <c r="C2647" s="368"/>
      <c r="D2647" s="1243"/>
      <c r="E2647" s="1243"/>
      <c r="F2647" s="1243"/>
      <c r="G2647" s="1243"/>
      <c r="H2647" s="1243"/>
      <c r="I2647" s="1243"/>
      <c r="J2647" s="369"/>
      <c r="K2647" s="1243"/>
      <c r="L2647" s="1243"/>
      <c r="M2647" s="1243"/>
      <c r="N2647" s="1243"/>
      <c r="O2647" s="1243"/>
    </row>
    <row r="2648" spans="1:15">
      <c r="A2648" s="361">
        <f>A2646+1</f>
        <v>9</v>
      </c>
      <c r="B2648" s="362" t="s">
        <v>1600</v>
      </c>
      <c r="C2648" s="368"/>
      <c r="D2648" s="1243"/>
      <c r="E2648" s="1243"/>
      <c r="F2648" s="1243"/>
      <c r="G2648" s="1243"/>
      <c r="H2648" s="1243"/>
      <c r="I2648" s="1243"/>
      <c r="J2648" s="369"/>
      <c r="K2648" s="1243"/>
      <c r="L2648" s="1243"/>
      <c r="M2648" s="1243"/>
      <c r="N2648" s="1243"/>
      <c r="O2648" s="1243"/>
    </row>
    <row r="2649" spans="1:15">
      <c r="A2649" s="361">
        <f t="shared" ref="A2649:A2679" si="485">A2648+1</f>
        <v>10</v>
      </c>
      <c r="B2649" s="365">
        <v>374.1</v>
      </c>
      <c r="C2649" s="358" t="s">
        <v>382</v>
      </c>
      <c r="D2649" s="1243">
        <f t="shared" ref="D2649:D2678" si="486">G2535</f>
        <v>205.4</v>
      </c>
      <c r="E2649" s="1243">
        <f>+'INPUT - B Schedule PLANT'!DX15</f>
        <v>0</v>
      </c>
      <c r="F2649" s="1243">
        <f>+'INPUT - B Schedule PLANT'!DY15</f>
        <v>0</v>
      </c>
      <c r="G2649" s="1243">
        <f>SUM(D2649:F2649)</f>
        <v>205.4</v>
      </c>
      <c r="H2649" s="1243"/>
      <c r="I2649" s="1243">
        <f t="shared" ref="I2649:I2678" si="487">O2535</f>
        <v>0</v>
      </c>
      <c r="J2649" s="375" t="str">
        <f>$J$1623</f>
        <v>Non-Dep.</v>
      </c>
      <c r="K2649" s="1243">
        <v>0</v>
      </c>
      <c r="L2649" s="1243">
        <v>0</v>
      </c>
      <c r="M2649" s="1243">
        <f t="shared" ref="M2649:M2678" si="488">F2649</f>
        <v>0</v>
      </c>
      <c r="N2649" s="1243">
        <v>0</v>
      </c>
      <c r="O2649" s="1243">
        <f t="shared" ref="O2649:O2678" si="489">I2649+K2649+L2649+M2649+N2649</f>
        <v>0</v>
      </c>
    </row>
    <row r="2650" spans="1:15">
      <c r="A2650" s="361">
        <f t="shared" si="485"/>
        <v>11</v>
      </c>
      <c r="B2650" s="365">
        <v>374.2</v>
      </c>
      <c r="C2650" s="358" t="s">
        <v>383</v>
      </c>
      <c r="D2650" s="1243">
        <f t="shared" si="486"/>
        <v>876986.66</v>
      </c>
      <c r="E2650" s="1243">
        <f>+'INPUT - B Schedule PLANT'!DX16</f>
        <v>0</v>
      </c>
      <c r="F2650" s="1243">
        <f>+'INPUT - B Schedule PLANT'!DY16</f>
        <v>0</v>
      </c>
      <c r="G2650" s="1243">
        <f t="shared" ref="G2650:G2678" si="490">SUM(D2650:F2650)</f>
        <v>876986.66</v>
      </c>
      <c r="H2650" s="1243"/>
      <c r="I2650" s="1243">
        <f t="shared" si="487"/>
        <v>-522.25</v>
      </c>
      <c r="J2650" s="375" t="str">
        <f>$J$1624</f>
        <v>Non-Dep.</v>
      </c>
      <c r="K2650" s="1243">
        <v>0</v>
      </c>
      <c r="L2650" s="1243">
        <v>0</v>
      </c>
      <c r="M2650" s="1243">
        <f t="shared" si="488"/>
        <v>0</v>
      </c>
      <c r="N2650" s="1243">
        <v>0</v>
      </c>
      <c r="O2650" s="1243">
        <f t="shared" si="489"/>
        <v>-522.25</v>
      </c>
    </row>
    <row r="2651" spans="1:15">
      <c r="A2651" s="361">
        <f t="shared" si="485"/>
        <v>12</v>
      </c>
      <c r="B2651" s="365">
        <v>374.4</v>
      </c>
      <c r="C2651" s="358" t="s">
        <v>384</v>
      </c>
      <c r="D2651" s="1243">
        <f t="shared" si="486"/>
        <v>3109760.8200000003</v>
      </c>
      <c r="E2651" s="1243">
        <f>+'INPUT - B Schedule PLANT'!DX17</f>
        <v>28613.16</v>
      </c>
      <c r="F2651" s="1243">
        <f>+'INPUT - B Schedule PLANT'!DY17</f>
        <v>0</v>
      </c>
      <c r="G2651" s="1243">
        <f t="shared" si="490"/>
        <v>3138373.9800000004</v>
      </c>
      <c r="H2651" s="1243"/>
      <c r="I2651" s="1243">
        <f t="shared" si="487"/>
        <v>396530.59</v>
      </c>
      <c r="J2651" s="376">
        <f>$J$1625</f>
        <v>1.2699999999999999E-2</v>
      </c>
      <c r="K2651" s="1243">
        <f t="shared" ref="K2651:K2657" si="491">ROUND((G2651+D2651)/2*J2651/12,0)</f>
        <v>3306</v>
      </c>
      <c r="L2651" s="1243">
        <v>0</v>
      </c>
      <c r="M2651" s="1243">
        <f t="shared" si="488"/>
        <v>0</v>
      </c>
      <c r="N2651" s="1243">
        <v>0</v>
      </c>
      <c r="O2651" s="1243">
        <f t="shared" si="489"/>
        <v>399836.59</v>
      </c>
    </row>
    <row r="2652" spans="1:15">
      <c r="A2652" s="361">
        <f t="shared" si="485"/>
        <v>13</v>
      </c>
      <c r="B2652" s="365">
        <v>374.5</v>
      </c>
      <c r="C2652" s="358" t="s">
        <v>385</v>
      </c>
      <c r="D2652" s="1243">
        <f t="shared" si="486"/>
        <v>2666577.16</v>
      </c>
      <c r="E2652" s="1243">
        <f>+'INPUT - B Schedule PLANT'!DX18</f>
        <v>0</v>
      </c>
      <c r="F2652" s="1243">
        <f>+'INPUT - B Schedule PLANT'!DY18</f>
        <v>0</v>
      </c>
      <c r="G2652" s="1243">
        <f t="shared" si="490"/>
        <v>2666577.16</v>
      </c>
      <c r="H2652" s="1243"/>
      <c r="I2652" s="1243">
        <f t="shared" si="487"/>
        <v>1183184.1900000013</v>
      </c>
      <c r="J2652" s="376">
        <f>$J$1626</f>
        <v>1.0999999999999999E-2</v>
      </c>
      <c r="K2652" s="1243">
        <f t="shared" si="491"/>
        <v>2444</v>
      </c>
      <c r="L2652" s="1243">
        <v>0</v>
      </c>
      <c r="M2652" s="1243">
        <f t="shared" si="488"/>
        <v>0</v>
      </c>
      <c r="N2652" s="1243">
        <v>0</v>
      </c>
      <c r="O2652" s="1243">
        <f t="shared" si="489"/>
        <v>1185628.1900000013</v>
      </c>
    </row>
    <row r="2653" spans="1:15">
      <c r="A2653" s="361">
        <f t="shared" si="485"/>
        <v>14</v>
      </c>
      <c r="B2653" s="365">
        <v>375.2</v>
      </c>
      <c r="C2653" s="358" t="s">
        <v>386</v>
      </c>
      <c r="D2653" s="1243">
        <f t="shared" si="486"/>
        <v>2124.98</v>
      </c>
      <c r="E2653" s="1243">
        <f>+'INPUT - B Schedule PLANT'!DX19</f>
        <v>0</v>
      </c>
      <c r="F2653" s="1243">
        <f>+'INPUT - B Schedule PLANT'!DY19</f>
        <v>0</v>
      </c>
      <c r="G2653" s="1243">
        <f t="shared" si="490"/>
        <v>2124.98</v>
      </c>
      <c r="H2653" s="1243"/>
      <c r="I2653" s="1243">
        <f t="shared" si="487"/>
        <v>2099.3000000000002</v>
      </c>
      <c r="J2653" s="376">
        <f>$J$1627</f>
        <v>2.3199999999999998E-2</v>
      </c>
      <c r="K2653" s="1243">
        <f t="shared" si="491"/>
        <v>4</v>
      </c>
      <c r="L2653" s="1243">
        <v>0</v>
      </c>
      <c r="M2653" s="1243">
        <f t="shared" si="488"/>
        <v>0</v>
      </c>
      <c r="N2653" s="1243">
        <v>0</v>
      </c>
      <c r="O2653" s="1243">
        <f t="shared" si="489"/>
        <v>2103.3000000000002</v>
      </c>
    </row>
    <row r="2654" spans="1:15">
      <c r="A2654" s="361">
        <f t="shared" si="485"/>
        <v>15</v>
      </c>
      <c r="B2654" s="365">
        <v>375.3</v>
      </c>
      <c r="C2654" s="358" t="s">
        <v>387</v>
      </c>
      <c r="D2654" s="1243">
        <f t="shared" si="486"/>
        <v>0</v>
      </c>
      <c r="E2654" s="1243">
        <f>+'INPUT - B Schedule PLANT'!DX20</f>
        <v>0</v>
      </c>
      <c r="F2654" s="1243">
        <f>+'INPUT - B Schedule PLANT'!DY20</f>
        <v>0</v>
      </c>
      <c r="G2654" s="1243">
        <f t="shared" si="490"/>
        <v>0</v>
      </c>
      <c r="H2654" s="1243"/>
      <c r="I2654" s="1243">
        <f t="shared" si="487"/>
        <v>-77.66</v>
      </c>
      <c r="J2654" s="376">
        <f>$J$1628</f>
        <v>2.3199999999999998E-2</v>
      </c>
      <c r="K2654" s="1243">
        <f t="shared" si="491"/>
        <v>0</v>
      </c>
      <c r="L2654" s="1243">
        <v>0</v>
      </c>
      <c r="M2654" s="1243">
        <f t="shared" si="488"/>
        <v>0</v>
      </c>
      <c r="N2654" s="1243">
        <v>0</v>
      </c>
      <c r="O2654" s="1243">
        <f t="shared" si="489"/>
        <v>-77.66</v>
      </c>
    </row>
    <row r="2655" spans="1:15">
      <c r="A2655" s="361">
        <f t="shared" si="485"/>
        <v>16</v>
      </c>
      <c r="B2655" s="365">
        <v>375.4</v>
      </c>
      <c r="C2655" s="358" t="s">
        <v>388</v>
      </c>
      <c r="D2655" s="1243">
        <f t="shared" si="486"/>
        <v>3398868.4199999985</v>
      </c>
      <c r="E2655" s="1243">
        <f>+'INPUT - B Schedule PLANT'!DX21</f>
        <v>86144.78</v>
      </c>
      <c r="F2655" s="1243">
        <f>+'INPUT - B Schedule PLANT'!DY21</f>
        <v>-65223.360000000001</v>
      </c>
      <c r="G2655" s="1243">
        <f t="shared" si="490"/>
        <v>3419789.8399999985</v>
      </c>
      <c r="H2655" s="1243"/>
      <c r="I2655" s="1243">
        <f t="shared" si="487"/>
        <v>487108.39000000013</v>
      </c>
      <c r="J2655" s="376">
        <f>$J$1629</f>
        <v>2.3199999999999998E-2</v>
      </c>
      <c r="K2655" s="1243">
        <f t="shared" si="491"/>
        <v>6591</v>
      </c>
      <c r="L2655" s="1243">
        <v>0</v>
      </c>
      <c r="M2655" s="1243">
        <f t="shared" si="488"/>
        <v>-65223.360000000001</v>
      </c>
      <c r="N2655" s="1243">
        <v>0</v>
      </c>
      <c r="O2655" s="1243">
        <f t="shared" si="489"/>
        <v>428476.03000000014</v>
      </c>
    </row>
    <row r="2656" spans="1:15">
      <c r="A2656" s="361">
        <f t="shared" si="485"/>
        <v>17</v>
      </c>
      <c r="B2656" s="365">
        <v>375.6</v>
      </c>
      <c r="C2656" s="358" t="s">
        <v>389</v>
      </c>
      <c r="D2656" s="1243">
        <f t="shared" si="486"/>
        <v>0</v>
      </c>
      <c r="E2656" s="1243">
        <f>+'INPUT - B Schedule PLANT'!DX22</f>
        <v>0</v>
      </c>
      <c r="F2656" s="1243">
        <f>+'INPUT - B Schedule PLANT'!DY22</f>
        <v>0</v>
      </c>
      <c r="G2656" s="1243">
        <f t="shared" si="490"/>
        <v>0</v>
      </c>
      <c r="H2656" s="1243"/>
      <c r="I2656" s="1243">
        <f t="shared" si="487"/>
        <v>0.02</v>
      </c>
      <c r="J2656" s="376">
        <f>$J$1630</f>
        <v>2.3199999999999998E-2</v>
      </c>
      <c r="K2656" s="1243">
        <f t="shared" si="491"/>
        <v>0</v>
      </c>
      <c r="L2656" s="1243">
        <v>0</v>
      </c>
      <c r="M2656" s="1243">
        <f t="shared" si="488"/>
        <v>0</v>
      </c>
      <c r="N2656" s="1243">
        <v>0</v>
      </c>
      <c r="O2656" s="1243">
        <f t="shared" si="489"/>
        <v>0.02</v>
      </c>
    </row>
    <row r="2657" spans="1:15">
      <c r="A2657" s="361">
        <f t="shared" si="485"/>
        <v>18</v>
      </c>
      <c r="B2657" s="365">
        <v>375.7</v>
      </c>
      <c r="C2657" s="358" t="s">
        <v>390</v>
      </c>
      <c r="D2657" s="1243">
        <f t="shared" si="486"/>
        <v>9682080.5599999987</v>
      </c>
      <c r="E2657" s="1243">
        <f>+'INPUT - B Schedule PLANT'!DX23</f>
        <v>7105.02</v>
      </c>
      <c r="F2657" s="1243">
        <f>+'INPUT - B Schedule PLANT'!DY23</f>
        <v>-899.43</v>
      </c>
      <c r="G2657" s="1243">
        <f t="shared" si="490"/>
        <v>9688286.1499999985</v>
      </c>
      <c r="H2657" s="1243"/>
      <c r="I2657" s="1243">
        <f t="shared" si="487"/>
        <v>4893440.8199999984</v>
      </c>
      <c r="J2657" s="376">
        <f>$J$1631</f>
        <v>2.3199999999999998E-2</v>
      </c>
      <c r="K2657" s="1243">
        <f t="shared" si="491"/>
        <v>18725</v>
      </c>
      <c r="L2657" s="1243">
        <v>0</v>
      </c>
      <c r="M2657" s="1243">
        <f t="shared" si="488"/>
        <v>-899.43</v>
      </c>
      <c r="N2657" s="1243">
        <v>0</v>
      </c>
      <c r="O2657" s="1243">
        <f t="shared" si="489"/>
        <v>4911266.3899999987</v>
      </c>
    </row>
    <row r="2658" spans="1:15">
      <c r="A2658" s="361">
        <f t="shared" si="485"/>
        <v>19</v>
      </c>
      <c r="B2658" s="365">
        <v>375.71</v>
      </c>
      <c r="C2658" s="358" t="s">
        <v>391</v>
      </c>
      <c r="D2658" s="1243">
        <f t="shared" si="486"/>
        <v>880994.59</v>
      </c>
      <c r="E2658" s="1243">
        <f>+'INPUT - B Schedule PLANT'!DX24</f>
        <v>0</v>
      </c>
      <c r="F2658" s="1243">
        <f>+'INPUT - B Schedule PLANT'!DY24</f>
        <v>0</v>
      </c>
      <c r="G2658" s="1243">
        <f t="shared" si="490"/>
        <v>880994.59</v>
      </c>
      <c r="H2658" s="1243"/>
      <c r="I2658" s="1243">
        <f t="shared" si="487"/>
        <v>811142.06000000075</v>
      </c>
      <c r="J2658" s="375" t="str">
        <f>$J$1632</f>
        <v>Amort.</v>
      </c>
      <c r="K2658" s="1243">
        <f>$K$1290</f>
        <v>4743.54</v>
      </c>
      <c r="L2658" s="1243">
        <v>0</v>
      </c>
      <c r="M2658" s="1243">
        <f t="shared" si="488"/>
        <v>0</v>
      </c>
      <c r="N2658" s="1243">
        <v>0</v>
      </c>
      <c r="O2658" s="1243">
        <f t="shared" si="489"/>
        <v>815885.60000000079</v>
      </c>
    </row>
    <row r="2659" spans="1:15">
      <c r="A2659" s="361">
        <f t="shared" si="485"/>
        <v>20</v>
      </c>
      <c r="B2659" s="365">
        <v>375.8</v>
      </c>
      <c r="C2659" s="358" t="s">
        <v>392</v>
      </c>
      <c r="D2659" s="1243">
        <f t="shared" si="486"/>
        <v>132125.04</v>
      </c>
      <c r="E2659" s="1243">
        <f>+'INPUT - B Schedule PLANT'!DX25</f>
        <v>0</v>
      </c>
      <c r="F2659" s="1243">
        <f>+'INPUT - B Schedule PLANT'!DY25</f>
        <v>0</v>
      </c>
      <c r="G2659" s="1243">
        <f t="shared" si="490"/>
        <v>132125.04</v>
      </c>
      <c r="H2659" s="1243"/>
      <c r="I2659" s="1243">
        <f t="shared" si="487"/>
        <v>14293.43</v>
      </c>
      <c r="J2659" s="376">
        <f>$J$1633</f>
        <v>2.3199999999999998E-2</v>
      </c>
      <c r="K2659" s="1243">
        <f t="shared" ref="K2659:K2678" si="492">ROUND((G2659+D2659)/2*J2659/12,0)</f>
        <v>255</v>
      </c>
      <c r="L2659" s="1243">
        <v>0</v>
      </c>
      <c r="M2659" s="1243">
        <f t="shared" si="488"/>
        <v>0</v>
      </c>
      <c r="N2659" s="1243">
        <v>0</v>
      </c>
      <c r="O2659" s="1243">
        <f t="shared" si="489"/>
        <v>14548.43</v>
      </c>
    </row>
    <row r="2660" spans="1:15">
      <c r="A2660" s="361">
        <f t="shared" si="485"/>
        <v>21</v>
      </c>
      <c r="B2660" s="365">
        <v>376</v>
      </c>
      <c r="C2660" s="358" t="s">
        <v>1621</v>
      </c>
      <c r="D2660" s="1243">
        <f t="shared" si="486"/>
        <v>418913965.82911074</v>
      </c>
      <c r="E2660" s="1243">
        <f>'WPB-2.1.D SMRP'!E1085</f>
        <v>2783665.4410367478</v>
      </c>
      <c r="F2660" s="1243">
        <f>'WPB-2.1.D SMRP'!F1085</f>
        <v>-67856.413653793934</v>
      </c>
      <c r="G2660" s="1243">
        <f t="shared" si="490"/>
        <v>421629774.85649371</v>
      </c>
      <c r="H2660" s="1243"/>
      <c r="I2660" s="1243">
        <f t="shared" si="487"/>
        <v>85693206.042681307</v>
      </c>
      <c r="J2660" s="376">
        <f>$J$1634</f>
        <v>1.7399999999999999E-2</v>
      </c>
      <c r="K2660" s="1243">
        <f>'WPB-2.1.D SMRP'!K1085</f>
        <v>609393.85800000001</v>
      </c>
      <c r="L2660" s="1243">
        <v>0</v>
      </c>
      <c r="M2660" s="1243">
        <f>F2660</f>
        <v>-67856.413653793934</v>
      </c>
      <c r="N2660" s="1243">
        <f>'WPB-2.1.D SMRP'!N1085</f>
        <v>-6499.7429498217998</v>
      </c>
      <c r="O2660" s="1243">
        <f t="shared" si="489"/>
        <v>86228243.744077682</v>
      </c>
    </row>
    <row r="2661" spans="1:15">
      <c r="A2661" s="361">
        <f t="shared" si="485"/>
        <v>22</v>
      </c>
      <c r="B2661" s="365">
        <v>378.1</v>
      </c>
      <c r="C2661" s="358" t="s">
        <v>394</v>
      </c>
      <c r="D2661" s="1243">
        <f t="shared" si="486"/>
        <v>-157476</v>
      </c>
      <c r="E2661" s="1243">
        <f>+'INPUT - B Schedule PLANT'!DX27</f>
        <v>0</v>
      </c>
      <c r="F2661" s="1243">
        <f>+'INPUT - B Schedule PLANT'!DY27</f>
        <v>-14815.25</v>
      </c>
      <c r="G2661" s="1243">
        <f t="shared" si="490"/>
        <v>-172291.25</v>
      </c>
      <c r="H2661" s="1243"/>
      <c r="I2661" s="1243">
        <f t="shared" si="487"/>
        <v>-312458.27000000008</v>
      </c>
      <c r="J2661" s="376">
        <f>$J$1635</f>
        <v>2.52E-2</v>
      </c>
      <c r="K2661" s="1243">
        <f t="shared" si="492"/>
        <v>-346</v>
      </c>
      <c r="L2661" s="1243">
        <v>0</v>
      </c>
      <c r="M2661" s="1243">
        <f t="shared" si="488"/>
        <v>-14815.25</v>
      </c>
      <c r="N2661" s="1243">
        <v>0</v>
      </c>
      <c r="O2661" s="1243">
        <f t="shared" si="489"/>
        <v>-327619.52000000008</v>
      </c>
    </row>
    <row r="2662" spans="1:15">
      <c r="A2662" s="361">
        <f t="shared" si="485"/>
        <v>23</v>
      </c>
      <c r="B2662" s="365">
        <v>378.2</v>
      </c>
      <c r="C2662" s="358" t="s">
        <v>1622</v>
      </c>
      <c r="D2662" s="1243">
        <f t="shared" si="486"/>
        <v>27582289.775742486</v>
      </c>
      <c r="E2662" s="1243">
        <f>'WPB-2.1.D SMRP'!E1089</f>
        <v>173447.45515792133</v>
      </c>
      <c r="F2662" s="1243">
        <f>'WPB-2.1.D SMRP'!F1089</f>
        <v>8.9893651966121979E-3</v>
      </c>
      <c r="G2662" s="1243">
        <f t="shared" si="490"/>
        <v>27755737.239889771</v>
      </c>
      <c r="H2662" s="1243"/>
      <c r="I2662" s="1243">
        <f t="shared" si="487"/>
        <v>3733398.7285644868</v>
      </c>
      <c r="J2662" s="376">
        <f>$J$1636</f>
        <v>2.52E-2</v>
      </c>
      <c r="K2662" s="1243">
        <f>'WPB-2.1.D SMRP'!K1089</f>
        <v>58105.158000000003</v>
      </c>
      <c r="L2662" s="1243">
        <v>0</v>
      </c>
      <c r="M2662" s="1243">
        <f>F2662</f>
        <v>8.9893651966121979E-3</v>
      </c>
      <c r="N2662" s="1243">
        <f>'WPB-2.1.D SMRP'!N1089</f>
        <v>-20541.528012692506</v>
      </c>
      <c r="O2662" s="1243">
        <f t="shared" si="489"/>
        <v>3770962.3675411595</v>
      </c>
    </row>
    <row r="2663" spans="1:15">
      <c r="A2663" s="361">
        <f t="shared" si="485"/>
        <v>24</v>
      </c>
      <c r="B2663" s="365">
        <v>378.3</v>
      </c>
      <c r="C2663" s="358" t="s">
        <v>396</v>
      </c>
      <c r="D2663" s="1243">
        <f t="shared" si="486"/>
        <v>45443.08</v>
      </c>
      <c r="E2663" s="1243">
        <f>+'INPUT - B Schedule PLANT'!DX29</f>
        <v>0</v>
      </c>
      <c r="F2663" s="1243">
        <f>+'INPUT - B Schedule PLANT'!DY29</f>
        <v>0</v>
      </c>
      <c r="G2663" s="1243">
        <f t="shared" si="490"/>
        <v>45443.08</v>
      </c>
      <c r="H2663" s="1243"/>
      <c r="I2663" s="1243">
        <f t="shared" si="487"/>
        <v>44213.320000000007</v>
      </c>
      <c r="J2663" s="376">
        <f>$J$1637</f>
        <v>2.52E-2</v>
      </c>
      <c r="K2663" s="1243">
        <f t="shared" si="492"/>
        <v>95</v>
      </c>
      <c r="L2663" s="1243">
        <v>0</v>
      </c>
      <c r="M2663" s="1243">
        <f t="shared" si="488"/>
        <v>0</v>
      </c>
      <c r="N2663" s="1243">
        <v>0</v>
      </c>
      <c r="O2663" s="1243">
        <f t="shared" si="489"/>
        <v>44308.320000000007</v>
      </c>
    </row>
    <row r="2664" spans="1:15">
      <c r="A2664" s="361">
        <f t="shared" si="485"/>
        <v>25</v>
      </c>
      <c r="B2664" s="365">
        <v>379.1</v>
      </c>
      <c r="C2664" s="358" t="s">
        <v>397</v>
      </c>
      <c r="D2664" s="1243">
        <f t="shared" si="486"/>
        <v>1554144.06</v>
      </c>
      <c r="E2664" s="1243">
        <f>+'INPUT - B Schedule PLANT'!DX30</f>
        <v>0</v>
      </c>
      <c r="F2664" s="1243">
        <f>+'INPUT - B Schedule PLANT'!DY30</f>
        <v>0</v>
      </c>
      <c r="G2664" s="1243">
        <f t="shared" si="490"/>
        <v>1554144.06</v>
      </c>
      <c r="H2664" s="1243"/>
      <c r="I2664" s="1243">
        <f t="shared" si="487"/>
        <v>385859.19000000006</v>
      </c>
      <c r="J2664" s="376">
        <f>$J$1638</f>
        <v>2.4199999999999999E-2</v>
      </c>
      <c r="K2664" s="1243">
        <f t="shared" si="492"/>
        <v>3134</v>
      </c>
      <c r="L2664" s="1243">
        <v>0</v>
      </c>
      <c r="M2664" s="1243">
        <f t="shared" si="488"/>
        <v>0</v>
      </c>
      <c r="N2664" s="1243">
        <v>0</v>
      </c>
      <c r="O2664" s="1243">
        <f t="shared" si="489"/>
        <v>388993.19000000006</v>
      </c>
    </row>
    <row r="2665" spans="1:15">
      <c r="A2665" s="361">
        <f t="shared" si="485"/>
        <v>26</v>
      </c>
      <c r="B2665" s="365">
        <v>380</v>
      </c>
      <c r="C2665" s="358" t="s">
        <v>1623</v>
      </c>
      <c r="D2665" s="1243">
        <f t="shared" si="486"/>
        <v>204145094.01031253</v>
      </c>
      <c r="E2665" s="1243">
        <f>'WPB-2.1.D SMRP'!E1093</f>
        <v>250799.24480498326</v>
      </c>
      <c r="F2665" s="1243">
        <f>'WPB-2.1.D SMRP'!F1093</f>
        <v>-100258.34932210273</v>
      </c>
      <c r="G2665" s="1243">
        <f t="shared" si="490"/>
        <v>204295634.9057954</v>
      </c>
      <c r="H2665" s="1243"/>
      <c r="I2665" s="1243">
        <f t="shared" si="487"/>
        <v>65945145.380568892</v>
      </c>
      <c r="J2665" s="376">
        <f>$J$1639</f>
        <v>3.9800000000000002E-2</v>
      </c>
      <c r="K2665" s="1243">
        <f>'WPB-2.1.D SMRP'!K1093</f>
        <v>677331.08</v>
      </c>
      <c r="L2665" s="1243">
        <v>0</v>
      </c>
      <c r="M2665" s="1243">
        <f>F2665</f>
        <v>-100258.34932210273</v>
      </c>
      <c r="N2665" s="1243">
        <f>'WPB-2.1.D SMRP'!N1093</f>
        <v>-1.2929896911373362E-2</v>
      </c>
      <c r="O2665" s="1243">
        <f t="shared" si="489"/>
        <v>66522218.098316893</v>
      </c>
    </row>
    <row r="2666" spans="1:15">
      <c r="A2666" s="361">
        <f t="shared" si="485"/>
        <v>27</v>
      </c>
      <c r="B2666" s="365">
        <v>381</v>
      </c>
      <c r="C2666" s="358" t="s">
        <v>399</v>
      </c>
      <c r="D2666" s="1243">
        <f t="shared" si="486"/>
        <v>20628339.720000003</v>
      </c>
      <c r="E2666" s="1243">
        <f>+'INPUT - B Schedule PLANT'!DX32</f>
        <v>109269.03</v>
      </c>
      <c r="F2666" s="1243">
        <f>+'INPUT - B Schedule PLANT'!DY32</f>
        <v>-21685.65</v>
      </c>
      <c r="G2666" s="1243">
        <f t="shared" si="490"/>
        <v>20715923.100000005</v>
      </c>
      <c r="H2666" s="1243"/>
      <c r="I2666" s="1243">
        <f t="shared" si="487"/>
        <v>1828895.1799999995</v>
      </c>
      <c r="J2666" s="376">
        <f>$J$1640</f>
        <v>2.6499999999999999E-2</v>
      </c>
      <c r="K2666" s="1243">
        <f t="shared" si="492"/>
        <v>45651</v>
      </c>
      <c r="L2666" s="1243">
        <v>0</v>
      </c>
      <c r="M2666" s="1243">
        <f t="shared" si="488"/>
        <v>-21685.65</v>
      </c>
      <c r="N2666" s="1243">
        <v>-4405.79</v>
      </c>
      <c r="O2666" s="1243">
        <f t="shared" si="489"/>
        <v>1848454.7399999995</v>
      </c>
    </row>
    <row r="2667" spans="1:15">
      <c r="A2667" s="361">
        <f t="shared" si="485"/>
        <v>28</v>
      </c>
      <c r="B2667" s="365">
        <v>381.1</v>
      </c>
      <c r="C2667" s="358" t="s">
        <v>2366</v>
      </c>
      <c r="D2667" s="1243">
        <f t="shared" si="486"/>
        <v>9980854.4800000004</v>
      </c>
      <c r="E2667" s="1243">
        <f>+'INPUT - B Schedule PLANT'!DX33</f>
        <v>0</v>
      </c>
      <c r="F2667" s="1243">
        <f>+'INPUT - B Schedule PLANT'!DY33</f>
        <v>0</v>
      </c>
      <c r="G2667" s="1243">
        <f t="shared" si="490"/>
        <v>9980854.4800000004</v>
      </c>
      <c r="H2667" s="1243"/>
      <c r="I2667" s="1243">
        <f t="shared" si="487"/>
        <v>6045453.0300000031</v>
      </c>
      <c r="J2667" s="376">
        <f>$J$1641</f>
        <v>7.4800000000000005E-2</v>
      </c>
      <c r="K2667" s="1243">
        <f t="shared" si="492"/>
        <v>62214</v>
      </c>
      <c r="L2667" s="1243">
        <v>0</v>
      </c>
      <c r="M2667" s="1243">
        <f t="shared" si="488"/>
        <v>0</v>
      </c>
      <c r="N2667" s="1243">
        <v>0</v>
      </c>
      <c r="O2667" s="1243">
        <f t="shared" si="489"/>
        <v>6107667.0300000031</v>
      </c>
    </row>
    <row r="2668" spans="1:15">
      <c r="A2668" s="361">
        <f t="shared" si="485"/>
        <v>29</v>
      </c>
      <c r="B2668" s="365">
        <v>382</v>
      </c>
      <c r="C2668" s="358" t="s">
        <v>1624</v>
      </c>
      <c r="D2668" s="1243">
        <f t="shared" si="486"/>
        <v>10665889.355116449</v>
      </c>
      <c r="E2668" s="1243">
        <f>'WPB-2.1.D SMRP'!E1097</f>
        <v>22841.060956678408</v>
      </c>
      <c r="F2668" s="1243">
        <f>'WPB-2.1.D SMRP'!F1097</f>
        <v>-560.07060010277394</v>
      </c>
      <c r="G2668" s="1243">
        <f t="shared" si="490"/>
        <v>10688170.345473025</v>
      </c>
      <c r="H2668" s="1243"/>
      <c r="I2668" s="1243">
        <f t="shared" si="487"/>
        <v>6000824.9942417908</v>
      </c>
      <c r="J2668" s="376">
        <f>$J$1642</f>
        <v>1.77E-2</v>
      </c>
      <c r="K2668" s="1243">
        <f>'WPB-2.1.D SMRP'!K1097</f>
        <v>15749.156999999999</v>
      </c>
      <c r="L2668" s="1243">
        <v>0</v>
      </c>
      <c r="M2668" s="1243">
        <f t="shared" si="488"/>
        <v>-560.07060010277394</v>
      </c>
      <c r="N2668" s="1243">
        <f>'WPB-2.1.D SMRP'!N1097</f>
        <v>-277.19</v>
      </c>
      <c r="O2668" s="1243">
        <f t="shared" si="489"/>
        <v>6015736.8906416874</v>
      </c>
    </row>
    <row r="2669" spans="1:15">
      <c r="A2669" s="361">
        <f t="shared" si="485"/>
        <v>30</v>
      </c>
      <c r="B2669" s="365">
        <v>383</v>
      </c>
      <c r="C2669" s="358" t="s">
        <v>1625</v>
      </c>
      <c r="D2669" s="1243">
        <f t="shared" si="486"/>
        <v>7545518.9819894144</v>
      </c>
      <c r="E2669" s="1243">
        <f>'WPB-2.1.D SMRP'!E1101</f>
        <v>27107.756753408346</v>
      </c>
      <c r="F2669" s="1243">
        <f>'WPB-2.1.D SMRP'!F1101</f>
        <v>-249.58402299919399</v>
      </c>
      <c r="G2669" s="1243">
        <f t="shared" si="490"/>
        <v>7572377.154719824</v>
      </c>
      <c r="H2669" s="1243"/>
      <c r="I2669" s="1243">
        <f t="shared" si="487"/>
        <v>2613834.1174514983</v>
      </c>
      <c r="J2669" s="376">
        <f>$J$1643</f>
        <v>1.9400000000000001E-2</v>
      </c>
      <c r="K2669" s="1243">
        <f>'WPB-2.1.D SMRP'!K1101</f>
        <v>12220.367</v>
      </c>
      <c r="L2669" s="1243">
        <v>0</v>
      </c>
      <c r="M2669" s="1243">
        <f t="shared" si="488"/>
        <v>-249.58402299919399</v>
      </c>
      <c r="N2669" s="1243">
        <f>'WPB-2.1.D SMRP'!N1101</f>
        <v>0</v>
      </c>
      <c r="O2669" s="1243">
        <f t="shared" si="489"/>
        <v>2625804.9004284991</v>
      </c>
    </row>
    <row r="2670" spans="1:15">
      <c r="A2670" s="361">
        <f t="shared" si="485"/>
        <v>31</v>
      </c>
      <c r="B2670" s="365">
        <v>384</v>
      </c>
      <c r="C2670" s="358" t="s">
        <v>402</v>
      </c>
      <c r="D2670" s="1243">
        <f t="shared" si="486"/>
        <v>2085204.3599999999</v>
      </c>
      <c r="E2670" s="1243">
        <f>+'INPUT - B Schedule PLANT'!DX36</f>
        <v>13.26</v>
      </c>
      <c r="F2670" s="1243">
        <f>+'INPUT - B Schedule PLANT'!DY36</f>
        <v>0</v>
      </c>
      <c r="G2670" s="1243">
        <f t="shared" si="490"/>
        <v>2085217.6199999999</v>
      </c>
      <c r="H2670" s="1243"/>
      <c r="I2670" s="1243">
        <f t="shared" si="487"/>
        <v>1747242.0399999991</v>
      </c>
      <c r="J2670" s="376">
        <f>$J$1644</f>
        <v>9.9000000000000008E-3</v>
      </c>
      <c r="K2670" s="1243">
        <f t="shared" si="492"/>
        <v>1720</v>
      </c>
      <c r="L2670" s="1243">
        <v>0</v>
      </c>
      <c r="M2670" s="1243">
        <f t="shared" si="488"/>
        <v>0</v>
      </c>
      <c r="N2670" s="1243">
        <v>-341.9</v>
      </c>
      <c r="O2670" s="1243">
        <f t="shared" si="489"/>
        <v>1748620.1399999992</v>
      </c>
    </row>
    <row r="2671" spans="1:15">
      <c r="A2671" s="361">
        <f t="shared" si="485"/>
        <v>32</v>
      </c>
      <c r="B2671" s="365">
        <v>385</v>
      </c>
      <c r="C2671" s="358" t="s">
        <v>403</v>
      </c>
      <c r="D2671" s="1243">
        <f t="shared" si="486"/>
        <v>6208043.8499999996</v>
      </c>
      <c r="E2671" s="1243">
        <f>+'INPUT - B Schedule PLANT'!DX37</f>
        <v>44544.46</v>
      </c>
      <c r="F2671" s="1243">
        <f>+'INPUT - B Schedule PLANT'!DY37</f>
        <v>-3943.17</v>
      </c>
      <c r="G2671" s="1243">
        <f t="shared" si="490"/>
        <v>6248645.1399999997</v>
      </c>
      <c r="H2671" s="1243"/>
      <c r="I2671" s="1243">
        <f t="shared" si="487"/>
        <v>845098.69999999984</v>
      </c>
      <c r="J2671" s="376">
        <f>$J$1645</f>
        <v>3.73E-2</v>
      </c>
      <c r="K2671" s="1243">
        <f t="shared" si="492"/>
        <v>19360</v>
      </c>
      <c r="L2671" s="1243">
        <v>0</v>
      </c>
      <c r="M2671" s="1243">
        <f t="shared" si="488"/>
        <v>-3943.17</v>
      </c>
      <c r="N2671" s="1243">
        <v>0</v>
      </c>
      <c r="O2671" s="1243">
        <f t="shared" si="489"/>
        <v>860515.5299999998</v>
      </c>
    </row>
    <row r="2672" spans="1:15">
      <c r="A2672" s="361">
        <f t="shared" si="485"/>
        <v>33</v>
      </c>
      <c r="B2672" s="365">
        <v>387.2</v>
      </c>
      <c r="C2672" s="358" t="s">
        <v>404</v>
      </c>
      <c r="D2672" s="1243">
        <f t="shared" si="486"/>
        <v>0</v>
      </c>
      <c r="E2672" s="1243">
        <f>+'INPUT - B Schedule PLANT'!DX38</f>
        <v>0</v>
      </c>
      <c r="F2672" s="1243">
        <f>+'INPUT - B Schedule PLANT'!DY38</f>
        <v>0</v>
      </c>
      <c r="G2672" s="1243">
        <f t="shared" si="490"/>
        <v>0</v>
      </c>
      <c r="H2672" s="1243"/>
      <c r="I2672" s="1243">
        <f t="shared" si="487"/>
        <v>-59912.03</v>
      </c>
      <c r="J2672" s="376">
        <f>$J$1646</f>
        <v>0</v>
      </c>
      <c r="K2672" s="1243">
        <f t="shared" si="492"/>
        <v>0</v>
      </c>
      <c r="L2672" s="1243">
        <v>0</v>
      </c>
      <c r="M2672" s="1243">
        <f t="shared" si="488"/>
        <v>0</v>
      </c>
      <c r="N2672" s="1243">
        <v>0</v>
      </c>
      <c r="O2672" s="1243">
        <f t="shared" si="489"/>
        <v>-59912.03</v>
      </c>
    </row>
    <row r="2673" spans="1:16">
      <c r="A2673" s="361">
        <f t="shared" si="485"/>
        <v>34</v>
      </c>
      <c r="B2673" s="365">
        <v>387.41</v>
      </c>
      <c r="C2673" s="358" t="s">
        <v>405</v>
      </c>
      <c r="D2673" s="1243">
        <f t="shared" si="486"/>
        <v>260538.46000000008</v>
      </c>
      <c r="E2673" s="1243">
        <f>+'INPUT - B Schedule PLANT'!DX39</f>
        <v>0</v>
      </c>
      <c r="F2673" s="1243">
        <f>+'INPUT - B Schedule PLANT'!DY39</f>
        <v>0</v>
      </c>
      <c r="G2673" s="1243">
        <f t="shared" si="490"/>
        <v>260538.46000000008</v>
      </c>
      <c r="H2673" s="1243"/>
      <c r="I2673" s="1243">
        <f t="shared" si="487"/>
        <v>68129.970000000059</v>
      </c>
      <c r="J2673" s="376">
        <f>$J$1647</f>
        <v>3.2399999999999998E-2</v>
      </c>
      <c r="K2673" s="1243">
        <f t="shared" si="492"/>
        <v>703</v>
      </c>
      <c r="L2673" s="1243">
        <v>0</v>
      </c>
      <c r="M2673" s="1243">
        <f t="shared" si="488"/>
        <v>0</v>
      </c>
      <c r="N2673" s="1243">
        <v>0</v>
      </c>
      <c r="O2673" s="1243">
        <f t="shared" si="489"/>
        <v>68832.970000000059</v>
      </c>
    </row>
    <row r="2674" spans="1:16">
      <c r="A2674" s="361">
        <f t="shared" si="485"/>
        <v>35</v>
      </c>
      <c r="B2674" s="365">
        <v>387.42</v>
      </c>
      <c r="C2674" s="358" t="s">
        <v>406</v>
      </c>
      <c r="D2674" s="1243">
        <f t="shared" si="486"/>
        <v>419367.40000000008</v>
      </c>
      <c r="E2674" s="1243">
        <f>+'INPUT - B Schedule PLANT'!DX40</f>
        <v>0</v>
      </c>
      <c r="F2674" s="1243">
        <f>+'INPUT - B Schedule PLANT'!DY40</f>
        <v>0</v>
      </c>
      <c r="G2674" s="1243">
        <f t="shared" si="490"/>
        <v>419367.40000000008</v>
      </c>
      <c r="H2674" s="1243"/>
      <c r="I2674" s="1243">
        <f t="shared" si="487"/>
        <v>355851.80999999976</v>
      </c>
      <c r="J2674" s="376">
        <f>$J$1648</f>
        <v>3.2399999999999998E-2</v>
      </c>
      <c r="K2674" s="1243">
        <f t="shared" si="492"/>
        <v>1132</v>
      </c>
      <c r="L2674" s="1243">
        <v>0</v>
      </c>
      <c r="M2674" s="1243">
        <f t="shared" si="488"/>
        <v>0</v>
      </c>
      <c r="N2674" s="1243">
        <v>0</v>
      </c>
      <c r="O2674" s="1243">
        <f t="shared" si="489"/>
        <v>356983.80999999976</v>
      </c>
    </row>
    <row r="2675" spans="1:16">
      <c r="A2675" s="361">
        <f t="shared" si="485"/>
        <v>36</v>
      </c>
      <c r="B2675" s="365">
        <v>387.44</v>
      </c>
      <c r="C2675" s="358" t="s">
        <v>407</v>
      </c>
      <c r="D2675" s="1243">
        <f t="shared" si="486"/>
        <v>124678.76000000001</v>
      </c>
      <c r="E2675" s="1243">
        <f>+'INPUT - B Schedule PLANT'!DX41</f>
        <v>0</v>
      </c>
      <c r="F2675" s="1243">
        <f>+'INPUT - B Schedule PLANT'!DY41</f>
        <v>0</v>
      </c>
      <c r="G2675" s="1243">
        <f t="shared" si="490"/>
        <v>124678.76000000001</v>
      </c>
      <c r="H2675" s="1243"/>
      <c r="I2675" s="1243">
        <f t="shared" si="487"/>
        <v>71112.390000000014</v>
      </c>
      <c r="J2675" s="376">
        <f>$J$1649</f>
        <v>3.2399999999999998E-2</v>
      </c>
      <c r="K2675" s="1243">
        <f t="shared" si="492"/>
        <v>337</v>
      </c>
      <c r="L2675" s="1243">
        <v>0</v>
      </c>
      <c r="M2675" s="1243">
        <f t="shared" si="488"/>
        <v>0</v>
      </c>
      <c r="N2675" s="1243">
        <v>0</v>
      </c>
      <c r="O2675" s="1243">
        <f t="shared" si="489"/>
        <v>71449.390000000014</v>
      </c>
    </row>
    <row r="2676" spans="1:16">
      <c r="A2676" s="361">
        <f t="shared" si="485"/>
        <v>37</v>
      </c>
      <c r="B2676" s="365">
        <v>387.45</v>
      </c>
      <c r="C2676" s="358" t="s">
        <v>408</v>
      </c>
      <c r="D2676" s="1243">
        <f t="shared" si="486"/>
        <v>6199933.160000002</v>
      </c>
      <c r="E2676" s="1243">
        <f>+'INPUT - B Schedule PLANT'!DX42</f>
        <v>252118.08</v>
      </c>
      <c r="F2676" s="1243">
        <f>+'INPUT - B Schedule PLANT'!DY42</f>
        <v>-20739.13</v>
      </c>
      <c r="G2676" s="1243">
        <f t="shared" si="490"/>
        <v>6431312.1100000022</v>
      </c>
      <c r="H2676" s="1243"/>
      <c r="I2676" s="1243">
        <f t="shared" si="487"/>
        <v>-739839.64</v>
      </c>
      <c r="J2676" s="376">
        <f>$J$1650</f>
        <v>3.2399999999999998E-2</v>
      </c>
      <c r="K2676" s="1243">
        <f t="shared" si="492"/>
        <v>17052</v>
      </c>
      <c r="L2676" s="1243">
        <v>0</v>
      </c>
      <c r="M2676" s="1243">
        <f t="shared" si="488"/>
        <v>-20739.13</v>
      </c>
      <c r="N2676" s="1243">
        <v>0</v>
      </c>
      <c r="O2676" s="1243">
        <f t="shared" si="489"/>
        <v>-743526.77</v>
      </c>
    </row>
    <row r="2677" spans="1:16">
      <c r="A2677" s="361">
        <f t="shared" si="485"/>
        <v>38</v>
      </c>
      <c r="B2677" s="365">
        <v>387.46</v>
      </c>
      <c r="C2677" s="358" t="s">
        <v>409</v>
      </c>
      <c r="D2677" s="1243">
        <f t="shared" si="486"/>
        <v>113644.47</v>
      </c>
      <c r="E2677" s="1243">
        <f>+'INPUT - B Schedule PLANT'!DX43</f>
        <v>0</v>
      </c>
      <c r="F2677" s="1243">
        <f>+'INPUT - B Schedule PLANT'!DY43</f>
        <v>0</v>
      </c>
      <c r="G2677" s="1243">
        <f t="shared" si="490"/>
        <v>113644.47</v>
      </c>
      <c r="H2677" s="1243"/>
      <c r="I2677" s="1243">
        <f t="shared" si="487"/>
        <v>117260.07</v>
      </c>
      <c r="J2677" s="376">
        <f>$J$1651</f>
        <v>3.2399999999999998E-2</v>
      </c>
      <c r="K2677" s="1243">
        <f t="shared" si="492"/>
        <v>307</v>
      </c>
      <c r="L2677" s="1243">
        <v>0</v>
      </c>
      <c r="M2677" s="1243">
        <f t="shared" si="488"/>
        <v>0</v>
      </c>
      <c r="N2677" s="1243">
        <v>0</v>
      </c>
      <c r="O2677" s="1243">
        <f t="shared" si="489"/>
        <v>117567.07</v>
      </c>
    </row>
    <row r="2678" spans="1:16">
      <c r="A2678" s="361">
        <f t="shared" si="485"/>
        <v>39</v>
      </c>
      <c r="B2678" s="365">
        <v>387.5</v>
      </c>
      <c r="C2678" s="358" t="s">
        <v>1075</v>
      </c>
      <c r="D2678" s="1244">
        <f t="shared" si="486"/>
        <v>238072.69</v>
      </c>
      <c r="E2678" s="1244">
        <f>+'INPUT - B Schedule PLANT'!DX44</f>
        <v>0</v>
      </c>
      <c r="F2678" s="1244">
        <f>+'INPUT - B Schedule PLANT'!DY44</f>
        <v>0</v>
      </c>
      <c r="G2678" s="1244">
        <f t="shared" si="490"/>
        <v>238072.69</v>
      </c>
      <c r="H2678" s="1243"/>
      <c r="I2678" s="1244">
        <f t="shared" si="487"/>
        <v>68316.47000000003</v>
      </c>
      <c r="J2678" s="376">
        <f>$J$1652</f>
        <v>0.13669999999999999</v>
      </c>
      <c r="K2678" s="1244">
        <f t="shared" si="492"/>
        <v>2712</v>
      </c>
      <c r="L2678" s="1244">
        <v>0</v>
      </c>
      <c r="M2678" s="1244">
        <f t="shared" si="488"/>
        <v>0</v>
      </c>
      <c r="N2678" s="1244">
        <v>0</v>
      </c>
      <c r="O2678" s="1244">
        <f t="shared" si="489"/>
        <v>71028.47000000003</v>
      </c>
    </row>
    <row r="2679" spans="1:16">
      <c r="A2679" s="361">
        <f t="shared" si="485"/>
        <v>40</v>
      </c>
      <c r="C2679" s="365" t="s">
        <v>1601</v>
      </c>
      <c r="D2679" s="1243">
        <f>SUM(D2649:D2678)</f>
        <v>737303270.0722717</v>
      </c>
      <c r="E2679" s="1243">
        <f>SUM(E2649:E2678)</f>
        <v>3785668.7487097387</v>
      </c>
      <c r="F2679" s="1243">
        <f>SUM(F2649:F2678)</f>
        <v>-296230.39860963344</v>
      </c>
      <c r="G2679" s="1243">
        <f>SUM(G2649:G2678)</f>
        <v>740792708.42237198</v>
      </c>
      <c r="H2679" s="1243"/>
      <c r="I2679" s="1243">
        <f>SUM(I2649:I2678)</f>
        <v>182238830.38350797</v>
      </c>
      <c r="J2679" s="369"/>
      <c r="K2679" s="1243">
        <f>SUM(K2649:K2678)</f>
        <v>1562939.16</v>
      </c>
      <c r="L2679" s="1243">
        <f>SUM(L2649:L2678)</f>
        <v>0</v>
      </c>
      <c r="M2679" s="1243">
        <f>SUM(M2649:M2678)</f>
        <v>-296230.39860963344</v>
      </c>
      <c r="N2679" s="1243">
        <f>SUM(N2649:N2678)</f>
        <v>-32066.163892411219</v>
      </c>
      <c r="O2679" s="1243">
        <f>SUM(O2649:O2678)</f>
        <v>183473472.98100588</v>
      </c>
    </row>
    <row r="2680" spans="1:16">
      <c r="B2680" s="367"/>
      <c r="C2680" s="368"/>
      <c r="D2680" s="369"/>
      <c r="E2680" s="369"/>
      <c r="F2680" s="369"/>
      <c r="G2680" s="369"/>
      <c r="I2680" s="369"/>
      <c r="J2680" s="369"/>
      <c r="K2680" s="369"/>
      <c r="L2680" s="369"/>
      <c r="M2680" s="369"/>
      <c r="N2680" s="369"/>
      <c r="O2680" s="369"/>
    </row>
    <row r="2681" spans="1:16">
      <c r="I2681" s="369"/>
      <c r="J2681" s="369"/>
      <c r="K2681" s="369"/>
      <c r="L2681" s="369"/>
      <c r="M2681" s="369"/>
      <c r="N2681" s="369"/>
      <c r="O2681" s="369"/>
    </row>
    <row r="2682" spans="1:16" s="291" customFormat="1">
      <c r="A2682" s="1308" t="str">
        <f>$A$1</f>
        <v>COLUMBIA GAS OF KENTUCKY, INC.</v>
      </c>
      <c r="B2682" s="1308"/>
      <c r="C2682" s="1308"/>
      <c r="D2682" s="1308"/>
      <c r="E2682" s="1308"/>
      <c r="F2682" s="1308"/>
      <c r="G2682" s="1308"/>
      <c r="H2682" s="1308"/>
      <c r="I2682" s="1308"/>
      <c r="J2682" s="1308"/>
      <c r="K2682" s="1308"/>
      <c r="L2682" s="1308"/>
      <c r="M2682" s="1308"/>
      <c r="N2682" s="1308"/>
      <c r="O2682" s="1308"/>
    </row>
    <row r="2683" spans="1:16" s="291" customFormat="1">
      <c r="A2683" s="1308" t="str">
        <f>$A$2</f>
        <v>CASE NO. 2024 - 00092</v>
      </c>
      <c r="B2683" s="1308"/>
      <c r="C2683" s="1308"/>
      <c r="D2683" s="1308"/>
      <c r="E2683" s="1308"/>
      <c r="F2683" s="1308"/>
      <c r="G2683" s="1308"/>
      <c r="H2683" s="1308"/>
      <c r="I2683" s="1308"/>
      <c r="J2683" s="1308"/>
      <c r="K2683" s="1308"/>
      <c r="L2683" s="1308"/>
      <c r="M2683" s="1308"/>
      <c r="N2683" s="1308"/>
      <c r="O2683" s="1308"/>
    </row>
    <row r="2684" spans="1:16" s="291" customFormat="1">
      <c r="A2684" s="1308" t="str">
        <f>$A$3</f>
        <v>DETAIL OF ACTUAL &amp; FORECASTED PLANT, ACCUMULATED RESERVE &amp; DEPRECIATION EXPENSE</v>
      </c>
      <c r="B2684" s="1308"/>
      <c r="C2684" s="1308"/>
      <c r="D2684" s="1308"/>
      <c r="E2684" s="1308"/>
      <c r="F2684" s="1308"/>
      <c r="G2684" s="1308"/>
      <c r="H2684" s="1308"/>
      <c r="I2684" s="1308"/>
      <c r="J2684" s="1308"/>
      <c r="K2684" s="1308"/>
      <c r="L2684" s="1308"/>
      <c r="M2684" s="1308"/>
      <c r="N2684" s="1308"/>
      <c r="O2684" s="1308"/>
      <c r="P2684" s="357"/>
    </row>
    <row r="2685" spans="1:16" s="291" customFormat="1">
      <c r="A2685" s="1308" t="str">
        <f>$A$4</f>
        <v>FROM JANUARY 01, 2023 THROUGH DECEMBER 31, 2025</v>
      </c>
      <c r="B2685" s="1308"/>
      <c r="C2685" s="1308"/>
      <c r="D2685" s="1308"/>
      <c r="E2685" s="1308"/>
      <c r="F2685" s="1308"/>
      <c r="G2685" s="1308"/>
      <c r="H2685" s="1308"/>
      <c r="I2685" s="1308"/>
      <c r="J2685" s="1308"/>
      <c r="K2685" s="1308"/>
      <c r="L2685" s="1308"/>
      <c r="M2685" s="1308"/>
      <c r="N2685" s="1308"/>
      <c r="O2685" s="1308"/>
    </row>
    <row r="2686" spans="1:16" s="291" customFormat="1">
      <c r="B2686" s="293"/>
      <c r="P2686" s="312"/>
    </row>
    <row r="2687" spans="1:16" s="291" customFormat="1">
      <c r="A2687" s="297" t="str">
        <f>$A$6</f>
        <v xml:space="preserve">DATA: _X_ BASE PERIOD _X_ FORECASTED PERIOD     </v>
      </c>
      <c r="B2687" s="293"/>
      <c r="O2687" s="312" t="str">
        <f>$O$6</f>
        <v>WPB-2.1.C</v>
      </c>
      <c r="P2687" s="312"/>
    </row>
    <row r="2688" spans="1:16" s="291" customFormat="1">
      <c r="A2688" s="297" t="str">
        <f>$A$7</f>
        <v>TYPE OF FILING:___X___ORIGINAL______UPDATED</v>
      </c>
      <c r="B2688" s="293"/>
      <c r="O2688" s="312" t="s">
        <v>2175</v>
      </c>
      <c r="P2688" s="312"/>
    </row>
    <row r="2689" spans="1:15" s="291" customFormat="1">
      <c r="A2689" s="297" t="str">
        <f>$A$8</f>
        <v>WORKPAPER REFERENCE NO(S).:</v>
      </c>
      <c r="B2689" s="293"/>
      <c r="O2689" s="312" t="str">
        <f>$O$8</f>
        <v>WITNESS: GORE</v>
      </c>
    </row>
    <row r="2690" spans="1:15">
      <c r="A2690" s="918"/>
      <c r="B2690" s="919"/>
      <c r="C2690" s="918"/>
      <c r="D2690" s="918"/>
      <c r="E2690" s="918"/>
      <c r="F2690" s="918"/>
      <c r="G2690" s="918"/>
      <c r="H2690" s="918"/>
      <c r="I2690" s="918"/>
      <c r="J2690" s="918"/>
      <c r="K2690" s="918"/>
      <c r="L2690" s="918"/>
      <c r="M2690" s="918"/>
      <c r="N2690" s="918"/>
      <c r="O2690" s="920"/>
    </row>
    <row r="2691" spans="1:15">
      <c r="D2691" s="1311" t="s">
        <v>1768</v>
      </c>
      <c r="E2691" s="1311"/>
      <c r="F2691" s="1311"/>
      <c r="G2691" s="1311"/>
      <c r="I2691" s="1311" t="s">
        <v>1769</v>
      </c>
      <c r="J2691" s="1311"/>
      <c r="K2691" s="1311"/>
      <c r="L2691" s="1311"/>
      <c r="M2691" s="1311"/>
      <c r="N2691" s="1311"/>
      <c r="O2691" s="1311"/>
    </row>
    <row r="2692" spans="1:15">
      <c r="D2692" s="360">
        <f>D2633</f>
        <v>45627</v>
      </c>
      <c r="G2692" s="360">
        <f>G2633</f>
        <v>45657</v>
      </c>
      <c r="I2692" s="360">
        <f>D2692</f>
        <v>45627</v>
      </c>
      <c r="O2692" s="360">
        <f>G2692</f>
        <v>45657</v>
      </c>
    </row>
    <row r="2693" spans="1:15">
      <c r="D2693" s="361" t="s">
        <v>1757</v>
      </c>
      <c r="G2693" s="361" t="s">
        <v>1757</v>
      </c>
      <c r="I2693" s="361" t="s">
        <v>1758</v>
      </c>
      <c r="J2693" s="361" t="s">
        <v>488</v>
      </c>
      <c r="L2693" s="361" t="s">
        <v>1758</v>
      </c>
      <c r="O2693" s="361" t="s">
        <v>1758</v>
      </c>
    </row>
    <row r="2694" spans="1:15">
      <c r="A2694" s="361" t="s">
        <v>1770</v>
      </c>
      <c r="B2694" s="361" t="s">
        <v>368</v>
      </c>
      <c r="C2694" s="361"/>
      <c r="D2694" s="361" t="s">
        <v>437</v>
      </c>
      <c r="G2694" s="361" t="s">
        <v>439</v>
      </c>
      <c r="I2694" s="361" t="s">
        <v>437</v>
      </c>
      <c r="J2694" s="361" t="s">
        <v>1771</v>
      </c>
      <c r="K2694" s="361" t="s">
        <v>1772</v>
      </c>
      <c r="L2694" s="361" t="s">
        <v>1759</v>
      </c>
      <c r="N2694" s="361" t="s">
        <v>1760</v>
      </c>
      <c r="O2694" s="361" t="s">
        <v>439</v>
      </c>
    </row>
    <row r="2695" spans="1:15">
      <c r="A2695" s="364" t="s">
        <v>316</v>
      </c>
      <c r="B2695" s="364" t="s">
        <v>316</v>
      </c>
      <c r="C2695" s="364" t="s">
        <v>451</v>
      </c>
      <c r="D2695" s="364" t="s">
        <v>441</v>
      </c>
      <c r="E2695" s="364" t="s">
        <v>442</v>
      </c>
      <c r="F2695" s="364" t="s">
        <v>443</v>
      </c>
      <c r="G2695" s="364" t="s">
        <v>441</v>
      </c>
      <c r="I2695" s="364" t="s">
        <v>441</v>
      </c>
      <c r="J2695" s="364" t="s">
        <v>1773</v>
      </c>
      <c r="K2695" s="364" t="s">
        <v>1771</v>
      </c>
      <c r="L2695" s="364" t="s">
        <v>355</v>
      </c>
      <c r="M2695" s="364" t="s">
        <v>443</v>
      </c>
      <c r="N2695" s="364" t="s">
        <v>1763</v>
      </c>
      <c r="O2695" s="364" t="s">
        <v>441</v>
      </c>
    </row>
    <row r="2696" spans="1:15">
      <c r="D2696" s="361" t="s">
        <v>532</v>
      </c>
      <c r="E2696" s="361" t="s">
        <v>541</v>
      </c>
      <c r="F2696" s="361" t="s">
        <v>542</v>
      </c>
      <c r="G2696" s="361" t="s">
        <v>1764</v>
      </c>
      <c r="I2696" s="334" t="str">
        <f>"(5)"</f>
        <v>(5)</v>
      </c>
      <c r="J2696" s="334" t="str">
        <f>"(6)"</f>
        <v>(6)</v>
      </c>
      <c r="K2696" s="334" t="str">
        <f>"(7)=((1+4)/2*6/12))"</f>
        <v>(7)=((1+4)/2*6/12))</v>
      </c>
      <c r="L2696" s="334" t="str">
        <f>"(8)"</f>
        <v>(8)</v>
      </c>
      <c r="M2696" s="334" t="str">
        <f>"(9)"</f>
        <v>(9)</v>
      </c>
      <c r="N2696" s="334" t="str">
        <f>"(10)"</f>
        <v>(10)</v>
      </c>
      <c r="O2696" s="334" t="str">
        <f>"(11=5+7+8+9+10)"</f>
        <v>(11=5+7+8+9+10)</v>
      </c>
    </row>
    <row r="2697" spans="1:15">
      <c r="D2697" s="361" t="s">
        <v>320</v>
      </c>
      <c r="E2697" s="361" t="s">
        <v>320</v>
      </c>
      <c r="F2697" s="361" t="s">
        <v>320</v>
      </c>
      <c r="G2697" s="361" t="s">
        <v>320</v>
      </c>
      <c r="I2697" s="334" t="s">
        <v>320</v>
      </c>
      <c r="J2697" s="334" t="s">
        <v>529</v>
      </c>
      <c r="K2697" s="334" t="s">
        <v>320</v>
      </c>
      <c r="L2697" s="334" t="s">
        <v>320</v>
      </c>
      <c r="M2697" s="334" t="s">
        <v>320</v>
      </c>
      <c r="N2697" s="334" t="s">
        <v>320</v>
      </c>
      <c r="O2697" s="334" t="s">
        <v>320</v>
      </c>
    </row>
    <row r="2698" spans="1:15">
      <c r="A2698" s="361">
        <v>1</v>
      </c>
      <c r="B2698" s="363" t="s">
        <v>411</v>
      </c>
      <c r="D2698" s="361"/>
      <c r="E2698" s="361"/>
      <c r="F2698" s="361"/>
      <c r="G2698" s="361"/>
      <c r="I2698" s="334"/>
      <c r="J2698" s="334"/>
      <c r="K2698" s="334"/>
      <c r="L2698" s="334"/>
      <c r="M2698" s="334"/>
      <c r="N2698" s="334"/>
      <c r="O2698" s="334"/>
    </row>
    <row r="2699" spans="1:15">
      <c r="A2699" s="361">
        <f>A2698+1</f>
        <v>2</v>
      </c>
      <c r="B2699" s="365">
        <v>391.1</v>
      </c>
      <c r="C2699" s="358" t="s">
        <v>412</v>
      </c>
      <c r="D2699" s="1243">
        <f t="shared" ref="D2699:D2712" si="493">G2585</f>
        <v>921741.33000000007</v>
      </c>
      <c r="E2699" s="1243">
        <f>+'INPUT - B Schedule PLANT'!DX46</f>
        <v>0</v>
      </c>
      <c r="F2699" s="1243">
        <f>+'INPUT - B Schedule PLANT'!DY46</f>
        <v>0</v>
      </c>
      <c r="G2699" s="1243">
        <f>SUM(D2699:F2699)</f>
        <v>921741.33000000007</v>
      </c>
      <c r="H2699" s="1243"/>
      <c r="I2699" s="1245">
        <f t="shared" ref="I2699:I2712" si="494">O2585</f>
        <v>156952.37</v>
      </c>
      <c r="J2699" s="376">
        <f>$J$1673</f>
        <v>4.9700000000000001E-2</v>
      </c>
      <c r="K2699" s="1243">
        <f>ROUND((G2699+D2699)/2*J2699/12,0)</f>
        <v>3818</v>
      </c>
      <c r="L2699" s="1243">
        <f>115546/2</f>
        <v>57773</v>
      </c>
      <c r="M2699" s="1243">
        <f t="shared" ref="M2699:M2712" si="495">F2699</f>
        <v>0</v>
      </c>
      <c r="N2699" s="1243">
        <v>0</v>
      </c>
      <c r="O2699" s="1243">
        <f t="shared" ref="O2699:O2712" si="496">I2699+K2699+L2699+M2699+N2699</f>
        <v>218543.37</v>
      </c>
    </row>
    <row r="2700" spans="1:15">
      <c r="A2700" s="361">
        <f t="shared" ref="A2700:A2713" si="497">A2699+1</f>
        <v>3</v>
      </c>
      <c r="B2700" s="365">
        <v>391.11</v>
      </c>
      <c r="C2700" s="358" t="s">
        <v>413</v>
      </c>
      <c r="D2700" s="1243">
        <f t="shared" si="493"/>
        <v>0</v>
      </c>
      <c r="E2700" s="1243">
        <f>+'INPUT - B Schedule PLANT'!DX47</f>
        <v>0</v>
      </c>
      <c r="F2700" s="1243">
        <f>+'INPUT - B Schedule PLANT'!DY47</f>
        <v>0</v>
      </c>
      <c r="G2700" s="1243">
        <f t="shared" ref="G2700:G2707" si="498">SUM(D2700:F2700)</f>
        <v>0</v>
      </c>
      <c r="H2700" s="1243"/>
      <c r="I2700" s="1245">
        <f t="shared" si="494"/>
        <v>-18933.789999999997</v>
      </c>
      <c r="J2700" s="376">
        <f>$J$1674</f>
        <v>0</v>
      </c>
      <c r="K2700" s="1243">
        <f>ROUND((G2700+D2700)/2*J2700/12,0)</f>
        <v>0</v>
      </c>
      <c r="L2700" s="1243">
        <f>12622/2</f>
        <v>6311</v>
      </c>
      <c r="M2700" s="1243">
        <f t="shared" si="495"/>
        <v>0</v>
      </c>
      <c r="N2700" s="1243">
        <v>0</v>
      </c>
      <c r="O2700" s="1243">
        <f t="shared" si="496"/>
        <v>-12622.789999999997</v>
      </c>
    </row>
    <row r="2701" spans="1:15">
      <c r="A2701" s="361">
        <f t="shared" si="497"/>
        <v>4</v>
      </c>
      <c r="B2701" s="365">
        <v>391.12</v>
      </c>
      <c r="C2701" s="358" t="s">
        <v>414</v>
      </c>
      <c r="D2701" s="1243">
        <f t="shared" si="493"/>
        <v>37129.580000000009</v>
      </c>
      <c r="E2701" s="1243">
        <f>+'INPUT - B Schedule PLANT'!DX48</f>
        <v>0</v>
      </c>
      <c r="F2701" s="1243">
        <f>+'INPUT - B Schedule PLANT'!DY48</f>
        <v>0</v>
      </c>
      <c r="G2701" s="1243">
        <f t="shared" si="498"/>
        <v>37129.580000000009</v>
      </c>
      <c r="H2701" s="1243"/>
      <c r="I2701" s="1245">
        <f t="shared" si="494"/>
        <v>1524.9699999999993</v>
      </c>
      <c r="J2701" s="376">
        <f>$J$1675</f>
        <v>0.2</v>
      </c>
      <c r="K2701" s="1243">
        <f>ROUND((G2701+D2701)/2*J2701/12,0)</f>
        <v>619</v>
      </c>
      <c r="L2701" s="1243">
        <f>10950/2</f>
        <v>5475</v>
      </c>
      <c r="M2701" s="1243">
        <f t="shared" si="495"/>
        <v>0</v>
      </c>
      <c r="N2701" s="1243">
        <v>0</v>
      </c>
      <c r="O2701" s="1243">
        <f t="shared" si="496"/>
        <v>7618.9699999999993</v>
      </c>
    </row>
    <row r="2702" spans="1:15">
      <c r="A2702" s="361">
        <f t="shared" si="497"/>
        <v>5</v>
      </c>
      <c r="B2702" s="365">
        <v>392.2</v>
      </c>
      <c r="C2702" s="358" t="s">
        <v>524</v>
      </c>
      <c r="D2702" s="1243">
        <f t="shared" si="493"/>
        <v>48924.4</v>
      </c>
      <c r="E2702" s="1243">
        <f>+'INPUT - B Schedule PLANT'!DX49</f>
        <v>0</v>
      </c>
      <c r="F2702" s="1243">
        <f>+'INPUT - B Schedule PLANT'!DY49</f>
        <v>0</v>
      </c>
      <c r="G2702" s="1243">
        <f t="shared" si="498"/>
        <v>48924.4</v>
      </c>
      <c r="H2702" s="1243"/>
      <c r="I2702" s="1245">
        <f t="shared" si="494"/>
        <v>17550.359999999961</v>
      </c>
      <c r="J2702" s="376">
        <f>$J$1676</f>
        <v>8.9999999999999993E-3</v>
      </c>
      <c r="K2702" s="1243">
        <f>ROUND((G2702+D2702)/2*J2702/12,0)</f>
        <v>37</v>
      </c>
      <c r="L2702" s="1243">
        <v>0</v>
      </c>
      <c r="M2702" s="1243">
        <f t="shared" si="495"/>
        <v>0</v>
      </c>
      <c r="N2702" s="1243">
        <v>0</v>
      </c>
      <c r="O2702" s="1243">
        <f t="shared" si="496"/>
        <v>17587.359999999961</v>
      </c>
    </row>
    <row r="2703" spans="1:15">
      <c r="A2703" s="361">
        <f t="shared" si="497"/>
        <v>6</v>
      </c>
      <c r="B2703" s="365">
        <v>392.21</v>
      </c>
      <c r="C2703" s="358" t="s">
        <v>415</v>
      </c>
      <c r="D2703" s="1243">
        <f t="shared" si="493"/>
        <v>24462.2</v>
      </c>
      <c r="E2703" s="1243">
        <f>+'INPUT - B Schedule PLANT'!DX50</f>
        <v>0</v>
      </c>
      <c r="F2703" s="1243">
        <f>+'INPUT - B Schedule PLANT'!DY50</f>
        <v>0</v>
      </c>
      <c r="G2703" s="1243">
        <f t="shared" si="498"/>
        <v>24462.2</v>
      </c>
      <c r="H2703" s="1243"/>
      <c r="I2703" s="1245">
        <f t="shared" si="494"/>
        <v>44916.01</v>
      </c>
      <c r="J2703" s="376">
        <f>$J$1677</f>
        <v>8.9999999999999993E-3</v>
      </c>
      <c r="K2703" s="1243">
        <f>ROUND((G2703+D2703)/2*J2703/12,0)</f>
        <v>18</v>
      </c>
      <c r="L2703" s="1243">
        <v>0</v>
      </c>
      <c r="M2703" s="1243">
        <f t="shared" si="495"/>
        <v>0</v>
      </c>
      <c r="N2703" s="1243">
        <v>0</v>
      </c>
      <c r="O2703" s="1243">
        <f t="shared" si="496"/>
        <v>44934.01</v>
      </c>
    </row>
    <row r="2704" spans="1:15">
      <c r="A2704" s="361">
        <f t="shared" si="497"/>
        <v>7</v>
      </c>
      <c r="B2704" s="365">
        <v>393</v>
      </c>
      <c r="C2704" s="358" t="s">
        <v>416</v>
      </c>
      <c r="D2704" s="1243">
        <f t="shared" si="493"/>
        <v>0</v>
      </c>
      <c r="E2704" s="1243">
        <f>+'INPUT - B Schedule PLANT'!DX51</f>
        <v>0</v>
      </c>
      <c r="F2704" s="1243">
        <f>+'INPUT - B Schedule PLANT'!DY51</f>
        <v>0</v>
      </c>
      <c r="G2704" s="1243">
        <f t="shared" si="498"/>
        <v>0</v>
      </c>
      <c r="H2704" s="1243"/>
      <c r="I2704" s="1245">
        <f t="shared" si="494"/>
        <v>0</v>
      </c>
      <c r="J2704" s="376" t="str">
        <f>$J$1678</f>
        <v>Amort.</v>
      </c>
      <c r="K2704" s="1243">
        <v>0</v>
      </c>
      <c r="L2704" s="1243">
        <v>0</v>
      </c>
      <c r="M2704" s="1243">
        <f t="shared" si="495"/>
        <v>0</v>
      </c>
      <c r="N2704" s="1243">
        <v>0</v>
      </c>
      <c r="O2704" s="1243">
        <f t="shared" si="496"/>
        <v>0</v>
      </c>
    </row>
    <row r="2705" spans="1:15">
      <c r="A2705" s="361">
        <f t="shared" si="497"/>
        <v>8</v>
      </c>
      <c r="B2705" s="365">
        <v>394.1</v>
      </c>
      <c r="C2705" s="358" t="s">
        <v>417</v>
      </c>
      <c r="D2705" s="1243">
        <f t="shared" si="493"/>
        <v>9739</v>
      </c>
      <c r="E2705" s="1243">
        <f>+'INPUT - B Schedule PLANT'!DX52</f>
        <v>0</v>
      </c>
      <c r="F2705" s="1243">
        <f>+'INPUT - B Schedule PLANT'!DY52</f>
        <v>0</v>
      </c>
      <c r="G2705" s="1243">
        <f t="shared" si="498"/>
        <v>9739</v>
      </c>
      <c r="H2705" s="1243"/>
      <c r="I2705" s="1245">
        <f t="shared" si="494"/>
        <v>4428.0700000000006</v>
      </c>
      <c r="J2705" s="376">
        <f>$J$1679</f>
        <v>0.04</v>
      </c>
      <c r="K2705" s="1243">
        <f>ROUND((G2705+D2705)/2*J2705/12,0)</f>
        <v>32</v>
      </c>
      <c r="L2705" s="1243">
        <v>0</v>
      </c>
      <c r="M2705" s="1243">
        <f t="shared" si="495"/>
        <v>0</v>
      </c>
      <c r="N2705" s="1243">
        <v>0</v>
      </c>
      <c r="O2705" s="1243">
        <f t="shared" si="496"/>
        <v>4460.0700000000006</v>
      </c>
    </row>
    <row r="2706" spans="1:15">
      <c r="A2706" s="361">
        <f t="shared" si="497"/>
        <v>9</v>
      </c>
      <c r="B2706" s="365">
        <v>394.11</v>
      </c>
      <c r="C2706" s="358" t="s">
        <v>418</v>
      </c>
      <c r="D2706" s="1243">
        <f t="shared" si="493"/>
        <v>0</v>
      </c>
      <c r="E2706" s="1243">
        <f>+'INPUT - B Schedule PLANT'!DX53</f>
        <v>0</v>
      </c>
      <c r="F2706" s="1243">
        <f>+'INPUT - B Schedule PLANT'!DY53</f>
        <v>0</v>
      </c>
      <c r="G2706" s="1243">
        <f t="shared" si="498"/>
        <v>0</v>
      </c>
      <c r="H2706" s="1243"/>
      <c r="I2706" s="1245">
        <f t="shared" si="494"/>
        <v>-26071.5</v>
      </c>
      <c r="J2706" s="376">
        <f>$J$1680</f>
        <v>0.04</v>
      </c>
      <c r="K2706" s="1243">
        <f>ROUND((G2706+D2706)/2*J2706/12,0)</f>
        <v>0</v>
      </c>
      <c r="L2706" s="1243">
        <v>0</v>
      </c>
      <c r="M2706" s="1243">
        <f t="shared" si="495"/>
        <v>0</v>
      </c>
      <c r="N2706" s="1243">
        <v>0</v>
      </c>
      <c r="O2706" s="1243">
        <f t="shared" si="496"/>
        <v>-26071.5</v>
      </c>
    </row>
    <row r="2707" spans="1:15">
      <c r="A2707" s="361">
        <f t="shared" si="497"/>
        <v>10</v>
      </c>
      <c r="B2707" s="365">
        <v>394.13</v>
      </c>
      <c r="C2707" s="358" t="s">
        <v>515</v>
      </c>
      <c r="D2707" s="1243">
        <f t="shared" si="493"/>
        <v>0</v>
      </c>
      <c r="E2707" s="1243">
        <f>+'INPUT - B Schedule PLANT'!DX54</f>
        <v>0</v>
      </c>
      <c r="F2707" s="1243">
        <f>+'INPUT - B Schedule PLANT'!DY54</f>
        <v>0</v>
      </c>
      <c r="G2707" s="1243">
        <f t="shared" si="498"/>
        <v>0</v>
      </c>
      <c r="H2707" s="1243"/>
      <c r="I2707" s="1245">
        <f t="shared" si="494"/>
        <v>37937.360000000001</v>
      </c>
      <c r="J2707" s="376" t="str">
        <f>$J$1681</f>
        <v>Amort.</v>
      </c>
      <c r="K2707" s="1243">
        <v>0</v>
      </c>
      <c r="L2707" s="1243">
        <v>-9468</v>
      </c>
      <c r="M2707" s="1243">
        <f t="shared" si="495"/>
        <v>0</v>
      </c>
      <c r="N2707" s="1243">
        <v>0</v>
      </c>
      <c r="O2707" s="1243">
        <f t="shared" si="496"/>
        <v>28469.360000000001</v>
      </c>
    </row>
    <row r="2708" spans="1:15">
      <c r="A2708" s="361">
        <f t="shared" si="497"/>
        <v>11</v>
      </c>
      <c r="B2708" s="365">
        <v>394.2</v>
      </c>
      <c r="C2708" s="358" t="s">
        <v>420</v>
      </c>
      <c r="D2708" s="1243">
        <f t="shared" si="493"/>
        <v>0</v>
      </c>
      <c r="E2708" s="1243">
        <f>+'INPUT - B Schedule PLANT'!DX55</f>
        <v>0</v>
      </c>
      <c r="F2708" s="1243">
        <f>+'INPUT - B Schedule PLANT'!DY55</f>
        <v>0</v>
      </c>
      <c r="G2708" s="1243">
        <f>SUM(D2708:F2708)</f>
        <v>0</v>
      </c>
      <c r="H2708" s="1243"/>
      <c r="I2708" s="1245">
        <f t="shared" si="494"/>
        <v>185.21</v>
      </c>
      <c r="J2708" s="376">
        <f>$J$1682</f>
        <v>0.04</v>
      </c>
      <c r="K2708" s="1243">
        <f>ROUND((G2708+D2708)/2*J2708/12,0)</f>
        <v>0</v>
      </c>
      <c r="L2708" s="1243">
        <v>0</v>
      </c>
      <c r="M2708" s="1243">
        <f t="shared" si="495"/>
        <v>0</v>
      </c>
      <c r="N2708" s="1243">
        <v>0</v>
      </c>
      <c r="O2708" s="1243">
        <f t="shared" si="496"/>
        <v>185.21</v>
      </c>
    </row>
    <row r="2709" spans="1:15">
      <c r="A2709" s="361">
        <f t="shared" si="497"/>
        <v>12</v>
      </c>
      <c r="B2709" s="365">
        <v>394.3</v>
      </c>
      <c r="C2709" s="358" t="s">
        <v>1602</v>
      </c>
      <c r="D2709" s="1243">
        <f t="shared" si="493"/>
        <v>5296441.5500000007</v>
      </c>
      <c r="E2709" s="1243">
        <f>+'INPUT - B Schedule PLANT'!DX56</f>
        <v>22314.16</v>
      </c>
      <c r="F2709" s="1243">
        <f>+'INPUT - B Schedule PLANT'!DY56</f>
        <v>-9805.2999999999993</v>
      </c>
      <c r="G2709" s="1243">
        <f>SUM(D2709:F2709)</f>
        <v>5308950.4100000011</v>
      </c>
      <c r="H2709" s="1243"/>
      <c r="I2709" s="1245">
        <f t="shared" si="494"/>
        <v>1673215.3299999996</v>
      </c>
      <c r="J2709" s="376">
        <f>$J$1683</f>
        <v>0.04</v>
      </c>
      <c r="K2709" s="1243">
        <f>ROUND((G2709+D2709)/2*J2709/12,0)</f>
        <v>17676</v>
      </c>
      <c r="L2709" s="1243">
        <v>0</v>
      </c>
      <c r="M2709" s="1243">
        <f t="shared" si="495"/>
        <v>-9805.2999999999993</v>
      </c>
      <c r="N2709" s="1243">
        <v>0</v>
      </c>
      <c r="O2709" s="1243">
        <f t="shared" si="496"/>
        <v>1681086.0299999996</v>
      </c>
    </row>
    <row r="2710" spans="1:15">
      <c r="A2710" s="361">
        <f t="shared" si="497"/>
        <v>13</v>
      </c>
      <c r="B2710" s="365">
        <v>395</v>
      </c>
      <c r="C2710" s="358" t="s">
        <v>422</v>
      </c>
      <c r="D2710" s="1243">
        <f t="shared" si="493"/>
        <v>0</v>
      </c>
      <c r="E2710" s="1243">
        <f>+'INPUT - B Schedule PLANT'!DX57</f>
        <v>0</v>
      </c>
      <c r="F2710" s="1243">
        <f>+'INPUT - B Schedule PLANT'!DY57</f>
        <v>0</v>
      </c>
      <c r="G2710" s="1243">
        <f>SUM(D2710:F2710)</f>
        <v>0</v>
      </c>
      <c r="H2710" s="1243"/>
      <c r="I2710" s="1245">
        <f t="shared" si="494"/>
        <v>-100.69999999999845</v>
      </c>
      <c r="J2710" s="376">
        <f>$J$1684</f>
        <v>0.05</v>
      </c>
      <c r="K2710" s="1243">
        <f>ROUND((G2710+D2710)/2*J2710/12,0)</f>
        <v>0</v>
      </c>
      <c r="L2710" s="1243">
        <v>-33</v>
      </c>
      <c r="M2710" s="1243">
        <f t="shared" si="495"/>
        <v>0</v>
      </c>
      <c r="N2710" s="1243">
        <v>0</v>
      </c>
      <c r="O2710" s="1243">
        <f t="shared" si="496"/>
        <v>-133.69999999999845</v>
      </c>
    </row>
    <row r="2711" spans="1:15">
      <c r="A2711" s="361">
        <f t="shared" si="497"/>
        <v>14</v>
      </c>
      <c r="B2711" s="365">
        <v>396</v>
      </c>
      <c r="C2711" s="358" t="s">
        <v>423</v>
      </c>
      <c r="D2711" s="1243">
        <f t="shared" si="493"/>
        <v>185547</v>
      </c>
      <c r="E2711" s="1243">
        <f>+'INPUT - B Schedule PLANT'!DX58</f>
        <v>0</v>
      </c>
      <c r="F2711" s="1243">
        <f>+'INPUT - B Schedule PLANT'!DY58</f>
        <v>0</v>
      </c>
      <c r="G2711" s="1243">
        <f>SUM(D2711:F2711)</f>
        <v>185547</v>
      </c>
      <c r="H2711" s="1243"/>
      <c r="I2711" s="1245">
        <f t="shared" si="494"/>
        <v>171938.14</v>
      </c>
      <c r="J2711" s="376">
        <f>$J$1685</f>
        <v>0</v>
      </c>
      <c r="K2711" s="1243">
        <f>ROUND((G2711+D2711)/2*J2711/12,0)</f>
        <v>0</v>
      </c>
      <c r="L2711" s="1243">
        <v>0</v>
      </c>
      <c r="M2711" s="1243">
        <f t="shared" si="495"/>
        <v>0</v>
      </c>
      <c r="N2711" s="1243">
        <v>0</v>
      </c>
      <c r="O2711" s="1243">
        <f t="shared" si="496"/>
        <v>171938.14</v>
      </c>
    </row>
    <row r="2712" spans="1:15">
      <c r="A2712" s="361">
        <f t="shared" si="497"/>
        <v>15</v>
      </c>
      <c r="B2712" s="365">
        <v>398</v>
      </c>
      <c r="C2712" s="358" t="s">
        <v>424</v>
      </c>
      <c r="D2712" s="1244">
        <f t="shared" si="493"/>
        <v>148028.20000000001</v>
      </c>
      <c r="E2712" s="1244">
        <f>+'INPUT - B Schedule PLANT'!DX59</f>
        <v>0</v>
      </c>
      <c r="F2712" s="1244">
        <f>+'INPUT - B Schedule PLANT'!DY59</f>
        <v>0</v>
      </c>
      <c r="G2712" s="1244">
        <f>SUM(D2712:F2712)</f>
        <v>148028.20000000001</v>
      </c>
      <c r="H2712" s="1243"/>
      <c r="I2712" s="1246">
        <f t="shared" si="494"/>
        <v>79156.549999999945</v>
      </c>
      <c r="J2712" s="376">
        <f>$J$1686</f>
        <v>6.6699999999999995E-2</v>
      </c>
      <c r="K2712" s="1244">
        <f>ROUND((G2712+D2712)/2*J2712/12,0)</f>
        <v>823</v>
      </c>
      <c r="L2712" s="1244">
        <v>3182</v>
      </c>
      <c r="M2712" s="1244">
        <f t="shared" si="495"/>
        <v>0</v>
      </c>
      <c r="N2712" s="1244">
        <v>0</v>
      </c>
      <c r="O2712" s="1244">
        <f t="shared" si="496"/>
        <v>83161.549999999945</v>
      </c>
    </row>
    <row r="2713" spans="1:15">
      <c r="A2713" s="361">
        <f t="shared" si="497"/>
        <v>16</v>
      </c>
      <c r="B2713" s="367"/>
      <c r="C2713" s="358" t="s">
        <v>425</v>
      </c>
      <c r="D2713" s="1243">
        <f>SUM(D2699:D2712)</f>
        <v>6672013.2600000007</v>
      </c>
      <c r="E2713" s="1243">
        <f>SUM(E2699:E2712)</f>
        <v>22314.16</v>
      </c>
      <c r="F2713" s="1243">
        <f>SUM(F2699:F2712)</f>
        <v>-9805.2999999999993</v>
      </c>
      <c r="G2713" s="1243">
        <f>SUM(G2699:G2712)</f>
        <v>6684522.120000001</v>
      </c>
      <c r="H2713" s="1243"/>
      <c r="I2713" s="1243">
        <f>SUM(I2699:I2712)</f>
        <v>2142698.3799999994</v>
      </c>
      <c r="J2713" s="369"/>
      <c r="K2713" s="1243">
        <f>SUM(K2699:K2712)</f>
        <v>23023</v>
      </c>
      <c r="L2713" s="1243">
        <f>SUM(L2699:L2712)</f>
        <v>63240</v>
      </c>
      <c r="M2713" s="1243">
        <f>SUM(M2699:M2712)</f>
        <v>-9805.2999999999993</v>
      </c>
      <c r="N2713" s="1243">
        <f>SUM(N2699:N2712)</f>
        <v>0</v>
      </c>
      <c r="O2713" s="1243">
        <f>SUM(O2699:O2712)</f>
        <v>2219156.0799999991</v>
      </c>
    </row>
    <row r="2714" spans="1:15">
      <c r="A2714" s="361"/>
      <c r="D2714" s="1243"/>
      <c r="E2714" s="1243"/>
      <c r="F2714" s="1243"/>
      <c r="G2714" s="1243"/>
      <c r="H2714" s="1243"/>
      <c r="I2714" s="1243"/>
      <c r="J2714" s="369"/>
      <c r="K2714" s="1243"/>
      <c r="L2714" s="1243"/>
      <c r="M2714" s="1243"/>
      <c r="N2714" s="1243"/>
      <c r="O2714" s="1243"/>
    </row>
    <row r="2715" spans="1:15">
      <c r="A2715" s="361">
        <f>A2713+1</f>
        <v>17</v>
      </c>
      <c r="B2715" s="363" t="s">
        <v>1038</v>
      </c>
      <c r="D2715" s="1243"/>
      <c r="E2715" s="1243"/>
      <c r="F2715" s="1243"/>
      <c r="G2715" s="1243"/>
      <c r="H2715" s="1243"/>
      <c r="I2715" s="1243"/>
      <c r="J2715" s="369"/>
      <c r="K2715" s="1243"/>
      <c r="L2715" s="1243"/>
      <c r="M2715" s="1243"/>
      <c r="N2715" s="1243"/>
      <c r="O2715" s="1243"/>
    </row>
    <row r="2716" spans="1:15">
      <c r="A2716" s="361">
        <f>A2715+1</f>
        <v>18</v>
      </c>
      <c r="B2716" s="365">
        <v>378.21</v>
      </c>
      <c r="C2716" s="358" t="s">
        <v>1037</v>
      </c>
      <c r="D2716" s="1244">
        <f>G2602</f>
        <v>-777092</v>
      </c>
      <c r="E2716" s="1244">
        <v>0</v>
      </c>
      <c r="F2716" s="1244">
        <v>0</v>
      </c>
      <c r="G2716" s="1244">
        <f>SUM(D2716:F2716)</f>
        <v>-777092</v>
      </c>
      <c r="H2716" s="1243"/>
      <c r="I2716" s="1244">
        <f>O2602</f>
        <v>-227956.21000000025</v>
      </c>
      <c r="J2716" s="376" t="str">
        <f>$J$1690</f>
        <v>Amort.</v>
      </c>
      <c r="K2716" s="1244">
        <f>$K$1348</f>
        <v>-2144.17</v>
      </c>
      <c r="L2716" s="1244">
        <v>0</v>
      </c>
      <c r="M2716" s="1244">
        <f>F2716</f>
        <v>0</v>
      </c>
      <c r="N2716" s="1244">
        <v>0</v>
      </c>
      <c r="O2716" s="1244">
        <f>I2716+K2716+L2716+M2716+N2716</f>
        <v>-230100.38000000027</v>
      </c>
    </row>
    <row r="2717" spans="1:15">
      <c r="A2717" s="361">
        <f>A2716+1</f>
        <v>19</v>
      </c>
      <c r="B2717" s="370"/>
      <c r="C2717" s="358" t="s">
        <v>1579</v>
      </c>
      <c r="D2717" s="1243">
        <f>SUM(D2716)</f>
        <v>-777092</v>
      </c>
      <c r="E2717" s="1243">
        <f>SUM(E2716)</f>
        <v>0</v>
      </c>
      <c r="F2717" s="1243">
        <f>SUM(F2716)</f>
        <v>0</v>
      </c>
      <c r="G2717" s="1243">
        <f>SUM(G2716)</f>
        <v>-777092</v>
      </c>
      <c r="H2717" s="1243"/>
      <c r="I2717" s="1243">
        <f>SUM(I2716)</f>
        <v>-227956.21000000025</v>
      </c>
      <c r="J2717" s="369"/>
      <c r="K2717" s="1243">
        <f>SUM(K2716)</f>
        <v>-2144.17</v>
      </c>
      <c r="L2717" s="1243">
        <f>SUM(L2716)</f>
        <v>0</v>
      </c>
      <c r="M2717" s="1243">
        <f>SUM(M2716)</f>
        <v>0</v>
      </c>
      <c r="N2717" s="1243">
        <f>SUM(N2716)</f>
        <v>0</v>
      </c>
      <c r="O2717" s="1243">
        <f>SUM(O2716)</f>
        <v>-230100.38000000027</v>
      </c>
    </row>
    <row r="2718" spans="1:15">
      <c r="A2718" s="361"/>
      <c r="B2718" s="370"/>
      <c r="D2718" s="1243"/>
      <c r="E2718" s="1243"/>
      <c r="F2718" s="1243"/>
      <c r="G2718" s="1243"/>
      <c r="H2718" s="1243"/>
      <c r="I2718" s="1243"/>
      <c r="J2718" s="369"/>
      <c r="K2718" s="1243"/>
      <c r="L2718" s="1243"/>
      <c r="M2718" s="1243"/>
      <c r="N2718" s="1243"/>
      <c r="O2718" s="1243"/>
    </row>
    <row r="2719" spans="1:15">
      <c r="A2719" s="361">
        <f>A2717+1</f>
        <v>20</v>
      </c>
      <c r="B2719" s="370"/>
      <c r="C2719" s="358" t="s">
        <v>2037</v>
      </c>
      <c r="D2719" s="1243">
        <f>D2646+D2679+D2713+D2717</f>
        <v>758430204.63723731</v>
      </c>
      <c r="E2719" s="1243">
        <f>E2646+E2679+E2713+E2717</f>
        <v>4548248.6862942642</v>
      </c>
      <c r="F2719" s="1243">
        <f>F2646+F2679+F2713+F2717</f>
        <v>-455568.01860963344</v>
      </c>
      <c r="G2719" s="1243">
        <f>G2646+G2679+G2713+G2717</f>
        <v>762522885.30492222</v>
      </c>
      <c r="H2719" s="1243"/>
      <c r="I2719" s="1243">
        <f>I2646+I2679+I2713+I2717</f>
        <v>191152253.51910126</v>
      </c>
      <c r="J2719" s="369"/>
      <c r="K2719" s="1243">
        <f>K2646+K2679+K2713+K2717</f>
        <v>1845061.9827357691</v>
      </c>
      <c r="L2719" s="1243">
        <f>L2646+L2679+L2713+L2717</f>
        <v>63240</v>
      </c>
      <c r="M2719" s="1243">
        <f>M2646+M2679+M2713+M2717</f>
        <v>-455568.01860963344</v>
      </c>
      <c r="N2719" s="1243">
        <f>N2646+N2679+N2713+N2717</f>
        <v>-32066.163892411219</v>
      </c>
      <c r="O2719" s="1243">
        <f>O2646+O2679+O2713+O2717</f>
        <v>192572921.31933495</v>
      </c>
    </row>
    <row r="2720" spans="1:15">
      <c r="A2720" s="361"/>
      <c r="B2720" s="370"/>
      <c r="D2720" s="1243"/>
      <c r="E2720" s="1243"/>
      <c r="F2720" s="1243"/>
      <c r="G2720" s="1243"/>
      <c r="H2720" s="1243"/>
      <c r="I2720" s="1243"/>
      <c r="J2720" s="369"/>
      <c r="K2720" s="1243"/>
      <c r="L2720" s="1243"/>
      <c r="M2720" s="1243"/>
      <c r="N2720" s="1243"/>
      <c r="O2720" s="1243"/>
    </row>
    <row r="2721" spans="1:15">
      <c r="A2721" s="361">
        <f>A2719+1</f>
        <v>21</v>
      </c>
      <c r="B2721" s="370"/>
      <c r="C2721" s="358" t="s">
        <v>2038</v>
      </c>
      <c r="D2721" s="1243">
        <v>0</v>
      </c>
      <c r="E2721" s="1249">
        <v>0</v>
      </c>
      <c r="F2721" s="1249">
        <v>0</v>
      </c>
      <c r="G2721" s="1249">
        <f>SUM(D2721:F2721)</f>
        <v>0</v>
      </c>
      <c r="H2721" s="1243"/>
      <c r="I2721" s="1243">
        <f>O2607</f>
        <v>-6687302.71</v>
      </c>
      <c r="J2721" s="369"/>
      <c r="K2721" s="1243"/>
      <c r="L2721" s="1243"/>
      <c r="M2721" s="1243"/>
      <c r="N2721" s="1243"/>
      <c r="O2721" s="1243">
        <f>I2721+K2721+L2721+M2721+N2721</f>
        <v>-6687302.71</v>
      </c>
    </row>
    <row r="2722" spans="1:15">
      <c r="A2722" s="361"/>
      <c r="B2722" s="370"/>
      <c r="C2722" s="368"/>
      <c r="D2722" s="1243"/>
      <c r="E2722" s="1243"/>
      <c r="F2722" s="1243"/>
      <c r="G2722" s="1243"/>
      <c r="H2722" s="1243"/>
      <c r="I2722" s="1243"/>
      <c r="J2722" s="369"/>
      <c r="K2722" s="1243"/>
      <c r="L2722" s="1243"/>
      <c r="M2722" s="1243"/>
      <c r="N2722" s="1243"/>
      <c r="O2722" s="1243"/>
    </row>
    <row r="2723" spans="1:15">
      <c r="A2723" s="361">
        <f>A2721+1</f>
        <v>22</v>
      </c>
      <c r="C2723" s="358" t="s">
        <v>1603</v>
      </c>
      <c r="D2723" s="1247">
        <f>D2719+D2721</f>
        <v>758430204.63723731</v>
      </c>
      <c r="E2723" s="1247">
        <f t="shared" ref="E2723:O2723" si="499">E2719+E2721</f>
        <v>4548248.6862942642</v>
      </c>
      <c r="F2723" s="1247">
        <f t="shared" si="499"/>
        <v>-455568.01860963344</v>
      </c>
      <c r="G2723" s="1247">
        <f t="shared" si="499"/>
        <v>762522885.30492222</v>
      </c>
      <c r="H2723" s="1243"/>
      <c r="I2723" s="1247">
        <f t="shared" si="499"/>
        <v>184464950.80910125</v>
      </c>
      <c r="J2723" s="369"/>
      <c r="K2723" s="1247">
        <f t="shared" si="499"/>
        <v>1845061.9827357691</v>
      </c>
      <c r="L2723" s="1247">
        <f t="shared" si="499"/>
        <v>63240</v>
      </c>
      <c r="M2723" s="1247">
        <f t="shared" si="499"/>
        <v>-455568.01860963344</v>
      </c>
      <c r="N2723" s="1247">
        <f t="shared" si="499"/>
        <v>-32066.163892411219</v>
      </c>
      <c r="O2723" s="1247">
        <f t="shared" si="499"/>
        <v>185885618.60933495</v>
      </c>
    </row>
    <row r="2724" spans="1:15">
      <c r="A2724" s="361"/>
      <c r="D2724" s="1243"/>
      <c r="E2724" s="1243"/>
      <c r="F2724" s="1243"/>
      <c r="G2724" s="1243"/>
      <c r="H2724" s="1243"/>
      <c r="I2724" s="1243"/>
      <c r="J2724" s="369"/>
      <c r="K2724" s="1243"/>
      <c r="L2724" s="1243"/>
      <c r="M2724" s="1243"/>
      <c r="N2724" s="1243"/>
      <c r="O2724" s="1243"/>
    </row>
    <row r="2725" spans="1:15">
      <c r="A2725" s="361"/>
      <c r="D2725" s="1243"/>
      <c r="E2725" s="1243"/>
      <c r="F2725" s="1243"/>
      <c r="G2725" s="1243"/>
      <c r="H2725" s="1243"/>
      <c r="I2725" s="1243"/>
      <c r="J2725" s="369"/>
      <c r="K2725" s="1243"/>
      <c r="L2725" s="1243"/>
      <c r="M2725" s="1243"/>
      <c r="N2725" s="1243"/>
      <c r="O2725" s="1243"/>
    </row>
    <row r="2726" spans="1:15">
      <c r="A2726" s="361">
        <f>A2723+1</f>
        <v>23</v>
      </c>
      <c r="B2726" s="363" t="s">
        <v>1774</v>
      </c>
      <c r="D2726" s="1243"/>
      <c r="E2726" s="1243"/>
      <c r="F2726" s="1243"/>
      <c r="G2726" s="1243"/>
      <c r="H2726" s="1243"/>
      <c r="I2726" s="1243"/>
      <c r="J2726" s="369"/>
      <c r="K2726" s="1243"/>
      <c r="L2726" s="1243"/>
      <c r="M2726" s="1243"/>
      <c r="N2726" s="1243"/>
      <c r="O2726" s="1243"/>
    </row>
    <row r="2727" spans="1:15">
      <c r="A2727" s="361">
        <f t="shared" ref="A2727:A2732" si="500">A2726+1</f>
        <v>24</v>
      </c>
      <c r="B2727" s="365">
        <v>376</v>
      </c>
      <c r="C2727" s="358" t="s">
        <v>1775</v>
      </c>
      <c r="D2727" s="1243">
        <f>G2613</f>
        <v>49091809.950889282</v>
      </c>
      <c r="E2727" s="1243">
        <f>'WPB-2.1.D SMRP'!E1076</f>
        <v>3267355.6289632525</v>
      </c>
      <c r="F2727" s="1243">
        <f>'WPB-2.1.D SMRP'!F1076</f>
        <v>-114056.75634620605</v>
      </c>
      <c r="G2727" s="1243">
        <f>SUM(D2727:F2727)</f>
        <v>52245108.823506333</v>
      </c>
      <c r="H2727" s="1243"/>
      <c r="I2727" s="1243">
        <f>O2613</f>
        <v>317234.89731877844</v>
      </c>
      <c r="J2727" s="376">
        <f>$J$1701</f>
        <v>1.7399999999999999E-2</v>
      </c>
      <c r="K2727" s="1243">
        <f>'WPB-2.1.D SMRP'!K1076</f>
        <v>73469.141999999993</v>
      </c>
      <c r="L2727" s="1243">
        <v>0</v>
      </c>
      <c r="M2727" s="1243">
        <f>F2727</f>
        <v>-114056.75634620605</v>
      </c>
      <c r="N2727" s="1243">
        <f>'WPB-2.1.D SMRP'!N1076</f>
        <v>-7757.6970501782007</v>
      </c>
      <c r="O2727" s="1243">
        <f>I2727+K2727+L2727+M2727+N2727</f>
        <v>268889.58592239418</v>
      </c>
    </row>
    <row r="2728" spans="1:15">
      <c r="A2728" s="361">
        <f t="shared" si="500"/>
        <v>25</v>
      </c>
      <c r="B2728" s="365">
        <v>378.2</v>
      </c>
      <c r="C2728" s="358" t="s">
        <v>1776</v>
      </c>
      <c r="D2728" s="1243">
        <f>G2614</f>
        <v>492311.78425750596</v>
      </c>
      <c r="E2728" s="1243">
        <f>'WPB-2.1.D SMRP'!E1077</f>
        <v>146303.31484207869</v>
      </c>
      <c r="F2728" s="1243">
        <f>'WPB-2.1.D SMRP'!F1077</f>
        <v>-38834.478989365198</v>
      </c>
      <c r="G2728" s="1243">
        <f>SUM(D2728:F2728)</f>
        <v>599780.62011021946</v>
      </c>
      <c r="H2728" s="1243"/>
      <c r="I2728" s="1243">
        <f>O2614</f>
        <v>-904158.8085644875</v>
      </c>
      <c r="J2728" s="376">
        <f>$J$1702</f>
        <v>2.52E-2</v>
      </c>
      <c r="K2728" s="1243">
        <f>'WPB-2.1.D SMRP'!K1077</f>
        <v>1146.8420000000001</v>
      </c>
      <c r="L2728" s="1243">
        <v>0</v>
      </c>
      <c r="M2728" s="1243">
        <f>F2728</f>
        <v>-38834.478989365198</v>
      </c>
      <c r="N2728" s="1243">
        <f>'WPB-2.1.D SMRP'!N1077</f>
        <v>-2970.8319873074929</v>
      </c>
      <c r="O2728" s="1243">
        <f>I2728+K2728+L2728+M2728+N2728</f>
        <v>-944817.27754116023</v>
      </c>
    </row>
    <row r="2729" spans="1:15">
      <c r="A2729" s="361">
        <f t="shared" si="500"/>
        <v>26</v>
      </c>
      <c r="B2729" s="365">
        <v>380</v>
      </c>
      <c r="C2729" s="358" t="s">
        <v>1777</v>
      </c>
      <c r="D2729" s="1243">
        <f>G2615</f>
        <v>21276002.809687451</v>
      </c>
      <c r="E2729" s="1243">
        <f>'WPB-2.1.D SMRP'!E1078</f>
        <v>1237369.0651950168</v>
      </c>
      <c r="F2729" s="1243">
        <f>'WPB-2.1.D SMRP'!F1078</f>
        <v>-546965.25067789725</v>
      </c>
      <c r="G2729" s="1243">
        <f>SUM(D2729:F2729)</f>
        <v>21966406.624204569</v>
      </c>
      <c r="H2729" s="1243"/>
      <c r="I2729" s="1243">
        <f>O2615</f>
        <v>-10744085.890568867</v>
      </c>
      <c r="J2729" s="376">
        <f>$J$1703</f>
        <v>3.9800000000000002E-2</v>
      </c>
      <c r="K2729" s="1243">
        <f>'WPB-2.1.D SMRP'!K1078</f>
        <v>71709.919999999998</v>
      </c>
      <c r="L2729" s="1243">
        <v>0</v>
      </c>
      <c r="M2729" s="1243">
        <f>F2729</f>
        <v>-546965.25067789725</v>
      </c>
      <c r="N2729" s="1243">
        <f>'WPB-2.1.D SMRP'!N1078</f>
        <v>-194932.83707010309</v>
      </c>
      <c r="O2729" s="1243">
        <f>I2729+K2729+L2729+M2729+N2729</f>
        <v>-11414274.058316868</v>
      </c>
    </row>
    <row r="2730" spans="1:15">
      <c r="A2730" s="361">
        <f t="shared" si="500"/>
        <v>27</v>
      </c>
      <c r="B2730" s="365">
        <v>382</v>
      </c>
      <c r="C2730" s="358" t="s">
        <v>1778</v>
      </c>
      <c r="D2730" s="1243">
        <f>G2616</f>
        <v>202956.27488355074</v>
      </c>
      <c r="E2730" s="1243">
        <f>'WPB-2.1.D SMRP'!E1079</f>
        <v>25917.849043321596</v>
      </c>
      <c r="F2730" s="1243">
        <f>'WPB-2.1.D SMRP'!F1079</f>
        <v>-368.52939989722609</v>
      </c>
      <c r="G2730" s="1243">
        <f>SUM(D2730:F2730)</f>
        <v>228505.5945269751</v>
      </c>
      <c r="H2730" s="1243"/>
      <c r="I2730" s="1243">
        <f>O2616</f>
        <v>-74891.564241790475</v>
      </c>
      <c r="J2730" s="376">
        <f>$J$1704</f>
        <v>1.77E-2</v>
      </c>
      <c r="K2730" s="1243">
        <f>'WPB-2.1.D SMRP'!K1079</f>
        <v>317.84300000000002</v>
      </c>
      <c r="L2730" s="1243">
        <v>0</v>
      </c>
      <c r="M2730" s="1243">
        <f>F2730</f>
        <v>-368.52939989722609</v>
      </c>
      <c r="N2730" s="1243">
        <f>'WPB-2.1.D SMRP'!N1079</f>
        <v>0</v>
      </c>
      <c r="O2730" s="1243">
        <f>I2730+K2730+L2730+M2730+N2730</f>
        <v>-74942.2506416877</v>
      </c>
    </row>
    <row r="2731" spans="1:15">
      <c r="A2731" s="361">
        <f t="shared" si="500"/>
        <v>28</v>
      </c>
      <c r="B2731" s="365">
        <v>383</v>
      </c>
      <c r="C2731" s="358" t="s">
        <v>1779</v>
      </c>
      <c r="D2731" s="1244">
        <f>G2617</f>
        <v>127848.9280105831</v>
      </c>
      <c r="E2731" s="1244">
        <f>'WPB-2.1.D SMRP'!E1080</f>
        <v>16927.243246591654</v>
      </c>
      <c r="F2731" s="1244">
        <f>'WPB-2.1.D SMRP'!F1080</f>
        <v>-61.175977000806</v>
      </c>
      <c r="G2731" s="1244">
        <f>SUM(D2731:F2731)</f>
        <v>144714.99528017396</v>
      </c>
      <c r="H2731" s="1243"/>
      <c r="I2731" s="1244">
        <f>O2617</f>
        <v>-8993.4764514981252</v>
      </c>
      <c r="J2731" s="376">
        <f>$J$1705</f>
        <v>1.9400000000000001E-2</v>
      </c>
      <c r="K2731" s="1244">
        <f>'WPB-2.1.D SMRP'!K1080</f>
        <v>220.63300000000001</v>
      </c>
      <c r="L2731" s="1244">
        <v>0</v>
      </c>
      <c r="M2731" s="1244">
        <f>F2731</f>
        <v>-61.175977000806</v>
      </c>
      <c r="N2731" s="1244">
        <f>'WPB-2.1.D SMRP'!N1080</f>
        <v>0</v>
      </c>
      <c r="O2731" s="1244">
        <f>I2731+K2731+L2731+M2731+N2731</f>
        <v>-8834.019428498932</v>
      </c>
    </row>
    <row r="2732" spans="1:15">
      <c r="A2732" s="361">
        <f t="shared" si="500"/>
        <v>29</v>
      </c>
      <c r="C2732" s="358" t="s">
        <v>1780</v>
      </c>
      <c r="D2732" s="1243">
        <f>SUM(D2727:D2731)</f>
        <v>71190929.747728378</v>
      </c>
      <c r="E2732" s="1243">
        <f>SUM(E2727:E2731)</f>
        <v>4693873.1012902614</v>
      </c>
      <c r="F2732" s="1243">
        <f>SUM(F2727:F2731)</f>
        <v>-700286.19139036653</v>
      </c>
      <c r="G2732" s="1243">
        <f>SUM(G2727:G2731)</f>
        <v>75184516.657628268</v>
      </c>
      <c r="H2732" s="1243"/>
      <c r="I2732" s="1243">
        <f>SUM(I2727:I2731)</f>
        <v>-11414894.842507865</v>
      </c>
      <c r="J2732" s="369"/>
      <c r="K2732" s="1243">
        <f>SUM(K2727:K2731)</f>
        <v>146864.37999999998</v>
      </c>
      <c r="L2732" s="1243">
        <f>SUM(L2727:L2731)</f>
        <v>0</v>
      </c>
      <c r="M2732" s="1243">
        <f>SUM(M2727:M2731)</f>
        <v>-700286.19139036653</v>
      </c>
      <c r="N2732" s="1243">
        <f>SUM(N2727:N2731)</f>
        <v>-205661.36610758878</v>
      </c>
      <c r="O2732" s="1243">
        <f>SUM(O2727:O2731)</f>
        <v>-12173978.02000582</v>
      </c>
    </row>
    <row r="2733" spans="1:15">
      <c r="A2733" s="361"/>
      <c r="D2733" s="1243"/>
      <c r="E2733" s="1243"/>
      <c r="F2733" s="1243"/>
      <c r="G2733" s="1243"/>
      <c r="H2733" s="1243"/>
      <c r="I2733" s="1243"/>
      <c r="J2733" s="369"/>
      <c r="K2733" s="1243"/>
      <c r="L2733" s="1243"/>
      <c r="M2733" s="1243"/>
      <c r="N2733" s="1243"/>
      <c r="O2733" s="1243"/>
    </row>
    <row r="2734" spans="1:15" ht="13.5" thickBot="1">
      <c r="A2734" s="361">
        <f>A2732+1</f>
        <v>30</v>
      </c>
      <c r="C2734" s="358" t="s">
        <v>447</v>
      </c>
      <c r="D2734" s="1248">
        <f>D2723+D2732</f>
        <v>829621134.38496566</v>
      </c>
      <c r="E2734" s="1248">
        <f>E2723+E2732</f>
        <v>9242121.7875845246</v>
      </c>
      <c r="F2734" s="1248">
        <f>F2723+F2732</f>
        <v>-1155854.21</v>
      </c>
      <c r="G2734" s="1248">
        <f>G2723+G2732</f>
        <v>837707401.96255052</v>
      </c>
      <c r="H2734" s="1243"/>
      <c r="I2734" s="1248">
        <f>I2723+I2732</f>
        <v>173050055.96659338</v>
      </c>
      <c r="J2734" s="369"/>
      <c r="K2734" s="1248">
        <f>K2723+K2732</f>
        <v>1991926.362735769</v>
      </c>
      <c r="L2734" s="1248">
        <f>L2723+L2732</f>
        <v>63240</v>
      </c>
      <c r="M2734" s="1248">
        <f>M2723+M2732</f>
        <v>-1155854.21</v>
      </c>
      <c r="N2734" s="1248">
        <f>N2723+N2732</f>
        <v>-237727.53</v>
      </c>
      <c r="O2734" s="1248">
        <f>O2723+O2732</f>
        <v>173711640.58932912</v>
      </c>
    </row>
    <row r="2735" spans="1:15" ht="13.5" thickTop="1"/>
    <row r="2737" spans="1:16" s="291" customFormat="1">
      <c r="A2737" s="1308" t="str">
        <f>$A$1</f>
        <v>COLUMBIA GAS OF KENTUCKY, INC.</v>
      </c>
      <c r="B2737" s="1308"/>
      <c r="C2737" s="1308"/>
      <c r="D2737" s="1308"/>
      <c r="E2737" s="1308"/>
      <c r="F2737" s="1308"/>
      <c r="G2737" s="1308"/>
      <c r="H2737" s="1308"/>
      <c r="I2737" s="1308"/>
      <c r="J2737" s="1308"/>
      <c r="K2737" s="1308"/>
      <c r="L2737" s="1308"/>
      <c r="M2737" s="1308"/>
      <c r="N2737" s="1308"/>
      <c r="O2737" s="1308"/>
    </row>
    <row r="2738" spans="1:16" s="291" customFormat="1">
      <c r="A2738" s="1308" t="str">
        <f>$A$2</f>
        <v>CASE NO. 2024 - 00092</v>
      </c>
      <c r="B2738" s="1308"/>
      <c r="C2738" s="1308"/>
      <c r="D2738" s="1308"/>
      <c r="E2738" s="1308"/>
      <c r="F2738" s="1308"/>
      <c r="G2738" s="1308"/>
      <c r="H2738" s="1308"/>
      <c r="I2738" s="1308"/>
      <c r="J2738" s="1308"/>
      <c r="K2738" s="1308"/>
      <c r="L2738" s="1308"/>
      <c r="M2738" s="1308"/>
      <c r="N2738" s="1308"/>
      <c r="O2738" s="1308"/>
    </row>
    <row r="2739" spans="1:16" s="291" customFormat="1">
      <c r="A2739" s="1308" t="str">
        <f>$A$3</f>
        <v>DETAIL OF ACTUAL &amp; FORECASTED PLANT, ACCUMULATED RESERVE &amp; DEPRECIATION EXPENSE</v>
      </c>
      <c r="B2739" s="1308"/>
      <c r="C2739" s="1308"/>
      <c r="D2739" s="1308"/>
      <c r="E2739" s="1308"/>
      <c r="F2739" s="1308"/>
      <c r="G2739" s="1308"/>
      <c r="H2739" s="1308"/>
      <c r="I2739" s="1308"/>
      <c r="J2739" s="1308"/>
      <c r="K2739" s="1308"/>
      <c r="L2739" s="1308"/>
      <c r="M2739" s="1308"/>
      <c r="N2739" s="1308"/>
      <c r="O2739" s="1308"/>
      <c r="P2739" s="357"/>
    </row>
    <row r="2740" spans="1:16" s="291" customFormat="1">
      <c r="A2740" s="1308" t="str">
        <f>$A$4</f>
        <v>FROM JANUARY 01, 2023 THROUGH DECEMBER 31, 2025</v>
      </c>
      <c r="B2740" s="1308"/>
      <c r="C2740" s="1308"/>
      <c r="D2740" s="1308"/>
      <c r="E2740" s="1308"/>
      <c r="F2740" s="1308"/>
      <c r="G2740" s="1308"/>
      <c r="H2740" s="1308"/>
      <c r="I2740" s="1308"/>
      <c r="J2740" s="1308"/>
      <c r="K2740" s="1308"/>
      <c r="L2740" s="1308"/>
      <c r="M2740" s="1308"/>
      <c r="N2740" s="1308"/>
      <c r="O2740" s="1308"/>
    </row>
    <row r="2741" spans="1:16" s="291" customFormat="1">
      <c r="B2741" s="293"/>
      <c r="P2741" s="312"/>
    </row>
    <row r="2742" spans="1:16" s="291" customFormat="1">
      <c r="A2742" s="297" t="str">
        <f>$A$6</f>
        <v xml:space="preserve">DATA: _X_ BASE PERIOD _X_ FORECASTED PERIOD     </v>
      </c>
      <c r="B2742" s="293"/>
      <c r="O2742" s="312" t="str">
        <f>$O$6</f>
        <v>WPB-2.1.C</v>
      </c>
      <c r="P2742" s="312"/>
    </row>
    <row r="2743" spans="1:16" s="291" customFormat="1">
      <c r="A2743" s="297" t="str">
        <f>$A$7</f>
        <v>TYPE OF FILING:___X___ORIGINAL______UPDATED</v>
      </c>
      <c r="B2743" s="293"/>
      <c r="O2743" s="312" t="s">
        <v>2174</v>
      </c>
      <c r="P2743" s="312"/>
    </row>
    <row r="2744" spans="1:16" s="291" customFormat="1">
      <c r="A2744" s="297" t="str">
        <f>$A$8</f>
        <v>WORKPAPER REFERENCE NO(S).:</v>
      </c>
      <c r="B2744" s="293"/>
      <c r="O2744" s="312" t="str">
        <f>$O$8</f>
        <v>WITNESS: GORE</v>
      </c>
    </row>
    <row r="2745" spans="1:16">
      <c r="A2745" s="918"/>
      <c r="B2745" s="919"/>
      <c r="C2745" s="918"/>
      <c r="D2745" s="918"/>
      <c r="E2745" s="918"/>
      <c r="F2745" s="918"/>
      <c r="G2745" s="918"/>
      <c r="H2745" s="918"/>
      <c r="I2745" s="918"/>
      <c r="J2745" s="918"/>
      <c r="K2745" s="918"/>
      <c r="L2745" s="918"/>
      <c r="M2745" s="918"/>
      <c r="N2745" s="918"/>
      <c r="O2745" s="920"/>
    </row>
    <row r="2746" spans="1:16">
      <c r="D2746" s="1311" t="s">
        <v>1768</v>
      </c>
      <c r="E2746" s="1311"/>
      <c r="F2746" s="1311"/>
      <c r="G2746" s="1311"/>
      <c r="I2746" s="1311" t="s">
        <v>1769</v>
      </c>
      <c r="J2746" s="1311"/>
      <c r="K2746" s="1311"/>
      <c r="L2746" s="1311"/>
      <c r="M2746" s="1311"/>
      <c r="N2746" s="1311"/>
      <c r="O2746" s="1311"/>
    </row>
    <row r="2747" spans="1:16">
      <c r="D2747" s="360">
        <f>G2692+1</f>
        <v>45658</v>
      </c>
      <c r="G2747" s="360">
        <f>D2747+30</f>
        <v>45688</v>
      </c>
      <c r="I2747" s="360">
        <f>D2747</f>
        <v>45658</v>
      </c>
      <c r="O2747" s="360">
        <f>G2747</f>
        <v>45688</v>
      </c>
    </row>
    <row r="2748" spans="1:16">
      <c r="D2748" s="361" t="s">
        <v>1757</v>
      </c>
      <c r="G2748" s="361" t="s">
        <v>1757</v>
      </c>
      <c r="I2748" s="361" t="s">
        <v>1758</v>
      </c>
      <c r="J2748" s="361" t="s">
        <v>488</v>
      </c>
      <c r="L2748" s="361" t="s">
        <v>1758</v>
      </c>
      <c r="O2748" s="361" t="s">
        <v>1758</v>
      </c>
    </row>
    <row r="2749" spans="1:16">
      <c r="A2749" s="361" t="s">
        <v>1770</v>
      </c>
      <c r="B2749" s="361" t="s">
        <v>368</v>
      </c>
      <c r="C2749" s="361"/>
      <c r="D2749" s="361" t="s">
        <v>437</v>
      </c>
      <c r="G2749" s="361" t="s">
        <v>439</v>
      </c>
      <c r="I2749" s="361" t="s">
        <v>437</v>
      </c>
      <c r="J2749" s="361" t="s">
        <v>1771</v>
      </c>
      <c r="K2749" s="361" t="s">
        <v>1772</v>
      </c>
      <c r="L2749" s="361" t="s">
        <v>1759</v>
      </c>
      <c r="N2749" s="361" t="s">
        <v>1760</v>
      </c>
      <c r="O2749" s="361" t="s">
        <v>439</v>
      </c>
    </row>
    <row r="2750" spans="1:16">
      <c r="A2750" s="364" t="s">
        <v>316</v>
      </c>
      <c r="B2750" s="364" t="s">
        <v>316</v>
      </c>
      <c r="C2750" s="364" t="s">
        <v>451</v>
      </c>
      <c r="D2750" s="364" t="s">
        <v>441</v>
      </c>
      <c r="E2750" s="364" t="s">
        <v>442</v>
      </c>
      <c r="F2750" s="364" t="s">
        <v>443</v>
      </c>
      <c r="G2750" s="364" t="s">
        <v>441</v>
      </c>
      <c r="I2750" s="364" t="s">
        <v>441</v>
      </c>
      <c r="J2750" s="364" t="s">
        <v>1773</v>
      </c>
      <c r="K2750" s="364" t="s">
        <v>1771</v>
      </c>
      <c r="L2750" s="364" t="s">
        <v>355</v>
      </c>
      <c r="M2750" s="364" t="s">
        <v>443</v>
      </c>
      <c r="N2750" s="364" t="s">
        <v>1763</v>
      </c>
      <c r="O2750" s="364" t="s">
        <v>441</v>
      </c>
    </row>
    <row r="2751" spans="1:16">
      <c r="D2751" s="361" t="s">
        <v>532</v>
      </c>
      <c r="E2751" s="361" t="s">
        <v>541</v>
      </c>
      <c r="F2751" s="361" t="s">
        <v>542</v>
      </c>
      <c r="G2751" s="361" t="s">
        <v>1764</v>
      </c>
      <c r="I2751" s="334" t="str">
        <f>"(5)"</f>
        <v>(5)</v>
      </c>
      <c r="J2751" s="334" t="str">
        <f>"(6)"</f>
        <v>(6)</v>
      </c>
      <c r="K2751" s="334" t="str">
        <f>"(7)=((1+4)/2*6/12))"</f>
        <v>(7)=((1+4)/2*6/12))</v>
      </c>
      <c r="L2751" s="334" t="str">
        <f>"(8)"</f>
        <v>(8)</v>
      </c>
      <c r="M2751" s="334" t="str">
        <f>"(9)"</f>
        <v>(9)</v>
      </c>
      <c r="N2751" s="334" t="str">
        <f>"(10)"</f>
        <v>(10)</v>
      </c>
      <c r="O2751" s="334" t="str">
        <f>"(11=5+7+8+9+10)"</f>
        <v>(11=5+7+8+9+10)</v>
      </c>
    </row>
    <row r="2752" spans="1:16">
      <c r="D2752" s="361" t="s">
        <v>320</v>
      </c>
      <c r="E2752" s="361" t="s">
        <v>320</v>
      </c>
      <c r="F2752" s="361" t="s">
        <v>320</v>
      </c>
      <c r="G2752" s="361" t="s">
        <v>320</v>
      </c>
      <c r="I2752" s="334" t="s">
        <v>320</v>
      </c>
      <c r="J2752" s="334" t="s">
        <v>529</v>
      </c>
      <c r="K2752" s="334" t="s">
        <v>320</v>
      </c>
      <c r="L2752" s="334" t="s">
        <v>320</v>
      </c>
      <c r="M2752" s="334" t="s">
        <v>320</v>
      </c>
      <c r="N2752" s="334" t="s">
        <v>320</v>
      </c>
      <c r="O2752" s="334" t="s">
        <v>320</v>
      </c>
    </row>
    <row r="2753" spans="1:15">
      <c r="A2753" s="361">
        <v>1</v>
      </c>
      <c r="B2753" s="362" t="s">
        <v>373</v>
      </c>
      <c r="D2753" s="361"/>
      <c r="E2753" s="361"/>
      <c r="F2753" s="361"/>
      <c r="G2753" s="361"/>
      <c r="I2753" s="334"/>
      <c r="J2753" s="334"/>
      <c r="K2753" s="334"/>
      <c r="L2753" s="334"/>
      <c r="M2753" s="334"/>
      <c r="N2753" s="334"/>
      <c r="O2753" s="334"/>
    </row>
    <row r="2754" spans="1:15">
      <c r="A2754" s="361">
        <f>A2753+1</f>
        <v>2</v>
      </c>
      <c r="B2754" s="365">
        <v>301</v>
      </c>
      <c r="C2754" s="358" t="s">
        <v>374</v>
      </c>
      <c r="D2754" s="1243">
        <f t="shared" ref="D2754:D2759" si="501">G2640</f>
        <v>521.20000000000005</v>
      </c>
      <c r="E2754" s="1243">
        <v>0</v>
      </c>
      <c r="F2754" s="1243">
        <v>0</v>
      </c>
      <c r="G2754" s="1243">
        <f t="shared" ref="G2754:G2759" si="502">SUM(D2754:F2754)</f>
        <v>521.20000000000005</v>
      </c>
      <c r="H2754" s="1243"/>
      <c r="I2754" s="1243">
        <f t="shared" ref="I2754:I2759" si="503">O2640</f>
        <v>0</v>
      </c>
      <c r="J2754" s="375" t="str">
        <f>$J$1614</f>
        <v>Amort.</v>
      </c>
      <c r="K2754" s="1243">
        <v>0</v>
      </c>
      <c r="L2754" s="1243">
        <v>0</v>
      </c>
      <c r="M2754" s="1243">
        <f t="shared" ref="M2754:M2759" si="504">F2754</f>
        <v>0</v>
      </c>
      <c r="N2754" s="1243">
        <v>0</v>
      </c>
      <c r="O2754" s="1243">
        <f t="shared" ref="O2754:O2759" si="505">I2754+K2754+L2754+M2754+N2754</f>
        <v>0</v>
      </c>
    </row>
    <row r="2755" spans="1:15">
      <c r="A2755" s="361">
        <f t="shared" ref="A2755:A2760" si="506">A2754+1</f>
        <v>3</v>
      </c>
      <c r="B2755" s="365">
        <v>303</v>
      </c>
      <c r="C2755" s="358" t="s">
        <v>375</v>
      </c>
      <c r="D2755" s="1243">
        <f t="shared" si="501"/>
        <v>96334.51</v>
      </c>
      <c r="E2755" s="1243">
        <v>0</v>
      </c>
      <c r="F2755" s="1243">
        <v>0</v>
      </c>
      <c r="G2755" s="1243">
        <f t="shared" si="502"/>
        <v>96334.51</v>
      </c>
      <c r="H2755" s="1243"/>
      <c r="I2755" s="1243">
        <f t="shared" si="503"/>
        <v>82073.543666666767</v>
      </c>
      <c r="J2755" s="375" t="str">
        <f>$J$1615</f>
        <v>Amort.</v>
      </c>
      <c r="K2755" s="1243">
        <f>+'WPB-2.1.E Intangibles'!E53</f>
        <v>267.59780555555557</v>
      </c>
      <c r="L2755" s="1243">
        <v>0</v>
      </c>
      <c r="M2755" s="1243">
        <f t="shared" si="504"/>
        <v>0</v>
      </c>
      <c r="N2755" s="1243">
        <v>0</v>
      </c>
      <c r="O2755" s="1243">
        <f t="shared" si="505"/>
        <v>82341.141472222327</v>
      </c>
    </row>
    <row r="2756" spans="1:15">
      <c r="A2756" s="361">
        <f t="shared" si="506"/>
        <v>4</v>
      </c>
      <c r="B2756" s="365">
        <v>303.10000000000002</v>
      </c>
      <c r="C2756" s="358" t="s">
        <v>376</v>
      </c>
      <c r="D2756" s="1243">
        <f t="shared" si="501"/>
        <v>943.27</v>
      </c>
      <c r="E2756" s="1243">
        <v>0</v>
      </c>
      <c r="F2756" s="1243">
        <v>0</v>
      </c>
      <c r="G2756" s="1243">
        <f t="shared" si="502"/>
        <v>943.27</v>
      </c>
      <c r="H2756" s="1243"/>
      <c r="I2756" s="1243">
        <f t="shared" si="503"/>
        <v>318.35000000000008</v>
      </c>
      <c r="J2756" s="375" t="str">
        <f>$J$1616</f>
        <v>Amort.</v>
      </c>
      <c r="K2756" s="1243">
        <v>0</v>
      </c>
      <c r="L2756" s="1243">
        <v>0</v>
      </c>
      <c r="M2756" s="1243">
        <f t="shared" si="504"/>
        <v>0</v>
      </c>
      <c r="N2756" s="1243">
        <v>0</v>
      </c>
      <c r="O2756" s="1243">
        <f t="shared" si="505"/>
        <v>318.35000000000008</v>
      </c>
    </row>
    <row r="2757" spans="1:15">
      <c r="A2757" s="361">
        <f t="shared" si="506"/>
        <v>5</v>
      </c>
      <c r="B2757" s="365">
        <v>303.2</v>
      </c>
      <c r="C2757" s="358" t="s">
        <v>377</v>
      </c>
      <c r="D2757" s="1243">
        <f t="shared" si="501"/>
        <v>0</v>
      </c>
      <c r="E2757" s="1243">
        <v>0</v>
      </c>
      <c r="F2757" s="1243">
        <v>0</v>
      </c>
      <c r="G2757" s="1243">
        <f t="shared" si="502"/>
        <v>0</v>
      </c>
      <c r="H2757" s="1243"/>
      <c r="I2757" s="1243">
        <f t="shared" si="503"/>
        <v>0</v>
      </c>
      <c r="J2757" s="375" t="str">
        <f>$J$1617</f>
        <v>Amort.</v>
      </c>
      <c r="K2757" s="1243">
        <v>0</v>
      </c>
      <c r="L2757" s="1243">
        <v>0</v>
      </c>
      <c r="M2757" s="1243">
        <f t="shared" si="504"/>
        <v>0</v>
      </c>
      <c r="N2757" s="1243">
        <v>0</v>
      </c>
      <c r="O2757" s="1243">
        <f t="shared" si="505"/>
        <v>0</v>
      </c>
    </row>
    <row r="2758" spans="1:15">
      <c r="A2758" s="361">
        <f t="shared" si="506"/>
        <v>6</v>
      </c>
      <c r="B2758" s="365">
        <v>303.3</v>
      </c>
      <c r="C2758" s="358" t="s">
        <v>378</v>
      </c>
      <c r="D2758" s="1243">
        <f t="shared" si="501"/>
        <v>13698798.010000004</v>
      </c>
      <c r="E2758" s="1243">
        <f>+'WPB-2.1.E Intangibles'!E26</f>
        <v>301851.670705</v>
      </c>
      <c r="F2758" s="1243">
        <f>-'WPB-2.1.E Intangibles'!E41</f>
        <v>-270166.99000000005</v>
      </c>
      <c r="G2758" s="1243">
        <f t="shared" si="502"/>
        <v>13730482.690705003</v>
      </c>
      <c r="H2758" s="1243"/>
      <c r="I2758" s="1243">
        <f t="shared" si="503"/>
        <v>5872326.4580000043</v>
      </c>
      <c r="J2758" s="375" t="str">
        <f>$J$1618</f>
        <v>Amort.</v>
      </c>
      <c r="K2758" s="1243">
        <f>+'WPB-2.1.E Intangibles'!E54</f>
        <v>229484.70808529179</v>
      </c>
      <c r="L2758" s="1243">
        <v>0</v>
      </c>
      <c r="M2758" s="1243">
        <f t="shared" si="504"/>
        <v>-270166.99000000005</v>
      </c>
      <c r="N2758" s="1243">
        <v>0</v>
      </c>
      <c r="O2758" s="1243">
        <f t="shared" si="505"/>
        <v>5831644.1760852961</v>
      </c>
    </row>
    <row r="2759" spans="1:15">
      <c r="A2759" s="361">
        <f t="shared" si="506"/>
        <v>7</v>
      </c>
      <c r="B2759" s="365">
        <v>303.99</v>
      </c>
      <c r="C2759" s="358" t="s">
        <v>1129</v>
      </c>
      <c r="D2759" s="1244">
        <f t="shared" si="501"/>
        <v>2026149.7725501894</v>
      </c>
      <c r="E2759" s="1244">
        <f>+'WPB-2.1.E Intangibles'!E30</f>
        <v>159569.19926087369</v>
      </c>
      <c r="F2759" s="1244">
        <f>-'WPB-2.1.E Intangibles'!E42</f>
        <v>-23782.54</v>
      </c>
      <c r="G2759" s="1244">
        <f t="shared" si="502"/>
        <v>2161936.4318110631</v>
      </c>
      <c r="H2759" s="1243"/>
      <c r="I2759" s="1244">
        <f t="shared" si="503"/>
        <v>1155674.2866624</v>
      </c>
      <c r="J2759" s="375" t="str">
        <f>$J$1619</f>
        <v>Amort.</v>
      </c>
      <c r="K2759" s="1244">
        <f>+'WPB-2.1.E Intangibles'!E55</f>
        <v>34304.587212541679</v>
      </c>
      <c r="L2759" s="1244">
        <v>0</v>
      </c>
      <c r="M2759" s="1244">
        <f t="shared" si="504"/>
        <v>-23782.54</v>
      </c>
      <c r="N2759" s="1244">
        <v>0</v>
      </c>
      <c r="O2759" s="1244">
        <f t="shared" si="505"/>
        <v>1166196.3338749416</v>
      </c>
    </row>
    <row r="2760" spans="1:15">
      <c r="A2760" s="361">
        <f t="shared" si="506"/>
        <v>8</v>
      </c>
      <c r="B2760" s="367"/>
      <c r="C2760" s="358" t="s">
        <v>379</v>
      </c>
      <c r="D2760" s="1243">
        <f>SUM(D2754:D2759)</f>
        <v>15822746.762550194</v>
      </c>
      <c r="E2760" s="1243">
        <f>SUM(E2754:E2759)</f>
        <v>461420.86996587366</v>
      </c>
      <c r="F2760" s="1243">
        <f>SUM(F2754:F2759)</f>
        <v>-293949.53000000003</v>
      </c>
      <c r="G2760" s="1243">
        <f>SUM(G2754:G2759)</f>
        <v>15990218.102516066</v>
      </c>
      <c r="H2760" s="1243"/>
      <c r="I2760" s="1243">
        <f>SUM(I2754:I2759)</f>
        <v>7110392.638329071</v>
      </c>
      <c r="J2760" s="369"/>
      <c r="K2760" s="1243">
        <f>SUM(K2754:K2759)</f>
        <v>264056.89310338901</v>
      </c>
      <c r="L2760" s="1243">
        <f>SUM(L2754:L2759)</f>
        <v>0</v>
      </c>
      <c r="M2760" s="1243">
        <f>SUM(M2754:M2759)</f>
        <v>-293949.53000000003</v>
      </c>
      <c r="N2760" s="1243">
        <f>SUM(N2754:N2759)</f>
        <v>0</v>
      </c>
      <c r="O2760" s="1243">
        <f>SUM(O2754:O2759)</f>
        <v>7080500.0014324598</v>
      </c>
    </row>
    <row r="2761" spans="1:15">
      <c r="A2761" s="361"/>
      <c r="B2761" s="367"/>
      <c r="C2761" s="368"/>
      <c r="D2761" s="1243"/>
      <c r="E2761" s="1243"/>
      <c r="F2761" s="1243"/>
      <c r="G2761" s="1243"/>
      <c r="H2761" s="1243"/>
      <c r="I2761" s="1243"/>
      <c r="J2761" s="369"/>
      <c r="K2761" s="1243"/>
      <c r="L2761" s="1243"/>
      <c r="M2761" s="1243"/>
      <c r="N2761" s="1243"/>
      <c r="O2761" s="1243"/>
    </row>
    <row r="2762" spans="1:15">
      <c r="A2762" s="361">
        <f>A2760+1</f>
        <v>9</v>
      </c>
      <c r="B2762" s="362" t="s">
        <v>1600</v>
      </c>
      <c r="C2762" s="368"/>
      <c r="D2762" s="1243"/>
      <c r="E2762" s="1243"/>
      <c r="F2762" s="1243"/>
      <c r="G2762" s="1243"/>
      <c r="H2762" s="1243"/>
      <c r="I2762" s="1243"/>
      <c r="J2762" s="369"/>
      <c r="K2762" s="1243"/>
      <c r="L2762" s="1243"/>
      <c r="M2762" s="1243"/>
      <c r="N2762" s="1243"/>
      <c r="O2762" s="1243"/>
    </row>
    <row r="2763" spans="1:15">
      <c r="A2763" s="361">
        <f t="shared" ref="A2763:A2793" si="507">A2762+1</f>
        <v>10</v>
      </c>
      <c r="B2763" s="365">
        <v>374.1</v>
      </c>
      <c r="C2763" s="358" t="s">
        <v>382</v>
      </c>
      <c r="D2763" s="1243">
        <f t="shared" ref="D2763:D2792" si="508">G2649</f>
        <v>205.4</v>
      </c>
      <c r="E2763" s="1243">
        <v>0</v>
      </c>
      <c r="F2763" s="1243">
        <v>0</v>
      </c>
      <c r="G2763" s="1243">
        <f>SUM(D2763:F2763)</f>
        <v>205.4</v>
      </c>
      <c r="H2763" s="1243"/>
      <c r="I2763" s="1243">
        <f t="shared" ref="I2763:I2792" si="509">O2649</f>
        <v>0</v>
      </c>
      <c r="J2763" s="375" t="str">
        <f>$J$1623</f>
        <v>Non-Dep.</v>
      </c>
      <c r="K2763" s="1243">
        <v>0</v>
      </c>
      <c r="L2763" s="1243">
        <v>0</v>
      </c>
      <c r="M2763" s="1243">
        <f t="shared" ref="M2763:M2792" si="510">F2763</f>
        <v>0</v>
      </c>
      <c r="N2763" s="1243">
        <v>0</v>
      </c>
      <c r="O2763" s="1243">
        <f t="shared" ref="O2763:O2792" si="511">I2763+K2763+L2763+M2763+N2763</f>
        <v>0</v>
      </c>
    </row>
    <row r="2764" spans="1:15">
      <c r="A2764" s="361">
        <f t="shared" si="507"/>
        <v>11</v>
      </c>
      <c r="B2764" s="365">
        <v>374.2</v>
      </c>
      <c r="C2764" s="358" t="s">
        <v>383</v>
      </c>
      <c r="D2764" s="1243">
        <f t="shared" si="508"/>
        <v>876986.66</v>
      </c>
      <c r="E2764" s="1243">
        <v>0</v>
      </c>
      <c r="F2764" s="1243">
        <v>0</v>
      </c>
      <c r="G2764" s="1243">
        <f t="shared" ref="G2764:G2792" si="512">SUM(D2764:F2764)</f>
        <v>876986.66</v>
      </c>
      <c r="H2764" s="1243"/>
      <c r="I2764" s="1243">
        <f t="shared" si="509"/>
        <v>-522.25</v>
      </c>
      <c r="J2764" s="375" t="str">
        <f>$J$1624</f>
        <v>Non-Dep.</v>
      </c>
      <c r="K2764" s="1243">
        <v>0</v>
      </c>
      <c r="L2764" s="1243">
        <v>0</v>
      </c>
      <c r="M2764" s="1243">
        <f t="shared" si="510"/>
        <v>0</v>
      </c>
      <c r="N2764" s="1243">
        <v>0</v>
      </c>
      <c r="O2764" s="1243">
        <f t="shared" si="511"/>
        <v>-522.25</v>
      </c>
    </row>
    <row r="2765" spans="1:15">
      <c r="A2765" s="361">
        <f t="shared" si="507"/>
        <v>12</v>
      </c>
      <c r="B2765" s="365">
        <v>374.4</v>
      </c>
      <c r="C2765" s="358" t="s">
        <v>384</v>
      </c>
      <c r="D2765" s="1243">
        <f t="shared" si="508"/>
        <v>3138373.9800000004</v>
      </c>
      <c r="E2765" s="1243">
        <v>192.74</v>
      </c>
      <c r="F2765" s="1243">
        <v>0</v>
      </c>
      <c r="G2765" s="1243">
        <f t="shared" si="512"/>
        <v>3138566.7200000007</v>
      </c>
      <c r="H2765" s="1243"/>
      <c r="I2765" s="1243">
        <f t="shared" si="509"/>
        <v>399836.59</v>
      </c>
      <c r="J2765" s="376">
        <v>1.3299999999999999E-2</v>
      </c>
      <c r="K2765" s="1243">
        <f t="shared" ref="K2765:K2771" si="513">ROUND((G2765+D2765)/2*J2765/12,0)</f>
        <v>3478</v>
      </c>
      <c r="L2765" s="1243">
        <v>0</v>
      </c>
      <c r="M2765" s="1243">
        <f t="shared" si="510"/>
        <v>0</v>
      </c>
      <c r="N2765" s="1243">
        <v>0</v>
      </c>
      <c r="O2765" s="1243">
        <f t="shared" si="511"/>
        <v>403314.59</v>
      </c>
    </row>
    <row r="2766" spans="1:15">
      <c r="A2766" s="361">
        <f t="shared" si="507"/>
        <v>13</v>
      </c>
      <c r="B2766" s="365">
        <v>374.5</v>
      </c>
      <c r="C2766" s="358" t="s">
        <v>385</v>
      </c>
      <c r="D2766" s="1243">
        <f t="shared" si="508"/>
        <v>2666577.16</v>
      </c>
      <c r="E2766" s="1243">
        <v>0</v>
      </c>
      <c r="F2766" s="1243">
        <v>0</v>
      </c>
      <c r="G2766" s="1243">
        <f t="shared" si="512"/>
        <v>2666577.16</v>
      </c>
      <c r="H2766" s="1243"/>
      <c r="I2766" s="1243">
        <f t="shared" si="509"/>
        <v>1185628.1900000013</v>
      </c>
      <c r="J2766" s="376">
        <v>1.0999999999999999E-2</v>
      </c>
      <c r="K2766" s="1243">
        <f t="shared" si="513"/>
        <v>2444</v>
      </c>
      <c r="L2766" s="1243">
        <v>0</v>
      </c>
      <c r="M2766" s="1243">
        <f t="shared" si="510"/>
        <v>0</v>
      </c>
      <c r="N2766" s="1243">
        <v>0</v>
      </c>
      <c r="O2766" s="1243">
        <f t="shared" si="511"/>
        <v>1188072.1900000013</v>
      </c>
    </row>
    <row r="2767" spans="1:15">
      <c r="A2767" s="361">
        <f t="shared" si="507"/>
        <v>14</v>
      </c>
      <c r="B2767" s="365">
        <v>375.2</v>
      </c>
      <c r="C2767" s="358" t="s">
        <v>386</v>
      </c>
      <c r="D2767" s="1243">
        <f t="shared" si="508"/>
        <v>2124.98</v>
      </c>
      <c r="E2767" s="1243">
        <v>0</v>
      </c>
      <c r="F2767" s="1243">
        <v>0</v>
      </c>
      <c r="G2767" s="1243">
        <f t="shared" si="512"/>
        <v>2124.98</v>
      </c>
      <c r="H2767" s="1243"/>
      <c r="I2767" s="1243">
        <f t="shared" si="509"/>
        <v>2103.3000000000002</v>
      </c>
      <c r="J2767" s="376">
        <v>2.3900000000000001E-2</v>
      </c>
      <c r="K2767" s="1243">
        <f t="shared" si="513"/>
        <v>4</v>
      </c>
      <c r="L2767" s="1243">
        <v>0</v>
      </c>
      <c r="M2767" s="1243">
        <f t="shared" si="510"/>
        <v>0</v>
      </c>
      <c r="N2767" s="1243">
        <v>0</v>
      </c>
      <c r="O2767" s="1243">
        <f t="shared" si="511"/>
        <v>2107.3000000000002</v>
      </c>
    </row>
    <row r="2768" spans="1:15">
      <c r="A2768" s="361">
        <f t="shared" si="507"/>
        <v>15</v>
      </c>
      <c r="B2768" s="365">
        <v>375.3</v>
      </c>
      <c r="C2768" s="358" t="s">
        <v>387</v>
      </c>
      <c r="D2768" s="1243">
        <f t="shared" si="508"/>
        <v>0</v>
      </c>
      <c r="E2768" s="1243">
        <v>0</v>
      </c>
      <c r="F2768" s="1243">
        <v>0</v>
      </c>
      <c r="G2768" s="1243">
        <f t="shared" si="512"/>
        <v>0</v>
      </c>
      <c r="H2768" s="1243"/>
      <c r="I2768" s="1243">
        <f t="shared" si="509"/>
        <v>-77.66</v>
      </c>
      <c r="J2768" s="376">
        <f>+J2767</f>
        <v>2.3900000000000001E-2</v>
      </c>
      <c r="K2768" s="1243">
        <f t="shared" si="513"/>
        <v>0</v>
      </c>
      <c r="L2768" s="1243">
        <v>0</v>
      </c>
      <c r="M2768" s="1243">
        <f t="shared" si="510"/>
        <v>0</v>
      </c>
      <c r="N2768" s="1243">
        <v>0</v>
      </c>
      <c r="O2768" s="1243">
        <f t="shared" si="511"/>
        <v>-77.66</v>
      </c>
    </row>
    <row r="2769" spans="1:15">
      <c r="A2769" s="361">
        <f t="shared" si="507"/>
        <v>16</v>
      </c>
      <c r="B2769" s="365">
        <v>375.4</v>
      </c>
      <c r="C2769" s="358" t="s">
        <v>388</v>
      </c>
      <c r="D2769" s="1243">
        <f t="shared" si="508"/>
        <v>3419789.8399999985</v>
      </c>
      <c r="E2769" s="1243">
        <v>0</v>
      </c>
      <c r="F2769" s="1243">
        <v>-25077.63</v>
      </c>
      <c r="G2769" s="1243">
        <f t="shared" si="512"/>
        <v>3394712.2099999986</v>
      </c>
      <c r="H2769" s="1243"/>
      <c r="I2769" s="1243">
        <f t="shared" si="509"/>
        <v>428476.03000000014</v>
      </c>
      <c r="J2769" s="376">
        <f>+J2768</f>
        <v>2.3900000000000001E-2</v>
      </c>
      <c r="K2769" s="1243">
        <f t="shared" si="513"/>
        <v>6786</v>
      </c>
      <c r="L2769" s="1243">
        <v>0</v>
      </c>
      <c r="M2769" s="1243">
        <f t="shared" si="510"/>
        <v>-25077.63</v>
      </c>
      <c r="N2769" s="1243">
        <v>-21435.91</v>
      </c>
      <c r="O2769" s="1243">
        <f t="shared" si="511"/>
        <v>388748.49000000017</v>
      </c>
    </row>
    <row r="2770" spans="1:15">
      <c r="A2770" s="361">
        <f t="shared" si="507"/>
        <v>17</v>
      </c>
      <c r="B2770" s="365">
        <v>375.6</v>
      </c>
      <c r="C2770" s="358" t="s">
        <v>389</v>
      </c>
      <c r="D2770" s="1243">
        <f t="shared" si="508"/>
        <v>0</v>
      </c>
      <c r="E2770" s="1243">
        <v>0</v>
      </c>
      <c r="F2770" s="1243">
        <v>0</v>
      </c>
      <c r="G2770" s="1243">
        <f t="shared" si="512"/>
        <v>0</v>
      </c>
      <c r="H2770" s="1243"/>
      <c r="I2770" s="1243">
        <f t="shared" si="509"/>
        <v>0.02</v>
      </c>
      <c r="J2770" s="376">
        <f>+J2769</f>
        <v>2.3900000000000001E-2</v>
      </c>
      <c r="K2770" s="1243">
        <f t="shared" si="513"/>
        <v>0</v>
      </c>
      <c r="L2770" s="1243">
        <v>0</v>
      </c>
      <c r="M2770" s="1243">
        <f t="shared" si="510"/>
        <v>0</v>
      </c>
      <c r="N2770" s="1243">
        <v>0</v>
      </c>
      <c r="O2770" s="1243">
        <f t="shared" si="511"/>
        <v>0.02</v>
      </c>
    </row>
    <row r="2771" spans="1:15">
      <c r="A2771" s="361">
        <f t="shared" si="507"/>
        <v>18</v>
      </c>
      <c r="B2771" s="365">
        <v>375.7</v>
      </c>
      <c r="C2771" s="358" t="s">
        <v>390</v>
      </c>
      <c r="D2771" s="1243">
        <f t="shared" si="508"/>
        <v>9688286.1499999985</v>
      </c>
      <c r="E2771" s="1243">
        <v>0</v>
      </c>
      <c r="F2771" s="1243">
        <v>0</v>
      </c>
      <c r="G2771" s="1243">
        <f t="shared" si="512"/>
        <v>9688286.1499999985</v>
      </c>
      <c r="H2771" s="1243"/>
      <c r="I2771" s="1243">
        <f t="shared" si="509"/>
        <v>4911266.3899999987</v>
      </c>
      <c r="J2771" s="376">
        <v>2.5100000000000001E-2</v>
      </c>
      <c r="K2771" s="1243">
        <f t="shared" si="513"/>
        <v>20265</v>
      </c>
      <c r="L2771" s="1243">
        <v>0</v>
      </c>
      <c r="M2771" s="1243">
        <f t="shared" si="510"/>
        <v>0</v>
      </c>
      <c r="N2771" s="1243">
        <v>0</v>
      </c>
      <c r="O2771" s="1243">
        <f t="shared" si="511"/>
        <v>4931531.3899999987</v>
      </c>
    </row>
    <row r="2772" spans="1:15">
      <c r="A2772" s="361">
        <f t="shared" si="507"/>
        <v>19</v>
      </c>
      <c r="B2772" s="365">
        <v>375.71</v>
      </c>
      <c r="C2772" s="358" t="s">
        <v>391</v>
      </c>
      <c r="D2772" s="1243">
        <f t="shared" si="508"/>
        <v>880994.59</v>
      </c>
      <c r="E2772" s="1243">
        <v>0</v>
      </c>
      <c r="F2772" s="1243">
        <v>0</v>
      </c>
      <c r="G2772" s="1243">
        <f t="shared" si="512"/>
        <v>880994.59</v>
      </c>
      <c r="H2772" s="1243"/>
      <c r="I2772" s="1243">
        <f t="shared" si="509"/>
        <v>815885.60000000079</v>
      </c>
      <c r="J2772" s="375" t="str">
        <f>$J$1632</f>
        <v>Amort.</v>
      </c>
      <c r="K2772" s="1243">
        <f>$K$1290</f>
        <v>4743.54</v>
      </c>
      <c r="L2772" s="1243">
        <v>0</v>
      </c>
      <c r="M2772" s="1243">
        <f t="shared" si="510"/>
        <v>0</v>
      </c>
      <c r="N2772" s="1243">
        <v>0</v>
      </c>
      <c r="O2772" s="1243">
        <f t="shared" si="511"/>
        <v>820629.14000000083</v>
      </c>
    </row>
    <row r="2773" spans="1:15">
      <c r="A2773" s="361">
        <f t="shared" si="507"/>
        <v>20</v>
      </c>
      <c r="B2773" s="365">
        <v>375.8</v>
      </c>
      <c r="C2773" s="358" t="s">
        <v>392</v>
      </c>
      <c r="D2773" s="1243">
        <f t="shared" si="508"/>
        <v>132125.04</v>
      </c>
      <c r="E2773" s="1243">
        <v>0</v>
      </c>
      <c r="F2773" s="1243">
        <v>0</v>
      </c>
      <c r="G2773" s="1243">
        <f t="shared" si="512"/>
        <v>132125.04</v>
      </c>
      <c r="H2773" s="1243"/>
      <c r="I2773" s="1243">
        <f t="shared" si="509"/>
        <v>14548.43</v>
      </c>
      <c r="J2773" s="376">
        <v>2.1100000000000001E-2</v>
      </c>
      <c r="K2773" s="1243">
        <f t="shared" ref="K2773:K2792" si="514">ROUND((G2773+D2773)/2*J2773/12,0)</f>
        <v>232</v>
      </c>
      <c r="L2773" s="1243">
        <v>0</v>
      </c>
      <c r="M2773" s="1243">
        <f t="shared" si="510"/>
        <v>0</v>
      </c>
      <c r="N2773" s="1243">
        <v>0</v>
      </c>
      <c r="O2773" s="1243">
        <f t="shared" si="511"/>
        <v>14780.43</v>
      </c>
    </row>
    <row r="2774" spans="1:15">
      <c r="A2774" s="361">
        <f t="shared" si="507"/>
        <v>21</v>
      </c>
      <c r="B2774" s="365">
        <v>376</v>
      </c>
      <c r="C2774" s="358" t="s">
        <v>1621</v>
      </c>
      <c r="D2774" s="1243">
        <f t="shared" si="508"/>
        <v>421629774.85649371</v>
      </c>
      <c r="E2774" s="1243">
        <f>'WPB-2.1.D SMRP'!E1131</f>
        <v>363800.82107650978</v>
      </c>
      <c r="F2774" s="1243">
        <f>'WPB-2.1.D SMRP'!F1131</f>
        <v>-39188.69</v>
      </c>
      <c r="G2774" s="1243">
        <f t="shared" si="512"/>
        <v>421954386.98757023</v>
      </c>
      <c r="H2774" s="1243"/>
      <c r="I2774" s="1243">
        <f t="shared" si="509"/>
        <v>86228243.744077682</v>
      </c>
      <c r="J2774" s="376">
        <v>1.7999999999999999E-2</v>
      </c>
      <c r="K2774" s="1243">
        <f>'WPB-2.1.D SMRP'!K1131</f>
        <v>632688.06000000006</v>
      </c>
      <c r="L2774" s="1243">
        <v>0</v>
      </c>
      <c r="M2774" s="1243">
        <f>F2774</f>
        <v>-39188.69</v>
      </c>
      <c r="N2774" s="1243">
        <f>'WPB-2.1.D SMRP'!N1131</f>
        <v>-10859.433334172081</v>
      </c>
      <c r="O2774" s="1243">
        <f t="shared" si="511"/>
        <v>86810883.680743515</v>
      </c>
    </row>
    <row r="2775" spans="1:15">
      <c r="A2775" s="361">
        <f t="shared" si="507"/>
        <v>22</v>
      </c>
      <c r="B2775" s="365">
        <v>378.1</v>
      </c>
      <c r="C2775" s="358" t="s">
        <v>394</v>
      </c>
      <c r="D2775" s="1243">
        <f t="shared" si="508"/>
        <v>-172291.25</v>
      </c>
      <c r="E2775" s="1243">
        <v>0</v>
      </c>
      <c r="F2775" s="1243">
        <v>0</v>
      </c>
      <c r="G2775" s="1243">
        <f t="shared" si="512"/>
        <v>-172291.25</v>
      </c>
      <c r="H2775" s="1243"/>
      <c r="I2775" s="1243">
        <f t="shared" si="509"/>
        <v>-327619.52000000008</v>
      </c>
      <c r="J2775" s="376">
        <v>3.3099999999999997E-2</v>
      </c>
      <c r="K2775" s="1243">
        <f t="shared" si="514"/>
        <v>-475</v>
      </c>
      <c r="L2775" s="1243">
        <v>0</v>
      </c>
      <c r="M2775" s="1243">
        <f t="shared" si="510"/>
        <v>0</v>
      </c>
      <c r="N2775" s="1243">
        <v>0</v>
      </c>
      <c r="O2775" s="1243">
        <f t="shared" si="511"/>
        <v>-328094.52000000008</v>
      </c>
    </row>
    <row r="2776" spans="1:15">
      <c r="A2776" s="361">
        <f t="shared" si="507"/>
        <v>23</v>
      </c>
      <c r="B2776" s="365">
        <v>378.2</v>
      </c>
      <c r="C2776" s="358" t="s">
        <v>1622</v>
      </c>
      <c r="D2776" s="1243">
        <f t="shared" si="508"/>
        <v>27755737.239889771</v>
      </c>
      <c r="E2776" s="1243">
        <f>'WPB-2.1.D SMRP'!E1135</f>
        <v>169690.99965839169</v>
      </c>
      <c r="F2776" s="1243">
        <f>'WPB-2.1.D SMRP'!F1135</f>
        <v>-467046.3003241999</v>
      </c>
      <c r="G2776" s="1243">
        <f t="shared" si="512"/>
        <v>27458381.93922396</v>
      </c>
      <c r="H2776" s="1243"/>
      <c r="I2776" s="1243">
        <f t="shared" si="509"/>
        <v>3770962.3675411595</v>
      </c>
      <c r="J2776" s="376">
        <f>+J2775</f>
        <v>3.3099999999999997E-2</v>
      </c>
      <c r="K2776" s="1243">
        <f>'WPB-2.1.D SMRP'!K1135</f>
        <v>76149.61</v>
      </c>
      <c r="L2776" s="1243">
        <v>0</v>
      </c>
      <c r="M2776" s="1243">
        <f>F2776</f>
        <v>-467046.3003241999</v>
      </c>
      <c r="N2776" s="1243">
        <f>'WPB-2.1.D SMRP'!N1135</f>
        <v>0</v>
      </c>
      <c r="O2776" s="1243">
        <f t="shared" si="511"/>
        <v>3380065.6772169597</v>
      </c>
    </row>
    <row r="2777" spans="1:15">
      <c r="A2777" s="361">
        <f t="shared" si="507"/>
        <v>24</v>
      </c>
      <c r="B2777" s="365">
        <v>378.3</v>
      </c>
      <c r="C2777" s="358" t="s">
        <v>396</v>
      </c>
      <c r="D2777" s="1243">
        <f t="shared" si="508"/>
        <v>45443.08</v>
      </c>
      <c r="E2777" s="1243">
        <v>0</v>
      </c>
      <c r="F2777" s="1243">
        <v>0</v>
      </c>
      <c r="G2777" s="1243">
        <f t="shared" si="512"/>
        <v>45443.08</v>
      </c>
      <c r="H2777" s="1243"/>
      <c r="I2777" s="1243">
        <f t="shared" si="509"/>
        <v>44308.320000000007</v>
      </c>
      <c r="J2777" s="376">
        <f>+J2776</f>
        <v>3.3099999999999997E-2</v>
      </c>
      <c r="K2777" s="1243">
        <f t="shared" si="514"/>
        <v>125</v>
      </c>
      <c r="L2777" s="1243">
        <v>0</v>
      </c>
      <c r="M2777" s="1243">
        <f t="shared" si="510"/>
        <v>0</v>
      </c>
      <c r="N2777" s="1243">
        <v>0</v>
      </c>
      <c r="O2777" s="1243">
        <f t="shared" si="511"/>
        <v>44433.320000000007</v>
      </c>
    </row>
    <row r="2778" spans="1:15">
      <c r="A2778" s="361">
        <f t="shared" si="507"/>
        <v>25</v>
      </c>
      <c r="B2778" s="365">
        <v>379.1</v>
      </c>
      <c r="C2778" s="358" t="s">
        <v>397</v>
      </c>
      <c r="D2778" s="1243">
        <f t="shared" si="508"/>
        <v>1554144.06</v>
      </c>
      <c r="E2778" s="1243">
        <v>0</v>
      </c>
      <c r="F2778" s="1243">
        <v>0</v>
      </c>
      <c r="G2778" s="1243">
        <f t="shared" si="512"/>
        <v>1554144.06</v>
      </c>
      <c r="H2778" s="1243"/>
      <c r="I2778" s="1243">
        <f t="shared" si="509"/>
        <v>388993.19000000006</v>
      </c>
      <c r="J2778" s="376">
        <v>2.5399999999999999E-2</v>
      </c>
      <c r="K2778" s="1243">
        <f t="shared" si="514"/>
        <v>3290</v>
      </c>
      <c r="L2778" s="1243">
        <v>0</v>
      </c>
      <c r="M2778" s="1243">
        <f t="shared" si="510"/>
        <v>0</v>
      </c>
      <c r="N2778" s="1243">
        <v>0</v>
      </c>
      <c r="O2778" s="1243">
        <f t="shared" si="511"/>
        <v>392283.19000000006</v>
      </c>
    </row>
    <row r="2779" spans="1:15">
      <c r="A2779" s="361">
        <f t="shared" si="507"/>
        <v>26</v>
      </c>
      <c r="B2779" s="365">
        <v>380</v>
      </c>
      <c r="C2779" s="358" t="s">
        <v>1623</v>
      </c>
      <c r="D2779" s="1243">
        <f t="shared" si="508"/>
        <v>204295634.9057954</v>
      </c>
      <c r="E2779" s="1243">
        <f>'WPB-2.1.D SMRP'!E1139</f>
        <v>483599.34102195525</v>
      </c>
      <c r="F2779" s="1243">
        <f>'WPB-2.1.D SMRP'!F1139</f>
        <v>-29180.919522001554</v>
      </c>
      <c r="G2779" s="1243">
        <f t="shared" si="512"/>
        <v>204750053.32729536</v>
      </c>
      <c r="H2779" s="1243"/>
      <c r="I2779" s="1243">
        <f t="shared" si="509"/>
        <v>66522218.098316893</v>
      </c>
      <c r="J2779" s="376">
        <v>5.1799999999999999E-2</v>
      </c>
      <c r="K2779" s="1243">
        <f>'WPB-2.1.D SMRP'!K1139</f>
        <v>882857.32000000007</v>
      </c>
      <c r="L2779" s="1243">
        <v>0</v>
      </c>
      <c r="M2779" s="1243">
        <f>F2779</f>
        <v>-29180.919522001554</v>
      </c>
      <c r="N2779" s="1243">
        <f>'WPB-2.1.D SMRP'!N1139</f>
        <v>-115304.59644982702</v>
      </c>
      <c r="O2779" s="1243">
        <f t="shared" si="511"/>
        <v>67260589.902345061</v>
      </c>
    </row>
    <row r="2780" spans="1:15">
      <c r="A2780" s="361">
        <f t="shared" si="507"/>
        <v>27</v>
      </c>
      <c r="B2780" s="365">
        <v>381</v>
      </c>
      <c r="C2780" s="358" t="s">
        <v>399</v>
      </c>
      <c r="D2780" s="1243">
        <f t="shared" si="508"/>
        <v>20715923.100000005</v>
      </c>
      <c r="E2780" s="1243">
        <v>83298.62</v>
      </c>
      <c r="F2780" s="1243">
        <v>-6932.16</v>
      </c>
      <c r="G2780" s="1243">
        <f t="shared" si="512"/>
        <v>20792289.560000006</v>
      </c>
      <c r="H2780" s="1243"/>
      <c r="I2780" s="1243">
        <f t="shared" si="509"/>
        <v>1848454.7399999995</v>
      </c>
      <c r="J2780" s="376">
        <v>3.5799999999999998E-2</v>
      </c>
      <c r="K2780" s="1243">
        <f t="shared" si="514"/>
        <v>61916</v>
      </c>
      <c r="L2780" s="1243">
        <v>0</v>
      </c>
      <c r="M2780" s="1243">
        <f t="shared" si="510"/>
        <v>-6932.16</v>
      </c>
      <c r="N2780" s="1243">
        <v>0</v>
      </c>
      <c r="O2780" s="1243">
        <f t="shared" si="511"/>
        <v>1903438.5799999996</v>
      </c>
    </row>
    <row r="2781" spans="1:15">
      <c r="A2781" s="361">
        <f t="shared" si="507"/>
        <v>28</v>
      </c>
      <c r="B2781" s="365">
        <v>381.1</v>
      </c>
      <c r="C2781" s="358" t="s">
        <v>2366</v>
      </c>
      <c r="D2781" s="1243">
        <f t="shared" si="508"/>
        <v>9980854.4800000004</v>
      </c>
      <c r="E2781" s="1243">
        <v>0</v>
      </c>
      <c r="F2781" s="1243">
        <v>0</v>
      </c>
      <c r="G2781" s="1243">
        <f t="shared" si="512"/>
        <v>9980854.4800000004</v>
      </c>
      <c r="H2781" s="1243"/>
      <c r="I2781" s="1243">
        <f t="shared" si="509"/>
        <v>6107667.0300000031</v>
      </c>
      <c r="J2781" s="376">
        <v>6.7900000000000002E-2</v>
      </c>
      <c r="K2781" s="1243">
        <f t="shared" si="514"/>
        <v>56475</v>
      </c>
      <c r="L2781" s="1243">
        <v>0</v>
      </c>
      <c r="M2781" s="1243">
        <f t="shared" si="510"/>
        <v>0</v>
      </c>
      <c r="N2781" s="1243">
        <v>0</v>
      </c>
      <c r="O2781" s="1243">
        <f t="shared" si="511"/>
        <v>6164142.0300000031</v>
      </c>
    </row>
    <row r="2782" spans="1:15">
      <c r="A2782" s="361">
        <f t="shared" si="507"/>
        <v>29</v>
      </c>
      <c r="B2782" s="365">
        <v>382</v>
      </c>
      <c r="C2782" s="358" t="s">
        <v>1624</v>
      </c>
      <c r="D2782" s="1243">
        <f t="shared" si="508"/>
        <v>10688170.345473025</v>
      </c>
      <c r="E2782" s="1243">
        <f>'WPB-2.1.D SMRP'!E1143</f>
        <v>7435.157046403353</v>
      </c>
      <c r="F2782" s="1243">
        <f>'WPB-2.1.D SMRP'!F1143</f>
        <v>-617.23593250087629</v>
      </c>
      <c r="G2782" s="1243">
        <f t="shared" si="512"/>
        <v>10694988.266586928</v>
      </c>
      <c r="H2782" s="1243"/>
      <c r="I2782" s="1243">
        <f t="shared" si="509"/>
        <v>6015736.8906416874</v>
      </c>
      <c r="J2782" s="376">
        <v>2.2800000000000001E-2</v>
      </c>
      <c r="K2782" s="1243">
        <f>'WPB-2.1.D SMRP'!K1143</f>
        <v>20313.68</v>
      </c>
      <c r="L2782" s="1243">
        <v>0</v>
      </c>
      <c r="M2782" s="1243">
        <f t="shared" si="510"/>
        <v>-617.23593250087629</v>
      </c>
      <c r="N2782" s="1243">
        <f>'WPB-2.1.D SMRP'!N1143</f>
        <v>0</v>
      </c>
      <c r="O2782" s="1243">
        <f t="shared" si="511"/>
        <v>6035433.3347091861</v>
      </c>
    </row>
    <row r="2783" spans="1:15">
      <c r="A2783" s="361">
        <f t="shared" si="507"/>
        <v>30</v>
      </c>
      <c r="B2783" s="365">
        <v>383</v>
      </c>
      <c r="C2783" s="358" t="s">
        <v>1625</v>
      </c>
      <c r="D2783" s="1243">
        <f t="shared" si="508"/>
        <v>7572377.154719824</v>
      </c>
      <c r="E2783" s="1243">
        <f>'WPB-2.1.D SMRP'!E1147</f>
        <v>48167.915789512233</v>
      </c>
      <c r="F2783" s="1243">
        <f>'WPB-2.1.D SMRP'!F1147</f>
        <v>-373.06806510835946</v>
      </c>
      <c r="G2783" s="1243">
        <f t="shared" si="512"/>
        <v>7620172.0024442272</v>
      </c>
      <c r="H2783" s="1243"/>
      <c r="I2783" s="1243">
        <f t="shared" si="509"/>
        <v>2625804.9004284991</v>
      </c>
      <c r="J2783" s="376">
        <v>2.2200000000000001E-2</v>
      </c>
      <c r="K2783" s="1243">
        <f>'WPB-2.1.D SMRP'!K1147</f>
        <v>14052.68</v>
      </c>
      <c r="L2783" s="1243">
        <v>0</v>
      </c>
      <c r="M2783" s="1243">
        <f t="shared" si="510"/>
        <v>-373.06806510835946</v>
      </c>
      <c r="N2783" s="1243">
        <f>'WPB-2.1.D SMRP'!N1147</f>
        <v>0</v>
      </c>
      <c r="O2783" s="1243">
        <f t="shared" si="511"/>
        <v>2639484.512363391</v>
      </c>
    </row>
    <row r="2784" spans="1:15">
      <c r="A2784" s="361">
        <f t="shared" si="507"/>
        <v>31</v>
      </c>
      <c r="B2784" s="365">
        <v>384</v>
      </c>
      <c r="C2784" s="358" t="s">
        <v>402</v>
      </c>
      <c r="D2784" s="1243">
        <f t="shared" si="508"/>
        <v>2085217.6199999999</v>
      </c>
      <c r="E2784" s="1243">
        <v>13.99</v>
      </c>
      <c r="F2784" s="1243">
        <v>0</v>
      </c>
      <c r="G2784" s="1243">
        <f t="shared" si="512"/>
        <v>2085231.6099999999</v>
      </c>
      <c r="H2784" s="1243"/>
      <c r="I2784" s="1243">
        <f t="shared" si="509"/>
        <v>1748620.1399999992</v>
      </c>
      <c r="J2784" s="376">
        <v>1.9900000000000001E-2</v>
      </c>
      <c r="K2784" s="1243">
        <f t="shared" si="514"/>
        <v>3458</v>
      </c>
      <c r="L2784" s="1243">
        <v>0</v>
      </c>
      <c r="M2784" s="1243">
        <f t="shared" si="510"/>
        <v>0</v>
      </c>
      <c r="N2784" s="1243">
        <v>0</v>
      </c>
      <c r="O2784" s="1243">
        <f t="shared" si="511"/>
        <v>1752078.1399999992</v>
      </c>
    </row>
    <row r="2785" spans="1:16">
      <c r="A2785" s="361">
        <f t="shared" si="507"/>
        <v>32</v>
      </c>
      <c r="B2785" s="365">
        <v>385</v>
      </c>
      <c r="C2785" s="358" t="s">
        <v>403</v>
      </c>
      <c r="D2785" s="1243">
        <f t="shared" si="508"/>
        <v>6248645.1399999997</v>
      </c>
      <c r="E2785" s="1243">
        <v>3827.63</v>
      </c>
      <c r="F2785" s="1243">
        <v>-6837.04</v>
      </c>
      <c r="G2785" s="1243">
        <f t="shared" si="512"/>
        <v>6245635.7299999995</v>
      </c>
      <c r="H2785" s="1243"/>
      <c r="I2785" s="1243">
        <f t="shared" si="509"/>
        <v>860515.5299999998</v>
      </c>
      <c r="J2785" s="376">
        <v>5.4699999999999999E-2</v>
      </c>
      <c r="K2785" s="1243">
        <f t="shared" si="514"/>
        <v>28477</v>
      </c>
      <c r="L2785" s="1243">
        <v>0</v>
      </c>
      <c r="M2785" s="1243">
        <f t="shared" si="510"/>
        <v>-6837.04</v>
      </c>
      <c r="N2785" s="1243">
        <v>-29.8</v>
      </c>
      <c r="O2785" s="1243">
        <f t="shared" si="511"/>
        <v>882125.68999999971</v>
      </c>
    </row>
    <row r="2786" spans="1:16">
      <c r="A2786" s="361">
        <f t="shared" si="507"/>
        <v>33</v>
      </c>
      <c r="B2786" s="365">
        <v>387.2</v>
      </c>
      <c r="C2786" s="358" t="s">
        <v>404</v>
      </c>
      <c r="D2786" s="1243">
        <f t="shared" si="508"/>
        <v>0</v>
      </c>
      <c r="E2786" s="1243">
        <v>0</v>
      </c>
      <c r="F2786" s="1243">
        <v>0</v>
      </c>
      <c r="G2786" s="1243">
        <f t="shared" si="512"/>
        <v>0</v>
      </c>
      <c r="H2786" s="1243"/>
      <c r="I2786" s="1243">
        <f t="shared" si="509"/>
        <v>-59912.03</v>
      </c>
      <c r="J2786" s="376">
        <f>$J$1646</f>
        <v>0</v>
      </c>
      <c r="K2786" s="1243">
        <f t="shared" si="514"/>
        <v>0</v>
      </c>
      <c r="L2786" s="1243">
        <v>0</v>
      </c>
      <c r="M2786" s="1243">
        <f t="shared" si="510"/>
        <v>0</v>
      </c>
      <c r="N2786" s="1243">
        <v>0</v>
      </c>
      <c r="O2786" s="1243">
        <f t="shared" si="511"/>
        <v>-59912.03</v>
      </c>
    </row>
    <row r="2787" spans="1:16">
      <c r="A2787" s="361">
        <f t="shared" si="507"/>
        <v>34</v>
      </c>
      <c r="B2787" s="365">
        <v>387.41</v>
      </c>
      <c r="C2787" s="358" t="s">
        <v>405</v>
      </c>
      <c r="D2787" s="1243">
        <f t="shared" si="508"/>
        <v>260538.46000000008</v>
      </c>
      <c r="E2787" s="1243">
        <v>0</v>
      </c>
      <c r="F2787" s="1243">
        <v>0</v>
      </c>
      <c r="G2787" s="1243">
        <f t="shared" si="512"/>
        <v>260538.46000000008</v>
      </c>
      <c r="H2787" s="1243"/>
      <c r="I2787" s="1243">
        <f t="shared" si="509"/>
        <v>68832.970000000059</v>
      </c>
      <c r="J2787" s="376">
        <v>4.9599999999999998E-2</v>
      </c>
      <c r="K2787" s="1243">
        <f t="shared" si="514"/>
        <v>1077</v>
      </c>
      <c r="L2787" s="1243">
        <v>0</v>
      </c>
      <c r="M2787" s="1243">
        <f t="shared" si="510"/>
        <v>0</v>
      </c>
      <c r="N2787" s="1243">
        <v>0</v>
      </c>
      <c r="O2787" s="1243">
        <f t="shared" si="511"/>
        <v>69909.970000000059</v>
      </c>
    </row>
    <row r="2788" spans="1:16">
      <c r="A2788" s="361">
        <f t="shared" si="507"/>
        <v>35</v>
      </c>
      <c r="B2788" s="365">
        <v>387.42</v>
      </c>
      <c r="C2788" s="358" t="s">
        <v>406</v>
      </c>
      <c r="D2788" s="1243">
        <f t="shared" si="508"/>
        <v>419367.40000000008</v>
      </c>
      <c r="E2788" s="1243">
        <v>0</v>
      </c>
      <c r="F2788" s="1243">
        <v>0</v>
      </c>
      <c r="G2788" s="1243">
        <f t="shared" si="512"/>
        <v>419367.40000000008</v>
      </c>
      <c r="H2788" s="1243"/>
      <c r="I2788" s="1243">
        <f t="shared" si="509"/>
        <v>356983.80999999976</v>
      </c>
      <c r="J2788" s="376">
        <f>+J2787</f>
        <v>4.9599999999999998E-2</v>
      </c>
      <c r="K2788" s="1243">
        <f t="shared" si="514"/>
        <v>1733</v>
      </c>
      <c r="L2788" s="1243">
        <v>0</v>
      </c>
      <c r="M2788" s="1243">
        <f t="shared" si="510"/>
        <v>0</v>
      </c>
      <c r="N2788" s="1243">
        <v>0</v>
      </c>
      <c r="O2788" s="1243">
        <f t="shared" si="511"/>
        <v>358716.80999999976</v>
      </c>
    </row>
    <row r="2789" spans="1:16">
      <c r="A2789" s="361">
        <f t="shared" si="507"/>
        <v>36</v>
      </c>
      <c r="B2789" s="365">
        <v>387.44</v>
      </c>
      <c r="C2789" s="358" t="s">
        <v>407</v>
      </c>
      <c r="D2789" s="1243">
        <f t="shared" si="508"/>
        <v>124678.76000000001</v>
      </c>
      <c r="E2789" s="1243">
        <v>0</v>
      </c>
      <c r="F2789" s="1243">
        <v>0</v>
      </c>
      <c r="G2789" s="1243">
        <f t="shared" si="512"/>
        <v>124678.76000000001</v>
      </c>
      <c r="H2789" s="1243"/>
      <c r="I2789" s="1243">
        <f t="shared" si="509"/>
        <v>71449.390000000014</v>
      </c>
      <c r="J2789" s="376">
        <f>+J2788</f>
        <v>4.9599999999999998E-2</v>
      </c>
      <c r="K2789" s="1243">
        <f t="shared" si="514"/>
        <v>515</v>
      </c>
      <c r="L2789" s="1243">
        <v>0</v>
      </c>
      <c r="M2789" s="1243">
        <f t="shared" si="510"/>
        <v>0</v>
      </c>
      <c r="N2789" s="1243">
        <v>0</v>
      </c>
      <c r="O2789" s="1243">
        <f t="shared" si="511"/>
        <v>71964.390000000014</v>
      </c>
    </row>
    <row r="2790" spans="1:16">
      <c r="A2790" s="361">
        <f t="shared" si="507"/>
        <v>37</v>
      </c>
      <c r="B2790" s="365">
        <v>387.45</v>
      </c>
      <c r="C2790" s="358" t="s">
        <v>408</v>
      </c>
      <c r="D2790" s="1243">
        <f t="shared" si="508"/>
        <v>6431312.1100000022</v>
      </c>
      <c r="E2790" s="1243">
        <v>7085.4</v>
      </c>
      <c r="F2790" s="1243">
        <v>0</v>
      </c>
      <c r="G2790" s="1243">
        <f t="shared" si="512"/>
        <v>6438397.5100000026</v>
      </c>
      <c r="H2790" s="1243"/>
      <c r="I2790" s="1243">
        <f t="shared" si="509"/>
        <v>-743526.77</v>
      </c>
      <c r="J2790" s="376">
        <f>+J2789</f>
        <v>4.9599999999999998E-2</v>
      </c>
      <c r="K2790" s="1243">
        <f t="shared" si="514"/>
        <v>26597</v>
      </c>
      <c r="L2790" s="1243">
        <v>0</v>
      </c>
      <c r="M2790" s="1243">
        <f t="shared" si="510"/>
        <v>0</v>
      </c>
      <c r="N2790" s="1243">
        <v>-2215.59</v>
      </c>
      <c r="O2790" s="1243">
        <f t="shared" si="511"/>
        <v>-719145.36</v>
      </c>
    </row>
    <row r="2791" spans="1:16">
      <c r="A2791" s="361">
        <f t="shared" si="507"/>
        <v>38</v>
      </c>
      <c r="B2791" s="365">
        <v>387.46</v>
      </c>
      <c r="C2791" s="358" t="s">
        <v>409</v>
      </c>
      <c r="D2791" s="1243">
        <f t="shared" si="508"/>
        <v>113644.47</v>
      </c>
      <c r="E2791" s="1243">
        <v>0</v>
      </c>
      <c r="F2791" s="1243">
        <v>0</v>
      </c>
      <c r="G2791" s="1243">
        <f t="shared" si="512"/>
        <v>113644.47</v>
      </c>
      <c r="H2791" s="1243"/>
      <c r="I2791" s="1243">
        <f t="shared" si="509"/>
        <v>117567.07</v>
      </c>
      <c r="J2791" s="376">
        <f>+J2790</f>
        <v>4.9599999999999998E-2</v>
      </c>
      <c r="K2791" s="1243">
        <f t="shared" si="514"/>
        <v>470</v>
      </c>
      <c r="L2791" s="1243">
        <v>0</v>
      </c>
      <c r="M2791" s="1243">
        <f t="shared" si="510"/>
        <v>0</v>
      </c>
      <c r="N2791" s="1243">
        <v>0</v>
      </c>
      <c r="O2791" s="1243">
        <f t="shared" si="511"/>
        <v>118037.07</v>
      </c>
    </row>
    <row r="2792" spans="1:16">
      <c r="A2792" s="361">
        <f t="shared" si="507"/>
        <v>39</v>
      </c>
      <c r="B2792" s="365">
        <v>387.5</v>
      </c>
      <c r="C2792" s="358" t="s">
        <v>1075</v>
      </c>
      <c r="D2792" s="1244">
        <f t="shared" si="508"/>
        <v>238072.69</v>
      </c>
      <c r="E2792" s="1244">
        <v>0</v>
      </c>
      <c r="F2792" s="1244">
        <v>0</v>
      </c>
      <c r="G2792" s="1244">
        <f t="shared" si="512"/>
        <v>238072.69</v>
      </c>
      <c r="H2792" s="1243"/>
      <c r="I2792" s="1244">
        <f t="shared" si="509"/>
        <v>71028.47000000003</v>
      </c>
      <c r="J2792" s="376">
        <v>0.13500000000000001</v>
      </c>
      <c r="K2792" s="1244">
        <f t="shared" si="514"/>
        <v>2678</v>
      </c>
      <c r="L2792" s="1244">
        <v>0</v>
      </c>
      <c r="M2792" s="1244">
        <f t="shared" si="510"/>
        <v>0</v>
      </c>
      <c r="N2792" s="1244">
        <v>0</v>
      </c>
      <c r="O2792" s="1244">
        <f t="shared" si="511"/>
        <v>73706.47000000003</v>
      </c>
    </row>
    <row r="2793" spans="1:16">
      <c r="A2793" s="361">
        <f t="shared" si="507"/>
        <v>40</v>
      </c>
      <c r="C2793" s="365" t="s">
        <v>1601</v>
      </c>
      <c r="D2793" s="369">
        <f>SUM(D2763:D2792)</f>
        <v>740792708.42237198</v>
      </c>
      <c r="E2793" s="369">
        <f>SUM(E2763:E2792)</f>
        <v>1167112.614592772</v>
      </c>
      <c r="F2793" s="369">
        <f>SUM(F2763:F2792)</f>
        <v>-575253.0438438108</v>
      </c>
      <c r="G2793" s="369">
        <f>SUM(G2763:G2792)</f>
        <v>741384567.99312091</v>
      </c>
      <c r="I2793" s="369">
        <f>SUM(I2763:I2792)</f>
        <v>183473472.98100588</v>
      </c>
      <c r="J2793" s="369"/>
      <c r="K2793" s="1243">
        <f>SUM(K2763:K2792)</f>
        <v>1850349.8900000001</v>
      </c>
      <c r="L2793" s="1243">
        <f>SUM(L2763:L2792)</f>
        <v>0</v>
      </c>
      <c r="M2793" s="1243">
        <f>SUM(M2763:M2792)</f>
        <v>-575253.0438438108</v>
      </c>
      <c r="N2793" s="1243">
        <f>SUM(N2763:N2792)</f>
        <v>-149845.3297839991</v>
      </c>
      <c r="O2793" s="1243">
        <f>SUM(O2763:O2792)</f>
        <v>184598724.49737808</v>
      </c>
    </row>
    <row r="2794" spans="1:16">
      <c r="B2794" s="367"/>
      <c r="C2794" s="368"/>
      <c r="D2794" s="369"/>
      <c r="E2794" s="369"/>
      <c r="F2794" s="369"/>
      <c r="G2794" s="369"/>
      <c r="I2794" s="369"/>
      <c r="J2794" s="369"/>
      <c r="K2794" s="369"/>
      <c r="L2794" s="369"/>
      <c r="M2794" s="369"/>
      <c r="N2794" s="369"/>
      <c r="O2794" s="369"/>
    </row>
    <row r="2795" spans="1:16">
      <c r="I2795" s="369"/>
      <c r="J2795" s="369"/>
      <c r="K2795" s="369"/>
      <c r="L2795" s="369"/>
      <c r="M2795" s="369"/>
      <c r="N2795" s="369"/>
      <c r="O2795" s="369"/>
    </row>
    <row r="2796" spans="1:16" s="291" customFormat="1">
      <c r="A2796" s="1308" t="str">
        <f>$A$1</f>
        <v>COLUMBIA GAS OF KENTUCKY, INC.</v>
      </c>
      <c r="B2796" s="1308"/>
      <c r="C2796" s="1308"/>
      <c r="D2796" s="1308"/>
      <c r="E2796" s="1308"/>
      <c r="F2796" s="1308"/>
      <c r="G2796" s="1308"/>
      <c r="H2796" s="1308"/>
      <c r="I2796" s="1308"/>
      <c r="J2796" s="1308"/>
      <c r="K2796" s="1308"/>
      <c r="L2796" s="1308"/>
      <c r="M2796" s="1308"/>
      <c r="N2796" s="1308"/>
      <c r="O2796" s="1308"/>
    </row>
    <row r="2797" spans="1:16" s="291" customFormat="1">
      <c r="A2797" s="1308" t="str">
        <f>$A$2</f>
        <v>CASE NO. 2024 - 00092</v>
      </c>
      <c r="B2797" s="1308"/>
      <c r="C2797" s="1308"/>
      <c r="D2797" s="1308"/>
      <c r="E2797" s="1308"/>
      <c r="F2797" s="1308"/>
      <c r="G2797" s="1308"/>
      <c r="H2797" s="1308"/>
      <c r="I2797" s="1308"/>
      <c r="J2797" s="1308"/>
      <c r="K2797" s="1308"/>
      <c r="L2797" s="1308"/>
      <c r="M2797" s="1308"/>
      <c r="N2797" s="1308"/>
      <c r="O2797" s="1308"/>
    </row>
    <row r="2798" spans="1:16" s="291" customFormat="1">
      <c r="A2798" s="1308" t="str">
        <f>$A$3</f>
        <v>DETAIL OF ACTUAL &amp; FORECASTED PLANT, ACCUMULATED RESERVE &amp; DEPRECIATION EXPENSE</v>
      </c>
      <c r="B2798" s="1308"/>
      <c r="C2798" s="1308"/>
      <c r="D2798" s="1308"/>
      <c r="E2798" s="1308"/>
      <c r="F2798" s="1308"/>
      <c r="G2798" s="1308"/>
      <c r="H2798" s="1308"/>
      <c r="I2798" s="1308"/>
      <c r="J2798" s="1308"/>
      <c r="K2798" s="1308"/>
      <c r="L2798" s="1308"/>
      <c r="M2798" s="1308"/>
      <c r="N2798" s="1308"/>
      <c r="O2798" s="1308"/>
      <c r="P2798" s="357"/>
    </row>
    <row r="2799" spans="1:16" s="291" customFormat="1">
      <c r="A2799" s="1308" t="str">
        <f>$A$4</f>
        <v>FROM JANUARY 01, 2023 THROUGH DECEMBER 31, 2025</v>
      </c>
      <c r="B2799" s="1308"/>
      <c r="C2799" s="1308"/>
      <c r="D2799" s="1308"/>
      <c r="E2799" s="1308"/>
      <c r="F2799" s="1308"/>
      <c r="G2799" s="1308"/>
      <c r="H2799" s="1308"/>
      <c r="I2799" s="1308"/>
      <c r="J2799" s="1308"/>
      <c r="K2799" s="1308"/>
      <c r="L2799" s="1308"/>
      <c r="M2799" s="1308"/>
      <c r="N2799" s="1308"/>
      <c r="O2799" s="1308"/>
    </row>
    <row r="2800" spans="1:16" s="291" customFormat="1">
      <c r="B2800" s="293"/>
      <c r="P2800" s="312"/>
    </row>
    <row r="2801" spans="1:16" s="291" customFormat="1">
      <c r="A2801" s="297" t="str">
        <f>$A$6</f>
        <v xml:space="preserve">DATA: _X_ BASE PERIOD _X_ FORECASTED PERIOD     </v>
      </c>
      <c r="B2801" s="293"/>
      <c r="O2801" s="312" t="str">
        <f>$O$6</f>
        <v>WPB-2.1.C</v>
      </c>
      <c r="P2801" s="312"/>
    </row>
    <row r="2802" spans="1:16" s="291" customFormat="1">
      <c r="A2802" s="297" t="str">
        <f>$A$7</f>
        <v>TYPE OF FILING:___X___ORIGINAL______UPDATED</v>
      </c>
      <c r="B2802" s="293"/>
      <c r="O2802" s="312" t="s">
        <v>2173</v>
      </c>
      <c r="P2802" s="312"/>
    </row>
    <row r="2803" spans="1:16" s="291" customFormat="1">
      <c r="A2803" s="297" t="str">
        <f>$A$8</f>
        <v>WORKPAPER REFERENCE NO(S).:</v>
      </c>
      <c r="B2803" s="293"/>
      <c r="O2803" s="312" t="str">
        <f>$O$8</f>
        <v>WITNESS: GORE</v>
      </c>
    </row>
    <row r="2804" spans="1:16">
      <c r="A2804" s="918"/>
      <c r="B2804" s="919"/>
      <c r="C2804" s="918"/>
      <c r="D2804" s="918"/>
      <c r="E2804" s="918"/>
      <c r="F2804" s="918"/>
      <c r="G2804" s="918"/>
      <c r="H2804" s="918"/>
      <c r="I2804" s="918"/>
      <c r="J2804" s="918"/>
      <c r="K2804" s="918"/>
      <c r="L2804" s="918"/>
      <c r="M2804" s="918"/>
      <c r="N2804" s="918"/>
      <c r="O2804" s="920"/>
    </row>
    <row r="2805" spans="1:16">
      <c r="D2805" s="1311" t="s">
        <v>1768</v>
      </c>
      <c r="E2805" s="1311"/>
      <c r="F2805" s="1311"/>
      <c r="G2805" s="1311"/>
      <c r="I2805" s="1311" t="s">
        <v>1769</v>
      </c>
      <c r="J2805" s="1311"/>
      <c r="K2805" s="1311"/>
      <c r="L2805" s="1311"/>
      <c r="M2805" s="1311"/>
      <c r="N2805" s="1311"/>
      <c r="O2805" s="1311"/>
    </row>
    <row r="2806" spans="1:16">
      <c r="D2806" s="360">
        <f>D2747</f>
        <v>45658</v>
      </c>
      <c r="G2806" s="360">
        <f>G2747</f>
        <v>45688</v>
      </c>
      <c r="I2806" s="360">
        <f>D2806</f>
        <v>45658</v>
      </c>
      <c r="O2806" s="360">
        <f>G2806</f>
        <v>45688</v>
      </c>
    </row>
    <row r="2807" spans="1:16">
      <c r="D2807" s="361" t="s">
        <v>1757</v>
      </c>
      <c r="G2807" s="361" t="s">
        <v>1757</v>
      </c>
      <c r="I2807" s="361" t="s">
        <v>1758</v>
      </c>
      <c r="J2807" s="361" t="s">
        <v>488</v>
      </c>
      <c r="L2807" s="361" t="s">
        <v>1758</v>
      </c>
      <c r="O2807" s="361" t="s">
        <v>1758</v>
      </c>
    </row>
    <row r="2808" spans="1:16">
      <c r="A2808" s="361" t="s">
        <v>1770</v>
      </c>
      <c r="B2808" s="361" t="s">
        <v>368</v>
      </c>
      <c r="C2808" s="361"/>
      <c r="D2808" s="361" t="s">
        <v>437</v>
      </c>
      <c r="G2808" s="361" t="s">
        <v>439</v>
      </c>
      <c r="I2808" s="361" t="s">
        <v>437</v>
      </c>
      <c r="J2808" s="361" t="s">
        <v>1771</v>
      </c>
      <c r="K2808" s="361" t="s">
        <v>1772</v>
      </c>
      <c r="L2808" s="361" t="s">
        <v>1759</v>
      </c>
      <c r="N2808" s="361" t="s">
        <v>1760</v>
      </c>
      <c r="O2808" s="361" t="s">
        <v>439</v>
      </c>
    </row>
    <row r="2809" spans="1:16">
      <c r="A2809" s="364" t="s">
        <v>316</v>
      </c>
      <c r="B2809" s="364" t="s">
        <v>316</v>
      </c>
      <c r="C2809" s="364" t="s">
        <v>451</v>
      </c>
      <c r="D2809" s="364" t="s">
        <v>441</v>
      </c>
      <c r="E2809" s="364" t="s">
        <v>442</v>
      </c>
      <c r="F2809" s="364" t="s">
        <v>443</v>
      </c>
      <c r="G2809" s="364" t="s">
        <v>441</v>
      </c>
      <c r="I2809" s="364" t="s">
        <v>441</v>
      </c>
      <c r="J2809" s="364" t="s">
        <v>1773</v>
      </c>
      <c r="K2809" s="364" t="s">
        <v>1771</v>
      </c>
      <c r="L2809" s="364" t="s">
        <v>355</v>
      </c>
      <c r="M2809" s="364" t="s">
        <v>443</v>
      </c>
      <c r="N2809" s="364" t="s">
        <v>1763</v>
      </c>
      <c r="O2809" s="364" t="s">
        <v>441</v>
      </c>
    </row>
    <row r="2810" spans="1:16">
      <c r="D2810" s="361" t="s">
        <v>532</v>
      </c>
      <c r="E2810" s="361" t="s">
        <v>541</v>
      </c>
      <c r="F2810" s="361" t="s">
        <v>542</v>
      </c>
      <c r="G2810" s="361" t="s">
        <v>1764</v>
      </c>
      <c r="I2810" s="334" t="str">
        <f>"(5)"</f>
        <v>(5)</v>
      </c>
      <c r="J2810" s="334" t="str">
        <f>"(6)"</f>
        <v>(6)</v>
      </c>
      <c r="K2810" s="334" t="str">
        <f>"(7)=((1+4)/2*6/12))"</f>
        <v>(7)=((1+4)/2*6/12))</v>
      </c>
      <c r="L2810" s="334" t="str">
        <f>"(8)"</f>
        <v>(8)</v>
      </c>
      <c r="M2810" s="334" t="str">
        <f>"(9)"</f>
        <v>(9)</v>
      </c>
      <c r="N2810" s="334" t="str">
        <f>"(10)"</f>
        <v>(10)</v>
      </c>
      <c r="O2810" s="334" t="str">
        <f>"(11=5+7+8+9+10)"</f>
        <v>(11=5+7+8+9+10)</v>
      </c>
    </row>
    <row r="2811" spans="1:16">
      <c r="D2811" s="361" t="s">
        <v>320</v>
      </c>
      <c r="E2811" s="361" t="s">
        <v>320</v>
      </c>
      <c r="F2811" s="361" t="s">
        <v>320</v>
      </c>
      <c r="G2811" s="361" t="s">
        <v>320</v>
      </c>
      <c r="I2811" s="334" t="s">
        <v>320</v>
      </c>
      <c r="J2811" s="334" t="s">
        <v>529</v>
      </c>
      <c r="K2811" s="334" t="s">
        <v>320</v>
      </c>
      <c r="L2811" s="334" t="s">
        <v>320</v>
      </c>
      <c r="M2811" s="334" t="s">
        <v>320</v>
      </c>
      <c r="N2811" s="334" t="s">
        <v>320</v>
      </c>
      <c r="O2811" s="334" t="s">
        <v>320</v>
      </c>
    </row>
    <row r="2812" spans="1:16">
      <c r="A2812" s="361">
        <v>1</v>
      </c>
      <c r="B2812" s="363" t="s">
        <v>411</v>
      </c>
      <c r="D2812" s="361"/>
      <c r="E2812" s="361"/>
      <c r="F2812" s="361"/>
      <c r="G2812" s="361"/>
      <c r="I2812" s="334"/>
      <c r="J2812" s="334"/>
      <c r="K2812" s="334"/>
      <c r="L2812" s="334"/>
      <c r="M2812" s="334"/>
      <c r="N2812" s="334"/>
      <c r="O2812" s="334"/>
    </row>
    <row r="2813" spans="1:16">
      <c r="A2813" s="361">
        <f>A2812+1</f>
        <v>2</v>
      </c>
      <c r="B2813" s="365">
        <v>391.1</v>
      </c>
      <c r="C2813" s="358" t="s">
        <v>412</v>
      </c>
      <c r="D2813" s="1243">
        <f t="shared" ref="D2813:D2826" si="515">G2699</f>
        <v>921741.33000000007</v>
      </c>
      <c r="E2813" s="1243">
        <v>0</v>
      </c>
      <c r="F2813" s="1243">
        <v>0</v>
      </c>
      <c r="G2813" s="1243">
        <f>SUM(D2813:F2813)</f>
        <v>921741.33000000007</v>
      </c>
      <c r="H2813" s="1243"/>
      <c r="I2813" s="1245">
        <f t="shared" ref="I2813:I2826" si="516">O2699</f>
        <v>218543.37</v>
      </c>
      <c r="J2813" s="376">
        <v>0.05</v>
      </c>
      <c r="K2813" s="1243">
        <f>ROUND((G2813+D2813)/2*J2813/12,0)</f>
        <v>3841</v>
      </c>
      <c r="L2813" s="1243">
        <v>4814.416666666667</v>
      </c>
      <c r="M2813" s="1243">
        <f t="shared" ref="M2813:M2826" si="517">F2813</f>
        <v>0</v>
      </c>
      <c r="N2813" s="1243">
        <v>0</v>
      </c>
      <c r="O2813" s="1243">
        <f t="shared" ref="O2813:O2826" si="518">I2813+K2813+L2813+M2813+N2813</f>
        <v>227198.78666666665</v>
      </c>
    </row>
    <row r="2814" spans="1:16">
      <c r="A2814" s="361">
        <f t="shared" ref="A2814:A2827" si="519">A2813+1</f>
        <v>3</v>
      </c>
      <c r="B2814" s="365">
        <v>391.11</v>
      </c>
      <c r="C2814" s="358" t="s">
        <v>413</v>
      </c>
      <c r="D2814" s="1243">
        <f t="shared" si="515"/>
        <v>0</v>
      </c>
      <c r="E2814" s="1243">
        <v>0</v>
      </c>
      <c r="F2814" s="1243">
        <v>0</v>
      </c>
      <c r="G2814" s="1243">
        <f t="shared" ref="G2814:G2821" si="520">SUM(D2814:F2814)</f>
        <v>0</v>
      </c>
      <c r="H2814" s="1243"/>
      <c r="I2814" s="1245">
        <f t="shared" si="516"/>
        <v>-12622.789999999997</v>
      </c>
      <c r="J2814" s="376">
        <f>$J$1674</f>
        <v>0</v>
      </c>
      <c r="K2814" s="1243">
        <f>ROUND((G2814+D2814)/2*J2814/12,0)</f>
        <v>0</v>
      </c>
      <c r="L2814" s="1243">
        <v>525.91666666666663</v>
      </c>
      <c r="M2814" s="1243">
        <f t="shared" si="517"/>
        <v>0</v>
      </c>
      <c r="N2814" s="1243">
        <v>0</v>
      </c>
      <c r="O2814" s="1243">
        <f t="shared" si="518"/>
        <v>-12096.873333333331</v>
      </c>
    </row>
    <row r="2815" spans="1:16">
      <c r="A2815" s="361">
        <f t="shared" si="519"/>
        <v>4</v>
      </c>
      <c r="B2815" s="365">
        <v>391.12</v>
      </c>
      <c r="C2815" s="358" t="s">
        <v>414</v>
      </c>
      <c r="D2815" s="1243">
        <f t="shared" si="515"/>
        <v>37129.580000000009</v>
      </c>
      <c r="E2815" s="1243">
        <v>0</v>
      </c>
      <c r="F2815" s="1243">
        <v>0</v>
      </c>
      <c r="G2815" s="1243">
        <f t="shared" si="520"/>
        <v>37129.580000000009</v>
      </c>
      <c r="H2815" s="1243"/>
      <c r="I2815" s="1245">
        <f t="shared" si="516"/>
        <v>7618.9699999999993</v>
      </c>
      <c r="J2815" s="376">
        <v>0.2</v>
      </c>
      <c r="K2815" s="1243">
        <f>ROUND((G2815+D2815)/2*J2815/12,0)</f>
        <v>619</v>
      </c>
      <c r="L2815" s="1243">
        <v>456.25</v>
      </c>
      <c r="M2815" s="1243">
        <f t="shared" si="517"/>
        <v>0</v>
      </c>
      <c r="N2815" s="1243">
        <v>0</v>
      </c>
      <c r="O2815" s="1243">
        <f t="shared" si="518"/>
        <v>8694.2199999999993</v>
      </c>
    </row>
    <row r="2816" spans="1:16">
      <c r="A2816" s="361">
        <f t="shared" si="519"/>
        <v>5</v>
      </c>
      <c r="B2816" s="365">
        <v>392.2</v>
      </c>
      <c r="C2816" s="358" t="s">
        <v>524</v>
      </c>
      <c r="D2816" s="1243">
        <f t="shared" si="515"/>
        <v>48924.4</v>
      </c>
      <c r="E2816" s="1243">
        <v>0</v>
      </c>
      <c r="F2816" s="1243">
        <v>0</v>
      </c>
      <c r="G2816" s="1243">
        <f t="shared" si="520"/>
        <v>48924.4</v>
      </c>
      <c r="H2816" s="1243"/>
      <c r="I2816" s="1245">
        <f t="shared" si="516"/>
        <v>17587.359999999961</v>
      </c>
      <c r="J2816" s="376">
        <f>+J2702</f>
        <v>8.9999999999999993E-3</v>
      </c>
      <c r="K2816" s="1243">
        <f>ROUND((G2816+D2816)/2*J2816/12,0)</f>
        <v>37</v>
      </c>
      <c r="L2816" s="1243">
        <v>0</v>
      </c>
      <c r="M2816" s="1243">
        <f t="shared" si="517"/>
        <v>0</v>
      </c>
      <c r="N2816" s="1243">
        <v>0</v>
      </c>
      <c r="O2816" s="1243">
        <f t="shared" si="518"/>
        <v>17624.359999999961</v>
      </c>
    </row>
    <row r="2817" spans="1:15">
      <c r="A2817" s="361">
        <f t="shared" si="519"/>
        <v>6</v>
      </c>
      <c r="B2817" s="365">
        <v>392.21</v>
      </c>
      <c r="C2817" s="358" t="s">
        <v>415</v>
      </c>
      <c r="D2817" s="1243">
        <f t="shared" si="515"/>
        <v>24462.2</v>
      </c>
      <c r="E2817" s="1243">
        <v>0</v>
      </c>
      <c r="F2817" s="1243">
        <v>0</v>
      </c>
      <c r="G2817" s="1243">
        <f t="shared" si="520"/>
        <v>24462.2</v>
      </c>
      <c r="H2817" s="1243"/>
      <c r="I2817" s="1245">
        <f t="shared" si="516"/>
        <v>44934.01</v>
      </c>
      <c r="J2817" s="376">
        <f>+J2703</f>
        <v>8.9999999999999993E-3</v>
      </c>
      <c r="K2817" s="1243">
        <f>ROUND((G2817+D2817)/2*J2817/12,0)</f>
        <v>18</v>
      </c>
      <c r="L2817" s="1243">
        <v>0</v>
      </c>
      <c r="M2817" s="1243">
        <f t="shared" si="517"/>
        <v>0</v>
      </c>
      <c r="N2817" s="1243">
        <v>0</v>
      </c>
      <c r="O2817" s="1243">
        <f t="shared" si="518"/>
        <v>44952.01</v>
      </c>
    </row>
    <row r="2818" spans="1:15">
      <c r="A2818" s="361">
        <f t="shared" si="519"/>
        <v>7</v>
      </c>
      <c r="B2818" s="365">
        <v>393</v>
      </c>
      <c r="C2818" s="358" t="s">
        <v>416</v>
      </c>
      <c r="D2818" s="1243">
        <f t="shared" si="515"/>
        <v>0</v>
      </c>
      <c r="E2818" s="1243">
        <v>0</v>
      </c>
      <c r="F2818" s="1243">
        <v>0</v>
      </c>
      <c r="G2818" s="1243">
        <f t="shared" si="520"/>
        <v>0</v>
      </c>
      <c r="H2818" s="1243"/>
      <c r="I2818" s="1245">
        <f t="shared" si="516"/>
        <v>0</v>
      </c>
      <c r="J2818" s="376" t="str">
        <f>$J$1678</f>
        <v>Amort.</v>
      </c>
      <c r="K2818" s="1243">
        <v>0</v>
      </c>
      <c r="L2818" s="1243">
        <v>0</v>
      </c>
      <c r="M2818" s="1243">
        <f t="shared" si="517"/>
        <v>0</v>
      </c>
      <c r="N2818" s="1243">
        <v>0</v>
      </c>
      <c r="O2818" s="1243">
        <f t="shared" si="518"/>
        <v>0</v>
      </c>
    </row>
    <row r="2819" spans="1:15">
      <c r="A2819" s="361">
        <f t="shared" si="519"/>
        <v>8</v>
      </c>
      <c r="B2819" s="365">
        <v>394.1</v>
      </c>
      <c r="C2819" s="358" t="s">
        <v>417</v>
      </c>
      <c r="D2819" s="1243">
        <f t="shared" si="515"/>
        <v>9739</v>
      </c>
      <c r="E2819" s="1243">
        <v>0</v>
      </c>
      <c r="F2819" s="1243">
        <v>0</v>
      </c>
      <c r="G2819" s="1243">
        <f t="shared" si="520"/>
        <v>9739</v>
      </c>
      <c r="H2819" s="1243"/>
      <c r="I2819" s="1245">
        <f t="shared" si="516"/>
        <v>4460.0700000000006</v>
      </c>
      <c r="J2819" s="376">
        <v>0.04</v>
      </c>
      <c r="K2819" s="1243">
        <f>ROUND((G2819+D2819)/2*J2819/12,0)</f>
        <v>32</v>
      </c>
      <c r="L2819" s="1243">
        <v>0</v>
      </c>
      <c r="M2819" s="1243">
        <f t="shared" si="517"/>
        <v>0</v>
      </c>
      <c r="N2819" s="1243">
        <v>0</v>
      </c>
      <c r="O2819" s="1243">
        <f t="shared" si="518"/>
        <v>4492.0700000000006</v>
      </c>
    </row>
    <row r="2820" spans="1:15">
      <c r="A2820" s="361">
        <f t="shared" si="519"/>
        <v>9</v>
      </c>
      <c r="B2820" s="365">
        <v>394.11</v>
      </c>
      <c r="C2820" s="358" t="s">
        <v>418</v>
      </c>
      <c r="D2820" s="1243">
        <f t="shared" si="515"/>
        <v>0</v>
      </c>
      <c r="E2820" s="1243">
        <v>0</v>
      </c>
      <c r="F2820" s="1243">
        <v>0</v>
      </c>
      <c r="G2820" s="1243">
        <f t="shared" si="520"/>
        <v>0</v>
      </c>
      <c r="H2820" s="1243"/>
      <c r="I2820" s="1245">
        <f t="shared" si="516"/>
        <v>-26071.5</v>
      </c>
      <c r="J2820" s="376">
        <v>0.04</v>
      </c>
      <c r="K2820" s="1243">
        <f>ROUND((G2820+D2820)/2*J2820/12,0)</f>
        <v>0</v>
      </c>
      <c r="L2820" s="1243">
        <v>0</v>
      </c>
      <c r="M2820" s="1243">
        <f t="shared" si="517"/>
        <v>0</v>
      </c>
      <c r="N2820" s="1243">
        <v>0</v>
      </c>
      <c r="O2820" s="1243">
        <f t="shared" si="518"/>
        <v>-26071.5</v>
      </c>
    </row>
    <row r="2821" spans="1:15">
      <c r="A2821" s="361">
        <f t="shared" si="519"/>
        <v>10</v>
      </c>
      <c r="B2821" s="365">
        <v>394.13</v>
      </c>
      <c r="C2821" s="358" t="s">
        <v>515</v>
      </c>
      <c r="D2821" s="1243">
        <f t="shared" si="515"/>
        <v>0</v>
      </c>
      <c r="E2821" s="1243">
        <v>0</v>
      </c>
      <c r="F2821" s="1243">
        <v>0</v>
      </c>
      <c r="G2821" s="1243">
        <f t="shared" si="520"/>
        <v>0</v>
      </c>
      <c r="H2821" s="1243"/>
      <c r="I2821" s="1245">
        <f t="shared" si="516"/>
        <v>28469.360000000001</v>
      </c>
      <c r="J2821" s="376" t="str">
        <f>$J$1681</f>
        <v>Amort.</v>
      </c>
      <c r="K2821" s="1243">
        <v>0</v>
      </c>
      <c r="L2821" s="1243">
        <v>-789</v>
      </c>
      <c r="M2821" s="1243">
        <f t="shared" si="517"/>
        <v>0</v>
      </c>
      <c r="N2821" s="1243">
        <v>0</v>
      </c>
      <c r="O2821" s="1243">
        <f t="shared" si="518"/>
        <v>27680.36</v>
      </c>
    </row>
    <row r="2822" spans="1:15">
      <c r="A2822" s="361">
        <f t="shared" si="519"/>
        <v>11</v>
      </c>
      <c r="B2822" s="365">
        <v>394.2</v>
      </c>
      <c r="C2822" s="358" t="s">
        <v>420</v>
      </c>
      <c r="D2822" s="1243">
        <f t="shared" si="515"/>
        <v>0</v>
      </c>
      <c r="E2822" s="1243">
        <v>0</v>
      </c>
      <c r="F2822" s="1243">
        <v>0</v>
      </c>
      <c r="G2822" s="1243">
        <f>SUM(D2822:F2822)</f>
        <v>0</v>
      </c>
      <c r="H2822" s="1243"/>
      <c r="I2822" s="1245">
        <f t="shared" si="516"/>
        <v>185.21</v>
      </c>
      <c r="J2822" s="376">
        <v>0.04</v>
      </c>
      <c r="K2822" s="1243">
        <f>ROUND((G2822+D2822)/2*J2822/12,0)</f>
        <v>0</v>
      </c>
      <c r="L2822" s="1243">
        <v>0</v>
      </c>
      <c r="M2822" s="1243">
        <f t="shared" si="517"/>
        <v>0</v>
      </c>
      <c r="N2822" s="1243">
        <v>0</v>
      </c>
      <c r="O2822" s="1243">
        <f t="shared" si="518"/>
        <v>185.21</v>
      </c>
    </row>
    <row r="2823" spans="1:15">
      <c r="A2823" s="361">
        <f t="shared" si="519"/>
        <v>12</v>
      </c>
      <c r="B2823" s="365">
        <v>394.3</v>
      </c>
      <c r="C2823" s="358" t="s">
        <v>1602</v>
      </c>
      <c r="D2823" s="1243">
        <f t="shared" si="515"/>
        <v>5308950.4100000011</v>
      </c>
      <c r="E2823" s="1243">
        <v>196116.62</v>
      </c>
      <c r="F2823" s="1243">
        <v>-32293.46</v>
      </c>
      <c r="G2823" s="1243">
        <f>SUM(D2823:F2823)</f>
        <v>5472773.5700000012</v>
      </c>
      <c r="H2823" s="1243"/>
      <c r="I2823" s="1245">
        <f t="shared" si="516"/>
        <v>1681086.0299999996</v>
      </c>
      <c r="J2823" s="376">
        <v>0.04</v>
      </c>
      <c r="K2823" s="1243">
        <f>ROUND((G2823+D2823)/2*J2823/12,0)</f>
        <v>17970</v>
      </c>
      <c r="L2823" s="1243">
        <v>0</v>
      </c>
      <c r="M2823" s="1243">
        <f t="shared" si="517"/>
        <v>-32293.46</v>
      </c>
      <c r="N2823" s="1243">
        <v>0</v>
      </c>
      <c r="O2823" s="1243">
        <f t="shared" si="518"/>
        <v>1666762.5699999996</v>
      </c>
    </row>
    <row r="2824" spans="1:15">
      <c r="A2824" s="361">
        <f t="shared" si="519"/>
        <v>13</v>
      </c>
      <c r="B2824" s="365">
        <v>395</v>
      </c>
      <c r="C2824" s="358" t="s">
        <v>422</v>
      </c>
      <c r="D2824" s="1243">
        <f t="shared" si="515"/>
        <v>0</v>
      </c>
      <c r="E2824" s="1243">
        <v>0</v>
      </c>
      <c r="F2824" s="1243">
        <v>0</v>
      </c>
      <c r="G2824" s="1243">
        <f>SUM(D2824:F2824)</f>
        <v>0</v>
      </c>
      <c r="H2824" s="1243"/>
      <c r="I2824" s="1245">
        <f t="shared" si="516"/>
        <v>-133.69999999999845</v>
      </c>
      <c r="J2824" s="376">
        <v>0.05</v>
      </c>
      <c r="K2824" s="1243">
        <f>ROUND((G2824+D2824)/2*J2824/12,0)</f>
        <v>0</v>
      </c>
      <c r="L2824" s="1243">
        <v>-2.75</v>
      </c>
      <c r="M2824" s="1243">
        <f t="shared" si="517"/>
        <v>0</v>
      </c>
      <c r="N2824" s="1243">
        <v>0</v>
      </c>
      <c r="O2824" s="1243">
        <f t="shared" si="518"/>
        <v>-136.44999999999845</v>
      </c>
    </row>
    <row r="2825" spans="1:15">
      <c r="A2825" s="361">
        <f t="shared" si="519"/>
        <v>14</v>
      </c>
      <c r="B2825" s="365">
        <v>396</v>
      </c>
      <c r="C2825" s="358" t="s">
        <v>423</v>
      </c>
      <c r="D2825" s="1243">
        <f t="shared" si="515"/>
        <v>185547</v>
      </c>
      <c r="E2825" s="1243">
        <v>0</v>
      </c>
      <c r="F2825" s="1243">
        <v>0</v>
      </c>
      <c r="G2825" s="1243">
        <f>SUM(D2825:F2825)</f>
        <v>185547</v>
      </c>
      <c r="H2825" s="1243"/>
      <c r="I2825" s="1245">
        <f t="shared" si="516"/>
        <v>171938.14</v>
      </c>
      <c r="J2825" s="376">
        <f>+J2711</f>
        <v>0</v>
      </c>
      <c r="K2825" s="1243">
        <f>ROUND((G2825+D2825)/2*J2825/12,0)</f>
        <v>0</v>
      </c>
      <c r="L2825" s="1243">
        <v>0</v>
      </c>
      <c r="M2825" s="1243">
        <f t="shared" si="517"/>
        <v>0</v>
      </c>
      <c r="N2825" s="1243">
        <v>0</v>
      </c>
      <c r="O2825" s="1243">
        <f t="shared" si="518"/>
        <v>171938.14</v>
      </c>
    </row>
    <row r="2826" spans="1:15">
      <c r="A2826" s="361">
        <f t="shared" si="519"/>
        <v>15</v>
      </c>
      <c r="B2826" s="365">
        <v>398</v>
      </c>
      <c r="C2826" s="358" t="s">
        <v>424</v>
      </c>
      <c r="D2826" s="1244">
        <f t="shared" si="515"/>
        <v>148028.20000000001</v>
      </c>
      <c r="E2826" s="1244">
        <v>0</v>
      </c>
      <c r="F2826" s="1244">
        <v>0</v>
      </c>
      <c r="G2826" s="1244">
        <f>SUM(D2826:F2826)</f>
        <v>148028.20000000001</v>
      </c>
      <c r="H2826" s="1243"/>
      <c r="I2826" s="1246">
        <f t="shared" si="516"/>
        <v>83161.549999999945</v>
      </c>
      <c r="J2826" s="376">
        <v>6.6699999999999995E-2</v>
      </c>
      <c r="K2826" s="1244">
        <f>ROUND((G2826+D2826)/2*J2826/12,0)</f>
        <v>823</v>
      </c>
      <c r="L2826" s="1244">
        <v>265.16666666666669</v>
      </c>
      <c r="M2826" s="1244">
        <f t="shared" si="517"/>
        <v>0</v>
      </c>
      <c r="N2826" s="1244">
        <v>0</v>
      </c>
      <c r="O2826" s="1244">
        <f t="shared" si="518"/>
        <v>84249.716666666616</v>
      </c>
    </row>
    <row r="2827" spans="1:15">
      <c r="A2827" s="361">
        <f t="shared" si="519"/>
        <v>16</v>
      </c>
      <c r="B2827" s="367"/>
      <c r="C2827" s="358" t="s">
        <v>425</v>
      </c>
      <c r="D2827" s="1243">
        <f>SUM(D2813:D2826)</f>
        <v>6684522.120000001</v>
      </c>
      <c r="E2827" s="1243">
        <f>SUM(E2813:E2826)</f>
        <v>196116.62</v>
      </c>
      <c r="F2827" s="1243">
        <f>SUM(F2813:F2826)</f>
        <v>-32293.46</v>
      </c>
      <c r="G2827" s="1243">
        <f>SUM(G2813:G2826)</f>
        <v>6848345.2800000012</v>
      </c>
      <c r="H2827" s="1243"/>
      <c r="I2827" s="1243">
        <f>SUM(I2813:I2826)</f>
        <v>2219156.0799999991</v>
      </c>
      <c r="J2827" s="369"/>
      <c r="K2827" s="1243">
        <f>SUM(K2813:K2826)</f>
        <v>23340</v>
      </c>
      <c r="L2827" s="1243">
        <f>SUM(L2813:L2826)</f>
        <v>5270.0000000000009</v>
      </c>
      <c r="M2827" s="1243">
        <f>SUM(M2813:M2826)</f>
        <v>-32293.46</v>
      </c>
      <c r="N2827" s="1243">
        <f>SUM(N2813:N2826)</f>
        <v>0</v>
      </c>
      <c r="O2827" s="1243">
        <f>SUM(O2813:O2826)</f>
        <v>2215472.6199999996</v>
      </c>
    </row>
    <row r="2828" spans="1:15">
      <c r="A2828" s="361"/>
      <c r="D2828" s="1243"/>
      <c r="E2828" s="1243"/>
      <c r="F2828" s="1243"/>
      <c r="G2828" s="1243"/>
      <c r="H2828" s="1243"/>
      <c r="I2828" s="1243"/>
      <c r="J2828" s="369"/>
      <c r="K2828" s="1243"/>
      <c r="L2828" s="1243"/>
      <c r="M2828" s="1243"/>
      <c r="N2828" s="1243"/>
      <c r="O2828" s="1243"/>
    </row>
    <row r="2829" spans="1:15">
      <c r="A2829" s="361">
        <f>A2827+1</f>
        <v>17</v>
      </c>
      <c r="B2829" s="363" t="s">
        <v>1038</v>
      </c>
      <c r="D2829" s="1243"/>
      <c r="E2829" s="1243"/>
      <c r="F2829" s="1243"/>
      <c r="G2829" s="1243"/>
      <c r="H2829" s="1243"/>
      <c r="I2829" s="1243"/>
      <c r="J2829" s="369"/>
      <c r="K2829" s="1243"/>
      <c r="L2829" s="1243"/>
      <c r="M2829" s="1243"/>
      <c r="N2829" s="1243"/>
      <c r="O2829" s="1243"/>
    </row>
    <row r="2830" spans="1:15">
      <c r="A2830" s="361">
        <f>A2829+1</f>
        <v>18</v>
      </c>
      <c r="B2830" s="365">
        <v>378.21</v>
      </c>
      <c r="C2830" s="358" t="s">
        <v>1037</v>
      </c>
      <c r="D2830" s="1244">
        <f>G2716</f>
        <v>-777092</v>
      </c>
      <c r="E2830" s="1244">
        <v>0</v>
      </c>
      <c r="F2830" s="1244">
        <v>0</v>
      </c>
      <c r="G2830" s="1244">
        <f>SUM(D2830:F2830)</f>
        <v>-777092</v>
      </c>
      <c r="H2830" s="1243"/>
      <c r="I2830" s="1244">
        <f>O2716</f>
        <v>-230100.38000000027</v>
      </c>
      <c r="J2830" s="376" t="str">
        <f>$J$1690</f>
        <v>Amort.</v>
      </c>
      <c r="K2830" s="1244">
        <f>$K$1348</f>
        <v>-2144.17</v>
      </c>
      <c r="L2830" s="1244">
        <v>0</v>
      </c>
      <c r="M2830" s="1244">
        <f>F2830</f>
        <v>0</v>
      </c>
      <c r="N2830" s="1244">
        <v>0</v>
      </c>
      <c r="O2830" s="1244">
        <f>I2830+K2830+L2830+M2830+N2830</f>
        <v>-232244.55000000028</v>
      </c>
    </row>
    <row r="2831" spans="1:15">
      <c r="A2831" s="361">
        <f>A2830+1</f>
        <v>19</v>
      </c>
      <c r="B2831" s="370"/>
      <c r="C2831" s="358" t="s">
        <v>1579</v>
      </c>
      <c r="D2831" s="1243">
        <f>SUM(D2830)</f>
        <v>-777092</v>
      </c>
      <c r="E2831" s="1243">
        <f>SUM(E2830)</f>
        <v>0</v>
      </c>
      <c r="F2831" s="1243">
        <f>SUM(F2830)</f>
        <v>0</v>
      </c>
      <c r="G2831" s="1243">
        <f>SUM(G2830)</f>
        <v>-777092</v>
      </c>
      <c r="H2831" s="1243"/>
      <c r="I2831" s="1243">
        <f>SUM(I2830)</f>
        <v>-230100.38000000027</v>
      </c>
      <c r="J2831" s="369"/>
      <c r="K2831" s="1243">
        <f>SUM(K2830)</f>
        <v>-2144.17</v>
      </c>
      <c r="L2831" s="1243">
        <f>SUM(L2830)</f>
        <v>0</v>
      </c>
      <c r="M2831" s="1243">
        <f>SUM(M2830)</f>
        <v>0</v>
      </c>
      <c r="N2831" s="1243">
        <f>SUM(N2830)</f>
        <v>0</v>
      </c>
      <c r="O2831" s="1243">
        <f>SUM(O2830)</f>
        <v>-232244.55000000028</v>
      </c>
    </row>
    <row r="2832" spans="1:15">
      <c r="A2832" s="361"/>
      <c r="B2832" s="370"/>
      <c r="D2832" s="1243"/>
      <c r="E2832" s="1243"/>
      <c r="F2832" s="1243"/>
      <c r="G2832" s="1243"/>
      <c r="H2832" s="1243"/>
      <c r="I2832" s="1243"/>
      <c r="J2832" s="369"/>
      <c r="K2832" s="1243"/>
      <c r="L2832" s="1243"/>
      <c r="M2832" s="1243"/>
      <c r="N2832" s="1243"/>
      <c r="O2832" s="1243"/>
    </row>
    <row r="2833" spans="1:15">
      <c r="A2833" s="361">
        <f>A2831+1</f>
        <v>20</v>
      </c>
      <c r="B2833" s="370"/>
      <c r="C2833" s="358" t="s">
        <v>2037</v>
      </c>
      <c r="D2833" s="1243">
        <f>D2760+D2793+D2827+D2831</f>
        <v>762522885.30492222</v>
      </c>
      <c r="E2833" s="1243">
        <f>E2760+E2793+E2827+E2831</f>
        <v>1824650.1045586457</v>
      </c>
      <c r="F2833" s="1243">
        <f>F2760+F2793+F2827+F2831</f>
        <v>-901496.03384381079</v>
      </c>
      <c r="G2833" s="1243">
        <f>G2760+G2793+G2827+G2831</f>
        <v>763446039.37563694</v>
      </c>
      <c r="H2833" s="1243"/>
      <c r="I2833" s="1243">
        <f>I2760+I2793+I2827+I2831</f>
        <v>192572921.31933495</v>
      </c>
      <c r="J2833" s="369"/>
      <c r="K2833" s="1243">
        <f>K2760+K2793+K2827+K2831</f>
        <v>2135602.6131033893</v>
      </c>
      <c r="L2833" s="1243">
        <f>L2760+L2793+L2827+L2831</f>
        <v>5270.0000000000009</v>
      </c>
      <c r="M2833" s="1243">
        <f>M2760+M2793+M2827+M2831</f>
        <v>-901496.03384381079</v>
      </c>
      <c r="N2833" s="1243">
        <f>N2760+N2793+N2827+N2831</f>
        <v>-149845.3297839991</v>
      </c>
      <c r="O2833" s="1243">
        <f>O2760+O2793+O2827+O2831</f>
        <v>193662452.56881052</v>
      </c>
    </row>
    <row r="2834" spans="1:15">
      <c r="A2834" s="361"/>
      <c r="B2834" s="370"/>
      <c r="D2834" s="1243"/>
      <c r="E2834" s="1243"/>
      <c r="F2834" s="1243"/>
      <c r="G2834" s="1243"/>
      <c r="H2834" s="1243"/>
      <c r="I2834" s="1243"/>
      <c r="J2834" s="369"/>
      <c r="K2834" s="1243"/>
      <c r="L2834" s="1243"/>
      <c r="M2834" s="1243"/>
      <c r="N2834" s="1243"/>
      <c r="O2834" s="1243"/>
    </row>
    <row r="2835" spans="1:15">
      <c r="A2835" s="361">
        <f>A2833+1</f>
        <v>21</v>
      </c>
      <c r="B2835" s="370"/>
      <c r="C2835" s="358" t="s">
        <v>2038</v>
      </c>
      <c r="D2835" s="1243">
        <v>0</v>
      </c>
      <c r="E2835" s="1249">
        <v>0</v>
      </c>
      <c r="F2835" s="1249">
        <v>0</v>
      </c>
      <c r="G2835" s="1249">
        <f>SUM(D2835:F2835)</f>
        <v>0</v>
      </c>
      <c r="H2835" s="1243"/>
      <c r="I2835" s="1243">
        <f>O2721</f>
        <v>-6687302.71</v>
      </c>
      <c r="J2835" s="369"/>
      <c r="K2835" s="1243"/>
      <c r="L2835" s="1243"/>
      <c r="M2835" s="1243"/>
      <c r="N2835" s="1243"/>
      <c r="O2835" s="1243">
        <f>I2835+K2835+L2835+M2835+N2835</f>
        <v>-6687302.71</v>
      </c>
    </row>
    <row r="2836" spans="1:15">
      <c r="A2836" s="361"/>
      <c r="B2836" s="370"/>
      <c r="C2836" s="368"/>
      <c r="D2836" s="1243"/>
      <c r="E2836" s="1243"/>
      <c r="F2836" s="1243"/>
      <c r="G2836" s="1243"/>
      <c r="H2836" s="1243"/>
      <c r="I2836" s="1243"/>
      <c r="J2836" s="369"/>
      <c r="K2836" s="1243"/>
      <c r="L2836" s="1243"/>
      <c r="M2836" s="1243"/>
      <c r="N2836" s="1243"/>
      <c r="O2836" s="1243"/>
    </row>
    <row r="2837" spans="1:15">
      <c r="A2837" s="361">
        <f>A2835+1</f>
        <v>22</v>
      </c>
      <c r="C2837" s="358" t="s">
        <v>1603</v>
      </c>
      <c r="D2837" s="1247">
        <f>D2833+D2835</f>
        <v>762522885.30492222</v>
      </c>
      <c r="E2837" s="1247">
        <f t="shared" ref="E2837:O2837" si="521">E2833+E2835</f>
        <v>1824650.1045586457</v>
      </c>
      <c r="F2837" s="1247">
        <f t="shared" si="521"/>
        <v>-901496.03384381079</v>
      </c>
      <c r="G2837" s="1247">
        <f t="shared" si="521"/>
        <v>763446039.37563694</v>
      </c>
      <c r="H2837" s="1243"/>
      <c r="I2837" s="1247">
        <f t="shared" si="521"/>
        <v>185885618.60933495</v>
      </c>
      <c r="J2837" s="369"/>
      <c r="K2837" s="1247">
        <f t="shared" si="521"/>
        <v>2135602.6131033893</v>
      </c>
      <c r="L2837" s="1247">
        <f t="shared" si="521"/>
        <v>5270.0000000000009</v>
      </c>
      <c r="M2837" s="1247">
        <f t="shared" si="521"/>
        <v>-901496.03384381079</v>
      </c>
      <c r="N2837" s="1247">
        <f t="shared" si="521"/>
        <v>-149845.3297839991</v>
      </c>
      <c r="O2837" s="1247">
        <f t="shared" si="521"/>
        <v>186975149.85881051</v>
      </c>
    </row>
    <row r="2838" spans="1:15">
      <c r="A2838" s="361"/>
      <c r="D2838" s="1243"/>
      <c r="E2838" s="1243"/>
      <c r="F2838" s="1243"/>
      <c r="G2838" s="1243"/>
      <c r="H2838" s="1243"/>
      <c r="I2838" s="1243"/>
      <c r="J2838" s="369"/>
      <c r="K2838" s="1243"/>
      <c r="L2838" s="1243"/>
      <c r="M2838" s="1243"/>
      <c r="N2838" s="1243"/>
      <c r="O2838" s="1243"/>
    </row>
    <row r="2839" spans="1:15">
      <c r="A2839" s="361"/>
      <c r="D2839" s="1243"/>
      <c r="E2839" s="1243"/>
      <c r="F2839" s="1243"/>
      <c r="G2839" s="1243"/>
      <c r="H2839" s="1243"/>
      <c r="I2839" s="1243"/>
      <c r="J2839" s="369"/>
      <c r="K2839" s="1243"/>
      <c r="L2839" s="1243"/>
      <c r="M2839" s="1243"/>
      <c r="N2839" s="1243"/>
      <c r="O2839" s="1243"/>
    </row>
    <row r="2840" spans="1:15">
      <c r="A2840" s="361">
        <f>A2837+1</f>
        <v>23</v>
      </c>
      <c r="B2840" s="363" t="s">
        <v>1774</v>
      </c>
      <c r="D2840" s="1243"/>
      <c r="E2840" s="1243"/>
      <c r="F2840" s="1243"/>
      <c r="G2840" s="1243"/>
      <c r="H2840" s="1243"/>
      <c r="I2840" s="1243"/>
      <c r="J2840" s="369"/>
      <c r="K2840" s="1243"/>
      <c r="L2840" s="1243"/>
      <c r="M2840" s="1243"/>
      <c r="N2840" s="1243"/>
      <c r="O2840" s="1243"/>
    </row>
    <row r="2841" spans="1:15">
      <c r="A2841" s="361">
        <f t="shared" ref="A2841:A2846" si="522">A2840+1</f>
        <v>24</v>
      </c>
      <c r="B2841" s="365">
        <v>376</v>
      </c>
      <c r="C2841" s="358" t="s">
        <v>1775</v>
      </c>
      <c r="D2841" s="1243">
        <f>G2727</f>
        <v>52245108.823506333</v>
      </c>
      <c r="E2841" s="1243">
        <f>'WPB-2.1.D SMRP'!E1122</f>
        <v>1423405.2789234903</v>
      </c>
      <c r="F2841" s="1243">
        <f>'WPB-2.1.D SMRP'!F1122</f>
        <v>-19036.839999999997</v>
      </c>
      <c r="G2841" s="1243">
        <f>SUM(D2841:F2841)</f>
        <v>53649477.262429819</v>
      </c>
      <c r="H2841" s="1243"/>
      <c r="I2841" s="1243">
        <f>O2727</f>
        <v>268889.58592239418</v>
      </c>
      <c r="J2841" s="376">
        <f>+J2774</f>
        <v>1.7999999999999999E-2</v>
      </c>
      <c r="K2841" s="1243">
        <f>'WPB-2.1.D SMRP'!K1122</f>
        <v>79420.94</v>
      </c>
      <c r="L2841" s="1243">
        <v>0</v>
      </c>
      <c r="M2841" s="1243">
        <f>F2841</f>
        <v>-19036.839999999997</v>
      </c>
      <c r="N2841" s="1243">
        <f>'WPB-2.1.D SMRP'!N1122</f>
        <v>-131.22666582791899</v>
      </c>
      <c r="O2841" s="1243">
        <f>I2841+K2841+L2841+M2841+N2841</f>
        <v>329142.45925656625</v>
      </c>
    </row>
    <row r="2842" spans="1:15">
      <c r="A2842" s="361">
        <f t="shared" si="522"/>
        <v>25</v>
      </c>
      <c r="B2842" s="365">
        <v>378.2</v>
      </c>
      <c r="C2842" s="358" t="s">
        <v>1776</v>
      </c>
      <c r="D2842" s="1243">
        <f>G2728</f>
        <v>599780.62011021946</v>
      </c>
      <c r="E2842" s="1243">
        <f>'WPB-2.1.D SMRP'!E1123</f>
        <v>0</v>
      </c>
      <c r="F2842" s="1243">
        <f>'WPB-2.1.D SMRP'!F1123</f>
        <v>0</v>
      </c>
      <c r="G2842" s="1243">
        <f>SUM(D2842:F2842)</f>
        <v>599780.62011021946</v>
      </c>
      <c r="H2842" s="1243"/>
      <c r="I2842" s="1243">
        <f>O2728</f>
        <v>-944817.27754116023</v>
      </c>
      <c r="J2842" s="376">
        <f>+J2776</f>
        <v>3.3099999999999997E-2</v>
      </c>
      <c r="K2842" s="1243">
        <f>'WPB-2.1.D SMRP'!K1123</f>
        <v>1654.39</v>
      </c>
      <c r="L2842" s="1243">
        <v>0</v>
      </c>
      <c r="M2842" s="1243">
        <f>F2842</f>
        <v>0</v>
      </c>
      <c r="N2842" s="1243">
        <f>'WPB-2.1.D SMRP'!N1123</f>
        <v>0</v>
      </c>
      <c r="O2842" s="1243">
        <f>I2842+K2842+L2842+M2842+N2842</f>
        <v>-943162.88754116022</v>
      </c>
    </row>
    <row r="2843" spans="1:15">
      <c r="A2843" s="361">
        <f t="shared" si="522"/>
        <v>26</v>
      </c>
      <c r="B2843" s="365">
        <v>380</v>
      </c>
      <c r="C2843" s="358" t="s">
        <v>1777</v>
      </c>
      <c r="D2843" s="1243">
        <f>G2729</f>
        <v>21966406.624204569</v>
      </c>
      <c r="E2843" s="1243">
        <f>'WPB-2.1.D SMRP'!E1124</f>
        <v>549819.05897804489</v>
      </c>
      <c r="F2843" s="1243">
        <f>'WPB-2.1.D SMRP'!F1124</f>
        <v>-132820.17047799847</v>
      </c>
      <c r="G2843" s="1243">
        <f>SUM(D2843:F2843)</f>
        <v>22383405.512704615</v>
      </c>
      <c r="H2843" s="1243"/>
      <c r="I2843" s="1243">
        <f>O2729</f>
        <v>-11414274.058316868</v>
      </c>
      <c r="J2843" s="376">
        <f>+J2779</f>
        <v>5.1799999999999999E-2</v>
      </c>
      <c r="K2843" s="1243">
        <f>'WPB-2.1.D SMRP'!K1124</f>
        <v>95721.68</v>
      </c>
      <c r="L2843" s="1243">
        <v>0</v>
      </c>
      <c r="M2843" s="1243">
        <f>F2843</f>
        <v>-132820.17047799847</v>
      </c>
      <c r="N2843" s="1243">
        <f>'WPB-2.1.D SMRP'!N1124</f>
        <v>-281047.64355017297</v>
      </c>
      <c r="O2843" s="1243">
        <f>I2843+K2843+L2843+M2843+N2843</f>
        <v>-11732420.19234504</v>
      </c>
    </row>
    <row r="2844" spans="1:15">
      <c r="A2844" s="361">
        <f t="shared" si="522"/>
        <v>27</v>
      </c>
      <c r="B2844" s="365">
        <v>382</v>
      </c>
      <c r="C2844" s="358" t="s">
        <v>1778</v>
      </c>
      <c r="D2844" s="1243">
        <f>G2730</f>
        <v>228505.5945269751</v>
      </c>
      <c r="E2844" s="1243">
        <f>'WPB-2.1.D SMRP'!E1125</f>
        <v>2483.5061198633603</v>
      </c>
      <c r="F2844" s="1243">
        <f>'WPB-2.1.D SMRP'!F1125</f>
        <v>-206.17038835877938</v>
      </c>
      <c r="G2844" s="1243">
        <f>SUM(D2844:F2844)</f>
        <v>230782.93025847967</v>
      </c>
      <c r="H2844" s="1243"/>
      <c r="I2844" s="1243">
        <f>O2730</f>
        <v>-74942.2506416877</v>
      </c>
      <c r="J2844" s="376">
        <f>+J2782</f>
        <v>2.2800000000000001E-2</v>
      </c>
      <c r="K2844" s="1243">
        <f>'WPB-2.1.D SMRP'!K1125</f>
        <v>436.32</v>
      </c>
      <c r="L2844" s="1243">
        <v>0</v>
      </c>
      <c r="M2844" s="1243">
        <f>F2844</f>
        <v>-206.17038835877938</v>
      </c>
      <c r="N2844" s="1243">
        <f>'WPB-2.1.D SMRP'!N1125</f>
        <v>0</v>
      </c>
      <c r="O2844" s="1243">
        <f>I2844+K2844+L2844+M2844+N2844</f>
        <v>-74712.10103004647</v>
      </c>
    </row>
    <row r="2845" spans="1:15">
      <c r="A2845" s="361">
        <f t="shared" si="522"/>
        <v>28</v>
      </c>
      <c r="B2845" s="365">
        <v>383</v>
      </c>
      <c r="C2845" s="358" t="s">
        <v>1779</v>
      </c>
      <c r="D2845" s="1244">
        <f>G2731</f>
        <v>144714.99528017396</v>
      </c>
      <c r="E2845" s="1244">
        <f>'WPB-2.1.D SMRP'!E1126</f>
        <v>8273.2027759532048</v>
      </c>
      <c r="F2845" s="1244">
        <f>'WPB-2.1.D SMRP'!F1126</f>
        <v>-64.077253526215429</v>
      </c>
      <c r="G2845" s="1244">
        <f>SUM(D2845:F2845)</f>
        <v>152924.12080260093</v>
      </c>
      <c r="H2845" s="1243"/>
      <c r="I2845" s="1244">
        <f>O2731</f>
        <v>-8834.019428498932</v>
      </c>
      <c r="J2845" s="376">
        <f>+J2783</f>
        <v>2.2200000000000001E-2</v>
      </c>
      <c r="K2845" s="1244">
        <f>'WPB-2.1.D SMRP'!K1126</f>
        <v>275.32</v>
      </c>
      <c r="L2845" s="1244">
        <v>0</v>
      </c>
      <c r="M2845" s="1244">
        <f>F2845</f>
        <v>-64.077253526215429</v>
      </c>
      <c r="N2845" s="1244">
        <f>'WPB-2.1.D SMRP'!N1126</f>
        <v>0</v>
      </c>
      <c r="O2845" s="1244">
        <f>I2845+K2845+L2845+M2845+N2845</f>
        <v>-8622.7766820251472</v>
      </c>
    </row>
    <row r="2846" spans="1:15">
      <c r="A2846" s="361">
        <f t="shared" si="522"/>
        <v>29</v>
      </c>
      <c r="C2846" s="358" t="s">
        <v>1780</v>
      </c>
      <c r="D2846" s="1243">
        <f>SUM(D2841:D2845)</f>
        <v>75184516.657628268</v>
      </c>
      <c r="E2846" s="1243">
        <f>SUM(E2841:E2845)</f>
        <v>1983981.0467973517</v>
      </c>
      <c r="F2846" s="1243">
        <f>SUM(F2841:F2845)</f>
        <v>-152127.25811988348</v>
      </c>
      <c r="G2846" s="1243">
        <f>SUM(G2841:G2845)</f>
        <v>77016370.446305737</v>
      </c>
      <c r="H2846" s="1243"/>
      <c r="I2846" s="1243">
        <f>SUM(I2841:I2845)</f>
        <v>-12173978.02000582</v>
      </c>
      <c r="J2846" s="369"/>
      <c r="K2846" s="1243">
        <f>SUM(K2841:K2845)</f>
        <v>177508.65000000002</v>
      </c>
      <c r="L2846" s="1243">
        <f>SUM(L2841:L2845)</f>
        <v>0</v>
      </c>
      <c r="M2846" s="1243">
        <f>SUM(M2841:M2845)</f>
        <v>-152127.25811988348</v>
      </c>
      <c r="N2846" s="1243">
        <f>SUM(N2841:N2845)</f>
        <v>-281178.87021600088</v>
      </c>
      <c r="O2846" s="1243">
        <f>SUM(O2841:O2845)</f>
        <v>-12429775.498341706</v>
      </c>
    </row>
    <row r="2847" spans="1:15">
      <c r="A2847" s="361"/>
      <c r="D2847" s="1243"/>
      <c r="E2847" s="1243"/>
      <c r="F2847" s="1243"/>
      <c r="G2847" s="1243"/>
      <c r="H2847" s="1243"/>
      <c r="I2847" s="1243"/>
      <c r="J2847" s="369"/>
      <c r="K2847" s="1243"/>
      <c r="L2847" s="1243"/>
      <c r="M2847" s="1243"/>
      <c r="N2847" s="1243"/>
      <c r="O2847" s="1243"/>
    </row>
    <row r="2848" spans="1:15" ht="13.5" thickBot="1">
      <c r="A2848" s="361">
        <f>A2846+1</f>
        <v>30</v>
      </c>
      <c r="C2848" s="358" t="s">
        <v>447</v>
      </c>
      <c r="D2848" s="1248">
        <f>D2837+D2846</f>
        <v>837707401.96255052</v>
      </c>
      <c r="E2848" s="1248">
        <f>E2837+E2846</f>
        <v>3808631.1513559977</v>
      </c>
      <c r="F2848" s="1248">
        <f>F2837+F2846</f>
        <v>-1053623.2919636942</v>
      </c>
      <c r="G2848" s="1248">
        <f>G2837+G2846</f>
        <v>840462409.82194269</v>
      </c>
      <c r="H2848" s="1243"/>
      <c r="I2848" s="1248">
        <f>I2837+I2846</f>
        <v>173711640.58932912</v>
      </c>
      <c r="J2848" s="369"/>
      <c r="K2848" s="1248">
        <f>K2837+K2846</f>
        <v>2313111.2631033892</v>
      </c>
      <c r="L2848" s="1248">
        <f>L2837+L2846</f>
        <v>5270.0000000000009</v>
      </c>
      <c r="M2848" s="1248">
        <f>M2837+M2846</f>
        <v>-1053623.2919636942</v>
      </c>
      <c r="N2848" s="1248">
        <f>N2837+N2846</f>
        <v>-431024.19999999995</v>
      </c>
      <c r="O2848" s="1248">
        <f>O2837+O2846</f>
        <v>174545374.3604688</v>
      </c>
    </row>
    <row r="2849" spans="1:16" ht="13.5" thickTop="1"/>
    <row r="2851" spans="1:16" s="291" customFormat="1">
      <c r="A2851" s="1308" t="str">
        <f>$A$1</f>
        <v>COLUMBIA GAS OF KENTUCKY, INC.</v>
      </c>
      <c r="B2851" s="1308"/>
      <c r="C2851" s="1308"/>
      <c r="D2851" s="1308"/>
      <c r="E2851" s="1308"/>
      <c r="F2851" s="1308"/>
      <c r="G2851" s="1308"/>
      <c r="H2851" s="1308"/>
      <c r="I2851" s="1308"/>
      <c r="J2851" s="1308"/>
      <c r="K2851" s="1308"/>
      <c r="L2851" s="1308"/>
      <c r="M2851" s="1308"/>
      <c r="N2851" s="1308"/>
      <c r="O2851" s="1308"/>
    </row>
    <row r="2852" spans="1:16" s="291" customFormat="1">
      <c r="A2852" s="1308" t="str">
        <f>$A$2</f>
        <v>CASE NO. 2024 - 00092</v>
      </c>
      <c r="B2852" s="1308"/>
      <c r="C2852" s="1308"/>
      <c r="D2852" s="1308"/>
      <c r="E2852" s="1308"/>
      <c r="F2852" s="1308"/>
      <c r="G2852" s="1308"/>
      <c r="H2852" s="1308"/>
      <c r="I2852" s="1308"/>
      <c r="J2852" s="1308"/>
      <c r="K2852" s="1308"/>
      <c r="L2852" s="1308"/>
      <c r="M2852" s="1308"/>
      <c r="N2852" s="1308"/>
      <c r="O2852" s="1308"/>
    </row>
    <row r="2853" spans="1:16" s="291" customFormat="1">
      <c r="A2853" s="1308" t="str">
        <f>$A$3</f>
        <v>DETAIL OF ACTUAL &amp; FORECASTED PLANT, ACCUMULATED RESERVE &amp; DEPRECIATION EXPENSE</v>
      </c>
      <c r="B2853" s="1308"/>
      <c r="C2853" s="1308"/>
      <c r="D2853" s="1308"/>
      <c r="E2853" s="1308"/>
      <c r="F2853" s="1308"/>
      <c r="G2853" s="1308"/>
      <c r="H2853" s="1308"/>
      <c r="I2853" s="1308"/>
      <c r="J2853" s="1308"/>
      <c r="K2853" s="1308"/>
      <c r="L2853" s="1308"/>
      <c r="M2853" s="1308"/>
      <c r="N2853" s="1308"/>
      <c r="O2853" s="1308"/>
      <c r="P2853" s="357"/>
    </row>
    <row r="2854" spans="1:16" s="291" customFormat="1">
      <c r="A2854" s="1308" t="str">
        <f>$A$4</f>
        <v>FROM JANUARY 01, 2023 THROUGH DECEMBER 31, 2025</v>
      </c>
      <c r="B2854" s="1308"/>
      <c r="C2854" s="1308"/>
      <c r="D2854" s="1308"/>
      <c r="E2854" s="1308"/>
      <c r="F2854" s="1308"/>
      <c r="G2854" s="1308"/>
      <c r="H2854" s="1308"/>
      <c r="I2854" s="1308"/>
      <c r="J2854" s="1308"/>
      <c r="K2854" s="1308"/>
      <c r="L2854" s="1308"/>
      <c r="M2854" s="1308"/>
      <c r="N2854" s="1308"/>
      <c r="O2854" s="1308"/>
    </row>
    <row r="2855" spans="1:16" s="291" customFormat="1">
      <c r="B2855" s="293"/>
      <c r="P2855" s="312"/>
    </row>
    <row r="2856" spans="1:16" s="291" customFormat="1">
      <c r="A2856" s="297" t="str">
        <f>$A$6</f>
        <v xml:space="preserve">DATA: _X_ BASE PERIOD _X_ FORECASTED PERIOD     </v>
      </c>
      <c r="B2856" s="293"/>
      <c r="O2856" s="312" t="str">
        <f>$O$6</f>
        <v>WPB-2.1.C</v>
      </c>
      <c r="P2856" s="312"/>
    </row>
    <row r="2857" spans="1:16" s="291" customFormat="1">
      <c r="A2857" s="297" t="str">
        <f>$A$7</f>
        <v>TYPE OF FILING:___X___ORIGINAL______UPDATED</v>
      </c>
      <c r="B2857" s="293"/>
      <c r="O2857" s="312" t="s">
        <v>2172</v>
      </c>
      <c r="P2857" s="312"/>
    </row>
    <row r="2858" spans="1:16" s="291" customFormat="1">
      <c r="A2858" s="297" t="str">
        <f>$A$8</f>
        <v>WORKPAPER REFERENCE NO(S).:</v>
      </c>
      <c r="B2858" s="293"/>
      <c r="O2858" s="312" t="str">
        <f>$O$8</f>
        <v>WITNESS: GORE</v>
      </c>
    </row>
    <row r="2859" spans="1:16">
      <c r="A2859" s="918"/>
      <c r="B2859" s="919"/>
      <c r="C2859" s="918"/>
      <c r="D2859" s="918"/>
      <c r="E2859" s="918"/>
      <c r="F2859" s="918"/>
      <c r="G2859" s="918"/>
      <c r="H2859" s="918"/>
      <c r="I2859" s="918"/>
      <c r="J2859" s="918"/>
      <c r="K2859" s="918"/>
      <c r="L2859" s="918"/>
      <c r="M2859" s="918"/>
      <c r="N2859" s="918"/>
      <c r="O2859" s="920"/>
    </row>
    <row r="2860" spans="1:16">
      <c r="D2860" s="1311" t="s">
        <v>1768</v>
      </c>
      <c r="E2860" s="1311"/>
      <c r="F2860" s="1311"/>
      <c r="G2860" s="1311"/>
      <c r="I2860" s="1311" t="s">
        <v>1769</v>
      </c>
      <c r="J2860" s="1311"/>
      <c r="K2860" s="1311"/>
      <c r="L2860" s="1311"/>
      <c r="M2860" s="1311"/>
      <c r="N2860" s="1311"/>
      <c r="O2860" s="1311"/>
    </row>
    <row r="2861" spans="1:16">
      <c r="D2861" s="360">
        <f>G2806+1</f>
        <v>45689</v>
      </c>
      <c r="G2861" s="360">
        <f>D2861+27</f>
        <v>45716</v>
      </c>
      <c r="I2861" s="360">
        <f>D2861</f>
        <v>45689</v>
      </c>
      <c r="O2861" s="360">
        <f>G2861</f>
        <v>45716</v>
      </c>
    </row>
    <row r="2862" spans="1:16">
      <c r="D2862" s="361" t="s">
        <v>1757</v>
      </c>
      <c r="G2862" s="361" t="s">
        <v>1757</v>
      </c>
      <c r="I2862" s="361" t="s">
        <v>1758</v>
      </c>
      <c r="J2862" s="361" t="s">
        <v>488</v>
      </c>
      <c r="L2862" s="361" t="s">
        <v>1758</v>
      </c>
      <c r="O2862" s="361" t="s">
        <v>1758</v>
      </c>
    </row>
    <row r="2863" spans="1:16">
      <c r="A2863" s="361" t="s">
        <v>1770</v>
      </c>
      <c r="B2863" s="361" t="s">
        <v>368</v>
      </c>
      <c r="C2863" s="361"/>
      <c r="D2863" s="361" t="s">
        <v>437</v>
      </c>
      <c r="G2863" s="361" t="s">
        <v>439</v>
      </c>
      <c r="I2863" s="361" t="s">
        <v>437</v>
      </c>
      <c r="J2863" s="361" t="s">
        <v>1771</v>
      </c>
      <c r="K2863" s="361" t="s">
        <v>1772</v>
      </c>
      <c r="L2863" s="361" t="s">
        <v>1759</v>
      </c>
      <c r="N2863" s="361" t="s">
        <v>1760</v>
      </c>
      <c r="O2863" s="361" t="s">
        <v>439</v>
      </c>
    </row>
    <row r="2864" spans="1:16">
      <c r="A2864" s="364" t="s">
        <v>316</v>
      </c>
      <c r="B2864" s="364" t="s">
        <v>316</v>
      </c>
      <c r="C2864" s="364" t="s">
        <v>451</v>
      </c>
      <c r="D2864" s="364" t="s">
        <v>441</v>
      </c>
      <c r="E2864" s="364" t="s">
        <v>442</v>
      </c>
      <c r="F2864" s="364" t="s">
        <v>443</v>
      </c>
      <c r="G2864" s="364" t="s">
        <v>441</v>
      </c>
      <c r="I2864" s="364" t="s">
        <v>441</v>
      </c>
      <c r="J2864" s="364" t="s">
        <v>1773</v>
      </c>
      <c r="K2864" s="364" t="s">
        <v>1771</v>
      </c>
      <c r="L2864" s="364" t="s">
        <v>355</v>
      </c>
      <c r="M2864" s="364" t="s">
        <v>443</v>
      </c>
      <c r="N2864" s="364" t="s">
        <v>1763</v>
      </c>
      <c r="O2864" s="364" t="s">
        <v>441</v>
      </c>
    </row>
    <row r="2865" spans="1:15">
      <c r="D2865" s="361" t="s">
        <v>532</v>
      </c>
      <c r="E2865" s="361" t="s">
        <v>541</v>
      </c>
      <c r="F2865" s="361" t="s">
        <v>542</v>
      </c>
      <c r="G2865" s="361" t="s">
        <v>1764</v>
      </c>
      <c r="I2865" s="334" t="str">
        <f>"(5)"</f>
        <v>(5)</v>
      </c>
      <c r="J2865" s="334" t="str">
        <f>"(6)"</f>
        <v>(6)</v>
      </c>
      <c r="K2865" s="334" t="str">
        <f>"(7)=((1+4)/2*6/12))"</f>
        <v>(7)=((1+4)/2*6/12))</v>
      </c>
      <c r="L2865" s="334" t="str">
        <f>"(8)"</f>
        <v>(8)</v>
      </c>
      <c r="M2865" s="334" t="str">
        <f>"(9)"</f>
        <v>(9)</v>
      </c>
      <c r="N2865" s="334" t="str">
        <f>"(10)"</f>
        <v>(10)</v>
      </c>
      <c r="O2865" s="334" t="str">
        <f>"(11=5+7+8+9+10)"</f>
        <v>(11=5+7+8+9+10)</v>
      </c>
    </row>
    <row r="2866" spans="1:15">
      <c r="D2866" s="361" t="s">
        <v>320</v>
      </c>
      <c r="E2866" s="361" t="s">
        <v>320</v>
      </c>
      <c r="F2866" s="361" t="s">
        <v>320</v>
      </c>
      <c r="G2866" s="361" t="s">
        <v>320</v>
      </c>
      <c r="I2866" s="334" t="s">
        <v>320</v>
      </c>
      <c r="J2866" s="334" t="s">
        <v>529</v>
      </c>
      <c r="K2866" s="334" t="s">
        <v>320</v>
      </c>
      <c r="L2866" s="334" t="s">
        <v>320</v>
      </c>
      <c r="M2866" s="334" t="s">
        <v>320</v>
      </c>
      <c r="N2866" s="334" t="s">
        <v>320</v>
      </c>
      <c r="O2866" s="334" t="s">
        <v>320</v>
      </c>
    </row>
    <row r="2867" spans="1:15">
      <c r="A2867" s="361">
        <v>1</v>
      </c>
      <c r="B2867" s="362" t="s">
        <v>373</v>
      </c>
      <c r="D2867" s="361"/>
      <c r="E2867" s="361"/>
      <c r="F2867" s="361"/>
      <c r="G2867" s="361"/>
      <c r="I2867" s="334"/>
      <c r="J2867" s="334"/>
      <c r="K2867" s="334"/>
      <c r="L2867" s="334"/>
      <c r="M2867" s="334"/>
      <c r="N2867" s="334"/>
      <c r="O2867" s="334"/>
    </row>
    <row r="2868" spans="1:15">
      <c r="A2868" s="361">
        <f>A2867+1</f>
        <v>2</v>
      </c>
      <c r="B2868" s="365">
        <v>301</v>
      </c>
      <c r="C2868" s="358" t="s">
        <v>374</v>
      </c>
      <c r="D2868" s="1243">
        <f t="shared" ref="D2868:D2873" si="523">G2754</f>
        <v>521.20000000000005</v>
      </c>
      <c r="E2868" s="1243">
        <v>0</v>
      </c>
      <c r="F2868" s="1243">
        <v>0</v>
      </c>
      <c r="G2868" s="1243">
        <f t="shared" ref="G2868:G2873" si="524">SUM(D2868:F2868)</f>
        <v>521.20000000000005</v>
      </c>
      <c r="H2868" s="1243"/>
      <c r="I2868" s="1243">
        <f t="shared" ref="I2868:I2873" si="525">O2754</f>
        <v>0</v>
      </c>
      <c r="J2868" s="375" t="str">
        <f>$J$1614</f>
        <v>Amort.</v>
      </c>
      <c r="K2868" s="1243">
        <v>0</v>
      </c>
      <c r="L2868" s="1243">
        <v>0</v>
      </c>
      <c r="M2868" s="1243">
        <f t="shared" ref="M2868:M2873" si="526">F2868</f>
        <v>0</v>
      </c>
      <c r="N2868" s="1243">
        <v>0</v>
      </c>
      <c r="O2868" s="1243">
        <f t="shared" ref="O2868:O2873" si="527">I2868+K2868+L2868+M2868+N2868</f>
        <v>0</v>
      </c>
    </row>
    <row r="2869" spans="1:15">
      <c r="A2869" s="361">
        <f t="shared" ref="A2869:A2874" si="528">A2868+1</f>
        <v>3</v>
      </c>
      <c r="B2869" s="365">
        <v>303</v>
      </c>
      <c r="C2869" s="358" t="s">
        <v>375</v>
      </c>
      <c r="D2869" s="1243">
        <f t="shared" si="523"/>
        <v>96334.51</v>
      </c>
      <c r="E2869" s="1243">
        <v>0</v>
      </c>
      <c r="F2869" s="1243">
        <v>0</v>
      </c>
      <c r="G2869" s="1243">
        <f t="shared" si="524"/>
        <v>96334.51</v>
      </c>
      <c r="H2869" s="1243"/>
      <c r="I2869" s="1243">
        <f t="shared" si="525"/>
        <v>82341.141472222327</v>
      </c>
      <c r="J2869" s="375" t="str">
        <f>$J$1615</f>
        <v>Amort.</v>
      </c>
      <c r="K2869" s="1243">
        <f>+'WPB-2.1.E Intangibles'!F53</f>
        <v>267.59780555555557</v>
      </c>
      <c r="L2869" s="1243">
        <v>0</v>
      </c>
      <c r="M2869" s="1243">
        <f t="shared" si="526"/>
        <v>0</v>
      </c>
      <c r="N2869" s="1243">
        <v>0</v>
      </c>
      <c r="O2869" s="1243">
        <f t="shared" si="527"/>
        <v>82608.739277777888</v>
      </c>
    </row>
    <row r="2870" spans="1:15">
      <c r="A2870" s="361">
        <f t="shared" si="528"/>
        <v>4</v>
      </c>
      <c r="B2870" s="365">
        <v>303.10000000000002</v>
      </c>
      <c r="C2870" s="358" t="s">
        <v>376</v>
      </c>
      <c r="D2870" s="1243">
        <f t="shared" si="523"/>
        <v>943.27</v>
      </c>
      <c r="E2870" s="1243">
        <v>0</v>
      </c>
      <c r="F2870" s="1243">
        <v>0</v>
      </c>
      <c r="G2870" s="1243">
        <f t="shared" si="524"/>
        <v>943.27</v>
      </c>
      <c r="H2870" s="1243"/>
      <c r="I2870" s="1243">
        <f t="shared" si="525"/>
        <v>318.35000000000008</v>
      </c>
      <c r="J2870" s="375" t="str">
        <f>$J$1616</f>
        <v>Amort.</v>
      </c>
      <c r="K2870" s="1243">
        <v>0</v>
      </c>
      <c r="L2870" s="1243">
        <v>0</v>
      </c>
      <c r="M2870" s="1243">
        <f t="shared" si="526"/>
        <v>0</v>
      </c>
      <c r="N2870" s="1243">
        <v>0</v>
      </c>
      <c r="O2870" s="1243">
        <f t="shared" si="527"/>
        <v>318.35000000000008</v>
      </c>
    </row>
    <row r="2871" spans="1:15">
      <c r="A2871" s="361">
        <f t="shared" si="528"/>
        <v>5</v>
      </c>
      <c r="B2871" s="365">
        <v>303.2</v>
      </c>
      <c r="C2871" s="358" t="s">
        <v>377</v>
      </c>
      <c r="D2871" s="1243">
        <f t="shared" si="523"/>
        <v>0</v>
      </c>
      <c r="E2871" s="1243">
        <v>0</v>
      </c>
      <c r="F2871" s="1243">
        <v>0</v>
      </c>
      <c r="G2871" s="1243">
        <f t="shared" si="524"/>
        <v>0</v>
      </c>
      <c r="H2871" s="1243"/>
      <c r="I2871" s="1243">
        <f t="shared" si="525"/>
        <v>0</v>
      </c>
      <c r="J2871" s="375" t="str">
        <f>$J$1617</f>
        <v>Amort.</v>
      </c>
      <c r="K2871" s="1243">
        <v>0</v>
      </c>
      <c r="L2871" s="1243">
        <v>0</v>
      </c>
      <c r="M2871" s="1243">
        <f t="shared" si="526"/>
        <v>0</v>
      </c>
      <c r="N2871" s="1243">
        <v>0</v>
      </c>
      <c r="O2871" s="1243">
        <f t="shared" si="527"/>
        <v>0</v>
      </c>
    </row>
    <row r="2872" spans="1:15">
      <c r="A2872" s="361">
        <f t="shared" si="528"/>
        <v>6</v>
      </c>
      <c r="B2872" s="365">
        <v>303.3</v>
      </c>
      <c r="C2872" s="358" t="s">
        <v>378</v>
      </c>
      <c r="D2872" s="1243">
        <f t="shared" si="523"/>
        <v>13730482.690705003</v>
      </c>
      <c r="E2872" s="1243">
        <f>+'WPB-2.1.E Intangibles'!F26</f>
        <v>99476</v>
      </c>
      <c r="F2872" s="1243">
        <f>-'WPB-2.1.E Intangibles'!F41</f>
        <v>-35698.9</v>
      </c>
      <c r="G2872" s="1243">
        <f t="shared" si="524"/>
        <v>13794259.790705003</v>
      </c>
      <c r="H2872" s="1243"/>
      <c r="I2872" s="1243">
        <f t="shared" si="525"/>
        <v>5831644.1760852961</v>
      </c>
      <c r="J2872" s="375" t="str">
        <f>$J$1618</f>
        <v>Amort.</v>
      </c>
      <c r="K2872" s="1243">
        <f>+'WPB-2.1.E Intangibles'!F54</f>
        <v>231264.12717058347</v>
      </c>
      <c r="L2872" s="1243">
        <v>0</v>
      </c>
      <c r="M2872" s="1243">
        <f t="shared" si="526"/>
        <v>-35698.9</v>
      </c>
      <c r="N2872" s="1243">
        <v>0</v>
      </c>
      <c r="O2872" s="1243">
        <f t="shared" si="527"/>
        <v>6027209.4032558789</v>
      </c>
    </row>
    <row r="2873" spans="1:15">
      <c r="A2873" s="361">
        <f t="shared" si="528"/>
        <v>7</v>
      </c>
      <c r="B2873" s="365">
        <v>303.99</v>
      </c>
      <c r="C2873" s="358" t="s">
        <v>1129</v>
      </c>
      <c r="D2873" s="1244">
        <f t="shared" si="523"/>
        <v>2161936.4318110631</v>
      </c>
      <c r="E2873" s="1244">
        <f>+'WPB-2.1.E Intangibles'!F30</f>
        <v>6276.8592533725496</v>
      </c>
      <c r="F2873" s="1244">
        <f>-'WPB-2.1.E Intangibles'!F42</f>
        <v>-53945.760000000002</v>
      </c>
      <c r="G2873" s="1244">
        <f t="shared" si="524"/>
        <v>2114267.5310644358</v>
      </c>
      <c r="H2873" s="1243"/>
      <c r="I2873" s="1244">
        <f t="shared" si="525"/>
        <v>1166196.3338749416</v>
      </c>
      <c r="J2873" s="375" t="str">
        <f>$J$1619</f>
        <v>Amort.</v>
      </c>
      <c r="K2873" s="1244">
        <f>+'WPB-2.1.E Intangibles'!F55</f>
        <v>34877.242675443587</v>
      </c>
      <c r="L2873" s="1244">
        <v>0</v>
      </c>
      <c r="M2873" s="1244">
        <f t="shared" si="526"/>
        <v>-53945.760000000002</v>
      </c>
      <c r="N2873" s="1244">
        <v>0</v>
      </c>
      <c r="O2873" s="1244">
        <f t="shared" si="527"/>
        <v>1147127.8165503852</v>
      </c>
    </row>
    <row r="2874" spans="1:15">
      <c r="A2874" s="361">
        <f t="shared" si="528"/>
        <v>8</v>
      </c>
      <c r="B2874" s="367"/>
      <c r="C2874" s="358" t="s">
        <v>379</v>
      </c>
      <c r="D2874" s="1243">
        <f>SUM(D2868:D2873)</f>
        <v>15990218.102516066</v>
      </c>
      <c r="E2874" s="1243">
        <f>SUM(E2868:E2873)</f>
        <v>105752.85925337255</v>
      </c>
      <c r="F2874" s="1243">
        <f>SUM(F2868:F2873)</f>
        <v>-89644.66</v>
      </c>
      <c r="G2874" s="1243">
        <f>SUM(G2868:G2873)</f>
        <v>16006326.301769439</v>
      </c>
      <c r="H2874" s="1243"/>
      <c r="I2874" s="1243">
        <f>SUM(I2868:I2873)</f>
        <v>7080500.0014324598</v>
      </c>
      <c r="J2874" s="369"/>
      <c r="K2874" s="1243">
        <f>SUM(K2868:K2873)</f>
        <v>266408.96765158261</v>
      </c>
      <c r="L2874" s="1243">
        <f>SUM(L2868:L2873)</f>
        <v>0</v>
      </c>
      <c r="M2874" s="1243">
        <f>SUM(M2868:M2873)</f>
        <v>-89644.66</v>
      </c>
      <c r="N2874" s="1243">
        <f>SUM(N2868:N2873)</f>
        <v>0</v>
      </c>
      <c r="O2874" s="1243">
        <f>SUM(O2868:O2873)</f>
        <v>7257264.309084042</v>
      </c>
    </row>
    <row r="2875" spans="1:15">
      <c r="A2875" s="361"/>
      <c r="B2875" s="367"/>
      <c r="C2875" s="368"/>
      <c r="D2875" s="1243"/>
      <c r="E2875" s="1243"/>
      <c r="F2875" s="1243"/>
      <c r="G2875" s="1243"/>
      <c r="H2875" s="1243"/>
      <c r="I2875" s="1243"/>
      <c r="J2875" s="369"/>
      <c r="K2875" s="1243"/>
      <c r="L2875" s="1243"/>
      <c r="M2875" s="1243"/>
      <c r="N2875" s="1243"/>
      <c r="O2875" s="1243"/>
    </row>
    <row r="2876" spans="1:15">
      <c r="A2876" s="361">
        <f>A2874+1</f>
        <v>9</v>
      </c>
      <c r="B2876" s="362" t="s">
        <v>1600</v>
      </c>
      <c r="C2876" s="368"/>
      <c r="D2876" s="1243"/>
      <c r="E2876" s="1243"/>
      <c r="F2876" s="1243"/>
      <c r="G2876" s="1243"/>
      <c r="H2876" s="1243"/>
      <c r="I2876" s="1243"/>
      <c r="J2876" s="369"/>
      <c r="K2876" s="1243"/>
      <c r="L2876" s="1243"/>
      <c r="M2876" s="1243"/>
      <c r="N2876" s="1243"/>
      <c r="O2876" s="1243"/>
    </row>
    <row r="2877" spans="1:15">
      <c r="A2877" s="361">
        <f t="shared" ref="A2877:A2907" si="529">A2876+1</f>
        <v>10</v>
      </c>
      <c r="B2877" s="365">
        <v>374.1</v>
      </c>
      <c r="C2877" s="358" t="s">
        <v>382</v>
      </c>
      <c r="D2877" s="1243">
        <f t="shared" ref="D2877:D2906" si="530">G2763</f>
        <v>205.4</v>
      </c>
      <c r="E2877" s="1243">
        <v>0</v>
      </c>
      <c r="F2877" s="1243">
        <v>0</v>
      </c>
      <c r="G2877" s="1243">
        <f>SUM(D2877:F2877)</f>
        <v>205.4</v>
      </c>
      <c r="H2877" s="1243"/>
      <c r="I2877" s="1243">
        <f t="shared" ref="I2877:I2906" si="531">O2763</f>
        <v>0</v>
      </c>
      <c r="J2877" s="375" t="str">
        <f>$J$1623</f>
        <v>Non-Dep.</v>
      </c>
      <c r="K2877" s="1243">
        <v>0</v>
      </c>
      <c r="L2877" s="1243">
        <v>0</v>
      </c>
      <c r="M2877" s="1243">
        <f t="shared" ref="M2877:M2906" si="532">F2877</f>
        <v>0</v>
      </c>
      <c r="N2877" s="1243">
        <v>0</v>
      </c>
      <c r="O2877" s="1243">
        <f t="shared" ref="O2877:O2906" si="533">I2877+K2877+L2877+M2877+N2877</f>
        <v>0</v>
      </c>
    </row>
    <row r="2878" spans="1:15">
      <c r="A2878" s="361">
        <f t="shared" si="529"/>
        <v>11</v>
      </c>
      <c r="B2878" s="365">
        <v>374.2</v>
      </c>
      <c r="C2878" s="358" t="s">
        <v>383</v>
      </c>
      <c r="D2878" s="1243">
        <f t="shared" si="530"/>
        <v>876986.66</v>
      </c>
      <c r="E2878" s="1243">
        <v>0</v>
      </c>
      <c r="F2878" s="1243">
        <v>0</v>
      </c>
      <c r="G2878" s="1243">
        <f t="shared" ref="G2878:G2906" si="534">SUM(D2878:F2878)</f>
        <v>876986.66</v>
      </c>
      <c r="H2878" s="1243"/>
      <c r="I2878" s="1243">
        <f t="shared" si="531"/>
        <v>-522.25</v>
      </c>
      <c r="J2878" s="375" t="str">
        <f>$J$1624</f>
        <v>Non-Dep.</v>
      </c>
      <c r="K2878" s="1243">
        <v>0</v>
      </c>
      <c r="L2878" s="1243">
        <v>0</v>
      </c>
      <c r="M2878" s="1243">
        <f t="shared" si="532"/>
        <v>0</v>
      </c>
      <c r="N2878" s="1243">
        <v>0</v>
      </c>
      <c r="O2878" s="1243">
        <f t="shared" si="533"/>
        <v>-522.25</v>
      </c>
    </row>
    <row r="2879" spans="1:15">
      <c r="A2879" s="361">
        <f t="shared" si="529"/>
        <v>12</v>
      </c>
      <c r="B2879" s="365">
        <v>374.4</v>
      </c>
      <c r="C2879" s="358" t="s">
        <v>384</v>
      </c>
      <c r="D2879" s="1243">
        <f t="shared" si="530"/>
        <v>3138566.7200000007</v>
      </c>
      <c r="E2879" s="1243">
        <v>1621.77</v>
      </c>
      <c r="F2879" s="1243">
        <v>0</v>
      </c>
      <c r="G2879" s="1243">
        <f t="shared" si="534"/>
        <v>3140188.4900000007</v>
      </c>
      <c r="H2879" s="1243"/>
      <c r="I2879" s="1243">
        <f t="shared" si="531"/>
        <v>403314.59</v>
      </c>
      <c r="J2879" s="376">
        <f t="shared" ref="J2879:J2906" si="535">+J2765</f>
        <v>1.3299999999999999E-2</v>
      </c>
      <c r="K2879" s="1243">
        <f t="shared" ref="K2879:K2885" si="536">ROUND((G2879+D2879)/2*J2879/12,0)</f>
        <v>3479</v>
      </c>
      <c r="L2879" s="1243">
        <v>0</v>
      </c>
      <c r="M2879" s="1243">
        <f t="shared" si="532"/>
        <v>0</v>
      </c>
      <c r="N2879" s="1243">
        <v>0</v>
      </c>
      <c r="O2879" s="1243">
        <f t="shared" si="533"/>
        <v>406793.59</v>
      </c>
    </row>
    <row r="2880" spans="1:15">
      <c r="A2880" s="361">
        <f t="shared" si="529"/>
        <v>13</v>
      </c>
      <c r="B2880" s="365">
        <v>374.5</v>
      </c>
      <c r="C2880" s="358" t="s">
        <v>385</v>
      </c>
      <c r="D2880" s="1243">
        <f t="shared" si="530"/>
        <v>2666577.16</v>
      </c>
      <c r="E2880" s="1243">
        <v>0</v>
      </c>
      <c r="F2880" s="1243">
        <v>0</v>
      </c>
      <c r="G2880" s="1243">
        <f t="shared" si="534"/>
        <v>2666577.16</v>
      </c>
      <c r="H2880" s="1243"/>
      <c r="I2880" s="1243">
        <f t="shared" si="531"/>
        <v>1188072.1900000013</v>
      </c>
      <c r="J2880" s="376">
        <f t="shared" si="535"/>
        <v>1.0999999999999999E-2</v>
      </c>
      <c r="K2880" s="1243">
        <f t="shared" si="536"/>
        <v>2444</v>
      </c>
      <c r="L2880" s="1243">
        <v>0</v>
      </c>
      <c r="M2880" s="1243">
        <f t="shared" si="532"/>
        <v>0</v>
      </c>
      <c r="N2880" s="1243">
        <v>0</v>
      </c>
      <c r="O2880" s="1243">
        <f t="shared" si="533"/>
        <v>1190516.1900000013</v>
      </c>
    </row>
    <row r="2881" spans="1:15">
      <c r="A2881" s="361">
        <f t="shared" si="529"/>
        <v>14</v>
      </c>
      <c r="B2881" s="365">
        <v>375.2</v>
      </c>
      <c r="C2881" s="358" t="s">
        <v>386</v>
      </c>
      <c r="D2881" s="1243">
        <f t="shared" si="530"/>
        <v>2124.98</v>
      </c>
      <c r="E2881" s="1243">
        <v>0</v>
      </c>
      <c r="F2881" s="1243">
        <v>0</v>
      </c>
      <c r="G2881" s="1243">
        <f t="shared" si="534"/>
        <v>2124.98</v>
      </c>
      <c r="H2881" s="1243"/>
      <c r="I2881" s="1243">
        <f t="shared" si="531"/>
        <v>2107.3000000000002</v>
      </c>
      <c r="J2881" s="376">
        <f t="shared" si="535"/>
        <v>2.3900000000000001E-2</v>
      </c>
      <c r="K2881" s="1243">
        <f t="shared" si="536"/>
        <v>4</v>
      </c>
      <c r="L2881" s="1243">
        <v>0</v>
      </c>
      <c r="M2881" s="1243">
        <f t="shared" si="532"/>
        <v>0</v>
      </c>
      <c r="N2881" s="1243">
        <v>0</v>
      </c>
      <c r="O2881" s="1243">
        <f t="shared" si="533"/>
        <v>2111.3000000000002</v>
      </c>
    </row>
    <row r="2882" spans="1:15">
      <c r="A2882" s="361">
        <f t="shared" si="529"/>
        <v>15</v>
      </c>
      <c r="B2882" s="365">
        <v>375.3</v>
      </c>
      <c r="C2882" s="358" t="s">
        <v>387</v>
      </c>
      <c r="D2882" s="1243">
        <f t="shared" si="530"/>
        <v>0</v>
      </c>
      <c r="E2882" s="1243">
        <v>0</v>
      </c>
      <c r="F2882" s="1243">
        <v>0</v>
      </c>
      <c r="G2882" s="1243">
        <f t="shared" si="534"/>
        <v>0</v>
      </c>
      <c r="H2882" s="1243"/>
      <c r="I2882" s="1243">
        <f t="shared" si="531"/>
        <v>-77.66</v>
      </c>
      <c r="J2882" s="376">
        <f t="shared" si="535"/>
        <v>2.3900000000000001E-2</v>
      </c>
      <c r="K2882" s="1243">
        <f t="shared" si="536"/>
        <v>0</v>
      </c>
      <c r="L2882" s="1243">
        <v>0</v>
      </c>
      <c r="M2882" s="1243">
        <f t="shared" si="532"/>
        <v>0</v>
      </c>
      <c r="N2882" s="1243">
        <v>0</v>
      </c>
      <c r="O2882" s="1243">
        <f t="shared" si="533"/>
        <v>-77.66</v>
      </c>
    </row>
    <row r="2883" spans="1:15">
      <c r="A2883" s="361">
        <f t="shared" si="529"/>
        <v>16</v>
      </c>
      <c r="B2883" s="365">
        <v>375.4</v>
      </c>
      <c r="C2883" s="358" t="s">
        <v>388</v>
      </c>
      <c r="D2883" s="1243">
        <f t="shared" si="530"/>
        <v>3394712.2099999986</v>
      </c>
      <c r="E2883" s="1243">
        <v>8721.08</v>
      </c>
      <c r="F2883" s="1243">
        <v>-1844.99</v>
      </c>
      <c r="G2883" s="1243">
        <f t="shared" si="534"/>
        <v>3401588.2999999984</v>
      </c>
      <c r="H2883" s="1243"/>
      <c r="I2883" s="1243">
        <f t="shared" si="531"/>
        <v>388748.49000000017</v>
      </c>
      <c r="J2883" s="376">
        <f t="shared" si="535"/>
        <v>2.3900000000000001E-2</v>
      </c>
      <c r="K2883" s="1243">
        <f t="shared" si="536"/>
        <v>6768</v>
      </c>
      <c r="L2883" s="1243">
        <v>0</v>
      </c>
      <c r="M2883" s="1243">
        <f t="shared" si="532"/>
        <v>-1844.99</v>
      </c>
      <c r="N2883" s="1243">
        <v>0</v>
      </c>
      <c r="O2883" s="1243">
        <f t="shared" si="533"/>
        <v>393671.50000000017</v>
      </c>
    </row>
    <row r="2884" spans="1:15">
      <c r="A2884" s="361">
        <f t="shared" si="529"/>
        <v>17</v>
      </c>
      <c r="B2884" s="365">
        <v>375.6</v>
      </c>
      <c r="C2884" s="358" t="s">
        <v>389</v>
      </c>
      <c r="D2884" s="1243">
        <f t="shared" si="530"/>
        <v>0</v>
      </c>
      <c r="E2884" s="1243">
        <v>0</v>
      </c>
      <c r="F2884" s="1243">
        <v>0</v>
      </c>
      <c r="G2884" s="1243">
        <f t="shared" si="534"/>
        <v>0</v>
      </c>
      <c r="H2884" s="1243"/>
      <c r="I2884" s="1243">
        <f t="shared" si="531"/>
        <v>0.02</v>
      </c>
      <c r="J2884" s="376">
        <f t="shared" si="535"/>
        <v>2.3900000000000001E-2</v>
      </c>
      <c r="K2884" s="1243">
        <f t="shared" si="536"/>
        <v>0</v>
      </c>
      <c r="L2884" s="1243">
        <v>0</v>
      </c>
      <c r="M2884" s="1243">
        <f t="shared" si="532"/>
        <v>0</v>
      </c>
      <c r="N2884" s="1243">
        <v>0</v>
      </c>
      <c r="O2884" s="1243">
        <f t="shared" si="533"/>
        <v>0.02</v>
      </c>
    </row>
    <row r="2885" spans="1:15">
      <c r="A2885" s="361">
        <f t="shared" si="529"/>
        <v>18</v>
      </c>
      <c r="B2885" s="365">
        <v>375.7</v>
      </c>
      <c r="C2885" s="358" t="s">
        <v>390</v>
      </c>
      <c r="D2885" s="1243">
        <f t="shared" si="530"/>
        <v>9688286.1499999985</v>
      </c>
      <c r="E2885" s="1243">
        <v>15148.13</v>
      </c>
      <c r="F2885" s="1243">
        <v>0</v>
      </c>
      <c r="G2885" s="1243">
        <f t="shared" si="534"/>
        <v>9703434.2799999993</v>
      </c>
      <c r="H2885" s="1243"/>
      <c r="I2885" s="1243">
        <f t="shared" si="531"/>
        <v>4931531.3899999987</v>
      </c>
      <c r="J2885" s="376">
        <f t="shared" si="535"/>
        <v>2.5100000000000001E-2</v>
      </c>
      <c r="K2885" s="1243">
        <f t="shared" si="536"/>
        <v>20281</v>
      </c>
      <c r="L2885" s="1243">
        <v>0</v>
      </c>
      <c r="M2885" s="1243">
        <f t="shared" si="532"/>
        <v>0</v>
      </c>
      <c r="N2885" s="1243">
        <v>0</v>
      </c>
      <c r="O2885" s="1243">
        <f t="shared" si="533"/>
        <v>4951812.3899999987</v>
      </c>
    </row>
    <row r="2886" spans="1:15">
      <c r="A2886" s="361">
        <f t="shared" si="529"/>
        <v>19</v>
      </c>
      <c r="B2886" s="365">
        <v>375.71</v>
      </c>
      <c r="C2886" s="358" t="s">
        <v>391</v>
      </c>
      <c r="D2886" s="1243">
        <f t="shared" si="530"/>
        <v>880994.59</v>
      </c>
      <c r="E2886" s="1243">
        <v>0</v>
      </c>
      <c r="F2886" s="1243">
        <v>0</v>
      </c>
      <c r="G2886" s="1243">
        <f t="shared" si="534"/>
        <v>880994.59</v>
      </c>
      <c r="H2886" s="1243"/>
      <c r="I2886" s="1243">
        <f t="shared" si="531"/>
        <v>820629.14000000083</v>
      </c>
      <c r="J2886" s="376" t="str">
        <f t="shared" si="535"/>
        <v>Amort.</v>
      </c>
      <c r="K2886" s="1243">
        <f>$K$1290</f>
        <v>4743.54</v>
      </c>
      <c r="L2886" s="1243">
        <v>0</v>
      </c>
      <c r="M2886" s="1243">
        <f t="shared" si="532"/>
        <v>0</v>
      </c>
      <c r="N2886" s="1243">
        <v>0</v>
      </c>
      <c r="O2886" s="1243">
        <f t="shared" si="533"/>
        <v>825372.68000000087</v>
      </c>
    </row>
    <row r="2887" spans="1:15">
      <c r="A2887" s="361">
        <f t="shared" si="529"/>
        <v>20</v>
      </c>
      <c r="B2887" s="365">
        <v>375.8</v>
      </c>
      <c r="C2887" s="358" t="s">
        <v>392</v>
      </c>
      <c r="D2887" s="1243">
        <f t="shared" si="530"/>
        <v>132125.04</v>
      </c>
      <c r="E2887" s="1243">
        <v>0</v>
      </c>
      <c r="F2887" s="1243">
        <v>0</v>
      </c>
      <c r="G2887" s="1243">
        <f t="shared" si="534"/>
        <v>132125.04</v>
      </c>
      <c r="H2887" s="1243"/>
      <c r="I2887" s="1243">
        <f t="shared" si="531"/>
        <v>14780.43</v>
      </c>
      <c r="J2887" s="376">
        <f t="shared" si="535"/>
        <v>2.1100000000000001E-2</v>
      </c>
      <c r="K2887" s="1243">
        <f t="shared" ref="K2887:K2906" si="537">ROUND((G2887+D2887)/2*J2887/12,0)</f>
        <v>232</v>
      </c>
      <c r="L2887" s="1243">
        <v>0</v>
      </c>
      <c r="M2887" s="1243">
        <f t="shared" si="532"/>
        <v>0</v>
      </c>
      <c r="N2887" s="1243">
        <v>0</v>
      </c>
      <c r="O2887" s="1243">
        <f t="shared" si="533"/>
        <v>15012.43</v>
      </c>
    </row>
    <row r="2888" spans="1:15">
      <c r="A2888" s="361">
        <f t="shared" si="529"/>
        <v>21</v>
      </c>
      <c r="B2888" s="365">
        <v>376</v>
      </c>
      <c r="C2888" s="358" t="s">
        <v>1621</v>
      </c>
      <c r="D2888" s="1243">
        <f t="shared" si="530"/>
        <v>421954386.98757023</v>
      </c>
      <c r="E2888" s="1243">
        <f>'WPB-2.1.D SMRP'!E1177</f>
        <v>287577.43342275207</v>
      </c>
      <c r="F2888" s="1243">
        <f>'WPB-2.1.D SMRP'!F1177</f>
        <v>-35728.32</v>
      </c>
      <c r="G2888" s="1243">
        <f t="shared" si="534"/>
        <v>422206236.10099298</v>
      </c>
      <c r="H2888" s="1243"/>
      <c r="I2888" s="1243">
        <f t="shared" si="531"/>
        <v>86810883.680743515</v>
      </c>
      <c r="J2888" s="376">
        <f t="shared" si="535"/>
        <v>1.7999999999999999E-2</v>
      </c>
      <c r="K2888" s="1243">
        <f>'WPB-2.1.D SMRP'!K1177</f>
        <v>633120.52</v>
      </c>
      <c r="L2888" s="1243">
        <v>0</v>
      </c>
      <c r="M2888" s="1243">
        <f>F2888</f>
        <v>-35728.32</v>
      </c>
      <c r="N2888" s="1243">
        <f>'WPB-2.1.D SMRP'!N1177</f>
        <v>-38089.737450292938</v>
      </c>
      <c r="O2888" s="1243">
        <f t="shared" si="533"/>
        <v>87370186.143293232</v>
      </c>
    </row>
    <row r="2889" spans="1:15">
      <c r="A2889" s="361">
        <f t="shared" si="529"/>
        <v>22</v>
      </c>
      <c r="B2889" s="365">
        <v>378.1</v>
      </c>
      <c r="C2889" s="358" t="s">
        <v>394</v>
      </c>
      <c r="D2889" s="1243">
        <f t="shared" si="530"/>
        <v>-172291.25</v>
      </c>
      <c r="E2889" s="1243">
        <v>0</v>
      </c>
      <c r="F2889" s="1243">
        <v>0</v>
      </c>
      <c r="G2889" s="1243">
        <f t="shared" si="534"/>
        <v>-172291.25</v>
      </c>
      <c r="H2889" s="1243"/>
      <c r="I2889" s="1243">
        <f t="shared" si="531"/>
        <v>-328094.52000000008</v>
      </c>
      <c r="J2889" s="376">
        <f t="shared" si="535"/>
        <v>3.3099999999999997E-2</v>
      </c>
      <c r="K2889" s="1243">
        <f t="shared" si="537"/>
        <v>-475</v>
      </c>
      <c r="L2889" s="1243">
        <v>0</v>
      </c>
      <c r="M2889" s="1243">
        <f t="shared" si="532"/>
        <v>0</v>
      </c>
      <c r="N2889" s="1243">
        <v>0</v>
      </c>
      <c r="O2889" s="1243">
        <f t="shared" si="533"/>
        <v>-328569.52000000008</v>
      </c>
    </row>
    <row r="2890" spans="1:15">
      <c r="A2890" s="361">
        <f t="shared" si="529"/>
        <v>23</v>
      </c>
      <c r="B2890" s="365">
        <v>378.2</v>
      </c>
      <c r="C2890" s="358" t="s">
        <v>1622</v>
      </c>
      <c r="D2890" s="1243">
        <f t="shared" si="530"/>
        <v>27458381.93922396</v>
      </c>
      <c r="E2890" s="1243">
        <f>'WPB-2.1.D SMRP'!E1181</f>
        <v>248588.34</v>
      </c>
      <c r="F2890" s="1243">
        <f>'WPB-2.1.D SMRP'!F1181</f>
        <v>-4881.2075690803122</v>
      </c>
      <c r="G2890" s="1243">
        <f t="shared" si="534"/>
        <v>27702089.071654879</v>
      </c>
      <c r="H2890" s="1243"/>
      <c r="I2890" s="1243">
        <f t="shared" si="531"/>
        <v>3380065.6772169597</v>
      </c>
      <c r="J2890" s="376">
        <f t="shared" si="535"/>
        <v>3.3099999999999997E-2</v>
      </c>
      <c r="K2890" s="1243">
        <f>'WPB-2.1.D SMRP'!K1181</f>
        <v>76075.61</v>
      </c>
      <c r="L2890" s="1243">
        <v>0</v>
      </c>
      <c r="M2890" s="1243">
        <f>F2890</f>
        <v>-4881.2075690803122</v>
      </c>
      <c r="N2890" s="1243">
        <f>'WPB-2.1.D SMRP'!N1181</f>
        <v>0</v>
      </c>
      <c r="O2890" s="1243">
        <f t="shared" si="533"/>
        <v>3451260.0796478791</v>
      </c>
    </row>
    <row r="2891" spans="1:15">
      <c r="A2891" s="361">
        <f t="shared" si="529"/>
        <v>24</v>
      </c>
      <c r="B2891" s="365">
        <v>378.3</v>
      </c>
      <c r="C2891" s="358" t="s">
        <v>396</v>
      </c>
      <c r="D2891" s="1243">
        <f t="shared" si="530"/>
        <v>45443.08</v>
      </c>
      <c r="E2891" s="1243">
        <v>0</v>
      </c>
      <c r="F2891" s="1243">
        <v>0</v>
      </c>
      <c r="G2891" s="1243">
        <f t="shared" si="534"/>
        <v>45443.08</v>
      </c>
      <c r="H2891" s="1243"/>
      <c r="I2891" s="1243">
        <f t="shared" si="531"/>
        <v>44433.320000000007</v>
      </c>
      <c r="J2891" s="376">
        <f t="shared" si="535"/>
        <v>3.3099999999999997E-2</v>
      </c>
      <c r="K2891" s="1243">
        <f t="shared" si="537"/>
        <v>125</v>
      </c>
      <c r="L2891" s="1243">
        <v>0</v>
      </c>
      <c r="M2891" s="1243">
        <f t="shared" si="532"/>
        <v>0</v>
      </c>
      <c r="N2891" s="1243">
        <v>0</v>
      </c>
      <c r="O2891" s="1243">
        <f t="shared" si="533"/>
        <v>44558.320000000007</v>
      </c>
    </row>
    <row r="2892" spans="1:15">
      <c r="A2892" s="361">
        <f t="shared" si="529"/>
        <v>25</v>
      </c>
      <c r="B2892" s="365">
        <v>379.1</v>
      </c>
      <c r="C2892" s="358" t="s">
        <v>397</v>
      </c>
      <c r="D2892" s="1243">
        <f t="shared" si="530"/>
        <v>1554144.06</v>
      </c>
      <c r="E2892" s="1243">
        <v>0</v>
      </c>
      <c r="F2892" s="1243">
        <v>0</v>
      </c>
      <c r="G2892" s="1243">
        <f t="shared" si="534"/>
        <v>1554144.06</v>
      </c>
      <c r="H2892" s="1243"/>
      <c r="I2892" s="1243">
        <f t="shared" si="531"/>
        <v>392283.19000000006</v>
      </c>
      <c r="J2892" s="376">
        <f t="shared" si="535"/>
        <v>2.5399999999999999E-2</v>
      </c>
      <c r="K2892" s="1243">
        <f t="shared" si="537"/>
        <v>3290</v>
      </c>
      <c r="L2892" s="1243">
        <v>0</v>
      </c>
      <c r="M2892" s="1243">
        <f t="shared" si="532"/>
        <v>0</v>
      </c>
      <c r="N2892" s="1243">
        <v>0</v>
      </c>
      <c r="O2892" s="1243">
        <f t="shared" si="533"/>
        <v>395573.19000000006</v>
      </c>
    </row>
    <row r="2893" spans="1:15">
      <c r="A2893" s="361">
        <f t="shared" si="529"/>
        <v>26</v>
      </c>
      <c r="B2893" s="365">
        <v>380</v>
      </c>
      <c r="C2893" s="358" t="s">
        <v>1623</v>
      </c>
      <c r="D2893" s="1243">
        <f t="shared" si="530"/>
        <v>204750053.32729536</v>
      </c>
      <c r="E2893" s="1243">
        <f>'WPB-2.1.D SMRP'!E1185</f>
        <v>376759.95171832188</v>
      </c>
      <c r="F2893" s="1243">
        <f>'WPB-2.1.D SMRP'!F1185</f>
        <v>-30926.09603804542</v>
      </c>
      <c r="G2893" s="1243">
        <f t="shared" si="534"/>
        <v>205095887.18297565</v>
      </c>
      <c r="H2893" s="1243"/>
      <c r="I2893" s="1243">
        <f t="shared" si="531"/>
        <v>67260589.902345061</v>
      </c>
      <c r="J2893" s="376">
        <f t="shared" si="535"/>
        <v>5.1799999999999999E-2</v>
      </c>
      <c r="K2893" s="1243">
        <f>'WPB-2.1.D SMRP'!K1185</f>
        <v>884583.72</v>
      </c>
      <c r="L2893" s="1243">
        <v>0</v>
      </c>
      <c r="M2893" s="1243">
        <f>F2893</f>
        <v>-30926.09603804542</v>
      </c>
      <c r="N2893" s="1243">
        <f>'WPB-2.1.D SMRP'!N1185</f>
        <v>-34436.756002408496</v>
      </c>
      <c r="O2893" s="1243">
        <f t="shared" si="533"/>
        <v>68079810.770304605</v>
      </c>
    </row>
    <row r="2894" spans="1:15">
      <c r="A2894" s="361">
        <f t="shared" si="529"/>
        <v>27</v>
      </c>
      <c r="B2894" s="365">
        <v>381</v>
      </c>
      <c r="C2894" s="358" t="s">
        <v>399</v>
      </c>
      <c r="D2894" s="1243">
        <f t="shared" si="530"/>
        <v>20792289.560000006</v>
      </c>
      <c r="E2894" s="1243">
        <v>60131.13</v>
      </c>
      <c r="F2894" s="1243">
        <v>0</v>
      </c>
      <c r="G2894" s="1243">
        <f t="shared" si="534"/>
        <v>20852420.690000005</v>
      </c>
      <c r="H2894" s="1243"/>
      <c r="I2894" s="1243">
        <f t="shared" si="531"/>
        <v>1903438.5799999996</v>
      </c>
      <c r="J2894" s="376">
        <f t="shared" si="535"/>
        <v>3.5799999999999998E-2</v>
      </c>
      <c r="K2894" s="1243">
        <f t="shared" si="537"/>
        <v>62120</v>
      </c>
      <c r="L2894" s="1243">
        <v>0</v>
      </c>
      <c r="M2894" s="1243">
        <f t="shared" si="532"/>
        <v>0</v>
      </c>
      <c r="N2894" s="1243">
        <v>0</v>
      </c>
      <c r="O2894" s="1243">
        <f t="shared" si="533"/>
        <v>1965558.5799999996</v>
      </c>
    </row>
    <row r="2895" spans="1:15">
      <c r="A2895" s="361">
        <f t="shared" si="529"/>
        <v>28</v>
      </c>
      <c r="B2895" s="365">
        <v>381.1</v>
      </c>
      <c r="C2895" s="358" t="s">
        <v>2366</v>
      </c>
      <c r="D2895" s="1243">
        <f t="shared" si="530"/>
        <v>9980854.4800000004</v>
      </c>
      <c r="E2895" s="1243">
        <v>0</v>
      </c>
      <c r="F2895" s="1243">
        <v>0</v>
      </c>
      <c r="G2895" s="1243">
        <f t="shared" si="534"/>
        <v>9980854.4800000004</v>
      </c>
      <c r="H2895" s="1243"/>
      <c r="I2895" s="1243">
        <f t="shared" si="531"/>
        <v>6164142.0300000031</v>
      </c>
      <c r="J2895" s="376">
        <f t="shared" si="535"/>
        <v>6.7900000000000002E-2</v>
      </c>
      <c r="K2895" s="1243">
        <f t="shared" si="537"/>
        <v>56475</v>
      </c>
      <c r="L2895" s="1243">
        <v>0</v>
      </c>
      <c r="M2895" s="1243">
        <f t="shared" si="532"/>
        <v>0</v>
      </c>
      <c r="N2895" s="1243">
        <v>0</v>
      </c>
      <c r="O2895" s="1243">
        <f t="shared" si="533"/>
        <v>6220617.0300000031</v>
      </c>
    </row>
    <row r="2896" spans="1:15">
      <c r="A2896" s="361">
        <f t="shared" si="529"/>
        <v>29</v>
      </c>
      <c r="B2896" s="365">
        <v>382</v>
      </c>
      <c r="C2896" s="358" t="s">
        <v>1624</v>
      </c>
      <c r="D2896" s="1243">
        <f t="shared" si="530"/>
        <v>10694988.266586928</v>
      </c>
      <c r="E2896" s="1243">
        <f>'WPB-2.1.D SMRP'!E1189</f>
        <v>7230.2333395624446</v>
      </c>
      <c r="F2896" s="1243">
        <f>'WPB-2.1.D SMRP'!F1189</f>
        <v>-802.33543086052759</v>
      </c>
      <c r="G2896" s="1243">
        <f t="shared" si="534"/>
        <v>10701416.16449563</v>
      </c>
      <c r="H2896" s="1243"/>
      <c r="I2896" s="1243">
        <f t="shared" si="531"/>
        <v>6035433.3347091861</v>
      </c>
      <c r="J2896" s="376">
        <f t="shared" si="535"/>
        <v>2.2800000000000001E-2</v>
      </c>
      <c r="K2896" s="1243">
        <f>'WPB-2.1.D SMRP'!K1189</f>
        <v>20326.47</v>
      </c>
      <c r="L2896" s="1243">
        <v>0</v>
      </c>
      <c r="M2896" s="1243">
        <f t="shared" si="532"/>
        <v>-802.33543086052759</v>
      </c>
      <c r="N2896" s="1243">
        <f>'WPB-2.1.D SMRP'!N1189</f>
        <v>0</v>
      </c>
      <c r="O2896" s="1243">
        <f t="shared" si="533"/>
        <v>6054957.4692783253</v>
      </c>
    </row>
    <row r="2897" spans="1:16">
      <c r="A2897" s="361">
        <f t="shared" si="529"/>
        <v>30</v>
      </c>
      <c r="B2897" s="365">
        <v>383</v>
      </c>
      <c r="C2897" s="358" t="s">
        <v>1625</v>
      </c>
      <c r="D2897" s="1243">
        <f t="shared" si="530"/>
        <v>7620172.0024442272</v>
      </c>
      <c r="E2897" s="1243">
        <f>'WPB-2.1.D SMRP'!E1193</f>
        <v>36254.56436307796</v>
      </c>
      <c r="F2897" s="1243">
        <f>'WPB-2.1.D SMRP'!F1193</f>
        <v>-230.81457422416361</v>
      </c>
      <c r="G2897" s="1243">
        <f t="shared" si="534"/>
        <v>7656195.7522330815</v>
      </c>
      <c r="H2897" s="1243"/>
      <c r="I2897" s="1243">
        <f t="shared" si="531"/>
        <v>2639484.512363391</v>
      </c>
      <c r="J2897" s="376">
        <f t="shared" si="535"/>
        <v>2.2200000000000001E-2</v>
      </c>
      <c r="K2897" s="1243">
        <f>'WPB-2.1.D SMRP'!K1193</f>
        <v>14130.37</v>
      </c>
      <c r="L2897" s="1243">
        <v>0</v>
      </c>
      <c r="M2897" s="1243">
        <f t="shared" si="532"/>
        <v>-230.81457422416361</v>
      </c>
      <c r="N2897" s="1243">
        <f>'WPB-2.1.D SMRP'!N1193</f>
        <v>0</v>
      </c>
      <c r="O2897" s="1243">
        <f t="shared" si="533"/>
        <v>2653384.0677891672</v>
      </c>
    </row>
    <row r="2898" spans="1:16">
      <c r="A2898" s="361">
        <f t="shared" si="529"/>
        <v>31</v>
      </c>
      <c r="B2898" s="365">
        <v>384</v>
      </c>
      <c r="C2898" s="358" t="s">
        <v>402</v>
      </c>
      <c r="D2898" s="1243">
        <f t="shared" si="530"/>
        <v>2085231.6099999999</v>
      </c>
      <c r="E2898" s="1243">
        <v>13.99</v>
      </c>
      <c r="F2898" s="1243">
        <v>0</v>
      </c>
      <c r="G2898" s="1243">
        <f t="shared" si="534"/>
        <v>2085245.5999999999</v>
      </c>
      <c r="H2898" s="1243"/>
      <c r="I2898" s="1243">
        <f t="shared" si="531"/>
        <v>1752078.1399999992</v>
      </c>
      <c r="J2898" s="376">
        <f t="shared" si="535"/>
        <v>1.9900000000000001E-2</v>
      </c>
      <c r="K2898" s="1243">
        <f t="shared" si="537"/>
        <v>3458</v>
      </c>
      <c r="L2898" s="1243">
        <v>0</v>
      </c>
      <c r="M2898" s="1243">
        <f t="shared" si="532"/>
        <v>0</v>
      </c>
      <c r="N2898" s="1243">
        <v>0</v>
      </c>
      <c r="O2898" s="1243">
        <f t="shared" si="533"/>
        <v>1755536.1399999992</v>
      </c>
    </row>
    <row r="2899" spans="1:16">
      <c r="A2899" s="361">
        <f t="shared" si="529"/>
        <v>32</v>
      </c>
      <c r="B2899" s="365">
        <v>385</v>
      </c>
      <c r="C2899" s="358" t="s">
        <v>403</v>
      </c>
      <c r="D2899" s="1243">
        <f t="shared" si="530"/>
        <v>6245635.7299999995</v>
      </c>
      <c r="E2899" s="1243">
        <v>4422.6000000000004</v>
      </c>
      <c r="F2899" s="1243">
        <v>-1917.38</v>
      </c>
      <c r="G2899" s="1243">
        <f t="shared" si="534"/>
        <v>6248140.9499999993</v>
      </c>
      <c r="H2899" s="1243"/>
      <c r="I2899" s="1243">
        <f t="shared" si="531"/>
        <v>882125.68999999971</v>
      </c>
      <c r="J2899" s="376">
        <f t="shared" si="535"/>
        <v>5.4699999999999999E-2</v>
      </c>
      <c r="K2899" s="1243">
        <f t="shared" si="537"/>
        <v>28475</v>
      </c>
      <c r="L2899" s="1243">
        <v>0</v>
      </c>
      <c r="M2899" s="1243">
        <f t="shared" si="532"/>
        <v>-1917.38</v>
      </c>
      <c r="N2899" s="1243">
        <v>-453.9</v>
      </c>
      <c r="O2899" s="1243">
        <f t="shared" si="533"/>
        <v>908229.40999999968</v>
      </c>
    </row>
    <row r="2900" spans="1:16">
      <c r="A2900" s="361">
        <f t="shared" si="529"/>
        <v>33</v>
      </c>
      <c r="B2900" s="365">
        <v>387.2</v>
      </c>
      <c r="C2900" s="358" t="s">
        <v>404</v>
      </c>
      <c r="D2900" s="1243">
        <f t="shared" si="530"/>
        <v>0</v>
      </c>
      <c r="E2900" s="1243">
        <v>0</v>
      </c>
      <c r="F2900" s="1243">
        <v>0</v>
      </c>
      <c r="G2900" s="1243">
        <f t="shared" si="534"/>
        <v>0</v>
      </c>
      <c r="H2900" s="1243"/>
      <c r="I2900" s="1243">
        <f t="shared" si="531"/>
        <v>-59912.03</v>
      </c>
      <c r="J2900" s="376">
        <f t="shared" si="535"/>
        <v>0</v>
      </c>
      <c r="K2900" s="1243">
        <f t="shared" si="537"/>
        <v>0</v>
      </c>
      <c r="L2900" s="1243">
        <v>0</v>
      </c>
      <c r="M2900" s="1243">
        <f t="shared" si="532"/>
        <v>0</v>
      </c>
      <c r="N2900" s="1243">
        <v>0</v>
      </c>
      <c r="O2900" s="1243">
        <f t="shared" si="533"/>
        <v>-59912.03</v>
      </c>
    </row>
    <row r="2901" spans="1:16">
      <c r="A2901" s="361">
        <f t="shared" si="529"/>
        <v>34</v>
      </c>
      <c r="B2901" s="365">
        <v>387.41</v>
      </c>
      <c r="C2901" s="358" t="s">
        <v>405</v>
      </c>
      <c r="D2901" s="1243">
        <f t="shared" si="530"/>
        <v>260538.46000000008</v>
      </c>
      <c r="E2901" s="1243">
        <v>0</v>
      </c>
      <c r="F2901" s="1243">
        <v>0</v>
      </c>
      <c r="G2901" s="1243">
        <f t="shared" si="534"/>
        <v>260538.46000000008</v>
      </c>
      <c r="H2901" s="1243"/>
      <c r="I2901" s="1243">
        <f t="shared" si="531"/>
        <v>69909.970000000059</v>
      </c>
      <c r="J2901" s="376">
        <f t="shared" si="535"/>
        <v>4.9599999999999998E-2</v>
      </c>
      <c r="K2901" s="1243">
        <f t="shared" si="537"/>
        <v>1077</v>
      </c>
      <c r="L2901" s="1243">
        <v>0</v>
      </c>
      <c r="M2901" s="1243">
        <f t="shared" si="532"/>
        <v>0</v>
      </c>
      <c r="N2901" s="1243">
        <v>0</v>
      </c>
      <c r="O2901" s="1243">
        <f t="shared" si="533"/>
        <v>70986.970000000059</v>
      </c>
    </row>
    <row r="2902" spans="1:16">
      <c r="A2902" s="361">
        <f t="shared" si="529"/>
        <v>35</v>
      </c>
      <c r="B2902" s="365">
        <v>387.42</v>
      </c>
      <c r="C2902" s="358" t="s">
        <v>406</v>
      </c>
      <c r="D2902" s="1243">
        <f t="shared" si="530"/>
        <v>419367.40000000008</v>
      </c>
      <c r="E2902" s="1243">
        <v>0</v>
      </c>
      <c r="F2902" s="1243">
        <v>0</v>
      </c>
      <c r="G2902" s="1243">
        <f t="shared" si="534"/>
        <v>419367.40000000008</v>
      </c>
      <c r="H2902" s="1243"/>
      <c r="I2902" s="1243">
        <f t="shared" si="531"/>
        <v>358716.80999999976</v>
      </c>
      <c r="J2902" s="376">
        <f t="shared" si="535"/>
        <v>4.9599999999999998E-2</v>
      </c>
      <c r="K2902" s="1243">
        <f t="shared" si="537"/>
        <v>1733</v>
      </c>
      <c r="L2902" s="1243">
        <v>0</v>
      </c>
      <c r="M2902" s="1243">
        <f t="shared" si="532"/>
        <v>0</v>
      </c>
      <c r="N2902" s="1243">
        <v>0</v>
      </c>
      <c r="O2902" s="1243">
        <f t="shared" si="533"/>
        <v>360449.80999999976</v>
      </c>
    </row>
    <row r="2903" spans="1:16">
      <c r="A2903" s="361">
        <f t="shared" si="529"/>
        <v>36</v>
      </c>
      <c r="B2903" s="365">
        <v>387.44</v>
      </c>
      <c r="C2903" s="358" t="s">
        <v>407</v>
      </c>
      <c r="D2903" s="1243">
        <f t="shared" si="530"/>
        <v>124678.76000000001</v>
      </c>
      <c r="E2903" s="1243">
        <v>0</v>
      </c>
      <c r="F2903" s="1243">
        <v>0</v>
      </c>
      <c r="G2903" s="1243">
        <f t="shared" si="534"/>
        <v>124678.76000000001</v>
      </c>
      <c r="H2903" s="1243"/>
      <c r="I2903" s="1243">
        <f t="shared" si="531"/>
        <v>71964.390000000014</v>
      </c>
      <c r="J2903" s="376">
        <f t="shared" si="535"/>
        <v>4.9599999999999998E-2</v>
      </c>
      <c r="K2903" s="1243">
        <f t="shared" si="537"/>
        <v>515</v>
      </c>
      <c r="L2903" s="1243">
        <v>0</v>
      </c>
      <c r="M2903" s="1243">
        <f t="shared" si="532"/>
        <v>0</v>
      </c>
      <c r="N2903" s="1243">
        <v>0</v>
      </c>
      <c r="O2903" s="1243">
        <f t="shared" si="533"/>
        <v>72479.390000000014</v>
      </c>
    </row>
    <row r="2904" spans="1:16">
      <c r="A2904" s="361">
        <f t="shared" si="529"/>
        <v>37</v>
      </c>
      <c r="B2904" s="365">
        <v>387.45</v>
      </c>
      <c r="C2904" s="358" t="s">
        <v>408</v>
      </c>
      <c r="D2904" s="1243">
        <f t="shared" si="530"/>
        <v>6438397.5100000026</v>
      </c>
      <c r="E2904" s="1243">
        <v>0</v>
      </c>
      <c r="F2904" s="1243">
        <v>-34340.839999999997</v>
      </c>
      <c r="G2904" s="1243">
        <f t="shared" si="534"/>
        <v>6404056.6700000027</v>
      </c>
      <c r="H2904" s="1243"/>
      <c r="I2904" s="1243">
        <f t="shared" si="531"/>
        <v>-719145.36</v>
      </c>
      <c r="J2904" s="376">
        <f t="shared" si="535"/>
        <v>4.9599999999999998E-2</v>
      </c>
      <c r="K2904" s="1243">
        <f t="shared" si="537"/>
        <v>26541</v>
      </c>
      <c r="L2904" s="1243">
        <v>0</v>
      </c>
      <c r="M2904" s="1243">
        <f t="shared" si="532"/>
        <v>-34340.839999999997</v>
      </c>
      <c r="N2904" s="1243">
        <v>-484.24</v>
      </c>
      <c r="O2904" s="1243">
        <f t="shared" si="533"/>
        <v>-727429.44</v>
      </c>
    </row>
    <row r="2905" spans="1:16">
      <c r="A2905" s="361">
        <f t="shared" si="529"/>
        <v>38</v>
      </c>
      <c r="B2905" s="365">
        <v>387.46</v>
      </c>
      <c r="C2905" s="358" t="s">
        <v>409</v>
      </c>
      <c r="D2905" s="1243">
        <f t="shared" si="530"/>
        <v>113644.47</v>
      </c>
      <c r="E2905" s="1243">
        <v>0</v>
      </c>
      <c r="F2905" s="1243">
        <v>0</v>
      </c>
      <c r="G2905" s="1243">
        <f t="shared" si="534"/>
        <v>113644.47</v>
      </c>
      <c r="H2905" s="1243"/>
      <c r="I2905" s="1243">
        <f t="shared" si="531"/>
        <v>118037.07</v>
      </c>
      <c r="J2905" s="376">
        <f t="shared" si="535"/>
        <v>4.9599999999999998E-2</v>
      </c>
      <c r="K2905" s="1243">
        <f t="shared" si="537"/>
        <v>470</v>
      </c>
      <c r="L2905" s="1243">
        <v>0</v>
      </c>
      <c r="M2905" s="1243">
        <f t="shared" si="532"/>
        <v>0</v>
      </c>
      <c r="N2905" s="1243">
        <v>0</v>
      </c>
      <c r="O2905" s="1243">
        <f t="shared" si="533"/>
        <v>118507.07</v>
      </c>
    </row>
    <row r="2906" spans="1:16">
      <c r="A2906" s="361">
        <f t="shared" si="529"/>
        <v>39</v>
      </c>
      <c r="B2906" s="365">
        <v>387.5</v>
      </c>
      <c r="C2906" s="358" t="s">
        <v>1075</v>
      </c>
      <c r="D2906" s="1244">
        <f t="shared" si="530"/>
        <v>238072.69</v>
      </c>
      <c r="E2906" s="1244">
        <v>0</v>
      </c>
      <c r="F2906" s="1244">
        <v>0</v>
      </c>
      <c r="G2906" s="1244">
        <f t="shared" si="534"/>
        <v>238072.69</v>
      </c>
      <c r="H2906" s="1243"/>
      <c r="I2906" s="1244">
        <f t="shared" si="531"/>
        <v>73706.47000000003</v>
      </c>
      <c r="J2906" s="376">
        <f t="shared" si="535"/>
        <v>0.13500000000000001</v>
      </c>
      <c r="K2906" s="1244">
        <f t="shared" si="537"/>
        <v>2678</v>
      </c>
      <c r="L2906" s="1244">
        <v>0</v>
      </c>
      <c r="M2906" s="1244">
        <f t="shared" si="532"/>
        <v>0</v>
      </c>
      <c r="N2906" s="1244">
        <v>0</v>
      </c>
      <c r="O2906" s="1244">
        <f t="shared" si="533"/>
        <v>76384.47000000003</v>
      </c>
    </row>
    <row r="2907" spans="1:16">
      <c r="A2907" s="361">
        <f t="shared" si="529"/>
        <v>40</v>
      </c>
      <c r="C2907" s="365" t="s">
        <v>1601</v>
      </c>
      <c r="D2907" s="369">
        <f>SUM(D2877:D2906)</f>
        <v>741384567.99312091</v>
      </c>
      <c r="E2907" s="369">
        <f>SUM(E2877:E2906)</f>
        <v>1046469.2228437143</v>
      </c>
      <c r="F2907" s="369">
        <f>SUM(F2877:F2906)</f>
        <v>-110671.98361221043</v>
      </c>
      <c r="G2907" s="369">
        <f>SUM(G2877:G2906)</f>
        <v>742320365.23235226</v>
      </c>
      <c r="I2907" s="369">
        <f>SUM(I2877:I2906)</f>
        <v>184598724.49737808</v>
      </c>
      <c r="J2907" s="369"/>
      <c r="K2907" s="1243">
        <f>SUM(K2877:K2906)</f>
        <v>1852670.2300000002</v>
      </c>
      <c r="L2907" s="1243">
        <f>SUM(L2877:L2906)</f>
        <v>0</v>
      </c>
      <c r="M2907" s="1243">
        <f>SUM(M2877:M2906)</f>
        <v>-110671.98361221043</v>
      </c>
      <c r="N2907" s="1243">
        <f>SUM(N2877:N2906)</f>
        <v>-73464.633452701426</v>
      </c>
      <c r="O2907" s="1243">
        <f>SUM(O2877:O2906)</f>
        <v>186267258.11031321</v>
      </c>
    </row>
    <row r="2908" spans="1:16">
      <c r="B2908" s="367"/>
      <c r="C2908" s="368"/>
      <c r="D2908" s="369"/>
      <c r="E2908" s="369"/>
      <c r="F2908" s="369"/>
      <c r="G2908" s="369"/>
      <c r="I2908" s="369"/>
      <c r="J2908" s="369"/>
      <c r="K2908" s="369"/>
      <c r="L2908" s="369"/>
      <c r="M2908" s="369"/>
      <c r="N2908" s="369"/>
      <c r="O2908" s="369"/>
    </row>
    <row r="2909" spans="1:16">
      <c r="I2909" s="369"/>
      <c r="J2909" s="369"/>
      <c r="K2909" s="369"/>
      <c r="L2909" s="369"/>
      <c r="M2909" s="369"/>
      <c r="N2909" s="369"/>
      <c r="O2909" s="369"/>
    </row>
    <row r="2910" spans="1:16" s="291" customFormat="1">
      <c r="A2910" s="1308" t="str">
        <f>$A$1</f>
        <v>COLUMBIA GAS OF KENTUCKY, INC.</v>
      </c>
      <c r="B2910" s="1308"/>
      <c r="C2910" s="1308"/>
      <c r="D2910" s="1308"/>
      <c r="E2910" s="1308"/>
      <c r="F2910" s="1308"/>
      <c r="G2910" s="1308"/>
      <c r="H2910" s="1308"/>
      <c r="I2910" s="1308"/>
      <c r="J2910" s="1308"/>
      <c r="K2910" s="1308"/>
      <c r="L2910" s="1308"/>
      <c r="M2910" s="1308"/>
      <c r="N2910" s="1308"/>
      <c r="O2910" s="1308"/>
    </row>
    <row r="2911" spans="1:16" s="291" customFormat="1">
      <c r="A2911" s="1308" t="str">
        <f>$A$2</f>
        <v>CASE NO. 2024 - 00092</v>
      </c>
      <c r="B2911" s="1308"/>
      <c r="C2911" s="1308"/>
      <c r="D2911" s="1308"/>
      <c r="E2911" s="1308"/>
      <c r="F2911" s="1308"/>
      <c r="G2911" s="1308"/>
      <c r="H2911" s="1308"/>
      <c r="I2911" s="1308"/>
      <c r="J2911" s="1308"/>
      <c r="K2911" s="1308"/>
      <c r="L2911" s="1308"/>
      <c r="M2911" s="1308"/>
      <c r="N2911" s="1308"/>
      <c r="O2911" s="1308"/>
    </row>
    <row r="2912" spans="1:16" s="291" customFormat="1">
      <c r="A2912" s="1308" t="str">
        <f>$A$3</f>
        <v>DETAIL OF ACTUAL &amp; FORECASTED PLANT, ACCUMULATED RESERVE &amp; DEPRECIATION EXPENSE</v>
      </c>
      <c r="B2912" s="1308"/>
      <c r="C2912" s="1308"/>
      <c r="D2912" s="1308"/>
      <c r="E2912" s="1308"/>
      <c r="F2912" s="1308"/>
      <c r="G2912" s="1308"/>
      <c r="H2912" s="1308"/>
      <c r="I2912" s="1308"/>
      <c r="J2912" s="1308"/>
      <c r="K2912" s="1308"/>
      <c r="L2912" s="1308"/>
      <c r="M2912" s="1308"/>
      <c r="N2912" s="1308"/>
      <c r="O2912" s="1308"/>
      <c r="P2912" s="357"/>
    </row>
    <row r="2913" spans="1:16" s="291" customFormat="1">
      <c r="A2913" s="1308" t="str">
        <f>$A$4</f>
        <v>FROM JANUARY 01, 2023 THROUGH DECEMBER 31, 2025</v>
      </c>
      <c r="B2913" s="1308"/>
      <c r="C2913" s="1308"/>
      <c r="D2913" s="1308"/>
      <c r="E2913" s="1308"/>
      <c r="F2913" s="1308"/>
      <c r="G2913" s="1308"/>
      <c r="H2913" s="1308"/>
      <c r="I2913" s="1308"/>
      <c r="J2913" s="1308"/>
      <c r="K2913" s="1308"/>
      <c r="L2913" s="1308"/>
      <c r="M2913" s="1308"/>
      <c r="N2913" s="1308"/>
      <c r="O2913" s="1308"/>
    </row>
    <row r="2914" spans="1:16" s="291" customFormat="1">
      <c r="B2914" s="293"/>
      <c r="P2914" s="312"/>
    </row>
    <row r="2915" spans="1:16" s="291" customFormat="1">
      <c r="A2915" s="297" t="str">
        <f>$A$6</f>
        <v xml:space="preserve">DATA: _X_ BASE PERIOD _X_ FORECASTED PERIOD     </v>
      </c>
      <c r="B2915" s="293"/>
      <c r="O2915" s="312" t="str">
        <f>$O$6</f>
        <v>WPB-2.1.C</v>
      </c>
      <c r="P2915" s="312"/>
    </row>
    <row r="2916" spans="1:16" s="291" customFormat="1">
      <c r="A2916" s="297" t="str">
        <f>$A$7</f>
        <v>TYPE OF FILING:___X___ORIGINAL______UPDATED</v>
      </c>
      <c r="B2916" s="293"/>
      <c r="O2916" s="312" t="s">
        <v>2171</v>
      </c>
      <c r="P2916" s="312"/>
    </row>
    <row r="2917" spans="1:16" s="291" customFormat="1">
      <c r="A2917" s="297" t="str">
        <f>$A$8</f>
        <v>WORKPAPER REFERENCE NO(S).:</v>
      </c>
      <c r="B2917" s="293"/>
      <c r="O2917" s="312" t="str">
        <f>$O$8</f>
        <v>WITNESS: GORE</v>
      </c>
    </row>
    <row r="2918" spans="1:16">
      <c r="A2918" s="918"/>
      <c r="B2918" s="919"/>
      <c r="C2918" s="918"/>
      <c r="D2918" s="918"/>
      <c r="E2918" s="918"/>
      <c r="F2918" s="918"/>
      <c r="G2918" s="918"/>
      <c r="H2918" s="918"/>
      <c r="I2918" s="918"/>
      <c r="J2918" s="918"/>
      <c r="K2918" s="918"/>
      <c r="L2918" s="918"/>
      <c r="M2918" s="918"/>
      <c r="N2918" s="918"/>
      <c r="O2918" s="920"/>
    </row>
    <row r="2919" spans="1:16">
      <c r="D2919" s="1311" t="s">
        <v>1768</v>
      </c>
      <c r="E2919" s="1311"/>
      <c r="F2919" s="1311"/>
      <c r="G2919" s="1311"/>
      <c r="I2919" s="1311" t="s">
        <v>1769</v>
      </c>
      <c r="J2919" s="1311"/>
      <c r="K2919" s="1311"/>
      <c r="L2919" s="1311"/>
      <c r="M2919" s="1311"/>
      <c r="N2919" s="1311"/>
      <c r="O2919" s="1311"/>
    </row>
    <row r="2920" spans="1:16">
      <c r="A2920" s="308"/>
      <c r="B2920" s="307"/>
      <c r="C2920" s="308"/>
      <c r="D2920" s="382">
        <f>D2861</f>
        <v>45689</v>
      </c>
      <c r="E2920" s="308"/>
      <c r="F2920" s="308"/>
      <c r="G2920" s="382">
        <f>G2861</f>
        <v>45716</v>
      </c>
      <c r="H2920" s="308"/>
      <c r="I2920" s="382">
        <f>D2920</f>
        <v>45689</v>
      </c>
      <c r="J2920" s="308"/>
      <c r="K2920" s="308"/>
      <c r="L2920" s="308"/>
      <c r="M2920" s="308"/>
      <c r="N2920" s="308"/>
      <c r="O2920" s="382">
        <f>G2920</f>
        <v>45716</v>
      </c>
    </row>
    <row r="2921" spans="1:16">
      <c r="D2921" s="361" t="s">
        <v>1757</v>
      </c>
      <c r="G2921" s="361" t="s">
        <v>1757</v>
      </c>
      <c r="I2921" s="361" t="s">
        <v>1758</v>
      </c>
      <c r="J2921" s="361" t="s">
        <v>488</v>
      </c>
      <c r="L2921" s="361" t="s">
        <v>1758</v>
      </c>
      <c r="O2921" s="361" t="s">
        <v>1758</v>
      </c>
    </row>
    <row r="2922" spans="1:16">
      <c r="A2922" s="361" t="s">
        <v>1770</v>
      </c>
      <c r="B2922" s="361" t="s">
        <v>368</v>
      </c>
      <c r="C2922" s="361"/>
      <c r="D2922" s="361" t="s">
        <v>437</v>
      </c>
      <c r="G2922" s="361" t="s">
        <v>439</v>
      </c>
      <c r="I2922" s="361" t="s">
        <v>437</v>
      </c>
      <c r="J2922" s="361" t="s">
        <v>1771</v>
      </c>
      <c r="K2922" s="361" t="s">
        <v>1772</v>
      </c>
      <c r="L2922" s="361" t="s">
        <v>1759</v>
      </c>
      <c r="N2922" s="361" t="s">
        <v>1760</v>
      </c>
      <c r="O2922" s="361" t="s">
        <v>439</v>
      </c>
    </row>
    <row r="2923" spans="1:16">
      <c r="A2923" s="364" t="s">
        <v>316</v>
      </c>
      <c r="B2923" s="364" t="s">
        <v>316</v>
      </c>
      <c r="C2923" s="364" t="s">
        <v>451</v>
      </c>
      <c r="D2923" s="364" t="s">
        <v>441</v>
      </c>
      <c r="E2923" s="364" t="s">
        <v>442</v>
      </c>
      <c r="F2923" s="364" t="s">
        <v>443</v>
      </c>
      <c r="G2923" s="364" t="s">
        <v>441</v>
      </c>
      <c r="I2923" s="364" t="s">
        <v>441</v>
      </c>
      <c r="J2923" s="364" t="s">
        <v>1773</v>
      </c>
      <c r="K2923" s="364" t="s">
        <v>1771</v>
      </c>
      <c r="L2923" s="364" t="s">
        <v>355</v>
      </c>
      <c r="M2923" s="364" t="s">
        <v>443</v>
      </c>
      <c r="N2923" s="364" t="s">
        <v>1763</v>
      </c>
      <c r="O2923" s="364" t="s">
        <v>441</v>
      </c>
    </row>
    <row r="2924" spans="1:16">
      <c r="D2924" s="361" t="s">
        <v>532</v>
      </c>
      <c r="E2924" s="361" t="s">
        <v>541</v>
      </c>
      <c r="F2924" s="361" t="s">
        <v>542</v>
      </c>
      <c r="G2924" s="361" t="s">
        <v>1764</v>
      </c>
      <c r="I2924" s="334" t="str">
        <f>"(5)"</f>
        <v>(5)</v>
      </c>
      <c r="J2924" s="334" t="str">
        <f>"(6)"</f>
        <v>(6)</v>
      </c>
      <c r="K2924" s="334" t="str">
        <f>"(7)=((1+4)/2*6/12))"</f>
        <v>(7)=((1+4)/2*6/12))</v>
      </c>
      <c r="L2924" s="334" t="str">
        <f>"(8)"</f>
        <v>(8)</v>
      </c>
      <c r="M2924" s="334" t="str">
        <f>"(9)"</f>
        <v>(9)</v>
      </c>
      <c r="N2924" s="334" t="str">
        <f>"(10)"</f>
        <v>(10)</v>
      </c>
      <c r="O2924" s="334" t="str">
        <f>"(11=5+7+8+9+10)"</f>
        <v>(11=5+7+8+9+10)</v>
      </c>
    </row>
    <row r="2925" spans="1:16">
      <c r="D2925" s="361" t="s">
        <v>320</v>
      </c>
      <c r="E2925" s="361" t="s">
        <v>320</v>
      </c>
      <c r="F2925" s="361" t="s">
        <v>320</v>
      </c>
      <c r="G2925" s="361" t="s">
        <v>320</v>
      </c>
      <c r="I2925" s="334" t="s">
        <v>320</v>
      </c>
      <c r="J2925" s="334" t="s">
        <v>529</v>
      </c>
      <c r="K2925" s="334" t="s">
        <v>320</v>
      </c>
      <c r="L2925" s="334" t="s">
        <v>320</v>
      </c>
      <c r="M2925" s="334" t="s">
        <v>320</v>
      </c>
      <c r="N2925" s="334" t="s">
        <v>320</v>
      </c>
      <c r="O2925" s="334" t="s">
        <v>320</v>
      </c>
    </row>
    <row r="2926" spans="1:16">
      <c r="A2926" s="361">
        <v>1</v>
      </c>
      <c r="B2926" s="363" t="s">
        <v>411</v>
      </c>
      <c r="D2926" s="361"/>
      <c r="E2926" s="361"/>
      <c r="F2926" s="361"/>
      <c r="G2926" s="361"/>
      <c r="I2926" s="334"/>
      <c r="J2926" s="334"/>
      <c r="K2926" s="334"/>
      <c r="L2926" s="334"/>
      <c r="M2926" s="334"/>
      <c r="N2926" s="334"/>
      <c r="O2926" s="334"/>
    </row>
    <row r="2927" spans="1:16">
      <c r="A2927" s="361">
        <f>A2926+1</f>
        <v>2</v>
      </c>
      <c r="B2927" s="365">
        <v>391.1</v>
      </c>
      <c r="C2927" s="358" t="s">
        <v>412</v>
      </c>
      <c r="D2927" s="1243">
        <f t="shared" ref="D2927:D2940" si="538">G2813</f>
        <v>921741.33000000007</v>
      </c>
      <c r="E2927" s="1243">
        <v>0</v>
      </c>
      <c r="F2927" s="1243">
        <v>0</v>
      </c>
      <c r="G2927" s="1243">
        <f>SUM(D2927:F2927)</f>
        <v>921741.33000000007</v>
      </c>
      <c r="I2927" s="1245">
        <f t="shared" ref="I2927:I2940" si="539">O2813</f>
        <v>227198.78666666665</v>
      </c>
      <c r="J2927" s="376">
        <f t="shared" ref="J2927:J2940" si="540">+J2813</f>
        <v>0.05</v>
      </c>
      <c r="K2927" s="1243">
        <f>ROUND((G2927+D2927)/2*J2927/12,0)</f>
        <v>3841</v>
      </c>
      <c r="L2927" s="1243">
        <f t="shared" ref="L2927:L2940" si="541">+L2813</f>
        <v>4814.416666666667</v>
      </c>
      <c r="M2927" s="1243">
        <f t="shared" ref="M2927:M2940" si="542">F2927</f>
        <v>0</v>
      </c>
      <c r="N2927" s="1243">
        <v>0</v>
      </c>
      <c r="O2927" s="1243">
        <f t="shared" ref="O2927:O2940" si="543">I2927+K2927+L2927+M2927+N2927</f>
        <v>235854.20333333331</v>
      </c>
    </row>
    <row r="2928" spans="1:16">
      <c r="A2928" s="361">
        <f t="shared" ref="A2928:A2941" si="544">A2927+1</f>
        <v>3</v>
      </c>
      <c r="B2928" s="365">
        <v>391.11</v>
      </c>
      <c r="C2928" s="358" t="s">
        <v>413</v>
      </c>
      <c r="D2928" s="1243">
        <f t="shared" si="538"/>
        <v>0</v>
      </c>
      <c r="E2928" s="1243">
        <v>0</v>
      </c>
      <c r="F2928" s="1243">
        <v>0</v>
      </c>
      <c r="G2928" s="1243">
        <f t="shared" ref="G2928:G2935" si="545">SUM(D2928:F2928)</f>
        <v>0</v>
      </c>
      <c r="I2928" s="1245">
        <f t="shared" si="539"/>
        <v>-12096.873333333331</v>
      </c>
      <c r="J2928" s="376">
        <f t="shared" si="540"/>
        <v>0</v>
      </c>
      <c r="K2928" s="1243">
        <f>ROUND((G2928+D2928)/2*J2928/12,0)</f>
        <v>0</v>
      </c>
      <c r="L2928" s="1243">
        <f t="shared" si="541"/>
        <v>525.91666666666663</v>
      </c>
      <c r="M2928" s="1243">
        <f t="shared" si="542"/>
        <v>0</v>
      </c>
      <c r="N2928" s="1243">
        <v>0</v>
      </c>
      <c r="O2928" s="1243">
        <f t="shared" si="543"/>
        <v>-11570.956666666665</v>
      </c>
    </row>
    <row r="2929" spans="1:15">
      <c r="A2929" s="361">
        <f t="shared" si="544"/>
        <v>4</v>
      </c>
      <c r="B2929" s="365">
        <v>391.12</v>
      </c>
      <c r="C2929" s="358" t="s">
        <v>414</v>
      </c>
      <c r="D2929" s="1243">
        <f t="shared" si="538"/>
        <v>37129.580000000009</v>
      </c>
      <c r="E2929" s="1243">
        <v>0</v>
      </c>
      <c r="F2929" s="1243">
        <v>0</v>
      </c>
      <c r="G2929" s="1243">
        <f t="shared" si="545"/>
        <v>37129.580000000009</v>
      </c>
      <c r="I2929" s="1245">
        <f t="shared" si="539"/>
        <v>8694.2199999999993</v>
      </c>
      <c r="J2929" s="376">
        <f t="shared" si="540"/>
        <v>0.2</v>
      </c>
      <c r="K2929" s="1243">
        <f>ROUND((G2929+D2929)/2*J2929/12,0)</f>
        <v>619</v>
      </c>
      <c r="L2929" s="1243">
        <f t="shared" si="541"/>
        <v>456.25</v>
      </c>
      <c r="M2929" s="1243">
        <f t="shared" si="542"/>
        <v>0</v>
      </c>
      <c r="N2929" s="1243">
        <v>0</v>
      </c>
      <c r="O2929" s="1243">
        <f t="shared" si="543"/>
        <v>9769.4699999999993</v>
      </c>
    </row>
    <row r="2930" spans="1:15">
      <c r="A2930" s="361">
        <f t="shared" si="544"/>
        <v>5</v>
      </c>
      <c r="B2930" s="365">
        <v>392.2</v>
      </c>
      <c r="C2930" s="358" t="s">
        <v>524</v>
      </c>
      <c r="D2930" s="1243">
        <f t="shared" si="538"/>
        <v>48924.4</v>
      </c>
      <c r="E2930" s="1243">
        <v>0</v>
      </c>
      <c r="F2930" s="1243">
        <v>0</v>
      </c>
      <c r="G2930" s="1243">
        <f t="shared" si="545"/>
        <v>48924.4</v>
      </c>
      <c r="I2930" s="1245">
        <f t="shared" si="539"/>
        <v>17624.359999999961</v>
      </c>
      <c r="J2930" s="376">
        <f t="shared" si="540"/>
        <v>8.9999999999999993E-3</v>
      </c>
      <c r="K2930" s="1243">
        <f>ROUND((G2930+D2930)/2*J2930/12,0)</f>
        <v>37</v>
      </c>
      <c r="L2930" s="1243">
        <f t="shared" si="541"/>
        <v>0</v>
      </c>
      <c r="M2930" s="1243">
        <f t="shared" si="542"/>
        <v>0</v>
      </c>
      <c r="N2930" s="1243">
        <v>0</v>
      </c>
      <c r="O2930" s="1243">
        <f t="shared" si="543"/>
        <v>17661.359999999961</v>
      </c>
    </row>
    <row r="2931" spans="1:15">
      <c r="A2931" s="361">
        <f t="shared" si="544"/>
        <v>6</v>
      </c>
      <c r="B2931" s="365">
        <v>392.21</v>
      </c>
      <c r="C2931" s="358" t="s">
        <v>415</v>
      </c>
      <c r="D2931" s="1243">
        <f t="shared" si="538"/>
        <v>24462.2</v>
      </c>
      <c r="E2931" s="1243">
        <v>0</v>
      </c>
      <c r="F2931" s="1243">
        <v>0</v>
      </c>
      <c r="G2931" s="1243">
        <f t="shared" si="545"/>
        <v>24462.2</v>
      </c>
      <c r="I2931" s="1245">
        <f t="shared" si="539"/>
        <v>44952.01</v>
      </c>
      <c r="J2931" s="376">
        <f t="shared" si="540"/>
        <v>8.9999999999999993E-3</v>
      </c>
      <c r="K2931" s="1243">
        <f>ROUND((G2931+D2931)/2*J2931/12,0)</f>
        <v>18</v>
      </c>
      <c r="L2931" s="1243">
        <f t="shared" si="541"/>
        <v>0</v>
      </c>
      <c r="M2931" s="1243">
        <f t="shared" si="542"/>
        <v>0</v>
      </c>
      <c r="N2931" s="1243">
        <v>0</v>
      </c>
      <c r="O2931" s="1243">
        <f t="shared" si="543"/>
        <v>44970.01</v>
      </c>
    </row>
    <row r="2932" spans="1:15">
      <c r="A2932" s="361">
        <f t="shared" si="544"/>
        <v>7</v>
      </c>
      <c r="B2932" s="365">
        <v>393</v>
      </c>
      <c r="C2932" s="358" t="s">
        <v>416</v>
      </c>
      <c r="D2932" s="1243">
        <f t="shared" si="538"/>
        <v>0</v>
      </c>
      <c r="E2932" s="1243">
        <v>0</v>
      </c>
      <c r="F2932" s="1243">
        <v>0</v>
      </c>
      <c r="G2932" s="1243">
        <f t="shared" si="545"/>
        <v>0</v>
      </c>
      <c r="I2932" s="1245">
        <f t="shared" si="539"/>
        <v>0</v>
      </c>
      <c r="J2932" s="376" t="str">
        <f t="shared" si="540"/>
        <v>Amort.</v>
      </c>
      <c r="K2932" s="1243">
        <v>0</v>
      </c>
      <c r="L2932" s="1243">
        <f t="shared" si="541"/>
        <v>0</v>
      </c>
      <c r="M2932" s="1243">
        <f t="shared" si="542"/>
        <v>0</v>
      </c>
      <c r="N2932" s="1243">
        <v>0</v>
      </c>
      <c r="O2932" s="1243">
        <f t="shared" si="543"/>
        <v>0</v>
      </c>
    </row>
    <row r="2933" spans="1:15">
      <c r="A2933" s="361">
        <f t="shared" si="544"/>
        <v>8</v>
      </c>
      <c r="B2933" s="365">
        <v>394.1</v>
      </c>
      <c r="C2933" s="358" t="s">
        <v>417</v>
      </c>
      <c r="D2933" s="1243">
        <f t="shared" si="538"/>
        <v>9739</v>
      </c>
      <c r="E2933" s="1243">
        <v>0</v>
      </c>
      <c r="F2933" s="1243">
        <v>0</v>
      </c>
      <c r="G2933" s="1243">
        <f t="shared" si="545"/>
        <v>9739</v>
      </c>
      <c r="I2933" s="1245">
        <f t="shared" si="539"/>
        <v>4492.0700000000006</v>
      </c>
      <c r="J2933" s="376">
        <f t="shared" si="540"/>
        <v>0.04</v>
      </c>
      <c r="K2933" s="1243">
        <f>ROUND((G2933+D2933)/2*J2933/12,0)</f>
        <v>32</v>
      </c>
      <c r="L2933" s="1243">
        <f t="shared" si="541"/>
        <v>0</v>
      </c>
      <c r="M2933" s="1243">
        <f t="shared" si="542"/>
        <v>0</v>
      </c>
      <c r="N2933" s="1243">
        <v>0</v>
      </c>
      <c r="O2933" s="1243">
        <f t="shared" si="543"/>
        <v>4524.0700000000006</v>
      </c>
    </row>
    <row r="2934" spans="1:15">
      <c r="A2934" s="361">
        <f t="shared" si="544"/>
        <v>9</v>
      </c>
      <c r="B2934" s="365">
        <v>394.11</v>
      </c>
      <c r="C2934" s="358" t="s">
        <v>418</v>
      </c>
      <c r="D2934" s="1243">
        <f t="shared" si="538"/>
        <v>0</v>
      </c>
      <c r="E2934" s="1243">
        <v>0</v>
      </c>
      <c r="F2934" s="1243">
        <v>0</v>
      </c>
      <c r="G2934" s="1243">
        <f t="shared" si="545"/>
        <v>0</v>
      </c>
      <c r="I2934" s="1245">
        <f t="shared" si="539"/>
        <v>-26071.5</v>
      </c>
      <c r="J2934" s="376">
        <f t="shared" si="540"/>
        <v>0.04</v>
      </c>
      <c r="K2934" s="1243">
        <f>ROUND((G2934+D2934)/2*J2934/12,0)</f>
        <v>0</v>
      </c>
      <c r="L2934" s="1243">
        <f t="shared" si="541"/>
        <v>0</v>
      </c>
      <c r="M2934" s="1243">
        <f t="shared" si="542"/>
        <v>0</v>
      </c>
      <c r="N2934" s="1243">
        <v>0</v>
      </c>
      <c r="O2934" s="1243">
        <f t="shared" si="543"/>
        <v>-26071.5</v>
      </c>
    </row>
    <row r="2935" spans="1:15">
      <c r="A2935" s="361">
        <f t="shared" si="544"/>
        <v>10</v>
      </c>
      <c r="B2935" s="365">
        <v>394.13</v>
      </c>
      <c r="C2935" s="358" t="s">
        <v>515</v>
      </c>
      <c r="D2935" s="1243">
        <f t="shared" si="538"/>
        <v>0</v>
      </c>
      <c r="E2935" s="1243">
        <v>0</v>
      </c>
      <c r="F2935" s="1243">
        <v>0</v>
      </c>
      <c r="G2935" s="1243">
        <f t="shared" si="545"/>
        <v>0</v>
      </c>
      <c r="I2935" s="1245">
        <f t="shared" si="539"/>
        <v>27680.36</v>
      </c>
      <c r="J2935" s="376" t="str">
        <f t="shared" si="540"/>
        <v>Amort.</v>
      </c>
      <c r="K2935" s="1243">
        <v>0</v>
      </c>
      <c r="L2935" s="1243">
        <f t="shared" si="541"/>
        <v>-789</v>
      </c>
      <c r="M2935" s="1243">
        <f t="shared" si="542"/>
        <v>0</v>
      </c>
      <c r="N2935" s="1243">
        <v>0</v>
      </c>
      <c r="O2935" s="1243">
        <f t="shared" si="543"/>
        <v>26891.360000000001</v>
      </c>
    </row>
    <row r="2936" spans="1:15">
      <c r="A2936" s="361">
        <f t="shared" si="544"/>
        <v>11</v>
      </c>
      <c r="B2936" s="365">
        <v>394.2</v>
      </c>
      <c r="C2936" s="358" t="s">
        <v>420</v>
      </c>
      <c r="D2936" s="1243">
        <f t="shared" si="538"/>
        <v>0</v>
      </c>
      <c r="E2936" s="1243">
        <v>0</v>
      </c>
      <c r="F2936" s="1243">
        <v>0</v>
      </c>
      <c r="G2936" s="1243">
        <f>SUM(D2936:F2936)</f>
        <v>0</v>
      </c>
      <c r="I2936" s="1245">
        <f t="shared" si="539"/>
        <v>185.21</v>
      </c>
      <c r="J2936" s="376">
        <f t="shared" si="540"/>
        <v>0.04</v>
      </c>
      <c r="K2936" s="1243">
        <f>ROUND((G2936+D2936)/2*J2936/12,0)</f>
        <v>0</v>
      </c>
      <c r="L2936" s="1243">
        <f t="shared" si="541"/>
        <v>0</v>
      </c>
      <c r="M2936" s="1243">
        <f t="shared" si="542"/>
        <v>0</v>
      </c>
      <c r="N2936" s="1243">
        <v>0</v>
      </c>
      <c r="O2936" s="1243">
        <f t="shared" si="543"/>
        <v>185.21</v>
      </c>
    </row>
    <row r="2937" spans="1:15">
      <c r="A2937" s="361">
        <f t="shared" si="544"/>
        <v>12</v>
      </c>
      <c r="B2937" s="365">
        <v>394.3</v>
      </c>
      <c r="C2937" s="358" t="s">
        <v>1602</v>
      </c>
      <c r="D2937" s="1243">
        <f t="shared" si="538"/>
        <v>5472773.5700000012</v>
      </c>
      <c r="E2937" s="1243">
        <v>89614.78</v>
      </c>
      <c r="F2937" s="1243">
        <v>-8853.2900000000009</v>
      </c>
      <c r="G2937" s="1243">
        <f>SUM(D2937:F2937)</f>
        <v>5553535.0600000015</v>
      </c>
      <c r="I2937" s="1245">
        <f t="shared" si="539"/>
        <v>1666762.5699999996</v>
      </c>
      <c r="J2937" s="376">
        <f t="shared" si="540"/>
        <v>0.04</v>
      </c>
      <c r="K2937" s="1243">
        <f>ROUND((G2937+D2937)/2*J2937/12,0)</f>
        <v>18377</v>
      </c>
      <c r="L2937" s="1243">
        <f t="shared" si="541"/>
        <v>0</v>
      </c>
      <c r="M2937" s="1243">
        <f t="shared" si="542"/>
        <v>-8853.2900000000009</v>
      </c>
      <c r="N2937" s="1243">
        <v>0</v>
      </c>
      <c r="O2937" s="1243">
        <f t="shared" si="543"/>
        <v>1676286.2799999996</v>
      </c>
    </row>
    <row r="2938" spans="1:15">
      <c r="A2938" s="361">
        <f t="shared" si="544"/>
        <v>13</v>
      </c>
      <c r="B2938" s="365">
        <v>395</v>
      </c>
      <c r="C2938" s="358" t="s">
        <v>422</v>
      </c>
      <c r="D2938" s="1243">
        <f t="shared" si="538"/>
        <v>0</v>
      </c>
      <c r="E2938" s="1243">
        <v>0</v>
      </c>
      <c r="F2938" s="1243">
        <v>0</v>
      </c>
      <c r="G2938" s="1243">
        <f>SUM(D2938:F2938)</f>
        <v>0</v>
      </c>
      <c r="I2938" s="1245">
        <f t="shared" si="539"/>
        <v>-136.44999999999845</v>
      </c>
      <c r="J2938" s="376">
        <f t="shared" si="540"/>
        <v>0.05</v>
      </c>
      <c r="K2938" s="1243">
        <f>ROUND((G2938+D2938)/2*J2938/12,0)</f>
        <v>0</v>
      </c>
      <c r="L2938" s="1243">
        <f t="shared" si="541"/>
        <v>-2.75</v>
      </c>
      <c r="M2938" s="1243">
        <f t="shared" si="542"/>
        <v>0</v>
      </c>
      <c r="N2938" s="1243">
        <v>0</v>
      </c>
      <c r="O2938" s="1243">
        <f t="shared" si="543"/>
        <v>-139.19999999999845</v>
      </c>
    </row>
    <row r="2939" spans="1:15">
      <c r="A2939" s="361">
        <f t="shared" si="544"/>
        <v>14</v>
      </c>
      <c r="B2939" s="365">
        <v>396</v>
      </c>
      <c r="C2939" s="358" t="s">
        <v>423</v>
      </c>
      <c r="D2939" s="1243">
        <f t="shared" si="538"/>
        <v>185547</v>
      </c>
      <c r="E2939" s="1243">
        <v>0</v>
      </c>
      <c r="F2939" s="1243">
        <v>0</v>
      </c>
      <c r="G2939" s="1243">
        <f>SUM(D2939:F2939)</f>
        <v>185547</v>
      </c>
      <c r="I2939" s="1245">
        <f t="shared" si="539"/>
        <v>171938.14</v>
      </c>
      <c r="J2939" s="376">
        <f t="shared" si="540"/>
        <v>0</v>
      </c>
      <c r="K2939" s="1243">
        <f>ROUND((G2939+D2939)/2*J2939/12,0)</f>
        <v>0</v>
      </c>
      <c r="L2939" s="1243">
        <f t="shared" si="541"/>
        <v>0</v>
      </c>
      <c r="M2939" s="1243">
        <f t="shared" si="542"/>
        <v>0</v>
      </c>
      <c r="N2939" s="1243">
        <v>0</v>
      </c>
      <c r="O2939" s="1243">
        <f t="shared" si="543"/>
        <v>171938.14</v>
      </c>
    </row>
    <row r="2940" spans="1:15">
      <c r="A2940" s="361">
        <f t="shared" si="544"/>
        <v>15</v>
      </c>
      <c r="B2940" s="365">
        <v>398</v>
      </c>
      <c r="C2940" s="358" t="s">
        <v>424</v>
      </c>
      <c r="D2940" s="1244">
        <f t="shared" si="538"/>
        <v>148028.20000000001</v>
      </c>
      <c r="E2940" s="1244">
        <v>0</v>
      </c>
      <c r="F2940" s="1244">
        <v>0</v>
      </c>
      <c r="G2940" s="1244">
        <f>SUM(D2940:F2940)</f>
        <v>148028.20000000001</v>
      </c>
      <c r="I2940" s="1246">
        <f t="shared" si="539"/>
        <v>84249.716666666616</v>
      </c>
      <c r="J2940" s="376">
        <f t="shared" si="540"/>
        <v>6.6699999999999995E-2</v>
      </c>
      <c r="K2940" s="1244">
        <f>ROUND((G2940+D2940)/2*J2940/12,0)</f>
        <v>823</v>
      </c>
      <c r="L2940" s="1244">
        <f t="shared" si="541"/>
        <v>265.16666666666669</v>
      </c>
      <c r="M2940" s="1244">
        <f t="shared" si="542"/>
        <v>0</v>
      </c>
      <c r="N2940" s="1244">
        <v>0</v>
      </c>
      <c r="O2940" s="1244">
        <f t="shared" si="543"/>
        <v>85337.883333333288</v>
      </c>
    </row>
    <row r="2941" spans="1:15">
      <c r="A2941" s="361">
        <f t="shared" si="544"/>
        <v>16</v>
      </c>
      <c r="B2941" s="367"/>
      <c r="C2941" s="358" t="s">
        <v>425</v>
      </c>
      <c r="D2941" s="1243">
        <f>SUM(D2927:D2940)</f>
        <v>6848345.2800000012</v>
      </c>
      <c r="E2941" s="1243">
        <f>SUM(E2927:E2940)</f>
        <v>89614.78</v>
      </c>
      <c r="F2941" s="1243">
        <f>SUM(F2927:F2940)</f>
        <v>-8853.2900000000009</v>
      </c>
      <c r="G2941" s="1243">
        <f>SUM(G2927:G2940)</f>
        <v>6929106.7700000014</v>
      </c>
      <c r="I2941" s="1243">
        <f>SUM(I2927:I2940)</f>
        <v>2215472.6199999996</v>
      </c>
      <c r="J2941" s="369"/>
      <c r="K2941" s="1243">
        <f>SUM(K2927:K2940)</f>
        <v>23747</v>
      </c>
      <c r="L2941" s="1243">
        <f>SUM(L2927:L2940)</f>
        <v>5270.0000000000009</v>
      </c>
      <c r="M2941" s="1243">
        <f>SUM(M2927:M2940)</f>
        <v>-8853.2900000000009</v>
      </c>
      <c r="N2941" s="1243">
        <f>SUM(N2927:N2940)</f>
        <v>0</v>
      </c>
      <c r="O2941" s="1243">
        <f>SUM(O2927:O2940)</f>
        <v>2235636.3299999996</v>
      </c>
    </row>
    <row r="2942" spans="1:15">
      <c r="A2942" s="361"/>
      <c r="D2942" s="1243"/>
      <c r="E2942" s="1243"/>
      <c r="F2942" s="1243"/>
      <c r="G2942" s="1243"/>
      <c r="I2942" s="1243"/>
      <c r="J2942" s="369"/>
      <c r="K2942" s="1243"/>
      <c r="L2942" s="1243"/>
      <c r="M2942" s="1243"/>
      <c r="N2942" s="1243"/>
      <c r="O2942" s="1243"/>
    </row>
    <row r="2943" spans="1:15">
      <c r="A2943" s="361">
        <f>A2941+1</f>
        <v>17</v>
      </c>
      <c r="B2943" s="363" t="s">
        <v>1038</v>
      </c>
      <c r="D2943" s="1243"/>
      <c r="E2943" s="1243"/>
      <c r="F2943" s="1243"/>
      <c r="G2943" s="1243"/>
      <c r="I2943" s="1243"/>
      <c r="J2943" s="369"/>
      <c r="K2943" s="1243"/>
      <c r="L2943" s="1243"/>
      <c r="M2943" s="1243"/>
      <c r="N2943" s="1243"/>
      <c r="O2943" s="1243"/>
    </row>
    <row r="2944" spans="1:15">
      <c r="A2944" s="361">
        <f>A2943+1</f>
        <v>18</v>
      </c>
      <c r="B2944" s="365">
        <v>378.21</v>
      </c>
      <c r="C2944" s="358" t="s">
        <v>1037</v>
      </c>
      <c r="D2944" s="1244">
        <f>G2830</f>
        <v>-777092</v>
      </c>
      <c r="E2944" s="1244">
        <v>0</v>
      </c>
      <c r="F2944" s="1244">
        <v>0</v>
      </c>
      <c r="G2944" s="1244">
        <f>SUM(D2944:F2944)</f>
        <v>-777092</v>
      </c>
      <c r="I2944" s="1244">
        <f>O2830</f>
        <v>-232244.55000000028</v>
      </c>
      <c r="J2944" s="376" t="str">
        <f>$J$1690</f>
        <v>Amort.</v>
      </c>
      <c r="K2944" s="1244">
        <f>$K$1348</f>
        <v>-2144.17</v>
      </c>
      <c r="L2944" s="1244">
        <v>0</v>
      </c>
      <c r="M2944" s="1244">
        <f>F2944</f>
        <v>0</v>
      </c>
      <c r="N2944" s="1244">
        <v>0</v>
      </c>
      <c r="O2944" s="1244">
        <f>I2944+K2944+L2944+M2944+N2944</f>
        <v>-234388.72000000029</v>
      </c>
    </row>
    <row r="2945" spans="1:15">
      <c r="A2945" s="361">
        <f>A2944+1</f>
        <v>19</v>
      </c>
      <c r="B2945" s="370"/>
      <c r="C2945" s="358" t="s">
        <v>1579</v>
      </c>
      <c r="D2945" s="1243">
        <f>SUM(D2944)</f>
        <v>-777092</v>
      </c>
      <c r="E2945" s="1243">
        <f>SUM(E2944)</f>
        <v>0</v>
      </c>
      <c r="F2945" s="1243">
        <f>SUM(F2944)</f>
        <v>0</v>
      </c>
      <c r="G2945" s="1243">
        <f>SUM(G2944)</f>
        <v>-777092</v>
      </c>
      <c r="I2945" s="1243">
        <f>SUM(I2944)</f>
        <v>-232244.55000000028</v>
      </c>
      <c r="J2945" s="369"/>
      <c r="K2945" s="1243">
        <f>SUM(K2944)</f>
        <v>-2144.17</v>
      </c>
      <c r="L2945" s="1243">
        <f>SUM(L2944)</f>
        <v>0</v>
      </c>
      <c r="M2945" s="1243">
        <f>SUM(M2944)</f>
        <v>0</v>
      </c>
      <c r="N2945" s="1243">
        <f>SUM(N2944)</f>
        <v>0</v>
      </c>
      <c r="O2945" s="1243">
        <f>SUM(O2944)</f>
        <v>-234388.72000000029</v>
      </c>
    </row>
    <row r="2946" spans="1:15">
      <c r="A2946" s="361"/>
      <c r="B2946" s="370"/>
      <c r="D2946" s="1243"/>
      <c r="E2946" s="1243"/>
      <c r="F2946" s="1243"/>
      <c r="G2946" s="1243"/>
      <c r="I2946" s="1243"/>
      <c r="J2946" s="369"/>
      <c r="K2946" s="1243"/>
      <c r="L2946" s="1243"/>
      <c r="M2946" s="1243"/>
      <c r="N2946" s="1243"/>
      <c r="O2946" s="1243"/>
    </row>
    <row r="2947" spans="1:15">
      <c r="A2947" s="361">
        <f>A2945+1</f>
        <v>20</v>
      </c>
      <c r="B2947" s="370"/>
      <c r="C2947" s="358" t="s">
        <v>2037</v>
      </c>
      <c r="D2947" s="1243">
        <f>D2874+D2907+D2941+D2945</f>
        <v>763446039.37563694</v>
      </c>
      <c r="E2947" s="1243">
        <f>E2874+E2907+E2941+E2945</f>
        <v>1241836.8620970869</v>
      </c>
      <c r="F2947" s="1243">
        <f>F2874+F2907+F2941+F2945</f>
        <v>-209169.93361221044</v>
      </c>
      <c r="G2947" s="1243">
        <f>G2874+G2907+G2941+G2945</f>
        <v>764478706.30412173</v>
      </c>
      <c r="I2947" s="1243">
        <f>I2874+I2907+I2941+I2945</f>
        <v>193662452.56881052</v>
      </c>
      <c r="J2947" s="369"/>
      <c r="K2947" s="1243">
        <f>K2874+K2907+K2941+K2945</f>
        <v>2140682.0276515828</v>
      </c>
      <c r="L2947" s="1243">
        <f>L2874+L2907+L2941+L2945</f>
        <v>5270.0000000000009</v>
      </c>
      <c r="M2947" s="1243">
        <f>M2874+M2907+M2941+M2945</f>
        <v>-209169.93361221044</v>
      </c>
      <c r="N2947" s="1243">
        <f>N2874+N2907+N2941+N2945</f>
        <v>-73464.633452701426</v>
      </c>
      <c r="O2947" s="1243">
        <f>O2874+O2907+O2941+O2945</f>
        <v>195525770.02939725</v>
      </c>
    </row>
    <row r="2948" spans="1:15">
      <c r="A2948" s="361"/>
      <c r="B2948" s="370"/>
      <c r="D2948" s="1243"/>
      <c r="E2948" s="1243"/>
      <c r="F2948" s="1243"/>
      <c r="G2948" s="1243"/>
      <c r="I2948" s="1243"/>
      <c r="J2948" s="369"/>
      <c r="K2948" s="1243"/>
      <c r="L2948" s="1243"/>
      <c r="M2948" s="1243"/>
      <c r="N2948" s="1243"/>
      <c r="O2948" s="1243"/>
    </row>
    <row r="2949" spans="1:15">
      <c r="A2949" s="361">
        <f>A2947+1</f>
        <v>21</v>
      </c>
      <c r="B2949" s="370"/>
      <c r="C2949" s="358" t="s">
        <v>2038</v>
      </c>
      <c r="D2949" s="1243">
        <v>0</v>
      </c>
      <c r="E2949" s="1249">
        <v>0</v>
      </c>
      <c r="F2949" s="1249">
        <v>0</v>
      </c>
      <c r="G2949" s="1249">
        <f>SUM(D2949:F2949)</f>
        <v>0</v>
      </c>
      <c r="I2949" s="1243">
        <f>O2835</f>
        <v>-6687302.71</v>
      </c>
      <c r="J2949" s="369"/>
      <c r="K2949" s="1243"/>
      <c r="L2949" s="1243"/>
      <c r="M2949" s="1243"/>
      <c r="N2949" s="1243"/>
      <c r="O2949" s="1243">
        <f>I2949+K2949+L2949+M2949+N2949</f>
        <v>-6687302.71</v>
      </c>
    </row>
    <row r="2950" spans="1:15">
      <c r="A2950" s="361"/>
      <c r="B2950" s="370"/>
      <c r="C2950" s="368"/>
      <c r="D2950" s="1243"/>
      <c r="E2950" s="1243"/>
      <c r="F2950" s="1243"/>
      <c r="G2950" s="1243"/>
      <c r="I2950" s="1243"/>
      <c r="J2950" s="369"/>
      <c r="K2950" s="1243"/>
      <c r="L2950" s="1243"/>
      <c r="M2950" s="1243"/>
      <c r="N2950" s="1243"/>
      <c r="O2950" s="1243"/>
    </row>
    <row r="2951" spans="1:15">
      <c r="A2951" s="361">
        <f>A2949+1</f>
        <v>22</v>
      </c>
      <c r="C2951" s="358" t="s">
        <v>1603</v>
      </c>
      <c r="D2951" s="1247">
        <f>D2947+D2949</f>
        <v>763446039.37563694</v>
      </c>
      <c r="E2951" s="1247">
        <f t="shared" ref="E2951:O2951" si="546">E2947+E2949</f>
        <v>1241836.8620970869</v>
      </c>
      <c r="F2951" s="1247">
        <f t="shared" si="546"/>
        <v>-209169.93361221044</v>
      </c>
      <c r="G2951" s="1247">
        <f t="shared" si="546"/>
        <v>764478706.30412173</v>
      </c>
      <c r="I2951" s="1247">
        <f t="shared" si="546"/>
        <v>186975149.85881051</v>
      </c>
      <c r="J2951" s="369"/>
      <c r="K2951" s="1247">
        <f t="shared" si="546"/>
        <v>2140682.0276515828</v>
      </c>
      <c r="L2951" s="1247">
        <f t="shared" si="546"/>
        <v>5270.0000000000009</v>
      </c>
      <c r="M2951" s="1247">
        <f t="shared" si="546"/>
        <v>-209169.93361221044</v>
      </c>
      <c r="N2951" s="1247">
        <f t="shared" si="546"/>
        <v>-73464.633452701426</v>
      </c>
      <c r="O2951" s="1247">
        <f t="shared" si="546"/>
        <v>188838467.31939724</v>
      </c>
    </row>
    <row r="2952" spans="1:15">
      <c r="A2952" s="361"/>
      <c r="D2952" s="1243"/>
      <c r="E2952" s="1243"/>
      <c r="F2952" s="1243"/>
      <c r="G2952" s="1243"/>
      <c r="I2952" s="1243"/>
      <c r="J2952" s="369"/>
      <c r="K2952" s="1243"/>
      <c r="L2952" s="1243"/>
      <c r="M2952" s="1243"/>
      <c r="N2952" s="1243"/>
      <c r="O2952" s="1243"/>
    </row>
    <row r="2953" spans="1:15">
      <c r="A2953" s="361"/>
      <c r="D2953" s="1243"/>
      <c r="E2953" s="1243"/>
      <c r="F2953" s="1243"/>
      <c r="G2953" s="1243"/>
      <c r="I2953" s="1243"/>
      <c r="J2953" s="369"/>
      <c r="K2953" s="1243"/>
      <c r="L2953" s="1243"/>
      <c r="M2953" s="1243"/>
      <c r="N2953" s="1243"/>
      <c r="O2953" s="1243"/>
    </row>
    <row r="2954" spans="1:15">
      <c r="A2954" s="361">
        <f>A2951+1</f>
        <v>23</v>
      </c>
      <c r="B2954" s="363" t="s">
        <v>1774</v>
      </c>
      <c r="D2954" s="1243"/>
      <c r="E2954" s="1243"/>
      <c r="F2954" s="1243"/>
      <c r="G2954" s="1243"/>
      <c r="I2954" s="1243"/>
      <c r="J2954" s="369"/>
      <c r="K2954" s="1243"/>
      <c r="L2954" s="1243"/>
      <c r="M2954" s="1243"/>
      <c r="N2954" s="1243"/>
      <c r="O2954" s="1243"/>
    </row>
    <row r="2955" spans="1:15">
      <c r="A2955" s="361">
        <f t="shared" ref="A2955:A2960" si="547">A2954+1</f>
        <v>24</v>
      </c>
      <c r="B2955" s="365">
        <v>376</v>
      </c>
      <c r="C2955" s="358" t="s">
        <v>1775</v>
      </c>
      <c r="D2955" s="1243">
        <f>G2841</f>
        <v>53649477.262429819</v>
      </c>
      <c r="E2955" s="1243">
        <f>'WPB-2.1.D SMRP'!E1168</f>
        <v>662537.44657724805</v>
      </c>
      <c r="F2955" s="1243">
        <f>'WPB-2.1.D SMRP'!F1168</f>
        <v>-7523.239999999998</v>
      </c>
      <c r="G2955" s="1243">
        <f>SUM(D2955:F2955)</f>
        <v>54304491.469007067</v>
      </c>
      <c r="I2955" s="1243">
        <f>O2841</f>
        <v>329142.45925656625</v>
      </c>
      <c r="J2955" s="376">
        <f>+J2841</f>
        <v>1.7999999999999999E-2</v>
      </c>
      <c r="K2955" s="1243">
        <f>'WPB-2.1.D SMRP'!K1168</f>
        <v>80965.48</v>
      </c>
      <c r="L2955" s="1243">
        <v>0</v>
      </c>
      <c r="M2955" s="1243">
        <f>F2955</f>
        <v>-7523.239999999998</v>
      </c>
      <c r="N2955" s="1243">
        <f>'WPB-2.1.D SMRP'!N1168</f>
        <v>-3881.0125497070599</v>
      </c>
      <c r="O2955" s="1243">
        <f>I2955+K2955+L2955+M2955+N2955</f>
        <v>398703.68670685915</v>
      </c>
    </row>
    <row r="2956" spans="1:15">
      <c r="A2956" s="361">
        <f t="shared" si="547"/>
        <v>25</v>
      </c>
      <c r="B2956" s="365">
        <v>378.2</v>
      </c>
      <c r="C2956" s="358" t="s">
        <v>1776</v>
      </c>
      <c r="D2956" s="1243">
        <f>G2842</f>
        <v>599780.62011021946</v>
      </c>
      <c r="E2956" s="1243">
        <f>'WPB-2.1.D SMRP'!E1169</f>
        <v>0</v>
      </c>
      <c r="F2956" s="1243">
        <f>'WPB-2.1.D SMRP'!F1169</f>
        <v>0</v>
      </c>
      <c r="G2956" s="1243">
        <f>SUM(D2956:F2956)</f>
        <v>599780.62011021946</v>
      </c>
      <c r="I2956" s="1243">
        <f>O2842</f>
        <v>-943162.88754116022</v>
      </c>
      <c r="J2956" s="376">
        <f>+J2842</f>
        <v>3.3099999999999997E-2</v>
      </c>
      <c r="K2956" s="1243">
        <f>'WPB-2.1.D SMRP'!K1169</f>
        <v>1654.39</v>
      </c>
      <c r="L2956" s="1243">
        <v>0</v>
      </c>
      <c r="M2956" s="1243">
        <f>F2956</f>
        <v>0</v>
      </c>
      <c r="N2956" s="1243">
        <f>'WPB-2.1.D SMRP'!N1169</f>
        <v>0</v>
      </c>
      <c r="O2956" s="1243">
        <f>I2956+K2956+L2956+M2956+N2956</f>
        <v>-941508.49754116021</v>
      </c>
    </row>
    <row r="2957" spans="1:15">
      <c r="A2957" s="361">
        <f t="shared" si="547"/>
        <v>26</v>
      </c>
      <c r="B2957" s="365">
        <v>380</v>
      </c>
      <c r="C2957" s="358" t="s">
        <v>1777</v>
      </c>
      <c r="D2957" s="1243">
        <f>G2843</f>
        <v>22383405.512704615</v>
      </c>
      <c r="E2957" s="1243">
        <f>'WPB-2.1.D SMRP'!E1170</f>
        <v>630300.71828167804</v>
      </c>
      <c r="F2957" s="1243">
        <f>'WPB-2.1.D SMRP'!F1170</f>
        <v>-140763.54396195459</v>
      </c>
      <c r="G2957" s="1243">
        <f>SUM(D2957:F2957)</f>
        <v>22872942.68702434</v>
      </c>
      <c r="I2957" s="1243">
        <f>O2843</f>
        <v>-11732420.19234504</v>
      </c>
      <c r="J2957" s="376">
        <f>+J2843</f>
        <v>5.1799999999999999E-2</v>
      </c>
      <c r="K2957" s="1243">
        <f>'WPB-2.1.D SMRP'!K1170</f>
        <v>97678.28</v>
      </c>
      <c r="L2957" s="1243">
        <v>0</v>
      </c>
      <c r="M2957" s="1243">
        <f>F2957</f>
        <v>-140763.54396195459</v>
      </c>
      <c r="N2957" s="1243">
        <f>'WPB-2.1.D SMRP'!N1170</f>
        <v>-83937.423997591497</v>
      </c>
      <c r="O2957" s="1243">
        <f>I2957+K2957+L2957+M2957+N2957</f>
        <v>-11859442.880304588</v>
      </c>
    </row>
    <row r="2958" spans="1:15">
      <c r="A2958" s="361">
        <f t="shared" si="547"/>
        <v>27</v>
      </c>
      <c r="B2958" s="365">
        <v>382</v>
      </c>
      <c r="C2958" s="358" t="s">
        <v>1778</v>
      </c>
      <c r="D2958" s="1243">
        <f>G2844</f>
        <v>230782.93025847967</v>
      </c>
      <c r="E2958" s="1243">
        <f>'WPB-2.1.D SMRP'!E1171</f>
        <v>2415.0566604375563</v>
      </c>
      <c r="F2958" s="1243">
        <f>'WPB-2.1.D SMRP'!F1171</f>
        <v>-267.99769531286756</v>
      </c>
      <c r="G2958" s="1243">
        <f>SUM(D2958:F2958)</f>
        <v>232929.98922360435</v>
      </c>
      <c r="I2958" s="1243">
        <f>O2844</f>
        <v>-74712.10103004647</v>
      </c>
      <c r="J2958" s="376">
        <f>+J2844</f>
        <v>2.2800000000000001E-2</v>
      </c>
      <c r="K2958" s="1243">
        <f>'WPB-2.1.D SMRP'!K1171</f>
        <v>440.53</v>
      </c>
      <c r="L2958" s="1243">
        <v>0</v>
      </c>
      <c r="M2958" s="1243">
        <f>F2958</f>
        <v>-267.99769531286756</v>
      </c>
      <c r="N2958" s="1243">
        <f>'WPB-2.1.D SMRP'!N1171</f>
        <v>0</v>
      </c>
      <c r="O2958" s="1243">
        <f>I2958+K2958+L2958+M2958+N2958</f>
        <v>-74539.568725359335</v>
      </c>
    </row>
    <row r="2959" spans="1:15">
      <c r="A2959" s="361">
        <f t="shared" si="547"/>
        <v>28</v>
      </c>
      <c r="B2959" s="365">
        <v>383</v>
      </c>
      <c r="C2959" s="358" t="s">
        <v>1779</v>
      </c>
      <c r="D2959" s="1244">
        <f>G2845</f>
        <v>152924.12080260093</v>
      </c>
      <c r="E2959" s="1244">
        <f>'WPB-2.1.D SMRP'!E1172</f>
        <v>6226.9956369220399</v>
      </c>
      <c r="F2959" s="1244">
        <f>'WPB-2.1.D SMRP'!F1172</f>
        <v>-39.644143718952151</v>
      </c>
      <c r="G2959" s="1244">
        <f>SUM(D2959:F2959)</f>
        <v>159111.47229580401</v>
      </c>
      <c r="I2959" s="1244">
        <f>O2845</f>
        <v>-8622.7766820251472</v>
      </c>
      <c r="J2959" s="376">
        <f>+J2845</f>
        <v>2.2200000000000001E-2</v>
      </c>
      <c r="K2959" s="1244">
        <f>'WPB-2.1.D SMRP'!K1172</f>
        <v>288.63</v>
      </c>
      <c r="L2959" s="1244">
        <v>0</v>
      </c>
      <c r="M2959" s="1244">
        <f>F2959</f>
        <v>-39.644143718952151</v>
      </c>
      <c r="N2959" s="1244">
        <f>'WPB-2.1.D SMRP'!N1172</f>
        <v>0</v>
      </c>
      <c r="O2959" s="1244">
        <f>I2959+K2959+L2959+M2959+N2959</f>
        <v>-8373.7908257440995</v>
      </c>
    </row>
    <row r="2960" spans="1:15">
      <c r="A2960" s="361">
        <f t="shared" si="547"/>
        <v>29</v>
      </c>
      <c r="C2960" s="358" t="s">
        <v>1780</v>
      </c>
      <c r="D2960" s="1243">
        <f>SUM(D2955:D2959)</f>
        <v>77016370.446305737</v>
      </c>
      <c r="E2960" s="1243">
        <f>SUM(E2955:E2959)</f>
        <v>1301480.2171562857</v>
      </c>
      <c r="F2960" s="1243">
        <f>SUM(F2955:F2959)</f>
        <v>-148594.42580098641</v>
      </c>
      <c r="G2960" s="1243">
        <f>SUM(G2955:G2959)</f>
        <v>78169256.237661034</v>
      </c>
      <c r="I2960" s="1243">
        <f>SUM(I2955:I2959)</f>
        <v>-12429775.498341706</v>
      </c>
      <c r="J2960" s="369"/>
      <c r="K2960" s="1243">
        <f>SUM(K2955:K2959)</f>
        <v>181027.31</v>
      </c>
      <c r="L2960" s="1243">
        <f>SUM(L2955:L2959)</f>
        <v>0</v>
      </c>
      <c r="M2960" s="1243">
        <f>SUM(M2955:M2959)</f>
        <v>-148594.42580098641</v>
      </c>
      <c r="N2960" s="1243">
        <f>SUM(N2955:N2959)</f>
        <v>-87818.436547298552</v>
      </c>
      <c r="O2960" s="1243">
        <f>SUM(O2955:O2959)</f>
        <v>-12485161.050689992</v>
      </c>
    </row>
    <row r="2961" spans="1:16">
      <c r="A2961" s="361"/>
      <c r="D2961" s="1243"/>
      <c r="E2961" s="1243"/>
      <c r="F2961" s="1243"/>
      <c r="G2961" s="1243"/>
      <c r="I2961" s="1243"/>
      <c r="J2961" s="369"/>
      <c r="K2961" s="1243"/>
      <c r="L2961" s="1243"/>
      <c r="M2961" s="1243"/>
      <c r="N2961" s="1243"/>
      <c r="O2961" s="1243"/>
    </row>
    <row r="2962" spans="1:16" ht="13.5" thickBot="1">
      <c r="A2962" s="361">
        <f>A2960+1</f>
        <v>30</v>
      </c>
      <c r="C2962" s="358" t="s">
        <v>447</v>
      </c>
      <c r="D2962" s="1248">
        <f>D2951+D2960</f>
        <v>840462409.82194269</v>
      </c>
      <c r="E2962" s="1248">
        <f>E2951+E2960</f>
        <v>2543317.0792533727</v>
      </c>
      <c r="F2962" s="1248">
        <f>F2951+F2960</f>
        <v>-357764.35941319686</v>
      </c>
      <c r="G2962" s="1248">
        <f>G2951+G2960</f>
        <v>842647962.54178274</v>
      </c>
      <c r="I2962" s="1248">
        <f>I2951+I2960</f>
        <v>174545374.3604688</v>
      </c>
      <c r="J2962" s="369"/>
      <c r="K2962" s="1248">
        <f>K2951+K2960</f>
        <v>2321709.3376515829</v>
      </c>
      <c r="L2962" s="1248">
        <f>L2951+L2960</f>
        <v>5270.0000000000009</v>
      </c>
      <c r="M2962" s="1248">
        <f>M2951+M2960</f>
        <v>-357764.35941319686</v>
      </c>
      <c r="N2962" s="1248">
        <f>N2951+N2960</f>
        <v>-161283.06999999998</v>
      </c>
      <c r="O2962" s="1248">
        <f>O2951+O2960</f>
        <v>176353306.26870725</v>
      </c>
    </row>
    <row r="2963" spans="1:16" ht="13.5" thickTop="1"/>
    <row r="2965" spans="1:16" s="291" customFormat="1">
      <c r="A2965" s="1308" t="str">
        <f>$A$1</f>
        <v>COLUMBIA GAS OF KENTUCKY, INC.</v>
      </c>
      <c r="B2965" s="1308"/>
      <c r="C2965" s="1308"/>
      <c r="D2965" s="1308"/>
      <c r="E2965" s="1308"/>
      <c r="F2965" s="1308"/>
      <c r="G2965" s="1308"/>
      <c r="H2965" s="1308"/>
      <c r="I2965" s="1308"/>
      <c r="J2965" s="1308"/>
      <c r="K2965" s="1308"/>
      <c r="L2965" s="1308"/>
      <c r="M2965" s="1308"/>
      <c r="N2965" s="1308"/>
      <c r="O2965" s="1308"/>
    </row>
    <row r="2966" spans="1:16" s="291" customFormat="1">
      <c r="A2966" s="1308" t="str">
        <f>$A$2</f>
        <v>CASE NO. 2024 - 00092</v>
      </c>
      <c r="B2966" s="1308"/>
      <c r="C2966" s="1308"/>
      <c r="D2966" s="1308"/>
      <c r="E2966" s="1308"/>
      <c r="F2966" s="1308"/>
      <c r="G2966" s="1308"/>
      <c r="H2966" s="1308"/>
      <c r="I2966" s="1308"/>
      <c r="J2966" s="1308"/>
      <c r="K2966" s="1308"/>
      <c r="L2966" s="1308"/>
      <c r="M2966" s="1308"/>
      <c r="N2966" s="1308"/>
      <c r="O2966" s="1308"/>
    </row>
    <row r="2967" spans="1:16" s="291" customFormat="1">
      <c r="A2967" s="1308" t="str">
        <f>$A$3</f>
        <v>DETAIL OF ACTUAL &amp; FORECASTED PLANT, ACCUMULATED RESERVE &amp; DEPRECIATION EXPENSE</v>
      </c>
      <c r="B2967" s="1308"/>
      <c r="C2967" s="1308"/>
      <c r="D2967" s="1308"/>
      <c r="E2967" s="1308"/>
      <c r="F2967" s="1308"/>
      <c r="G2967" s="1308"/>
      <c r="H2967" s="1308"/>
      <c r="I2967" s="1308"/>
      <c r="J2967" s="1308"/>
      <c r="K2967" s="1308"/>
      <c r="L2967" s="1308"/>
      <c r="M2967" s="1308"/>
      <c r="N2967" s="1308"/>
      <c r="O2967" s="1308"/>
      <c r="P2967" s="357"/>
    </row>
    <row r="2968" spans="1:16" s="291" customFormat="1">
      <c r="A2968" s="1308" t="str">
        <f>$A$4</f>
        <v>FROM JANUARY 01, 2023 THROUGH DECEMBER 31, 2025</v>
      </c>
      <c r="B2968" s="1308"/>
      <c r="C2968" s="1308"/>
      <c r="D2968" s="1308"/>
      <c r="E2968" s="1308"/>
      <c r="F2968" s="1308"/>
      <c r="G2968" s="1308"/>
      <c r="H2968" s="1308"/>
      <c r="I2968" s="1308"/>
      <c r="J2968" s="1308"/>
      <c r="K2968" s="1308"/>
      <c r="L2968" s="1308"/>
      <c r="M2968" s="1308"/>
      <c r="N2968" s="1308"/>
      <c r="O2968" s="1308"/>
    </row>
    <row r="2969" spans="1:16" s="291" customFormat="1">
      <c r="B2969" s="293"/>
      <c r="P2969" s="312"/>
    </row>
    <row r="2970" spans="1:16" s="291" customFormat="1">
      <c r="A2970" s="297" t="str">
        <f>$A$6</f>
        <v xml:space="preserve">DATA: _X_ BASE PERIOD _X_ FORECASTED PERIOD     </v>
      </c>
      <c r="B2970" s="293"/>
      <c r="O2970" s="312" t="str">
        <f>$O$6</f>
        <v>WPB-2.1.C</v>
      </c>
      <c r="P2970" s="312"/>
    </row>
    <row r="2971" spans="1:16" s="291" customFormat="1">
      <c r="A2971" s="297" t="str">
        <f>$A$7</f>
        <v>TYPE OF FILING:___X___ORIGINAL______UPDATED</v>
      </c>
      <c r="B2971" s="293"/>
      <c r="O2971" s="312" t="s">
        <v>2170</v>
      </c>
      <c r="P2971" s="312"/>
    </row>
    <row r="2972" spans="1:16" s="291" customFormat="1">
      <c r="A2972" s="297" t="str">
        <f>$A$8</f>
        <v>WORKPAPER REFERENCE NO(S).:</v>
      </c>
      <c r="B2972" s="293"/>
      <c r="O2972" s="312" t="str">
        <f>$O$8</f>
        <v>WITNESS: GORE</v>
      </c>
    </row>
    <row r="2973" spans="1:16">
      <c r="A2973" s="918"/>
      <c r="B2973" s="919"/>
      <c r="C2973" s="918"/>
      <c r="D2973" s="918"/>
      <c r="E2973" s="918"/>
      <c r="F2973" s="918"/>
      <c r="G2973" s="918"/>
      <c r="H2973" s="918"/>
      <c r="I2973" s="918"/>
      <c r="J2973" s="918"/>
      <c r="K2973" s="918"/>
      <c r="L2973" s="918"/>
      <c r="M2973" s="918"/>
      <c r="N2973" s="918"/>
      <c r="O2973" s="920"/>
    </row>
    <row r="2974" spans="1:16">
      <c r="D2974" s="1311" t="s">
        <v>1768</v>
      </c>
      <c r="E2974" s="1311"/>
      <c r="F2974" s="1311"/>
      <c r="G2974" s="1311"/>
      <c r="I2974" s="1311" t="s">
        <v>1769</v>
      </c>
      <c r="J2974" s="1311"/>
      <c r="K2974" s="1311"/>
      <c r="L2974" s="1311"/>
      <c r="M2974" s="1311"/>
      <c r="N2974" s="1311"/>
      <c r="O2974" s="1311"/>
    </row>
    <row r="2975" spans="1:16">
      <c r="D2975" s="360">
        <f>G2861+1</f>
        <v>45717</v>
      </c>
      <c r="G2975" s="360">
        <f>D2975+30</f>
        <v>45747</v>
      </c>
      <c r="I2975" s="360">
        <f>D2975</f>
        <v>45717</v>
      </c>
      <c r="O2975" s="360">
        <f>G2975</f>
        <v>45747</v>
      </c>
    </row>
    <row r="2976" spans="1:16">
      <c r="D2976" s="361" t="s">
        <v>1757</v>
      </c>
      <c r="G2976" s="361" t="s">
        <v>1757</v>
      </c>
      <c r="I2976" s="361" t="s">
        <v>1758</v>
      </c>
      <c r="J2976" s="361" t="s">
        <v>488</v>
      </c>
      <c r="L2976" s="361" t="s">
        <v>1758</v>
      </c>
      <c r="O2976" s="361" t="s">
        <v>1758</v>
      </c>
    </row>
    <row r="2977" spans="1:15">
      <c r="A2977" s="361" t="s">
        <v>1770</v>
      </c>
      <c r="B2977" s="361" t="s">
        <v>368</v>
      </c>
      <c r="C2977" s="361"/>
      <c r="D2977" s="361" t="s">
        <v>437</v>
      </c>
      <c r="G2977" s="361" t="s">
        <v>439</v>
      </c>
      <c r="I2977" s="361" t="s">
        <v>437</v>
      </c>
      <c r="J2977" s="361" t="s">
        <v>1771</v>
      </c>
      <c r="K2977" s="361" t="s">
        <v>1772</v>
      </c>
      <c r="L2977" s="361" t="s">
        <v>1759</v>
      </c>
      <c r="N2977" s="361" t="s">
        <v>1760</v>
      </c>
      <c r="O2977" s="361" t="s">
        <v>439</v>
      </c>
    </row>
    <row r="2978" spans="1:15">
      <c r="A2978" s="364" t="s">
        <v>316</v>
      </c>
      <c r="B2978" s="364" t="s">
        <v>316</v>
      </c>
      <c r="C2978" s="364" t="s">
        <v>451</v>
      </c>
      <c r="D2978" s="364" t="s">
        <v>441</v>
      </c>
      <c r="E2978" s="364" t="s">
        <v>442</v>
      </c>
      <c r="F2978" s="364" t="s">
        <v>443</v>
      </c>
      <c r="G2978" s="364" t="s">
        <v>441</v>
      </c>
      <c r="I2978" s="364" t="s">
        <v>441</v>
      </c>
      <c r="J2978" s="364" t="s">
        <v>1773</v>
      </c>
      <c r="K2978" s="364" t="s">
        <v>1771</v>
      </c>
      <c r="L2978" s="364" t="s">
        <v>355</v>
      </c>
      <c r="M2978" s="364" t="s">
        <v>443</v>
      </c>
      <c r="N2978" s="364" t="s">
        <v>1763</v>
      </c>
      <c r="O2978" s="364" t="s">
        <v>441</v>
      </c>
    </row>
    <row r="2979" spans="1:15">
      <c r="D2979" s="361" t="s">
        <v>532</v>
      </c>
      <c r="E2979" s="361" t="s">
        <v>541</v>
      </c>
      <c r="F2979" s="361" t="s">
        <v>542</v>
      </c>
      <c r="G2979" s="361" t="s">
        <v>1764</v>
      </c>
      <c r="I2979" s="334" t="str">
        <f>"(5)"</f>
        <v>(5)</v>
      </c>
      <c r="J2979" s="334" t="str">
        <f>"(6)"</f>
        <v>(6)</v>
      </c>
      <c r="K2979" s="334" t="str">
        <f>"(7)=((1+4)/2*6/12))"</f>
        <v>(7)=((1+4)/2*6/12))</v>
      </c>
      <c r="L2979" s="334" t="str">
        <f>"(8)"</f>
        <v>(8)</v>
      </c>
      <c r="M2979" s="334" t="str">
        <f>"(9)"</f>
        <v>(9)</v>
      </c>
      <c r="N2979" s="334" t="str">
        <f>"(10)"</f>
        <v>(10)</v>
      </c>
      <c r="O2979" s="334" t="str">
        <f>"(11=5+7+8+9+10)"</f>
        <v>(11=5+7+8+9+10)</v>
      </c>
    </row>
    <row r="2980" spans="1:15">
      <c r="D2980" s="361" t="s">
        <v>320</v>
      </c>
      <c r="E2980" s="361" t="s">
        <v>320</v>
      </c>
      <c r="F2980" s="361" t="s">
        <v>320</v>
      </c>
      <c r="G2980" s="361" t="s">
        <v>320</v>
      </c>
      <c r="I2980" s="334" t="s">
        <v>320</v>
      </c>
      <c r="J2980" s="334" t="s">
        <v>529</v>
      </c>
      <c r="K2980" s="334" t="s">
        <v>320</v>
      </c>
      <c r="L2980" s="334" t="s">
        <v>320</v>
      </c>
      <c r="M2980" s="334" t="s">
        <v>320</v>
      </c>
      <c r="N2980" s="334" t="s">
        <v>320</v>
      </c>
      <c r="O2980" s="334" t="s">
        <v>320</v>
      </c>
    </row>
    <row r="2981" spans="1:15">
      <c r="A2981" s="361">
        <v>1</v>
      </c>
      <c r="B2981" s="362" t="s">
        <v>373</v>
      </c>
      <c r="D2981" s="361"/>
      <c r="E2981" s="361"/>
      <c r="F2981" s="361"/>
      <c r="G2981" s="361"/>
      <c r="I2981" s="334"/>
      <c r="J2981" s="334"/>
      <c r="K2981" s="334"/>
      <c r="L2981" s="334"/>
      <c r="M2981" s="334"/>
      <c r="N2981" s="334"/>
      <c r="O2981" s="334"/>
    </row>
    <row r="2982" spans="1:15">
      <c r="A2982" s="361">
        <f>A2981+1</f>
        <v>2</v>
      </c>
      <c r="B2982" s="365">
        <v>301</v>
      </c>
      <c r="C2982" s="358" t="s">
        <v>374</v>
      </c>
      <c r="D2982" s="1243">
        <f t="shared" ref="D2982:D2987" si="548">G2868</f>
        <v>521.20000000000005</v>
      </c>
      <c r="E2982" s="1243">
        <v>0</v>
      </c>
      <c r="F2982" s="1243">
        <v>0</v>
      </c>
      <c r="G2982" s="1243">
        <f t="shared" ref="G2982:G2987" si="549">SUM(D2982:F2982)</f>
        <v>521.20000000000005</v>
      </c>
      <c r="H2982" s="1243"/>
      <c r="I2982" s="1243">
        <f t="shared" ref="I2982:I2987" si="550">O2868</f>
        <v>0</v>
      </c>
      <c r="J2982" s="375" t="str">
        <f>$J$1614</f>
        <v>Amort.</v>
      </c>
      <c r="K2982" s="1243">
        <v>0</v>
      </c>
      <c r="L2982" s="1243">
        <v>0</v>
      </c>
      <c r="M2982" s="1243">
        <f t="shared" ref="M2982:M2987" si="551">F2982</f>
        <v>0</v>
      </c>
      <c r="N2982" s="1243">
        <v>0</v>
      </c>
      <c r="O2982" s="1243">
        <f t="shared" ref="O2982:O2987" si="552">I2982+K2982+L2982+M2982+N2982</f>
        <v>0</v>
      </c>
    </row>
    <row r="2983" spans="1:15">
      <c r="A2983" s="361">
        <f t="shared" ref="A2983:A2988" si="553">A2982+1</f>
        <v>3</v>
      </c>
      <c r="B2983" s="365">
        <v>303</v>
      </c>
      <c r="C2983" s="358" t="s">
        <v>375</v>
      </c>
      <c r="D2983" s="1243">
        <f t="shared" si="548"/>
        <v>96334.51</v>
      </c>
      <c r="E2983" s="1243">
        <v>0</v>
      </c>
      <c r="F2983" s="1243">
        <v>0</v>
      </c>
      <c r="G2983" s="1243">
        <f t="shared" si="549"/>
        <v>96334.51</v>
      </c>
      <c r="H2983" s="1243"/>
      <c r="I2983" s="1243">
        <f t="shared" si="550"/>
        <v>82608.739277777888</v>
      </c>
      <c r="J2983" s="375" t="str">
        <f>$J$1615</f>
        <v>Amort.</v>
      </c>
      <c r="K2983" s="1243">
        <f>+'WPB-2.1.E Intangibles'!G53</f>
        <v>267.59780555555557</v>
      </c>
      <c r="L2983" s="1243">
        <v>0</v>
      </c>
      <c r="M2983" s="1243">
        <f t="shared" si="551"/>
        <v>0</v>
      </c>
      <c r="N2983" s="1243">
        <v>0</v>
      </c>
      <c r="O2983" s="1243">
        <f t="shared" si="552"/>
        <v>82876.337083333448</v>
      </c>
    </row>
    <row r="2984" spans="1:15">
      <c r="A2984" s="361">
        <f t="shared" si="553"/>
        <v>4</v>
      </c>
      <c r="B2984" s="365">
        <v>303.10000000000002</v>
      </c>
      <c r="C2984" s="358" t="s">
        <v>376</v>
      </c>
      <c r="D2984" s="1243">
        <f t="shared" si="548"/>
        <v>943.27</v>
      </c>
      <c r="E2984" s="1243">
        <v>0</v>
      </c>
      <c r="F2984" s="1243">
        <v>0</v>
      </c>
      <c r="G2984" s="1243">
        <f t="shared" si="549"/>
        <v>943.27</v>
      </c>
      <c r="H2984" s="1243"/>
      <c r="I2984" s="1243">
        <f t="shared" si="550"/>
        <v>318.35000000000008</v>
      </c>
      <c r="J2984" s="375" t="str">
        <f>$J$1616</f>
        <v>Amort.</v>
      </c>
      <c r="K2984" s="1243">
        <v>0</v>
      </c>
      <c r="L2984" s="1243">
        <v>0</v>
      </c>
      <c r="M2984" s="1243">
        <f t="shared" si="551"/>
        <v>0</v>
      </c>
      <c r="N2984" s="1243">
        <v>0</v>
      </c>
      <c r="O2984" s="1243">
        <f t="shared" si="552"/>
        <v>318.35000000000008</v>
      </c>
    </row>
    <row r="2985" spans="1:15">
      <c r="A2985" s="361">
        <f t="shared" si="553"/>
        <v>5</v>
      </c>
      <c r="B2985" s="365">
        <v>303.2</v>
      </c>
      <c r="C2985" s="358" t="s">
        <v>377</v>
      </c>
      <c r="D2985" s="1243">
        <f t="shared" si="548"/>
        <v>0</v>
      </c>
      <c r="E2985" s="1243">
        <v>0</v>
      </c>
      <c r="F2985" s="1243">
        <v>0</v>
      </c>
      <c r="G2985" s="1243">
        <f t="shared" si="549"/>
        <v>0</v>
      </c>
      <c r="H2985" s="1243"/>
      <c r="I2985" s="1243">
        <f t="shared" si="550"/>
        <v>0</v>
      </c>
      <c r="J2985" s="375" t="str">
        <f>$J$1617</f>
        <v>Amort.</v>
      </c>
      <c r="K2985" s="1243">
        <v>0</v>
      </c>
      <c r="L2985" s="1243">
        <v>0</v>
      </c>
      <c r="M2985" s="1243">
        <f t="shared" si="551"/>
        <v>0</v>
      </c>
      <c r="N2985" s="1243">
        <v>0</v>
      </c>
      <c r="O2985" s="1243">
        <f t="shared" si="552"/>
        <v>0</v>
      </c>
    </row>
    <row r="2986" spans="1:15">
      <c r="A2986" s="361">
        <f t="shared" si="553"/>
        <v>6</v>
      </c>
      <c r="B2986" s="365">
        <v>303.3</v>
      </c>
      <c r="C2986" s="358" t="s">
        <v>378</v>
      </c>
      <c r="D2986" s="1243">
        <f t="shared" si="548"/>
        <v>13794259.790705003</v>
      </c>
      <c r="E2986" s="1243">
        <f>+'WPB-2.1.E Intangibles'!G26</f>
        <v>138481</v>
      </c>
      <c r="F2986" s="1243">
        <f>-'WPB-2.1.E Intangibles'!G41</f>
        <v>-84261.430000000022</v>
      </c>
      <c r="G2986" s="1243">
        <f t="shared" si="549"/>
        <v>13848479.360705003</v>
      </c>
      <c r="H2986" s="1243"/>
      <c r="I2986" s="1243">
        <f t="shared" si="550"/>
        <v>6027209.4032558789</v>
      </c>
      <c r="J2986" s="375" t="str">
        <f>$J$1618</f>
        <v>Amort.</v>
      </c>
      <c r="K2986" s="1243">
        <f>+'WPB-2.1.E Intangibles'!G54</f>
        <v>232399.21717058343</v>
      </c>
      <c r="L2986" s="1243">
        <v>0</v>
      </c>
      <c r="M2986" s="1243">
        <f t="shared" si="551"/>
        <v>-84261.430000000022</v>
      </c>
      <c r="N2986" s="1243">
        <v>0</v>
      </c>
      <c r="O2986" s="1243">
        <f t="shared" si="552"/>
        <v>6175347.1904264623</v>
      </c>
    </row>
    <row r="2987" spans="1:15">
      <c r="A2987" s="361">
        <f t="shared" si="553"/>
        <v>7</v>
      </c>
      <c r="B2987" s="365">
        <v>303.99</v>
      </c>
      <c r="C2987" s="358" t="s">
        <v>1129</v>
      </c>
      <c r="D2987" s="1244">
        <f t="shared" si="548"/>
        <v>2114267.5310644358</v>
      </c>
      <c r="E2987" s="1244">
        <f>+'WPB-2.1.E Intangibles'!G30</f>
        <v>8738.1004285808722</v>
      </c>
      <c r="F2987" s="1244">
        <f>-'WPB-2.1.E Intangibles'!G42</f>
        <v>0</v>
      </c>
      <c r="G2987" s="1244">
        <f t="shared" si="549"/>
        <v>2123005.6314930166</v>
      </c>
      <c r="H2987" s="1243"/>
      <c r="I2987" s="1244">
        <f t="shared" si="550"/>
        <v>1147127.8165503852</v>
      </c>
      <c r="J2987" s="375" t="str">
        <f>$J$1619</f>
        <v>Amort.</v>
      </c>
      <c r="K2987" s="1244">
        <f>+'WPB-2.1.E Intangibles'!G55</f>
        <v>34931.367339459874</v>
      </c>
      <c r="L2987" s="1244">
        <v>0</v>
      </c>
      <c r="M2987" s="1244">
        <f t="shared" si="551"/>
        <v>0</v>
      </c>
      <c r="N2987" s="1244">
        <v>0</v>
      </c>
      <c r="O2987" s="1244">
        <f t="shared" si="552"/>
        <v>1182059.1838898452</v>
      </c>
    </row>
    <row r="2988" spans="1:15">
      <c r="A2988" s="361">
        <f t="shared" si="553"/>
        <v>8</v>
      </c>
      <c r="B2988" s="367"/>
      <c r="C2988" s="358" t="s">
        <v>379</v>
      </c>
      <c r="D2988" s="1243">
        <f>SUM(D2982:D2987)</f>
        <v>16006326.301769439</v>
      </c>
      <c r="E2988" s="1243">
        <f>SUM(E2982:E2987)</f>
        <v>147219.10042858086</v>
      </c>
      <c r="F2988" s="1243">
        <f>SUM(F2982:F2987)</f>
        <v>-84261.430000000022</v>
      </c>
      <c r="G2988" s="1243">
        <f>SUM(G2982:G2987)</f>
        <v>16069283.972198021</v>
      </c>
      <c r="H2988" s="1243"/>
      <c r="I2988" s="1243">
        <f>SUM(I2982:I2987)</f>
        <v>7257264.309084042</v>
      </c>
      <c r="J2988" s="369"/>
      <c r="K2988" s="1243">
        <f>SUM(K2982:K2987)</f>
        <v>267598.18231559888</v>
      </c>
      <c r="L2988" s="1243">
        <f>SUM(L2982:L2987)</f>
        <v>0</v>
      </c>
      <c r="M2988" s="1243">
        <f>SUM(M2982:M2987)</f>
        <v>-84261.430000000022</v>
      </c>
      <c r="N2988" s="1243">
        <f>SUM(N2982:N2987)</f>
        <v>0</v>
      </c>
      <c r="O2988" s="1243">
        <f>SUM(O2982:O2987)</f>
        <v>7440601.0613996414</v>
      </c>
    </row>
    <row r="2989" spans="1:15">
      <c r="A2989" s="361"/>
      <c r="B2989" s="367"/>
      <c r="C2989" s="368"/>
      <c r="D2989" s="1243"/>
      <c r="E2989" s="1243"/>
      <c r="F2989" s="1243"/>
      <c r="G2989" s="1243"/>
      <c r="H2989" s="1243"/>
      <c r="I2989" s="1243"/>
      <c r="J2989" s="369"/>
      <c r="K2989" s="1243"/>
      <c r="L2989" s="1243"/>
      <c r="M2989" s="1243"/>
      <c r="N2989" s="1243"/>
      <c r="O2989" s="1243"/>
    </row>
    <row r="2990" spans="1:15">
      <c r="A2990" s="361">
        <f>A2988+1</f>
        <v>9</v>
      </c>
      <c r="B2990" s="362" t="s">
        <v>1600</v>
      </c>
      <c r="C2990" s="368"/>
      <c r="D2990" s="1243"/>
      <c r="E2990" s="1243"/>
      <c r="F2990" s="1243"/>
      <c r="G2990" s="1243"/>
      <c r="H2990" s="1243"/>
      <c r="I2990" s="1243"/>
      <c r="J2990" s="369"/>
      <c r="K2990" s="1243"/>
      <c r="L2990" s="1243"/>
      <c r="M2990" s="1243"/>
      <c r="N2990" s="1243"/>
      <c r="O2990" s="1243"/>
    </row>
    <row r="2991" spans="1:15">
      <c r="A2991" s="361">
        <f t="shared" ref="A2991:A3021" si="554">A2990+1</f>
        <v>10</v>
      </c>
      <c r="B2991" s="365">
        <v>374.1</v>
      </c>
      <c r="C2991" s="358" t="s">
        <v>382</v>
      </c>
      <c r="D2991" s="1243">
        <f t="shared" ref="D2991:D3020" si="555">G2877</f>
        <v>205.4</v>
      </c>
      <c r="E2991" s="1243">
        <v>0</v>
      </c>
      <c r="F2991" s="1243">
        <v>0</v>
      </c>
      <c r="G2991" s="1243">
        <f>SUM(D2991:F2991)</f>
        <v>205.4</v>
      </c>
      <c r="H2991" s="1243"/>
      <c r="I2991" s="1243">
        <f t="shared" ref="I2991:I3020" si="556">O2877</f>
        <v>0</v>
      </c>
      <c r="J2991" s="375" t="str">
        <f>$J$1623</f>
        <v>Non-Dep.</v>
      </c>
      <c r="K2991" s="1243">
        <v>0</v>
      </c>
      <c r="L2991" s="1243">
        <v>0</v>
      </c>
      <c r="M2991" s="1243">
        <f t="shared" ref="M2991:M3020" si="557">F2991</f>
        <v>0</v>
      </c>
      <c r="N2991" s="1243">
        <v>0</v>
      </c>
      <c r="O2991" s="1243">
        <f t="shared" ref="O2991:O3020" si="558">I2991+K2991+L2991+M2991+N2991</f>
        <v>0</v>
      </c>
    </row>
    <row r="2992" spans="1:15">
      <c r="A2992" s="361">
        <f t="shared" si="554"/>
        <v>11</v>
      </c>
      <c r="B2992" s="365">
        <v>374.2</v>
      </c>
      <c r="C2992" s="358" t="s">
        <v>383</v>
      </c>
      <c r="D2992" s="1243">
        <f t="shared" si="555"/>
        <v>876986.66</v>
      </c>
      <c r="E2992" s="1243">
        <v>0</v>
      </c>
      <c r="F2992" s="1243">
        <v>0</v>
      </c>
      <c r="G2992" s="1243">
        <f t="shared" ref="G2992:G3020" si="559">SUM(D2992:F2992)</f>
        <v>876986.66</v>
      </c>
      <c r="H2992" s="1243"/>
      <c r="I2992" s="1243">
        <f t="shared" si="556"/>
        <v>-522.25</v>
      </c>
      <c r="J2992" s="375" t="str">
        <f>$J$1624</f>
        <v>Non-Dep.</v>
      </c>
      <c r="K2992" s="1243">
        <v>0</v>
      </c>
      <c r="L2992" s="1243">
        <v>0</v>
      </c>
      <c r="M2992" s="1243">
        <f t="shared" si="557"/>
        <v>0</v>
      </c>
      <c r="N2992" s="1243">
        <v>0</v>
      </c>
      <c r="O2992" s="1243">
        <f t="shared" si="558"/>
        <v>-522.25</v>
      </c>
    </row>
    <row r="2993" spans="1:15">
      <c r="A2993" s="361">
        <f t="shared" si="554"/>
        <v>12</v>
      </c>
      <c r="B2993" s="365">
        <v>374.4</v>
      </c>
      <c r="C2993" s="358" t="s">
        <v>384</v>
      </c>
      <c r="D2993" s="1243">
        <f t="shared" si="555"/>
        <v>3140188.4900000007</v>
      </c>
      <c r="E2993" s="1243">
        <v>5030.4399999999996</v>
      </c>
      <c r="F2993" s="1243">
        <v>0</v>
      </c>
      <c r="G2993" s="1243">
        <f t="shared" si="559"/>
        <v>3145218.9300000006</v>
      </c>
      <c r="H2993" s="1243"/>
      <c r="I2993" s="1243">
        <f t="shared" si="556"/>
        <v>406793.59</v>
      </c>
      <c r="J2993" s="376">
        <f t="shared" ref="J2993:J3020" si="560">+J2879</f>
        <v>1.3299999999999999E-2</v>
      </c>
      <c r="K2993" s="1243">
        <f t="shared" ref="K2993:K2999" si="561">ROUND((G2993+D2993)/2*J2993/12,0)</f>
        <v>3483</v>
      </c>
      <c r="L2993" s="1243">
        <v>0</v>
      </c>
      <c r="M2993" s="1243">
        <f t="shared" si="557"/>
        <v>0</v>
      </c>
      <c r="N2993" s="1243">
        <v>-10403.82</v>
      </c>
      <c r="O2993" s="1243">
        <f t="shared" si="558"/>
        <v>399872.77</v>
      </c>
    </row>
    <row r="2994" spans="1:15">
      <c r="A2994" s="361">
        <f t="shared" si="554"/>
        <v>13</v>
      </c>
      <c r="B2994" s="365">
        <v>374.5</v>
      </c>
      <c r="C2994" s="358" t="s">
        <v>385</v>
      </c>
      <c r="D2994" s="1243">
        <f t="shared" si="555"/>
        <v>2666577.16</v>
      </c>
      <c r="E2994" s="1243">
        <v>0</v>
      </c>
      <c r="F2994" s="1243">
        <v>0</v>
      </c>
      <c r="G2994" s="1243">
        <f t="shared" si="559"/>
        <v>2666577.16</v>
      </c>
      <c r="H2994" s="1243"/>
      <c r="I2994" s="1243">
        <f t="shared" si="556"/>
        <v>1190516.1900000013</v>
      </c>
      <c r="J2994" s="376">
        <f t="shared" si="560"/>
        <v>1.0999999999999999E-2</v>
      </c>
      <c r="K2994" s="1243">
        <f t="shared" si="561"/>
        <v>2444</v>
      </c>
      <c r="L2994" s="1243">
        <v>0</v>
      </c>
      <c r="M2994" s="1243">
        <f t="shared" si="557"/>
        <v>0</v>
      </c>
      <c r="N2994" s="1243">
        <v>0</v>
      </c>
      <c r="O2994" s="1243">
        <f t="shared" si="558"/>
        <v>1192960.1900000013</v>
      </c>
    </row>
    <row r="2995" spans="1:15">
      <c r="A2995" s="361">
        <f t="shared" si="554"/>
        <v>14</v>
      </c>
      <c r="B2995" s="365">
        <v>375.2</v>
      </c>
      <c r="C2995" s="358" t="s">
        <v>386</v>
      </c>
      <c r="D2995" s="1243">
        <f t="shared" si="555"/>
        <v>2124.98</v>
      </c>
      <c r="E2995" s="1243">
        <v>0</v>
      </c>
      <c r="F2995" s="1243">
        <v>0</v>
      </c>
      <c r="G2995" s="1243">
        <f t="shared" si="559"/>
        <v>2124.98</v>
      </c>
      <c r="H2995" s="1243"/>
      <c r="I2995" s="1243">
        <f t="shared" si="556"/>
        <v>2111.3000000000002</v>
      </c>
      <c r="J2995" s="376">
        <f t="shared" si="560"/>
        <v>2.3900000000000001E-2</v>
      </c>
      <c r="K2995" s="1243">
        <f t="shared" si="561"/>
        <v>4</v>
      </c>
      <c r="L2995" s="1243">
        <v>0</v>
      </c>
      <c r="M2995" s="1243">
        <f t="shared" si="557"/>
        <v>0</v>
      </c>
      <c r="N2995" s="1243">
        <v>0</v>
      </c>
      <c r="O2995" s="1243">
        <f t="shared" si="558"/>
        <v>2115.3000000000002</v>
      </c>
    </row>
    <row r="2996" spans="1:15">
      <c r="A2996" s="361">
        <f t="shared" si="554"/>
        <v>15</v>
      </c>
      <c r="B2996" s="365">
        <v>375.3</v>
      </c>
      <c r="C2996" s="358" t="s">
        <v>387</v>
      </c>
      <c r="D2996" s="1243">
        <f t="shared" si="555"/>
        <v>0</v>
      </c>
      <c r="E2996" s="1243">
        <v>0</v>
      </c>
      <c r="F2996" s="1243">
        <v>0</v>
      </c>
      <c r="G2996" s="1243">
        <f t="shared" si="559"/>
        <v>0</v>
      </c>
      <c r="H2996" s="1243"/>
      <c r="I2996" s="1243">
        <f t="shared" si="556"/>
        <v>-77.66</v>
      </c>
      <c r="J2996" s="376">
        <f t="shared" si="560"/>
        <v>2.3900000000000001E-2</v>
      </c>
      <c r="K2996" s="1243">
        <f t="shared" si="561"/>
        <v>0</v>
      </c>
      <c r="L2996" s="1243">
        <v>0</v>
      </c>
      <c r="M2996" s="1243">
        <f t="shared" si="557"/>
        <v>0</v>
      </c>
      <c r="N2996" s="1243">
        <v>0</v>
      </c>
      <c r="O2996" s="1243">
        <f t="shared" si="558"/>
        <v>-77.66</v>
      </c>
    </row>
    <row r="2997" spans="1:15">
      <c r="A2997" s="361">
        <f t="shared" si="554"/>
        <v>16</v>
      </c>
      <c r="B2997" s="365">
        <v>375.4</v>
      </c>
      <c r="C2997" s="358" t="s">
        <v>388</v>
      </c>
      <c r="D2997" s="1243">
        <f t="shared" si="555"/>
        <v>3401588.2999999984</v>
      </c>
      <c r="E2997" s="1243">
        <v>44540.32</v>
      </c>
      <c r="F2997" s="1243">
        <v>-922.5</v>
      </c>
      <c r="G2997" s="1243">
        <f t="shared" si="559"/>
        <v>3445206.1199999982</v>
      </c>
      <c r="H2997" s="1243"/>
      <c r="I2997" s="1243">
        <f t="shared" si="556"/>
        <v>393671.50000000017</v>
      </c>
      <c r="J2997" s="376">
        <f t="shared" si="560"/>
        <v>2.3900000000000001E-2</v>
      </c>
      <c r="K2997" s="1243">
        <f t="shared" si="561"/>
        <v>6818</v>
      </c>
      <c r="L2997" s="1243">
        <v>0</v>
      </c>
      <c r="M2997" s="1243">
        <f t="shared" si="557"/>
        <v>-922.5</v>
      </c>
      <c r="N2997" s="1243">
        <v>-124211.25</v>
      </c>
      <c r="O2997" s="1243">
        <f t="shared" si="558"/>
        <v>275355.75000000017</v>
      </c>
    </row>
    <row r="2998" spans="1:15">
      <c r="A2998" s="361">
        <f t="shared" si="554"/>
        <v>17</v>
      </c>
      <c r="B2998" s="365">
        <v>375.6</v>
      </c>
      <c r="C2998" s="358" t="s">
        <v>389</v>
      </c>
      <c r="D2998" s="1243">
        <f t="shared" si="555"/>
        <v>0</v>
      </c>
      <c r="E2998" s="1243">
        <v>0</v>
      </c>
      <c r="F2998" s="1243">
        <v>0</v>
      </c>
      <c r="G2998" s="1243">
        <f t="shared" si="559"/>
        <v>0</v>
      </c>
      <c r="H2998" s="1243"/>
      <c r="I2998" s="1243">
        <f t="shared" si="556"/>
        <v>0.02</v>
      </c>
      <c r="J2998" s="376">
        <f t="shared" si="560"/>
        <v>2.3900000000000001E-2</v>
      </c>
      <c r="K2998" s="1243">
        <f t="shared" si="561"/>
        <v>0</v>
      </c>
      <c r="L2998" s="1243">
        <v>0</v>
      </c>
      <c r="M2998" s="1243">
        <f t="shared" si="557"/>
        <v>0</v>
      </c>
      <c r="N2998" s="1243">
        <v>0</v>
      </c>
      <c r="O2998" s="1243">
        <f t="shared" si="558"/>
        <v>0.02</v>
      </c>
    </row>
    <row r="2999" spans="1:15">
      <c r="A2999" s="361">
        <f t="shared" si="554"/>
        <v>18</v>
      </c>
      <c r="B2999" s="365">
        <v>375.7</v>
      </c>
      <c r="C2999" s="358" t="s">
        <v>390</v>
      </c>
      <c r="D2999" s="1243">
        <f t="shared" si="555"/>
        <v>9703434.2799999993</v>
      </c>
      <c r="E2999" s="1243">
        <v>4.67</v>
      </c>
      <c r="F2999" s="1243">
        <v>0</v>
      </c>
      <c r="G2999" s="1243">
        <f t="shared" si="559"/>
        <v>9703438.9499999993</v>
      </c>
      <c r="H2999" s="1243"/>
      <c r="I2999" s="1243">
        <f t="shared" si="556"/>
        <v>4951812.3899999987</v>
      </c>
      <c r="J2999" s="376">
        <f t="shared" si="560"/>
        <v>2.5100000000000001E-2</v>
      </c>
      <c r="K2999" s="1243">
        <f t="shared" si="561"/>
        <v>20296</v>
      </c>
      <c r="L2999" s="1243">
        <v>0</v>
      </c>
      <c r="M2999" s="1243">
        <f t="shared" si="557"/>
        <v>0</v>
      </c>
      <c r="N2999" s="1243">
        <v>-1.94</v>
      </c>
      <c r="O2999" s="1243">
        <f t="shared" si="558"/>
        <v>4972106.4499999983</v>
      </c>
    </row>
    <row r="3000" spans="1:15">
      <c r="A3000" s="361">
        <f t="shared" si="554"/>
        <v>19</v>
      </c>
      <c r="B3000" s="365">
        <v>375.71</v>
      </c>
      <c r="C3000" s="358" t="s">
        <v>391</v>
      </c>
      <c r="D3000" s="1243">
        <f t="shared" si="555"/>
        <v>880994.59</v>
      </c>
      <c r="E3000" s="1243">
        <v>0</v>
      </c>
      <c r="F3000" s="1243">
        <v>0</v>
      </c>
      <c r="G3000" s="1243">
        <f t="shared" si="559"/>
        <v>880994.59</v>
      </c>
      <c r="H3000" s="1243"/>
      <c r="I3000" s="1243">
        <f t="shared" si="556"/>
        <v>825372.68000000087</v>
      </c>
      <c r="J3000" s="376" t="str">
        <f t="shared" si="560"/>
        <v>Amort.</v>
      </c>
      <c r="K3000" s="1243">
        <f>$K$1290</f>
        <v>4743.54</v>
      </c>
      <c r="L3000" s="1243">
        <v>0</v>
      </c>
      <c r="M3000" s="1243">
        <f t="shared" si="557"/>
        <v>0</v>
      </c>
      <c r="N3000" s="1243">
        <v>0</v>
      </c>
      <c r="O3000" s="1243">
        <f t="shared" si="558"/>
        <v>830116.2200000009</v>
      </c>
    </row>
    <row r="3001" spans="1:15">
      <c r="A3001" s="361">
        <f t="shared" si="554"/>
        <v>20</v>
      </c>
      <c r="B3001" s="365">
        <v>375.8</v>
      </c>
      <c r="C3001" s="358" t="s">
        <v>392</v>
      </c>
      <c r="D3001" s="1243">
        <f t="shared" si="555"/>
        <v>132125.04</v>
      </c>
      <c r="E3001" s="1243">
        <v>0</v>
      </c>
      <c r="F3001" s="1243">
        <v>0</v>
      </c>
      <c r="G3001" s="1243">
        <f t="shared" si="559"/>
        <v>132125.04</v>
      </c>
      <c r="H3001" s="1243"/>
      <c r="I3001" s="1243">
        <f t="shared" si="556"/>
        <v>15012.43</v>
      </c>
      <c r="J3001" s="376">
        <f t="shared" si="560"/>
        <v>2.1100000000000001E-2</v>
      </c>
      <c r="K3001" s="1243">
        <f t="shared" ref="K3001:K3020" si="562">ROUND((G3001+D3001)/2*J3001/12,0)</f>
        <v>232</v>
      </c>
      <c r="L3001" s="1243">
        <v>0</v>
      </c>
      <c r="M3001" s="1243">
        <f t="shared" si="557"/>
        <v>0</v>
      </c>
      <c r="N3001" s="1243">
        <v>0</v>
      </c>
      <c r="O3001" s="1243">
        <f t="shared" si="558"/>
        <v>15244.43</v>
      </c>
    </row>
    <row r="3002" spans="1:15">
      <c r="A3002" s="361">
        <f t="shared" si="554"/>
        <v>21</v>
      </c>
      <c r="B3002" s="365">
        <v>376</v>
      </c>
      <c r="C3002" s="358" t="s">
        <v>1621</v>
      </c>
      <c r="D3002" s="1243">
        <f t="shared" si="555"/>
        <v>422206236.10099298</v>
      </c>
      <c r="E3002" s="1243">
        <f>'WPB-2.1.D SMRP'!E1223</f>
        <v>178754.6528524633</v>
      </c>
      <c r="F3002" s="1243">
        <f>'WPB-2.1.D SMRP'!F1223</f>
        <v>-25347.21</v>
      </c>
      <c r="G3002" s="1243">
        <f t="shared" si="559"/>
        <v>422359643.54384547</v>
      </c>
      <c r="H3002" s="1243"/>
      <c r="I3002" s="1243">
        <f t="shared" si="556"/>
        <v>87370186.143293232</v>
      </c>
      <c r="J3002" s="376">
        <f t="shared" si="560"/>
        <v>1.7999999999999999E-2</v>
      </c>
      <c r="K3002" s="1243">
        <f>'WPB-2.1.D SMRP'!K1223</f>
        <v>633424.42999999993</v>
      </c>
      <c r="L3002" s="1243">
        <v>0</v>
      </c>
      <c r="M3002" s="1243">
        <f>F3002</f>
        <v>-25347.21</v>
      </c>
      <c r="N3002" s="1243">
        <f>'WPB-2.1.D SMRP'!N1223</f>
        <v>-7125.8380172845009</v>
      </c>
      <c r="O3002" s="1243">
        <f t="shared" si="558"/>
        <v>87971137.525275961</v>
      </c>
    </row>
    <row r="3003" spans="1:15">
      <c r="A3003" s="361">
        <f t="shared" si="554"/>
        <v>22</v>
      </c>
      <c r="B3003" s="365">
        <v>378.1</v>
      </c>
      <c r="C3003" s="358" t="s">
        <v>394</v>
      </c>
      <c r="D3003" s="1243">
        <f t="shared" si="555"/>
        <v>-172291.25</v>
      </c>
      <c r="E3003" s="1243">
        <v>0</v>
      </c>
      <c r="F3003" s="1243">
        <v>0</v>
      </c>
      <c r="G3003" s="1243">
        <f t="shared" si="559"/>
        <v>-172291.25</v>
      </c>
      <c r="H3003" s="1243"/>
      <c r="I3003" s="1243">
        <f t="shared" si="556"/>
        <v>-328569.52000000008</v>
      </c>
      <c r="J3003" s="376">
        <f t="shared" si="560"/>
        <v>3.3099999999999997E-2</v>
      </c>
      <c r="K3003" s="1243">
        <f t="shared" si="562"/>
        <v>-475</v>
      </c>
      <c r="L3003" s="1243">
        <v>0</v>
      </c>
      <c r="M3003" s="1243">
        <f t="shared" si="557"/>
        <v>0</v>
      </c>
      <c r="N3003" s="1243">
        <v>0</v>
      </c>
      <c r="O3003" s="1243">
        <f t="shared" si="558"/>
        <v>-329044.52000000008</v>
      </c>
    </row>
    <row r="3004" spans="1:15">
      <c r="A3004" s="361">
        <f t="shared" si="554"/>
        <v>23</v>
      </c>
      <c r="B3004" s="365">
        <v>378.2</v>
      </c>
      <c r="C3004" s="358" t="s">
        <v>1622</v>
      </c>
      <c r="D3004" s="1243">
        <f t="shared" si="555"/>
        <v>27702089.071654879</v>
      </c>
      <c r="E3004" s="1243">
        <f>'WPB-2.1.D SMRP'!E1227</f>
        <v>521365.33</v>
      </c>
      <c r="F3004" s="1243">
        <f>'WPB-2.1.D SMRP'!F1227</f>
        <v>-229463.45207523758</v>
      </c>
      <c r="G3004" s="1243">
        <f t="shared" si="559"/>
        <v>27993990.949579637</v>
      </c>
      <c r="H3004" s="1243"/>
      <c r="I3004" s="1243">
        <f t="shared" si="556"/>
        <v>3451260.0796478791</v>
      </c>
      <c r="J3004" s="376">
        <f t="shared" si="560"/>
        <v>3.3099999999999997E-2</v>
      </c>
      <c r="K3004" s="1243">
        <f>'WPB-2.1.D SMRP'!K1227</f>
        <v>76814.61</v>
      </c>
      <c r="L3004" s="1243">
        <v>0</v>
      </c>
      <c r="M3004" s="1243">
        <f>F3004</f>
        <v>-229463.45207523758</v>
      </c>
      <c r="N3004" s="1243">
        <f>'WPB-2.1.D SMRP'!N1227</f>
        <v>0</v>
      </c>
      <c r="O3004" s="1243">
        <f t="shared" si="558"/>
        <v>3298611.2375726416</v>
      </c>
    </row>
    <row r="3005" spans="1:15">
      <c r="A3005" s="361">
        <f t="shared" si="554"/>
        <v>24</v>
      </c>
      <c r="B3005" s="365">
        <v>378.3</v>
      </c>
      <c r="C3005" s="358" t="s">
        <v>396</v>
      </c>
      <c r="D3005" s="1243">
        <f t="shared" si="555"/>
        <v>45443.08</v>
      </c>
      <c r="E3005" s="1243">
        <v>0</v>
      </c>
      <c r="F3005" s="1243">
        <v>0</v>
      </c>
      <c r="G3005" s="1243">
        <f t="shared" si="559"/>
        <v>45443.08</v>
      </c>
      <c r="H3005" s="1243"/>
      <c r="I3005" s="1243">
        <f t="shared" si="556"/>
        <v>44558.320000000007</v>
      </c>
      <c r="J3005" s="376">
        <f t="shared" si="560"/>
        <v>3.3099999999999997E-2</v>
      </c>
      <c r="K3005" s="1243">
        <f t="shared" si="562"/>
        <v>125</v>
      </c>
      <c r="L3005" s="1243">
        <v>0</v>
      </c>
      <c r="M3005" s="1243">
        <f t="shared" si="557"/>
        <v>0</v>
      </c>
      <c r="N3005" s="1243">
        <v>0</v>
      </c>
      <c r="O3005" s="1243">
        <f t="shared" si="558"/>
        <v>44683.320000000007</v>
      </c>
    </row>
    <row r="3006" spans="1:15">
      <c r="A3006" s="361">
        <f t="shared" si="554"/>
        <v>25</v>
      </c>
      <c r="B3006" s="365">
        <v>379.1</v>
      </c>
      <c r="C3006" s="358" t="s">
        <v>397</v>
      </c>
      <c r="D3006" s="1243">
        <f t="shared" si="555"/>
        <v>1554144.06</v>
      </c>
      <c r="E3006" s="1243">
        <v>0</v>
      </c>
      <c r="F3006" s="1243">
        <v>0</v>
      </c>
      <c r="G3006" s="1243">
        <f t="shared" si="559"/>
        <v>1554144.06</v>
      </c>
      <c r="H3006" s="1243"/>
      <c r="I3006" s="1243">
        <f t="shared" si="556"/>
        <v>395573.19000000006</v>
      </c>
      <c r="J3006" s="376">
        <f t="shared" si="560"/>
        <v>2.5399999999999999E-2</v>
      </c>
      <c r="K3006" s="1243">
        <f t="shared" si="562"/>
        <v>3290</v>
      </c>
      <c r="L3006" s="1243">
        <v>0</v>
      </c>
      <c r="M3006" s="1243">
        <f t="shared" si="557"/>
        <v>0</v>
      </c>
      <c r="N3006" s="1243">
        <v>0</v>
      </c>
      <c r="O3006" s="1243">
        <f t="shared" si="558"/>
        <v>398863.19000000006</v>
      </c>
    </row>
    <row r="3007" spans="1:15">
      <c r="A3007" s="361">
        <f t="shared" si="554"/>
        <v>26</v>
      </c>
      <c r="B3007" s="365">
        <v>380</v>
      </c>
      <c r="C3007" s="358" t="s">
        <v>1623</v>
      </c>
      <c r="D3007" s="1243">
        <f t="shared" si="555"/>
        <v>205095887.18297565</v>
      </c>
      <c r="E3007" s="1243">
        <f>'WPB-2.1.D SMRP'!E1231</f>
        <v>460646.1006822061</v>
      </c>
      <c r="F3007" s="1243">
        <f>'WPB-2.1.D SMRP'!F1231</f>
        <v>-31466.997315090004</v>
      </c>
      <c r="G3007" s="1243">
        <f t="shared" si="559"/>
        <v>205525066.28634277</v>
      </c>
      <c r="H3007" s="1243"/>
      <c r="I3007" s="1243">
        <f t="shared" si="556"/>
        <v>68079810.770304605</v>
      </c>
      <c r="J3007" s="376">
        <f t="shared" si="560"/>
        <v>5.1799999999999999E-2</v>
      </c>
      <c r="K3007" s="1243">
        <f>'WPB-2.1.D SMRP'!K1231</f>
        <v>886256.89</v>
      </c>
      <c r="L3007" s="1243">
        <v>0</v>
      </c>
      <c r="M3007" s="1243">
        <f>F3007</f>
        <v>-31466.997315090004</v>
      </c>
      <c r="N3007" s="1243">
        <f>'WPB-2.1.D SMRP'!N1231</f>
        <v>-42222.941316329991</v>
      </c>
      <c r="O3007" s="1243">
        <f t="shared" si="558"/>
        <v>68892377.721673176</v>
      </c>
    </row>
    <row r="3008" spans="1:15">
      <c r="A3008" s="361">
        <f t="shared" si="554"/>
        <v>27</v>
      </c>
      <c r="B3008" s="365">
        <v>381</v>
      </c>
      <c r="C3008" s="358" t="s">
        <v>399</v>
      </c>
      <c r="D3008" s="1243">
        <f t="shared" si="555"/>
        <v>20852420.690000005</v>
      </c>
      <c r="E3008" s="1243">
        <v>26041.48</v>
      </c>
      <c r="F3008" s="1243">
        <v>-34518.769999999997</v>
      </c>
      <c r="G3008" s="1243">
        <f t="shared" si="559"/>
        <v>20843943.400000006</v>
      </c>
      <c r="H3008" s="1243"/>
      <c r="I3008" s="1243">
        <f t="shared" si="556"/>
        <v>1965558.5799999996</v>
      </c>
      <c r="J3008" s="376">
        <f t="shared" si="560"/>
        <v>3.5799999999999998E-2</v>
      </c>
      <c r="K3008" s="1243">
        <f t="shared" si="562"/>
        <v>62197</v>
      </c>
      <c r="L3008" s="1243">
        <v>0</v>
      </c>
      <c r="M3008" s="1243">
        <f t="shared" si="557"/>
        <v>-34518.769999999997</v>
      </c>
      <c r="N3008" s="1243">
        <v>0</v>
      </c>
      <c r="O3008" s="1243">
        <f t="shared" si="558"/>
        <v>1993236.8099999996</v>
      </c>
    </row>
    <row r="3009" spans="1:15">
      <c r="A3009" s="361">
        <f t="shared" si="554"/>
        <v>28</v>
      </c>
      <c r="B3009" s="365">
        <v>381.1</v>
      </c>
      <c r="C3009" s="358" t="s">
        <v>2366</v>
      </c>
      <c r="D3009" s="1243">
        <f t="shared" si="555"/>
        <v>9980854.4800000004</v>
      </c>
      <c r="E3009" s="1243">
        <v>0</v>
      </c>
      <c r="F3009" s="1243">
        <v>0</v>
      </c>
      <c r="G3009" s="1243">
        <f t="shared" si="559"/>
        <v>9980854.4800000004</v>
      </c>
      <c r="H3009" s="1243"/>
      <c r="I3009" s="1243">
        <f t="shared" si="556"/>
        <v>6220617.0300000031</v>
      </c>
      <c r="J3009" s="376">
        <f t="shared" si="560"/>
        <v>6.7900000000000002E-2</v>
      </c>
      <c r="K3009" s="1243">
        <f t="shared" si="562"/>
        <v>56475</v>
      </c>
      <c r="L3009" s="1243">
        <v>0</v>
      </c>
      <c r="M3009" s="1243">
        <f t="shared" si="557"/>
        <v>0</v>
      </c>
      <c r="N3009" s="1243">
        <v>0</v>
      </c>
      <c r="O3009" s="1243">
        <f t="shared" si="558"/>
        <v>6277092.0300000031</v>
      </c>
    </row>
    <row r="3010" spans="1:15">
      <c r="A3010" s="361">
        <f t="shared" si="554"/>
        <v>29</v>
      </c>
      <c r="B3010" s="365">
        <v>382</v>
      </c>
      <c r="C3010" s="358" t="s">
        <v>1624</v>
      </c>
      <c r="D3010" s="1243">
        <f t="shared" si="555"/>
        <v>10701416.16449563</v>
      </c>
      <c r="E3010" s="1243">
        <f>'WPB-2.1.D SMRP'!E1235</f>
        <v>6626.6373114531289</v>
      </c>
      <c r="F3010" s="1243">
        <f>'WPB-2.1.D SMRP'!F1235</f>
        <v>-1080.3542551250002</v>
      </c>
      <c r="G3010" s="1243">
        <f t="shared" si="559"/>
        <v>10706962.447551958</v>
      </c>
      <c r="H3010" s="1243"/>
      <c r="I3010" s="1243">
        <f t="shared" si="556"/>
        <v>6054957.4692783253</v>
      </c>
      <c r="J3010" s="376">
        <f t="shared" si="560"/>
        <v>2.2800000000000001E-2</v>
      </c>
      <c r="K3010" s="1243">
        <f>'WPB-2.1.D SMRP'!K1235</f>
        <v>20337.669999999998</v>
      </c>
      <c r="L3010" s="1243">
        <v>0</v>
      </c>
      <c r="M3010" s="1243">
        <f t="shared" si="557"/>
        <v>-1080.3542551250002</v>
      </c>
      <c r="N3010" s="1243">
        <f>'WPB-2.1.D SMRP'!N1235</f>
        <v>0</v>
      </c>
      <c r="O3010" s="1243">
        <f t="shared" si="558"/>
        <v>6074214.7850232003</v>
      </c>
    </row>
    <row r="3011" spans="1:15">
      <c r="A3011" s="361">
        <f t="shared" si="554"/>
        <v>30</v>
      </c>
      <c r="B3011" s="365">
        <v>383</v>
      </c>
      <c r="C3011" s="358" t="s">
        <v>1625</v>
      </c>
      <c r="D3011" s="1243">
        <f t="shared" si="555"/>
        <v>7656195.7522330815</v>
      </c>
      <c r="E3011" s="1243">
        <f>'WPB-2.1.D SMRP'!E1239</f>
        <v>26581.752712033289</v>
      </c>
      <c r="F3011" s="1243">
        <f>'WPB-2.1.D SMRP'!F1239</f>
        <v>-279.39226044790013</v>
      </c>
      <c r="G3011" s="1243">
        <f t="shared" si="559"/>
        <v>7682498.1126846671</v>
      </c>
      <c r="H3011" s="1243"/>
      <c r="I3011" s="1243">
        <f t="shared" si="556"/>
        <v>2653384.0677891672</v>
      </c>
      <c r="J3011" s="376">
        <f t="shared" si="560"/>
        <v>2.2200000000000001E-2</v>
      </c>
      <c r="K3011" s="1243">
        <f>'WPB-2.1.D SMRP'!K1239</f>
        <v>14188.46</v>
      </c>
      <c r="L3011" s="1243">
        <v>0</v>
      </c>
      <c r="M3011" s="1243">
        <f t="shared" si="557"/>
        <v>-279.39226044790013</v>
      </c>
      <c r="N3011" s="1243">
        <f>'WPB-2.1.D SMRP'!N1239</f>
        <v>0</v>
      </c>
      <c r="O3011" s="1243">
        <f t="shared" si="558"/>
        <v>2667293.1355287191</v>
      </c>
    </row>
    <row r="3012" spans="1:15">
      <c r="A3012" s="361">
        <f t="shared" si="554"/>
        <v>31</v>
      </c>
      <c r="B3012" s="365">
        <v>384</v>
      </c>
      <c r="C3012" s="358" t="s">
        <v>402</v>
      </c>
      <c r="D3012" s="1243">
        <f t="shared" si="555"/>
        <v>2085245.5999999999</v>
      </c>
      <c r="E3012" s="1243">
        <v>13.99</v>
      </c>
      <c r="F3012" s="1243">
        <v>0</v>
      </c>
      <c r="G3012" s="1243">
        <f t="shared" si="559"/>
        <v>2085259.5899999999</v>
      </c>
      <c r="H3012" s="1243"/>
      <c r="I3012" s="1243">
        <f t="shared" si="556"/>
        <v>1755536.1399999992</v>
      </c>
      <c r="J3012" s="376">
        <f t="shared" si="560"/>
        <v>1.9900000000000001E-2</v>
      </c>
      <c r="K3012" s="1243">
        <f t="shared" si="562"/>
        <v>3458</v>
      </c>
      <c r="L3012" s="1243">
        <v>0</v>
      </c>
      <c r="M3012" s="1243">
        <f t="shared" si="557"/>
        <v>0</v>
      </c>
      <c r="N3012" s="1243">
        <v>0</v>
      </c>
      <c r="O3012" s="1243">
        <f t="shared" si="558"/>
        <v>1758994.1399999992</v>
      </c>
    </row>
    <row r="3013" spans="1:15">
      <c r="A3013" s="361">
        <f t="shared" si="554"/>
        <v>32</v>
      </c>
      <c r="B3013" s="365">
        <v>385</v>
      </c>
      <c r="C3013" s="358" t="s">
        <v>403</v>
      </c>
      <c r="D3013" s="1243">
        <f t="shared" si="555"/>
        <v>6248140.9499999993</v>
      </c>
      <c r="E3013" s="1243">
        <v>35690.61</v>
      </c>
      <c r="F3013" s="1243">
        <v>-2601.8000000000002</v>
      </c>
      <c r="G3013" s="1243">
        <f t="shared" si="559"/>
        <v>6281229.7599999998</v>
      </c>
      <c r="H3013" s="1243"/>
      <c r="I3013" s="1243">
        <f t="shared" si="556"/>
        <v>908229.40999999968</v>
      </c>
      <c r="J3013" s="376">
        <f t="shared" si="560"/>
        <v>5.4699999999999999E-2</v>
      </c>
      <c r="K3013" s="1243">
        <f t="shared" si="562"/>
        <v>28557</v>
      </c>
      <c r="L3013" s="1243">
        <v>0</v>
      </c>
      <c r="M3013" s="1243">
        <f t="shared" si="557"/>
        <v>-2601.8000000000002</v>
      </c>
      <c r="N3013" s="1243">
        <v>-5312.04</v>
      </c>
      <c r="O3013" s="1243">
        <f t="shared" si="558"/>
        <v>928872.5699999996</v>
      </c>
    </row>
    <row r="3014" spans="1:15">
      <c r="A3014" s="361">
        <f t="shared" si="554"/>
        <v>33</v>
      </c>
      <c r="B3014" s="365">
        <v>387.2</v>
      </c>
      <c r="C3014" s="358" t="s">
        <v>404</v>
      </c>
      <c r="D3014" s="1243">
        <f t="shared" si="555"/>
        <v>0</v>
      </c>
      <c r="E3014" s="1243">
        <v>0</v>
      </c>
      <c r="F3014" s="1243">
        <v>0</v>
      </c>
      <c r="G3014" s="1243">
        <f t="shared" si="559"/>
        <v>0</v>
      </c>
      <c r="H3014" s="1243"/>
      <c r="I3014" s="1243">
        <f t="shared" si="556"/>
        <v>-59912.03</v>
      </c>
      <c r="J3014" s="376">
        <f t="shared" si="560"/>
        <v>0</v>
      </c>
      <c r="K3014" s="1243">
        <f t="shared" si="562"/>
        <v>0</v>
      </c>
      <c r="L3014" s="1243">
        <v>0</v>
      </c>
      <c r="M3014" s="1243">
        <f t="shared" si="557"/>
        <v>0</v>
      </c>
      <c r="N3014" s="1243">
        <v>0</v>
      </c>
      <c r="O3014" s="1243">
        <f t="shared" si="558"/>
        <v>-59912.03</v>
      </c>
    </row>
    <row r="3015" spans="1:15">
      <c r="A3015" s="361">
        <f t="shared" si="554"/>
        <v>34</v>
      </c>
      <c r="B3015" s="365">
        <v>387.41</v>
      </c>
      <c r="C3015" s="358" t="s">
        <v>405</v>
      </c>
      <c r="D3015" s="1243">
        <f t="shared" si="555"/>
        <v>260538.46000000008</v>
      </c>
      <c r="E3015" s="1243">
        <v>0</v>
      </c>
      <c r="F3015" s="1243">
        <v>0</v>
      </c>
      <c r="G3015" s="1243">
        <f t="shared" si="559"/>
        <v>260538.46000000008</v>
      </c>
      <c r="H3015" s="1243"/>
      <c r="I3015" s="1243">
        <f t="shared" si="556"/>
        <v>70986.970000000059</v>
      </c>
      <c r="J3015" s="376">
        <f t="shared" si="560"/>
        <v>4.9599999999999998E-2</v>
      </c>
      <c r="K3015" s="1243">
        <f t="shared" si="562"/>
        <v>1077</v>
      </c>
      <c r="L3015" s="1243">
        <v>0</v>
      </c>
      <c r="M3015" s="1243">
        <f t="shared" si="557"/>
        <v>0</v>
      </c>
      <c r="N3015" s="1243">
        <v>0</v>
      </c>
      <c r="O3015" s="1243">
        <f t="shared" si="558"/>
        <v>72063.970000000059</v>
      </c>
    </row>
    <row r="3016" spans="1:15">
      <c r="A3016" s="361">
        <f t="shared" si="554"/>
        <v>35</v>
      </c>
      <c r="B3016" s="365">
        <v>387.42</v>
      </c>
      <c r="C3016" s="358" t="s">
        <v>406</v>
      </c>
      <c r="D3016" s="1243">
        <f t="shared" si="555"/>
        <v>419367.40000000008</v>
      </c>
      <c r="E3016" s="1243">
        <v>0</v>
      </c>
      <c r="F3016" s="1243">
        <v>0</v>
      </c>
      <c r="G3016" s="1243">
        <f t="shared" si="559"/>
        <v>419367.40000000008</v>
      </c>
      <c r="H3016" s="1243"/>
      <c r="I3016" s="1243">
        <f t="shared" si="556"/>
        <v>360449.80999999976</v>
      </c>
      <c r="J3016" s="376">
        <f t="shared" si="560"/>
        <v>4.9599999999999998E-2</v>
      </c>
      <c r="K3016" s="1243">
        <f t="shared" si="562"/>
        <v>1733</v>
      </c>
      <c r="L3016" s="1243">
        <v>0</v>
      </c>
      <c r="M3016" s="1243">
        <f t="shared" si="557"/>
        <v>0</v>
      </c>
      <c r="N3016" s="1243">
        <v>0</v>
      </c>
      <c r="O3016" s="1243">
        <f t="shared" si="558"/>
        <v>362182.80999999976</v>
      </c>
    </row>
    <row r="3017" spans="1:15">
      <c r="A3017" s="361">
        <f t="shared" si="554"/>
        <v>36</v>
      </c>
      <c r="B3017" s="365">
        <v>387.44</v>
      </c>
      <c r="C3017" s="358" t="s">
        <v>407</v>
      </c>
      <c r="D3017" s="1243">
        <f t="shared" si="555"/>
        <v>124678.76000000001</v>
      </c>
      <c r="E3017" s="1243">
        <v>0</v>
      </c>
      <c r="F3017" s="1243">
        <v>0</v>
      </c>
      <c r="G3017" s="1243">
        <f t="shared" si="559"/>
        <v>124678.76000000001</v>
      </c>
      <c r="H3017" s="1243"/>
      <c r="I3017" s="1243">
        <f t="shared" si="556"/>
        <v>72479.390000000014</v>
      </c>
      <c r="J3017" s="376">
        <f t="shared" si="560"/>
        <v>4.9599999999999998E-2</v>
      </c>
      <c r="K3017" s="1243">
        <f t="shared" si="562"/>
        <v>515</v>
      </c>
      <c r="L3017" s="1243">
        <v>0</v>
      </c>
      <c r="M3017" s="1243">
        <f t="shared" si="557"/>
        <v>0</v>
      </c>
      <c r="N3017" s="1243">
        <v>0</v>
      </c>
      <c r="O3017" s="1243">
        <f t="shared" si="558"/>
        <v>72994.390000000014</v>
      </c>
    </row>
    <row r="3018" spans="1:15">
      <c r="A3018" s="361">
        <f t="shared" si="554"/>
        <v>37</v>
      </c>
      <c r="B3018" s="365">
        <v>387.45</v>
      </c>
      <c r="C3018" s="358" t="s">
        <v>408</v>
      </c>
      <c r="D3018" s="1243">
        <f t="shared" si="555"/>
        <v>6404056.6700000027</v>
      </c>
      <c r="E3018" s="1243">
        <v>10881.15</v>
      </c>
      <c r="F3018" s="1243">
        <v>-1512.12</v>
      </c>
      <c r="G3018" s="1243">
        <f t="shared" si="559"/>
        <v>6413425.700000003</v>
      </c>
      <c r="H3018" s="1243"/>
      <c r="I3018" s="1243">
        <f t="shared" si="556"/>
        <v>-727429.44</v>
      </c>
      <c r="J3018" s="376">
        <f t="shared" si="560"/>
        <v>4.9599999999999998E-2</v>
      </c>
      <c r="K3018" s="1243">
        <f t="shared" si="562"/>
        <v>26489</v>
      </c>
      <c r="L3018" s="1243">
        <v>0</v>
      </c>
      <c r="M3018" s="1243">
        <f t="shared" si="557"/>
        <v>-1512.12</v>
      </c>
      <c r="N3018" s="1243">
        <v>-965.73</v>
      </c>
      <c r="O3018" s="1243">
        <f t="shared" si="558"/>
        <v>-703418.28999999992</v>
      </c>
    </row>
    <row r="3019" spans="1:15">
      <c r="A3019" s="361">
        <f t="shared" si="554"/>
        <v>38</v>
      </c>
      <c r="B3019" s="365">
        <v>387.46</v>
      </c>
      <c r="C3019" s="358" t="s">
        <v>409</v>
      </c>
      <c r="D3019" s="1243">
        <f t="shared" si="555"/>
        <v>113644.47</v>
      </c>
      <c r="E3019" s="1243">
        <v>0</v>
      </c>
      <c r="F3019" s="1243">
        <v>0</v>
      </c>
      <c r="G3019" s="1243">
        <f t="shared" si="559"/>
        <v>113644.47</v>
      </c>
      <c r="H3019" s="1243"/>
      <c r="I3019" s="1243">
        <f t="shared" si="556"/>
        <v>118507.07</v>
      </c>
      <c r="J3019" s="376">
        <f t="shared" si="560"/>
        <v>4.9599999999999998E-2</v>
      </c>
      <c r="K3019" s="1243">
        <f t="shared" si="562"/>
        <v>470</v>
      </c>
      <c r="L3019" s="1243">
        <v>0</v>
      </c>
      <c r="M3019" s="1243">
        <f t="shared" si="557"/>
        <v>0</v>
      </c>
      <c r="N3019" s="1243">
        <v>0</v>
      </c>
      <c r="O3019" s="1243">
        <f t="shared" si="558"/>
        <v>118977.07</v>
      </c>
    </row>
    <row r="3020" spans="1:15">
      <c r="A3020" s="361">
        <f t="shared" si="554"/>
        <v>39</v>
      </c>
      <c r="B3020" s="365">
        <v>387.5</v>
      </c>
      <c r="C3020" s="358" t="s">
        <v>1075</v>
      </c>
      <c r="D3020" s="1244">
        <f t="shared" si="555"/>
        <v>238072.69</v>
      </c>
      <c r="E3020" s="1244">
        <v>0</v>
      </c>
      <c r="F3020" s="1244">
        <v>0</v>
      </c>
      <c r="G3020" s="1244">
        <f t="shared" si="559"/>
        <v>238072.69</v>
      </c>
      <c r="H3020" s="1243"/>
      <c r="I3020" s="1244">
        <f t="shared" si="556"/>
        <v>76384.47000000003</v>
      </c>
      <c r="J3020" s="376">
        <f t="shared" si="560"/>
        <v>0.13500000000000001</v>
      </c>
      <c r="K3020" s="1244">
        <f t="shared" si="562"/>
        <v>2678</v>
      </c>
      <c r="L3020" s="1244">
        <v>0</v>
      </c>
      <c r="M3020" s="1244">
        <f t="shared" si="557"/>
        <v>0</v>
      </c>
      <c r="N3020" s="1244">
        <v>0</v>
      </c>
      <c r="O3020" s="1244">
        <f t="shared" si="558"/>
        <v>79062.47000000003</v>
      </c>
    </row>
    <row r="3021" spans="1:15">
      <c r="A3021" s="361">
        <f t="shared" si="554"/>
        <v>40</v>
      </c>
      <c r="C3021" s="365" t="s">
        <v>1601</v>
      </c>
      <c r="D3021" s="1243">
        <f>SUM(D2991:D3020)</f>
        <v>742320365.23235226</v>
      </c>
      <c r="E3021" s="1243">
        <f>SUM(E2991:E3020)</f>
        <v>1316177.1335581557</v>
      </c>
      <c r="F3021" s="1243">
        <f>SUM(F2991:F3020)</f>
        <v>-327192.59590590047</v>
      </c>
      <c r="G3021" s="1243">
        <f>SUM(G2991:G3020)</f>
        <v>743309349.77000475</v>
      </c>
      <c r="H3021" s="1243"/>
      <c r="I3021" s="1243">
        <f>SUM(I2991:I3020)</f>
        <v>186267258.11031321</v>
      </c>
      <c r="J3021" s="369"/>
      <c r="K3021" s="1243">
        <f>SUM(K2991:K3020)</f>
        <v>1855631.5999999999</v>
      </c>
      <c r="L3021" s="1243">
        <f>SUM(L2991:L3020)</f>
        <v>0</v>
      </c>
      <c r="M3021" s="1243">
        <f>SUM(M2991:M3020)</f>
        <v>-327192.59590590047</v>
      </c>
      <c r="N3021" s="1243">
        <f>SUM(N2991:N3020)</f>
        <v>-190243.55933361451</v>
      </c>
      <c r="O3021" s="1243">
        <f>SUM(O2991:O3020)</f>
        <v>187605453.55507368</v>
      </c>
    </row>
    <row r="3022" spans="1:15">
      <c r="B3022" s="367"/>
      <c r="C3022" s="368"/>
      <c r="D3022" s="369"/>
      <c r="E3022" s="369"/>
      <c r="F3022" s="369"/>
      <c r="G3022" s="369"/>
      <c r="I3022" s="369"/>
      <c r="J3022" s="369"/>
      <c r="K3022" s="369"/>
      <c r="L3022" s="369"/>
      <c r="M3022" s="369"/>
      <c r="N3022" s="369"/>
      <c r="O3022" s="369"/>
    </row>
    <row r="3023" spans="1:15">
      <c r="I3023" s="369"/>
      <c r="J3023" s="369"/>
      <c r="K3023" s="369"/>
      <c r="L3023" s="369"/>
      <c r="M3023" s="369"/>
      <c r="N3023" s="369"/>
      <c r="O3023" s="369"/>
    </row>
    <row r="3024" spans="1:15" s="291" customFormat="1">
      <c r="A3024" s="1308" t="str">
        <f>$A$1</f>
        <v>COLUMBIA GAS OF KENTUCKY, INC.</v>
      </c>
      <c r="B3024" s="1308"/>
      <c r="C3024" s="1308"/>
      <c r="D3024" s="1308"/>
      <c r="E3024" s="1308"/>
      <c r="F3024" s="1308"/>
      <c r="G3024" s="1308"/>
      <c r="H3024" s="1308"/>
      <c r="I3024" s="1308"/>
      <c r="J3024" s="1308"/>
      <c r="K3024" s="1308"/>
      <c r="L3024" s="1308"/>
      <c r="M3024" s="1308"/>
      <c r="N3024" s="1308"/>
      <c r="O3024" s="1308"/>
    </row>
    <row r="3025" spans="1:16" s="291" customFormat="1">
      <c r="A3025" s="1308" t="str">
        <f>$A$2</f>
        <v>CASE NO. 2024 - 00092</v>
      </c>
      <c r="B3025" s="1308"/>
      <c r="C3025" s="1308"/>
      <c r="D3025" s="1308"/>
      <c r="E3025" s="1308"/>
      <c r="F3025" s="1308"/>
      <c r="G3025" s="1308"/>
      <c r="H3025" s="1308"/>
      <c r="I3025" s="1308"/>
      <c r="J3025" s="1308"/>
      <c r="K3025" s="1308"/>
      <c r="L3025" s="1308"/>
      <c r="M3025" s="1308"/>
      <c r="N3025" s="1308"/>
      <c r="O3025" s="1308"/>
    </row>
    <row r="3026" spans="1:16" s="291" customFormat="1">
      <c r="A3026" s="1308" t="str">
        <f>$A$3</f>
        <v>DETAIL OF ACTUAL &amp; FORECASTED PLANT, ACCUMULATED RESERVE &amp; DEPRECIATION EXPENSE</v>
      </c>
      <c r="B3026" s="1308"/>
      <c r="C3026" s="1308"/>
      <c r="D3026" s="1308"/>
      <c r="E3026" s="1308"/>
      <c r="F3026" s="1308"/>
      <c r="G3026" s="1308"/>
      <c r="H3026" s="1308"/>
      <c r="I3026" s="1308"/>
      <c r="J3026" s="1308"/>
      <c r="K3026" s="1308"/>
      <c r="L3026" s="1308"/>
      <c r="M3026" s="1308"/>
      <c r="N3026" s="1308"/>
      <c r="O3026" s="1308"/>
      <c r="P3026" s="357"/>
    </row>
    <row r="3027" spans="1:16" s="291" customFormat="1">
      <c r="A3027" s="1308" t="str">
        <f>$A$4</f>
        <v>FROM JANUARY 01, 2023 THROUGH DECEMBER 31, 2025</v>
      </c>
      <c r="B3027" s="1308"/>
      <c r="C3027" s="1308"/>
      <c r="D3027" s="1308"/>
      <c r="E3027" s="1308"/>
      <c r="F3027" s="1308"/>
      <c r="G3027" s="1308"/>
      <c r="H3027" s="1308"/>
      <c r="I3027" s="1308"/>
      <c r="J3027" s="1308"/>
      <c r="K3027" s="1308"/>
      <c r="L3027" s="1308"/>
      <c r="M3027" s="1308"/>
      <c r="N3027" s="1308"/>
      <c r="O3027" s="1308"/>
    </row>
    <row r="3028" spans="1:16" s="291" customFormat="1">
      <c r="B3028" s="293"/>
      <c r="P3028" s="312"/>
    </row>
    <row r="3029" spans="1:16" s="291" customFormat="1">
      <c r="A3029" s="297" t="str">
        <f>$A$6</f>
        <v xml:space="preserve">DATA: _X_ BASE PERIOD _X_ FORECASTED PERIOD     </v>
      </c>
      <c r="B3029" s="293"/>
      <c r="O3029" s="312" t="str">
        <f>$O$6</f>
        <v>WPB-2.1.C</v>
      </c>
      <c r="P3029" s="312"/>
    </row>
    <row r="3030" spans="1:16" s="291" customFormat="1">
      <c r="A3030" s="297" t="str">
        <f>$A$7</f>
        <v>TYPE OF FILING:___X___ORIGINAL______UPDATED</v>
      </c>
      <c r="B3030" s="293"/>
      <c r="O3030" s="312" t="s">
        <v>2169</v>
      </c>
      <c r="P3030" s="312"/>
    </row>
    <row r="3031" spans="1:16" s="291" customFormat="1">
      <c r="A3031" s="297" t="str">
        <f>$A$8</f>
        <v>WORKPAPER REFERENCE NO(S).:</v>
      </c>
      <c r="B3031" s="293"/>
      <c r="O3031" s="312" t="str">
        <f>$O$8</f>
        <v>WITNESS: GORE</v>
      </c>
    </row>
    <row r="3032" spans="1:16">
      <c r="A3032" s="918"/>
      <c r="B3032" s="919"/>
      <c r="C3032" s="918"/>
      <c r="D3032" s="918"/>
      <c r="E3032" s="918"/>
      <c r="F3032" s="918"/>
      <c r="G3032" s="918"/>
      <c r="H3032" s="918"/>
      <c r="I3032" s="918"/>
      <c r="J3032" s="918"/>
      <c r="K3032" s="918"/>
      <c r="L3032" s="918"/>
      <c r="M3032" s="918"/>
      <c r="N3032" s="918"/>
      <c r="O3032" s="920"/>
    </row>
    <row r="3033" spans="1:16">
      <c r="D3033" s="1311" t="s">
        <v>1768</v>
      </c>
      <c r="E3033" s="1311"/>
      <c r="F3033" s="1311"/>
      <c r="G3033" s="1311"/>
      <c r="I3033" s="1311" t="s">
        <v>1769</v>
      </c>
      <c r="J3033" s="1311"/>
      <c r="K3033" s="1311"/>
      <c r="L3033" s="1311"/>
      <c r="M3033" s="1311"/>
      <c r="N3033" s="1311"/>
      <c r="O3033" s="1311"/>
    </row>
    <row r="3034" spans="1:16">
      <c r="D3034" s="360">
        <f>D2975</f>
        <v>45717</v>
      </c>
      <c r="G3034" s="360">
        <f>G2975</f>
        <v>45747</v>
      </c>
      <c r="I3034" s="360">
        <f>D3034</f>
        <v>45717</v>
      </c>
      <c r="O3034" s="360">
        <f>G3034</f>
        <v>45747</v>
      </c>
    </row>
    <row r="3035" spans="1:16">
      <c r="D3035" s="361" t="s">
        <v>1757</v>
      </c>
      <c r="G3035" s="361" t="s">
        <v>1757</v>
      </c>
      <c r="I3035" s="361" t="s">
        <v>1758</v>
      </c>
      <c r="J3035" s="361" t="s">
        <v>488</v>
      </c>
      <c r="L3035" s="361" t="s">
        <v>1758</v>
      </c>
      <c r="O3035" s="361" t="s">
        <v>1758</v>
      </c>
    </row>
    <row r="3036" spans="1:16">
      <c r="A3036" s="361" t="s">
        <v>1770</v>
      </c>
      <c r="B3036" s="361" t="s">
        <v>368</v>
      </c>
      <c r="C3036" s="361"/>
      <c r="D3036" s="361" t="s">
        <v>437</v>
      </c>
      <c r="G3036" s="361" t="s">
        <v>439</v>
      </c>
      <c r="I3036" s="361" t="s">
        <v>437</v>
      </c>
      <c r="J3036" s="361" t="s">
        <v>1771</v>
      </c>
      <c r="K3036" s="361" t="s">
        <v>1772</v>
      </c>
      <c r="L3036" s="361" t="s">
        <v>1759</v>
      </c>
      <c r="N3036" s="361" t="s">
        <v>1760</v>
      </c>
      <c r="O3036" s="361" t="s">
        <v>439</v>
      </c>
    </row>
    <row r="3037" spans="1:16">
      <c r="A3037" s="364" t="s">
        <v>316</v>
      </c>
      <c r="B3037" s="364" t="s">
        <v>316</v>
      </c>
      <c r="C3037" s="364" t="s">
        <v>451</v>
      </c>
      <c r="D3037" s="364" t="s">
        <v>441</v>
      </c>
      <c r="E3037" s="364" t="s">
        <v>442</v>
      </c>
      <c r="F3037" s="364" t="s">
        <v>443</v>
      </c>
      <c r="G3037" s="364" t="s">
        <v>441</v>
      </c>
      <c r="I3037" s="364" t="s">
        <v>441</v>
      </c>
      <c r="J3037" s="364" t="s">
        <v>1773</v>
      </c>
      <c r="K3037" s="364" t="s">
        <v>1771</v>
      </c>
      <c r="L3037" s="364" t="s">
        <v>355</v>
      </c>
      <c r="M3037" s="364" t="s">
        <v>443</v>
      </c>
      <c r="N3037" s="364" t="s">
        <v>1763</v>
      </c>
      <c r="O3037" s="364" t="s">
        <v>441</v>
      </c>
    </row>
    <row r="3038" spans="1:16">
      <c r="D3038" s="361" t="s">
        <v>532</v>
      </c>
      <c r="E3038" s="361" t="s">
        <v>541</v>
      </c>
      <c r="F3038" s="361" t="s">
        <v>542</v>
      </c>
      <c r="G3038" s="361" t="s">
        <v>1764</v>
      </c>
      <c r="I3038" s="334" t="str">
        <f>"(5)"</f>
        <v>(5)</v>
      </c>
      <c r="J3038" s="334" t="str">
        <f>"(6)"</f>
        <v>(6)</v>
      </c>
      <c r="K3038" s="334" t="str">
        <f>"(7)=((1+4)/2*6/12))"</f>
        <v>(7)=((1+4)/2*6/12))</v>
      </c>
      <c r="L3038" s="334" t="str">
        <f>"(8)"</f>
        <v>(8)</v>
      </c>
      <c r="M3038" s="334" t="str">
        <f>"(9)"</f>
        <v>(9)</v>
      </c>
      <c r="N3038" s="334" t="str">
        <f>"(10)"</f>
        <v>(10)</v>
      </c>
      <c r="O3038" s="334" t="str">
        <f>"(11=5+7+8+9+10)"</f>
        <v>(11=5+7+8+9+10)</v>
      </c>
    </row>
    <row r="3039" spans="1:16">
      <c r="D3039" s="361" t="s">
        <v>320</v>
      </c>
      <c r="E3039" s="361" t="s">
        <v>320</v>
      </c>
      <c r="F3039" s="361" t="s">
        <v>320</v>
      </c>
      <c r="G3039" s="361" t="s">
        <v>320</v>
      </c>
      <c r="I3039" s="334" t="s">
        <v>320</v>
      </c>
      <c r="J3039" s="334" t="s">
        <v>529</v>
      </c>
      <c r="K3039" s="334" t="s">
        <v>320</v>
      </c>
      <c r="L3039" s="334" t="s">
        <v>320</v>
      </c>
      <c r="M3039" s="334" t="s">
        <v>320</v>
      </c>
      <c r="N3039" s="334" t="s">
        <v>320</v>
      </c>
      <c r="O3039" s="334" t="s">
        <v>320</v>
      </c>
    </row>
    <row r="3040" spans="1:16">
      <c r="A3040" s="361">
        <v>1</v>
      </c>
      <c r="B3040" s="363" t="s">
        <v>411</v>
      </c>
      <c r="D3040" s="361"/>
      <c r="E3040" s="361"/>
      <c r="F3040" s="361"/>
      <c r="G3040" s="361"/>
      <c r="I3040" s="334"/>
      <c r="J3040" s="334"/>
      <c r="K3040" s="334"/>
      <c r="L3040" s="334"/>
      <c r="M3040" s="334"/>
      <c r="N3040" s="334"/>
      <c r="O3040" s="334"/>
    </row>
    <row r="3041" spans="1:15">
      <c r="A3041" s="361">
        <f>A3040+1</f>
        <v>2</v>
      </c>
      <c r="B3041" s="365">
        <v>391.1</v>
      </c>
      <c r="C3041" s="358" t="s">
        <v>412</v>
      </c>
      <c r="D3041" s="1243">
        <f t="shared" ref="D3041:D3054" si="563">G2927</f>
        <v>921741.33000000007</v>
      </c>
      <c r="E3041" s="1243">
        <v>0</v>
      </c>
      <c r="F3041" s="1243">
        <v>0</v>
      </c>
      <c r="G3041" s="1243">
        <f>SUM(D3041:F3041)</f>
        <v>921741.33000000007</v>
      </c>
      <c r="I3041" s="1245">
        <f t="shared" ref="I3041:I3054" si="564">O2927</f>
        <v>235854.20333333331</v>
      </c>
      <c r="J3041" s="376">
        <f t="shared" ref="J3041:J3054" si="565">+J2927</f>
        <v>0.05</v>
      </c>
      <c r="K3041" s="1243">
        <f>ROUND((G3041+D3041)/2*J3041/12,0)</f>
        <v>3841</v>
      </c>
      <c r="L3041" s="1243">
        <f>+L2927</f>
        <v>4814.416666666667</v>
      </c>
      <c r="M3041" s="1243">
        <f t="shared" ref="M3041:M3054" si="566">F3041</f>
        <v>0</v>
      </c>
      <c r="N3041" s="1243">
        <v>0</v>
      </c>
      <c r="O3041" s="1243">
        <f t="shared" ref="O3041:O3054" si="567">I3041+K3041+L3041+M3041+N3041</f>
        <v>244509.61999999997</v>
      </c>
    </row>
    <row r="3042" spans="1:15">
      <c r="A3042" s="361">
        <f t="shared" ref="A3042:A3055" si="568">A3041+1</f>
        <v>3</v>
      </c>
      <c r="B3042" s="365">
        <v>391.11</v>
      </c>
      <c r="C3042" s="358" t="s">
        <v>413</v>
      </c>
      <c r="D3042" s="1243">
        <f t="shared" si="563"/>
        <v>0</v>
      </c>
      <c r="E3042" s="1243">
        <v>0</v>
      </c>
      <c r="F3042" s="1243">
        <v>0</v>
      </c>
      <c r="G3042" s="1243">
        <f t="shared" ref="G3042:G3049" si="569">SUM(D3042:F3042)</f>
        <v>0</v>
      </c>
      <c r="I3042" s="1245">
        <f t="shared" si="564"/>
        <v>-11570.956666666665</v>
      </c>
      <c r="J3042" s="376">
        <f t="shared" si="565"/>
        <v>0</v>
      </c>
      <c r="K3042" s="1243">
        <f>ROUND((G3042+D3042)/2*J3042/12,0)</f>
        <v>0</v>
      </c>
      <c r="L3042" s="1243">
        <f t="shared" ref="L3042:L3054" si="570">+L2928</f>
        <v>525.91666666666663</v>
      </c>
      <c r="M3042" s="1243">
        <f t="shared" si="566"/>
        <v>0</v>
      </c>
      <c r="N3042" s="1243">
        <v>0</v>
      </c>
      <c r="O3042" s="1243">
        <f t="shared" si="567"/>
        <v>-11045.039999999999</v>
      </c>
    </row>
    <row r="3043" spans="1:15">
      <c r="A3043" s="361">
        <f t="shared" si="568"/>
        <v>4</v>
      </c>
      <c r="B3043" s="365">
        <v>391.12</v>
      </c>
      <c r="C3043" s="358" t="s">
        <v>414</v>
      </c>
      <c r="D3043" s="1243">
        <f t="shared" si="563"/>
        <v>37129.580000000009</v>
      </c>
      <c r="E3043" s="1243">
        <v>0</v>
      </c>
      <c r="F3043" s="1243">
        <v>0</v>
      </c>
      <c r="G3043" s="1243">
        <f t="shared" si="569"/>
        <v>37129.580000000009</v>
      </c>
      <c r="I3043" s="1245">
        <f t="shared" si="564"/>
        <v>9769.4699999999993</v>
      </c>
      <c r="J3043" s="376">
        <f t="shared" si="565"/>
        <v>0.2</v>
      </c>
      <c r="K3043" s="1243">
        <f>ROUND((G3043+D3043)/2*J3043/12,0)</f>
        <v>619</v>
      </c>
      <c r="L3043" s="1243">
        <f t="shared" si="570"/>
        <v>456.25</v>
      </c>
      <c r="M3043" s="1243">
        <f t="shared" si="566"/>
        <v>0</v>
      </c>
      <c r="N3043" s="1243">
        <v>0</v>
      </c>
      <c r="O3043" s="1243">
        <f t="shared" si="567"/>
        <v>10844.72</v>
      </c>
    </row>
    <row r="3044" spans="1:15">
      <c r="A3044" s="361">
        <f t="shared" si="568"/>
        <v>5</v>
      </c>
      <c r="B3044" s="365">
        <v>392.2</v>
      </c>
      <c r="C3044" s="358" t="s">
        <v>524</v>
      </c>
      <c r="D3044" s="1243">
        <f t="shared" si="563"/>
        <v>48924.4</v>
      </c>
      <c r="E3044" s="1243">
        <v>0</v>
      </c>
      <c r="F3044" s="1243">
        <v>0</v>
      </c>
      <c r="G3044" s="1243">
        <f t="shared" si="569"/>
        <v>48924.4</v>
      </c>
      <c r="I3044" s="1245">
        <f t="shared" si="564"/>
        <v>17661.359999999961</v>
      </c>
      <c r="J3044" s="376">
        <f t="shared" si="565"/>
        <v>8.9999999999999993E-3</v>
      </c>
      <c r="K3044" s="1243">
        <f>ROUND((G3044+D3044)/2*J3044/12,0)</f>
        <v>37</v>
      </c>
      <c r="L3044" s="1243">
        <f t="shared" si="570"/>
        <v>0</v>
      </c>
      <c r="M3044" s="1243">
        <f t="shared" si="566"/>
        <v>0</v>
      </c>
      <c r="N3044" s="1243">
        <v>0</v>
      </c>
      <c r="O3044" s="1243">
        <f t="shared" si="567"/>
        <v>17698.359999999961</v>
      </c>
    </row>
    <row r="3045" spans="1:15">
      <c r="A3045" s="361">
        <f t="shared" si="568"/>
        <v>6</v>
      </c>
      <c r="B3045" s="365">
        <v>392.21</v>
      </c>
      <c r="C3045" s="358" t="s">
        <v>415</v>
      </c>
      <c r="D3045" s="1243">
        <f t="shared" si="563"/>
        <v>24462.2</v>
      </c>
      <c r="E3045" s="1243">
        <v>0</v>
      </c>
      <c r="F3045" s="1243">
        <v>0</v>
      </c>
      <c r="G3045" s="1243">
        <f t="shared" si="569"/>
        <v>24462.2</v>
      </c>
      <c r="I3045" s="1245">
        <f t="shared" si="564"/>
        <v>44970.01</v>
      </c>
      <c r="J3045" s="376">
        <f t="shared" si="565"/>
        <v>8.9999999999999993E-3</v>
      </c>
      <c r="K3045" s="1243">
        <f>ROUND((G3045+D3045)/2*J3045/12,0)</f>
        <v>18</v>
      </c>
      <c r="L3045" s="1243">
        <f t="shared" si="570"/>
        <v>0</v>
      </c>
      <c r="M3045" s="1243">
        <f t="shared" si="566"/>
        <v>0</v>
      </c>
      <c r="N3045" s="1243">
        <v>0</v>
      </c>
      <c r="O3045" s="1243">
        <f t="shared" si="567"/>
        <v>44988.01</v>
      </c>
    </row>
    <row r="3046" spans="1:15">
      <c r="A3046" s="361">
        <f t="shared" si="568"/>
        <v>7</v>
      </c>
      <c r="B3046" s="365">
        <v>393</v>
      </c>
      <c r="C3046" s="358" t="s">
        <v>416</v>
      </c>
      <c r="D3046" s="1243">
        <f t="shared" si="563"/>
        <v>0</v>
      </c>
      <c r="E3046" s="1243">
        <v>0</v>
      </c>
      <c r="F3046" s="1243">
        <v>0</v>
      </c>
      <c r="G3046" s="1243">
        <f t="shared" si="569"/>
        <v>0</v>
      </c>
      <c r="I3046" s="1245">
        <f t="shared" si="564"/>
        <v>0</v>
      </c>
      <c r="J3046" s="376" t="str">
        <f t="shared" si="565"/>
        <v>Amort.</v>
      </c>
      <c r="K3046" s="1243">
        <v>0</v>
      </c>
      <c r="L3046" s="1243">
        <f t="shared" si="570"/>
        <v>0</v>
      </c>
      <c r="M3046" s="1243">
        <f t="shared" si="566"/>
        <v>0</v>
      </c>
      <c r="N3046" s="1243">
        <v>0</v>
      </c>
      <c r="O3046" s="1243">
        <f t="shared" si="567"/>
        <v>0</v>
      </c>
    </row>
    <row r="3047" spans="1:15">
      <c r="A3047" s="361">
        <f t="shared" si="568"/>
        <v>8</v>
      </c>
      <c r="B3047" s="365">
        <v>394.1</v>
      </c>
      <c r="C3047" s="358" t="s">
        <v>417</v>
      </c>
      <c r="D3047" s="1243">
        <f t="shared" si="563"/>
        <v>9739</v>
      </c>
      <c r="E3047" s="1243">
        <v>0</v>
      </c>
      <c r="F3047" s="1243">
        <v>0</v>
      </c>
      <c r="G3047" s="1243">
        <f t="shared" si="569"/>
        <v>9739</v>
      </c>
      <c r="I3047" s="1245">
        <f t="shared" si="564"/>
        <v>4524.0700000000006</v>
      </c>
      <c r="J3047" s="376">
        <f t="shared" si="565"/>
        <v>0.04</v>
      </c>
      <c r="K3047" s="1243">
        <f>ROUND((G3047+D3047)/2*J3047/12,0)</f>
        <v>32</v>
      </c>
      <c r="L3047" s="1243">
        <f t="shared" si="570"/>
        <v>0</v>
      </c>
      <c r="M3047" s="1243">
        <f t="shared" si="566"/>
        <v>0</v>
      </c>
      <c r="N3047" s="1243">
        <v>0</v>
      </c>
      <c r="O3047" s="1243">
        <f t="shared" si="567"/>
        <v>4556.0700000000006</v>
      </c>
    </row>
    <row r="3048" spans="1:15">
      <c r="A3048" s="361">
        <f t="shared" si="568"/>
        <v>9</v>
      </c>
      <c r="B3048" s="365">
        <v>394.11</v>
      </c>
      <c r="C3048" s="358" t="s">
        <v>418</v>
      </c>
      <c r="D3048" s="1243">
        <f t="shared" si="563"/>
        <v>0</v>
      </c>
      <c r="E3048" s="1243">
        <v>0</v>
      </c>
      <c r="F3048" s="1243">
        <v>0</v>
      </c>
      <c r="G3048" s="1243">
        <f t="shared" si="569"/>
        <v>0</v>
      </c>
      <c r="I3048" s="1245">
        <f t="shared" si="564"/>
        <v>-26071.5</v>
      </c>
      <c r="J3048" s="376">
        <f t="shared" si="565"/>
        <v>0.04</v>
      </c>
      <c r="K3048" s="1243">
        <f>ROUND((G3048+D3048)/2*J3048/12,0)</f>
        <v>0</v>
      </c>
      <c r="L3048" s="1243">
        <f t="shared" si="570"/>
        <v>0</v>
      </c>
      <c r="M3048" s="1243">
        <f t="shared" si="566"/>
        <v>0</v>
      </c>
      <c r="N3048" s="1243">
        <v>0</v>
      </c>
      <c r="O3048" s="1243">
        <f t="shared" si="567"/>
        <v>-26071.5</v>
      </c>
    </row>
    <row r="3049" spans="1:15">
      <c r="A3049" s="361">
        <f t="shared" si="568"/>
        <v>10</v>
      </c>
      <c r="B3049" s="365">
        <v>394.13</v>
      </c>
      <c r="C3049" s="358" t="s">
        <v>515</v>
      </c>
      <c r="D3049" s="1243">
        <f t="shared" si="563"/>
        <v>0</v>
      </c>
      <c r="E3049" s="1243">
        <v>0</v>
      </c>
      <c r="F3049" s="1243">
        <v>0</v>
      </c>
      <c r="G3049" s="1243">
        <f t="shared" si="569"/>
        <v>0</v>
      </c>
      <c r="I3049" s="1245">
        <f t="shared" si="564"/>
        <v>26891.360000000001</v>
      </c>
      <c r="J3049" s="376" t="str">
        <f t="shared" si="565"/>
        <v>Amort.</v>
      </c>
      <c r="K3049" s="1243">
        <v>0</v>
      </c>
      <c r="L3049" s="1243">
        <f t="shared" si="570"/>
        <v>-789</v>
      </c>
      <c r="M3049" s="1243">
        <f t="shared" si="566"/>
        <v>0</v>
      </c>
      <c r="N3049" s="1243">
        <v>0</v>
      </c>
      <c r="O3049" s="1243">
        <f t="shared" si="567"/>
        <v>26102.36</v>
      </c>
    </row>
    <row r="3050" spans="1:15">
      <c r="A3050" s="361">
        <f t="shared" si="568"/>
        <v>11</v>
      </c>
      <c r="B3050" s="365">
        <v>394.2</v>
      </c>
      <c r="C3050" s="358" t="s">
        <v>420</v>
      </c>
      <c r="D3050" s="1243">
        <f t="shared" si="563"/>
        <v>0</v>
      </c>
      <c r="E3050" s="1243">
        <v>0</v>
      </c>
      <c r="F3050" s="1243">
        <v>0</v>
      </c>
      <c r="G3050" s="1243">
        <f>SUM(D3050:F3050)</f>
        <v>0</v>
      </c>
      <c r="I3050" s="1245">
        <f t="shared" si="564"/>
        <v>185.21</v>
      </c>
      <c r="J3050" s="376">
        <f t="shared" si="565"/>
        <v>0.04</v>
      </c>
      <c r="K3050" s="1243">
        <f>ROUND((G3050+D3050)/2*J3050/12,0)</f>
        <v>0</v>
      </c>
      <c r="L3050" s="1243">
        <f t="shared" si="570"/>
        <v>0</v>
      </c>
      <c r="M3050" s="1243">
        <f t="shared" si="566"/>
        <v>0</v>
      </c>
      <c r="N3050" s="1243">
        <v>0</v>
      </c>
      <c r="O3050" s="1243">
        <f t="shared" si="567"/>
        <v>185.21</v>
      </c>
    </row>
    <row r="3051" spans="1:15">
      <c r="A3051" s="361">
        <f t="shared" si="568"/>
        <v>12</v>
      </c>
      <c r="B3051" s="365">
        <v>394.3</v>
      </c>
      <c r="C3051" s="358" t="s">
        <v>1602</v>
      </c>
      <c r="D3051" s="1243">
        <f t="shared" si="563"/>
        <v>5553535.0600000015</v>
      </c>
      <c r="E3051" s="1243">
        <v>93752.77</v>
      </c>
      <c r="F3051" s="1243">
        <v>0</v>
      </c>
      <c r="G3051" s="1243">
        <f>SUM(D3051:F3051)</f>
        <v>5647287.830000001</v>
      </c>
      <c r="I3051" s="1245">
        <f t="shared" si="564"/>
        <v>1676286.2799999996</v>
      </c>
      <c r="J3051" s="376">
        <f t="shared" si="565"/>
        <v>0.04</v>
      </c>
      <c r="K3051" s="1243">
        <f>ROUND((G3051+D3051)/2*J3051/12,0)</f>
        <v>18668</v>
      </c>
      <c r="L3051" s="1243">
        <f t="shared" si="570"/>
        <v>0</v>
      </c>
      <c r="M3051" s="1243">
        <f t="shared" si="566"/>
        <v>0</v>
      </c>
      <c r="N3051" s="1243">
        <v>0</v>
      </c>
      <c r="O3051" s="1243">
        <f t="shared" si="567"/>
        <v>1694954.2799999996</v>
      </c>
    </row>
    <row r="3052" spans="1:15">
      <c r="A3052" s="361">
        <f t="shared" si="568"/>
        <v>13</v>
      </c>
      <c r="B3052" s="365">
        <v>395</v>
      </c>
      <c r="C3052" s="358" t="s">
        <v>422</v>
      </c>
      <c r="D3052" s="1243">
        <f t="shared" si="563"/>
        <v>0</v>
      </c>
      <c r="E3052" s="1243">
        <v>0</v>
      </c>
      <c r="F3052" s="1243">
        <v>0</v>
      </c>
      <c r="G3052" s="1243">
        <f>SUM(D3052:F3052)</f>
        <v>0</v>
      </c>
      <c r="I3052" s="1245">
        <f t="shared" si="564"/>
        <v>-139.19999999999845</v>
      </c>
      <c r="J3052" s="376">
        <f t="shared" si="565"/>
        <v>0.05</v>
      </c>
      <c r="K3052" s="1243">
        <f>ROUND((G3052+D3052)/2*J3052/12,0)</f>
        <v>0</v>
      </c>
      <c r="L3052" s="1243">
        <f t="shared" si="570"/>
        <v>-2.75</v>
      </c>
      <c r="M3052" s="1243">
        <f t="shared" si="566"/>
        <v>0</v>
      </c>
      <c r="N3052" s="1243">
        <v>0</v>
      </c>
      <c r="O3052" s="1243">
        <f t="shared" si="567"/>
        <v>-141.94999999999845</v>
      </c>
    </row>
    <row r="3053" spans="1:15">
      <c r="A3053" s="361">
        <f t="shared" si="568"/>
        <v>14</v>
      </c>
      <c r="B3053" s="365">
        <v>396</v>
      </c>
      <c r="C3053" s="358" t="s">
        <v>423</v>
      </c>
      <c r="D3053" s="1243">
        <f t="shared" si="563"/>
        <v>185547</v>
      </c>
      <c r="E3053" s="1243">
        <v>0</v>
      </c>
      <c r="F3053" s="1243">
        <v>0</v>
      </c>
      <c r="G3053" s="1243">
        <f>SUM(D3053:F3053)</f>
        <v>185547</v>
      </c>
      <c r="I3053" s="1245">
        <f t="shared" si="564"/>
        <v>171938.14</v>
      </c>
      <c r="J3053" s="376">
        <f t="shared" si="565"/>
        <v>0</v>
      </c>
      <c r="K3053" s="1243">
        <f>ROUND((G3053+D3053)/2*J3053/12,0)</f>
        <v>0</v>
      </c>
      <c r="L3053" s="1243">
        <f t="shared" si="570"/>
        <v>0</v>
      </c>
      <c r="M3053" s="1243">
        <f t="shared" si="566"/>
        <v>0</v>
      </c>
      <c r="N3053" s="1243">
        <v>0</v>
      </c>
      <c r="O3053" s="1243">
        <f t="shared" si="567"/>
        <v>171938.14</v>
      </c>
    </row>
    <row r="3054" spans="1:15">
      <c r="A3054" s="361">
        <f t="shared" si="568"/>
        <v>15</v>
      </c>
      <c r="B3054" s="365">
        <v>398</v>
      </c>
      <c r="C3054" s="358" t="s">
        <v>424</v>
      </c>
      <c r="D3054" s="1244">
        <f t="shared" si="563"/>
        <v>148028.20000000001</v>
      </c>
      <c r="E3054" s="1244">
        <v>0</v>
      </c>
      <c r="F3054" s="1244">
        <v>0</v>
      </c>
      <c r="G3054" s="1244">
        <f>SUM(D3054:F3054)</f>
        <v>148028.20000000001</v>
      </c>
      <c r="I3054" s="1246">
        <f t="shared" si="564"/>
        <v>85337.883333333288</v>
      </c>
      <c r="J3054" s="376">
        <f t="shared" si="565"/>
        <v>6.6699999999999995E-2</v>
      </c>
      <c r="K3054" s="1244">
        <f>ROUND((G3054+D3054)/2*J3054/12,0)</f>
        <v>823</v>
      </c>
      <c r="L3054" s="1244">
        <f t="shared" si="570"/>
        <v>265.16666666666669</v>
      </c>
      <c r="M3054" s="1244">
        <f t="shared" si="566"/>
        <v>0</v>
      </c>
      <c r="N3054" s="1244">
        <v>0</v>
      </c>
      <c r="O3054" s="1244">
        <f t="shared" si="567"/>
        <v>86426.049999999959</v>
      </c>
    </row>
    <row r="3055" spans="1:15">
      <c r="A3055" s="361">
        <f t="shared" si="568"/>
        <v>16</v>
      </c>
      <c r="B3055" s="367"/>
      <c r="C3055" s="358" t="s">
        <v>425</v>
      </c>
      <c r="D3055" s="1243">
        <f>SUM(D3041:D3054)</f>
        <v>6929106.7700000014</v>
      </c>
      <c r="E3055" s="1243">
        <f>SUM(E3041:E3054)</f>
        <v>93752.77</v>
      </c>
      <c r="F3055" s="1243">
        <f>SUM(F3041:F3054)</f>
        <v>0</v>
      </c>
      <c r="G3055" s="1243">
        <f>SUM(G3041:G3054)</f>
        <v>7022859.540000001</v>
      </c>
      <c r="I3055" s="1243">
        <f>SUM(I3041:I3054)</f>
        <v>2235636.3299999996</v>
      </c>
      <c r="J3055" s="369"/>
      <c r="K3055" s="1243">
        <f>SUM(K3041:K3054)</f>
        <v>24038</v>
      </c>
      <c r="L3055" s="1243">
        <f>SUM(L3041:L3054)</f>
        <v>5270.0000000000009</v>
      </c>
      <c r="M3055" s="1243">
        <f>SUM(M3041:M3054)</f>
        <v>0</v>
      </c>
      <c r="N3055" s="1243">
        <f>SUM(N3041:N3054)</f>
        <v>0</v>
      </c>
      <c r="O3055" s="1243">
        <f>SUM(O3041:O3054)</f>
        <v>2264944.3299999991</v>
      </c>
    </row>
    <row r="3056" spans="1:15">
      <c r="A3056" s="361"/>
      <c r="D3056" s="1243"/>
      <c r="E3056" s="1243"/>
      <c r="F3056" s="1243"/>
      <c r="G3056" s="1243"/>
      <c r="I3056" s="1243"/>
      <c r="J3056" s="369"/>
      <c r="K3056" s="1243"/>
      <c r="L3056" s="1243"/>
      <c r="M3056" s="1243"/>
      <c r="N3056" s="1243"/>
      <c r="O3056" s="1243"/>
    </row>
    <row r="3057" spans="1:15">
      <c r="A3057" s="361">
        <f>A3055+1</f>
        <v>17</v>
      </c>
      <c r="B3057" s="363" t="s">
        <v>1038</v>
      </c>
      <c r="D3057" s="1243"/>
      <c r="E3057" s="1243"/>
      <c r="F3057" s="1243"/>
      <c r="G3057" s="1243"/>
      <c r="I3057" s="1243"/>
      <c r="J3057" s="369"/>
      <c r="K3057" s="1243"/>
      <c r="L3057" s="1243"/>
      <c r="M3057" s="1243"/>
      <c r="N3057" s="1243"/>
      <c r="O3057" s="1243"/>
    </row>
    <row r="3058" spans="1:15">
      <c r="A3058" s="361">
        <f>A3057+1</f>
        <v>18</v>
      </c>
      <c r="B3058" s="365">
        <v>378.21</v>
      </c>
      <c r="C3058" s="358" t="s">
        <v>1037</v>
      </c>
      <c r="D3058" s="1244">
        <f>G2944</f>
        <v>-777092</v>
      </c>
      <c r="E3058" s="1244">
        <v>0</v>
      </c>
      <c r="F3058" s="1244">
        <v>0</v>
      </c>
      <c r="G3058" s="1244">
        <f>SUM(D3058:F3058)</f>
        <v>-777092</v>
      </c>
      <c r="I3058" s="1244">
        <f>O2944</f>
        <v>-234388.72000000029</v>
      </c>
      <c r="J3058" s="376" t="str">
        <f>$J$1690</f>
        <v>Amort.</v>
      </c>
      <c r="K3058" s="1244">
        <f>$K$1348</f>
        <v>-2144.17</v>
      </c>
      <c r="L3058" s="1244"/>
      <c r="M3058" s="1244">
        <f>F3058</f>
        <v>0</v>
      </c>
      <c r="N3058" s="1244">
        <v>0</v>
      </c>
      <c r="O3058" s="1244">
        <f>I3058+K3058+L3058+M3058+N3058</f>
        <v>-236532.89000000031</v>
      </c>
    </row>
    <row r="3059" spans="1:15">
      <c r="A3059" s="361">
        <f>A3058+1</f>
        <v>19</v>
      </c>
      <c r="B3059" s="370"/>
      <c r="C3059" s="358" t="s">
        <v>1579</v>
      </c>
      <c r="D3059" s="1243">
        <f>SUM(D3058)</f>
        <v>-777092</v>
      </c>
      <c r="E3059" s="1243">
        <f>SUM(E3058)</f>
        <v>0</v>
      </c>
      <c r="F3059" s="1243">
        <f>SUM(F3058)</f>
        <v>0</v>
      </c>
      <c r="G3059" s="1243">
        <f>SUM(G3058)</f>
        <v>-777092</v>
      </c>
      <c r="I3059" s="1243">
        <f>SUM(I3058)</f>
        <v>-234388.72000000029</v>
      </c>
      <c r="J3059" s="369"/>
      <c r="K3059" s="1243">
        <f>SUM(K3058)</f>
        <v>-2144.17</v>
      </c>
      <c r="L3059" s="1243">
        <f>SUM(L3058)</f>
        <v>0</v>
      </c>
      <c r="M3059" s="1243">
        <f>SUM(M3058)</f>
        <v>0</v>
      </c>
      <c r="N3059" s="1243">
        <f>SUM(N3058)</f>
        <v>0</v>
      </c>
      <c r="O3059" s="1243">
        <f>SUM(O3058)</f>
        <v>-236532.89000000031</v>
      </c>
    </row>
    <row r="3060" spans="1:15">
      <c r="A3060" s="361"/>
      <c r="B3060" s="370"/>
      <c r="D3060" s="1243"/>
      <c r="E3060" s="1243"/>
      <c r="F3060" s="1243"/>
      <c r="G3060" s="1243"/>
      <c r="I3060" s="1243"/>
      <c r="J3060" s="369"/>
      <c r="K3060" s="1243"/>
      <c r="L3060" s="1243"/>
      <c r="M3060" s="1243"/>
      <c r="N3060" s="1243"/>
      <c r="O3060" s="1243"/>
    </row>
    <row r="3061" spans="1:15">
      <c r="A3061" s="361">
        <f>A3059+1</f>
        <v>20</v>
      </c>
      <c r="B3061" s="370"/>
      <c r="C3061" s="358" t="s">
        <v>2037</v>
      </c>
      <c r="D3061" s="1243">
        <f>D2988+D3021+D3055+D3059</f>
        <v>764478706.30412173</v>
      </c>
      <c r="E3061" s="1243">
        <f>E2988+E3021+E3055+E3059</f>
        <v>1557149.0039867365</v>
      </c>
      <c r="F3061" s="1243">
        <f>F2988+F3021+F3055+F3059</f>
        <v>-411454.02590590052</v>
      </c>
      <c r="G3061" s="1243">
        <f>G2988+G3021+G3055+G3059</f>
        <v>765624401.28220272</v>
      </c>
      <c r="I3061" s="1243">
        <f>I2988+I3021+I3055+I3059</f>
        <v>195525770.02939725</v>
      </c>
      <c r="J3061" s="369"/>
      <c r="K3061" s="1243">
        <f>K2988+K3021+K3055+K3059</f>
        <v>2145123.6123155989</v>
      </c>
      <c r="L3061" s="1243">
        <f>L2988+L3021+L3055+L3059</f>
        <v>5270.0000000000009</v>
      </c>
      <c r="M3061" s="1243">
        <f>M2988+M3021+M3055+M3059</f>
        <v>-411454.02590590052</v>
      </c>
      <c r="N3061" s="1243">
        <f>N2988+N3021+N3055+N3059</f>
        <v>-190243.55933361451</v>
      </c>
      <c r="O3061" s="1243">
        <f>O2988+O3021+O3055+O3059</f>
        <v>197074466.05647334</v>
      </c>
    </row>
    <row r="3062" spans="1:15">
      <c r="A3062" s="361"/>
      <c r="B3062" s="370"/>
      <c r="D3062" s="1243"/>
      <c r="E3062" s="1243"/>
      <c r="F3062" s="1243"/>
      <c r="G3062" s="1243"/>
      <c r="I3062" s="1243"/>
      <c r="J3062" s="369"/>
      <c r="K3062" s="1243"/>
      <c r="L3062" s="1243"/>
      <c r="M3062" s="1243"/>
      <c r="N3062" s="1243"/>
      <c r="O3062" s="1243"/>
    </row>
    <row r="3063" spans="1:15">
      <c r="A3063" s="361">
        <f>A3061+1</f>
        <v>21</v>
      </c>
      <c r="B3063" s="370"/>
      <c r="C3063" s="358" t="s">
        <v>2038</v>
      </c>
      <c r="D3063" s="1243">
        <v>0</v>
      </c>
      <c r="E3063" s="1249">
        <v>0</v>
      </c>
      <c r="F3063" s="1249">
        <v>0</v>
      </c>
      <c r="G3063" s="1249">
        <f>SUM(D3063:F3063)</f>
        <v>0</v>
      </c>
      <c r="I3063" s="1243">
        <f>O2949</f>
        <v>-6687302.71</v>
      </c>
      <c r="J3063" s="369"/>
      <c r="K3063" s="1243"/>
      <c r="L3063" s="1243"/>
      <c r="M3063" s="1243"/>
      <c r="N3063" s="1243"/>
      <c r="O3063" s="1243">
        <f>I3063+K3063+L3063+M3063+N3063</f>
        <v>-6687302.71</v>
      </c>
    </row>
    <row r="3064" spans="1:15">
      <c r="A3064" s="361"/>
      <c r="B3064" s="370"/>
      <c r="C3064" s="368"/>
      <c r="D3064" s="1243"/>
      <c r="E3064" s="1243"/>
      <c r="F3064" s="1243"/>
      <c r="G3064" s="1243"/>
      <c r="I3064" s="1243"/>
      <c r="J3064" s="369"/>
      <c r="K3064" s="1243"/>
      <c r="L3064" s="1243"/>
      <c r="M3064" s="1243"/>
      <c r="N3064" s="1243"/>
      <c r="O3064" s="1243"/>
    </row>
    <row r="3065" spans="1:15">
      <c r="A3065" s="361">
        <f>A3063+1</f>
        <v>22</v>
      </c>
      <c r="C3065" s="358" t="s">
        <v>1603</v>
      </c>
      <c r="D3065" s="1247">
        <f>D3061+D3063</f>
        <v>764478706.30412173</v>
      </c>
      <c r="E3065" s="1247">
        <f t="shared" ref="E3065:O3065" si="571">E3061+E3063</f>
        <v>1557149.0039867365</v>
      </c>
      <c r="F3065" s="1247">
        <f t="shared" si="571"/>
        <v>-411454.02590590052</v>
      </c>
      <c r="G3065" s="1247">
        <f t="shared" si="571"/>
        <v>765624401.28220272</v>
      </c>
      <c r="I3065" s="1247">
        <f t="shared" si="571"/>
        <v>188838467.31939724</v>
      </c>
      <c r="J3065" s="369"/>
      <c r="K3065" s="1247">
        <f t="shared" si="571"/>
        <v>2145123.6123155989</v>
      </c>
      <c r="L3065" s="1247">
        <f t="shared" si="571"/>
        <v>5270.0000000000009</v>
      </c>
      <c r="M3065" s="1247">
        <f t="shared" si="571"/>
        <v>-411454.02590590052</v>
      </c>
      <c r="N3065" s="1247">
        <f t="shared" si="571"/>
        <v>-190243.55933361451</v>
      </c>
      <c r="O3065" s="1247">
        <f t="shared" si="571"/>
        <v>190387163.34647334</v>
      </c>
    </row>
    <row r="3066" spans="1:15">
      <c r="A3066" s="361"/>
      <c r="D3066" s="1243"/>
      <c r="E3066" s="1243"/>
      <c r="F3066" s="1243"/>
      <c r="G3066" s="1243"/>
      <c r="I3066" s="1243"/>
      <c r="J3066" s="369"/>
      <c r="K3066" s="1243"/>
      <c r="L3066" s="1243"/>
      <c r="M3066" s="1243"/>
      <c r="N3066" s="1243"/>
      <c r="O3066" s="1243"/>
    </row>
    <row r="3067" spans="1:15">
      <c r="A3067" s="361"/>
      <c r="D3067" s="1243"/>
      <c r="E3067" s="1243"/>
      <c r="F3067" s="1243"/>
      <c r="G3067" s="1243"/>
      <c r="I3067" s="1243"/>
      <c r="J3067" s="369"/>
      <c r="K3067" s="1243"/>
      <c r="L3067" s="1243"/>
      <c r="M3067" s="1243"/>
      <c r="N3067" s="1243"/>
      <c r="O3067" s="1243"/>
    </row>
    <row r="3068" spans="1:15">
      <c r="A3068" s="361">
        <f>A3065+1</f>
        <v>23</v>
      </c>
      <c r="B3068" s="363" t="s">
        <v>1774</v>
      </c>
      <c r="D3068" s="1243"/>
      <c r="E3068" s="1243"/>
      <c r="F3068" s="1243"/>
      <c r="G3068" s="1243"/>
      <c r="I3068" s="1243"/>
      <c r="J3068" s="369"/>
      <c r="K3068" s="1243"/>
      <c r="L3068" s="1243"/>
      <c r="M3068" s="1243"/>
      <c r="N3068" s="1243"/>
      <c r="O3068" s="1243"/>
    </row>
    <row r="3069" spans="1:15">
      <c r="A3069" s="361">
        <f t="shared" ref="A3069:A3074" si="572">A3068+1</f>
        <v>24</v>
      </c>
      <c r="B3069" s="365">
        <v>376</v>
      </c>
      <c r="C3069" s="358" t="s">
        <v>1775</v>
      </c>
      <c r="D3069" s="1243">
        <f>G2955</f>
        <v>54304491.469007067</v>
      </c>
      <c r="E3069" s="1243">
        <f>'WPB-2.1.D SMRP'!E1214</f>
        <v>1789653.7271475366</v>
      </c>
      <c r="F3069" s="1243">
        <f>'WPB-2.1.D SMRP'!F1214</f>
        <v>-5870.75</v>
      </c>
      <c r="G3069" s="1243">
        <f>SUM(D3069:F3069)</f>
        <v>56088274.446154602</v>
      </c>
      <c r="I3069" s="1243">
        <f>O2955</f>
        <v>398703.68670685915</v>
      </c>
      <c r="J3069" s="376">
        <f>+J2955</f>
        <v>1.7999999999999999E-2</v>
      </c>
      <c r="K3069" s="1243">
        <f>'WPB-2.1.D SMRP'!K1214</f>
        <v>82794.570000000007</v>
      </c>
      <c r="L3069" s="1243">
        <v>0</v>
      </c>
      <c r="M3069" s="1243">
        <f>F3069</f>
        <v>-5870.75</v>
      </c>
      <c r="N3069" s="1243">
        <f>'WPB-2.1.D SMRP'!N1214</f>
        <v>-7956.1119827154998</v>
      </c>
      <c r="O3069" s="1243">
        <f>I3069+K3069+L3069+M3069+N3069</f>
        <v>467671.39472414367</v>
      </c>
    </row>
    <row r="3070" spans="1:15">
      <c r="A3070" s="361">
        <f t="shared" si="572"/>
        <v>25</v>
      </c>
      <c r="B3070" s="365">
        <v>378.2</v>
      </c>
      <c r="C3070" s="358" t="s">
        <v>1776</v>
      </c>
      <c r="D3070" s="1243">
        <f>G2956</f>
        <v>599780.62011021946</v>
      </c>
      <c r="E3070" s="1243">
        <f>'WPB-2.1.D SMRP'!E1215</f>
        <v>0</v>
      </c>
      <c r="F3070" s="1243">
        <f>'WPB-2.1.D SMRP'!F1215</f>
        <v>0</v>
      </c>
      <c r="G3070" s="1243">
        <f>SUM(D3070:F3070)</f>
        <v>599780.62011021946</v>
      </c>
      <c r="I3070" s="1243">
        <f>O2956</f>
        <v>-941508.49754116021</v>
      </c>
      <c r="J3070" s="376">
        <f>+J2956</f>
        <v>3.3099999999999997E-2</v>
      </c>
      <c r="K3070" s="1243">
        <f>'WPB-2.1.D SMRP'!K1215</f>
        <v>1654.39</v>
      </c>
      <c r="L3070" s="1243">
        <v>0</v>
      </c>
      <c r="M3070" s="1243">
        <f>F3070</f>
        <v>0</v>
      </c>
      <c r="N3070" s="1243">
        <f>'WPB-2.1.D SMRP'!N1215</f>
        <v>0</v>
      </c>
      <c r="O3070" s="1243">
        <f>I3070+K3070+L3070+M3070+N3070</f>
        <v>-939854.10754116019</v>
      </c>
    </row>
    <row r="3071" spans="1:15">
      <c r="A3071" s="361">
        <f t="shared" si="572"/>
        <v>26</v>
      </c>
      <c r="B3071" s="365">
        <v>380</v>
      </c>
      <c r="C3071" s="358" t="s">
        <v>1777</v>
      </c>
      <c r="D3071" s="1243">
        <f>G2957</f>
        <v>22872942.68702434</v>
      </c>
      <c r="E3071" s="1243">
        <f>'WPB-2.1.D SMRP'!E1216</f>
        <v>870285.0493177938</v>
      </c>
      <c r="F3071" s="1243">
        <f>'WPB-2.1.D SMRP'!F1216</f>
        <v>-143225.50268491</v>
      </c>
      <c r="G3071" s="1243">
        <f>SUM(D3071:F3071)</f>
        <v>23600002.233657222</v>
      </c>
      <c r="I3071" s="1243">
        <f>O2957</f>
        <v>-11859442.880304588</v>
      </c>
      <c r="J3071" s="376">
        <f>+J2957</f>
        <v>5.1799999999999999E-2</v>
      </c>
      <c r="K3071" s="1243">
        <f>'WPB-2.1.D SMRP'!K1216</f>
        <v>100304.11</v>
      </c>
      <c r="L3071" s="1243">
        <v>0</v>
      </c>
      <c r="M3071" s="1243">
        <f>F3071</f>
        <v>-143225.50268491</v>
      </c>
      <c r="N3071" s="1243">
        <f>'WPB-2.1.D SMRP'!N1216</f>
        <v>-102915.72868366999</v>
      </c>
      <c r="O3071" s="1243">
        <f>I3071+K3071+L3071+M3071+N3071</f>
        <v>-12005280.001673168</v>
      </c>
    </row>
    <row r="3072" spans="1:15">
      <c r="A3072" s="361">
        <f t="shared" si="572"/>
        <v>27</v>
      </c>
      <c r="B3072" s="365">
        <v>382</v>
      </c>
      <c r="C3072" s="358" t="s">
        <v>1778</v>
      </c>
      <c r="D3072" s="1243">
        <f>G2958</f>
        <v>232929.98922360435</v>
      </c>
      <c r="E3072" s="1243">
        <f>'WPB-2.1.D SMRP'!E1217</f>
        <v>2213.4426885468711</v>
      </c>
      <c r="F3072" s="1243">
        <f>'WPB-2.1.D SMRP'!F1217</f>
        <v>-360.86210250545457</v>
      </c>
      <c r="G3072" s="1243">
        <f>SUM(D3072:F3072)</f>
        <v>234782.56980964576</v>
      </c>
      <c r="I3072" s="1243">
        <f>O2958</f>
        <v>-74539.568725359335</v>
      </c>
      <c r="J3072" s="376">
        <f>+J2958</f>
        <v>2.2800000000000001E-2</v>
      </c>
      <c r="K3072" s="1243">
        <f>'WPB-2.1.D SMRP'!K1217</f>
        <v>444.33</v>
      </c>
      <c r="L3072" s="1243">
        <v>0</v>
      </c>
      <c r="M3072" s="1243">
        <f>F3072</f>
        <v>-360.86210250545457</v>
      </c>
      <c r="N3072" s="1243">
        <f>'WPB-2.1.D SMRP'!N1217</f>
        <v>0</v>
      </c>
      <c r="O3072" s="1243">
        <f>I3072+K3072+L3072+M3072+N3072</f>
        <v>-74456.100827864793</v>
      </c>
    </row>
    <row r="3073" spans="1:16">
      <c r="A3073" s="361">
        <f t="shared" si="572"/>
        <v>28</v>
      </c>
      <c r="B3073" s="365">
        <v>383</v>
      </c>
      <c r="C3073" s="358" t="s">
        <v>1779</v>
      </c>
      <c r="D3073" s="1244">
        <f>G2959</f>
        <v>159111.47229580401</v>
      </c>
      <c r="E3073" s="1244">
        <f>'WPB-2.1.D SMRP'!E1218</f>
        <v>4565.6172879667101</v>
      </c>
      <c r="F3073" s="1244">
        <f>'WPB-2.1.D SMRP'!F1218</f>
        <v>-47.987727657103498</v>
      </c>
      <c r="G3073" s="1244">
        <f>SUM(D3073:F3073)</f>
        <v>163629.10185611362</v>
      </c>
      <c r="I3073" s="1244">
        <f>O2959</f>
        <v>-8373.7908257440995</v>
      </c>
      <c r="J3073" s="376">
        <f>+J2959</f>
        <v>2.2200000000000001E-2</v>
      </c>
      <c r="K3073" s="1244">
        <f>'WPB-2.1.D SMRP'!K1218</f>
        <v>298.54000000000002</v>
      </c>
      <c r="L3073" s="1244">
        <v>0</v>
      </c>
      <c r="M3073" s="1244">
        <f>F3073</f>
        <v>-47.987727657103498</v>
      </c>
      <c r="N3073" s="1244">
        <f>'WPB-2.1.D SMRP'!N1218</f>
        <v>0</v>
      </c>
      <c r="O3073" s="1244">
        <f>I3073+K3073+L3073+M3073+N3073</f>
        <v>-8123.2385534012028</v>
      </c>
    </row>
    <row r="3074" spans="1:16">
      <c r="A3074" s="361">
        <f t="shared" si="572"/>
        <v>29</v>
      </c>
      <c r="C3074" s="358" t="s">
        <v>1780</v>
      </c>
      <c r="D3074" s="1243">
        <f>SUM(D3069:D3073)</f>
        <v>78169256.237661034</v>
      </c>
      <c r="E3074" s="1243">
        <f>SUM(E3069:E3073)</f>
        <v>2666717.8364418442</v>
      </c>
      <c r="F3074" s="1243">
        <f>SUM(F3069:F3073)</f>
        <v>-149505.10251507256</v>
      </c>
      <c r="G3074" s="1243">
        <f>SUM(G3069:G3073)</f>
        <v>80686468.971587807</v>
      </c>
      <c r="I3074" s="1243">
        <f>SUM(I3069:I3073)</f>
        <v>-12485161.050689992</v>
      </c>
      <c r="J3074" s="369"/>
      <c r="K3074" s="1243">
        <f>SUM(K3069:K3073)</f>
        <v>185495.94</v>
      </c>
      <c r="L3074" s="1243">
        <f>SUM(L3069:L3073)</f>
        <v>0</v>
      </c>
      <c r="M3074" s="1243">
        <f>SUM(M3069:M3073)</f>
        <v>-149505.10251507256</v>
      </c>
      <c r="N3074" s="1243">
        <f>SUM(N3069:N3073)</f>
        <v>-110871.8406663855</v>
      </c>
      <c r="O3074" s="1243">
        <f>SUM(O3069:O3073)</f>
        <v>-12560042.053871451</v>
      </c>
    </row>
    <row r="3075" spans="1:16">
      <c r="A3075" s="361"/>
      <c r="D3075" s="1243"/>
      <c r="E3075" s="1243"/>
      <c r="F3075" s="1243"/>
      <c r="G3075" s="1243"/>
      <c r="I3075" s="1243"/>
      <c r="J3075" s="369"/>
      <c r="K3075" s="1243"/>
      <c r="L3075" s="1243"/>
      <c r="M3075" s="1243"/>
      <c r="N3075" s="1243"/>
      <c r="O3075" s="1243"/>
    </row>
    <row r="3076" spans="1:16" ht="13.5" thickBot="1">
      <c r="A3076" s="361">
        <f>A3074+1</f>
        <v>30</v>
      </c>
      <c r="C3076" s="358" t="s">
        <v>447</v>
      </c>
      <c r="D3076" s="381">
        <f>D3065+D3074</f>
        <v>842647962.54178274</v>
      </c>
      <c r="E3076" s="381">
        <f>E3065+E3074</f>
        <v>4223866.8404285805</v>
      </c>
      <c r="F3076" s="381">
        <f>F3065+F3074</f>
        <v>-560959.12842097308</v>
      </c>
      <c r="G3076" s="381">
        <f>G3065+G3074</f>
        <v>846310870.2537905</v>
      </c>
      <c r="I3076" s="1248">
        <f>I3065+I3074</f>
        <v>176353306.26870725</v>
      </c>
      <c r="J3076" s="369"/>
      <c r="K3076" s="1248">
        <f>K3065+K3074</f>
        <v>2330619.5523155988</v>
      </c>
      <c r="L3076" s="1248">
        <f>L3065+L3074</f>
        <v>5270.0000000000009</v>
      </c>
      <c r="M3076" s="1248">
        <f>M3065+M3074</f>
        <v>-560959.12842097308</v>
      </c>
      <c r="N3076" s="1248">
        <f>N3065+N3074</f>
        <v>-301115.40000000002</v>
      </c>
      <c r="O3076" s="1248">
        <f>O3065+O3074</f>
        <v>177827121.29260188</v>
      </c>
    </row>
    <row r="3077" spans="1:16" ht="13.5" thickTop="1"/>
    <row r="3078" spans="1:16" ht="13.5" customHeight="1"/>
    <row r="3079" spans="1:16" s="291" customFormat="1" ht="13.5" customHeight="1">
      <c r="A3079" s="1308" t="str">
        <f>$A$1</f>
        <v>COLUMBIA GAS OF KENTUCKY, INC.</v>
      </c>
      <c r="B3079" s="1308"/>
      <c r="C3079" s="1308"/>
      <c r="D3079" s="1308"/>
      <c r="E3079" s="1308"/>
      <c r="F3079" s="1308"/>
      <c r="G3079" s="1308"/>
      <c r="H3079" s="1308"/>
      <c r="I3079" s="1308"/>
      <c r="J3079" s="1308"/>
      <c r="K3079" s="1308"/>
      <c r="L3079" s="1308"/>
      <c r="M3079" s="1308"/>
      <c r="N3079" s="1308"/>
      <c r="O3079" s="1308"/>
    </row>
    <row r="3080" spans="1:16" s="291" customFormat="1">
      <c r="A3080" s="1308" t="str">
        <f>$A$2</f>
        <v>CASE NO. 2024 - 00092</v>
      </c>
      <c r="B3080" s="1308"/>
      <c r="C3080" s="1308"/>
      <c r="D3080" s="1308"/>
      <c r="E3080" s="1308"/>
      <c r="F3080" s="1308"/>
      <c r="G3080" s="1308"/>
      <c r="H3080" s="1308"/>
      <c r="I3080" s="1308"/>
      <c r="J3080" s="1308"/>
      <c r="K3080" s="1308"/>
      <c r="L3080" s="1308"/>
      <c r="M3080" s="1308"/>
      <c r="N3080" s="1308"/>
      <c r="O3080" s="1308"/>
    </row>
    <row r="3081" spans="1:16" s="291" customFormat="1">
      <c r="A3081" s="1308" t="str">
        <f>$A$3</f>
        <v>DETAIL OF ACTUAL &amp; FORECASTED PLANT, ACCUMULATED RESERVE &amp; DEPRECIATION EXPENSE</v>
      </c>
      <c r="B3081" s="1308"/>
      <c r="C3081" s="1308"/>
      <c r="D3081" s="1308"/>
      <c r="E3081" s="1308"/>
      <c r="F3081" s="1308"/>
      <c r="G3081" s="1308"/>
      <c r="H3081" s="1308"/>
      <c r="I3081" s="1308"/>
      <c r="J3081" s="1308"/>
      <c r="K3081" s="1308"/>
      <c r="L3081" s="1308"/>
      <c r="M3081" s="1308"/>
      <c r="N3081" s="1308"/>
      <c r="O3081" s="1308"/>
      <c r="P3081" s="357"/>
    </row>
    <row r="3082" spans="1:16" s="291" customFormat="1">
      <c r="A3082" s="1308" t="str">
        <f>$A$4</f>
        <v>FROM JANUARY 01, 2023 THROUGH DECEMBER 31, 2025</v>
      </c>
      <c r="B3082" s="1308"/>
      <c r="C3082" s="1308"/>
      <c r="D3082" s="1308"/>
      <c r="E3082" s="1308"/>
      <c r="F3082" s="1308"/>
      <c r="G3082" s="1308"/>
      <c r="H3082" s="1308"/>
      <c r="I3082" s="1308"/>
      <c r="J3082" s="1308"/>
      <c r="K3082" s="1308"/>
      <c r="L3082" s="1308"/>
      <c r="M3082" s="1308"/>
      <c r="N3082" s="1308"/>
      <c r="O3082" s="1308"/>
    </row>
    <row r="3083" spans="1:16" s="291" customFormat="1">
      <c r="B3083" s="293"/>
      <c r="P3083" s="312"/>
    </row>
    <row r="3084" spans="1:16" s="291" customFormat="1">
      <c r="A3084" s="297" t="str">
        <f>$A$6</f>
        <v xml:space="preserve">DATA: _X_ BASE PERIOD _X_ FORECASTED PERIOD     </v>
      </c>
      <c r="B3084" s="293"/>
      <c r="O3084" s="312" t="str">
        <f>$O$6</f>
        <v>WPB-2.1.C</v>
      </c>
      <c r="P3084" s="312"/>
    </row>
    <row r="3085" spans="1:16" s="291" customFormat="1">
      <c r="A3085" s="297" t="str">
        <f>$A$7</f>
        <v>TYPE OF FILING:___X___ORIGINAL______UPDATED</v>
      </c>
      <c r="B3085" s="293"/>
      <c r="O3085" s="312" t="s">
        <v>2168</v>
      </c>
      <c r="P3085" s="312"/>
    </row>
    <row r="3086" spans="1:16" s="291" customFormat="1">
      <c r="A3086" s="297" t="str">
        <f>$A$8</f>
        <v>WORKPAPER REFERENCE NO(S).:</v>
      </c>
      <c r="B3086" s="293"/>
      <c r="O3086" s="312" t="str">
        <f>$O$8</f>
        <v>WITNESS: GORE</v>
      </c>
    </row>
    <row r="3087" spans="1:16">
      <c r="A3087" s="918"/>
      <c r="B3087" s="919"/>
      <c r="C3087" s="918"/>
      <c r="D3087" s="918"/>
      <c r="E3087" s="918"/>
      <c r="F3087" s="918"/>
      <c r="G3087" s="918"/>
      <c r="H3087" s="918"/>
      <c r="I3087" s="918"/>
      <c r="J3087" s="918"/>
      <c r="K3087" s="918"/>
      <c r="L3087" s="918"/>
      <c r="M3087" s="918"/>
      <c r="N3087" s="918"/>
      <c r="O3087" s="920"/>
    </row>
    <row r="3088" spans="1:16">
      <c r="D3088" s="1311" t="s">
        <v>1768</v>
      </c>
      <c r="E3088" s="1311"/>
      <c r="F3088" s="1311"/>
      <c r="G3088" s="1311"/>
      <c r="I3088" s="1311" t="s">
        <v>1769</v>
      </c>
      <c r="J3088" s="1311"/>
      <c r="K3088" s="1311"/>
      <c r="L3088" s="1311"/>
      <c r="M3088" s="1311"/>
      <c r="N3088" s="1311"/>
      <c r="O3088" s="1311"/>
    </row>
    <row r="3089" spans="1:15">
      <c r="D3089" s="360">
        <f>G3034+1</f>
        <v>45748</v>
      </c>
      <c r="G3089" s="360">
        <f>D3089+29</f>
        <v>45777</v>
      </c>
      <c r="I3089" s="360">
        <f>D3089</f>
        <v>45748</v>
      </c>
      <c r="O3089" s="360">
        <f>G3089</f>
        <v>45777</v>
      </c>
    </row>
    <row r="3090" spans="1:15">
      <c r="D3090" s="361" t="s">
        <v>1757</v>
      </c>
      <c r="G3090" s="361" t="s">
        <v>1757</v>
      </c>
      <c r="I3090" s="361" t="s">
        <v>1758</v>
      </c>
      <c r="J3090" s="361" t="s">
        <v>488</v>
      </c>
      <c r="L3090" s="361" t="s">
        <v>1758</v>
      </c>
      <c r="O3090" s="361" t="s">
        <v>1758</v>
      </c>
    </row>
    <row r="3091" spans="1:15">
      <c r="A3091" s="361" t="s">
        <v>1770</v>
      </c>
      <c r="B3091" s="361" t="s">
        <v>368</v>
      </c>
      <c r="C3091" s="361"/>
      <c r="D3091" s="361" t="s">
        <v>437</v>
      </c>
      <c r="G3091" s="361" t="s">
        <v>439</v>
      </c>
      <c r="I3091" s="361" t="s">
        <v>437</v>
      </c>
      <c r="J3091" s="361" t="s">
        <v>1771</v>
      </c>
      <c r="K3091" s="361" t="s">
        <v>1772</v>
      </c>
      <c r="L3091" s="361" t="s">
        <v>1759</v>
      </c>
      <c r="N3091" s="361" t="s">
        <v>1760</v>
      </c>
      <c r="O3091" s="361" t="s">
        <v>439</v>
      </c>
    </row>
    <row r="3092" spans="1:15">
      <c r="A3092" s="364" t="s">
        <v>316</v>
      </c>
      <c r="B3092" s="364" t="s">
        <v>316</v>
      </c>
      <c r="C3092" s="364" t="s">
        <v>451</v>
      </c>
      <c r="D3092" s="364" t="s">
        <v>441</v>
      </c>
      <c r="E3092" s="364" t="s">
        <v>442</v>
      </c>
      <c r="F3092" s="364" t="s">
        <v>443</v>
      </c>
      <c r="G3092" s="364" t="s">
        <v>441</v>
      </c>
      <c r="I3092" s="364" t="s">
        <v>441</v>
      </c>
      <c r="J3092" s="364" t="s">
        <v>1773</v>
      </c>
      <c r="K3092" s="364" t="s">
        <v>1771</v>
      </c>
      <c r="L3092" s="364" t="s">
        <v>355</v>
      </c>
      <c r="M3092" s="364" t="s">
        <v>443</v>
      </c>
      <c r="N3092" s="364" t="s">
        <v>1763</v>
      </c>
      <c r="O3092" s="364" t="s">
        <v>441</v>
      </c>
    </row>
    <row r="3093" spans="1:15">
      <c r="D3093" s="361" t="s">
        <v>532</v>
      </c>
      <c r="E3093" s="361" t="s">
        <v>541</v>
      </c>
      <c r="F3093" s="361" t="s">
        <v>542</v>
      </c>
      <c r="G3093" s="361" t="s">
        <v>1764</v>
      </c>
      <c r="I3093" s="334" t="str">
        <f>"(5)"</f>
        <v>(5)</v>
      </c>
      <c r="J3093" s="334" t="str">
        <f>"(6)"</f>
        <v>(6)</v>
      </c>
      <c r="K3093" s="334" t="str">
        <f>"(7)=((1+4)/2*6/12))"</f>
        <v>(7)=((1+4)/2*6/12))</v>
      </c>
      <c r="L3093" s="334" t="str">
        <f>"(8)"</f>
        <v>(8)</v>
      </c>
      <c r="M3093" s="334" t="str">
        <f>"(9)"</f>
        <v>(9)</v>
      </c>
      <c r="N3093" s="334" t="str">
        <f>"(10)"</f>
        <v>(10)</v>
      </c>
      <c r="O3093" s="334" t="str">
        <f>"(11=5+7+8+9+10)"</f>
        <v>(11=5+7+8+9+10)</v>
      </c>
    </row>
    <row r="3094" spans="1:15">
      <c r="D3094" s="361" t="s">
        <v>320</v>
      </c>
      <c r="E3094" s="361" t="s">
        <v>320</v>
      </c>
      <c r="F3094" s="361" t="s">
        <v>320</v>
      </c>
      <c r="G3094" s="361" t="s">
        <v>320</v>
      </c>
      <c r="I3094" s="334" t="s">
        <v>320</v>
      </c>
      <c r="J3094" s="334" t="s">
        <v>529</v>
      </c>
      <c r="K3094" s="334" t="s">
        <v>320</v>
      </c>
      <c r="L3094" s="334" t="s">
        <v>320</v>
      </c>
      <c r="M3094" s="334" t="s">
        <v>320</v>
      </c>
      <c r="N3094" s="334" t="s">
        <v>320</v>
      </c>
      <c r="O3094" s="334" t="s">
        <v>320</v>
      </c>
    </row>
    <row r="3095" spans="1:15">
      <c r="A3095" s="361">
        <v>1</v>
      </c>
      <c r="B3095" s="362" t="s">
        <v>373</v>
      </c>
      <c r="D3095" s="361"/>
      <c r="E3095" s="361"/>
      <c r="F3095" s="361"/>
      <c r="G3095" s="361"/>
      <c r="I3095" s="334"/>
      <c r="J3095" s="334"/>
      <c r="K3095" s="334"/>
      <c r="L3095" s="334"/>
      <c r="M3095" s="334"/>
      <c r="N3095" s="334"/>
      <c r="O3095" s="334"/>
    </row>
    <row r="3096" spans="1:15">
      <c r="A3096" s="361">
        <f>A3095+1</f>
        <v>2</v>
      </c>
      <c r="B3096" s="365">
        <v>301</v>
      </c>
      <c r="C3096" s="358" t="s">
        <v>374</v>
      </c>
      <c r="D3096" s="1243">
        <f t="shared" ref="D3096:D3101" si="573">G2982</f>
        <v>521.20000000000005</v>
      </c>
      <c r="E3096" s="1243">
        <v>0</v>
      </c>
      <c r="F3096" s="1243">
        <v>0</v>
      </c>
      <c r="G3096" s="1243">
        <f t="shared" ref="G3096:G3101" si="574">SUM(D3096:F3096)</f>
        <v>521.20000000000005</v>
      </c>
      <c r="H3096" s="1243"/>
      <c r="I3096" s="1243">
        <f t="shared" ref="I3096:I3101" si="575">O2982</f>
        <v>0</v>
      </c>
      <c r="J3096" s="375" t="str">
        <f>$J$1614</f>
        <v>Amort.</v>
      </c>
      <c r="K3096" s="1243">
        <v>0</v>
      </c>
      <c r="L3096" s="1243">
        <v>0</v>
      </c>
      <c r="M3096" s="1243">
        <f t="shared" ref="M3096:M3101" si="576">F3096</f>
        <v>0</v>
      </c>
      <c r="N3096" s="1243">
        <v>0</v>
      </c>
      <c r="O3096" s="1243">
        <f t="shared" ref="O3096:O3101" si="577">I3096+K3096+L3096+M3096+N3096</f>
        <v>0</v>
      </c>
    </row>
    <row r="3097" spans="1:15">
      <c r="A3097" s="361">
        <f t="shared" ref="A3097:A3102" si="578">A3096+1</f>
        <v>3</v>
      </c>
      <c r="B3097" s="365">
        <v>303</v>
      </c>
      <c r="C3097" s="358" t="s">
        <v>375</v>
      </c>
      <c r="D3097" s="1243">
        <f t="shared" si="573"/>
        <v>96334.51</v>
      </c>
      <c r="E3097" s="1243">
        <v>0</v>
      </c>
      <c r="F3097" s="1243">
        <v>0</v>
      </c>
      <c r="G3097" s="1243">
        <f t="shared" si="574"/>
        <v>96334.51</v>
      </c>
      <c r="H3097" s="1243"/>
      <c r="I3097" s="1243">
        <f t="shared" si="575"/>
        <v>82876.337083333448</v>
      </c>
      <c r="J3097" s="375" t="str">
        <f>$J$1615</f>
        <v>Amort.</v>
      </c>
      <c r="K3097" s="1243">
        <f>+'WPB-2.1.E Intangibles'!H53</f>
        <v>267.59780555555557</v>
      </c>
      <c r="L3097" s="1243">
        <v>0</v>
      </c>
      <c r="M3097" s="1243">
        <f t="shared" si="576"/>
        <v>0</v>
      </c>
      <c r="N3097" s="1243">
        <v>0</v>
      </c>
      <c r="O3097" s="1243">
        <f t="shared" si="577"/>
        <v>83143.934888889009</v>
      </c>
    </row>
    <row r="3098" spans="1:15">
      <c r="A3098" s="361">
        <f t="shared" si="578"/>
        <v>4</v>
      </c>
      <c r="B3098" s="365">
        <v>303.10000000000002</v>
      </c>
      <c r="C3098" s="358" t="s">
        <v>376</v>
      </c>
      <c r="D3098" s="1243">
        <f t="shared" si="573"/>
        <v>943.27</v>
      </c>
      <c r="E3098" s="1243">
        <v>0</v>
      </c>
      <c r="F3098" s="1243">
        <v>0</v>
      </c>
      <c r="G3098" s="1243">
        <f t="shared" si="574"/>
        <v>943.27</v>
      </c>
      <c r="H3098" s="1243"/>
      <c r="I3098" s="1243">
        <f t="shared" si="575"/>
        <v>318.35000000000008</v>
      </c>
      <c r="J3098" s="375" t="str">
        <f>$J$1616</f>
        <v>Amort.</v>
      </c>
      <c r="K3098" s="1243">
        <v>0</v>
      </c>
      <c r="L3098" s="1243">
        <v>0</v>
      </c>
      <c r="M3098" s="1243">
        <f t="shared" si="576"/>
        <v>0</v>
      </c>
      <c r="N3098" s="1243">
        <v>0</v>
      </c>
      <c r="O3098" s="1243">
        <f t="shared" si="577"/>
        <v>318.35000000000008</v>
      </c>
    </row>
    <row r="3099" spans="1:15">
      <c r="A3099" s="361">
        <f t="shared" si="578"/>
        <v>5</v>
      </c>
      <c r="B3099" s="365">
        <v>303.2</v>
      </c>
      <c r="C3099" s="358" t="s">
        <v>377</v>
      </c>
      <c r="D3099" s="1243">
        <f t="shared" si="573"/>
        <v>0</v>
      </c>
      <c r="E3099" s="1243">
        <v>0</v>
      </c>
      <c r="F3099" s="1243">
        <v>0</v>
      </c>
      <c r="G3099" s="1243">
        <f t="shared" si="574"/>
        <v>0</v>
      </c>
      <c r="H3099" s="1243"/>
      <c r="I3099" s="1243">
        <f t="shared" si="575"/>
        <v>0</v>
      </c>
      <c r="J3099" s="375" t="str">
        <f>$J$1617</f>
        <v>Amort.</v>
      </c>
      <c r="K3099" s="1243">
        <v>0</v>
      </c>
      <c r="L3099" s="1243">
        <v>0</v>
      </c>
      <c r="M3099" s="1243">
        <f t="shared" si="576"/>
        <v>0</v>
      </c>
      <c r="N3099" s="1243">
        <v>0</v>
      </c>
      <c r="O3099" s="1243">
        <f t="shared" si="577"/>
        <v>0</v>
      </c>
    </row>
    <row r="3100" spans="1:15">
      <c r="A3100" s="361">
        <f t="shared" si="578"/>
        <v>6</v>
      </c>
      <c r="B3100" s="365">
        <v>303.3</v>
      </c>
      <c r="C3100" s="358" t="s">
        <v>378</v>
      </c>
      <c r="D3100" s="1243">
        <f t="shared" si="573"/>
        <v>13848479.360705003</v>
      </c>
      <c r="E3100" s="1243">
        <f>+'WPB-2.1.E Intangibles'!H26</f>
        <v>2276545.4219440091</v>
      </c>
      <c r="F3100" s="1243">
        <f>-'WPB-2.1.E Intangibles'!H41</f>
        <v>-16342.539999999999</v>
      </c>
      <c r="G3100" s="1243">
        <f t="shared" si="574"/>
        <v>16108682.242649013</v>
      </c>
      <c r="H3100" s="1243"/>
      <c r="I3100" s="1243">
        <f t="shared" si="575"/>
        <v>6175347.1904264623</v>
      </c>
      <c r="J3100" s="375" t="str">
        <f>$J$1618</f>
        <v>Amort.</v>
      </c>
      <c r="K3100" s="1243">
        <f>+'WPB-2.1.E Intangibles'!H54</f>
        <v>238232.89667598344</v>
      </c>
      <c r="L3100" s="1243">
        <v>0</v>
      </c>
      <c r="M3100" s="1243">
        <f t="shared" si="576"/>
        <v>-16342.539999999999</v>
      </c>
      <c r="N3100" s="1243">
        <v>0</v>
      </c>
      <c r="O3100" s="1243">
        <f t="shared" si="577"/>
        <v>6397237.5471024457</v>
      </c>
    </row>
    <row r="3101" spans="1:15">
      <c r="A3101" s="361">
        <f t="shared" si="578"/>
        <v>7</v>
      </c>
      <c r="B3101" s="365">
        <v>303.99</v>
      </c>
      <c r="C3101" s="358" t="s">
        <v>1129</v>
      </c>
      <c r="D3101" s="1244">
        <f t="shared" si="573"/>
        <v>2123005.6314930166</v>
      </c>
      <c r="E3101" s="1244">
        <f>+'WPB-2.1.E Intangibles'!H30</f>
        <v>2091855.5652282711</v>
      </c>
      <c r="F3101" s="1244">
        <f>-'WPB-2.1.E Intangibles'!H42</f>
        <v>-8519.7799999999988</v>
      </c>
      <c r="G3101" s="1244">
        <f t="shared" si="574"/>
        <v>4206341.4167212872</v>
      </c>
      <c r="H3101" s="1243"/>
      <c r="I3101" s="1244">
        <f t="shared" si="575"/>
        <v>1182059.1838898452</v>
      </c>
      <c r="J3101" s="375" t="str">
        <f>$J$1619</f>
        <v>Amort.</v>
      </c>
      <c r="K3101" s="1244">
        <f>+'WPB-2.1.E Intangibles'!H55</f>
        <v>47633.131590227109</v>
      </c>
      <c r="L3101" s="1244">
        <v>0</v>
      </c>
      <c r="M3101" s="1244">
        <f t="shared" si="576"/>
        <v>-8519.7799999999988</v>
      </c>
      <c r="N3101" s="1244">
        <v>0</v>
      </c>
      <c r="O3101" s="1244">
        <f t="shared" si="577"/>
        <v>1221172.5354800723</v>
      </c>
    </row>
    <row r="3102" spans="1:15">
      <c r="A3102" s="361">
        <f t="shared" si="578"/>
        <v>8</v>
      </c>
      <c r="B3102" s="367"/>
      <c r="C3102" s="358" t="s">
        <v>379</v>
      </c>
      <c r="D3102" s="1243">
        <f>SUM(D3096:D3101)</f>
        <v>16069283.972198021</v>
      </c>
      <c r="E3102" s="1243">
        <f>SUM(E3096:E3101)</f>
        <v>4368400.9871722804</v>
      </c>
      <c r="F3102" s="1243">
        <f>SUM(F3096:F3101)</f>
        <v>-24862.32</v>
      </c>
      <c r="G3102" s="1243">
        <f>SUM(G3096:G3101)</f>
        <v>20412822.6393703</v>
      </c>
      <c r="H3102" s="1243"/>
      <c r="I3102" s="1243">
        <f>SUM(I3096:I3101)</f>
        <v>7440601.0613996414</v>
      </c>
      <c r="J3102" s="369"/>
      <c r="K3102" s="1243">
        <f>SUM(K3096:K3101)</f>
        <v>286133.62607176614</v>
      </c>
      <c r="L3102" s="1243">
        <f>SUM(L3096:L3101)</f>
        <v>0</v>
      </c>
      <c r="M3102" s="1243">
        <f>SUM(M3096:M3101)</f>
        <v>-24862.32</v>
      </c>
      <c r="N3102" s="1243">
        <f>SUM(N3096:N3101)</f>
        <v>0</v>
      </c>
      <c r="O3102" s="1243">
        <f>SUM(O3096:O3101)</f>
        <v>7701872.3674714062</v>
      </c>
    </row>
    <row r="3103" spans="1:15">
      <c r="A3103" s="361"/>
      <c r="B3103" s="367"/>
      <c r="C3103" s="368"/>
      <c r="D3103" s="1243"/>
      <c r="E3103" s="1243"/>
      <c r="F3103" s="1243"/>
      <c r="G3103" s="1243"/>
      <c r="H3103" s="1243"/>
      <c r="I3103" s="1243"/>
      <c r="J3103" s="369"/>
      <c r="K3103" s="1243"/>
      <c r="L3103" s="1243"/>
      <c r="M3103" s="1243"/>
      <c r="N3103" s="1243"/>
      <c r="O3103" s="1243"/>
    </row>
    <row r="3104" spans="1:15">
      <c r="A3104" s="361">
        <f>A3102+1</f>
        <v>9</v>
      </c>
      <c r="B3104" s="362" t="s">
        <v>1600</v>
      </c>
      <c r="C3104" s="368"/>
      <c r="D3104" s="1243"/>
      <c r="E3104" s="1243"/>
      <c r="F3104" s="1243"/>
      <c r="G3104" s="1243"/>
      <c r="H3104" s="1243"/>
      <c r="I3104" s="1243"/>
      <c r="J3104" s="369"/>
      <c r="K3104" s="1243"/>
      <c r="L3104" s="1243"/>
      <c r="M3104" s="1243"/>
      <c r="N3104" s="1243"/>
      <c r="O3104" s="1243"/>
    </row>
    <row r="3105" spans="1:15">
      <c r="A3105" s="361">
        <f t="shared" ref="A3105:A3135" si="579">A3104+1</f>
        <v>10</v>
      </c>
      <c r="B3105" s="365">
        <v>374.1</v>
      </c>
      <c r="C3105" s="358" t="s">
        <v>382</v>
      </c>
      <c r="D3105" s="1243">
        <f t="shared" ref="D3105:D3134" si="580">G2991</f>
        <v>205.4</v>
      </c>
      <c r="E3105" s="1243">
        <v>0</v>
      </c>
      <c r="F3105" s="1243">
        <v>0</v>
      </c>
      <c r="G3105" s="1243">
        <f>SUM(D3105:F3105)</f>
        <v>205.4</v>
      </c>
      <c r="H3105" s="1243"/>
      <c r="I3105" s="1243">
        <f t="shared" ref="I3105:I3134" si="581">O2991</f>
        <v>0</v>
      </c>
      <c r="J3105" s="375" t="str">
        <f>$J$1623</f>
        <v>Non-Dep.</v>
      </c>
      <c r="K3105" s="1243">
        <v>0</v>
      </c>
      <c r="L3105" s="1243">
        <v>0</v>
      </c>
      <c r="M3105" s="1243">
        <f t="shared" ref="M3105:M3134" si="582">F3105</f>
        <v>0</v>
      </c>
      <c r="N3105" s="1243">
        <v>0</v>
      </c>
      <c r="O3105" s="1243">
        <f t="shared" ref="O3105:O3134" si="583">I3105+K3105+L3105+M3105+N3105</f>
        <v>0</v>
      </c>
    </row>
    <row r="3106" spans="1:15">
      <c r="A3106" s="361">
        <f t="shared" si="579"/>
        <v>11</v>
      </c>
      <c r="B3106" s="365">
        <v>374.2</v>
      </c>
      <c r="C3106" s="358" t="s">
        <v>383</v>
      </c>
      <c r="D3106" s="1243">
        <f t="shared" si="580"/>
        <v>876986.66</v>
      </c>
      <c r="E3106" s="1243">
        <v>0</v>
      </c>
      <c r="F3106" s="1243">
        <v>0</v>
      </c>
      <c r="G3106" s="1243">
        <f t="shared" ref="G3106:G3134" si="584">SUM(D3106:F3106)</f>
        <v>876986.66</v>
      </c>
      <c r="H3106" s="1243"/>
      <c r="I3106" s="1243">
        <f t="shared" si="581"/>
        <v>-522.25</v>
      </c>
      <c r="J3106" s="375" t="str">
        <f>$J$1624</f>
        <v>Non-Dep.</v>
      </c>
      <c r="K3106" s="1243">
        <v>0</v>
      </c>
      <c r="L3106" s="1243">
        <v>0</v>
      </c>
      <c r="M3106" s="1243">
        <f t="shared" si="582"/>
        <v>0</v>
      </c>
      <c r="N3106" s="1243">
        <v>0</v>
      </c>
      <c r="O3106" s="1243">
        <f t="shared" si="583"/>
        <v>-522.25</v>
      </c>
    </row>
    <row r="3107" spans="1:15">
      <c r="A3107" s="361">
        <f t="shared" si="579"/>
        <v>12</v>
      </c>
      <c r="B3107" s="365">
        <v>374.4</v>
      </c>
      <c r="C3107" s="358" t="s">
        <v>384</v>
      </c>
      <c r="D3107" s="1243">
        <f t="shared" si="580"/>
        <v>3145218.9300000006</v>
      </c>
      <c r="E3107" s="1243">
        <v>894.75</v>
      </c>
      <c r="F3107" s="1243">
        <v>0</v>
      </c>
      <c r="G3107" s="1243">
        <f t="shared" si="584"/>
        <v>3146113.6800000006</v>
      </c>
      <c r="H3107" s="1243"/>
      <c r="I3107" s="1243">
        <f t="shared" si="581"/>
        <v>399872.77</v>
      </c>
      <c r="J3107" s="376">
        <f t="shared" ref="J3107:J3134" si="585">+J2993</f>
        <v>1.3299999999999999E-2</v>
      </c>
      <c r="K3107" s="1243">
        <f t="shared" ref="K3107:K3113" si="586">ROUND((G3107+D3107)/2*J3107/12,0)</f>
        <v>3486</v>
      </c>
      <c r="L3107" s="1243">
        <v>0</v>
      </c>
      <c r="M3107" s="1243">
        <f t="shared" si="582"/>
        <v>0</v>
      </c>
      <c r="N3107" s="1243">
        <v>0</v>
      </c>
      <c r="O3107" s="1243">
        <f t="shared" si="583"/>
        <v>403358.77</v>
      </c>
    </row>
    <row r="3108" spans="1:15">
      <c r="A3108" s="361">
        <f t="shared" si="579"/>
        <v>13</v>
      </c>
      <c r="B3108" s="365">
        <v>374.5</v>
      </c>
      <c r="C3108" s="358" t="s">
        <v>385</v>
      </c>
      <c r="D3108" s="1243">
        <f t="shared" si="580"/>
        <v>2666577.16</v>
      </c>
      <c r="E3108" s="1243">
        <v>0</v>
      </c>
      <c r="F3108" s="1243">
        <v>0</v>
      </c>
      <c r="G3108" s="1243">
        <f t="shared" si="584"/>
        <v>2666577.16</v>
      </c>
      <c r="H3108" s="1243"/>
      <c r="I3108" s="1243">
        <f t="shared" si="581"/>
        <v>1192960.1900000013</v>
      </c>
      <c r="J3108" s="376">
        <f t="shared" si="585"/>
        <v>1.0999999999999999E-2</v>
      </c>
      <c r="K3108" s="1243">
        <f t="shared" si="586"/>
        <v>2444</v>
      </c>
      <c r="L3108" s="1243">
        <v>0</v>
      </c>
      <c r="M3108" s="1243">
        <f t="shared" si="582"/>
        <v>0</v>
      </c>
      <c r="N3108" s="1243">
        <v>0</v>
      </c>
      <c r="O3108" s="1243">
        <f t="shared" si="583"/>
        <v>1195404.1900000013</v>
      </c>
    </row>
    <row r="3109" spans="1:15">
      <c r="A3109" s="361">
        <f t="shared" si="579"/>
        <v>14</v>
      </c>
      <c r="B3109" s="365">
        <v>375.2</v>
      </c>
      <c r="C3109" s="358" t="s">
        <v>386</v>
      </c>
      <c r="D3109" s="1243">
        <f t="shared" si="580"/>
        <v>2124.98</v>
      </c>
      <c r="E3109" s="1243">
        <v>0</v>
      </c>
      <c r="F3109" s="1243">
        <v>0</v>
      </c>
      <c r="G3109" s="1243">
        <f t="shared" si="584"/>
        <v>2124.98</v>
      </c>
      <c r="H3109" s="1243"/>
      <c r="I3109" s="1243">
        <f t="shared" si="581"/>
        <v>2115.3000000000002</v>
      </c>
      <c r="J3109" s="376">
        <f t="shared" si="585"/>
        <v>2.3900000000000001E-2</v>
      </c>
      <c r="K3109" s="1243">
        <f t="shared" si="586"/>
        <v>4</v>
      </c>
      <c r="L3109" s="1243">
        <v>0</v>
      </c>
      <c r="M3109" s="1243">
        <f t="shared" si="582"/>
        <v>0</v>
      </c>
      <c r="N3109" s="1243">
        <v>0</v>
      </c>
      <c r="O3109" s="1243">
        <f t="shared" si="583"/>
        <v>2119.3000000000002</v>
      </c>
    </row>
    <row r="3110" spans="1:15">
      <c r="A3110" s="361">
        <f t="shared" si="579"/>
        <v>15</v>
      </c>
      <c r="B3110" s="365">
        <v>375.3</v>
      </c>
      <c r="C3110" s="358" t="s">
        <v>387</v>
      </c>
      <c r="D3110" s="1243">
        <f t="shared" si="580"/>
        <v>0</v>
      </c>
      <c r="E3110" s="1243">
        <v>0</v>
      </c>
      <c r="F3110" s="1243">
        <v>0</v>
      </c>
      <c r="G3110" s="1243">
        <f t="shared" si="584"/>
        <v>0</v>
      </c>
      <c r="H3110" s="1243"/>
      <c r="I3110" s="1243">
        <f t="shared" si="581"/>
        <v>-77.66</v>
      </c>
      <c r="J3110" s="376">
        <f t="shared" si="585"/>
        <v>2.3900000000000001E-2</v>
      </c>
      <c r="K3110" s="1243">
        <f t="shared" si="586"/>
        <v>0</v>
      </c>
      <c r="L3110" s="1243">
        <v>0</v>
      </c>
      <c r="M3110" s="1243">
        <f t="shared" si="582"/>
        <v>0</v>
      </c>
      <c r="N3110" s="1243">
        <v>0</v>
      </c>
      <c r="O3110" s="1243">
        <f t="shared" si="583"/>
        <v>-77.66</v>
      </c>
    </row>
    <row r="3111" spans="1:15">
      <c r="A3111" s="361">
        <f t="shared" si="579"/>
        <v>16</v>
      </c>
      <c r="B3111" s="365">
        <v>375.4</v>
      </c>
      <c r="C3111" s="358" t="s">
        <v>388</v>
      </c>
      <c r="D3111" s="1243">
        <f t="shared" si="580"/>
        <v>3445206.1199999982</v>
      </c>
      <c r="E3111" s="1243">
        <v>857.98</v>
      </c>
      <c r="F3111" s="1243">
        <v>0</v>
      </c>
      <c r="G3111" s="1243">
        <f t="shared" si="584"/>
        <v>3446064.0999999982</v>
      </c>
      <c r="H3111" s="1243"/>
      <c r="I3111" s="1243">
        <f t="shared" si="581"/>
        <v>275355.75000000017</v>
      </c>
      <c r="J3111" s="376">
        <f t="shared" si="585"/>
        <v>2.3900000000000001E-2</v>
      </c>
      <c r="K3111" s="1243">
        <f t="shared" si="586"/>
        <v>6863</v>
      </c>
      <c r="L3111" s="1243">
        <v>0</v>
      </c>
      <c r="M3111" s="1243">
        <f t="shared" si="582"/>
        <v>0</v>
      </c>
      <c r="N3111" s="1243">
        <v>-9027.76</v>
      </c>
      <c r="O3111" s="1243">
        <f t="shared" si="583"/>
        <v>273190.99000000017</v>
      </c>
    </row>
    <row r="3112" spans="1:15">
      <c r="A3112" s="361">
        <f t="shared" si="579"/>
        <v>17</v>
      </c>
      <c r="B3112" s="365">
        <v>375.6</v>
      </c>
      <c r="C3112" s="358" t="s">
        <v>389</v>
      </c>
      <c r="D3112" s="1243">
        <f t="shared" si="580"/>
        <v>0</v>
      </c>
      <c r="E3112" s="1243">
        <v>0</v>
      </c>
      <c r="F3112" s="1243">
        <v>0</v>
      </c>
      <c r="G3112" s="1243">
        <f t="shared" si="584"/>
        <v>0</v>
      </c>
      <c r="H3112" s="1243"/>
      <c r="I3112" s="1243">
        <f t="shared" si="581"/>
        <v>0.02</v>
      </c>
      <c r="J3112" s="376">
        <f t="shared" si="585"/>
        <v>2.3900000000000001E-2</v>
      </c>
      <c r="K3112" s="1243">
        <f t="shared" si="586"/>
        <v>0</v>
      </c>
      <c r="L3112" s="1243">
        <v>0</v>
      </c>
      <c r="M3112" s="1243">
        <f t="shared" si="582"/>
        <v>0</v>
      </c>
      <c r="N3112" s="1243">
        <v>0</v>
      </c>
      <c r="O3112" s="1243">
        <f t="shared" si="583"/>
        <v>0.02</v>
      </c>
    </row>
    <row r="3113" spans="1:15">
      <c r="A3113" s="361">
        <f t="shared" si="579"/>
        <v>18</v>
      </c>
      <c r="B3113" s="365">
        <v>375.7</v>
      </c>
      <c r="C3113" s="358" t="s">
        <v>390</v>
      </c>
      <c r="D3113" s="1243">
        <f t="shared" si="580"/>
        <v>9703438.9499999993</v>
      </c>
      <c r="E3113" s="1243">
        <v>0</v>
      </c>
      <c r="F3113" s="1243">
        <v>0</v>
      </c>
      <c r="G3113" s="1243">
        <f t="shared" si="584"/>
        <v>9703438.9499999993</v>
      </c>
      <c r="H3113" s="1243"/>
      <c r="I3113" s="1243">
        <f t="shared" si="581"/>
        <v>4972106.4499999983</v>
      </c>
      <c r="J3113" s="376">
        <f t="shared" si="585"/>
        <v>2.5100000000000001E-2</v>
      </c>
      <c r="K3113" s="1243">
        <f t="shared" si="586"/>
        <v>20296</v>
      </c>
      <c r="L3113" s="1243">
        <v>0</v>
      </c>
      <c r="M3113" s="1243">
        <f t="shared" si="582"/>
        <v>0</v>
      </c>
      <c r="N3113" s="1243">
        <v>-1777.58</v>
      </c>
      <c r="O3113" s="1243">
        <f t="shared" si="583"/>
        <v>4990624.8699999982</v>
      </c>
    </row>
    <row r="3114" spans="1:15">
      <c r="A3114" s="361">
        <f t="shared" si="579"/>
        <v>19</v>
      </c>
      <c r="B3114" s="365">
        <v>375.71</v>
      </c>
      <c r="C3114" s="358" t="s">
        <v>391</v>
      </c>
      <c r="D3114" s="1243">
        <f t="shared" si="580"/>
        <v>880994.59</v>
      </c>
      <c r="E3114" s="1243">
        <v>0</v>
      </c>
      <c r="F3114" s="1243">
        <v>0</v>
      </c>
      <c r="G3114" s="1243">
        <f t="shared" si="584"/>
        <v>880994.59</v>
      </c>
      <c r="H3114" s="1243"/>
      <c r="I3114" s="1243">
        <f t="shared" si="581"/>
        <v>830116.2200000009</v>
      </c>
      <c r="J3114" s="376" t="str">
        <f t="shared" si="585"/>
        <v>Amort.</v>
      </c>
      <c r="K3114" s="1243">
        <f>$K$1290</f>
        <v>4743.54</v>
      </c>
      <c r="L3114" s="1243">
        <v>0</v>
      </c>
      <c r="M3114" s="1243">
        <f t="shared" si="582"/>
        <v>0</v>
      </c>
      <c r="N3114" s="1243">
        <v>0</v>
      </c>
      <c r="O3114" s="1243">
        <f t="shared" si="583"/>
        <v>834859.76000000094</v>
      </c>
    </row>
    <row r="3115" spans="1:15">
      <c r="A3115" s="361">
        <f t="shared" si="579"/>
        <v>20</v>
      </c>
      <c r="B3115" s="365">
        <v>375.8</v>
      </c>
      <c r="C3115" s="358" t="s">
        <v>392</v>
      </c>
      <c r="D3115" s="1243">
        <f t="shared" si="580"/>
        <v>132125.04</v>
      </c>
      <c r="E3115" s="1243">
        <v>0</v>
      </c>
      <c r="F3115" s="1243">
        <v>0</v>
      </c>
      <c r="G3115" s="1243">
        <f t="shared" si="584"/>
        <v>132125.04</v>
      </c>
      <c r="H3115" s="1243"/>
      <c r="I3115" s="1243">
        <f t="shared" si="581"/>
        <v>15244.43</v>
      </c>
      <c r="J3115" s="376">
        <f t="shared" si="585"/>
        <v>2.1100000000000001E-2</v>
      </c>
      <c r="K3115" s="1243">
        <f t="shared" ref="K3115:K3134" si="587">ROUND((G3115+D3115)/2*J3115/12,0)</f>
        <v>232</v>
      </c>
      <c r="L3115" s="1243">
        <v>0</v>
      </c>
      <c r="M3115" s="1243">
        <f t="shared" si="582"/>
        <v>0</v>
      </c>
      <c r="N3115" s="1243">
        <v>0</v>
      </c>
      <c r="O3115" s="1243">
        <f t="shared" si="583"/>
        <v>15476.43</v>
      </c>
    </row>
    <row r="3116" spans="1:15">
      <c r="A3116" s="361">
        <f t="shared" si="579"/>
        <v>21</v>
      </c>
      <c r="B3116" s="365">
        <v>376</v>
      </c>
      <c r="C3116" s="358" t="s">
        <v>1621</v>
      </c>
      <c r="D3116" s="1243">
        <f t="shared" si="580"/>
        <v>422359643.54384547</v>
      </c>
      <c r="E3116" s="1243">
        <f>'WPB-2.1.D SMRP'!E1269</f>
        <v>200513.20363783115</v>
      </c>
      <c r="F3116" s="1243">
        <f>'WPB-2.1.D SMRP'!F1269</f>
        <v>-65314.48</v>
      </c>
      <c r="G3116" s="1243">
        <f t="shared" si="584"/>
        <v>422494842.26748329</v>
      </c>
      <c r="H3116" s="1243"/>
      <c r="I3116" s="1243">
        <f t="shared" si="581"/>
        <v>87971137.525275961</v>
      </c>
      <c r="J3116" s="376">
        <f t="shared" si="585"/>
        <v>1.7999999999999999E-2</v>
      </c>
      <c r="K3116" s="1243">
        <f>'WPB-2.1.D SMRP'!K1269</f>
        <v>633640.92000000004</v>
      </c>
      <c r="L3116" s="1243">
        <v>0</v>
      </c>
      <c r="M3116" s="1243">
        <f>F3116</f>
        <v>-65314.48</v>
      </c>
      <c r="N3116" s="1243">
        <f>'WPB-2.1.D SMRP'!N1269</f>
        <v>-16894.507566774009</v>
      </c>
      <c r="O3116" s="1243">
        <f t="shared" si="583"/>
        <v>88522569.457709178</v>
      </c>
    </row>
    <row r="3117" spans="1:15">
      <c r="A3117" s="361">
        <f t="shared" si="579"/>
        <v>22</v>
      </c>
      <c r="B3117" s="365">
        <v>378.1</v>
      </c>
      <c r="C3117" s="358" t="s">
        <v>394</v>
      </c>
      <c r="D3117" s="1243">
        <f t="shared" si="580"/>
        <v>-172291.25</v>
      </c>
      <c r="E3117" s="1243">
        <v>0</v>
      </c>
      <c r="F3117" s="1243">
        <v>0</v>
      </c>
      <c r="G3117" s="1243">
        <f t="shared" si="584"/>
        <v>-172291.25</v>
      </c>
      <c r="H3117" s="1243"/>
      <c r="I3117" s="1243">
        <f t="shared" si="581"/>
        <v>-329044.52000000008</v>
      </c>
      <c r="J3117" s="376">
        <f t="shared" si="585"/>
        <v>3.3099999999999997E-2</v>
      </c>
      <c r="K3117" s="1243">
        <f t="shared" si="587"/>
        <v>-475</v>
      </c>
      <c r="L3117" s="1243">
        <v>0</v>
      </c>
      <c r="M3117" s="1243">
        <f t="shared" si="582"/>
        <v>0</v>
      </c>
      <c r="N3117" s="1243">
        <v>0</v>
      </c>
      <c r="O3117" s="1243">
        <f t="shared" si="583"/>
        <v>-329519.52000000008</v>
      </c>
    </row>
    <row r="3118" spans="1:15">
      <c r="A3118" s="361">
        <f t="shared" si="579"/>
        <v>23</v>
      </c>
      <c r="B3118" s="365">
        <v>378.2</v>
      </c>
      <c r="C3118" s="358" t="s">
        <v>1622</v>
      </c>
      <c r="D3118" s="1243">
        <f t="shared" si="580"/>
        <v>27993990.949579637</v>
      </c>
      <c r="E3118" s="1243">
        <f>'WPB-2.1.D SMRP'!E1273</f>
        <v>397062.85</v>
      </c>
      <c r="F3118" s="1243">
        <f>'WPB-2.1.D SMRP'!F1273</f>
        <v>-70463.606654774921</v>
      </c>
      <c r="G3118" s="1243">
        <f t="shared" si="584"/>
        <v>28320590.192924865</v>
      </c>
      <c r="H3118" s="1243"/>
      <c r="I3118" s="1243">
        <f t="shared" si="581"/>
        <v>3298611.2375726416</v>
      </c>
      <c r="J3118" s="376">
        <f t="shared" si="585"/>
        <v>3.3099999999999997E-2</v>
      </c>
      <c r="K3118" s="1243">
        <f>'WPB-2.1.D SMRP'!K1273</f>
        <v>77667.61</v>
      </c>
      <c r="L3118" s="1243">
        <v>0</v>
      </c>
      <c r="M3118" s="1243">
        <f>F3118</f>
        <v>-70463.606654774921</v>
      </c>
      <c r="N3118" s="1243">
        <f>'WPB-2.1.D SMRP'!N1273</f>
        <v>-89843.37</v>
      </c>
      <c r="O3118" s="1243">
        <f t="shared" si="583"/>
        <v>3215971.8709178665</v>
      </c>
    </row>
    <row r="3119" spans="1:15">
      <c r="A3119" s="361">
        <f t="shared" si="579"/>
        <v>24</v>
      </c>
      <c r="B3119" s="365">
        <v>378.3</v>
      </c>
      <c r="C3119" s="358" t="s">
        <v>396</v>
      </c>
      <c r="D3119" s="1243">
        <f t="shared" si="580"/>
        <v>45443.08</v>
      </c>
      <c r="E3119" s="1243">
        <v>0</v>
      </c>
      <c r="F3119" s="1243">
        <v>0</v>
      </c>
      <c r="G3119" s="1243">
        <f t="shared" si="584"/>
        <v>45443.08</v>
      </c>
      <c r="H3119" s="1243"/>
      <c r="I3119" s="1243">
        <f t="shared" si="581"/>
        <v>44683.320000000007</v>
      </c>
      <c r="J3119" s="376">
        <f t="shared" si="585"/>
        <v>3.3099999999999997E-2</v>
      </c>
      <c r="K3119" s="1243">
        <f t="shared" si="587"/>
        <v>125</v>
      </c>
      <c r="L3119" s="1243">
        <v>0</v>
      </c>
      <c r="M3119" s="1243">
        <f t="shared" si="582"/>
        <v>0</v>
      </c>
      <c r="N3119" s="1243">
        <v>0</v>
      </c>
      <c r="O3119" s="1243">
        <f t="shared" si="583"/>
        <v>44808.320000000007</v>
      </c>
    </row>
    <row r="3120" spans="1:15">
      <c r="A3120" s="361">
        <f t="shared" si="579"/>
        <v>25</v>
      </c>
      <c r="B3120" s="365">
        <v>379.1</v>
      </c>
      <c r="C3120" s="358" t="s">
        <v>397</v>
      </c>
      <c r="D3120" s="1243">
        <f t="shared" si="580"/>
        <v>1554144.06</v>
      </c>
      <c r="E3120" s="1243">
        <v>0</v>
      </c>
      <c r="F3120" s="1243">
        <v>0</v>
      </c>
      <c r="G3120" s="1243">
        <f t="shared" si="584"/>
        <v>1554144.06</v>
      </c>
      <c r="H3120" s="1243"/>
      <c r="I3120" s="1243">
        <f t="shared" si="581"/>
        <v>398863.19000000006</v>
      </c>
      <c r="J3120" s="376">
        <f t="shared" si="585"/>
        <v>2.5399999999999999E-2</v>
      </c>
      <c r="K3120" s="1243">
        <f t="shared" si="587"/>
        <v>3290</v>
      </c>
      <c r="L3120" s="1243">
        <v>0</v>
      </c>
      <c r="M3120" s="1243">
        <f t="shared" si="582"/>
        <v>0</v>
      </c>
      <c r="N3120" s="1243">
        <v>0</v>
      </c>
      <c r="O3120" s="1243">
        <f t="shared" si="583"/>
        <v>402153.19000000006</v>
      </c>
    </row>
    <row r="3121" spans="1:15">
      <c r="A3121" s="361">
        <f t="shared" si="579"/>
        <v>26</v>
      </c>
      <c r="B3121" s="365">
        <v>380</v>
      </c>
      <c r="C3121" s="358" t="s">
        <v>1623</v>
      </c>
      <c r="D3121" s="1243">
        <f t="shared" si="580"/>
        <v>205525066.28634277</v>
      </c>
      <c r="E3121" s="1243">
        <f>'WPB-2.1.D SMRP'!E1277</f>
        <v>499789.25552785408</v>
      </c>
      <c r="F3121" s="1243">
        <f>'WPB-2.1.D SMRP'!F1277</f>
        <v>-49567.623875895719</v>
      </c>
      <c r="G3121" s="1243">
        <f t="shared" si="584"/>
        <v>205975287.91799474</v>
      </c>
      <c r="H3121" s="1243"/>
      <c r="I3121" s="1243">
        <f t="shared" si="581"/>
        <v>68892377.721673176</v>
      </c>
      <c r="J3121" s="376">
        <f t="shared" si="585"/>
        <v>5.1799999999999999E-2</v>
      </c>
      <c r="K3121" s="1243">
        <f>'WPB-2.1.D SMRP'!K1277</f>
        <v>888155.34</v>
      </c>
      <c r="L3121" s="1243">
        <v>0</v>
      </c>
      <c r="M3121" s="1243">
        <f>F3121</f>
        <v>-49567.623875895719</v>
      </c>
      <c r="N3121" s="1243">
        <f>'WPB-2.1.D SMRP'!N1277</f>
        <v>-43309.698378292014</v>
      </c>
      <c r="O3121" s="1243">
        <f t="shared" si="583"/>
        <v>69687655.739418983</v>
      </c>
    </row>
    <row r="3122" spans="1:15">
      <c r="A3122" s="361">
        <f t="shared" si="579"/>
        <v>27</v>
      </c>
      <c r="B3122" s="365">
        <v>381</v>
      </c>
      <c r="C3122" s="358" t="s">
        <v>399</v>
      </c>
      <c r="D3122" s="1243">
        <f t="shared" si="580"/>
        <v>20843943.400000006</v>
      </c>
      <c r="E3122" s="1243">
        <v>74327.63</v>
      </c>
      <c r="F3122" s="1243">
        <v>-267856.14</v>
      </c>
      <c r="G3122" s="1243">
        <f t="shared" si="584"/>
        <v>20650414.890000004</v>
      </c>
      <c r="H3122" s="1243"/>
      <c r="I3122" s="1243">
        <f t="shared" si="581"/>
        <v>1993236.8099999996</v>
      </c>
      <c r="J3122" s="376">
        <f t="shared" si="585"/>
        <v>3.5799999999999998E-2</v>
      </c>
      <c r="K3122" s="1243">
        <f t="shared" si="587"/>
        <v>61896</v>
      </c>
      <c r="L3122" s="1243">
        <v>0</v>
      </c>
      <c r="M3122" s="1243">
        <f t="shared" si="582"/>
        <v>-267856.14</v>
      </c>
      <c r="N3122" s="1243">
        <v>0</v>
      </c>
      <c r="O3122" s="1243">
        <f t="shared" si="583"/>
        <v>1787276.6699999995</v>
      </c>
    </row>
    <row r="3123" spans="1:15">
      <c r="A3123" s="361">
        <f t="shared" si="579"/>
        <v>28</v>
      </c>
      <c r="B3123" s="365">
        <v>381.1</v>
      </c>
      <c r="C3123" s="358" t="s">
        <v>2366</v>
      </c>
      <c r="D3123" s="1243">
        <f t="shared" si="580"/>
        <v>9980854.4800000004</v>
      </c>
      <c r="E3123" s="1243">
        <v>0</v>
      </c>
      <c r="F3123" s="1243">
        <v>0</v>
      </c>
      <c r="G3123" s="1243">
        <f t="shared" si="584"/>
        <v>9980854.4800000004</v>
      </c>
      <c r="H3123" s="1243"/>
      <c r="I3123" s="1243">
        <f t="shared" si="581"/>
        <v>6277092.0300000031</v>
      </c>
      <c r="J3123" s="376">
        <f t="shared" si="585"/>
        <v>6.7900000000000002E-2</v>
      </c>
      <c r="K3123" s="1243">
        <f t="shared" si="587"/>
        <v>56475</v>
      </c>
      <c r="L3123" s="1243">
        <v>0</v>
      </c>
      <c r="M3123" s="1243">
        <f t="shared" si="582"/>
        <v>0</v>
      </c>
      <c r="N3123" s="1243">
        <v>0</v>
      </c>
      <c r="O3123" s="1243">
        <f t="shared" si="583"/>
        <v>6333567.0300000031</v>
      </c>
    </row>
    <row r="3124" spans="1:15">
      <c r="A3124" s="361">
        <f t="shared" si="579"/>
        <v>29</v>
      </c>
      <c r="B3124" s="365">
        <v>382</v>
      </c>
      <c r="C3124" s="358" t="s">
        <v>1624</v>
      </c>
      <c r="D3124" s="1243">
        <f t="shared" si="580"/>
        <v>10706962.447551958</v>
      </c>
      <c r="E3124" s="1243">
        <f>'WPB-2.1.D SMRP'!E1281</f>
        <v>5668.3923264467749</v>
      </c>
      <c r="F3124" s="1243">
        <f>'WPB-2.1.D SMRP'!F1281</f>
        <v>-1770.219833639532</v>
      </c>
      <c r="G3124" s="1243">
        <f t="shared" si="584"/>
        <v>10710860.620044764</v>
      </c>
      <c r="H3124" s="1243"/>
      <c r="I3124" s="1243">
        <f t="shared" si="581"/>
        <v>6074214.7850232003</v>
      </c>
      <c r="J3124" s="376">
        <f t="shared" si="585"/>
        <v>2.2800000000000001E-2</v>
      </c>
      <c r="K3124" s="1243">
        <f>'WPB-2.1.D SMRP'!K1281</f>
        <v>20346.68</v>
      </c>
      <c r="L3124" s="1243">
        <v>0</v>
      </c>
      <c r="M3124" s="1243">
        <f t="shared" si="582"/>
        <v>-1770.219833639532</v>
      </c>
      <c r="N3124" s="1243">
        <f>'WPB-2.1.D SMRP'!N1281</f>
        <v>0</v>
      </c>
      <c r="O3124" s="1243">
        <f t="shared" si="583"/>
        <v>6092791.2451895606</v>
      </c>
    </row>
    <row r="3125" spans="1:15">
      <c r="A3125" s="361">
        <f t="shared" si="579"/>
        <v>30</v>
      </c>
      <c r="B3125" s="365">
        <v>383</v>
      </c>
      <c r="C3125" s="358" t="s">
        <v>1625</v>
      </c>
      <c r="D3125" s="1243">
        <f t="shared" si="580"/>
        <v>7682498.1126846671</v>
      </c>
      <c r="E3125" s="1243">
        <f>'WPB-2.1.D SMRP'!E1285</f>
        <v>21422.22970007014</v>
      </c>
      <c r="F3125" s="1243">
        <f>'WPB-2.1.D SMRP'!F1285</f>
        <v>-309.68153304422719</v>
      </c>
      <c r="G3125" s="1243">
        <f t="shared" si="584"/>
        <v>7703610.6608516928</v>
      </c>
      <c r="H3125" s="1243"/>
      <c r="I3125" s="1243">
        <f t="shared" si="581"/>
        <v>2667293.1355287191</v>
      </c>
      <c r="J3125" s="376">
        <f t="shared" si="585"/>
        <v>2.2200000000000001E-2</v>
      </c>
      <c r="K3125" s="1243">
        <f>'WPB-2.1.D SMRP'!K1285</f>
        <v>14231.93</v>
      </c>
      <c r="L3125" s="1243">
        <v>0</v>
      </c>
      <c r="M3125" s="1243">
        <f t="shared" si="582"/>
        <v>-309.68153304422719</v>
      </c>
      <c r="N3125" s="1243">
        <f>'WPB-2.1.D SMRP'!N1285</f>
        <v>0</v>
      </c>
      <c r="O3125" s="1243">
        <f t="shared" si="583"/>
        <v>2681215.383995675</v>
      </c>
    </row>
    <row r="3126" spans="1:15">
      <c r="A3126" s="361">
        <f t="shared" si="579"/>
        <v>31</v>
      </c>
      <c r="B3126" s="365">
        <v>384</v>
      </c>
      <c r="C3126" s="358" t="s">
        <v>402</v>
      </c>
      <c r="D3126" s="1243">
        <f t="shared" si="580"/>
        <v>2085259.5899999999</v>
      </c>
      <c r="E3126" s="1243">
        <v>13.99</v>
      </c>
      <c r="F3126" s="1243">
        <v>0</v>
      </c>
      <c r="G3126" s="1243">
        <f t="shared" si="584"/>
        <v>2085273.5799999998</v>
      </c>
      <c r="H3126" s="1243"/>
      <c r="I3126" s="1243">
        <f t="shared" si="581"/>
        <v>1758994.1399999992</v>
      </c>
      <c r="J3126" s="376">
        <f t="shared" si="585"/>
        <v>1.9900000000000001E-2</v>
      </c>
      <c r="K3126" s="1243">
        <f t="shared" si="587"/>
        <v>3458</v>
      </c>
      <c r="L3126" s="1243">
        <v>0</v>
      </c>
      <c r="M3126" s="1243">
        <f t="shared" si="582"/>
        <v>0</v>
      </c>
      <c r="N3126" s="1243">
        <v>0</v>
      </c>
      <c r="O3126" s="1243">
        <f t="shared" si="583"/>
        <v>1762452.1399999992</v>
      </c>
    </row>
    <row r="3127" spans="1:15">
      <c r="A3127" s="361">
        <f t="shared" si="579"/>
        <v>32</v>
      </c>
      <c r="B3127" s="365">
        <v>385</v>
      </c>
      <c r="C3127" s="358" t="s">
        <v>403</v>
      </c>
      <c r="D3127" s="1243">
        <f t="shared" si="580"/>
        <v>6281229.7599999998</v>
      </c>
      <c r="E3127" s="1243">
        <v>91255.58</v>
      </c>
      <c r="F3127" s="1243">
        <v>-7461.82</v>
      </c>
      <c r="G3127" s="1243">
        <f t="shared" si="584"/>
        <v>6365023.5199999996</v>
      </c>
      <c r="H3127" s="1243"/>
      <c r="I3127" s="1243">
        <f t="shared" si="581"/>
        <v>928872.5699999996</v>
      </c>
      <c r="J3127" s="376">
        <f t="shared" si="585"/>
        <v>5.4699999999999999E-2</v>
      </c>
      <c r="K3127" s="1243">
        <f t="shared" si="587"/>
        <v>28823</v>
      </c>
      <c r="L3127" s="1243">
        <v>0</v>
      </c>
      <c r="M3127" s="1243">
        <f t="shared" si="582"/>
        <v>-7461.82</v>
      </c>
      <c r="N3127" s="1243">
        <v>-14318.36</v>
      </c>
      <c r="O3127" s="1243">
        <f t="shared" si="583"/>
        <v>935915.38999999966</v>
      </c>
    </row>
    <row r="3128" spans="1:15">
      <c r="A3128" s="361">
        <f t="shared" si="579"/>
        <v>33</v>
      </c>
      <c r="B3128" s="365">
        <v>387.2</v>
      </c>
      <c r="C3128" s="358" t="s">
        <v>404</v>
      </c>
      <c r="D3128" s="1243">
        <f t="shared" si="580"/>
        <v>0</v>
      </c>
      <c r="E3128" s="1243">
        <v>0</v>
      </c>
      <c r="F3128" s="1243">
        <v>0</v>
      </c>
      <c r="G3128" s="1243">
        <f t="shared" si="584"/>
        <v>0</v>
      </c>
      <c r="H3128" s="1243"/>
      <c r="I3128" s="1243">
        <f t="shared" si="581"/>
        <v>-59912.03</v>
      </c>
      <c r="J3128" s="376">
        <f t="shared" si="585"/>
        <v>0</v>
      </c>
      <c r="K3128" s="1243">
        <f t="shared" si="587"/>
        <v>0</v>
      </c>
      <c r="L3128" s="1243">
        <v>0</v>
      </c>
      <c r="M3128" s="1243">
        <f t="shared" si="582"/>
        <v>0</v>
      </c>
      <c r="N3128" s="1243">
        <v>0</v>
      </c>
      <c r="O3128" s="1243">
        <f t="shared" si="583"/>
        <v>-59912.03</v>
      </c>
    </row>
    <row r="3129" spans="1:15">
      <c r="A3129" s="361">
        <f t="shared" si="579"/>
        <v>34</v>
      </c>
      <c r="B3129" s="365">
        <v>387.41</v>
      </c>
      <c r="C3129" s="358" t="s">
        <v>405</v>
      </c>
      <c r="D3129" s="1243">
        <f t="shared" si="580"/>
        <v>260538.46000000008</v>
      </c>
      <c r="E3129" s="1243">
        <v>0</v>
      </c>
      <c r="F3129" s="1243">
        <v>0</v>
      </c>
      <c r="G3129" s="1243">
        <f t="shared" si="584"/>
        <v>260538.46000000008</v>
      </c>
      <c r="H3129" s="1243"/>
      <c r="I3129" s="1243">
        <f t="shared" si="581"/>
        <v>72063.970000000059</v>
      </c>
      <c r="J3129" s="376">
        <f t="shared" si="585"/>
        <v>4.9599999999999998E-2</v>
      </c>
      <c r="K3129" s="1243">
        <f t="shared" si="587"/>
        <v>1077</v>
      </c>
      <c r="L3129" s="1243">
        <v>0</v>
      </c>
      <c r="M3129" s="1243">
        <f t="shared" si="582"/>
        <v>0</v>
      </c>
      <c r="N3129" s="1243">
        <v>0</v>
      </c>
      <c r="O3129" s="1243">
        <f t="shared" si="583"/>
        <v>73140.970000000059</v>
      </c>
    </row>
    <row r="3130" spans="1:15">
      <c r="A3130" s="361">
        <f t="shared" si="579"/>
        <v>35</v>
      </c>
      <c r="B3130" s="365">
        <v>387.42</v>
      </c>
      <c r="C3130" s="358" t="s">
        <v>406</v>
      </c>
      <c r="D3130" s="1243">
        <f t="shared" si="580"/>
        <v>419367.40000000008</v>
      </c>
      <c r="E3130" s="1243">
        <v>0</v>
      </c>
      <c r="F3130" s="1243">
        <v>0</v>
      </c>
      <c r="G3130" s="1243">
        <f t="shared" si="584"/>
        <v>419367.40000000008</v>
      </c>
      <c r="H3130" s="1243"/>
      <c r="I3130" s="1243">
        <f t="shared" si="581"/>
        <v>362182.80999999976</v>
      </c>
      <c r="J3130" s="376">
        <f t="shared" si="585"/>
        <v>4.9599999999999998E-2</v>
      </c>
      <c r="K3130" s="1243">
        <f t="shared" si="587"/>
        <v>1733</v>
      </c>
      <c r="L3130" s="1243">
        <v>0</v>
      </c>
      <c r="M3130" s="1243">
        <f t="shared" si="582"/>
        <v>0</v>
      </c>
      <c r="N3130" s="1243">
        <v>0</v>
      </c>
      <c r="O3130" s="1243">
        <f t="shared" si="583"/>
        <v>363915.80999999976</v>
      </c>
    </row>
    <row r="3131" spans="1:15">
      <c r="A3131" s="361">
        <f t="shared" si="579"/>
        <v>36</v>
      </c>
      <c r="B3131" s="365">
        <v>387.44</v>
      </c>
      <c r="C3131" s="358" t="s">
        <v>407</v>
      </c>
      <c r="D3131" s="1243">
        <f t="shared" si="580"/>
        <v>124678.76000000001</v>
      </c>
      <c r="E3131" s="1243">
        <v>0</v>
      </c>
      <c r="F3131" s="1243">
        <v>0</v>
      </c>
      <c r="G3131" s="1243">
        <f t="shared" si="584"/>
        <v>124678.76000000001</v>
      </c>
      <c r="H3131" s="1243"/>
      <c r="I3131" s="1243">
        <f t="shared" si="581"/>
        <v>72994.390000000014</v>
      </c>
      <c r="J3131" s="376">
        <f t="shared" si="585"/>
        <v>4.9599999999999998E-2</v>
      </c>
      <c r="K3131" s="1243">
        <f t="shared" si="587"/>
        <v>515</v>
      </c>
      <c r="L3131" s="1243">
        <v>0</v>
      </c>
      <c r="M3131" s="1243">
        <f t="shared" si="582"/>
        <v>0</v>
      </c>
      <c r="N3131" s="1243">
        <v>0</v>
      </c>
      <c r="O3131" s="1243">
        <f t="shared" si="583"/>
        <v>73509.390000000014</v>
      </c>
    </row>
    <row r="3132" spans="1:15">
      <c r="A3132" s="361">
        <f t="shared" si="579"/>
        <v>37</v>
      </c>
      <c r="B3132" s="365">
        <v>387.45</v>
      </c>
      <c r="C3132" s="358" t="s">
        <v>408</v>
      </c>
      <c r="D3132" s="1243">
        <f t="shared" si="580"/>
        <v>6413425.700000003</v>
      </c>
      <c r="E3132" s="1243">
        <v>62123.78</v>
      </c>
      <c r="F3132" s="1243">
        <v>-157503.25</v>
      </c>
      <c r="G3132" s="1243">
        <f t="shared" si="584"/>
        <v>6318046.2300000032</v>
      </c>
      <c r="H3132" s="1243"/>
      <c r="I3132" s="1243">
        <f t="shared" si="581"/>
        <v>-703418.28999999992</v>
      </c>
      <c r="J3132" s="376">
        <f t="shared" si="585"/>
        <v>4.9599999999999998E-2</v>
      </c>
      <c r="K3132" s="1243">
        <f t="shared" si="587"/>
        <v>26312</v>
      </c>
      <c r="L3132" s="1243">
        <v>0</v>
      </c>
      <c r="M3132" s="1243">
        <f t="shared" si="582"/>
        <v>-157503.25</v>
      </c>
      <c r="N3132" s="1243">
        <v>-648.41999999999996</v>
      </c>
      <c r="O3132" s="1243">
        <f t="shared" si="583"/>
        <v>-835257.96</v>
      </c>
    </row>
    <row r="3133" spans="1:15">
      <c r="A3133" s="361">
        <f t="shared" si="579"/>
        <v>38</v>
      </c>
      <c r="B3133" s="365">
        <v>387.46</v>
      </c>
      <c r="C3133" s="358" t="s">
        <v>409</v>
      </c>
      <c r="D3133" s="1243">
        <f t="shared" si="580"/>
        <v>113644.47</v>
      </c>
      <c r="E3133" s="1243">
        <v>0</v>
      </c>
      <c r="F3133" s="1243">
        <v>0</v>
      </c>
      <c r="G3133" s="1243">
        <f t="shared" si="584"/>
        <v>113644.47</v>
      </c>
      <c r="H3133" s="1243"/>
      <c r="I3133" s="1243">
        <f t="shared" si="581"/>
        <v>118977.07</v>
      </c>
      <c r="J3133" s="376">
        <f t="shared" si="585"/>
        <v>4.9599999999999998E-2</v>
      </c>
      <c r="K3133" s="1243">
        <f t="shared" si="587"/>
        <v>470</v>
      </c>
      <c r="L3133" s="1243">
        <v>0</v>
      </c>
      <c r="M3133" s="1243">
        <f t="shared" si="582"/>
        <v>0</v>
      </c>
      <c r="N3133" s="1243">
        <v>0</v>
      </c>
      <c r="O3133" s="1243">
        <f t="shared" si="583"/>
        <v>119447.07</v>
      </c>
    </row>
    <row r="3134" spans="1:15">
      <c r="A3134" s="361">
        <f t="shared" si="579"/>
        <v>39</v>
      </c>
      <c r="B3134" s="365">
        <v>387.5</v>
      </c>
      <c r="C3134" s="358" t="s">
        <v>1075</v>
      </c>
      <c r="D3134" s="1244">
        <f t="shared" si="580"/>
        <v>238072.69</v>
      </c>
      <c r="E3134" s="1244">
        <v>0</v>
      </c>
      <c r="F3134" s="1244">
        <v>0</v>
      </c>
      <c r="G3134" s="1244">
        <f t="shared" si="584"/>
        <v>238072.69</v>
      </c>
      <c r="H3134" s="1243"/>
      <c r="I3134" s="1244">
        <f t="shared" si="581"/>
        <v>79062.47000000003</v>
      </c>
      <c r="J3134" s="376">
        <f t="shared" si="585"/>
        <v>0.13500000000000001</v>
      </c>
      <c r="K3134" s="1244">
        <f t="shared" si="587"/>
        <v>2678</v>
      </c>
      <c r="L3134" s="1244">
        <v>0</v>
      </c>
      <c r="M3134" s="1244">
        <f t="shared" si="582"/>
        <v>0</v>
      </c>
      <c r="N3134" s="1244">
        <v>0</v>
      </c>
      <c r="O3134" s="1244">
        <f t="shared" si="583"/>
        <v>81740.47000000003</v>
      </c>
    </row>
    <row r="3135" spans="1:15">
      <c r="A3135" s="361">
        <f t="shared" si="579"/>
        <v>40</v>
      </c>
      <c r="C3135" s="365" t="s">
        <v>1601</v>
      </c>
      <c r="D3135" s="1243">
        <f>SUM(D3105:D3134)</f>
        <v>743309349.77000475</v>
      </c>
      <c r="E3135" s="1243">
        <f>SUM(E3105:E3134)</f>
        <v>1353929.6411922022</v>
      </c>
      <c r="F3135" s="1243">
        <f>SUM(F3105:F3134)</f>
        <v>-620246.82189735444</v>
      </c>
      <c r="G3135" s="1243">
        <f>SUM(G3105:G3134)</f>
        <v>744043032.58929944</v>
      </c>
      <c r="H3135" s="1243"/>
      <c r="I3135" s="1243">
        <f>SUM(I3105:I3134)</f>
        <v>187605453.55507368</v>
      </c>
      <c r="J3135" s="369"/>
      <c r="K3135" s="1243">
        <f>SUM(K3105:K3134)</f>
        <v>1858488.02</v>
      </c>
      <c r="L3135" s="1243">
        <f>SUM(L3105:L3134)</f>
        <v>0</v>
      </c>
      <c r="M3135" s="1243">
        <f>SUM(M3105:M3134)</f>
        <v>-620246.82189735444</v>
      </c>
      <c r="N3135" s="1243">
        <f>SUM(N3105:N3134)</f>
        <v>-175819.69594506602</v>
      </c>
      <c r="O3135" s="1243">
        <f>SUM(O3105:O3134)</f>
        <v>188667875.05723119</v>
      </c>
    </row>
    <row r="3136" spans="1:15">
      <c r="B3136" s="367"/>
      <c r="C3136" s="368"/>
      <c r="D3136" s="369"/>
      <c r="E3136" s="369"/>
      <c r="F3136" s="369"/>
      <c r="G3136" s="369"/>
      <c r="I3136" s="369"/>
      <c r="J3136" s="369"/>
      <c r="K3136" s="369"/>
      <c r="L3136" s="369"/>
      <c r="M3136" s="369"/>
      <c r="N3136" s="369"/>
      <c r="O3136" s="369"/>
    </row>
    <row r="3137" spans="1:16">
      <c r="I3137" s="369"/>
      <c r="J3137" s="369"/>
      <c r="K3137" s="369"/>
      <c r="L3137" s="369"/>
      <c r="M3137" s="369"/>
      <c r="N3137" s="369"/>
      <c r="O3137" s="369"/>
    </row>
    <row r="3138" spans="1:16" s="291" customFormat="1">
      <c r="A3138" s="1308" t="str">
        <f>$A$1</f>
        <v>COLUMBIA GAS OF KENTUCKY, INC.</v>
      </c>
      <c r="B3138" s="1308"/>
      <c r="C3138" s="1308"/>
      <c r="D3138" s="1308"/>
      <c r="E3138" s="1308"/>
      <c r="F3138" s="1308"/>
      <c r="G3138" s="1308"/>
      <c r="H3138" s="1308"/>
      <c r="I3138" s="1308"/>
      <c r="J3138" s="1308"/>
      <c r="K3138" s="1308"/>
      <c r="L3138" s="1308"/>
      <c r="M3138" s="1308"/>
      <c r="N3138" s="1308"/>
      <c r="O3138" s="1308"/>
    </row>
    <row r="3139" spans="1:16" s="291" customFormat="1">
      <c r="A3139" s="1308" t="str">
        <f>$A$2</f>
        <v>CASE NO. 2024 - 00092</v>
      </c>
      <c r="B3139" s="1308"/>
      <c r="C3139" s="1308"/>
      <c r="D3139" s="1308"/>
      <c r="E3139" s="1308"/>
      <c r="F3139" s="1308"/>
      <c r="G3139" s="1308"/>
      <c r="H3139" s="1308"/>
      <c r="I3139" s="1308"/>
      <c r="J3139" s="1308"/>
      <c r="K3139" s="1308"/>
      <c r="L3139" s="1308"/>
      <c r="M3139" s="1308"/>
      <c r="N3139" s="1308"/>
      <c r="O3139" s="1308"/>
    </row>
    <row r="3140" spans="1:16" s="291" customFormat="1">
      <c r="A3140" s="1308" t="str">
        <f>$A$3</f>
        <v>DETAIL OF ACTUAL &amp; FORECASTED PLANT, ACCUMULATED RESERVE &amp; DEPRECIATION EXPENSE</v>
      </c>
      <c r="B3140" s="1308"/>
      <c r="C3140" s="1308"/>
      <c r="D3140" s="1308"/>
      <c r="E3140" s="1308"/>
      <c r="F3140" s="1308"/>
      <c r="G3140" s="1308"/>
      <c r="H3140" s="1308"/>
      <c r="I3140" s="1308"/>
      <c r="J3140" s="1308"/>
      <c r="K3140" s="1308"/>
      <c r="L3140" s="1308"/>
      <c r="M3140" s="1308"/>
      <c r="N3140" s="1308"/>
      <c r="O3140" s="1308"/>
      <c r="P3140" s="357"/>
    </row>
    <row r="3141" spans="1:16" s="291" customFormat="1">
      <c r="A3141" s="1308" t="str">
        <f>$A$4</f>
        <v>FROM JANUARY 01, 2023 THROUGH DECEMBER 31, 2025</v>
      </c>
      <c r="B3141" s="1308"/>
      <c r="C3141" s="1308"/>
      <c r="D3141" s="1308"/>
      <c r="E3141" s="1308"/>
      <c r="F3141" s="1308"/>
      <c r="G3141" s="1308"/>
      <c r="H3141" s="1308"/>
      <c r="I3141" s="1308"/>
      <c r="J3141" s="1308"/>
      <c r="K3141" s="1308"/>
      <c r="L3141" s="1308"/>
      <c r="M3141" s="1308"/>
      <c r="N3141" s="1308"/>
      <c r="O3141" s="1308"/>
    </row>
    <row r="3142" spans="1:16" s="291" customFormat="1">
      <c r="B3142" s="293"/>
      <c r="P3142" s="312"/>
    </row>
    <row r="3143" spans="1:16" s="291" customFormat="1">
      <c r="A3143" s="297" t="str">
        <f>$A$6</f>
        <v xml:space="preserve">DATA: _X_ BASE PERIOD _X_ FORECASTED PERIOD     </v>
      </c>
      <c r="B3143" s="293"/>
      <c r="O3143" s="312" t="str">
        <f>$O$6</f>
        <v>WPB-2.1.C</v>
      </c>
      <c r="P3143" s="312"/>
    </row>
    <row r="3144" spans="1:16" s="291" customFormat="1">
      <c r="A3144" s="297" t="str">
        <f>$A$7</f>
        <v>TYPE OF FILING:___X___ORIGINAL______UPDATED</v>
      </c>
      <c r="B3144" s="293"/>
      <c r="O3144" s="312" t="s">
        <v>2167</v>
      </c>
      <c r="P3144" s="312"/>
    </row>
    <row r="3145" spans="1:16" s="291" customFormat="1">
      <c r="A3145" s="297" t="str">
        <f>$A$8</f>
        <v>WORKPAPER REFERENCE NO(S).:</v>
      </c>
      <c r="B3145" s="293"/>
      <c r="O3145" s="312" t="str">
        <f>$O$8</f>
        <v>WITNESS: GORE</v>
      </c>
    </row>
    <row r="3146" spans="1:16">
      <c r="A3146" s="918"/>
      <c r="B3146" s="919"/>
      <c r="C3146" s="918"/>
      <c r="D3146" s="918"/>
      <c r="E3146" s="918"/>
      <c r="F3146" s="918"/>
      <c r="G3146" s="918"/>
      <c r="H3146" s="918"/>
      <c r="I3146" s="918"/>
      <c r="J3146" s="918"/>
      <c r="K3146" s="918"/>
      <c r="L3146" s="918"/>
      <c r="M3146" s="918"/>
      <c r="N3146" s="918"/>
      <c r="O3146" s="920"/>
    </row>
    <row r="3147" spans="1:16">
      <c r="D3147" s="1311" t="s">
        <v>1768</v>
      </c>
      <c r="E3147" s="1311"/>
      <c r="F3147" s="1311"/>
      <c r="G3147" s="1311"/>
      <c r="I3147" s="1311" t="s">
        <v>1769</v>
      </c>
      <c r="J3147" s="1311"/>
      <c r="K3147" s="1311"/>
      <c r="L3147" s="1311"/>
      <c r="M3147" s="1311"/>
      <c r="N3147" s="1311"/>
      <c r="O3147" s="1311"/>
    </row>
    <row r="3148" spans="1:16">
      <c r="D3148" s="360">
        <f>D3089</f>
        <v>45748</v>
      </c>
      <c r="G3148" s="360">
        <f>G3089</f>
        <v>45777</v>
      </c>
      <c r="I3148" s="360">
        <f>D3148</f>
        <v>45748</v>
      </c>
      <c r="O3148" s="360">
        <f>G3148</f>
        <v>45777</v>
      </c>
    </row>
    <row r="3149" spans="1:16">
      <c r="D3149" s="361" t="s">
        <v>1757</v>
      </c>
      <c r="G3149" s="361" t="s">
        <v>1757</v>
      </c>
      <c r="I3149" s="361" t="s">
        <v>1758</v>
      </c>
      <c r="J3149" s="361" t="s">
        <v>488</v>
      </c>
      <c r="L3149" s="361" t="s">
        <v>1758</v>
      </c>
      <c r="O3149" s="361" t="s">
        <v>1758</v>
      </c>
    </row>
    <row r="3150" spans="1:16">
      <c r="A3150" s="361" t="s">
        <v>1770</v>
      </c>
      <c r="B3150" s="361" t="s">
        <v>368</v>
      </c>
      <c r="C3150" s="361"/>
      <c r="D3150" s="361" t="s">
        <v>437</v>
      </c>
      <c r="G3150" s="361" t="s">
        <v>439</v>
      </c>
      <c r="I3150" s="361" t="s">
        <v>437</v>
      </c>
      <c r="J3150" s="361" t="s">
        <v>1771</v>
      </c>
      <c r="K3150" s="361" t="s">
        <v>1772</v>
      </c>
      <c r="L3150" s="361" t="s">
        <v>1759</v>
      </c>
      <c r="N3150" s="361" t="s">
        <v>1760</v>
      </c>
      <c r="O3150" s="361" t="s">
        <v>439</v>
      </c>
    </row>
    <row r="3151" spans="1:16">
      <c r="A3151" s="364" t="s">
        <v>316</v>
      </c>
      <c r="B3151" s="364" t="s">
        <v>316</v>
      </c>
      <c r="C3151" s="364" t="s">
        <v>451</v>
      </c>
      <c r="D3151" s="364" t="s">
        <v>441</v>
      </c>
      <c r="E3151" s="364" t="s">
        <v>442</v>
      </c>
      <c r="F3151" s="364" t="s">
        <v>443</v>
      </c>
      <c r="G3151" s="364" t="s">
        <v>441</v>
      </c>
      <c r="I3151" s="364" t="s">
        <v>441</v>
      </c>
      <c r="J3151" s="364" t="s">
        <v>1773</v>
      </c>
      <c r="K3151" s="364" t="s">
        <v>1771</v>
      </c>
      <c r="L3151" s="364" t="s">
        <v>355</v>
      </c>
      <c r="M3151" s="364" t="s">
        <v>443</v>
      </c>
      <c r="N3151" s="364" t="s">
        <v>1763</v>
      </c>
      <c r="O3151" s="364" t="s">
        <v>441</v>
      </c>
    </row>
    <row r="3152" spans="1:16">
      <c r="D3152" s="361" t="s">
        <v>532</v>
      </c>
      <c r="E3152" s="361" t="s">
        <v>541</v>
      </c>
      <c r="F3152" s="361" t="s">
        <v>542</v>
      </c>
      <c r="G3152" s="361" t="s">
        <v>1764</v>
      </c>
      <c r="I3152" s="334" t="str">
        <f>"(5)"</f>
        <v>(5)</v>
      </c>
      <c r="J3152" s="334" t="str">
        <f>"(6)"</f>
        <v>(6)</v>
      </c>
      <c r="K3152" s="334" t="str">
        <f>"(7)=((1+4)/2*6/12))"</f>
        <v>(7)=((1+4)/2*6/12))</v>
      </c>
      <c r="L3152" s="334" t="str">
        <f>"(8)"</f>
        <v>(8)</v>
      </c>
      <c r="M3152" s="334" t="str">
        <f>"(9)"</f>
        <v>(9)</v>
      </c>
      <c r="N3152" s="334" t="str">
        <f>"(10)"</f>
        <v>(10)</v>
      </c>
      <c r="O3152" s="334" t="str">
        <f>"(11=5+7+8+9+10)"</f>
        <v>(11=5+7+8+9+10)</v>
      </c>
    </row>
    <row r="3153" spans="1:15">
      <c r="D3153" s="361" t="s">
        <v>320</v>
      </c>
      <c r="E3153" s="361" t="s">
        <v>320</v>
      </c>
      <c r="F3153" s="361" t="s">
        <v>320</v>
      </c>
      <c r="G3153" s="361" t="s">
        <v>320</v>
      </c>
      <c r="I3153" s="334" t="s">
        <v>320</v>
      </c>
      <c r="J3153" s="334" t="s">
        <v>529</v>
      </c>
      <c r="K3153" s="334" t="s">
        <v>320</v>
      </c>
      <c r="L3153" s="334" t="s">
        <v>320</v>
      </c>
      <c r="M3153" s="334" t="s">
        <v>320</v>
      </c>
      <c r="N3153" s="334" t="s">
        <v>320</v>
      </c>
      <c r="O3153" s="334" t="s">
        <v>320</v>
      </c>
    </row>
    <row r="3154" spans="1:15">
      <c r="A3154" s="361">
        <v>1</v>
      </c>
      <c r="B3154" s="363" t="s">
        <v>411</v>
      </c>
      <c r="D3154" s="361"/>
      <c r="E3154" s="361"/>
      <c r="F3154" s="361"/>
      <c r="G3154" s="361"/>
      <c r="I3154" s="334"/>
      <c r="J3154" s="334"/>
      <c r="K3154" s="334"/>
      <c r="L3154" s="334"/>
      <c r="M3154" s="334"/>
      <c r="N3154" s="334"/>
      <c r="O3154" s="334"/>
    </row>
    <row r="3155" spans="1:15">
      <c r="A3155" s="361">
        <f>A3154+1</f>
        <v>2</v>
      </c>
      <c r="B3155" s="365">
        <v>391.1</v>
      </c>
      <c r="C3155" s="358" t="s">
        <v>412</v>
      </c>
      <c r="D3155" s="1243">
        <f t="shared" ref="D3155:D3168" si="588">G3041</f>
        <v>921741.33000000007</v>
      </c>
      <c r="E3155" s="1243">
        <v>0</v>
      </c>
      <c r="F3155" s="1243">
        <v>0</v>
      </c>
      <c r="G3155" s="1243">
        <f>SUM(D3155:F3155)</f>
        <v>921741.33000000007</v>
      </c>
      <c r="I3155" s="1245">
        <f t="shared" ref="I3155:I3168" si="589">O3041</f>
        <v>244509.61999999997</v>
      </c>
      <c r="J3155" s="376">
        <f t="shared" ref="J3155:J3168" si="590">+J3041</f>
        <v>0.05</v>
      </c>
      <c r="K3155" s="1243">
        <f>ROUND((G3155+D3155)/2*J3155/12,0)</f>
        <v>3841</v>
      </c>
      <c r="L3155" s="1243">
        <f>+L3041</f>
        <v>4814.416666666667</v>
      </c>
      <c r="M3155" s="1243">
        <f t="shared" ref="M3155:M3168" si="591">F3155</f>
        <v>0</v>
      </c>
      <c r="N3155" s="1243">
        <v>0</v>
      </c>
      <c r="O3155" s="1243">
        <f t="shared" ref="O3155:O3168" si="592">I3155+K3155+L3155+M3155+N3155</f>
        <v>253165.03666666662</v>
      </c>
    </row>
    <row r="3156" spans="1:15">
      <c r="A3156" s="361">
        <f t="shared" ref="A3156:A3169" si="593">A3155+1</f>
        <v>3</v>
      </c>
      <c r="B3156" s="365">
        <v>391.11</v>
      </c>
      <c r="C3156" s="358" t="s">
        <v>413</v>
      </c>
      <c r="D3156" s="1243">
        <f t="shared" si="588"/>
        <v>0</v>
      </c>
      <c r="E3156" s="1243">
        <v>0</v>
      </c>
      <c r="F3156" s="1243">
        <v>0</v>
      </c>
      <c r="G3156" s="1243">
        <f t="shared" ref="G3156:G3163" si="594">SUM(D3156:F3156)</f>
        <v>0</v>
      </c>
      <c r="I3156" s="1245">
        <f t="shared" si="589"/>
        <v>-11045.039999999999</v>
      </c>
      <c r="J3156" s="376">
        <f t="shared" si="590"/>
        <v>0</v>
      </c>
      <c r="K3156" s="1243">
        <f>ROUND((G3156+D3156)/2*J3156/12,0)</f>
        <v>0</v>
      </c>
      <c r="L3156" s="1243">
        <f t="shared" ref="L3156:L3168" si="595">+L3042</f>
        <v>525.91666666666663</v>
      </c>
      <c r="M3156" s="1243">
        <f t="shared" si="591"/>
        <v>0</v>
      </c>
      <c r="N3156" s="1243">
        <v>0</v>
      </c>
      <c r="O3156" s="1243">
        <f t="shared" si="592"/>
        <v>-10519.123333333333</v>
      </c>
    </row>
    <row r="3157" spans="1:15">
      <c r="A3157" s="361">
        <f t="shared" si="593"/>
        <v>4</v>
      </c>
      <c r="B3157" s="365">
        <v>391.12</v>
      </c>
      <c r="C3157" s="358" t="s">
        <v>414</v>
      </c>
      <c r="D3157" s="1243">
        <f t="shared" si="588"/>
        <v>37129.580000000009</v>
      </c>
      <c r="E3157" s="1243">
        <v>0</v>
      </c>
      <c r="F3157" s="1243">
        <v>0</v>
      </c>
      <c r="G3157" s="1243">
        <f t="shared" si="594"/>
        <v>37129.580000000009</v>
      </c>
      <c r="I3157" s="1245">
        <f t="shared" si="589"/>
        <v>10844.72</v>
      </c>
      <c r="J3157" s="376">
        <f t="shared" si="590"/>
        <v>0.2</v>
      </c>
      <c r="K3157" s="1243">
        <f>ROUND((G3157+D3157)/2*J3157/12,0)</f>
        <v>619</v>
      </c>
      <c r="L3157" s="1243">
        <f t="shared" si="595"/>
        <v>456.25</v>
      </c>
      <c r="M3157" s="1243">
        <f t="shared" si="591"/>
        <v>0</v>
      </c>
      <c r="N3157" s="1243">
        <v>0</v>
      </c>
      <c r="O3157" s="1243">
        <f t="shared" si="592"/>
        <v>11919.97</v>
      </c>
    </row>
    <row r="3158" spans="1:15">
      <c r="A3158" s="361">
        <f t="shared" si="593"/>
        <v>5</v>
      </c>
      <c r="B3158" s="365">
        <v>392.2</v>
      </c>
      <c r="C3158" s="358" t="s">
        <v>524</v>
      </c>
      <c r="D3158" s="1243">
        <f t="shared" si="588"/>
        <v>48924.4</v>
      </c>
      <c r="E3158" s="1243">
        <v>0</v>
      </c>
      <c r="F3158" s="1243">
        <v>0</v>
      </c>
      <c r="G3158" s="1243">
        <f t="shared" si="594"/>
        <v>48924.4</v>
      </c>
      <c r="I3158" s="1245">
        <f t="shared" si="589"/>
        <v>17698.359999999961</v>
      </c>
      <c r="J3158" s="376">
        <f t="shared" si="590"/>
        <v>8.9999999999999993E-3</v>
      </c>
      <c r="K3158" s="1243">
        <f>ROUND((G3158+D3158)/2*J3158/12,0)</f>
        <v>37</v>
      </c>
      <c r="L3158" s="1243">
        <f t="shared" si="595"/>
        <v>0</v>
      </c>
      <c r="M3158" s="1243">
        <f t="shared" si="591"/>
        <v>0</v>
      </c>
      <c r="N3158" s="1243">
        <v>0</v>
      </c>
      <c r="O3158" s="1243">
        <f t="shared" si="592"/>
        <v>17735.359999999961</v>
      </c>
    </row>
    <row r="3159" spans="1:15">
      <c r="A3159" s="361">
        <f t="shared" si="593"/>
        <v>6</v>
      </c>
      <c r="B3159" s="365">
        <v>392.21</v>
      </c>
      <c r="C3159" s="358" t="s">
        <v>415</v>
      </c>
      <c r="D3159" s="1243">
        <f t="shared" si="588"/>
        <v>24462.2</v>
      </c>
      <c r="E3159" s="1243">
        <v>0</v>
      </c>
      <c r="F3159" s="1243">
        <v>0</v>
      </c>
      <c r="G3159" s="1243">
        <f t="shared" si="594"/>
        <v>24462.2</v>
      </c>
      <c r="I3159" s="1245">
        <f t="shared" si="589"/>
        <v>44988.01</v>
      </c>
      <c r="J3159" s="376">
        <f t="shared" si="590"/>
        <v>8.9999999999999993E-3</v>
      </c>
      <c r="K3159" s="1243">
        <f>ROUND((G3159+D3159)/2*J3159/12,0)</f>
        <v>18</v>
      </c>
      <c r="L3159" s="1243">
        <f t="shared" si="595"/>
        <v>0</v>
      </c>
      <c r="M3159" s="1243">
        <f t="shared" si="591"/>
        <v>0</v>
      </c>
      <c r="N3159" s="1243">
        <v>0</v>
      </c>
      <c r="O3159" s="1243">
        <f t="shared" si="592"/>
        <v>45006.01</v>
      </c>
    </row>
    <row r="3160" spans="1:15">
      <c r="A3160" s="361">
        <f t="shared" si="593"/>
        <v>7</v>
      </c>
      <c r="B3160" s="365">
        <v>393</v>
      </c>
      <c r="C3160" s="358" t="s">
        <v>416</v>
      </c>
      <c r="D3160" s="1243">
        <f t="shared" si="588"/>
        <v>0</v>
      </c>
      <c r="E3160" s="1243">
        <v>0</v>
      </c>
      <c r="F3160" s="1243">
        <v>0</v>
      </c>
      <c r="G3160" s="1243">
        <f t="shared" si="594"/>
        <v>0</v>
      </c>
      <c r="I3160" s="1245">
        <f t="shared" si="589"/>
        <v>0</v>
      </c>
      <c r="J3160" s="376" t="str">
        <f t="shared" si="590"/>
        <v>Amort.</v>
      </c>
      <c r="K3160" s="1243">
        <v>0</v>
      </c>
      <c r="L3160" s="1243">
        <f t="shared" si="595"/>
        <v>0</v>
      </c>
      <c r="M3160" s="1243">
        <f t="shared" si="591"/>
        <v>0</v>
      </c>
      <c r="N3160" s="1243">
        <v>0</v>
      </c>
      <c r="O3160" s="1243">
        <f t="shared" si="592"/>
        <v>0</v>
      </c>
    </row>
    <row r="3161" spans="1:15">
      <c r="A3161" s="361">
        <f t="shared" si="593"/>
        <v>8</v>
      </c>
      <c r="B3161" s="365">
        <v>394.1</v>
      </c>
      <c r="C3161" s="358" t="s">
        <v>417</v>
      </c>
      <c r="D3161" s="1243">
        <f t="shared" si="588"/>
        <v>9739</v>
      </c>
      <c r="E3161" s="1243">
        <v>0</v>
      </c>
      <c r="F3161" s="1243">
        <v>0</v>
      </c>
      <c r="G3161" s="1243">
        <f t="shared" si="594"/>
        <v>9739</v>
      </c>
      <c r="I3161" s="1245">
        <f t="shared" si="589"/>
        <v>4556.0700000000006</v>
      </c>
      <c r="J3161" s="376">
        <f t="shared" si="590"/>
        <v>0.04</v>
      </c>
      <c r="K3161" s="1243">
        <f>ROUND((G3161+D3161)/2*J3161/12,0)</f>
        <v>32</v>
      </c>
      <c r="L3161" s="1243">
        <f t="shared" si="595"/>
        <v>0</v>
      </c>
      <c r="M3161" s="1243">
        <f t="shared" si="591"/>
        <v>0</v>
      </c>
      <c r="N3161" s="1243">
        <v>0</v>
      </c>
      <c r="O3161" s="1243">
        <f t="shared" si="592"/>
        <v>4588.0700000000006</v>
      </c>
    </row>
    <row r="3162" spans="1:15">
      <c r="A3162" s="361">
        <f t="shared" si="593"/>
        <v>9</v>
      </c>
      <c r="B3162" s="365">
        <v>394.11</v>
      </c>
      <c r="C3162" s="358" t="s">
        <v>418</v>
      </c>
      <c r="D3162" s="1243">
        <f t="shared" si="588"/>
        <v>0</v>
      </c>
      <c r="E3162" s="1243">
        <v>0</v>
      </c>
      <c r="F3162" s="1243">
        <v>0</v>
      </c>
      <c r="G3162" s="1243">
        <f t="shared" si="594"/>
        <v>0</v>
      </c>
      <c r="I3162" s="1245">
        <f t="shared" si="589"/>
        <v>-26071.5</v>
      </c>
      <c r="J3162" s="376">
        <f t="shared" si="590"/>
        <v>0.04</v>
      </c>
      <c r="K3162" s="1243">
        <f>ROUND((G3162+D3162)/2*J3162/12,0)</f>
        <v>0</v>
      </c>
      <c r="L3162" s="1243">
        <f t="shared" si="595"/>
        <v>0</v>
      </c>
      <c r="M3162" s="1243">
        <f t="shared" si="591"/>
        <v>0</v>
      </c>
      <c r="N3162" s="1243">
        <v>0</v>
      </c>
      <c r="O3162" s="1243">
        <f t="shared" si="592"/>
        <v>-26071.5</v>
      </c>
    </row>
    <row r="3163" spans="1:15">
      <c r="A3163" s="361">
        <f t="shared" si="593"/>
        <v>10</v>
      </c>
      <c r="B3163" s="365">
        <v>394.13</v>
      </c>
      <c r="C3163" s="358" t="s">
        <v>515</v>
      </c>
      <c r="D3163" s="1243">
        <f t="shared" si="588"/>
        <v>0</v>
      </c>
      <c r="E3163" s="1243">
        <v>0</v>
      </c>
      <c r="F3163" s="1243">
        <v>0</v>
      </c>
      <c r="G3163" s="1243">
        <f t="shared" si="594"/>
        <v>0</v>
      </c>
      <c r="I3163" s="1245">
        <f t="shared" si="589"/>
        <v>26102.36</v>
      </c>
      <c r="J3163" s="376" t="str">
        <f t="shared" si="590"/>
        <v>Amort.</v>
      </c>
      <c r="K3163" s="1243">
        <v>0</v>
      </c>
      <c r="L3163" s="1243">
        <f t="shared" si="595"/>
        <v>-789</v>
      </c>
      <c r="M3163" s="1243">
        <f t="shared" si="591"/>
        <v>0</v>
      </c>
      <c r="N3163" s="1243">
        <v>0</v>
      </c>
      <c r="O3163" s="1243">
        <f t="shared" si="592"/>
        <v>25313.360000000001</v>
      </c>
    </row>
    <row r="3164" spans="1:15">
      <c r="A3164" s="361">
        <f t="shared" si="593"/>
        <v>11</v>
      </c>
      <c r="B3164" s="365">
        <v>394.2</v>
      </c>
      <c r="C3164" s="358" t="s">
        <v>420</v>
      </c>
      <c r="D3164" s="1243">
        <f t="shared" si="588"/>
        <v>0</v>
      </c>
      <c r="E3164" s="1243">
        <v>0</v>
      </c>
      <c r="F3164" s="1243">
        <v>0</v>
      </c>
      <c r="G3164" s="1243">
        <f>SUM(D3164:F3164)</f>
        <v>0</v>
      </c>
      <c r="I3164" s="1245">
        <f t="shared" si="589"/>
        <v>185.21</v>
      </c>
      <c r="J3164" s="376">
        <f t="shared" si="590"/>
        <v>0.04</v>
      </c>
      <c r="K3164" s="1243">
        <f>ROUND((G3164+D3164)/2*J3164/12,0)</f>
        <v>0</v>
      </c>
      <c r="L3164" s="1243">
        <f t="shared" si="595"/>
        <v>0</v>
      </c>
      <c r="M3164" s="1243">
        <f t="shared" si="591"/>
        <v>0</v>
      </c>
      <c r="N3164" s="1243">
        <v>0</v>
      </c>
      <c r="O3164" s="1243">
        <f t="shared" si="592"/>
        <v>185.21</v>
      </c>
    </row>
    <row r="3165" spans="1:15">
      <c r="A3165" s="361">
        <f t="shared" si="593"/>
        <v>12</v>
      </c>
      <c r="B3165" s="365">
        <v>394.3</v>
      </c>
      <c r="C3165" s="358" t="s">
        <v>1602</v>
      </c>
      <c r="D3165" s="1243">
        <f t="shared" si="588"/>
        <v>5647287.830000001</v>
      </c>
      <c r="E3165" s="1243">
        <v>82492.02</v>
      </c>
      <c r="F3165" s="1243">
        <v>-168942.86</v>
      </c>
      <c r="G3165" s="1243">
        <f>SUM(D3165:F3165)</f>
        <v>5560836.9900000002</v>
      </c>
      <c r="I3165" s="1245">
        <f t="shared" si="589"/>
        <v>1694954.2799999996</v>
      </c>
      <c r="J3165" s="376">
        <f t="shared" si="590"/>
        <v>0.04</v>
      </c>
      <c r="K3165" s="1243">
        <f>ROUND((G3165+D3165)/2*J3165/12,0)</f>
        <v>18680</v>
      </c>
      <c r="L3165" s="1243">
        <f t="shared" si="595"/>
        <v>0</v>
      </c>
      <c r="M3165" s="1243">
        <f t="shared" si="591"/>
        <v>-168942.86</v>
      </c>
      <c r="N3165" s="1243">
        <v>0</v>
      </c>
      <c r="O3165" s="1243">
        <f t="shared" si="592"/>
        <v>1544691.4199999995</v>
      </c>
    </row>
    <row r="3166" spans="1:15">
      <c r="A3166" s="361">
        <f t="shared" si="593"/>
        <v>13</v>
      </c>
      <c r="B3166" s="365">
        <v>395</v>
      </c>
      <c r="C3166" s="358" t="s">
        <v>422</v>
      </c>
      <c r="D3166" s="1243">
        <f t="shared" si="588"/>
        <v>0</v>
      </c>
      <c r="E3166" s="1243">
        <v>0</v>
      </c>
      <c r="F3166" s="1243">
        <v>0</v>
      </c>
      <c r="G3166" s="1243">
        <f>SUM(D3166:F3166)</f>
        <v>0</v>
      </c>
      <c r="I3166" s="1245">
        <f t="shared" si="589"/>
        <v>-141.94999999999845</v>
      </c>
      <c r="J3166" s="376">
        <f t="shared" si="590"/>
        <v>0.05</v>
      </c>
      <c r="K3166" s="1243">
        <f>ROUND((G3166+D3166)/2*J3166/12,0)</f>
        <v>0</v>
      </c>
      <c r="L3166" s="1243">
        <f t="shared" si="595"/>
        <v>-2.75</v>
      </c>
      <c r="M3166" s="1243">
        <f t="shared" si="591"/>
        <v>0</v>
      </c>
      <c r="N3166" s="1243">
        <v>0</v>
      </c>
      <c r="O3166" s="1243">
        <f t="shared" si="592"/>
        <v>-144.69999999999845</v>
      </c>
    </row>
    <row r="3167" spans="1:15">
      <c r="A3167" s="361">
        <f t="shared" si="593"/>
        <v>14</v>
      </c>
      <c r="B3167" s="365">
        <v>396</v>
      </c>
      <c r="C3167" s="358" t="s">
        <v>423</v>
      </c>
      <c r="D3167" s="1243">
        <f t="shared" si="588"/>
        <v>185547</v>
      </c>
      <c r="E3167" s="1243">
        <v>0</v>
      </c>
      <c r="F3167" s="1243">
        <v>0</v>
      </c>
      <c r="G3167" s="1243">
        <f>SUM(D3167:F3167)</f>
        <v>185547</v>
      </c>
      <c r="I3167" s="1245">
        <f t="shared" si="589"/>
        <v>171938.14</v>
      </c>
      <c r="J3167" s="376">
        <f t="shared" si="590"/>
        <v>0</v>
      </c>
      <c r="K3167" s="1243">
        <f>ROUND((G3167+D3167)/2*J3167/12,0)</f>
        <v>0</v>
      </c>
      <c r="L3167" s="1243">
        <f t="shared" si="595"/>
        <v>0</v>
      </c>
      <c r="M3167" s="1243">
        <f t="shared" si="591"/>
        <v>0</v>
      </c>
      <c r="N3167" s="1243">
        <v>0</v>
      </c>
      <c r="O3167" s="1243">
        <f t="shared" si="592"/>
        <v>171938.14</v>
      </c>
    </row>
    <row r="3168" spans="1:15">
      <c r="A3168" s="361">
        <f t="shared" si="593"/>
        <v>15</v>
      </c>
      <c r="B3168" s="365">
        <v>398</v>
      </c>
      <c r="C3168" s="358" t="s">
        <v>424</v>
      </c>
      <c r="D3168" s="1244">
        <f t="shared" si="588"/>
        <v>148028.20000000001</v>
      </c>
      <c r="E3168" s="1244">
        <v>0</v>
      </c>
      <c r="F3168" s="1244">
        <v>0</v>
      </c>
      <c r="G3168" s="1244">
        <f>SUM(D3168:F3168)</f>
        <v>148028.20000000001</v>
      </c>
      <c r="I3168" s="1246">
        <f t="shared" si="589"/>
        <v>86426.049999999959</v>
      </c>
      <c r="J3168" s="376">
        <f t="shared" si="590"/>
        <v>6.6699999999999995E-2</v>
      </c>
      <c r="K3168" s="1244">
        <f>ROUND((G3168+D3168)/2*J3168/12,0)</f>
        <v>823</v>
      </c>
      <c r="L3168" s="1244">
        <f t="shared" si="595"/>
        <v>265.16666666666669</v>
      </c>
      <c r="M3168" s="1244">
        <f t="shared" si="591"/>
        <v>0</v>
      </c>
      <c r="N3168" s="1244">
        <v>0</v>
      </c>
      <c r="O3168" s="1244">
        <f t="shared" si="592"/>
        <v>87514.216666666631</v>
      </c>
    </row>
    <row r="3169" spans="1:15">
      <c r="A3169" s="361">
        <f t="shared" si="593"/>
        <v>16</v>
      </c>
      <c r="B3169" s="367"/>
      <c r="C3169" s="358" t="s">
        <v>425</v>
      </c>
      <c r="D3169" s="1243">
        <f>SUM(D3155:D3168)</f>
        <v>7022859.540000001</v>
      </c>
      <c r="E3169" s="1243">
        <f>SUM(E3155:E3168)</f>
        <v>82492.02</v>
      </c>
      <c r="F3169" s="1243">
        <f>SUM(F3155:F3168)</f>
        <v>-168942.86</v>
      </c>
      <c r="G3169" s="1243">
        <f>SUM(G3155:G3168)</f>
        <v>6936408.7000000002</v>
      </c>
      <c r="I3169" s="1243">
        <f>SUM(I3155:I3168)</f>
        <v>2264944.3299999991</v>
      </c>
      <c r="J3169" s="369"/>
      <c r="K3169" s="1243">
        <f>SUM(K3155:K3168)</f>
        <v>24050</v>
      </c>
      <c r="L3169" s="1243">
        <f>SUM(L3155:L3168)</f>
        <v>5270.0000000000009</v>
      </c>
      <c r="M3169" s="1243">
        <f>SUM(M3155:M3168)</f>
        <v>-168942.86</v>
      </c>
      <c r="N3169" s="1243">
        <f>SUM(N3155:N3168)</f>
        <v>0</v>
      </c>
      <c r="O3169" s="1243">
        <f>SUM(O3155:O3168)</f>
        <v>2125321.4699999997</v>
      </c>
    </row>
    <row r="3170" spans="1:15">
      <c r="A3170" s="361"/>
      <c r="D3170" s="1243"/>
      <c r="E3170" s="1243"/>
      <c r="F3170" s="1243"/>
      <c r="G3170" s="1243"/>
      <c r="I3170" s="1243"/>
      <c r="J3170" s="369"/>
      <c r="K3170" s="1243"/>
      <c r="L3170" s="1243"/>
      <c r="M3170" s="1243"/>
      <c r="N3170" s="1243"/>
      <c r="O3170" s="1243"/>
    </row>
    <row r="3171" spans="1:15">
      <c r="A3171" s="361">
        <f>A3169+1</f>
        <v>17</v>
      </c>
      <c r="B3171" s="363" t="s">
        <v>1038</v>
      </c>
      <c r="D3171" s="1243"/>
      <c r="E3171" s="1243"/>
      <c r="F3171" s="1243"/>
      <c r="G3171" s="1243"/>
      <c r="I3171" s="1243"/>
      <c r="J3171" s="369"/>
      <c r="K3171" s="1243"/>
      <c r="L3171" s="1243"/>
      <c r="M3171" s="1243"/>
      <c r="N3171" s="1243"/>
      <c r="O3171" s="1243"/>
    </row>
    <row r="3172" spans="1:15">
      <c r="A3172" s="361">
        <f>A3171+1</f>
        <v>18</v>
      </c>
      <c r="B3172" s="365">
        <v>378.21</v>
      </c>
      <c r="C3172" s="358" t="s">
        <v>1037</v>
      </c>
      <c r="D3172" s="1244">
        <f>G3058</f>
        <v>-777092</v>
      </c>
      <c r="E3172" s="1244">
        <v>0</v>
      </c>
      <c r="F3172" s="1244">
        <v>0</v>
      </c>
      <c r="G3172" s="1244">
        <f>SUM(D3172:F3172)</f>
        <v>-777092</v>
      </c>
      <c r="I3172" s="1244">
        <f>O3058</f>
        <v>-236532.89000000031</v>
      </c>
      <c r="J3172" s="376" t="str">
        <f>$J$1690</f>
        <v>Amort.</v>
      </c>
      <c r="K3172" s="1244">
        <f>$K$1348</f>
        <v>-2144.17</v>
      </c>
      <c r="L3172" s="1244">
        <v>0</v>
      </c>
      <c r="M3172" s="1244">
        <f>F3172</f>
        <v>0</v>
      </c>
      <c r="N3172" s="1244">
        <v>0</v>
      </c>
      <c r="O3172" s="1244">
        <f>I3172+K3172+L3172+M3172+N3172</f>
        <v>-238677.06000000032</v>
      </c>
    </row>
    <row r="3173" spans="1:15">
      <c r="A3173" s="361">
        <f>A3172+1</f>
        <v>19</v>
      </c>
      <c r="B3173" s="370"/>
      <c r="C3173" s="358" t="s">
        <v>1579</v>
      </c>
      <c r="D3173" s="1243">
        <f>SUM(D3172)</f>
        <v>-777092</v>
      </c>
      <c r="E3173" s="1243">
        <f>SUM(E3172)</f>
        <v>0</v>
      </c>
      <c r="F3173" s="1243">
        <f>SUM(F3172)</f>
        <v>0</v>
      </c>
      <c r="G3173" s="1243">
        <f>SUM(G3172)</f>
        <v>-777092</v>
      </c>
      <c r="I3173" s="1243">
        <f>SUM(I3172)</f>
        <v>-236532.89000000031</v>
      </c>
      <c r="J3173" s="369"/>
      <c r="K3173" s="1243">
        <f>SUM(K3172)</f>
        <v>-2144.17</v>
      </c>
      <c r="L3173" s="1243">
        <f>SUM(L3172)</f>
        <v>0</v>
      </c>
      <c r="M3173" s="1243">
        <f>SUM(M3172)</f>
        <v>0</v>
      </c>
      <c r="N3173" s="1243">
        <f>SUM(N3172)</f>
        <v>0</v>
      </c>
      <c r="O3173" s="1243">
        <f>SUM(O3172)</f>
        <v>-238677.06000000032</v>
      </c>
    </row>
    <row r="3174" spans="1:15">
      <c r="A3174" s="361"/>
      <c r="B3174" s="370"/>
      <c r="D3174" s="1243"/>
      <c r="E3174" s="1243"/>
      <c r="F3174" s="1243"/>
      <c r="G3174" s="1243"/>
      <c r="I3174" s="1243"/>
      <c r="J3174" s="369"/>
      <c r="K3174" s="1243"/>
      <c r="L3174" s="1243"/>
      <c r="M3174" s="1243"/>
      <c r="N3174" s="1243"/>
      <c r="O3174" s="1243"/>
    </row>
    <row r="3175" spans="1:15">
      <c r="A3175" s="361">
        <f>A3173+1</f>
        <v>20</v>
      </c>
      <c r="B3175" s="370"/>
      <c r="C3175" s="358" t="s">
        <v>2037</v>
      </c>
      <c r="D3175" s="1243">
        <f>D3102+D3135+D3169+D3173</f>
        <v>765624401.28220272</v>
      </c>
      <c r="E3175" s="1243">
        <f>E3102+E3135+E3169+E3173</f>
        <v>5804822.6483644824</v>
      </c>
      <c r="F3175" s="1243">
        <f>F3102+F3135+F3169+F3173</f>
        <v>-814052.00189735438</v>
      </c>
      <c r="G3175" s="1243">
        <f>G3102+G3135+G3169+G3173</f>
        <v>770615171.92866981</v>
      </c>
      <c r="I3175" s="1243">
        <f>I3102+I3135+I3169+I3173</f>
        <v>197074466.05647334</v>
      </c>
      <c r="J3175" s="369"/>
      <c r="K3175" s="1243">
        <f>K3102+K3135+K3169+K3173</f>
        <v>2166527.4760717661</v>
      </c>
      <c r="L3175" s="1243">
        <f>L3102+L3135+L3169+L3173</f>
        <v>5270.0000000000009</v>
      </c>
      <c r="M3175" s="1243">
        <f>M3102+M3135+M3169+M3173</f>
        <v>-814052.00189735438</v>
      </c>
      <c r="N3175" s="1243">
        <f>N3102+N3135+N3169+N3173</f>
        <v>-175819.69594506602</v>
      </c>
      <c r="O3175" s="1243">
        <f>O3102+O3135+O3169+O3173</f>
        <v>198256391.83470258</v>
      </c>
    </row>
    <row r="3176" spans="1:15">
      <c r="A3176" s="361"/>
      <c r="B3176" s="370"/>
      <c r="D3176" s="1243"/>
      <c r="E3176" s="1243"/>
      <c r="F3176" s="1243"/>
      <c r="G3176" s="1243"/>
      <c r="I3176" s="1243"/>
      <c r="J3176" s="369"/>
      <c r="K3176" s="1243"/>
      <c r="L3176" s="1243"/>
      <c r="M3176" s="1243"/>
      <c r="N3176" s="1243"/>
      <c r="O3176" s="1243"/>
    </row>
    <row r="3177" spans="1:15">
      <c r="A3177" s="361">
        <f>A3175+1</f>
        <v>21</v>
      </c>
      <c r="B3177" s="370"/>
      <c r="C3177" s="358" t="s">
        <v>2038</v>
      </c>
      <c r="D3177" s="1243">
        <v>0</v>
      </c>
      <c r="E3177" s="1249">
        <v>0</v>
      </c>
      <c r="F3177" s="1249">
        <v>0</v>
      </c>
      <c r="G3177" s="1249">
        <f>SUM(D3177:F3177)</f>
        <v>0</v>
      </c>
      <c r="I3177" s="1243">
        <f>O3063</f>
        <v>-6687302.71</v>
      </c>
      <c r="J3177" s="369"/>
      <c r="K3177" s="1243"/>
      <c r="L3177" s="1243"/>
      <c r="M3177" s="1243"/>
      <c r="N3177" s="1243"/>
      <c r="O3177" s="1243">
        <f>I3177+K3177+L3177+M3177+N3177</f>
        <v>-6687302.71</v>
      </c>
    </row>
    <row r="3178" spans="1:15">
      <c r="A3178" s="361"/>
      <c r="B3178" s="370"/>
      <c r="C3178" s="368"/>
      <c r="D3178" s="1243"/>
      <c r="E3178" s="1243"/>
      <c r="F3178" s="1243"/>
      <c r="G3178" s="1243"/>
      <c r="I3178" s="1243"/>
      <c r="J3178" s="369"/>
      <c r="K3178" s="1243"/>
      <c r="L3178" s="1243"/>
      <c r="M3178" s="1243"/>
      <c r="N3178" s="1243"/>
      <c r="O3178" s="1243"/>
    </row>
    <row r="3179" spans="1:15">
      <c r="A3179" s="361">
        <f>A3177+1</f>
        <v>22</v>
      </c>
      <c r="C3179" s="358" t="s">
        <v>1603</v>
      </c>
      <c r="D3179" s="1247">
        <f>D3175+D3177</f>
        <v>765624401.28220272</v>
      </c>
      <c r="E3179" s="1247">
        <f t="shared" ref="E3179:O3179" si="596">E3175+E3177</f>
        <v>5804822.6483644824</v>
      </c>
      <c r="F3179" s="1247">
        <f t="shared" si="596"/>
        <v>-814052.00189735438</v>
      </c>
      <c r="G3179" s="1247">
        <f t="shared" si="596"/>
        <v>770615171.92866981</v>
      </c>
      <c r="I3179" s="1247">
        <f t="shared" si="596"/>
        <v>190387163.34647334</v>
      </c>
      <c r="J3179" s="369"/>
      <c r="K3179" s="1247">
        <f t="shared" si="596"/>
        <v>2166527.4760717661</v>
      </c>
      <c r="L3179" s="1247">
        <f t="shared" si="596"/>
        <v>5270.0000000000009</v>
      </c>
      <c r="M3179" s="1247">
        <f t="shared" si="596"/>
        <v>-814052.00189735438</v>
      </c>
      <c r="N3179" s="1247">
        <f t="shared" si="596"/>
        <v>-175819.69594506602</v>
      </c>
      <c r="O3179" s="1247">
        <f t="shared" si="596"/>
        <v>191569089.12470257</v>
      </c>
    </row>
    <row r="3180" spans="1:15">
      <c r="A3180" s="361"/>
      <c r="D3180" s="1243"/>
      <c r="E3180" s="1243"/>
      <c r="F3180" s="1243"/>
      <c r="G3180" s="1243"/>
      <c r="I3180" s="1243"/>
      <c r="J3180" s="369"/>
      <c r="K3180" s="1243"/>
      <c r="L3180" s="1243"/>
      <c r="M3180" s="1243"/>
      <c r="N3180" s="1243"/>
      <c r="O3180" s="1243"/>
    </row>
    <row r="3181" spans="1:15">
      <c r="A3181" s="361"/>
      <c r="D3181" s="1243"/>
      <c r="E3181" s="1243"/>
      <c r="F3181" s="1243"/>
      <c r="G3181" s="1243"/>
      <c r="I3181" s="1243"/>
      <c r="J3181" s="369"/>
      <c r="K3181" s="1243"/>
      <c r="L3181" s="1243"/>
      <c r="M3181" s="1243"/>
      <c r="N3181" s="1243"/>
      <c r="O3181" s="1243"/>
    </row>
    <row r="3182" spans="1:15">
      <c r="A3182" s="361">
        <f>A3179+1</f>
        <v>23</v>
      </c>
      <c r="B3182" s="363" t="s">
        <v>1774</v>
      </c>
      <c r="D3182" s="1243"/>
      <c r="E3182" s="1243"/>
      <c r="F3182" s="1243"/>
      <c r="G3182" s="1243"/>
      <c r="I3182" s="1243"/>
      <c r="J3182" s="369"/>
      <c r="K3182" s="1243"/>
      <c r="L3182" s="1243"/>
      <c r="M3182" s="1243"/>
      <c r="N3182" s="1243"/>
      <c r="O3182" s="1243"/>
    </row>
    <row r="3183" spans="1:15">
      <c r="A3183" s="361">
        <f t="shared" ref="A3183:A3188" si="597">A3182+1</f>
        <v>24</v>
      </c>
      <c r="B3183" s="365">
        <v>376</v>
      </c>
      <c r="C3183" s="358" t="s">
        <v>1775</v>
      </c>
      <c r="D3183" s="1243">
        <f>G3069</f>
        <v>56088274.446154602</v>
      </c>
      <c r="E3183" s="1243">
        <f>'WPB-2.1.D SMRP'!E1260</f>
        <v>1181166.5763621689</v>
      </c>
      <c r="F3183" s="1243">
        <f>'WPB-2.1.D SMRP'!F1260</f>
        <v>-18947.189999999995</v>
      </c>
      <c r="G3183" s="1243">
        <f>SUM(D3183:F3183)</f>
        <v>57250493.832516775</v>
      </c>
      <c r="I3183" s="1243">
        <f>O3069</f>
        <v>467671.39472414367</v>
      </c>
      <c r="J3183" s="376">
        <f>+J3069</f>
        <v>1.7999999999999999E-2</v>
      </c>
      <c r="K3183" s="1243">
        <f>'WPB-2.1.D SMRP'!K1260</f>
        <v>85004.08</v>
      </c>
      <c r="L3183" s="1243">
        <v>0</v>
      </c>
      <c r="M3183" s="1243">
        <f>F3183</f>
        <v>-18947.189999999995</v>
      </c>
      <c r="N3183" s="1243">
        <f>'WPB-2.1.D SMRP'!N1260</f>
        <v>-4413.9924332259898</v>
      </c>
      <c r="O3183" s="1243">
        <f>I3183+K3183+L3183+M3183+N3183</f>
        <v>529314.29229091771</v>
      </c>
    </row>
    <row r="3184" spans="1:15">
      <c r="A3184" s="361">
        <f t="shared" si="597"/>
        <v>25</v>
      </c>
      <c r="B3184" s="365">
        <v>378.2</v>
      </c>
      <c r="C3184" s="358" t="s">
        <v>1776</v>
      </c>
      <c r="D3184" s="1243">
        <f>G3070</f>
        <v>599780.62011021946</v>
      </c>
      <c r="E3184" s="1243">
        <f>'WPB-2.1.D SMRP'!E1261</f>
        <v>0</v>
      </c>
      <c r="F3184" s="1243">
        <f>'WPB-2.1.D SMRP'!F1261</f>
        <v>0</v>
      </c>
      <c r="G3184" s="1243">
        <f>SUM(D3184:F3184)</f>
        <v>599780.62011021946</v>
      </c>
      <c r="I3184" s="1243">
        <f>O3070</f>
        <v>-939854.10754116019</v>
      </c>
      <c r="J3184" s="376">
        <f>+J3070</f>
        <v>3.3099999999999997E-2</v>
      </c>
      <c r="K3184" s="1243">
        <f>'WPB-2.1.D SMRP'!K1261</f>
        <v>1654.39</v>
      </c>
      <c r="L3184" s="1243">
        <v>0</v>
      </c>
      <c r="M3184" s="1243">
        <f>F3184</f>
        <v>0</v>
      </c>
      <c r="N3184" s="1243">
        <f>'WPB-2.1.D SMRP'!N1261</f>
        <v>0</v>
      </c>
      <c r="O3184" s="1243">
        <f>I3184+K3184+L3184+M3184+N3184</f>
        <v>-938199.71754116018</v>
      </c>
    </row>
    <row r="3185" spans="1:16">
      <c r="A3185" s="361">
        <f t="shared" si="597"/>
        <v>26</v>
      </c>
      <c r="B3185" s="365">
        <v>380</v>
      </c>
      <c r="C3185" s="358" t="s">
        <v>1777</v>
      </c>
      <c r="D3185" s="1243">
        <f>G3071</f>
        <v>23600002.233657222</v>
      </c>
      <c r="E3185" s="1243">
        <f>'WPB-2.1.D SMRP'!E1262</f>
        <v>959656.86447214603</v>
      </c>
      <c r="F3185" s="1243">
        <f>'WPB-2.1.D SMRP'!F1262</f>
        <v>-225612.48612410427</v>
      </c>
      <c r="G3185" s="1243">
        <f>SUM(D3185:F3185)</f>
        <v>24334046.612005264</v>
      </c>
      <c r="I3185" s="1243">
        <f>O3071</f>
        <v>-12005280.001673168</v>
      </c>
      <c r="J3185" s="376">
        <f>+J3071</f>
        <v>5.1799999999999999E-2</v>
      </c>
      <c r="K3185" s="1243">
        <f>'WPB-2.1.D SMRP'!K1262</f>
        <v>103457.66</v>
      </c>
      <c r="L3185" s="1243">
        <v>0</v>
      </c>
      <c r="M3185" s="1243">
        <f>F3185</f>
        <v>-225612.48612410427</v>
      </c>
      <c r="N3185" s="1243">
        <f>'WPB-2.1.D SMRP'!N1262</f>
        <v>-105564.631621708</v>
      </c>
      <c r="O3185" s="1243">
        <f>I3185+K3185+L3185+M3185+N3185</f>
        <v>-12232999.459418979</v>
      </c>
    </row>
    <row r="3186" spans="1:16">
      <c r="A3186" s="361">
        <f t="shared" si="597"/>
        <v>27</v>
      </c>
      <c r="B3186" s="365">
        <v>382</v>
      </c>
      <c r="C3186" s="358" t="s">
        <v>1778</v>
      </c>
      <c r="D3186" s="1243">
        <f>G3072</f>
        <v>234782.56980964576</v>
      </c>
      <c r="E3186" s="1243">
        <f>'WPB-2.1.D SMRP'!E1263</f>
        <v>1893.3676735532254</v>
      </c>
      <c r="F3186" s="1243">
        <f>'WPB-2.1.D SMRP'!F1263</f>
        <v>-591.2923913925863</v>
      </c>
      <c r="G3186" s="1243">
        <f>SUM(D3186:F3186)</f>
        <v>236084.64509180642</v>
      </c>
      <c r="I3186" s="1243">
        <f>O3072</f>
        <v>-74456.100827864793</v>
      </c>
      <c r="J3186" s="376">
        <f>+J3072</f>
        <v>2.2800000000000001E-2</v>
      </c>
      <c r="K3186" s="1243">
        <f>'WPB-2.1.D SMRP'!K1263</f>
        <v>447.32</v>
      </c>
      <c r="L3186" s="1243">
        <v>0</v>
      </c>
      <c r="M3186" s="1243">
        <f>F3186</f>
        <v>-591.2923913925863</v>
      </c>
      <c r="N3186" s="1243">
        <f>'WPB-2.1.D SMRP'!N1263</f>
        <v>0</v>
      </c>
      <c r="O3186" s="1243">
        <f>I3186+K3186+L3186+M3186+N3186</f>
        <v>-74600.073219257378</v>
      </c>
    </row>
    <row r="3187" spans="1:16">
      <c r="A3187" s="361">
        <f t="shared" si="597"/>
        <v>28</v>
      </c>
      <c r="B3187" s="365">
        <v>383</v>
      </c>
      <c r="C3187" s="358" t="s">
        <v>1779</v>
      </c>
      <c r="D3187" s="1244">
        <f>G3073</f>
        <v>163629.10185611362</v>
      </c>
      <c r="E3187" s="1244">
        <f>'WPB-2.1.D SMRP'!E1264</f>
        <v>3679.4302999298588</v>
      </c>
      <c r="F3187" s="1244">
        <f>'WPB-2.1.D SMRP'!F1264</f>
        <v>-53.190138639978073</v>
      </c>
      <c r="G3187" s="1244">
        <f>SUM(D3187:F3187)</f>
        <v>167255.34201740351</v>
      </c>
      <c r="I3187" s="1244">
        <f>O3073</f>
        <v>-8123.2385534012028</v>
      </c>
      <c r="J3187" s="376">
        <f>+J3073</f>
        <v>2.2200000000000001E-2</v>
      </c>
      <c r="K3187" s="1244">
        <f>'WPB-2.1.D SMRP'!K1264</f>
        <v>306.07</v>
      </c>
      <c r="L3187" s="1244">
        <v>0</v>
      </c>
      <c r="M3187" s="1244">
        <f>F3187</f>
        <v>-53.190138639978073</v>
      </c>
      <c r="N3187" s="1244">
        <f>'WPB-2.1.D SMRP'!N1264</f>
        <v>0</v>
      </c>
      <c r="O3187" s="1244">
        <f>I3187+K3187+L3187+M3187+N3187</f>
        <v>-7870.3586920411808</v>
      </c>
    </row>
    <row r="3188" spans="1:16">
      <c r="A3188" s="361">
        <f t="shared" si="597"/>
        <v>29</v>
      </c>
      <c r="C3188" s="358" t="s">
        <v>1780</v>
      </c>
      <c r="D3188" s="1243">
        <f>SUM(D3183:D3187)</f>
        <v>80686468.971587807</v>
      </c>
      <c r="E3188" s="1243">
        <f>SUM(E3183:E3187)</f>
        <v>2146396.2388077979</v>
      </c>
      <c r="F3188" s="1243">
        <f>SUM(F3183:F3187)</f>
        <v>-245204.15865413682</v>
      </c>
      <c r="G3188" s="1243">
        <f>SUM(G3183:G3187)</f>
        <v>82587661.051741466</v>
      </c>
      <c r="I3188" s="1243">
        <f>SUM(I3183:I3187)</f>
        <v>-12560042.053871451</v>
      </c>
      <c r="J3188" s="369"/>
      <c r="K3188" s="1243">
        <f>SUM(K3183:K3187)</f>
        <v>190869.52000000002</v>
      </c>
      <c r="L3188" s="1243">
        <f>SUM(L3183:L3187)</f>
        <v>0</v>
      </c>
      <c r="M3188" s="1243">
        <f>SUM(M3183:M3187)</f>
        <v>-245204.15865413682</v>
      </c>
      <c r="N3188" s="1243">
        <f>SUM(N3183:N3187)</f>
        <v>-109978.62405493399</v>
      </c>
      <c r="O3188" s="1243">
        <f>SUM(O3183:O3187)</f>
        <v>-12724355.316580519</v>
      </c>
    </row>
    <row r="3189" spans="1:16">
      <c r="A3189" s="361"/>
      <c r="D3189" s="1243"/>
      <c r="E3189" s="1243"/>
      <c r="F3189" s="1243"/>
      <c r="G3189" s="1243"/>
      <c r="I3189" s="1243"/>
      <c r="J3189" s="369"/>
      <c r="K3189" s="1243"/>
      <c r="L3189" s="1243"/>
      <c r="M3189" s="1243"/>
      <c r="N3189" s="1243"/>
      <c r="O3189" s="1243"/>
    </row>
    <row r="3190" spans="1:16" ht="13.5" thickBot="1">
      <c r="A3190" s="361">
        <f>A3188+1</f>
        <v>30</v>
      </c>
      <c r="C3190" s="358" t="s">
        <v>447</v>
      </c>
      <c r="D3190" s="1248">
        <f>D3179+D3188</f>
        <v>846310870.2537905</v>
      </c>
      <c r="E3190" s="1248">
        <f>E3179+E3188</f>
        <v>7951218.8871722799</v>
      </c>
      <c r="F3190" s="1248">
        <f>F3179+F3188</f>
        <v>-1059256.1605514912</v>
      </c>
      <c r="G3190" s="1248">
        <f>G3179+G3188</f>
        <v>853202832.98041129</v>
      </c>
      <c r="I3190" s="1248">
        <f>I3179+I3188</f>
        <v>177827121.29260188</v>
      </c>
      <c r="J3190" s="369"/>
      <c r="K3190" s="1248">
        <f>K3179+K3188</f>
        <v>2357396.9960717661</v>
      </c>
      <c r="L3190" s="1248">
        <f>L3179+L3188</f>
        <v>5270.0000000000009</v>
      </c>
      <c r="M3190" s="1248">
        <f>M3179+M3188</f>
        <v>-1059256.1605514912</v>
      </c>
      <c r="N3190" s="1248">
        <f>N3179+N3188</f>
        <v>-285798.32</v>
      </c>
      <c r="O3190" s="1248">
        <f>O3179+O3188</f>
        <v>178844733.80812204</v>
      </c>
    </row>
    <row r="3191" spans="1:16" ht="13.5" thickTop="1"/>
    <row r="3193" spans="1:16" s="291" customFormat="1">
      <c r="A3193" s="1308" t="str">
        <f>$A$1</f>
        <v>COLUMBIA GAS OF KENTUCKY, INC.</v>
      </c>
      <c r="B3193" s="1308"/>
      <c r="C3193" s="1308"/>
      <c r="D3193" s="1308"/>
      <c r="E3193" s="1308"/>
      <c r="F3193" s="1308"/>
      <c r="G3193" s="1308"/>
      <c r="H3193" s="1308"/>
      <c r="I3193" s="1308"/>
      <c r="J3193" s="1308"/>
      <c r="K3193" s="1308"/>
      <c r="L3193" s="1308"/>
      <c r="M3193" s="1308"/>
      <c r="N3193" s="1308"/>
      <c r="O3193" s="1308"/>
    </row>
    <row r="3194" spans="1:16" s="291" customFormat="1">
      <c r="A3194" s="1308" t="str">
        <f>$A$2</f>
        <v>CASE NO. 2024 - 00092</v>
      </c>
      <c r="B3194" s="1308"/>
      <c r="C3194" s="1308"/>
      <c r="D3194" s="1308"/>
      <c r="E3194" s="1308"/>
      <c r="F3194" s="1308"/>
      <c r="G3194" s="1308"/>
      <c r="H3194" s="1308"/>
      <c r="I3194" s="1308"/>
      <c r="J3194" s="1308"/>
      <c r="K3194" s="1308"/>
      <c r="L3194" s="1308"/>
      <c r="M3194" s="1308"/>
      <c r="N3194" s="1308"/>
      <c r="O3194" s="1308"/>
    </row>
    <row r="3195" spans="1:16" s="291" customFormat="1">
      <c r="A3195" s="1308" t="str">
        <f>$A$3</f>
        <v>DETAIL OF ACTUAL &amp; FORECASTED PLANT, ACCUMULATED RESERVE &amp; DEPRECIATION EXPENSE</v>
      </c>
      <c r="B3195" s="1308"/>
      <c r="C3195" s="1308"/>
      <c r="D3195" s="1308"/>
      <c r="E3195" s="1308"/>
      <c r="F3195" s="1308"/>
      <c r="G3195" s="1308"/>
      <c r="H3195" s="1308"/>
      <c r="I3195" s="1308"/>
      <c r="J3195" s="1308"/>
      <c r="K3195" s="1308"/>
      <c r="L3195" s="1308"/>
      <c r="M3195" s="1308"/>
      <c r="N3195" s="1308"/>
      <c r="O3195" s="1308"/>
      <c r="P3195" s="357"/>
    </row>
    <row r="3196" spans="1:16" s="291" customFormat="1">
      <c r="A3196" s="1308" t="str">
        <f>$A$4</f>
        <v>FROM JANUARY 01, 2023 THROUGH DECEMBER 31, 2025</v>
      </c>
      <c r="B3196" s="1308"/>
      <c r="C3196" s="1308"/>
      <c r="D3196" s="1308"/>
      <c r="E3196" s="1308"/>
      <c r="F3196" s="1308"/>
      <c r="G3196" s="1308"/>
      <c r="H3196" s="1308"/>
      <c r="I3196" s="1308"/>
      <c r="J3196" s="1308"/>
      <c r="K3196" s="1308"/>
      <c r="L3196" s="1308"/>
      <c r="M3196" s="1308"/>
      <c r="N3196" s="1308"/>
      <c r="O3196" s="1308"/>
    </row>
    <row r="3197" spans="1:16" s="291" customFormat="1">
      <c r="B3197" s="293"/>
      <c r="P3197" s="312"/>
    </row>
    <row r="3198" spans="1:16" s="291" customFormat="1">
      <c r="A3198" s="297" t="str">
        <f>$A$6</f>
        <v xml:space="preserve">DATA: _X_ BASE PERIOD _X_ FORECASTED PERIOD     </v>
      </c>
      <c r="B3198" s="293"/>
      <c r="O3198" s="312" t="str">
        <f>$O$6</f>
        <v>WPB-2.1.C</v>
      </c>
      <c r="P3198" s="312"/>
    </row>
    <row r="3199" spans="1:16" s="291" customFormat="1">
      <c r="A3199" s="297" t="str">
        <f>$A$7</f>
        <v>TYPE OF FILING:___X___ORIGINAL______UPDATED</v>
      </c>
      <c r="B3199" s="293"/>
      <c r="O3199" s="312" t="s">
        <v>2166</v>
      </c>
      <c r="P3199" s="312"/>
    </row>
    <row r="3200" spans="1:16" s="291" customFormat="1">
      <c r="A3200" s="297" t="str">
        <f>$A$8</f>
        <v>WORKPAPER REFERENCE NO(S).:</v>
      </c>
      <c r="B3200" s="293"/>
      <c r="O3200" s="312" t="str">
        <f>$O$8</f>
        <v>WITNESS: GORE</v>
      </c>
    </row>
    <row r="3201" spans="1:15">
      <c r="A3201" s="918"/>
      <c r="B3201" s="919"/>
      <c r="C3201" s="918"/>
      <c r="D3201" s="918"/>
      <c r="E3201" s="918"/>
      <c r="F3201" s="918"/>
      <c r="G3201" s="918"/>
      <c r="H3201" s="918"/>
      <c r="I3201" s="918"/>
      <c r="J3201" s="918"/>
      <c r="K3201" s="918"/>
      <c r="L3201" s="918"/>
      <c r="M3201" s="918"/>
      <c r="N3201" s="918"/>
      <c r="O3201" s="920"/>
    </row>
    <row r="3202" spans="1:15">
      <c r="D3202" s="1311" t="s">
        <v>1768</v>
      </c>
      <c r="E3202" s="1311"/>
      <c r="F3202" s="1311"/>
      <c r="G3202" s="1311"/>
      <c r="I3202" s="1311" t="s">
        <v>1769</v>
      </c>
      <c r="J3202" s="1311"/>
      <c r="K3202" s="1311"/>
      <c r="L3202" s="1311"/>
      <c r="M3202" s="1311"/>
      <c r="N3202" s="1311"/>
      <c r="O3202" s="1311"/>
    </row>
    <row r="3203" spans="1:15">
      <c r="D3203" s="360">
        <f>G3148+1</f>
        <v>45778</v>
      </c>
      <c r="G3203" s="360">
        <f>D3203+30</f>
        <v>45808</v>
      </c>
      <c r="I3203" s="360">
        <f>D3203</f>
        <v>45778</v>
      </c>
      <c r="O3203" s="360">
        <f>G3203</f>
        <v>45808</v>
      </c>
    </row>
    <row r="3204" spans="1:15">
      <c r="D3204" s="361" t="s">
        <v>1757</v>
      </c>
      <c r="G3204" s="361" t="s">
        <v>1757</v>
      </c>
      <c r="I3204" s="361" t="s">
        <v>1758</v>
      </c>
      <c r="J3204" s="361" t="s">
        <v>488</v>
      </c>
      <c r="L3204" s="361" t="s">
        <v>1758</v>
      </c>
      <c r="O3204" s="361" t="s">
        <v>1758</v>
      </c>
    </row>
    <row r="3205" spans="1:15">
      <c r="A3205" s="361" t="s">
        <v>1770</v>
      </c>
      <c r="B3205" s="361" t="s">
        <v>368</v>
      </c>
      <c r="C3205" s="361"/>
      <c r="D3205" s="361" t="s">
        <v>437</v>
      </c>
      <c r="G3205" s="361" t="s">
        <v>439</v>
      </c>
      <c r="I3205" s="361" t="s">
        <v>437</v>
      </c>
      <c r="J3205" s="361" t="s">
        <v>1771</v>
      </c>
      <c r="K3205" s="361" t="s">
        <v>1772</v>
      </c>
      <c r="L3205" s="361" t="s">
        <v>1759</v>
      </c>
      <c r="N3205" s="361" t="s">
        <v>1760</v>
      </c>
      <c r="O3205" s="361" t="s">
        <v>439</v>
      </c>
    </row>
    <row r="3206" spans="1:15">
      <c r="A3206" s="364" t="s">
        <v>316</v>
      </c>
      <c r="B3206" s="364" t="s">
        <v>316</v>
      </c>
      <c r="C3206" s="364" t="s">
        <v>451</v>
      </c>
      <c r="D3206" s="364" t="s">
        <v>441</v>
      </c>
      <c r="E3206" s="364" t="s">
        <v>442</v>
      </c>
      <c r="F3206" s="364" t="s">
        <v>443</v>
      </c>
      <c r="G3206" s="364" t="s">
        <v>441</v>
      </c>
      <c r="I3206" s="364" t="s">
        <v>441</v>
      </c>
      <c r="J3206" s="364" t="s">
        <v>1773</v>
      </c>
      <c r="K3206" s="364" t="s">
        <v>1771</v>
      </c>
      <c r="L3206" s="364" t="s">
        <v>355</v>
      </c>
      <c r="M3206" s="364" t="s">
        <v>443</v>
      </c>
      <c r="N3206" s="364" t="s">
        <v>1763</v>
      </c>
      <c r="O3206" s="364" t="s">
        <v>441</v>
      </c>
    </row>
    <row r="3207" spans="1:15">
      <c r="D3207" s="361" t="s">
        <v>532</v>
      </c>
      <c r="E3207" s="361" t="s">
        <v>541</v>
      </c>
      <c r="F3207" s="361" t="s">
        <v>542</v>
      </c>
      <c r="G3207" s="361" t="s">
        <v>1764</v>
      </c>
      <c r="I3207" s="334" t="str">
        <f>"(5)"</f>
        <v>(5)</v>
      </c>
      <c r="J3207" s="334" t="str">
        <f>"(6)"</f>
        <v>(6)</v>
      </c>
      <c r="K3207" s="334" t="str">
        <f>"(7)=((1+4)/2*6/12))"</f>
        <v>(7)=((1+4)/2*6/12))</v>
      </c>
      <c r="L3207" s="334" t="str">
        <f>"(8)"</f>
        <v>(8)</v>
      </c>
      <c r="M3207" s="334" t="str">
        <f>"(9)"</f>
        <v>(9)</v>
      </c>
      <c r="N3207" s="334" t="str">
        <f>"(10)"</f>
        <v>(10)</v>
      </c>
      <c r="O3207" s="334" t="str">
        <f>"(11=5+7+8+9+10)"</f>
        <v>(11=5+7+8+9+10)</v>
      </c>
    </row>
    <row r="3208" spans="1:15">
      <c r="D3208" s="361" t="s">
        <v>320</v>
      </c>
      <c r="E3208" s="361" t="s">
        <v>320</v>
      </c>
      <c r="F3208" s="361" t="s">
        <v>320</v>
      </c>
      <c r="G3208" s="361" t="s">
        <v>320</v>
      </c>
      <c r="I3208" s="334" t="s">
        <v>320</v>
      </c>
      <c r="J3208" s="334" t="s">
        <v>529</v>
      </c>
      <c r="K3208" s="334" t="s">
        <v>320</v>
      </c>
      <c r="L3208" s="334" t="s">
        <v>320</v>
      </c>
      <c r="M3208" s="334" t="s">
        <v>320</v>
      </c>
      <c r="N3208" s="334" t="s">
        <v>320</v>
      </c>
      <c r="O3208" s="334" t="s">
        <v>320</v>
      </c>
    </row>
    <row r="3209" spans="1:15">
      <c r="A3209" s="361">
        <v>1</v>
      </c>
      <c r="B3209" s="362" t="s">
        <v>373</v>
      </c>
      <c r="D3209" s="361"/>
      <c r="E3209" s="361"/>
      <c r="F3209" s="361"/>
      <c r="G3209" s="361"/>
      <c r="I3209" s="334"/>
      <c r="J3209" s="334"/>
      <c r="K3209" s="334"/>
      <c r="L3209" s="334"/>
      <c r="M3209" s="334"/>
      <c r="N3209" s="334"/>
      <c r="O3209" s="334"/>
    </row>
    <row r="3210" spans="1:15">
      <c r="A3210" s="361">
        <f>A3209+1</f>
        <v>2</v>
      </c>
      <c r="B3210" s="365">
        <v>301</v>
      </c>
      <c r="C3210" s="358" t="s">
        <v>374</v>
      </c>
      <c r="D3210" s="1243">
        <f t="shared" ref="D3210:D3215" si="598">G3096</f>
        <v>521.20000000000005</v>
      </c>
      <c r="E3210" s="1243">
        <v>0</v>
      </c>
      <c r="F3210" s="1243">
        <v>0</v>
      </c>
      <c r="G3210" s="1243">
        <f t="shared" ref="G3210:G3215" si="599">SUM(D3210:F3210)</f>
        <v>521.20000000000005</v>
      </c>
      <c r="H3210" s="1243"/>
      <c r="I3210" s="369">
        <f t="shared" ref="I3210:I3215" si="600">O3096</f>
        <v>0</v>
      </c>
      <c r="J3210" s="375" t="str">
        <f>$J$1614</f>
        <v>Amort.</v>
      </c>
      <c r="K3210" s="1243">
        <v>0</v>
      </c>
      <c r="L3210" s="1243">
        <v>0</v>
      </c>
      <c r="M3210" s="1243">
        <f t="shared" ref="M3210:M3215" si="601">F3210</f>
        <v>0</v>
      </c>
      <c r="N3210" s="1243">
        <v>0</v>
      </c>
      <c r="O3210" s="1243">
        <f t="shared" ref="O3210:O3215" si="602">I3210+K3210+L3210+M3210+N3210</f>
        <v>0</v>
      </c>
    </row>
    <row r="3211" spans="1:15">
      <c r="A3211" s="361">
        <f t="shared" ref="A3211:A3216" si="603">A3210+1</f>
        <v>3</v>
      </c>
      <c r="B3211" s="365">
        <v>303</v>
      </c>
      <c r="C3211" s="358" t="s">
        <v>375</v>
      </c>
      <c r="D3211" s="1243">
        <f t="shared" si="598"/>
        <v>96334.51</v>
      </c>
      <c r="E3211" s="1243">
        <v>0</v>
      </c>
      <c r="F3211" s="1243">
        <v>0</v>
      </c>
      <c r="G3211" s="1243">
        <f t="shared" si="599"/>
        <v>96334.51</v>
      </c>
      <c r="H3211" s="1243"/>
      <c r="I3211" s="369">
        <f t="shared" si="600"/>
        <v>83143.934888889009</v>
      </c>
      <c r="J3211" s="375" t="str">
        <f>$J$1615</f>
        <v>Amort.</v>
      </c>
      <c r="K3211" s="1243">
        <f>+'WPB-2.1.E Intangibles'!I53</f>
        <v>246.50390277777777</v>
      </c>
      <c r="L3211" s="1243">
        <v>0</v>
      </c>
      <c r="M3211" s="1243">
        <f t="shared" si="601"/>
        <v>0</v>
      </c>
      <c r="N3211" s="1243">
        <v>0</v>
      </c>
      <c r="O3211" s="1243">
        <f t="shared" si="602"/>
        <v>83390.438791666791</v>
      </c>
    </row>
    <row r="3212" spans="1:15">
      <c r="A3212" s="361">
        <f t="shared" si="603"/>
        <v>4</v>
      </c>
      <c r="B3212" s="365">
        <v>303.10000000000002</v>
      </c>
      <c r="C3212" s="358" t="s">
        <v>376</v>
      </c>
      <c r="D3212" s="1243">
        <f t="shared" si="598"/>
        <v>943.27</v>
      </c>
      <c r="E3212" s="1243">
        <v>0</v>
      </c>
      <c r="F3212" s="1243">
        <v>0</v>
      </c>
      <c r="G3212" s="1243">
        <f t="shared" si="599"/>
        <v>943.27</v>
      </c>
      <c r="H3212" s="1243"/>
      <c r="I3212" s="369">
        <f t="shared" si="600"/>
        <v>318.35000000000008</v>
      </c>
      <c r="J3212" s="375" t="str">
        <f>$J$1616</f>
        <v>Amort.</v>
      </c>
      <c r="K3212" s="1243">
        <v>0</v>
      </c>
      <c r="L3212" s="1243">
        <v>0</v>
      </c>
      <c r="M3212" s="1243">
        <f t="shared" si="601"/>
        <v>0</v>
      </c>
      <c r="N3212" s="1243">
        <v>0</v>
      </c>
      <c r="O3212" s="1243">
        <f t="shared" si="602"/>
        <v>318.35000000000008</v>
      </c>
    </row>
    <row r="3213" spans="1:15">
      <c r="A3213" s="361">
        <f t="shared" si="603"/>
        <v>5</v>
      </c>
      <c r="B3213" s="365">
        <v>303.2</v>
      </c>
      <c r="C3213" s="358" t="s">
        <v>377</v>
      </c>
      <c r="D3213" s="1243">
        <f t="shared" si="598"/>
        <v>0</v>
      </c>
      <c r="E3213" s="1243">
        <v>0</v>
      </c>
      <c r="F3213" s="1243">
        <v>0</v>
      </c>
      <c r="G3213" s="1243">
        <f t="shared" si="599"/>
        <v>0</v>
      </c>
      <c r="H3213" s="1243"/>
      <c r="I3213" s="369">
        <f t="shared" si="600"/>
        <v>0</v>
      </c>
      <c r="J3213" s="375" t="str">
        <f>$J$1617</f>
        <v>Amort.</v>
      </c>
      <c r="K3213" s="1243">
        <v>0</v>
      </c>
      <c r="L3213" s="1243">
        <v>0</v>
      </c>
      <c r="M3213" s="1243">
        <f t="shared" si="601"/>
        <v>0</v>
      </c>
      <c r="N3213" s="1243">
        <v>0</v>
      </c>
      <c r="O3213" s="1243">
        <f t="shared" si="602"/>
        <v>0</v>
      </c>
    </row>
    <row r="3214" spans="1:15">
      <c r="A3214" s="361">
        <f t="shared" si="603"/>
        <v>6</v>
      </c>
      <c r="B3214" s="365">
        <v>303.3</v>
      </c>
      <c r="C3214" s="358" t="s">
        <v>378</v>
      </c>
      <c r="D3214" s="1243">
        <f t="shared" si="598"/>
        <v>16108682.242649013</v>
      </c>
      <c r="E3214" s="1243">
        <f>+'WPB-2.1.E Intangibles'!I26</f>
        <v>109475.18275000001</v>
      </c>
      <c r="F3214" s="1243">
        <f>-'WPB-2.1.E Intangibles'!I41</f>
        <v>-211510.36000000002</v>
      </c>
      <c r="G3214" s="1243">
        <f t="shared" si="599"/>
        <v>16006647.065399013</v>
      </c>
      <c r="H3214" s="1243"/>
      <c r="I3214" s="369">
        <f t="shared" si="600"/>
        <v>6397237.5471024457</v>
      </c>
      <c r="J3214" s="375" t="str">
        <f>$J$1618</f>
        <v>Amort.</v>
      </c>
      <c r="K3214" s="1243">
        <f>+'WPB-2.1.E Intangibles'!I54</f>
        <v>243224.06335568897</v>
      </c>
      <c r="L3214" s="1243">
        <v>0</v>
      </c>
      <c r="M3214" s="1243">
        <f t="shared" si="601"/>
        <v>-211510.36000000002</v>
      </c>
      <c r="N3214" s="1243">
        <v>0</v>
      </c>
      <c r="O3214" s="1243">
        <f t="shared" si="602"/>
        <v>6428951.2504581343</v>
      </c>
    </row>
    <row r="3215" spans="1:15">
      <c r="A3215" s="361">
        <f t="shared" si="603"/>
        <v>7</v>
      </c>
      <c r="B3215" s="365">
        <v>303.99</v>
      </c>
      <c r="C3215" s="358" t="s">
        <v>1129</v>
      </c>
      <c r="D3215" s="1244">
        <f t="shared" si="598"/>
        <v>4206341.4167212872</v>
      </c>
      <c r="E3215" s="1244">
        <f>+'WPB-2.1.E Intangibles'!I30</f>
        <v>106742.14140589688</v>
      </c>
      <c r="F3215" s="1244">
        <f>-'WPB-2.1.E Intangibles'!I42</f>
        <v>-7455.12</v>
      </c>
      <c r="G3215" s="1244">
        <f t="shared" si="599"/>
        <v>4305628.4381271843</v>
      </c>
      <c r="H3215" s="1243"/>
      <c r="I3215" s="923">
        <f t="shared" si="600"/>
        <v>1221172.5354800723</v>
      </c>
      <c r="J3215" s="375" t="str">
        <f>$J$1619</f>
        <v>Amort.</v>
      </c>
      <c r="K3215" s="1244">
        <f>+'WPB-2.1.E Intangibles'!I55</f>
        <v>61000.435897345429</v>
      </c>
      <c r="L3215" s="1244">
        <v>0</v>
      </c>
      <c r="M3215" s="1244">
        <f t="shared" si="601"/>
        <v>-7455.12</v>
      </c>
      <c r="N3215" s="1244">
        <v>0</v>
      </c>
      <c r="O3215" s="1244">
        <f t="shared" si="602"/>
        <v>1274717.8513774176</v>
      </c>
    </row>
    <row r="3216" spans="1:15">
      <c r="A3216" s="361">
        <f t="shared" si="603"/>
        <v>8</v>
      </c>
      <c r="B3216" s="367"/>
      <c r="C3216" s="358" t="s">
        <v>379</v>
      </c>
      <c r="D3216" s="1243">
        <f>SUM(D3210:D3215)</f>
        <v>20412822.6393703</v>
      </c>
      <c r="E3216" s="1243">
        <f>SUM(E3210:E3215)</f>
        <v>216217.3241558969</v>
      </c>
      <c r="F3216" s="1243">
        <f>SUM(F3210:F3215)</f>
        <v>-218965.48</v>
      </c>
      <c r="G3216" s="1243">
        <f>SUM(G3210:G3215)</f>
        <v>20410074.4835262</v>
      </c>
      <c r="H3216" s="1243"/>
      <c r="I3216" s="369">
        <f>SUM(I3210:I3215)</f>
        <v>7701872.3674714062</v>
      </c>
      <c r="J3216" s="369"/>
      <c r="K3216" s="1243">
        <f>SUM(K3210:K3215)</f>
        <v>304471.00315581216</v>
      </c>
      <c r="L3216" s="1243">
        <f>SUM(L3210:L3215)</f>
        <v>0</v>
      </c>
      <c r="M3216" s="1243">
        <f>SUM(M3210:M3215)</f>
        <v>-218965.48</v>
      </c>
      <c r="N3216" s="1243">
        <f>SUM(N3210:N3215)</f>
        <v>0</v>
      </c>
      <c r="O3216" s="1243">
        <f>SUM(O3210:O3215)</f>
        <v>7787377.8906272184</v>
      </c>
    </row>
    <row r="3217" spans="1:15">
      <c r="A3217" s="361"/>
      <c r="B3217" s="367"/>
      <c r="C3217" s="368"/>
      <c r="D3217" s="1243"/>
      <c r="E3217" s="1243"/>
      <c r="F3217" s="1243"/>
      <c r="G3217" s="1243"/>
      <c r="H3217" s="1243"/>
      <c r="I3217" s="369"/>
      <c r="J3217" s="369"/>
      <c r="K3217" s="1243"/>
      <c r="L3217" s="1243"/>
      <c r="M3217" s="1243"/>
      <c r="N3217" s="1243"/>
      <c r="O3217" s="1243"/>
    </row>
    <row r="3218" spans="1:15">
      <c r="A3218" s="361">
        <f>A3216+1</f>
        <v>9</v>
      </c>
      <c r="B3218" s="362" t="s">
        <v>1600</v>
      </c>
      <c r="C3218" s="368"/>
      <c r="D3218" s="1243"/>
      <c r="E3218" s="1243"/>
      <c r="F3218" s="1243"/>
      <c r="G3218" s="1243"/>
      <c r="H3218" s="1243"/>
      <c r="I3218" s="369"/>
      <c r="J3218" s="369"/>
      <c r="K3218" s="1243"/>
      <c r="L3218" s="1243"/>
      <c r="M3218" s="1243"/>
      <c r="N3218" s="1243"/>
      <c r="O3218" s="1243"/>
    </row>
    <row r="3219" spans="1:15">
      <c r="A3219" s="361">
        <f t="shared" ref="A3219:A3249" si="604">A3218+1</f>
        <v>10</v>
      </c>
      <c r="B3219" s="365">
        <v>374.1</v>
      </c>
      <c r="C3219" s="358" t="s">
        <v>382</v>
      </c>
      <c r="D3219" s="1243">
        <f t="shared" ref="D3219:D3248" si="605">G3105</f>
        <v>205.4</v>
      </c>
      <c r="E3219" s="1243">
        <v>0</v>
      </c>
      <c r="F3219" s="1243">
        <v>0</v>
      </c>
      <c r="G3219" s="1243">
        <f>SUM(D3219:F3219)</f>
        <v>205.4</v>
      </c>
      <c r="H3219" s="1243"/>
      <c r="I3219" s="369">
        <f t="shared" ref="I3219:I3248" si="606">O3105</f>
        <v>0</v>
      </c>
      <c r="J3219" s="375" t="str">
        <f>$J$1623</f>
        <v>Non-Dep.</v>
      </c>
      <c r="K3219" s="1243">
        <v>0</v>
      </c>
      <c r="L3219" s="1243">
        <v>0</v>
      </c>
      <c r="M3219" s="1243">
        <f t="shared" ref="M3219:M3248" si="607">F3219</f>
        <v>0</v>
      </c>
      <c r="N3219" s="1243">
        <v>0</v>
      </c>
      <c r="O3219" s="1243">
        <f t="shared" ref="O3219:O3248" si="608">I3219+K3219+L3219+M3219+N3219</f>
        <v>0</v>
      </c>
    </row>
    <row r="3220" spans="1:15">
      <c r="A3220" s="361">
        <f t="shared" si="604"/>
        <v>11</v>
      </c>
      <c r="B3220" s="365">
        <v>374.2</v>
      </c>
      <c r="C3220" s="358" t="s">
        <v>383</v>
      </c>
      <c r="D3220" s="1243">
        <f t="shared" si="605"/>
        <v>876986.66</v>
      </c>
      <c r="E3220" s="1243">
        <v>0</v>
      </c>
      <c r="F3220" s="1243">
        <v>0</v>
      </c>
      <c r="G3220" s="1243">
        <f t="shared" ref="G3220:G3248" si="609">SUM(D3220:F3220)</f>
        <v>876986.66</v>
      </c>
      <c r="H3220" s="1243"/>
      <c r="I3220" s="369">
        <f t="shared" si="606"/>
        <v>-522.25</v>
      </c>
      <c r="J3220" s="375" t="str">
        <f>$J$1624</f>
        <v>Non-Dep.</v>
      </c>
      <c r="K3220" s="1243">
        <v>0</v>
      </c>
      <c r="L3220" s="1243">
        <v>0</v>
      </c>
      <c r="M3220" s="1243">
        <f t="shared" si="607"/>
        <v>0</v>
      </c>
      <c r="N3220" s="1243">
        <v>0</v>
      </c>
      <c r="O3220" s="1243">
        <f t="shared" si="608"/>
        <v>-522.25</v>
      </c>
    </row>
    <row r="3221" spans="1:15">
      <c r="A3221" s="361">
        <f t="shared" si="604"/>
        <v>12</v>
      </c>
      <c r="B3221" s="365">
        <v>374.4</v>
      </c>
      <c r="C3221" s="358" t="s">
        <v>384</v>
      </c>
      <c r="D3221" s="1243">
        <f t="shared" si="605"/>
        <v>3146113.6800000006</v>
      </c>
      <c r="E3221" s="1243">
        <v>1370.04</v>
      </c>
      <c r="F3221" s="1243">
        <v>0</v>
      </c>
      <c r="G3221" s="1243">
        <f t="shared" si="609"/>
        <v>3147483.7200000007</v>
      </c>
      <c r="H3221" s="1243"/>
      <c r="I3221" s="369">
        <f t="shared" si="606"/>
        <v>403358.77</v>
      </c>
      <c r="J3221" s="376">
        <f t="shared" ref="J3221:J3248" si="610">+J3107</f>
        <v>1.3299999999999999E-2</v>
      </c>
      <c r="K3221" s="1243">
        <f t="shared" ref="K3221:K3227" si="611">ROUND((G3221+D3221)/2*J3221/12,0)</f>
        <v>3488</v>
      </c>
      <c r="L3221" s="1243">
        <v>0</v>
      </c>
      <c r="M3221" s="1243">
        <f t="shared" si="607"/>
        <v>0</v>
      </c>
      <c r="N3221" s="1243">
        <v>0</v>
      </c>
      <c r="O3221" s="1243">
        <f t="shared" si="608"/>
        <v>406846.77</v>
      </c>
    </row>
    <row r="3222" spans="1:15">
      <c r="A3222" s="361">
        <f t="shared" si="604"/>
        <v>13</v>
      </c>
      <c r="B3222" s="365">
        <v>374.5</v>
      </c>
      <c r="C3222" s="358" t="s">
        <v>385</v>
      </c>
      <c r="D3222" s="1243">
        <f t="shared" si="605"/>
        <v>2666577.16</v>
      </c>
      <c r="E3222" s="1243">
        <v>0</v>
      </c>
      <c r="F3222" s="1243">
        <v>0</v>
      </c>
      <c r="G3222" s="1243">
        <f t="shared" si="609"/>
        <v>2666577.16</v>
      </c>
      <c r="H3222" s="1243"/>
      <c r="I3222" s="369">
        <f t="shared" si="606"/>
        <v>1195404.1900000013</v>
      </c>
      <c r="J3222" s="376">
        <f t="shared" si="610"/>
        <v>1.0999999999999999E-2</v>
      </c>
      <c r="K3222" s="1243">
        <f t="shared" si="611"/>
        <v>2444</v>
      </c>
      <c r="L3222" s="1243">
        <v>0</v>
      </c>
      <c r="M3222" s="1243">
        <f t="shared" si="607"/>
        <v>0</v>
      </c>
      <c r="N3222" s="1243">
        <v>0</v>
      </c>
      <c r="O3222" s="1243">
        <f t="shared" si="608"/>
        <v>1197848.1900000013</v>
      </c>
    </row>
    <row r="3223" spans="1:15">
      <c r="A3223" s="361">
        <f t="shared" si="604"/>
        <v>14</v>
      </c>
      <c r="B3223" s="365">
        <v>375.2</v>
      </c>
      <c r="C3223" s="358" t="s">
        <v>386</v>
      </c>
      <c r="D3223" s="1243">
        <f t="shared" si="605"/>
        <v>2124.98</v>
      </c>
      <c r="E3223" s="1243">
        <v>0</v>
      </c>
      <c r="F3223" s="1243">
        <v>0</v>
      </c>
      <c r="G3223" s="1243">
        <f t="shared" si="609"/>
        <v>2124.98</v>
      </c>
      <c r="H3223" s="1243"/>
      <c r="I3223" s="369">
        <f t="shared" si="606"/>
        <v>2119.3000000000002</v>
      </c>
      <c r="J3223" s="376">
        <f t="shared" si="610"/>
        <v>2.3900000000000001E-2</v>
      </c>
      <c r="K3223" s="1243">
        <f t="shared" si="611"/>
        <v>4</v>
      </c>
      <c r="L3223" s="1243">
        <v>0</v>
      </c>
      <c r="M3223" s="1243">
        <f t="shared" si="607"/>
        <v>0</v>
      </c>
      <c r="N3223" s="1243">
        <v>0</v>
      </c>
      <c r="O3223" s="1243">
        <f t="shared" si="608"/>
        <v>2123.3000000000002</v>
      </c>
    </row>
    <row r="3224" spans="1:15">
      <c r="A3224" s="361">
        <f t="shared" si="604"/>
        <v>15</v>
      </c>
      <c r="B3224" s="365">
        <v>375.3</v>
      </c>
      <c r="C3224" s="358" t="s">
        <v>387</v>
      </c>
      <c r="D3224" s="1243">
        <f t="shared" si="605"/>
        <v>0</v>
      </c>
      <c r="E3224" s="1243">
        <v>0</v>
      </c>
      <c r="F3224" s="1243">
        <v>0</v>
      </c>
      <c r="G3224" s="1243">
        <f t="shared" si="609"/>
        <v>0</v>
      </c>
      <c r="H3224" s="1243"/>
      <c r="I3224" s="369">
        <f t="shared" si="606"/>
        <v>-77.66</v>
      </c>
      <c r="J3224" s="376">
        <f t="shared" si="610"/>
        <v>2.3900000000000001E-2</v>
      </c>
      <c r="K3224" s="1243">
        <f t="shared" si="611"/>
        <v>0</v>
      </c>
      <c r="L3224" s="1243">
        <v>0</v>
      </c>
      <c r="M3224" s="1243">
        <f t="shared" si="607"/>
        <v>0</v>
      </c>
      <c r="N3224" s="1243">
        <v>0</v>
      </c>
      <c r="O3224" s="1243">
        <f t="shared" si="608"/>
        <v>-77.66</v>
      </c>
    </row>
    <row r="3225" spans="1:15">
      <c r="A3225" s="361">
        <f t="shared" si="604"/>
        <v>16</v>
      </c>
      <c r="B3225" s="365">
        <v>375.4</v>
      </c>
      <c r="C3225" s="358" t="s">
        <v>388</v>
      </c>
      <c r="D3225" s="1243">
        <f t="shared" si="605"/>
        <v>3446064.0999999982</v>
      </c>
      <c r="E3225" s="1243">
        <v>645831.93000000005</v>
      </c>
      <c r="F3225" s="1243">
        <v>-4751.32</v>
      </c>
      <c r="G3225" s="1243">
        <f t="shared" si="609"/>
        <v>4087144.7099999986</v>
      </c>
      <c r="H3225" s="1243"/>
      <c r="I3225" s="369">
        <f t="shared" si="606"/>
        <v>273190.99000000017</v>
      </c>
      <c r="J3225" s="376">
        <f t="shared" si="610"/>
        <v>2.3900000000000001E-2</v>
      </c>
      <c r="K3225" s="1243">
        <f t="shared" si="611"/>
        <v>7502</v>
      </c>
      <c r="L3225" s="1243">
        <v>0</v>
      </c>
      <c r="M3225" s="1243">
        <f t="shared" si="607"/>
        <v>-4751.32</v>
      </c>
      <c r="N3225" s="1243">
        <v>-235002.86</v>
      </c>
      <c r="O3225" s="1243">
        <f t="shared" si="608"/>
        <v>40938.810000000172</v>
      </c>
    </row>
    <row r="3226" spans="1:15">
      <c r="A3226" s="361">
        <f t="shared" si="604"/>
        <v>17</v>
      </c>
      <c r="B3226" s="365">
        <v>375.6</v>
      </c>
      <c r="C3226" s="358" t="s">
        <v>389</v>
      </c>
      <c r="D3226" s="1243">
        <f t="shared" si="605"/>
        <v>0</v>
      </c>
      <c r="E3226" s="1243">
        <v>0</v>
      </c>
      <c r="F3226" s="1243">
        <v>0</v>
      </c>
      <c r="G3226" s="1243">
        <f t="shared" si="609"/>
        <v>0</v>
      </c>
      <c r="H3226" s="1243"/>
      <c r="I3226" s="369">
        <f t="shared" si="606"/>
        <v>0.02</v>
      </c>
      <c r="J3226" s="376">
        <f t="shared" si="610"/>
        <v>2.3900000000000001E-2</v>
      </c>
      <c r="K3226" s="1243">
        <f t="shared" si="611"/>
        <v>0</v>
      </c>
      <c r="L3226" s="1243">
        <v>0</v>
      </c>
      <c r="M3226" s="1243">
        <f t="shared" si="607"/>
        <v>0</v>
      </c>
      <c r="N3226" s="1243">
        <v>0</v>
      </c>
      <c r="O3226" s="1243">
        <f t="shared" si="608"/>
        <v>0.02</v>
      </c>
    </row>
    <row r="3227" spans="1:15">
      <c r="A3227" s="361">
        <f t="shared" si="604"/>
        <v>18</v>
      </c>
      <c r="B3227" s="365">
        <v>375.7</v>
      </c>
      <c r="C3227" s="358" t="s">
        <v>390</v>
      </c>
      <c r="D3227" s="1243">
        <f t="shared" si="605"/>
        <v>9703438.9499999993</v>
      </c>
      <c r="E3227" s="1243">
        <v>0</v>
      </c>
      <c r="F3227" s="1243">
        <v>0</v>
      </c>
      <c r="G3227" s="1243">
        <f t="shared" si="609"/>
        <v>9703438.9499999993</v>
      </c>
      <c r="H3227" s="1243"/>
      <c r="I3227" s="369">
        <f t="shared" si="606"/>
        <v>4990624.8699999982</v>
      </c>
      <c r="J3227" s="376">
        <f t="shared" si="610"/>
        <v>2.5100000000000001E-2</v>
      </c>
      <c r="K3227" s="1243">
        <f t="shared" si="611"/>
        <v>20296</v>
      </c>
      <c r="L3227" s="1243">
        <v>0</v>
      </c>
      <c r="M3227" s="1243">
        <f t="shared" si="607"/>
        <v>0</v>
      </c>
      <c r="N3227" s="1243">
        <v>0</v>
      </c>
      <c r="O3227" s="1243">
        <f t="shared" si="608"/>
        <v>5010920.8699999982</v>
      </c>
    </row>
    <row r="3228" spans="1:15">
      <c r="A3228" s="361">
        <f t="shared" si="604"/>
        <v>19</v>
      </c>
      <c r="B3228" s="365">
        <v>375.71</v>
      </c>
      <c r="C3228" s="358" t="s">
        <v>391</v>
      </c>
      <c r="D3228" s="1243">
        <f t="shared" si="605"/>
        <v>880994.59</v>
      </c>
      <c r="E3228" s="1243">
        <v>0</v>
      </c>
      <c r="F3228" s="1243">
        <v>0</v>
      </c>
      <c r="G3228" s="1243">
        <f t="shared" si="609"/>
        <v>880994.59</v>
      </c>
      <c r="H3228" s="1243"/>
      <c r="I3228" s="369">
        <f t="shared" si="606"/>
        <v>834859.76000000094</v>
      </c>
      <c r="J3228" s="376" t="str">
        <f t="shared" si="610"/>
        <v>Amort.</v>
      </c>
      <c r="K3228" s="1243">
        <f>$K$1290</f>
        <v>4743.54</v>
      </c>
      <c r="L3228" s="1243">
        <v>0</v>
      </c>
      <c r="M3228" s="1243">
        <f t="shared" si="607"/>
        <v>0</v>
      </c>
      <c r="N3228" s="1243">
        <v>0</v>
      </c>
      <c r="O3228" s="1243">
        <f t="shared" si="608"/>
        <v>839603.30000000098</v>
      </c>
    </row>
    <row r="3229" spans="1:15">
      <c r="A3229" s="361">
        <f t="shared" si="604"/>
        <v>20</v>
      </c>
      <c r="B3229" s="365">
        <v>375.8</v>
      </c>
      <c r="C3229" s="358" t="s">
        <v>392</v>
      </c>
      <c r="D3229" s="1243">
        <f t="shared" si="605"/>
        <v>132125.04</v>
      </c>
      <c r="E3229" s="1243">
        <v>0</v>
      </c>
      <c r="F3229" s="1243">
        <v>0</v>
      </c>
      <c r="G3229" s="1243">
        <f t="shared" si="609"/>
        <v>132125.04</v>
      </c>
      <c r="H3229" s="1243"/>
      <c r="I3229" s="369">
        <f t="shared" si="606"/>
        <v>15476.43</v>
      </c>
      <c r="J3229" s="376">
        <f t="shared" si="610"/>
        <v>2.1100000000000001E-2</v>
      </c>
      <c r="K3229" s="1243">
        <f t="shared" ref="K3229:K3248" si="612">ROUND((G3229+D3229)/2*J3229/12,0)</f>
        <v>232</v>
      </c>
      <c r="L3229" s="1243">
        <v>0</v>
      </c>
      <c r="M3229" s="1243">
        <f t="shared" si="607"/>
        <v>0</v>
      </c>
      <c r="N3229" s="1243">
        <v>0</v>
      </c>
      <c r="O3229" s="1243">
        <f t="shared" si="608"/>
        <v>15708.43</v>
      </c>
    </row>
    <row r="3230" spans="1:15">
      <c r="A3230" s="361">
        <f t="shared" si="604"/>
        <v>21</v>
      </c>
      <c r="B3230" s="365">
        <v>376</v>
      </c>
      <c r="C3230" s="358" t="s">
        <v>1621</v>
      </c>
      <c r="D3230" s="1243">
        <f t="shared" si="605"/>
        <v>422494842.26748329</v>
      </c>
      <c r="E3230" s="1243">
        <f>'WPB-2.1.D SMRP'!E1315</f>
        <v>499549.48788000783</v>
      </c>
      <c r="F3230" s="1243">
        <f>'WPB-2.1.D SMRP'!F1315</f>
        <v>-65920.039999999994</v>
      </c>
      <c r="G3230" s="1243">
        <f t="shared" si="609"/>
        <v>422928471.71536326</v>
      </c>
      <c r="H3230" s="1243"/>
      <c r="I3230" s="369">
        <f t="shared" si="606"/>
        <v>88522569.457709178</v>
      </c>
      <c r="J3230" s="376">
        <f t="shared" si="610"/>
        <v>1.7999999999999999E-2</v>
      </c>
      <c r="K3230" s="1243">
        <f>'WPB-2.1.D SMRP'!K1315</f>
        <v>634067.04</v>
      </c>
      <c r="L3230" s="1243">
        <v>0</v>
      </c>
      <c r="M3230" s="1243">
        <f>F3230</f>
        <v>-65920.039999999994</v>
      </c>
      <c r="N3230" s="1243">
        <f>'WPB-2.1.D SMRP'!N1315</f>
        <v>-4187.706498398773</v>
      </c>
      <c r="O3230" s="1243">
        <f t="shared" si="608"/>
        <v>89086528.751210779</v>
      </c>
    </row>
    <row r="3231" spans="1:15">
      <c r="A3231" s="361">
        <f t="shared" si="604"/>
        <v>22</v>
      </c>
      <c r="B3231" s="365">
        <v>378.1</v>
      </c>
      <c r="C3231" s="358" t="s">
        <v>394</v>
      </c>
      <c r="D3231" s="1243">
        <f t="shared" si="605"/>
        <v>-172291.25</v>
      </c>
      <c r="E3231" s="1243">
        <v>0</v>
      </c>
      <c r="F3231" s="1243">
        <v>0</v>
      </c>
      <c r="G3231" s="1243">
        <f t="shared" si="609"/>
        <v>-172291.25</v>
      </c>
      <c r="H3231" s="1243"/>
      <c r="I3231" s="369">
        <f t="shared" si="606"/>
        <v>-329519.52000000008</v>
      </c>
      <c r="J3231" s="376">
        <f t="shared" si="610"/>
        <v>3.3099999999999997E-2</v>
      </c>
      <c r="K3231" s="1243">
        <f t="shared" si="612"/>
        <v>-475</v>
      </c>
      <c r="L3231" s="1243">
        <v>0</v>
      </c>
      <c r="M3231" s="1243">
        <f t="shared" si="607"/>
        <v>0</v>
      </c>
      <c r="N3231" s="1243">
        <v>0</v>
      </c>
      <c r="O3231" s="1243">
        <f t="shared" si="608"/>
        <v>-329994.52000000008</v>
      </c>
    </row>
    <row r="3232" spans="1:15">
      <c r="A3232" s="361">
        <f t="shared" si="604"/>
        <v>23</v>
      </c>
      <c r="B3232" s="365">
        <v>378.2</v>
      </c>
      <c r="C3232" s="358" t="s">
        <v>1622</v>
      </c>
      <c r="D3232" s="1243">
        <f t="shared" si="605"/>
        <v>28320590.192924865</v>
      </c>
      <c r="E3232" s="1243">
        <f>'WPB-2.1.D SMRP'!E1319</f>
        <v>1412014.826170109</v>
      </c>
      <c r="F3232" s="1243">
        <f>'WPB-2.1.D SMRP'!F1319</f>
        <v>0</v>
      </c>
      <c r="G3232" s="1243">
        <f t="shared" si="609"/>
        <v>29732605.019094974</v>
      </c>
      <c r="H3232" s="1243"/>
      <c r="I3232" s="369">
        <f t="shared" si="606"/>
        <v>3215971.8709178665</v>
      </c>
      <c r="J3232" s="376">
        <f t="shared" si="610"/>
        <v>3.3099999999999997E-2</v>
      </c>
      <c r="K3232" s="1243">
        <f>'WPB-2.1.D SMRP'!K1319</f>
        <v>80064.61</v>
      </c>
      <c r="L3232" s="1243">
        <v>0</v>
      </c>
      <c r="M3232" s="1243">
        <f>F3232</f>
        <v>0</v>
      </c>
      <c r="N3232" s="1243">
        <f>'WPB-2.1.D SMRP'!N1319</f>
        <v>0</v>
      </c>
      <c r="O3232" s="1243">
        <f t="shared" si="608"/>
        <v>3296036.4809178663</v>
      </c>
    </row>
    <row r="3233" spans="1:15">
      <c r="A3233" s="361">
        <f t="shared" si="604"/>
        <v>24</v>
      </c>
      <c r="B3233" s="365">
        <v>378.3</v>
      </c>
      <c r="C3233" s="358" t="s">
        <v>396</v>
      </c>
      <c r="D3233" s="1243">
        <f t="shared" si="605"/>
        <v>45443.08</v>
      </c>
      <c r="E3233" s="1243">
        <v>0</v>
      </c>
      <c r="F3233" s="1243">
        <v>0</v>
      </c>
      <c r="G3233" s="1243">
        <f t="shared" si="609"/>
        <v>45443.08</v>
      </c>
      <c r="H3233" s="1243"/>
      <c r="I3233" s="369">
        <f t="shared" si="606"/>
        <v>44808.320000000007</v>
      </c>
      <c r="J3233" s="376">
        <f t="shared" si="610"/>
        <v>3.3099999999999997E-2</v>
      </c>
      <c r="K3233" s="1243">
        <f t="shared" si="612"/>
        <v>125</v>
      </c>
      <c r="L3233" s="1243">
        <v>0</v>
      </c>
      <c r="M3233" s="1243">
        <f t="shared" si="607"/>
        <v>0</v>
      </c>
      <c r="N3233" s="1243">
        <v>0</v>
      </c>
      <c r="O3233" s="1243">
        <f t="shared" si="608"/>
        <v>44933.320000000007</v>
      </c>
    </row>
    <row r="3234" spans="1:15">
      <c r="A3234" s="361">
        <f t="shared" si="604"/>
        <v>25</v>
      </c>
      <c r="B3234" s="365">
        <v>379.1</v>
      </c>
      <c r="C3234" s="358" t="s">
        <v>397</v>
      </c>
      <c r="D3234" s="1243">
        <f t="shared" si="605"/>
        <v>1554144.06</v>
      </c>
      <c r="E3234" s="1243">
        <v>0</v>
      </c>
      <c r="F3234" s="1243">
        <v>0</v>
      </c>
      <c r="G3234" s="1243">
        <f t="shared" si="609"/>
        <v>1554144.06</v>
      </c>
      <c r="H3234" s="1243"/>
      <c r="I3234" s="369">
        <f t="shared" si="606"/>
        <v>402153.19000000006</v>
      </c>
      <c r="J3234" s="376">
        <f t="shared" si="610"/>
        <v>2.5399999999999999E-2</v>
      </c>
      <c r="K3234" s="1243">
        <f t="shared" si="612"/>
        <v>3290</v>
      </c>
      <c r="L3234" s="1243">
        <v>0</v>
      </c>
      <c r="M3234" s="1243">
        <f t="shared" si="607"/>
        <v>0</v>
      </c>
      <c r="N3234" s="1243">
        <v>0</v>
      </c>
      <c r="O3234" s="1243">
        <f t="shared" si="608"/>
        <v>405443.19000000006</v>
      </c>
    </row>
    <row r="3235" spans="1:15">
      <c r="A3235" s="361">
        <f t="shared" si="604"/>
        <v>26</v>
      </c>
      <c r="B3235" s="365">
        <v>380</v>
      </c>
      <c r="C3235" s="358" t="s">
        <v>1623</v>
      </c>
      <c r="D3235" s="1243">
        <f t="shared" si="605"/>
        <v>205975287.91799474</v>
      </c>
      <c r="E3235" s="1243">
        <f>'WPB-2.1.D SMRP'!E1323</f>
        <v>558990.86917320068</v>
      </c>
      <c r="F3235" s="1243">
        <f>'WPB-2.1.D SMRP'!F1323</f>
        <v>-50245.524204821675</v>
      </c>
      <c r="G3235" s="1243">
        <f t="shared" si="609"/>
        <v>206484033.26296312</v>
      </c>
      <c r="H3235" s="1243"/>
      <c r="I3235" s="369">
        <f t="shared" si="606"/>
        <v>69687655.739418983</v>
      </c>
      <c r="J3235" s="376">
        <f t="shared" si="610"/>
        <v>5.1799999999999999E-2</v>
      </c>
      <c r="K3235" s="1243">
        <f>'WPB-2.1.D SMRP'!K1323</f>
        <v>890225.17</v>
      </c>
      <c r="L3235" s="1243">
        <v>0</v>
      </c>
      <c r="M3235" s="1243">
        <f>F3235</f>
        <v>-50245.524204821675</v>
      </c>
      <c r="N3235" s="1243">
        <f>'WPB-2.1.D SMRP'!N1323</f>
        <v>-44994.589818769993</v>
      </c>
      <c r="O3235" s="1243">
        <f t="shared" si="608"/>
        <v>70482640.795395389</v>
      </c>
    </row>
    <row r="3236" spans="1:15">
      <c r="A3236" s="361">
        <f t="shared" si="604"/>
        <v>27</v>
      </c>
      <c r="B3236" s="365">
        <v>381</v>
      </c>
      <c r="C3236" s="358" t="s">
        <v>399</v>
      </c>
      <c r="D3236" s="1243">
        <f t="shared" si="605"/>
        <v>20650414.890000004</v>
      </c>
      <c r="E3236" s="1243">
        <v>69006.45</v>
      </c>
      <c r="F3236" s="1243">
        <v>-28868.18</v>
      </c>
      <c r="G3236" s="1243">
        <f t="shared" si="609"/>
        <v>20690553.160000004</v>
      </c>
      <c r="H3236" s="1243"/>
      <c r="I3236" s="369">
        <f t="shared" si="606"/>
        <v>1787276.6699999995</v>
      </c>
      <c r="J3236" s="376">
        <f t="shared" si="610"/>
        <v>3.5799999999999998E-2</v>
      </c>
      <c r="K3236" s="1243">
        <f t="shared" si="612"/>
        <v>61667</v>
      </c>
      <c r="L3236" s="1243">
        <v>0</v>
      </c>
      <c r="M3236" s="1243">
        <f t="shared" si="607"/>
        <v>-28868.18</v>
      </c>
      <c r="N3236" s="1243">
        <v>0</v>
      </c>
      <c r="O3236" s="1243">
        <f t="shared" si="608"/>
        <v>1820075.4899999995</v>
      </c>
    </row>
    <row r="3237" spans="1:15">
      <c r="A3237" s="361">
        <f t="shared" si="604"/>
        <v>28</v>
      </c>
      <c r="B3237" s="365">
        <v>381.1</v>
      </c>
      <c r="C3237" s="358" t="s">
        <v>2366</v>
      </c>
      <c r="D3237" s="1243">
        <f t="shared" si="605"/>
        <v>9980854.4800000004</v>
      </c>
      <c r="E3237" s="1243">
        <v>0</v>
      </c>
      <c r="F3237" s="1243">
        <v>0</v>
      </c>
      <c r="G3237" s="1243">
        <f t="shared" si="609"/>
        <v>9980854.4800000004</v>
      </c>
      <c r="H3237" s="1243"/>
      <c r="I3237" s="369">
        <f t="shared" si="606"/>
        <v>6333567.0300000031</v>
      </c>
      <c r="J3237" s="376">
        <f t="shared" si="610"/>
        <v>6.7900000000000002E-2</v>
      </c>
      <c r="K3237" s="1243">
        <f t="shared" si="612"/>
        <v>56475</v>
      </c>
      <c r="L3237" s="1243">
        <v>0</v>
      </c>
      <c r="M3237" s="1243">
        <f t="shared" si="607"/>
        <v>0</v>
      </c>
      <c r="N3237" s="1243">
        <v>0</v>
      </c>
      <c r="O3237" s="1243">
        <f t="shared" si="608"/>
        <v>6390042.0300000031</v>
      </c>
    </row>
    <row r="3238" spans="1:15">
      <c r="A3238" s="361">
        <f t="shared" si="604"/>
        <v>29</v>
      </c>
      <c r="B3238" s="365">
        <v>382</v>
      </c>
      <c r="C3238" s="358" t="s">
        <v>1624</v>
      </c>
      <c r="D3238" s="1243">
        <f t="shared" si="605"/>
        <v>10710860.620044764</v>
      </c>
      <c r="E3238" s="1243">
        <f>'WPB-2.1.D SMRP'!E1327</f>
        <v>5570.1849016454717</v>
      </c>
      <c r="F3238" s="1243">
        <f>'WPB-2.1.D SMRP'!F1327</f>
        <v>-1589.7840807672374</v>
      </c>
      <c r="G3238" s="1243">
        <f t="shared" si="609"/>
        <v>10714841.020865642</v>
      </c>
      <c r="H3238" s="1243"/>
      <c r="I3238" s="369">
        <f t="shared" si="606"/>
        <v>6092791.2451895606</v>
      </c>
      <c r="J3238" s="376">
        <f t="shared" si="610"/>
        <v>2.2800000000000001E-2</v>
      </c>
      <c r="K3238" s="1243">
        <f>'WPB-2.1.D SMRP'!K1327</f>
        <v>20354.18</v>
      </c>
      <c r="L3238" s="1243">
        <v>0</v>
      </c>
      <c r="M3238" s="1243">
        <f t="shared" si="607"/>
        <v>-1589.7840807672374</v>
      </c>
      <c r="N3238" s="1243">
        <f>'WPB-2.1.D SMRP'!N1327</f>
        <v>0</v>
      </c>
      <c r="O3238" s="1243">
        <f t="shared" si="608"/>
        <v>6111555.6411087932</v>
      </c>
    </row>
    <row r="3239" spans="1:15">
      <c r="A3239" s="361">
        <f t="shared" si="604"/>
        <v>30</v>
      </c>
      <c r="B3239" s="365">
        <v>383</v>
      </c>
      <c r="C3239" s="358" t="s">
        <v>1625</v>
      </c>
      <c r="D3239" s="1243">
        <f t="shared" si="605"/>
        <v>7703610.6608516928</v>
      </c>
      <c r="E3239" s="1243">
        <f>'WPB-2.1.D SMRP'!E1331</f>
        <v>12206.689804915917</v>
      </c>
      <c r="F3239" s="1243">
        <f>'WPB-2.1.D SMRP'!F1331</f>
        <v>-521.21492185279817</v>
      </c>
      <c r="G3239" s="1243">
        <f t="shared" si="609"/>
        <v>7715296.1357347565</v>
      </c>
      <c r="H3239" s="1243"/>
      <c r="I3239" s="369">
        <f t="shared" si="606"/>
        <v>2681215.383995675</v>
      </c>
      <c r="J3239" s="376">
        <f t="shared" si="610"/>
        <v>2.2200000000000001E-2</v>
      </c>
      <c r="K3239" s="1243">
        <f>'WPB-2.1.D SMRP'!K1331</f>
        <v>14262.72</v>
      </c>
      <c r="L3239" s="1243">
        <v>0</v>
      </c>
      <c r="M3239" s="1243">
        <f t="shared" si="607"/>
        <v>-521.21492185279817</v>
      </c>
      <c r="N3239" s="1243">
        <f>'WPB-2.1.D SMRP'!N1331</f>
        <v>0</v>
      </c>
      <c r="O3239" s="1243">
        <f t="shared" si="608"/>
        <v>2694956.8890738226</v>
      </c>
    </row>
    <row r="3240" spans="1:15">
      <c r="A3240" s="361">
        <f t="shared" si="604"/>
        <v>31</v>
      </c>
      <c r="B3240" s="365">
        <v>384</v>
      </c>
      <c r="C3240" s="358" t="s">
        <v>402</v>
      </c>
      <c r="D3240" s="1243">
        <f t="shared" si="605"/>
        <v>2085273.5799999998</v>
      </c>
      <c r="E3240" s="1243">
        <v>13.99</v>
      </c>
      <c r="F3240" s="1243">
        <v>0</v>
      </c>
      <c r="G3240" s="1243">
        <f t="shared" si="609"/>
        <v>2085287.5699999998</v>
      </c>
      <c r="H3240" s="1243"/>
      <c r="I3240" s="369">
        <f t="shared" si="606"/>
        <v>1762452.1399999992</v>
      </c>
      <c r="J3240" s="376">
        <f t="shared" si="610"/>
        <v>1.9900000000000001E-2</v>
      </c>
      <c r="K3240" s="1243">
        <f t="shared" si="612"/>
        <v>3458</v>
      </c>
      <c r="L3240" s="1243">
        <v>0</v>
      </c>
      <c r="M3240" s="1243">
        <f t="shared" si="607"/>
        <v>0</v>
      </c>
      <c r="N3240" s="1243">
        <v>0</v>
      </c>
      <c r="O3240" s="1243">
        <f t="shared" si="608"/>
        <v>1765910.1399999992</v>
      </c>
    </row>
    <row r="3241" spans="1:15">
      <c r="A3241" s="361">
        <f t="shared" si="604"/>
        <v>32</v>
      </c>
      <c r="B3241" s="365">
        <v>385</v>
      </c>
      <c r="C3241" s="358" t="s">
        <v>403</v>
      </c>
      <c r="D3241" s="1243">
        <f t="shared" si="605"/>
        <v>6365023.5199999996</v>
      </c>
      <c r="E3241" s="1243">
        <v>3574.21</v>
      </c>
      <c r="F3241" s="1243">
        <v>-2565.19</v>
      </c>
      <c r="G3241" s="1243">
        <f t="shared" si="609"/>
        <v>6366032.5399999991</v>
      </c>
      <c r="H3241" s="1243"/>
      <c r="I3241" s="369">
        <f t="shared" si="606"/>
        <v>935915.38999999966</v>
      </c>
      <c r="J3241" s="376">
        <f t="shared" si="610"/>
        <v>5.4699999999999999E-2</v>
      </c>
      <c r="K3241" s="1243">
        <f t="shared" si="612"/>
        <v>29016</v>
      </c>
      <c r="L3241" s="1243">
        <v>0</v>
      </c>
      <c r="M3241" s="1243">
        <f t="shared" si="607"/>
        <v>-2565.19</v>
      </c>
      <c r="N3241" s="1243">
        <v>-483.34</v>
      </c>
      <c r="O3241" s="1243">
        <f t="shared" si="608"/>
        <v>961882.85999999975</v>
      </c>
    </row>
    <row r="3242" spans="1:15">
      <c r="A3242" s="361">
        <f t="shared" si="604"/>
        <v>33</v>
      </c>
      <c r="B3242" s="365">
        <v>387.2</v>
      </c>
      <c r="C3242" s="358" t="s">
        <v>404</v>
      </c>
      <c r="D3242" s="1243">
        <f t="shared" si="605"/>
        <v>0</v>
      </c>
      <c r="E3242" s="1243">
        <v>0</v>
      </c>
      <c r="F3242" s="1243">
        <v>0</v>
      </c>
      <c r="G3242" s="1243">
        <f t="shared" si="609"/>
        <v>0</v>
      </c>
      <c r="H3242" s="1243"/>
      <c r="I3242" s="369">
        <f t="shared" si="606"/>
        <v>-59912.03</v>
      </c>
      <c r="J3242" s="376">
        <f t="shared" si="610"/>
        <v>0</v>
      </c>
      <c r="K3242" s="1243">
        <f t="shared" si="612"/>
        <v>0</v>
      </c>
      <c r="L3242" s="1243">
        <v>0</v>
      </c>
      <c r="M3242" s="1243">
        <f t="shared" si="607"/>
        <v>0</v>
      </c>
      <c r="N3242" s="1243">
        <v>0</v>
      </c>
      <c r="O3242" s="1243">
        <f t="shared" si="608"/>
        <v>-59912.03</v>
      </c>
    </row>
    <row r="3243" spans="1:15">
      <c r="A3243" s="361">
        <f t="shared" si="604"/>
        <v>34</v>
      </c>
      <c r="B3243" s="365">
        <v>387.41</v>
      </c>
      <c r="C3243" s="358" t="s">
        <v>405</v>
      </c>
      <c r="D3243" s="1243">
        <f t="shared" si="605"/>
        <v>260538.46000000008</v>
      </c>
      <c r="E3243" s="1243">
        <v>0</v>
      </c>
      <c r="F3243" s="1243">
        <v>0</v>
      </c>
      <c r="G3243" s="1243">
        <f t="shared" si="609"/>
        <v>260538.46000000008</v>
      </c>
      <c r="H3243" s="1243"/>
      <c r="I3243" s="369">
        <f t="shared" si="606"/>
        <v>73140.970000000059</v>
      </c>
      <c r="J3243" s="376">
        <f t="shared" si="610"/>
        <v>4.9599999999999998E-2</v>
      </c>
      <c r="K3243" s="1243">
        <f t="shared" si="612"/>
        <v>1077</v>
      </c>
      <c r="L3243" s="1243">
        <v>0</v>
      </c>
      <c r="M3243" s="1243">
        <f t="shared" si="607"/>
        <v>0</v>
      </c>
      <c r="N3243" s="1243">
        <v>0</v>
      </c>
      <c r="O3243" s="1243">
        <f t="shared" si="608"/>
        <v>74217.970000000059</v>
      </c>
    </row>
    <row r="3244" spans="1:15">
      <c r="A3244" s="361">
        <f t="shared" si="604"/>
        <v>35</v>
      </c>
      <c r="B3244" s="365">
        <v>387.42</v>
      </c>
      <c r="C3244" s="358" t="s">
        <v>406</v>
      </c>
      <c r="D3244" s="1243">
        <f t="shared" si="605"/>
        <v>419367.40000000008</v>
      </c>
      <c r="E3244" s="1243">
        <v>0</v>
      </c>
      <c r="F3244" s="1243">
        <v>0</v>
      </c>
      <c r="G3244" s="1243">
        <f t="shared" si="609"/>
        <v>419367.40000000008</v>
      </c>
      <c r="H3244" s="1243"/>
      <c r="I3244" s="369">
        <f t="shared" si="606"/>
        <v>363915.80999999976</v>
      </c>
      <c r="J3244" s="376">
        <f t="shared" si="610"/>
        <v>4.9599999999999998E-2</v>
      </c>
      <c r="K3244" s="1243">
        <f t="shared" si="612"/>
        <v>1733</v>
      </c>
      <c r="L3244" s="1243">
        <v>0</v>
      </c>
      <c r="M3244" s="1243">
        <f t="shared" si="607"/>
        <v>0</v>
      </c>
      <c r="N3244" s="1243">
        <v>0</v>
      </c>
      <c r="O3244" s="1243">
        <f t="shared" si="608"/>
        <v>365648.80999999976</v>
      </c>
    </row>
    <row r="3245" spans="1:15">
      <c r="A3245" s="361">
        <f t="shared" si="604"/>
        <v>36</v>
      </c>
      <c r="B3245" s="365">
        <v>387.44</v>
      </c>
      <c r="C3245" s="358" t="s">
        <v>407</v>
      </c>
      <c r="D3245" s="1243">
        <f t="shared" si="605"/>
        <v>124678.76000000001</v>
      </c>
      <c r="E3245" s="1243">
        <v>0</v>
      </c>
      <c r="F3245" s="1243">
        <v>0</v>
      </c>
      <c r="G3245" s="1243">
        <f t="shared" si="609"/>
        <v>124678.76000000001</v>
      </c>
      <c r="H3245" s="1243"/>
      <c r="I3245" s="369">
        <f t="shared" si="606"/>
        <v>73509.390000000014</v>
      </c>
      <c r="J3245" s="376">
        <f t="shared" si="610"/>
        <v>4.9599999999999998E-2</v>
      </c>
      <c r="K3245" s="1243">
        <f t="shared" si="612"/>
        <v>515</v>
      </c>
      <c r="L3245" s="1243">
        <v>0</v>
      </c>
      <c r="M3245" s="1243">
        <f t="shared" si="607"/>
        <v>0</v>
      </c>
      <c r="N3245" s="1243">
        <v>0</v>
      </c>
      <c r="O3245" s="1243">
        <f t="shared" si="608"/>
        <v>74024.390000000014</v>
      </c>
    </row>
    <row r="3246" spans="1:15">
      <c r="A3246" s="361">
        <f t="shared" si="604"/>
        <v>37</v>
      </c>
      <c r="B3246" s="365">
        <v>387.45</v>
      </c>
      <c r="C3246" s="358" t="s">
        <v>408</v>
      </c>
      <c r="D3246" s="1243">
        <f t="shared" si="605"/>
        <v>6318046.2300000032</v>
      </c>
      <c r="E3246" s="1243">
        <v>97171.199999999997</v>
      </c>
      <c r="F3246" s="1243">
        <v>-170271.24</v>
      </c>
      <c r="G3246" s="1243">
        <f t="shared" si="609"/>
        <v>6244946.1900000032</v>
      </c>
      <c r="H3246" s="1243"/>
      <c r="I3246" s="369">
        <f t="shared" si="606"/>
        <v>-835257.96</v>
      </c>
      <c r="J3246" s="376">
        <f t="shared" si="610"/>
        <v>4.9599999999999998E-2</v>
      </c>
      <c r="K3246" s="1243">
        <f t="shared" si="612"/>
        <v>25964</v>
      </c>
      <c r="L3246" s="1243">
        <v>0</v>
      </c>
      <c r="M3246" s="1243">
        <f t="shared" si="607"/>
        <v>-170271.24</v>
      </c>
      <c r="N3246" s="1243">
        <v>0</v>
      </c>
      <c r="O3246" s="1243">
        <f t="shared" si="608"/>
        <v>-979565.2</v>
      </c>
    </row>
    <row r="3247" spans="1:15">
      <c r="A3247" s="361">
        <f t="shared" si="604"/>
        <v>38</v>
      </c>
      <c r="B3247" s="365">
        <v>387.46</v>
      </c>
      <c r="C3247" s="358" t="s">
        <v>409</v>
      </c>
      <c r="D3247" s="1243">
        <f t="shared" si="605"/>
        <v>113644.47</v>
      </c>
      <c r="E3247" s="1243">
        <v>0</v>
      </c>
      <c r="F3247" s="1243">
        <v>0</v>
      </c>
      <c r="G3247" s="1243">
        <f t="shared" si="609"/>
        <v>113644.47</v>
      </c>
      <c r="H3247" s="1243"/>
      <c r="I3247" s="369">
        <f t="shared" si="606"/>
        <v>119447.07</v>
      </c>
      <c r="J3247" s="376">
        <f t="shared" si="610"/>
        <v>4.9599999999999998E-2</v>
      </c>
      <c r="K3247" s="1243">
        <f t="shared" si="612"/>
        <v>470</v>
      </c>
      <c r="L3247" s="1243">
        <v>0</v>
      </c>
      <c r="M3247" s="1243">
        <f t="shared" si="607"/>
        <v>0</v>
      </c>
      <c r="N3247" s="1243">
        <v>0</v>
      </c>
      <c r="O3247" s="1243">
        <f t="shared" si="608"/>
        <v>119917.07</v>
      </c>
    </row>
    <row r="3248" spans="1:15">
      <c r="A3248" s="361">
        <f t="shared" si="604"/>
        <v>39</v>
      </c>
      <c r="B3248" s="365">
        <v>387.5</v>
      </c>
      <c r="C3248" s="358" t="s">
        <v>1075</v>
      </c>
      <c r="D3248" s="1244">
        <f t="shared" si="605"/>
        <v>238072.69</v>
      </c>
      <c r="E3248" s="1244">
        <v>0</v>
      </c>
      <c r="F3248" s="1244">
        <v>0</v>
      </c>
      <c r="G3248" s="1244">
        <f t="shared" si="609"/>
        <v>238072.69</v>
      </c>
      <c r="H3248" s="1243"/>
      <c r="I3248" s="923">
        <f t="shared" si="606"/>
        <v>81740.47000000003</v>
      </c>
      <c r="J3248" s="376">
        <f t="shared" si="610"/>
        <v>0.13500000000000001</v>
      </c>
      <c r="K3248" s="1244">
        <f t="shared" si="612"/>
        <v>2678</v>
      </c>
      <c r="L3248" s="1244">
        <v>0</v>
      </c>
      <c r="M3248" s="1244">
        <f t="shared" si="607"/>
        <v>0</v>
      </c>
      <c r="N3248" s="1244">
        <v>0</v>
      </c>
      <c r="O3248" s="1244">
        <f t="shared" si="608"/>
        <v>84418.47000000003</v>
      </c>
    </row>
    <row r="3249" spans="1:16">
      <c r="A3249" s="361">
        <f t="shared" si="604"/>
        <v>40</v>
      </c>
      <c r="C3249" s="365" t="s">
        <v>1601</v>
      </c>
      <c r="D3249" s="1243">
        <f>SUM(D3219:D3248)</f>
        <v>744043032.58929944</v>
      </c>
      <c r="E3249" s="1243">
        <f>SUM(E3219:E3248)</f>
        <v>3305299.8779298798</v>
      </c>
      <c r="F3249" s="1243">
        <f>SUM(F3219:F3248)</f>
        <v>-324732.4932074417</v>
      </c>
      <c r="G3249" s="1243">
        <f>SUM(G3219:G3248)</f>
        <v>747023599.97402203</v>
      </c>
      <c r="H3249" s="1243"/>
      <c r="I3249" s="369">
        <f>SUM(I3219:I3248)</f>
        <v>188667875.05723119</v>
      </c>
      <c r="J3249" s="369"/>
      <c r="K3249" s="1243">
        <f>SUM(K3219:K3248)</f>
        <v>1863676.26</v>
      </c>
      <c r="L3249" s="1243">
        <f>SUM(L3219:L3248)</f>
        <v>0</v>
      </c>
      <c r="M3249" s="1243">
        <f>SUM(M3219:M3248)</f>
        <v>-324732.4932074417</v>
      </c>
      <c r="N3249" s="1243">
        <f>SUM(N3219:N3248)</f>
        <v>-284668.49631716876</v>
      </c>
      <c r="O3249" s="1243">
        <f>SUM(O3219:O3248)</f>
        <v>189922150.32770663</v>
      </c>
    </row>
    <row r="3250" spans="1:16">
      <c r="B3250" s="367"/>
      <c r="C3250" s="368"/>
      <c r="D3250" s="369"/>
      <c r="E3250" s="369"/>
      <c r="F3250" s="369"/>
      <c r="G3250" s="369"/>
      <c r="I3250" s="369"/>
      <c r="J3250" s="369"/>
      <c r="K3250" s="369"/>
      <c r="L3250" s="369"/>
      <c r="M3250" s="369"/>
      <c r="N3250" s="369"/>
      <c r="O3250" s="369"/>
    </row>
    <row r="3251" spans="1:16">
      <c r="I3251" s="369"/>
      <c r="J3251" s="369"/>
      <c r="K3251" s="369"/>
      <c r="L3251" s="369"/>
      <c r="M3251" s="369"/>
      <c r="N3251" s="369"/>
      <c r="O3251" s="369"/>
    </row>
    <row r="3252" spans="1:16" s="291" customFormat="1">
      <c r="A3252" s="1308" t="str">
        <f>$A$1</f>
        <v>COLUMBIA GAS OF KENTUCKY, INC.</v>
      </c>
      <c r="B3252" s="1308"/>
      <c r="C3252" s="1308"/>
      <c r="D3252" s="1308"/>
      <c r="E3252" s="1308"/>
      <c r="F3252" s="1308"/>
      <c r="G3252" s="1308"/>
      <c r="H3252" s="1308"/>
      <c r="I3252" s="1308"/>
      <c r="J3252" s="1308"/>
      <c r="K3252" s="1308"/>
      <c r="L3252" s="1308"/>
      <c r="M3252" s="1308"/>
      <c r="N3252" s="1308"/>
      <c r="O3252" s="1308"/>
    </row>
    <row r="3253" spans="1:16" s="291" customFormat="1">
      <c r="A3253" s="1308" t="str">
        <f>$A$2</f>
        <v>CASE NO. 2024 - 00092</v>
      </c>
      <c r="B3253" s="1308"/>
      <c r="C3253" s="1308"/>
      <c r="D3253" s="1308"/>
      <c r="E3253" s="1308"/>
      <c r="F3253" s="1308"/>
      <c r="G3253" s="1308"/>
      <c r="H3253" s="1308"/>
      <c r="I3253" s="1308"/>
      <c r="J3253" s="1308"/>
      <c r="K3253" s="1308"/>
      <c r="L3253" s="1308"/>
      <c r="M3253" s="1308"/>
      <c r="N3253" s="1308"/>
      <c r="O3253" s="1308"/>
    </row>
    <row r="3254" spans="1:16" s="291" customFormat="1">
      <c r="A3254" s="1308" t="str">
        <f>$A$3</f>
        <v>DETAIL OF ACTUAL &amp; FORECASTED PLANT, ACCUMULATED RESERVE &amp; DEPRECIATION EXPENSE</v>
      </c>
      <c r="B3254" s="1308"/>
      <c r="C3254" s="1308"/>
      <c r="D3254" s="1308"/>
      <c r="E3254" s="1308"/>
      <c r="F3254" s="1308"/>
      <c r="G3254" s="1308"/>
      <c r="H3254" s="1308"/>
      <c r="I3254" s="1308"/>
      <c r="J3254" s="1308"/>
      <c r="K3254" s="1308"/>
      <c r="L3254" s="1308"/>
      <c r="M3254" s="1308"/>
      <c r="N3254" s="1308"/>
      <c r="O3254" s="1308"/>
      <c r="P3254" s="357"/>
    </row>
    <row r="3255" spans="1:16" s="291" customFormat="1">
      <c r="A3255" s="1308" t="str">
        <f>$A$4</f>
        <v>FROM JANUARY 01, 2023 THROUGH DECEMBER 31, 2025</v>
      </c>
      <c r="B3255" s="1308"/>
      <c r="C3255" s="1308"/>
      <c r="D3255" s="1308"/>
      <c r="E3255" s="1308"/>
      <c r="F3255" s="1308"/>
      <c r="G3255" s="1308"/>
      <c r="H3255" s="1308"/>
      <c r="I3255" s="1308"/>
      <c r="J3255" s="1308"/>
      <c r="K3255" s="1308"/>
      <c r="L3255" s="1308"/>
      <c r="M3255" s="1308"/>
      <c r="N3255" s="1308"/>
      <c r="O3255" s="1308"/>
    </row>
    <row r="3256" spans="1:16" s="291" customFormat="1">
      <c r="B3256" s="293"/>
      <c r="P3256" s="312"/>
    </row>
    <row r="3257" spans="1:16" s="291" customFormat="1">
      <c r="A3257" s="297" t="str">
        <f>$A$6</f>
        <v xml:space="preserve">DATA: _X_ BASE PERIOD _X_ FORECASTED PERIOD     </v>
      </c>
      <c r="B3257" s="293"/>
      <c r="O3257" s="312" t="str">
        <f>$O$6</f>
        <v>WPB-2.1.C</v>
      </c>
      <c r="P3257" s="312"/>
    </row>
    <row r="3258" spans="1:16" s="291" customFormat="1">
      <c r="A3258" s="297" t="str">
        <f>$A$7</f>
        <v>TYPE OF FILING:___X___ORIGINAL______UPDATED</v>
      </c>
      <c r="B3258" s="293"/>
      <c r="O3258" s="312" t="s">
        <v>2165</v>
      </c>
      <c r="P3258" s="312"/>
    </row>
    <row r="3259" spans="1:16" s="291" customFormat="1">
      <c r="A3259" s="297" t="str">
        <f>$A$8</f>
        <v>WORKPAPER REFERENCE NO(S).:</v>
      </c>
      <c r="B3259" s="293"/>
      <c r="O3259" s="312" t="str">
        <f>$O$8</f>
        <v>WITNESS: GORE</v>
      </c>
    </row>
    <row r="3260" spans="1:16">
      <c r="A3260" s="918"/>
      <c r="B3260" s="919"/>
      <c r="C3260" s="918"/>
      <c r="D3260" s="918"/>
      <c r="E3260" s="918"/>
      <c r="F3260" s="918"/>
      <c r="G3260" s="918"/>
      <c r="H3260" s="918"/>
      <c r="I3260" s="918"/>
      <c r="J3260" s="918"/>
      <c r="K3260" s="918"/>
      <c r="L3260" s="918"/>
      <c r="M3260" s="918"/>
      <c r="N3260" s="918"/>
      <c r="O3260" s="920"/>
    </row>
    <row r="3261" spans="1:16">
      <c r="D3261" s="1311" t="s">
        <v>1768</v>
      </c>
      <c r="E3261" s="1311"/>
      <c r="F3261" s="1311"/>
      <c r="G3261" s="1311"/>
      <c r="I3261" s="1311" t="s">
        <v>1769</v>
      </c>
      <c r="J3261" s="1311"/>
      <c r="K3261" s="1311"/>
      <c r="L3261" s="1311"/>
      <c r="M3261" s="1311"/>
      <c r="N3261" s="1311"/>
      <c r="O3261" s="1311"/>
    </row>
    <row r="3262" spans="1:16">
      <c r="D3262" s="360">
        <f>D3203</f>
        <v>45778</v>
      </c>
      <c r="G3262" s="360">
        <f>G3203</f>
        <v>45808</v>
      </c>
      <c r="I3262" s="360">
        <f>D3262</f>
        <v>45778</v>
      </c>
      <c r="O3262" s="360">
        <f>G3262</f>
        <v>45808</v>
      </c>
    </row>
    <row r="3263" spans="1:16">
      <c r="D3263" s="361" t="s">
        <v>1757</v>
      </c>
      <c r="G3263" s="361" t="s">
        <v>1757</v>
      </c>
      <c r="I3263" s="361" t="s">
        <v>1758</v>
      </c>
      <c r="J3263" s="361" t="s">
        <v>488</v>
      </c>
      <c r="L3263" s="361" t="s">
        <v>1758</v>
      </c>
      <c r="O3263" s="361" t="s">
        <v>1758</v>
      </c>
    </row>
    <row r="3264" spans="1:16">
      <c r="A3264" s="361" t="s">
        <v>1770</v>
      </c>
      <c r="B3264" s="361" t="s">
        <v>368</v>
      </c>
      <c r="C3264" s="361"/>
      <c r="D3264" s="361" t="s">
        <v>437</v>
      </c>
      <c r="G3264" s="361" t="s">
        <v>439</v>
      </c>
      <c r="I3264" s="361" t="s">
        <v>437</v>
      </c>
      <c r="J3264" s="361" t="s">
        <v>1771</v>
      </c>
      <c r="K3264" s="361" t="s">
        <v>1772</v>
      </c>
      <c r="L3264" s="361" t="s">
        <v>1759</v>
      </c>
      <c r="N3264" s="361" t="s">
        <v>1760</v>
      </c>
      <c r="O3264" s="361" t="s">
        <v>439</v>
      </c>
    </row>
    <row r="3265" spans="1:15">
      <c r="A3265" s="364" t="s">
        <v>316</v>
      </c>
      <c r="B3265" s="364" t="s">
        <v>316</v>
      </c>
      <c r="C3265" s="364" t="s">
        <v>451</v>
      </c>
      <c r="D3265" s="364" t="s">
        <v>441</v>
      </c>
      <c r="E3265" s="364" t="s">
        <v>442</v>
      </c>
      <c r="F3265" s="364" t="s">
        <v>443</v>
      </c>
      <c r="G3265" s="364" t="s">
        <v>441</v>
      </c>
      <c r="I3265" s="364" t="s">
        <v>441</v>
      </c>
      <c r="J3265" s="364" t="s">
        <v>1773</v>
      </c>
      <c r="K3265" s="364" t="s">
        <v>1771</v>
      </c>
      <c r="L3265" s="364" t="s">
        <v>355</v>
      </c>
      <c r="M3265" s="364" t="s">
        <v>443</v>
      </c>
      <c r="N3265" s="364" t="s">
        <v>1763</v>
      </c>
      <c r="O3265" s="364" t="s">
        <v>441</v>
      </c>
    </row>
    <row r="3266" spans="1:15">
      <c r="D3266" s="361" t="s">
        <v>532</v>
      </c>
      <c r="E3266" s="361" t="s">
        <v>541</v>
      </c>
      <c r="F3266" s="361" t="s">
        <v>542</v>
      </c>
      <c r="G3266" s="361" t="s">
        <v>1764</v>
      </c>
      <c r="I3266" s="334" t="str">
        <f>"(5)"</f>
        <v>(5)</v>
      </c>
      <c r="J3266" s="334" t="str">
        <f>"(6)"</f>
        <v>(6)</v>
      </c>
      <c r="K3266" s="334" t="str">
        <f>"(7)=((1+4)/2*6/12))"</f>
        <v>(7)=((1+4)/2*6/12))</v>
      </c>
      <c r="L3266" s="334" t="str">
        <f>"(8)"</f>
        <v>(8)</v>
      </c>
      <c r="M3266" s="334" t="str">
        <f>"(9)"</f>
        <v>(9)</v>
      </c>
      <c r="N3266" s="334" t="str">
        <f>"(10)"</f>
        <v>(10)</v>
      </c>
      <c r="O3266" s="334" t="str">
        <f>"(11=5+7+8+9+10)"</f>
        <v>(11=5+7+8+9+10)</v>
      </c>
    </row>
    <row r="3267" spans="1:15">
      <c r="D3267" s="361" t="s">
        <v>320</v>
      </c>
      <c r="E3267" s="361" t="s">
        <v>320</v>
      </c>
      <c r="F3267" s="361" t="s">
        <v>320</v>
      </c>
      <c r="G3267" s="361" t="s">
        <v>320</v>
      </c>
      <c r="I3267" s="334" t="s">
        <v>320</v>
      </c>
      <c r="J3267" s="334" t="s">
        <v>529</v>
      </c>
      <c r="K3267" s="334" t="s">
        <v>320</v>
      </c>
      <c r="L3267" s="334" t="s">
        <v>320</v>
      </c>
      <c r="M3267" s="334" t="s">
        <v>320</v>
      </c>
      <c r="N3267" s="334" t="s">
        <v>320</v>
      </c>
      <c r="O3267" s="334" t="s">
        <v>320</v>
      </c>
    </row>
    <row r="3268" spans="1:15">
      <c r="A3268" s="361">
        <v>1</v>
      </c>
      <c r="B3268" s="363" t="s">
        <v>411</v>
      </c>
      <c r="D3268" s="361"/>
      <c r="E3268" s="361"/>
      <c r="F3268" s="361"/>
      <c r="G3268" s="361"/>
      <c r="I3268" s="334"/>
      <c r="J3268" s="334"/>
      <c r="K3268" s="334"/>
      <c r="L3268" s="334"/>
      <c r="M3268" s="334"/>
      <c r="N3268" s="334"/>
      <c r="O3268" s="334"/>
    </row>
    <row r="3269" spans="1:15">
      <c r="A3269" s="361">
        <f>A3268+1</f>
        <v>2</v>
      </c>
      <c r="B3269" s="365">
        <v>391.1</v>
      </c>
      <c r="C3269" s="358" t="s">
        <v>412</v>
      </c>
      <c r="D3269" s="1243">
        <f t="shared" ref="D3269:D3282" si="613">G3155</f>
        <v>921741.33000000007</v>
      </c>
      <c r="E3269" s="1243">
        <v>0</v>
      </c>
      <c r="F3269" s="1243">
        <v>0</v>
      </c>
      <c r="G3269" s="1243">
        <f>SUM(D3269:F3269)</f>
        <v>921741.33000000007</v>
      </c>
      <c r="H3269" s="1243"/>
      <c r="I3269" s="1245">
        <f t="shared" ref="I3269:I3282" si="614">O3155</f>
        <v>253165.03666666662</v>
      </c>
      <c r="J3269" s="376">
        <f t="shared" ref="J3269:J3282" si="615">+J3155</f>
        <v>0.05</v>
      </c>
      <c r="K3269" s="1243">
        <f>ROUND((G3269+D3269)/2*J3269/12,0)</f>
        <v>3841</v>
      </c>
      <c r="L3269" s="1243">
        <f>+L3155</f>
        <v>4814.416666666667</v>
      </c>
      <c r="M3269" s="1243">
        <f t="shared" ref="M3269:M3282" si="616">F3269</f>
        <v>0</v>
      </c>
      <c r="N3269" s="1243">
        <v>0</v>
      </c>
      <c r="O3269" s="1243">
        <f t="shared" ref="O3269:O3282" si="617">I3269+K3269+L3269+M3269+N3269</f>
        <v>261820.45333333328</v>
      </c>
    </row>
    <row r="3270" spans="1:15">
      <c r="A3270" s="361">
        <f t="shared" ref="A3270:A3283" si="618">A3269+1</f>
        <v>3</v>
      </c>
      <c r="B3270" s="365">
        <v>391.11</v>
      </c>
      <c r="C3270" s="358" t="s">
        <v>413</v>
      </c>
      <c r="D3270" s="1243">
        <f t="shared" si="613"/>
        <v>0</v>
      </c>
      <c r="E3270" s="1243">
        <v>0</v>
      </c>
      <c r="F3270" s="1243">
        <v>0</v>
      </c>
      <c r="G3270" s="1243">
        <f t="shared" ref="G3270:G3277" si="619">SUM(D3270:F3270)</f>
        <v>0</v>
      </c>
      <c r="H3270" s="1243"/>
      <c r="I3270" s="1245">
        <f t="shared" si="614"/>
        <v>-10519.123333333333</v>
      </c>
      <c r="J3270" s="376">
        <f t="shared" si="615"/>
        <v>0</v>
      </c>
      <c r="K3270" s="1243">
        <f>ROUND((G3270+D3270)/2*J3270/12,0)</f>
        <v>0</v>
      </c>
      <c r="L3270" s="1243">
        <f t="shared" ref="L3270:L3282" si="620">+L3156</f>
        <v>525.91666666666663</v>
      </c>
      <c r="M3270" s="1243">
        <f t="shared" si="616"/>
        <v>0</v>
      </c>
      <c r="N3270" s="1243">
        <v>0</v>
      </c>
      <c r="O3270" s="1243">
        <f t="shared" si="617"/>
        <v>-9993.2066666666669</v>
      </c>
    </row>
    <row r="3271" spans="1:15">
      <c r="A3271" s="361">
        <f t="shared" si="618"/>
        <v>4</v>
      </c>
      <c r="B3271" s="365">
        <v>391.12</v>
      </c>
      <c r="C3271" s="358" t="s">
        <v>414</v>
      </c>
      <c r="D3271" s="1243">
        <f t="shared" si="613"/>
        <v>37129.580000000009</v>
      </c>
      <c r="E3271" s="1243">
        <v>0</v>
      </c>
      <c r="F3271" s="1243">
        <v>0</v>
      </c>
      <c r="G3271" s="1243">
        <f t="shared" si="619"/>
        <v>37129.580000000009</v>
      </c>
      <c r="H3271" s="1243"/>
      <c r="I3271" s="1245">
        <f t="shared" si="614"/>
        <v>11919.97</v>
      </c>
      <c r="J3271" s="376">
        <f t="shared" si="615"/>
        <v>0.2</v>
      </c>
      <c r="K3271" s="1243">
        <f>ROUND((G3271+D3271)/2*J3271/12,0)</f>
        <v>619</v>
      </c>
      <c r="L3271" s="1243">
        <f t="shared" si="620"/>
        <v>456.25</v>
      </c>
      <c r="M3271" s="1243">
        <f t="shared" si="616"/>
        <v>0</v>
      </c>
      <c r="N3271" s="1243">
        <v>0</v>
      </c>
      <c r="O3271" s="1243">
        <f t="shared" si="617"/>
        <v>12995.22</v>
      </c>
    </row>
    <row r="3272" spans="1:15">
      <c r="A3272" s="361">
        <f t="shared" si="618"/>
        <v>5</v>
      </c>
      <c r="B3272" s="365">
        <v>392.2</v>
      </c>
      <c r="C3272" s="358" t="s">
        <v>524</v>
      </c>
      <c r="D3272" s="1243">
        <f t="shared" si="613"/>
        <v>48924.4</v>
      </c>
      <c r="E3272" s="1243">
        <v>0</v>
      </c>
      <c r="F3272" s="1243">
        <v>0</v>
      </c>
      <c r="G3272" s="1243">
        <f t="shared" si="619"/>
        <v>48924.4</v>
      </c>
      <c r="H3272" s="1243"/>
      <c r="I3272" s="1245">
        <f t="shared" si="614"/>
        <v>17735.359999999961</v>
      </c>
      <c r="J3272" s="376">
        <f t="shared" si="615"/>
        <v>8.9999999999999993E-3</v>
      </c>
      <c r="K3272" s="1243">
        <f>ROUND((G3272+D3272)/2*J3272/12,0)</f>
        <v>37</v>
      </c>
      <c r="L3272" s="1243">
        <f t="shared" si="620"/>
        <v>0</v>
      </c>
      <c r="M3272" s="1243">
        <f t="shared" si="616"/>
        <v>0</v>
      </c>
      <c r="N3272" s="1243">
        <v>0</v>
      </c>
      <c r="O3272" s="1243">
        <f t="shared" si="617"/>
        <v>17772.359999999961</v>
      </c>
    </row>
    <row r="3273" spans="1:15">
      <c r="A3273" s="361">
        <f t="shared" si="618"/>
        <v>6</v>
      </c>
      <c r="B3273" s="365">
        <v>392.21</v>
      </c>
      <c r="C3273" s="358" t="s">
        <v>415</v>
      </c>
      <c r="D3273" s="1243">
        <f t="shared" si="613"/>
        <v>24462.2</v>
      </c>
      <c r="E3273" s="1243">
        <v>0</v>
      </c>
      <c r="F3273" s="1243">
        <v>0</v>
      </c>
      <c r="G3273" s="1243">
        <f t="shared" si="619"/>
        <v>24462.2</v>
      </c>
      <c r="H3273" s="1243"/>
      <c r="I3273" s="1245">
        <f t="shared" si="614"/>
        <v>45006.01</v>
      </c>
      <c r="J3273" s="376">
        <f t="shared" si="615"/>
        <v>8.9999999999999993E-3</v>
      </c>
      <c r="K3273" s="1243">
        <f>ROUND((G3273+D3273)/2*J3273/12,0)</f>
        <v>18</v>
      </c>
      <c r="L3273" s="1243">
        <f t="shared" si="620"/>
        <v>0</v>
      </c>
      <c r="M3273" s="1243">
        <f t="shared" si="616"/>
        <v>0</v>
      </c>
      <c r="N3273" s="1243">
        <v>0</v>
      </c>
      <c r="O3273" s="1243">
        <f t="shared" si="617"/>
        <v>45024.01</v>
      </c>
    </row>
    <row r="3274" spans="1:15">
      <c r="A3274" s="361">
        <f t="shared" si="618"/>
        <v>7</v>
      </c>
      <c r="B3274" s="365">
        <v>393</v>
      </c>
      <c r="C3274" s="358" t="s">
        <v>416</v>
      </c>
      <c r="D3274" s="1243">
        <f t="shared" si="613"/>
        <v>0</v>
      </c>
      <c r="E3274" s="1243">
        <v>0</v>
      </c>
      <c r="F3274" s="1243">
        <v>0</v>
      </c>
      <c r="G3274" s="1243">
        <f t="shared" si="619"/>
        <v>0</v>
      </c>
      <c r="H3274" s="1243"/>
      <c r="I3274" s="1245">
        <f t="shared" si="614"/>
        <v>0</v>
      </c>
      <c r="J3274" s="376" t="str">
        <f t="shared" si="615"/>
        <v>Amort.</v>
      </c>
      <c r="K3274" s="1243">
        <v>0</v>
      </c>
      <c r="L3274" s="1243">
        <f t="shared" si="620"/>
        <v>0</v>
      </c>
      <c r="M3274" s="1243">
        <f t="shared" si="616"/>
        <v>0</v>
      </c>
      <c r="N3274" s="1243">
        <v>0</v>
      </c>
      <c r="O3274" s="1243">
        <f t="shared" si="617"/>
        <v>0</v>
      </c>
    </row>
    <row r="3275" spans="1:15">
      <c r="A3275" s="361">
        <f t="shared" si="618"/>
        <v>8</v>
      </c>
      <c r="B3275" s="365">
        <v>394.1</v>
      </c>
      <c r="C3275" s="358" t="s">
        <v>417</v>
      </c>
      <c r="D3275" s="1243">
        <f t="shared" si="613"/>
        <v>9739</v>
      </c>
      <c r="E3275" s="1243">
        <v>0</v>
      </c>
      <c r="F3275" s="1243">
        <v>0</v>
      </c>
      <c r="G3275" s="1243">
        <f t="shared" si="619"/>
        <v>9739</v>
      </c>
      <c r="H3275" s="1243"/>
      <c r="I3275" s="1245">
        <f t="shared" si="614"/>
        <v>4588.0700000000006</v>
      </c>
      <c r="J3275" s="376">
        <f t="shared" si="615"/>
        <v>0.04</v>
      </c>
      <c r="K3275" s="1243">
        <f>ROUND((G3275+D3275)/2*J3275/12,0)</f>
        <v>32</v>
      </c>
      <c r="L3275" s="1243">
        <f t="shared" si="620"/>
        <v>0</v>
      </c>
      <c r="M3275" s="1243">
        <f t="shared" si="616"/>
        <v>0</v>
      </c>
      <c r="N3275" s="1243">
        <v>0</v>
      </c>
      <c r="O3275" s="1243">
        <f t="shared" si="617"/>
        <v>4620.0700000000006</v>
      </c>
    </row>
    <row r="3276" spans="1:15">
      <c r="A3276" s="361">
        <f t="shared" si="618"/>
        <v>9</v>
      </c>
      <c r="B3276" s="365">
        <v>394.11</v>
      </c>
      <c r="C3276" s="358" t="s">
        <v>418</v>
      </c>
      <c r="D3276" s="1243">
        <f t="shared" si="613"/>
        <v>0</v>
      </c>
      <c r="E3276" s="1243">
        <v>0</v>
      </c>
      <c r="F3276" s="1243">
        <v>0</v>
      </c>
      <c r="G3276" s="1243">
        <f t="shared" si="619"/>
        <v>0</v>
      </c>
      <c r="H3276" s="1243"/>
      <c r="I3276" s="1245">
        <f t="shared" si="614"/>
        <v>-26071.5</v>
      </c>
      <c r="J3276" s="376">
        <f t="shared" si="615"/>
        <v>0.04</v>
      </c>
      <c r="K3276" s="1243">
        <f>ROUND((G3276+D3276)/2*J3276/12,0)</f>
        <v>0</v>
      </c>
      <c r="L3276" s="1243">
        <f t="shared" si="620"/>
        <v>0</v>
      </c>
      <c r="M3276" s="1243">
        <f t="shared" si="616"/>
        <v>0</v>
      </c>
      <c r="N3276" s="1243">
        <v>0</v>
      </c>
      <c r="O3276" s="1243">
        <f t="shared" si="617"/>
        <v>-26071.5</v>
      </c>
    </row>
    <row r="3277" spans="1:15">
      <c r="A3277" s="361">
        <f t="shared" si="618"/>
        <v>10</v>
      </c>
      <c r="B3277" s="365">
        <v>394.13</v>
      </c>
      <c r="C3277" s="358" t="s">
        <v>515</v>
      </c>
      <c r="D3277" s="1243">
        <f t="shared" si="613"/>
        <v>0</v>
      </c>
      <c r="E3277" s="1243">
        <v>0</v>
      </c>
      <c r="F3277" s="1243">
        <v>0</v>
      </c>
      <c r="G3277" s="1243">
        <f t="shared" si="619"/>
        <v>0</v>
      </c>
      <c r="H3277" s="1243"/>
      <c r="I3277" s="1245">
        <f t="shared" si="614"/>
        <v>25313.360000000001</v>
      </c>
      <c r="J3277" s="376" t="str">
        <f t="shared" si="615"/>
        <v>Amort.</v>
      </c>
      <c r="K3277" s="1243">
        <v>0</v>
      </c>
      <c r="L3277" s="1243">
        <f t="shared" si="620"/>
        <v>-789</v>
      </c>
      <c r="M3277" s="1243">
        <f t="shared" si="616"/>
        <v>0</v>
      </c>
      <c r="N3277" s="1243">
        <v>0</v>
      </c>
      <c r="O3277" s="1243">
        <f t="shared" si="617"/>
        <v>24524.36</v>
      </c>
    </row>
    <row r="3278" spans="1:15">
      <c r="A3278" s="361">
        <f t="shared" si="618"/>
        <v>11</v>
      </c>
      <c r="B3278" s="365">
        <v>394.2</v>
      </c>
      <c r="C3278" s="358" t="s">
        <v>420</v>
      </c>
      <c r="D3278" s="1243">
        <f t="shared" si="613"/>
        <v>0</v>
      </c>
      <c r="E3278" s="1243">
        <v>0</v>
      </c>
      <c r="F3278" s="1243">
        <v>0</v>
      </c>
      <c r="G3278" s="1243">
        <f>SUM(D3278:F3278)</f>
        <v>0</v>
      </c>
      <c r="H3278" s="1243"/>
      <c r="I3278" s="1245">
        <f t="shared" si="614"/>
        <v>185.21</v>
      </c>
      <c r="J3278" s="376">
        <f t="shared" si="615"/>
        <v>0.04</v>
      </c>
      <c r="K3278" s="1243">
        <f>ROUND((G3278+D3278)/2*J3278/12,0)</f>
        <v>0</v>
      </c>
      <c r="L3278" s="1243">
        <f t="shared" si="620"/>
        <v>0</v>
      </c>
      <c r="M3278" s="1243">
        <f t="shared" si="616"/>
        <v>0</v>
      </c>
      <c r="N3278" s="1243">
        <v>0</v>
      </c>
      <c r="O3278" s="1243">
        <f t="shared" si="617"/>
        <v>185.21</v>
      </c>
    </row>
    <row r="3279" spans="1:15">
      <c r="A3279" s="361">
        <f t="shared" si="618"/>
        <v>12</v>
      </c>
      <c r="B3279" s="365">
        <v>394.3</v>
      </c>
      <c r="C3279" s="358" t="s">
        <v>1602</v>
      </c>
      <c r="D3279" s="1243">
        <f t="shared" si="613"/>
        <v>5560836.9900000002</v>
      </c>
      <c r="E3279" s="1243">
        <v>546105.78</v>
      </c>
      <c r="F3279" s="1243">
        <v>-91083.99</v>
      </c>
      <c r="G3279" s="1243">
        <f>SUM(D3279:F3279)</f>
        <v>6015858.7800000003</v>
      </c>
      <c r="H3279" s="1243"/>
      <c r="I3279" s="1245">
        <f t="shared" si="614"/>
        <v>1544691.4199999995</v>
      </c>
      <c r="J3279" s="376">
        <f t="shared" si="615"/>
        <v>0.04</v>
      </c>
      <c r="K3279" s="1243">
        <f>ROUND((G3279+D3279)/2*J3279/12,0)</f>
        <v>19294</v>
      </c>
      <c r="L3279" s="1243">
        <f t="shared" si="620"/>
        <v>0</v>
      </c>
      <c r="M3279" s="1243">
        <f t="shared" si="616"/>
        <v>-91083.99</v>
      </c>
      <c r="N3279" s="1243">
        <v>0</v>
      </c>
      <c r="O3279" s="1243">
        <f t="shared" si="617"/>
        <v>1472901.4299999995</v>
      </c>
    </row>
    <row r="3280" spans="1:15">
      <c r="A3280" s="361">
        <f t="shared" si="618"/>
        <v>13</v>
      </c>
      <c r="B3280" s="365">
        <v>395</v>
      </c>
      <c r="C3280" s="358" t="s">
        <v>422</v>
      </c>
      <c r="D3280" s="1243">
        <f t="shared" si="613"/>
        <v>0</v>
      </c>
      <c r="E3280" s="1243">
        <v>0</v>
      </c>
      <c r="F3280" s="1243">
        <v>0</v>
      </c>
      <c r="G3280" s="1243">
        <f>SUM(D3280:F3280)</f>
        <v>0</v>
      </c>
      <c r="H3280" s="1243"/>
      <c r="I3280" s="1245">
        <f t="shared" si="614"/>
        <v>-144.69999999999845</v>
      </c>
      <c r="J3280" s="376">
        <f t="shared" si="615"/>
        <v>0.05</v>
      </c>
      <c r="K3280" s="1243">
        <f>ROUND((G3280+D3280)/2*J3280/12,0)</f>
        <v>0</v>
      </c>
      <c r="L3280" s="1243">
        <f t="shared" si="620"/>
        <v>-2.75</v>
      </c>
      <c r="M3280" s="1243">
        <f t="shared" si="616"/>
        <v>0</v>
      </c>
      <c r="N3280" s="1243">
        <v>0</v>
      </c>
      <c r="O3280" s="1243">
        <f t="shared" si="617"/>
        <v>-147.44999999999845</v>
      </c>
    </row>
    <row r="3281" spans="1:15">
      <c r="A3281" s="361">
        <f t="shared" si="618"/>
        <v>14</v>
      </c>
      <c r="B3281" s="365">
        <v>396</v>
      </c>
      <c r="C3281" s="358" t="s">
        <v>423</v>
      </c>
      <c r="D3281" s="1243">
        <f t="shared" si="613"/>
        <v>185547</v>
      </c>
      <c r="E3281" s="1243">
        <v>0</v>
      </c>
      <c r="F3281" s="1243">
        <v>0</v>
      </c>
      <c r="G3281" s="1243">
        <f>SUM(D3281:F3281)</f>
        <v>185547</v>
      </c>
      <c r="H3281" s="1243"/>
      <c r="I3281" s="1245">
        <f t="shared" si="614"/>
        <v>171938.14</v>
      </c>
      <c r="J3281" s="376">
        <f t="shared" si="615"/>
        <v>0</v>
      </c>
      <c r="K3281" s="1243">
        <f>ROUND((G3281+D3281)/2*J3281/12,0)</f>
        <v>0</v>
      </c>
      <c r="L3281" s="1243">
        <f t="shared" si="620"/>
        <v>0</v>
      </c>
      <c r="M3281" s="1243">
        <f t="shared" si="616"/>
        <v>0</v>
      </c>
      <c r="N3281" s="1243">
        <v>0</v>
      </c>
      <c r="O3281" s="1243">
        <f t="shared" si="617"/>
        <v>171938.14</v>
      </c>
    </row>
    <row r="3282" spans="1:15">
      <c r="A3282" s="361">
        <f t="shared" si="618"/>
        <v>15</v>
      </c>
      <c r="B3282" s="365">
        <v>398</v>
      </c>
      <c r="C3282" s="358" t="s">
        <v>424</v>
      </c>
      <c r="D3282" s="1244">
        <f t="shared" si="613"/>
        <v>148028.20000000001</v>
      </c>
      <c r="E3282" s="1244">
        <v>0</v>
      </c>
      <c r="F3282" s="1244">
        <v>0</v>
      </c>
      <c r="G3282" s="1244">
        <f>SUM(D3282:F3282)</f>
        <v>148028.20000000001</v>
      </c>
      <c r="H3282" s="1243"/>
      <c r="I3282" s="1246">
        <f t="shared" si="614"/>
        <v>87514.216666666631</v>
      </c>
      <c r="J3282" s="376">
        <f t="shared" si="615"/>
        <v>6.6699999999999995E-2</v>
      </c>
      <c r="K3282" s="1244">
        <f>ROUND((G3282+D3282)/2*J3282/12,0)</f>
        <v>823</v>
      </c>
      <c r="L3282" s="1244">
        <f t="shared" si="620"/>
        <v>265.16666666666669</v>
      </c>
      <c r="M3282" s="1244">
        <f t="shared" si="616"/>
        <v>0</v>
      </c>
      <c r="N3282" s="1244">
        <v>0</v>
      </c>
      <c r="O3282" s="1244">
        <f t="shared" si="617"/>
        <v>88602.383333333302</v>
      </c>
    </row>
    <row r="3283" spans="1:15">
      <c r="A3283" s="361">
        <f t="shared" si="618"/>
        <v>16</v>
      </c>
      <c r="B3283" s="367"/>
      <c r="C3283" s="358" t="s">
        <v>425</v>
      </c>
      <c r="D3283" s="1243">
        <f>SUM(D3269:D3282)</f>
        <v>6936408.7000000002</v>
      </c>
      <c r="E3283" s="1243">
        <f>SUM(E3269:E3282)</f>
        <v>546105.78</v>
      </c>
      <c r="F3283" s="1243">
        <f>SUM(F3269:F3282)</f>
        <v>-91083.99</v>
      </c>
      <c r="G3283" s="1243">
        <f>SUM(G3269:G3282)</f>
        <v>7391430.4900000002</v>
      </c>
      <c r="H3283" s="1243"/>
      <c r="I3283" s="1243">
        <f>SUM(I3269:I3282)</f>
        <v>2125321.4699999997</v>
      </c>
      <c r="J3283" s="369"/>
      <c r="K3283" s="1243">
        <f>SUM(K3269:K3282)</f>
        <v>24664</v>
      </c>
      <c r="L3283" s="1243">
        <f>SUM(L3269:L3282)</f>
        <v>5270.0000000000009</v>
      </c>
      <c r="M3283" s="1243">
        <f>SUM(M3269:M3282)</f>
        <v>-91083.99</v>
      </c>
      <c r="N3283" s="1243">
        <f>SUM(N3269:N3282)</f>
        <v>0</v>
      </c>
      <c r="O3283" s="1243">
        <f>SUM(O3269:O3282)</f>
        <v>2064171.4799999995</v>
      </c>
    </row>
    <row r="3284" spans="1:15">
      <c r="A3284" s="361"/>
      <c r="D3284" s="1243"/>
      <c r="E3284" s="1243"/>
      <c r="F3284" s="1243"/>
      <c r="G3284" s="1243"/>
      <c r="H3284" s="1243"/>
      <c r="I3284" s="1243"/>
      <c r="J3284" s="369"/>
      <c r="K3284" s="1243"/>
      <c r="L3284" s="1243"/>
      <c r="M3284" s="1243"/>
      <c r="N3284" s="1243"/>
      <c r="O3284" s="1243"/>
    </row>
    <row r="3285" spans="1:15">
      <c r="A3285" s="361">
        <f>A3283+1</f>
        <v>17</v>
      </c>
      <c r="B3285" s="363" t="s">
        <v>1038</v>
      </c>
      <c r="D3285" s="1243"/>
      <c r="E3285" s="1243"/>
      <c r="F3285" s="1243"/>
      <c r="G3285" s="1243"/>
      <c r="H3285" s="1243"/>
      <c r="I3285" s="1243"/>
      <c r="J3285" s="369"/>
      <c r="K3285" s="1243"/>
      <c r="L3285" s="1243"/>
      <c r="M3285" s="1243"/>
      <c r="N3285" s="1243"/>
      <c r="O3285" s="1243"/>
    </row>
    <row r="3286" spans="1:15">
      <c r="A3286" s="361">
        <f>A3285+1</f>
        <v>18</v>
      </c>
      <c r="B3286" s="365">
        <v>378.21</v>
      </c>
      <c r="C3286" s="358" t="s">
        <v>1037</v>
      </c>
      <c r="D3286" s="1244">
        <f>G3172</f>
        <v>-777092</v>
      </c>
      <c r="E3286" s="1244">
        <v>0</v>
      </c>
      <c r="F3286" s="1244">
        <v>0</v>
      </c>
      <c r="G3286" s="1244">
        <f>SUM(D3286:F3286)</f>
        <v>-777092</v>
      </c>
      <c r="H3286" s="1243"/>
      <c r="I3286" s="1244">
        <f>O3172</f>
        <v>-238677.06000000032</v>
      </c>
      <c r="J3286" s="376" t="str">
        <f>$J$1690</f>
        <v>Amort.</v>
      </c>
      <c r="K3286" s="1244">
        <f>$K$1348</f>
        <v>-2144.17</v>
      </c>
      <c r="L3286" s="1244">
        <v>0</v>
      </c>
      <c r="M3286" s="1244">
        <f>F3286</f>
        <v>0</v>
      </c>
      <c r="N3286" s="1244">
        <v>0</v>
      </c>
      <c r="O3286" s="1244">
        <f>I3286+K3286+L3286+M3286+N3286</f>
        <v>-240821.23000000033</v>
      </c>
    </row>
    <row r="3287" spans="1:15">
      <c r="A3287" s="361">
        <f>A3286+1</f>
        <v>19</v>
      </c>
      <c r="B3287" s="370"/>
      <c r="C3287" s="358" t="s">
        <v>1579</v>
      </c>
      <c r="D3287" s="1243">
        <f>SUM(D3286)</f>
        <v>-777092</v>
      </c>
      <c r="E3287" s="1243">
        <f>SUM(E3286)</f>
        <v>0</v>
      </c>
      <c r="F3287" s="1243">
        <f>SUM(F3286)</f>
        <v>0</v>
      </c>
      <c r="G3287" s="1243">
        <f>SUM(G3286)</f>
        <v>-777092</v>
      </c>
      <c r="H3287" s="1243"/>
      <c r="I3287" s="1243">
        <f>SUM(I3286)</f>
        <v>-238677.06000000032</v>
      </c>
      <c r="J3287" s="369"/>
      <c r="K3287" s="1243">
        <f>SUM(K3286)</f>
        <v>-2144.17</v>
      </c>
      <c r="L3287" s="1243">
        <f>SUM(L3286)</f>
        <v>0</v>
      </c>
      <c r="M3287" s="1243">
        <f>SUM(M3286)</f>
        <v>0</v>
      </c>
      <c r="N3287" s="1243">
        <f>SUM(N3286)</f>
        <v>0</v>
      </c>
      <c r="O3287" s="1243">
        <f>SUM(O3286)</f>
        <v>-240821.23000000033</v>
      </c>
    </row>
    <row r="3288" spans="1:15">
      <c r="A3288" s="361"/>
      <c r="B3288" s="370"/>
      <c r="D3288" s="1243"/>
      <c r="E3288" s="1243"/>
      <c r="F3288" s="1243"/>
      <c r="G3288" s="1243"/>
      <c r="H3288" s="1243"/>
      <c r="I3288" s="1243"/>
      <c r="J3288" s="369"/>
      <c r="K3288" s="1243"/>
      <c r="L3288" s="1243"/>
      <c r="M3288" s="1243"/>
      <c r="N3288" s="1243"/>
      <c r="O3288" s="1243"/>
    </row>
    <row r="3289" spans="1:15">
      <c r="A3289" s="361">
        <f>A3287+1</f>
        <v>20</v>
      </c>
      <c r="B3289" s="370"/>
      <c r="C3289" s="358" t="s">
        <v>2037</v>
      </c>
      <c r="D3289" s="1243">
        <f>D3216+D3249+D3283+D3287</f>
        <v>770615171.92866981</v>
      </c>
      <c r="E3289" s="1243">
        <f>E3216+E3249+E3283+E3287</f>
        <v>4067622.9820857765</v>
      </c>
      <c r="F3289" s="1243">
        <f>F3216+F3249+F3283+F3287</f>
        <v>-634781.96320744173</v>
      </c>
      <c r="G3289" s="1243">
        <f>G3216+G3249+G3283+G3287</f>
        <v>774048012.94754827</v>
      </c>
      <c r="H3289" s="1243"/>
      <c r="I3289" s="1243">
        <f>I3216+I3249+I3283+I3287</f>
        <v>198256391.83470258</v>
      </c>
      <c r="J3289" s="369"/>
      <c r="K3289" s="1243">
        <f>K3216+K3249+K3283+K3287</f>
        <v>2190667.0931558125</v>
      </c>
      <c r="L3289" s="1243">
        <f>L3216+L3249+L3283+L3287</f>
        <v>5270.0000000000009</v>
      </c>
      <c r="M3289" s="1243">
        <f>M3216+M3249+M3283+M3287</f>
        <v>-634781.96320744173</v>
      </c>
      <c r="N3289" s="1243">
        <f>N3216+N3249+N3283+N3287</f>
        <v>-284668.49631716876</v>
      </c>
      <c r="O3289" s="1243">
        <f>O3216+O3249+O3283+O3287</f>
        <v>199532878.46833384</v>
      </c>
    </row>
    <row r="3290" spans="1:15">
      <c r="A3290" s="361"/>
      <c r="B3290" s="370"/>
      <c r="D3290" s="1243"/>
      <c r="E3290" s="1243"/>
      <c r="F3290" s="1243"/>
      <c r="G3290" s="1243"/>
      <c r="H3290" s="1243"/>
      <c r="I3290" s="1243"/>
      <c r="J3290" s="369"/>
      <c r="K3290" s="1243"/>
      <c r="L3290" s="1243"/>
      <c r="M3290" s="1243"/>
      <c r="N3290" s="1243"/>
      <c r="O3290" s="1243"/>
    </row>
    <row r="3291" spans="1:15">
      <c r="A3291" s="361">
        <f>A3289+1</f>
        <v>21</v>
      </c>
      <c r="B3291" s="370"/>
      <c r="C3291" s="358" t="s">
        <v>2038</v>
      </c>
      <c r="D3291" s="1243">
        <v>0</v>
      </c>
      <c r="E3291" s="1249">
        <v>0</v>
      </c>
      <c r="F3291" s="1249">
        <v>0</v>
      </c>
      <c r="G3291" s="1249">
        <f>SUM(D3291:F3291)</f>
        <v>0</v>
      </c>
      <c r="H3291" s="1243"/>
      <c r="I3291" s="1243">
        <f>O3177</f>
        <v>-6687302.71</v>
      </c>
      <c r="J3291" s="369"/>
      <c r="K3291" s="1243"/>
      <c r="L3291" s="1243"/>
      <c r="M3291" s="1243"/>
      <c r="N3291" s="1243"/>
      <c r="O3291" s="1243">
        <f>I3291+K3291+L3291+M3291+N3291</f>
        <v>-6687302.71</v>
      </c>
    </row>
    <row r="3292" spans="1:15">
      <c r="A3292" s="361"/>
      <c r="B3292" s="370"/>
      <c r="C3292" s="368"/>
      <c r="D3292" s="1243"/>
      <c r="E3292" s="1243"/>
      <c r="F3292" s="1243"/>
      <c r="G3292" s="1243"/>
      <c r="H3292" s="1243"/>
      <c r="I3292" s="1243"/>
      <c r="J3292" s="369"/>
      <c r="K3292" s="1243"/>
      <c r="L3292" s="1243"/>
      <c r="M3292" s="1243"/>
      <c r="N3292" s="1243"/>
      <c r="O3292" s="1243"/>
    </row>
    <row r="3293" spans="1:15">
      <c r="A3293" s="361">
        <f>A3291+1</f>
        <v>22</v>
      </c>
      <c r="C3293" s="358" t="s">
        <v>1603</v>
      </c>
      <c r="D3293" s="1247">
        <f>D3289+D3291</f>
        <v>770615171.92866981</v>
      </c>
      <c r="E3293" s="1247">
        <f t="shared" ref="E3293:O3293" si="621">E3289+E3291</f>
        <v>4067622.9820857765</v>
      </c>
      <c r="F3293" s="1247">
        <f t="shared" si="621"/>
        <v>-634781.96320744173</v>
      </c>
      <c r="G3293" s="1247">
        <f t="shared" si="621"/>
        <v>774048012.94754827</v>
      </c>
      <c r="H3293" s="1243"/>
      <c r="I3293" s="1247">
        <f t="shared" si="621"/>
        <v>191569089.12470257</v>
      </c>
      <c r="J3293" s="369"/>
      <c r="K3293" s="1247">
        <f t="shared" si="621"/>
        <v>2190667.0931558125</v>
      </c>
      <c r="L3293" s="1247">
        <f t="shared" si="621"/>
        <v>5270.0000000000009</v>
      </c>
      <c r="M3293" s="1247">
        <f t="shared" si="621"/>
        <v>-634781.96320744173</v>
      </c>
      <c r="N3293" s="1247">
        <f t="shared" si="621"/>
        <v>-284668.49631716876</v>
      </c>
      <c r="O3293" s="1247">
        <f t="shared" si="621"/>
        <v>192845575.75833383</v>
      </c>
    </row>
    <row r="3294" spans="1:15">
      <c r="A3294" s="361"/>
      <c r="D3294" s="1243"/>
      <c r="E3294" s="1243"/>
      <c r="F3294" s="1243"/>
      <c r="G3294" s="1243"/>
      <c r="H3294" s="1243"/>
      <c r="I3294" s="1243"/>
      <c r="J3294" s="369"/>
      <c r="K3294" s="1243"/>
      <c r="L3294" s="1243"/>
      <c r="M3294" s="1243"/>
      <c r="N3294" s="1243"/>
      <c r="O3294" s="1243"/>
    </row>
    <row r="3295" spans="1:15">
      <c r="A3295" s="361"/>
      <c r="D3295" s="1243"/>
      <c r="E3295" s="1243"/>
      <c r="F3295" s="1243"/>
      <c r="G3295" s="1243"/>
      <c r="H3295" s="1243"/>
      <c r="I3295" s="1243"/>
      <c r="J3295" s="369"/>
      <c r="K3295" s="1243"/>
      <c r="L3295" s="1243"/>
      <c r="M3295" s="1243"/>
      <c r="N3295" s="1243"/>
      <c r="O3295" s="1243"/>
    </row>
    <row r="3296" spans="1:15">
      <c r="A3296" s="361">
        <f>A3293+1</f>
        <v>23</v>
      </c>
      <c r="B3296" s="363" t="s">
        <v>1774</v>
      </c>
      <c r="D3296" s="1243"/>
      <c r="E3296" s="1243"/>
      <c r="F3296" s="1243"/>
      <c r="G3296" s="1243"/>
      <c r="H3296" s="1243"/>
      <c r="I3296" s="1243"/>
      <c r="J3296" s="369"/>
      <c r="K3296" s="1243"/>
      <c r="L3296" s="1243"/>
      <c r="M3296" s="1243"/>
      <c r="N3296" s="1243"/>
      <c r="O3296" s="1243"/>
    </row>
    <row r="3297" spans="1:16">
      <c r="A3297" s="361">
        <f t="shared" ref="A3297:A3302" si="622">A3296+1</f>
        <v>24</v>
      </c>
      <c r="B3297" s="365">
        <v>376</v>
      </c>
      <c r="C3297" s="358" t="s">
        <v>1775</v>
      </c>
      <c r="D3297" s="1243">
        <f>G3183</f>
        <v>57250493.832516775</v>
      </c>
      <c r="E3297" s="1243">
        <f>'WPB-2.1.D SMRP'!E1306</f>
        <v>1891800.5021199924</v>
      </c>
      <c r="F3297" s="1243">
        <f>'WPB-2.1.D SMRP'!F1306</f>
        <v>-22172.28</v>
      </c>
      <c r="G3297" s="1243">
        <f>SUM(D3297:F3297)</f>
        <v>59120122.054636769</v>
      </c>
      <c r="H3297" s="1243"/>
      <c r="I3297" s="1243">
        <f>O3183</f>
        <v>529314.29229091771</v>
      </c>
      <c r="J3297" s="376">
        <f>+J3183</f>
        <v>1.7999999999999999E-2</v>
      </c>
      <c r="K3297" s="1243">
        <f>'WPB-2.1.D SMRP'!K1306</f>
        <v>87277.96</v>
      </c>
      <c r="L3297" s="1243">
        <v>0</v>
      </c>
      <c r="M3297" s="1243">
        <f>F3297</f>
        <v>-22172.28</v>
      </c>
      <c r="N3297" s="1243">
        <f>'WPB-2.1.D SMRP'!N1306</f>
        <v>-364.35350160122698</v>
      </c>
      <c r="O3297" s="1243">
        <f>I3297+K3297+L3297+M3297+N3297</f>
        <v>594055.61878931639</v>
      </c>
    </row>
    <row r="3298" spans="1:16">
      <c r="A3298" s="361">
        <f t="shared" si="622"/>
        <v>25</v>
      </c>
      <c r="B3298" s="365">
        <v>378.2</v>
      </c>
      <c r="C3298" s="358" t="s">
        <v>1776</v>
      </c>
      <c r="D3298" s="1243">
        <f>G3184</f>
        <v>599780.62011021946</v>
      </c>
      <c r="E3298" s="1243">
        <f>'WPB-2.1.D SMRP'!E1307</f>
        <v>0</v>
      </c>
      <c r="F3298" s="1243">
        <f>'WPB-2.1.D SMRP'!F1307</f>
        <v>0</v>
      </c>
      <c r="G3298" s="1243">
        <f>SUM(D3298:F3298)</f>
        <v>599780.62011021946</v>
      </c>
      <c r="H3298" s="1243"/>
      <c r="I3298" s="1243">
        <f>O3184</f>
        <v>-938199.71754116018</v>
      </c>
      <c r="J3298" s="376">
        <f>+J3184</f>
        <v>3.3099999999999997E-2</v>
      </c>
      <c r="K3298" s="1243">
        <f>'WPB-2.1.D SMRP'!K1307</f>
        <v>1654.39</v>
      </c>
      <c r="L3298" s="1243">
        <v>0</v>
      </c>
      <c r="M3298" s="1243">
        <f>F3298</f>
        <v>0</v>
      </c>
      <c r="N3298" s="1243">
        <f>'WPB-2.1.D SMRP'!N1307</f>
        <v>0</v>
      </c>
      <c r="O3298" s="1243">
        <f>I3298+K3298+L3298+M3298+N3298</f>
        <v>-936545.32754116016</v>
      </c>
    </row>
    <row r="3299" spans="1:16">
      <c r="A3299" s="361">
        <f t="shared" si="622"/>
        <v>26</v>
      </c>
      <c r="B3299" s="365">
        <v>380</v>
      </c>
      <c r="C3299" s="358" t="s">
        <v>1777</v>
      </c>
      <c r="D3299" s="1243">
        <f>G3185</f>
        <v>24334046.612005264</v>
      </c>
      <c r="E3299" s="1243">
        <f>'WPB-2.1.D SMRP'!E1308</f>
        <v>994966.62082679931</v>
      </c>
      <c r="F3299" s="1243">
        <f>'WPB-2.1.D SMRP'!F1308</f>
        <v>-228698.02579517831</v>
      </c>
      <c r="G3299" s="1243">
        <f>SUM(D3299:F3299)</f>
        <v>25100315.207036886</v>
      </c>
      <c r="H3299" s="1243"/>
      <c r="I3299" s="1243">
        <f>O3185</f>
        <v>-12232999.459418979</v>
      </c>
      <c r="J3299" s="376">
        <f>+J3185</f>
        <v>5.1799999999999999E-2</v>
      </c>
      <c r="K3299" s="1243">
        <f>'WPB-2.1.D SMRP'!K1308</f>
        <v>106695.83</v>
      </c>
      <c r="L3299" s="1243">
        <v>0</v>
      </c>
      <c r="M3299" s="1243">
        <f>F3299</f>
        <v>-228698.02579517831</v>
      </c>
      <c r="N3299" s="1243">
        <f>'WPB-2.1.D SMRP'!N1308</f>
        <v>-109671.46018123</v>
      </c>
      <c r="O3299" s="1243">
        <f>I3299+K3299+L3299+M3299+N3299</f>
        <v>-12464673.115395388</v>
      </c>
    </row>
    <row r="3300" spans="1:16">
      <c r="A3300" s="361">
        <f t="shared" si="622"/>
        <v>27</v>
      </c>
      <c r="B3300" s="365">
        <v>382</v>
      </c>
      <c r="C3300" s="358" t="s">
        <v>1778</v>
      </c>
      <c r="D3300" s="1243">
        <f>G3186</f>
        <v>236084.64509180642</v>
      </c>
      <c r="E3300" s="1243">
        <f>'WPB-2.1.D SMRP'!E1309</f>
        <v>1860.5643708223772</v>
      </c>
      <c r="F3300" s="1243">
        <f>'WPB-2.1.D SMRP'!F1309</f>
        <v>-531.02287809195411</v>
      </c>
      <c r="G3300" s="1243">
        <f>SUM(D3300:F3300)</f>
        <v>237414.18658453683</v>
      </c>
      <c r="H3300" s="1243"/>
      <c r="I3300" s="1243">
        <f>O3186</f>
        <v>-74600.073219257378</v>
      </c>
      <c r="J3300" s="376">
        <f>+J3186</f>
        <v>2.2800000000000001E-2</v>
      </c>
      <c r="K3300" s="1243">
        <f>'WPB-2.1.D SMRP'!K1309</f>
        <v>449.82</v>
      </c>
      <c r="L3300" s="1243">
        <v>0</v>
      </c>
      <c r="M3300" s="1243">
        <f>F3300</f>
        <v>-531.02287809195411</v>
      </c>
      <c r="N3300" s="1243">
        <f>'WPB-2.1.D SMRP'!N1309</f>
        <v>0</v>
      </c>
      <c r="O3300" s="1243">
        <f>I3300+K3300+L3300+M3300+N3300</f>
        <v>-74681.276097349328</v>
      </c>
    </row>
    <row r="3301" spans="1:16">
      <c r="A3301" s="361">
        <f t="shared" si="622"/>
        <v>28</v>
      </c>
      <c r="B3301" s="365">
        <v>383</v>
      </c>
      <c r="C3301" s="358" t="s">
        <v>1779</v>
      </c>
      <c r="D3301" s="1244">
        <f>G3187</f>
        <v>167255.34201740351</v>
      </c>
      <c r="E3301" s="1244">
        <f>'WPB-2.1.D SMRP'!E1310</f>
        <v>2096.5901950840844</v>
      </c>
      <c r="F3301" s="1244">
        <f>'WPB-2.1.D SMRP'!F1310</f>
        <v>-89.522593362440972</v>
      </c>
      <c r="G3301" s="1244">
        <f>SUM(D3301:F3301)</f>
        <v>169262.40961912516</v>
      </c>
      <c r="H3301" s="1243"/>
      <c r="I3301" s="1244">
        <f>O3187</f>
        <v>-7870.3586920411808</v>
      </c>
      <c r="J3301" s="376">
        <f>+J3187</f>
        <v>2.2200000000000001E-2</v>
      </c>
      <c r="K3301" s="1244">
        <f>'WPB-2.1.D SMRP'!K1310</f>
        <v>311.27999999999997</v>
      </c>
      <c r="L3301" s="1244">
        <v>0</v>
      </c>
      <c r="M3301" s="1244">
        <f>F3301</f>
        <v>-89.522593362440972</v>
      </c>
      <c r="N3301" s="1244">
        <f>'WPB-2.1.D SMRP'!N1310</f>
        <v>0</v>
      </c>
      <c r="O3301" s="1244">
        <f>I3301+K3301+L3301+M3301+N3301</f>
        <v>-7648.6012854036217</v>
      </c>
    </row>
    <row r="3302" spans="1:16">
      <c r="A3302" s="361">
        <f t="shared" si="622"/>
        <v>29</v>
      </c>
      <c r="C3302" s="358" t="s">
        <v>1780</v>
      </c>
      <c r="D3302" s="1243">
        <f>SUM(D3297:D3301)</f>
        <v>82587661.051741466</v>
      </c>
      <c r="E3302" s="1243">
        <f>SUM(E3297:E3301)</f>
        <v>2890724.277512698</v>
      </c>
      <c r="F3302" s="1243">
        <f>SUM(F3297:F3301)</f>
        <v>-251490.8512666327</v>
      </c>
      <c r="G3302" s="1243">
        <f>SUM(G3297:G3301)</f>
        <v>85226894.477987528</v>
      </c>
      <c r="H3302" s="1243"/>
      <c r="I3302" s="1243">
        <f>SUM(I3297:I3301)</f>
        <v>-12724355.316580519</v>
      </c>
      <c r="J3302" s="369"/>
      <c r="K3302" s="1243">
        <f>SUM(K3297:K3301)</f>
        <v>196389.28</v>
      </c>
      <c r="L3302" s="1243">
        <f>SUM(L3297:L3301)</f>
        <v>0</v>
      </c>
      <c r="M3302" s="1243">
        <f>SUM(M3297:M3301)</f>
        <v>-251490.8512666327</v>
      </c>
      <c r="N3302" s="1243">
        <f>SUM(N3297:N3301)</f>
        <v>-110035.81368283123</v>
      </c>
      <c r="O3302" s="1243">
        <f>SUM(O3297:O3301)</f>
        <v>-12889492.701529985</v>
      </c>
    </row>
    <row r="3303" spans="1:16">
      <c r="A3303" s="361"/>
      <c r="D3303" s="1243"/>
      <c r="E3303" s="1243"/>
      <c r="F3303" s="1243"/>
      <c r="G3303" s="1243"/>
      <c r="H3303" s="1243"/>
      <c r="I3303" s="1243"/>
      <c r="J3303" s="369"/>
      <c r="K3303" s="1243"/>
      <c r="L3303" s="1243"/>
      <c r="M3303" s="1243"/>
      <c r="N3303" s="1243"/>
      <c r="O3303" s="1243"/>
    </row>
    <row r="3304" spans="1:16" ht="13.5" thickBot="1">
      <c r="A3304" s="361">
        <f>A3302+1</f>
        <v>30</v>
      </c>
      <c r="C3304" s="358" t="s">
        <v>447</v>
      </c>
      <c r="D3304" s="1248">
        <f>D3293+D3302</f>
        <v>853202832.98041129</v>
      </c>
      <c r="E3304" s="1248">
        <f>E3293+E3302</f>
        <v>6958347.2595984749</v>
      </c>
      <c r="F3304" s="1248">
        <f>F3293+F3302</f>
        <v>-886272.8144740744</v>
      </c>
      <c r="G3304" s="1248">
        <f>G3293+G3302</f>
        <v>859274907.4255358</v>
      </c>
      <c r="H3304" s="1243"/>
      <c r="I3304" s="1248">
        <f>I3293+I3302</f>
        <v>178844733.80812204</v>
      </c>
      <c r="J3304" s="369"/>
      <c r="K3304" s="1248">
        <f>K3293+K3302</f>
        <v>2387056.3731558123</v>
      </c>
      <c r="L3304" s="1248">
        <f>L3293+L3302</f>
        <v>5270.0000000000009</v>
      </c>
      <c r="M3304" s="1248">
        <f>M3293+M3302</f>
        <v>-886272.8144740744</v>
      </c>
      <c r="N3304" s="1248">
        <f>N3293+N3302</f>
        <v>-394704.31</v>
      </c>
      <c r="O3304" s="1248">
        <f>O3293+O3302</f>
        <v>179956083.05680385</v>
      </c>
    </row>
    <row r="3305" spans="1:16" ht="13.5" thickTop="1"/>
    <row r="3307" spans="1:16" s="291" customFormat="1">
      <c r="A3307" s="1308" t="str">
        <f>$A$1</f>
        <v>COLUMBIA GAS OF KENTUCKY, INC.</v>
      </c>
      <c r="B3307" s="1308"/>
      <c r="C3307" s="1308"/>
      <c r="D3307" s="1308"/>
      <c r="E3307" s="1308"/>
      <c r="F3307" s="1308"/>
      <c r="G3307" s="1308"/>
      <c r="H3307" s="1308"/>
      <c r="I3307" s="1308"/>
      <c r="J3307" s="1308"/>
      <c r="K3307" s="1308"/>
      <c r="L3307" s="1308"/>
      <c r="M3307" s="1308"/>
      <c r="N3307" s="1308"/>
      <c r="O3307" s="1308"/>
    </row>
    <row r="3308" spans="1:16" s="291" customFormat="1">
      <c r="A3308" s="1308" t="str">
        <f>$A$2</f>
        <v>CASE NO. 2024 - 00092</v>
      </c>
      <c r="B3308" s="1308"/>
      <c r="C3308" s="1308"/>
      <c r="D3308" s="1308"/>
      <c r="E3308" s="1308"/>
      <c r="F3308" s="1308"/>
      <c r="G3308" s="1308"/>
      <c r="H3308" s="1308"/>
      <c r="I3308" s="1308"/>
      <c r="J3308" s="1308"/>
      <c r="K3308" s="1308"/>
      <c r="L3308" s="1308"/>
      <c r="M3308" s="1308"/>
      <c r="N3308" s="1308"/>
      <c r="O3308" s="1308"/>
    </row>
    <row r="3309" spans="1:16" s="291" customFormat="1">
      <c r="A3309" s="1308" t="str">
        <f>$A$3</f>
        <v>DETAIL OF ACTUAL &amp; FORECASTED PLANT, ACCUMULATED RESERVE &amp; DEPRECIATION EXPENSE</v>
      </c>
      <c r="B3309" s="1308"/>
      <c r="C3309" s="1308"/>
      <c r="D3309" s="1308"/>
      <c r="E3309" s="1308"/>
      <c r="F3309" s="1308"/>
      <c r="G3309" s="1308"/>
      <c r="H3309" s="1308"/>
      <c r="I3309" s="1308"/>
      <c r="J3309" s="1308"/>
      <c r="K3309" s="1308"/>
      <c r="L3309" s="1308"/>
      <c r="M3309" s="1308"/>
      <c r="N3309" s="1308"/>
      <c r="O3309" s="1308"/>
      <c r="P3309" s="357"/>
    </row>
    <row r="3310" spans="1:16" s="291" customFormat="1">
      <c r="A3310" s="1308" t="str">
        <f>$A$4</f>
        <v>FROM JANUARY 01, 2023 THROUGH DECEMBER 31, 2025</v>
      </c>
      <c r="B3310" s="1308"/>
      <c r="C3310" s="1308"/>
      <c r="D3310" s="1308"/>
      <c r="E3310" s="1308"/>
      <c r="F3310" s="1308"/>
      <c r="G3310" s="1308"/>
      <c r="H3310" s="1308"/>
      <c r="I3310" s="1308"/>
      <c r="J3310" s="1308"/>
      <c r="K3310" s="1308"/>
      <c r="L3310" s="1308"/>
      <c r="M3310" s="1308"/>
      <c r="N3310" s="1308"/>
      <c r="O3310" s="1308"/>
    </row>
    <row r="3311" spans="1:16" s="291" customFormat="1">
      <c r="B3311" s="293"/>
      <c r="P3311" s="312"/>
    </row>
    <row r="3312" spans="1:16" s="291" customFormat="1">
      <c r="A3312" s="297" t="str">
        <f>$A$6</f>
        <v xml:space="preserve">DATA: _X_ BASE PERIOD _X_ FORECASTED PERIOD     </v>
      </c>
      <c r="B3312" s="293"/>
      <c r="O3312" s="312" t="str">
        <f>$O$6</f>
        <v>WPB-2.1.C</v>
      </c>
      <c r="P3312" s="312"/>
    </row>
    <row r="3313" spans="1:16" s="291" customFormat="1">
      <c r="A3313" s="297" t="str">
        <f>$A$7</f>
        <v>TYPE OF FILING:___X___ORIGINAL______UPDATED</v>
      </c>
      <c r="B3313" s="293"/>
      <c r="O3313" s="312" t="s">
        <v>2164</v>
      </c>
      <c r="P3313" s="312"/>
    </row>
    <row r="3314" spans="1:16" s="291" customFormat="1">
      <c r="A3314" s="297" t="str">
        <f>$A$8</f>
        <v>WORKPAPER REFERENCE NO(S).:</v>
      </c>
      <c r="B3314" s="293"/>
      <c r="O3314" s="312" t="str">
        <f>$O$8</f>
        <v>WITNESS: GORE</v>
      </c>
    </row>
    <row r="3315" spans="1:16">
      <c r="A3315" s="918"/>
      <c r="B3315" s="919"/>
      <c r="C3315" s="918"/>
      <c r="D3315" s="918"/>
      <c r="E3315" s="918"/>
      <c r="F3315" s="918"/>
      <c r="G3315" s="918"/>
      <c r="H3315" s="918"/>
      <c r="I3315" s="918"/>
      <c r="J3315" s="918"/>
      <c r="K3315" s="918"/>
      <c r="L3315" s="918"/>
      <c r="M3315" s="918"/>
      <c r="N3315" s="918"/>
      <c r="O3315" s="920"/>
    </row>
    <row r="3316" spans="1:16">
      <c r="D3316" s="1311" t="s">
        <v>1768</v>
      </c>
      <c r="E3316" s="1311"/>
      <c r="F3316" s="1311"/>
      <c r="G3316" s="1311"/>
      <c r="I3316" s="1311" t="s">
        <v>1769</v>
      </c>
      <c r="J3316" s="1311"/>
      <c r="K3316" s="1311"/>
      <c r="L3316" s="1311"/>
      <c r="M3316" s="1311"/>
      <c r="N3316" s="1311"/>
      <c r="O3316" s="1311"/>
    </row>
    <row r="3317" spans="1:16">
      <c r="D3317" s="360">
        <f>G3262+1</f>
        <v>45809</v>
      </c>
      <c r="G3317" s="360">
        <f>D3317+29</f>
        <v>45838</v>
      </c>
      <c r="I3317" s="360">
        <f>D3317</f>
        <v>45809</v>
      </c>
      <c r="O3317" s="360">
        <f>G3317</f>
        <v>45838</v>
      </c>
    </row>
    <row r="3318" spans="1:16">
      <c r="D3318" s="361" t="s">
        <v>1757</v>
      </c>
      <c r="G3318" s="361" t="s">
        <v>1757</v>
      </c>
      <c r="I3318" s="361" t="s">
        <v>1758</v>
      </c>
      <c r="J3318" s="361" t="s">
        <v>488</v>
      </c>
      <c r="L3318" s="361" t="s">
        <v>1758</v>
      </c>
      <c r="O3318" s="361" t="s">
        <v>1758</v>
      </c>
    </row>
    <row r="3319" spans="1:16">
      <c r="A3319" s="361" t="s">
        <v>1770</v>
      </c>
      <c r="B3319" s="361" t="s">
        <v>368</v>
      </c>
      <c r="C3319" s="361"/>
      <c r="D3319" s="361" t="s">
        <v>437</v>
      </c>
      <c r="G3319" s="361" t="s">
        <v>439</v>
      </c>
      <c r="I3319" s="361" t="s">
        <v>437</v>
      </c>
      <c r="J3319" s="361" t="s">
        <v>1771</v>
      </c>
      <c r="K3319" s="361" t="s">
        <v>1772</v>
      </c>
      <c r="L3319" s="361" t="s">
        <v>1759</v>
      </c>
      <c r="N3319" s="361" t="s">
        <v>1760</v>
      </c>
      <c r="O3319" s="361" t="s">
        <v>439</v>
      </c>
    </row>
    <row r="3320" spans="1:16">
      <c r="A3320" s="364" t="s">
        <v>316</v>
      </c>
      <c r="B3320" s="364" t="s">
        <v>316</v>
      </c>
      <c r="C3320" s="364" t="s">
        <v>451</v>
      </c>
      <c r="D3320" s="364" t="s">
        <v>441</v>
      </c>
      <c r="E3320" s="364" t="s">
        <v>442</v>
      </c>
      <c r="F3320" s="364" t="s">
        <v>443</v>
      </c>
      <c r="G3320" s="364" t="s">
        <v>441</v>
      </c>
      <c r="I3320" s="364" t="s">
        <v>441</v>
      </c>
      <c r="J3320" s="364" t="s">
        <v>1773</v>
      </c>
      <c r="K3320" s="364" t="s">
        <v>1771</v>
      </c>
      <c r="L3320" s="364" t="s">
        <v>355</v>
      </c>
      <c r="M3320" s="364" t="s">
        <v>443</v>
      </c>
      <c r="N3320" s="364" t="s">
        <v>1763</v>
      </c>
      <c r="O3320" s="364" t="s">
        <v>441</v>
      </c>
    </row>
    <row r="3321" spans="1:16">
      <c r="D3321" s="361" t="s">
        <v>532</v>
      </c>
      <c r="E3321" s="361" t="s">
        <v>541</v>
      </c>
      <c r="F3321" s="361" t="s">
        <v>542</v>
      </c>
      <c r="G3321" s="361" t="s">
        <v>1764</v>
      </c>
      <c r="I3321" s="334" t="str">
        <f>"(5)"</f>
        <v>(5)</v>
      </c>
      <c r="J3321" s="334" t="str">
        <f>"(6)"</f>
        <v>(6)</v>
      </c>
      <c r="K3321" s="334" t="str">
        <f>"(7)=((1+4)/2*6/12))"</f>
        <v>(7)=((1+4)/2*6/12))</v>
      </c>
      <c r="L3321" s="334" t="str">
        <f>"(8)"</f>
        <v>(8)</v>
      </c>
      <c r="M3321" s="334" t="str">
        <f>"(9)"</f>
        <v>(9)</v>
      </c>
      <c r="N3321" s="334" t="str">
        <f>"(10)"</f>
        <v>(10)</v>
      </c>
      <c r="O3321" s="334" t="str">
        <f>"(11=5+7+8+9+10)"</f>
        <v>(11=5+7+8+9+10)</v>
      </c>
    </row>
    <row r="3322" spans="1:16">
      <c r="D3322" s="361" t="s">
        <v>320</v>
      </c>
      <c r="E3322" s="361" t="s">
        <v>320</v>
      </c>
      <c r="F3322" s="361" t="s">
        <v>320</v>
      </c>
      <c r="G3322" s="361" t="s">
        <v>320</v>
      </c>
      <c r="I3322" s="334" t="s">
        <v>320</v>
      </c>
      <c r="J3322" s="334" t="s">
        <v>529</v>
      </c>
      <c r="K3322" s="334" t="s">
        <v>320</v>
      </c>
      <c r="L3322" s="334" t="s">
        <v>320</v>
      </c>
      <c r="M3322" s="334" t="s">
        <v>320</v>
      </c>
      <c r="N3322" s="334" t="s">
        <v>320</v>
      </c>
      <c r="O3322" s="334" t="s">
        <v>320</v>
      </c>
    </row>
    <row r="3323" spans="1:16">
      <c r="A3323" s="361">
        <v>1</v>
      </c>
      <c r="B3323" s="362" t="s">
        <v>373</v>
      </c>
      <c r="D3323" s="361"/>
      <c r="E3323" s="361"/>
      <c r="F3323" s="361"/>
      <c r="G3323" s="361"/>
      <c r="I3323" s="334"/>
      <c r="J3323" s="334"/>
      <c r="K3323" s="334"/>
      <c r="L3323" s="334"/>
      <c r="M3323" s="334"/>
      <c r="N3323" s="334"/>
      <c r="O3323" s="334"/>
    </row>
    <row r="3324" spans="1:16">
      <c r="A3324" s="361">
        <f>A3323+1</f>
        <v>2</v>
      </c>
      <c r="B3324" s="365">
        <v>301</v>
      </c>
      <c r="C3324" s="358" t="s">
        <v>374</v>
      </c>
      <c r="D3324" s="1243">
        <f t="shared" ref="D3324:D3329" si="623">G3210</f>
        <v>521.20000000000005</v>
      </c>
      <c r="E3324" s="1243">
        <v>0</v>
      </c>
      <c r="F3324" s="1243">
        <v>0</v>
      </c>
      <c r="G3324" s="1243">
        <f t="shared" ref="G3324:G3329" si="624">SUM(D3324:F3324)</f>
        <v>521.20000000000005</v>
      </c>
      <c r="H3324" s="1243"/>
      <c r="I3324" s="1243">
        <f t="shared" ref="I3324:I3329" si="625">O3210</f>
        <v>0</v>
      </c>
      <c r="J3324" s="375" t="str">
        <f>$J$1614</f>
        <v>Amort.</v>
      </c>
      <c r="K3324" s="1243">
        <v>0</v>
      </c>
      <c r="L3324" s="1243">
        <v>0</v>
      </c>
      <c r="M3324" s="1243">
        <f t="shared" ref="M3324:M3329" si="626">F3324</f>
        <v>0</v>
      </c>
      <c r="N3324" s="1243">
        <v>0</v>
      </c>
      <c r="O3324" s="1243">
        <f t="shared" ref="O3324:O3329" si="627">I3324+K3324+L3324+M3324+N3324</f>
        <v>0</v>
      </c>
    </row>
    <row r="3325" spans="1:16">
      <c r="A3325" s="361">
        <f t="shared" ref="A3325:A3330" si="628">A3324+1</f>
        <v>3</v>
      </c>
      <c r="B3325" s="365">
        <v>303</v>
      </c>
      <c r="C3325" s="358" t="s">
        <v>375</v>
      </c>
      <c r="D3325" s="1243">
        <f t="shared" si="623"/>
        <v>96334.51</v>
      </c>
      <c r="E3325" s="1243">
        <v>0</v>
      </c>
      <c r="F3325" s="1243">
        <f>-'WPB-2.1.E Intangibles'!J40</f>
        <v>-15187.61</v>
      </c>
      <c r="G3325" s="1243">
        <f t="shared" si="624"/>
        <v>81146.899999999994</v>
      </c>
      <c r="H3325" s="1243"/>
      <c r="I3325" s="1243">
        <f t="shared" si="625"/>
        <v>83390.438791666791</v>
      </c>
      <c r="J3325" s="375" t="str">
        <f>$J$1615</f>
        <v>Amort.</v>
      </c>
      <c r="K3325" s="1243">
        <f>+'WPB-2.1.E Intangibles'!J53</f>
        <v>225.41</v>
      </c>
      <c r="L3325" s="1243">
        <v>0</v>
      </c>
      <c r="M3325" s="1243">
        <f t="shared" si="626"/>
        <v>-15187.61</v>
      </c>
      <c r="N3325" s="1243">
        <v>0</v>
      </c>
      <c r="O3325" s="1243">
        <f t="shared" si="627"/>
        <v>68428.238791666794</v>
      </c>
    </row>
    <row r="3326" spans="1:16">
      <c r="A3326" s="361">
        <f t="shared" si="628"/>
        <v>4</v>
      </c>
      <c r="B3326" s="365">
        <v>303.10000000000002</v>
      </c>
      <c r="C3326" s="358" t="s">
        <v>376</v>
      </c>
      <c r="D3326" s="1243">
        <f t="shared" si="623"/>
        <v>943.27</v>
      </c>
      <c r="E3326" s="1243">
        <v>0</v>
      </c>
      <c r="F3326" s="1243">
        <v>0</v>
      </c>
      <c r="G3326" s="1243">
        <f t="shared" si="624"/>
        <v>943.27</v>
      </c>
      <c r="H3326" s="1243"/>
      <c r="I3326" s="1243">
        <f t="shared" si="625"/>
        <v>318.35000000000008</v>
      </c>
      <c r="J3326" s="375" t="str">
        <f>$J$1616</f>
        <v>Amort.</v>
      </c>
      <c r="K3326" s="1243">
        <v>0</v>
      </c>
      <c r="L3326" s="1243">
        <v>0</v>
      </c>
      <c r="M3326" s="1243">
        <f t="shared" si="626"/>
        <v>0</v>
      </c>
      <c r="N3326" s="1243">
        <v>0</v>
      </c>
      <c r="O3326" s="1243">
        <f t="shared" si="627"/>
        <v>318.35000000000008</v>
      </c>
    </row>
    <row r="3327" spans="1:16">
      <c r="A3327" s="361">
        <f t="shared" si="628"/>
        <v>5</v>
      </c>
      <c r="B3327" s="365">
        <v>303.2</v>
      </c>
      <c r="C3327" s="358" t="s">
        <v>377</v>
      </c>
      <c r="D3327" s="1243">
        <f t="shared" si="623"/>
        <v>0</v>
      </c>
      <c r="E3327" s="1243">
        <v>0</v>
      </c>
      <c r="F3327" s="1243">
        <v>0</v>
      </c>
      <c r="G3327" s="1243">
        <f t="shared" si="624"/>
        <v>0</v>
      </c>
      <c r="H3327" s="1243"/>
      <c r="I3327" s="1243">
        <f t="shared" si="625"/>
        <v>0</v>
      </c>
      <c r="J3327" s="375" t="str">
        <f>$J$1617</f>
        <v>Amort.</v>
      </c>
      <c r="K3327" s="1243">
        <v>0</v>
      </c>
      <c r="L3327" s="1243">
        <v>0</v>
      </c>
      <c r="M3327" s="1243">
        <f t="shared" si="626"/>
        <v>0</v>
      </c>
      <c r="N3327" s="1243">
        <v>0</v>
      </c>
      <c r="O3327" s="1243">
        <f t="shared" si="627"/>
        <v>0</v>
      </c>
    </row>
    <row r="3328" spans="1:16">
      <c r="A3328" s="361">
        <f t="shared" si="628"/>
        <v>6</v>
      </c>
      <c r="B3328" s="365">
        <v>303.3</v>
      </c>
      <c r="C3328" s="358" t="s">
        <v>378</v>
      </c>
      <c r="D3328" s="1243">
        <f t="shared" si="623"/>
        <v>16006647.065399013</v>
      </c>
      <c r="E3328" s="1243">
        <f>+'WPB-2.1.E Intangibles'!J26</f>
        <v>1169581.6156500001</v>
      </c>
      <c r="F3328" s="1243">
        <f>-'WPB-2.1.E Intangibles'!J41</f>
        <v>-48469.320000000007</v>
      </c>
      <c r="G3328" s="1243">
        <f t="shared" si="624"/>
        <v>17127759.361049011</v>
      </c>
      <c r="H3328" s="1243"/>
      <c r="I3328" s="1243">
        <f t="shared" si="625"/>
        <v>6428951.2504581343</v>
      </c>
      <c r="J3328" s="375" t="str">
        <f>$J$1618</f>
        <v>Amort.</v>
      </c>
      <c r="K3328" s="1243">
        <f>+'WPB-2.1.E Intangibles'!J54</f>
        <v>251835.54168457788</v>
      </c>
      <c r="L3328" s="1243">
        <v>0</v>
      </c>
      <c r="M3328" s="1243">
        <f t="shared" si="626"/>
        <v>-48469.320000000007</v>
      </c>
      <c r="N3328" s="1243">
        <v>0</v>
      </c>
      <c r="O3328" s="1243">
        <f t="shared" si="627"/>
        <v>6632317.4721427122</v>
      </c>
    </row>
    <row r="3329" spans="1:15">
      <c r="A3329" s="361">
        <f t="shared" si="628"/>
        <v>7</v>
      </c>
      <c r="B3329" s="365">
        <v>303.99</v>
      </c>
      <c r="C3329" s="358" t="s">
        <v>1129</v>
      </c>
      <c r="D3329" s="1244">
        <f t="shared" si="623"/>
        <v>4305628.4381271843</v>
      </c>
      <c r="E3329" s="1244">
        <f>+'WPB-2.1.E Intangibles'!J30</f>
        <v>17690.72153699537</v>
      </c>
      <c r="F3329" s="1244">
        <f>-'WPB-2.1.E Intangibles'!J42</f>
        <v>0</v>
      </c>
      <c r="G3329" s="1244">
        <f t="shared" si="624"/>
        <v>4323319.1596641792</v>
      </c>
      <c r="H3329" s="1243"/>
      <c r="I3329" s="1244">
        <f t="shared" si="625"/>
        <v>1274717.8513774176</v>
      </c>
      <c r="J3329" s="375" t="str">
        <f>$J$1619</f>
        <v>Amort.</v>
      </c>
      <c r="K3329" s="1244">
        <f>+'WPB-2.1.E Intangibles'!J55</f>
        <v>61722.605967722164</v>
      </c>
      <c r="L3329" s="1244">
        <v>0</v>
      </c>
      <c r="M3329" s="1244">
        <f t="shared" si="626"/>
        <v>0</v>
      </c>
      <c r="N3329" s="1244">
        <v>0</v>
      </c>
      <c r="O3329" s="1244">
        <f t="shared" si="627"/>
        <v>1336440.4573451397</v>
      </c>
    </row>
    <row r="3330" spans="1:15">
      <c r="A3330" s="361">
        <f t="shared" si="628"/>
        <v>8</v>
      </c>
      <c r="B3330" s="367"/>
      <c r="C3330" s="358" t="s">
        <v>379</v>
      </c>
      <c r="D3330" s="1243">
        <f>SUM(D3324:D3329)</f>
        <v>20410074.4835262</v>
      </c>
      <c r="E3330" s="1243">
        <f>SUM(E3324:E3329)</f>
        <v>1187272.3371869954</v>
      </c>
      <c r="F3330" s="1243">
        <f>SUM(F3324:F3329)</f>
        <v>-63656.930000000008</v>
      </c>
      <c r="G3330" s="1243">
        <f>SUM(G3324:G3329)</f>
        <v>21533689.890713193</v>
      </c>
      <c r="H3330" s="1243"/>
      <c r="I3330" s="1243">
        <f>SUM(I3324:I3329)</f>
        <v>7787377.8906272184</v>
      </c>
      <c r="J3330" s="369"/>
      <c r="K3330" s="1243">
        <f>SUM(K3324:K3329)</f>
        <v>313783.55765230005</v>
      </c>
      <c r="L3330" s="1243">
        <f>SUM(L3324:L3329)</f>
        <v>0</v>
      </c>
      <c r="M3330" s="1243">
        <f>SUM(M3324:M3329)</f>
        <v>-63656.930000000008</v>
      </c>
      <c r="N3330" s="1243">
        <f>SUM(N3324:N3329)</f>
        <v>0</v>
      </c>
      <c r="O3330" s="1243">
        <f>SUM(O3324:O3329)</f>
        <v>8037504.5182795189</v>
      </c>
    </row>
    <row r="3331" spans="1:15">
      <c r="A3331" s="361"/>
      <c r="B3331" s="367"/>
      <c r="C3331" s="368"/>
      <c r="D3331" s="1243"/>
      <c r="E3331" s="1243"/>
      <c r="F3331" s="1243"/>
      <c r="G3331" s="1243"/>
      <c r="H3331" s="1243"/>
      <c r="I3331" s="1243"/>
      <c r="J3331" s="369"/>
      <c r="K3331" s="1243"/>
      <c r="L3331" s="1243"/>
      <c r="M3331" s="1243"/>
      <c r="N3331" s="1243"/>
      <c r="O3331" s="1243"/>
    </row>
    <row r="3332" spans="1:15">
      <c r="A3332" s="361">
        <f>A3330+1</f>
        <v>9</v>
      </c>
      <c r="B3332" s="362" t="s">
        <v>1600</v>
      </c>
      <c r="C3332" s="368"/>
      <c r="D3332" s="1243"/>
      <c r="E3332" s="1243"/>
      <c r="F3332" s="1243"/>
      <c r="G3332" s="1243"/>
      <c r="H3332" s="1243"/>
      <c r="I3332" s="1243"/>
      <c r="J3332" s="369"/>
      <c r="K3332" s="1243"/>
      <c r="L3332" s="1243"/>
      <c r="M3332" s="1243"/>
      <c r="N3332" s="1243"/>
      <c r="O3332" s="1243"/>
    </row>
    <row r="3333" spans="1:15">
      <c r="A3333" s="361">
        <f t="shared" ref="A3333:A3363" si="629">A3332+1</f>
        <v>10</v>
      </c>
      <c r="B3333" s="365">
        <v>374.1</v>
      </c>
      <c r="C3333" s="358" t="s">
        <v>382</v>
      </c>
      <c r="D3333" s="1243">
        <f t="shared" ref="D3333:D3362" si="630">G3219</f>
        <v>205.4</v>
      </c>
      <c r="E3333" s="1243">
        <v>0</v>
      </c>
      <c r="F3333" s="1243">
        <v>0</v>
      </c>
      <c r="G3333" s="1243">
        <f>SUM(D3333:F3333)</f>
        <v>205.4</v>
      </c>
      <c r="H3333" s="1243"/>
      <c r="I3333" s="1243">
        <f t="shared" ref="I3333:I3362" si="631">O3219</f>
        <v>0</v>
      </c>
      <c r="J3333" s="375" t="str">
        <f>$J$1623</f>
        <v>Non-Dep.</v>
      </c>
      <c r="K3333" s="1243">
        <v>0</v>
      </c>
      <c r="L3333" s="1243">
        <v>0</v>
      </c>
      <c r="M3333" s="1243">
        <f t="shared" ref="M3333:M3362" si="632">F3333</f>
        <v>0</v>
      </c>
      <c r="N3333" s="1243">
        <v>0</v>
      </c>
      <c r="O3333" s="1243">
        <f t="shared" ref="O3333:O3362" si="633">I3333+K3333+L3333+M3333+N3333</f>
        <v>0</v>
      </c>
    </row>
    <row r="3334" spans="1:15">
      <c r="A3334" s="361">
        <f t="shared" si="629"/>
        <v>11</v>
      </c>
      <c r="B3334" s="365">
        <v>374.2</v>
      </c>
      <c r="C3334" s="358" t="s">
        <v>383</v>
      </c>
      <c r="D3334" s="1243">
        <f t="shared" si="630"/>
        <v>876986.66</v>
      </c>
      <c r="E3334" s="1243">
        <v>0</v>
      </c>
      <c r="F3334" s="1243">
        <v>0</v>
      </c>
      <c r="G3334" s="1243">
        <f t="shared" ref="G3334:G3362" si="634">SUM(D3334:F3334)</f>
        <v>876986.66</v>
      </c>
      <c r="H3334" s="1243"/>
      <c r="I3334" s="1243">
        <f t="shared" si="631"/>
        <v>-522.25</v>
      </c>
      <c r="J3334" s="375" t="str">
        <f>$J$1624</f>
        <v>Non-Dep.</v>
      </c>
      <c r="K3334" s="1243">
        <v>0</v>
      </c>
      <c r="L3334" s="1243">
        <v>0</v>
      </c>
      <c r="M3334" s="1243">
        <f t="shared" si="632"/>
        <v>0</v>
      </c>
      <c r="N3334" s="1243">
        <v>0</v>
      </c>
      <c r="O3334" s="1243">
        <f t="shared" si="633"/>
        <v>-522.25</v>
      </c>
    </row>
    <row r="3335" spans="1:15">
      <c r="A3335" s="361">
        <f t="shared" si="629"/>
        <v>12</v>
      </c>
      <c r="B3335" s="365">
        <v>374.4</v>
      </c>
      <c r="C3335" s="358" t="s">
        <v>384</v>
      </c>
      <c r="D3335" s="1243">
        <f t="shared" si="630"/>
        <v>3147483.7200000007</v>
      </c>
      <c r="E3335" s="1243">
        <v>1.03</v>
      </c>
      <c r="F3335" s="1243">
        <v>0</v>
      </c>
      <c r="G3335" s="1243">
        <f t="shared" si="634"/>
        <v>3147484.7500000005</v>
      </c>
      <c r="H3335" s="1243"/>
      <c r="I3335" s="1243">
        <f t="shared" si="631"/>
        <v>406846.77</v>
      </c>
      <c r="J3335" s="376">
        <f t="shared" ref="J3335:J3362" si="635">+J3221</f>
        <v>1.3299999999999999E-2</v>
      </c>
      <c r="K3335" s="1243">
        <f t="shared" ref="K3335:K3341" si="636">ROUND((G3335+D3335)/2*J3335/12,0)</f>
        <v>3488</v>
      </c>
      <c r="L3335" s="1243">
        <v>0</v>
      </c>
      <c r="M3335" s="1243">
        <f t="shared" si="632"/>
        <v>0</v>
      </c>
      <c r="N3335" s="1243">
        <v>0</v>
      </c>
      <c r="O3335" s="1243">
        <f t="shared" si="633"/>
        <v>410334.77</v>
      </c>
    </row>
    <row r="3336" spans="1:15">
      <c r="A3336" s="361">
        <f t="shared" si="629"/>
        <v>13</v>
      </c>
      <c r="B3336" s="365">
        <v>374.5</v>
      </c>
      <c r="C3336" s="358" t="s">
        <v>385</v>
      </c>
      <c r="D3336" s="1243">
        <f t="shared" si="630"/>
        <v>2666577.16</v>
      </c>
      <c r="E3336" s="1243">
        <v>0</v>
      </c>
      <c r="F3336" s="1243">
        <v>0</v>
      </c>
      <c r="G3336" s="1243">
        <f t="shared" si="634"/>
        <v>2666577.16</v>
      </c>
      <c r="H3336" s="1243"/>
      <c r="I3336" s="1243">
        <f t="shared" si="631"/>
        <v>1197848.1900000013</v>
      </c>
      <c r="J3336" s="376">
        <f t="shared" si="635"/>
        <v>1.0999999999999999E-2</v>
      </c>
      <c r="K3336" s="1243">
        <f t="shared" si="636"/>
        <v>2444</v>
      </c>
      <c r="L3336" s="1243">
        <v>0</v>
      </c>
      <c r="M3336" s="1243">
        <f t="shared" si="632"/>
        <v>0</v>
      </c>
      <c r="N3336" s="1243">
        <v>0</v>
      </c>
      <c r="O3336" s="1243">
        <f t="shared" si="633"/>
        <v>1200292.1900000013</v>
      </c>
    </row>
    <row r="3337" spans="1:15">
      <c r="A3337" s="361">
        <f t="shared" si="629"/>
        <v>14</v>
      </c>
      <c r="B3337" s="365">
        <v>375.2</v>
      </c>
      <c r="C3337" s="358" t="s">
        <v>386</v>
      </c>
      <c r="D3337" s="1243">
        <f t="shared" si="630"/>
        <v>2124.98</v>
      </c>
      <c r="E3337" s="1243">
        <v>0</v>
      </c>
      <c r="F3337" s="1243">
        <v>0</v>
      </c>
      <c r="G3337" s="1243">
        <f t="shared" si="634"/>
        <v>2124.98</v>
      </c>
      <c r="H3337" s="1243"/>
      <c r="I3337" s="1243">
        <f t="shared" si="631"/>
        <v>2123.3000000000002</v>
      </c>
      <c r="J3337" s="376">
        <f t="shared" si="635"/>
        <v>2.3900000000000001E-2</v>
      </c>
      <c r="K3337" s="1243">
        <f t="shared" si="636"/>
        <v>4</v>
      </c>
      <c r="L3337" s="1243">
        <v>0</v>
      </c>
      <c r="M3337" s="1243">
        <f t="shared" si="632"/>
        <v>0</v>
      </c>
      <c r="N3337" s="1243">
        <v>0</v>
      </c>
      <c r="O3337" s="1243">
        <f t="shared" si="633"/>
        <v>2127.3000000000002</v>
      </c>
    </row>
    <row r="3338" spans="1:15">
      <c r="A3338" s="361">
        <f t="shared" si="629"/>
        <v>15</v>
      </c>
      <c r="B3338" s="365">
        <v>375.3</v>
      </c>
      <c r="C3338" s="358" t="s">
        <v>387</v>
      </c>
      <c r="D3338" s="1243">
        <f t="shared" si="630"/>
        <v>0</v>
      </c>
      <c r="E3338" s="1243">
        <v>0</v>
      </c>
      <c r="F3338" s="1243">
        <v>0</v>
      </c>
      <c r="G3338" s="1243">
        <f t="shared" si="634"/>
        <v>0</v>
      </c>
      <c r="H3338" s="1243"/>
      <c r="I3338" s="1243">
        <f t="shared" si="631"/>
        <v>-77.66</v>
      </c>
      <c r="J3338" s="376">
        <f t="shared" si="635"/>
        <v>2.3900000000000001E-2</v>
      </c>
      <c r="K3338" s="1243">
        <f t="shared" si="636"/>
        <v>0</v>
      </c>
      <c r="L3338" s="1243">
        <v>0</v>
      </c>
      <c r="M3338" s="1243">
        <f t="shared" si="632"/>
        <v>0</v>
      </c>
      <c r="N3338" s="1243">
        <v>0</v>
      </c>
      <c r="O3338" s="1243">
        <f t="shared" si="633"/>
        <v>-77.66</v>
      </c>
    </row>
    <row r="3339" spans="1:15">
      <c r="A3339" s="361">
        <f t="shared" si="629"/>
        <v>16</v>
      </c>
      <c r="B3339" s="365">
        <v>375.4</v>
      </c>
      <c r="C3339" s="358" t="s">
        <v>388</v>
      </c>
      <c r="D3339" s="1243">
        <f t="shared" si="630"/>
        <v>4087144.7099999986</v>
      </c>
      <c r="E3339" s="1243">
        <v>62742.59</v>
      </c>
      <c r="F3339" s="1243">
        <v>0</v>
      </c>
      <c r="G3339" s="1243">
        <f t="shared" si="634"/>
        <v>4149887.2999999984</v>
      </c>
      <c r="H3339" s="1243"/>
      <c r="I3339" s="1243">
        <f t="shared" si="631"/>
        <v>40938.810000000172</v>
      </c>
      <c r="J3339" s="376">
        <f t="shared" si="635"/>
        <v>2.3900000000000001E-2</v>
      </c>
      <c r="K3339" s="1243">
        <f t="shared" si="636"/>
        <v>8203</v>
      </c>
      <c r="L3339" s="1243">
        <v>0</v>
      </c>
      <c r="M3339" s="1243">
        <f t="shared" si="632"/>
        <v>0</v>
      </c>
      <c r="N3339" s="1243">
        <v>0</v>
      </c>
      <c r="O3339" s="1243">
        <f t="shared" si="633"/>
        <v>49141.810000000172</v>
      </c>
    </row>
    <row r="3340" spans="1:15">
      <c r="A3340" s="361">
        <f t="shared" si="629"/>
        <v>17</v>
      </c>
      <c r="B3340" s="365">
        <v>375.6</v>
      </c>
      <c r="C3340" s="358" t="s">
        <v>389</v>
      </c>
      <c r="D3340" s="1243">
        <f t="shared" si="630"/>
        <v>0</v>
      </c>
      <c r="E3340" s="1243">
        <v>0</v>
      </c>
      <c r="F3340" s="1243">
        <v>0</v>
      </c>
      <c r="G3340" s="1243">
        <f t="shared" si="634"/>
        <v>0</v>
      </c>
      <c r="H3340" s="1243"/>
      <c r="I3340" s="1243">
        <f t="shared" si="631"/>
        <v>0.02</v>
      </c>
      <c r="J3340" s="376">
        <f t="shared" si="635"/>
        <v>2.3900000000000001E-2</v>
      </c>
      <c r="K3340" s="1243">
        <f t="shared" si="636"/>
        <v>0</v>
      </c>
      <c r="L3340" s="1243">
        <v>0</v>
      </c>
      <c r="M3340" s="1243">
        <f t="shared" si="632"/>
        <v>0</v>
      </c>
      <c r="N3340" s="1243">
        <v>0</v>
      </c>
      <c r="O3340" s="1243">
        <f t="shared" si="633"/>
        <v>0.02</v>
      </c>
    </row>
    <row r="3341" spans="1:15">
      <c r="A3341" s="361">
        <f t="shared" si="629"/>
        <v>18</v>
      </c>
      <c r="B3341" s="365">
        <v>375.7</v>
      </c>
      <c r="C3341" s="358" t="s">
        <v>390</v>
      </c>
      <c r="D3341" s="1243">
        <f t="shared" si="630"/>
        <v>9703438.9499999993</v>
      </c>
      <c r="E3341" s="1243">
        <v>0</v>
      </c>
      <c r="F3341" s="1243">
        <v>0</v>
      </c>
      <c r="G3341" s="1243">
        <f t="shared" si="634"/>
        <v>9703438.9499999993</v>
      </c>
      <c r="H3341" s="1243"/>
      <c r="I3341" s="1243">
        <f t="shared" si="631"/>
        <v>5010920.8699999982</v>
      </c>
      <c r="J3341" s="376">
        <f t="shared" si="635"/>
        <v>2.5100000000000001E-2</v>
      </c>
      <c r="K3341" s="1243">
        <f t="shared" si="636"/>
        <v>20296</v>
      </c>
      <c r="L3341" s="1243">
        <v>0</v>
      </c>
      <c r="M3341" s="1243">
        <f t="shared" si="632"/>
        <v>0</v>
      </c>
      <c r="N3341" s="1243">
        <v>0</v>
      </c>
      <c r="O3341" s="1243">
        <f t="shared" si="633"/>
        <v>5031216.8699999982</v>
      </c>
    </row>
    <row r="3342" spans="1:15">
      <c r="A3342" s="361">
        <f t="shared" si="629"/>
        <v>19</v>
      </c>
      <c r="B3342" s="365">
        <v>375.71</v>
      </c>
      <c r="C3342" s="358" t="s">
        <v>391</v>
      </c>
      <c r="D3342" s="1243">
        <f t="shared" si="630"/>
        <v>880994.59</v>
      </c>
      <c r="E3342" s="1243">
        <v>0</v>
      </c>
      <c r="F3342" s="1243">
        <v>0</v>
      </c>
      <c r="G3342" s="1243">
        <f t="shared" si="634"/>
        <v>880994.59</v>
      </c>
      <c r="H3342" s="1243"/>
      <c r="I3342" s="1243">
        <f t="shared" si="631"/>
        <v>839603.30000000098</v>
      </c>
      <c r="J3342" s="376" t="str">
        <f t="shared" si="635"/>
        <v>Amort.</v>
      </c>
      <c r="K3342" s="1243">
        <f>$K$1290</f>
        <v>4743.54</v>
      </c>
      <c r="L3342" s="1243">
        <v>0</v>
      </c>
      <c r="M3342" s="1243">
        <f t="shared" si="632"/>
        <v>0</v>
      </c>
      <c r="N3342" s="1243">
        <v>0</v>
      </c>
      <c r="O3342" s="1243">
        <f t="shared" si="633"/>
        <v>844346.84000000102</v>
      </c>
    </row>
    <row r="3343" spans="1:15">
      <c r="A3343" s="361">
        <f t="shared" si="629"/>
        <v>20</v>
      </c>
      <c r="B3343" s="365">
        <v>375.8</v>
      </c>
      <c r="C3343" s="358" t="s">
        <v>392</v>
      </c>
      <c r="D3343" s="1243">
        <f t="shared" si="630"/>
        <v>132125.04</v>
      </c>
      <c r="E3343" s="1243">
        <v>0</v>
      </c>
      <c r="F3343" s="1243">
        <v>0</v>
      </c>
      <c r="G3343" s="1243">
        <f t="shared" si="634"/>
        <v>132125.04</v>
      </c>
      <c r="H3343" s="1243"/>
      <c r="I3343" s="1243">
        <f t="shared" si="631"/>
        <v>15708.43</v>
      </c>
      <c r="J3343" s="376">
        <f t="shared" si="635"/>
        <v>2.1100000000000001E-2</v>
      </c>
      <c r="K3343" s="1243">
        <f t="shared" ref="K3343:K3362" si="637">ROUND((G3343+D3343)/2*J3343/12,0)</f>
        <v>232</v>
      </c>
      <c r="L3343" s="1243">
        <v>0</v>
      </c>
      <c r="M3343" s="1243">
        <f t="shared" si="632"/>
        <v>0</v>
      </c>
      <c r="N3343" s="1243">
        <v>0</v>
      </c>
      <c r="O3343" s="1243">
        <f t="shared" si="633"/>
        <v>15940.43</v>
      </c>
    </row>
    <row r="3344" spans="1:15">
      <c r="A3344" s="361">
        <f t="shared" si="629"/>
        <v>21</v>
      </c>
      <c r="B3344" s="365">
        <v>376</v>
      </c>
      <c r="C3344" s="358" t="s">
        <v>1621</v>
      </c>
      <c r="D3344" s="1243">
        <f t="shared" si="630"/>
        <v>422928471.71536326</v>
      </c>
      <c r="E3344" s="1243">
        <f>'WPB-2.1.D SMRP'!E1361</f>
        <v>352587.60458529065</v>
      </c>
      <c r="F3344" s="1243">
        <f>'WPB-2.1.D SMRP'!F1361</f>
        <v>-51819.03</v>
      </c>
      <c r="G3344" s="1243">
        <f t="shared" si="634"/>
        <v>423229240.28994858</v>
      </c>
      <c r="H3344" s="1243"/>
      <c r="I3344" s="1243">
        <f t="shared" si="631"/>
        <v>89086528.751210779</v>
      </c>
      <c r="J3344" s="376">
        <f t="shared" si="635"/>
        <v>1.7999999999999999E-2</v>
      </c>
      <c r="K3344" s="1243">
        <f>'WPB-2.1.D SMRP'!K1361</f>
        <v>634618.73</v>
      </c>
      <c r="L3344" s="1243">
        <v>0</v>
      </c>
      <c r="M3344" s="1243">
        <f>F3344</f>
        <v>-51819.03</v>
      </c>
      <c r="N3344" s="1243">
        <f>'WPB-2.1.D SMRP'!N1361</f>
        <v>-9861.7674889751052</v>
      </c>
      <c r="O3344" s="1243">
        <f t="shared" si="633"/>
        <v>89659466.683721811</v>
      </c>
    </row>
    <row r="3345" spans="1:15">
      <c r="A3345" s="361">
        <f t="shared" si="629"/>
        <v>22</v>
      </c>
      <c r="B3345" s="365">
        <v>378.1</v>
      </c>
      <c r="C3345" s="358" t="s">
        <v>394</v>
      </c>
      <c r="D3345" s="1243">
        <f t="shared" si="630"/>
        <v>-172291.25</v>
      </c>
      <c r="E3345" s="1243">
        <v>0</v>
      </c>
      <c r="F3345" s="1243">
        <v>0</v>
      </c>
      <c r="G3345" s="1243">
        <f t="shared" si="634"/>
        <v>-172291.25</v>
      </c>
      <c r="H3345" s="1243"/>
      <c r="I3345" s="1243">
        <f t="shared" si="631"/>
        <v>-329994.52000000008</v>
      </c>
      <c r="J3345" s="376">
        <f t="shared" si="635"/>
        <v>3.3099999999999997E-2</v>
      </c>
      <c r="K3345" s="1243">
        <f t="shared" si="637"/>
        <v>-475</v>
      </c>
      <c r="L3345" s="1243">
        <v>0</v>
      </c>
      <c r="M3345" s="1243">
        <f t="shared" si="632"/>
        <v>0</v>
      </c>
      <c r="N3345" s="1243">
        <v>0</v>
      </c>
      <c r="O3345" s="1243">
        <f t="shared" si="633"/>
        <v>-330469.52000000008</v>
      </c>
    </row>
    <row r="3346" spans="1:15">
      <c r="A3346" s="361">
        <f t="shared" si="629"/>
        <v>23</v>
      </c>
      <c r="B3346" s="365">
        <v>378.2</v>
      </c>
      <c r="C3346" s="358" t="s">
        <v>1622</v>
      </c>
      <c r="D3346" s="1243">
        <f t="shared" si="630"/>
        <v>29732605.019094974</v>
      </c>
      <c r="E3346" s="1243">
        <f>'WPB-2.1.D SMRP'!E1365</f>
        <v>58565.125506146236</v>
      </c>
      <c r="F3346" s="1243">
        <f>'WPB-2.1.D SMRP'!F1365</f>
        <v>0</v>
      </c>
      <c r="G3346" s="1243">
        <f t="shared" si="634"/>
        <v>29791170.144601122</v>
      </c>
      <c r="H3346" s="1243"/>
      <c r="I3346" s="1243">
        <f t="shared" si="631"/>
        <v>3296036.4809178663</v>
      </c>
      <c r="J3346" s="376">
        <f t="shared" si="635"/>
        <v>3.3099999999999997E-2</v>
      </c>
      <c r="K3346" s="1243">
        <f>'WPB-2.1.D SMRP'!K1365</f>
        <v>82093.61</v>
      </c>
      <c r="L3346" s="1243">
        <v>0</v>
      </c>
      <c r="M3346" s="1243">
        <f>F3346</f>
        <v>0</v>
      </c>
      <c r="N3346" s="1243">
        <f>'WPB-2.1.D SMRP'!N1365</f>
        <v>-7731.9958448987218</v>
      </c>
      <c r="O3346" s="1243">
        <f t="shared" si="633"/>
        <v>3370398.0950729675</v>
      </c>
    </row>
    <row r="3347" spans="1:15">
      <c r="A3347" s="361">
        <f t="shared" si="629"/>
        <v>24</v>
      </c>
      <c r="B3347" s="365">
        <v>378.3</v>
      </c>
      <c r="C3347" s="358" t="s">
        <v>396</v>
      </c>
      <c r="D3347" s="1243">
        <f t="shared" si="630"/>
        <v>45443.08</v>
      </c>
      <c r="E3347" s="1243">
        <v>0</v>
      </c>
      <c r="F3347" s="1243">
        <v>0</v>
      </c>
      <c r="G3347" s="1243">
        <f t="shared" si="634"/>
        <v>45443.08</v>
      </c>
      <c r="H3347" s="1243"/>
      <c r="I3347" s="1243">
        <f t="shared" si="631"/>
        <v>44933.320000000007</v>
      </c>
      <c r="J3347" s="376">
        <f t="shared" si="635"/>
        <v>3.3099999999999997E-2</v>
      </c>
      <c r="K3347" s="1243">
        <f t="shared" si="637"/>
        <v>125</v>
      </c>
      <c r="L3347" s="1243">
        <v>0</v>
      </c>
      <c r="M3347" s="1243">
        <f t="shared" si="632"/>
        <v>0</v>
      </c>
      <c r="N3347" s="1243">
        <v>0</v>
      </c>
      <c r="O3347" s="1243">
        <f t="shared" si="633"/>
        <v>45058.320000000007</v>
      </c>
    </row>
    <row r="3348" spans="1:15">
      <c r="A3348" s="361">
        <f t="shared" si="629"/>
        <v>25</v>
      </c>
      <c r="B3348" s="365">
        <v>379.1</v>
      </c>
      <c r="C3348" s="358" t="s">
        <v>397</v>
      </c>
      <c r="D3348" s="1243">
        <f t="shared" si="630"/>
        <v>1554144.06</v>
      </c>
      <c r="E3348" s="1243">
        <v>0</v>
      </c>
      <c r="F3348" s="1243">
        <v>0</v>
      </c>
      <c r="G3348" s="1243">
        <f t="shared" si="634"/>
        <v>1554144.06</v>
      </c>
      <c r="H3348" s="1243"/>
      <c r="I3348" s="1243">
        <f t="shared" si="631"/>
        <v>405443.19000000006</v>
      </c>
      <c r="J3348" s="376">
        <f t="shared" si="635"/>
        <v>2.5399999999999999E-2</v>
      </c>
      <c r="K3348" s="1243">
        <f t="shared" si="637"/>
        <v>3290</v>
      </c>
      <c r="L3348" s="1243">
        <v>0</v>
      </c>
      <c r="M3348" s="1243">
        <f t="shared" si="632"/>
        <v>0</v>
      </c>
      <c r="N3348" s="1243">
        <v>0</v>
      </c>
      <c r="O3348" s="1243">
        <f t="shared" si="633"/>
        <v>408733.19000000006</v>
      </c>
    </row>
    <row r="3349" spans="1:15">
      <c r="A3349" s="361">
        <f t="shared" si="629"/>
        <v>26</v>
      </c>
      <c r="B3349" s="365">
        <v>380</v>
      </c>
      <c r="C3349" s="358" t="s">
        <v>1623</v>
      </c>
      <c r="D3349" s="1243">
        <f t="shared" si="630"/>
        <v>206484033.26296312</v>
      </c>
      <c r="E3349" s="1243">
        <f>'WPB-2.1.D SMRP'!E1369</f>
        <v>519468.80102640355</v>
      </c>
      <c r="F3349" s="1243">
        <f>'WPB-2.1.D SMRP'!F1369</f>
        <v>-57169.478643513867</v>
      </c>
      <c r="G3349" s="1243">
        <f t="shared" si="634"/>
        <v>206946332.58534601</v>
      </c>
      <c r="H3349" s="1243"/>
      <c r="I3349" s="1243">
        <f t="shared" si="631"/>
        <v>70482640.795395389</v>
      </c>
      <c r="J3349" s="376">
        <f t="shared" si="635"/>
        <v>5.1799999999999999E-2</v>
      </c>
      <c r="K3349" s="1243">
        <f>'WPB-2.1.D SMRP'!K1369</f>
        <v>892320.2</v>
      </c>
      <c r="L3349" s="1243">
        <v>0</v>
      </c>
      <c r="M3349" s="1243">
        <f>F3349</f>
        <v>-57169.478643513867</v>
      </c>
      <c r="N3349" s="1243">
        <f>'WPB-2.1.D SMRP'!N1369</f>
        <v>-36728.941696309805</v>
      </c>
      <c r="O3349" s="1243">
        <f t="shared" si="633"/>
        <v>71281062.575055569</v>
      </c>
    </row>
    <row r="3350" spans="1:15">
      <c r="A3350" s="361">
        <f t="shared" si="629"/>
        <v>27</v>
      </c>
      <c r="B3350" s="365">
        <v>381</v>
      </c>
      <c r="C3350" s="358" t="s">
        <v>399</v>
      </c>
      <c r="D3350" s="1243">
        <f t="shared" si="630"/>
        <v>20690553.160000004</v>
      </c>
      <c r="E3350" s="1243">
        <v>18937.670808235256</v>
      </c>
      <c r="F3350" s="1243">
        <v>-23050.86</v>
      </c>
      <c r="G3350" s="1243">
        <f t="shared" si="634"/>
        <v>20686439.970808242</v>
      </c>
      <c r="H3350" s="1243"/>
      <c r="I3350" s="1243">
        <f t="shared" si="631"/>
        <v>1820075.4899999995</v>
      </c>
      <c r="J3350" s="376">
        <f t="shared" si="635"/>
        <v>3.5799999999999998E-2</v>
      </c>
      <c r="K3350" s="1243">
        <f t="shared" si="637"/>
        <v>61721</v>
      </c>
      <c r="L3350" s="1243">
        <v>0</v>
      </c>
      <c r="M3350" s="1243">
        <f t="shared" si="632"/>
        <v>-23050.86</v>
      </c>
      <c r="N3350" s="1243">
        <v>0</v>
      </c>
      <c r="O3350" s="1243">
        <f t="shared" si="633"/>
        <v>1858745.6299999994</v>
      </c>
    </row>
    <row r="3351" spans="1:15">
      <c r="A3351" s="361">
        <f t="shared" si="629"/>
        <v>28</v>
      </c>
      <c r="B3351" s="365">
        <v>381.1</v>
      </c>
      <c r="C3351" s="358" t="s">
        <v>2366</v>
      </c>
      <c r="D3351" s="1243">
        <f t="shared" si="630"/>
        <v>9980854.4800000004</v>
      </c>
      <c r="E3351" s="1243">
        <v>0</v>
      </c>
      <c r="F3351" s="1243">
        <v>0</v>
      </c>
      <c r="G3351" s="1243">
        <f t="shared" si="634"/>
        <v>9980854.4800000004</v>
      </c>
      <c r="H3351" s="1243"/>
      <c r="I3351" s="1243">
        <f t="shared" si="631"/>
        <v>6390042.0300000031</v>
      </c>
      <c r="J3351" s="376">
        <f t="shared" si="635"/>
        <v>6.7900000000000002E-2</v>
      </c>
      <c r="K3351" s="1243">
        <f t="shared" si="637"/>
        <v>56475</v>
      </c>
      <c r="L3351" s="1243">
        <v>0</v>
      </c>
      <c r="M3351" s="1243">
        <f t="shared" si="632"/>
        <v>0</v>
      </c>
      <c r="N3351" s="1243">
        <v>0</v>
      </c>
      <c r="O3351" s="1243">
        <f t="shared" si="633"/>
        <v>6446517.0300000031</v>
      </c>
    </row>
    <row r="3352" spans="1:15">
      <c r="A3352" s="361">
        <f t="shared" si="629"/>
        <v>29</v>
      </c>
      <c r="B3352" s="365">
        <v>382</v>
      </c>
      <c r="C3352" s="358" t="s">
        <v>1624</v>
      </c>
      <c r="D3352" s="1243">
        <f t="shared" si="630"/>
        <v>10714841.020865642</v>
      </c>
      <c r="E3352" s="1243">
        <f>'WPB-2.1.D SMRP'!E1373</f>
        <v>7349.372576651087</v>
      </c>
      <c r="F3352" s="1243">
        <f>'WPB-2.1.D SMRP'!F1373</f>
        <v>-1859.1355488753618</v>
      </c>
      <c r="G3352" s="1243">
        <f t="shared" si="634"/>
        <v>10720331.257893417</v>
      </c>
      <c r="H3352" s="1243"/>
      <c r="I3352" s="1243">
        <f t="shared" si="631"/>
        <v>6111555.6411087932</v>
      </c>
      <c r="J3352" s="376">
        <f t="shared" si="635"/>
        <v>2.2800000000000001E-2</v>
      </c>
      <c r="K3352" s="1243">
        <f>'WPB-2.1.D SMRP'!K1373</f>
        <v>20363.169999999998</v>
      </c>
      <c r="L3352" s="1243">
        <v>0</v>
      </c>
      <c r="M3352" s="1243">
        <f t="shared" si="632"/>
        <v>-1859.1355488753618</v>
      </c>
      <c r="N3352" s="1243">
        <f>'WPB-2.1.D SMRP'!N1373</f>
        <v>0</v>
      </c>
      <c r="O3352" s="1243">
        <f t="shared" si="633"/>
        <v>6130059.6755599175</v>
      </c>
    </row>
    <row r="3353" spans="1:15">
      <c r="A3353" s="361">
        <f t="shared" si="629"/>
        <v>30</v>
      </c>
      <c r="B3353" s="365">
        <v>383</v>
      </c>
      <c r="C3353" s="358" t="s">
        <v>1625</v>
      </c>
      <c r="D3353" s="1243">
        <f t="shared" si="630"/>
        <v>7715296.1357347565</v>
      </c>
      <c r="E3353" s="1243">
        <f>'WPB-2.1.D SMRP'!E1377</f>
        <v>20319.459911392663</v>
      </c>
      <c r="F3353" s="1243">
        <f>'WPB-2.1.D SMRP'!F1377</f>
        <v>-506.77106564041105</v>
      </c>
      <c r="G3353" s="1243">
        <f t="shared" si="634"/>
        <v>7735108.8245805092</v>
      </c>
      <c r="H3353" s="1243"/>
      <c r="I3353" s="1243">
        <f t="shared" si="631"/>
        <v>2694956.8890738226</v>
      </c>
      <c r="J3353" s="376">
        <f t="shared" si="635"/>
        <v>2.2200000000000001E-2</v>
      </c>
      <c r="K3353" s="1243">
        <f>'WPB-2.1.D SMRP'!K1377</f>
        <v>14291.72</v>
      </c>
      <c r="L3353" s="1243">
        <v>0</v>
      </c>
      <c r="M3353" s="1243">
        <f t="shared" si="632"/>
        <v>-506.77106564041105</v>
      </c>
      <c r="N3353" s="1243">
        <f>'WPB-2.1.D SMRP'!N1377</f>
        <v>0</v>
      </c>
      <c r="O3353" s="1243">
        <f t="shared" si="633"/>
        <v>2708741.8380081826</v>
      </c>
    </row>
    <row r="3354" spans="1:15">
      <c r="A3354" s="361">
        <f t="shared" si="629"/>
        <v>31</v>
      </c>
      <c r="B3354" s="365">
        <v>384</v>
      </c>
      <c r="C3354" s="358" t="s">
        <v>402</v>
      </c>
      <c r="D3354" s="1243">
        <f t="shared" si="630"/>
        <v>2085287.5699999998</v>
      </c>
      <c r="E3354" s="1243">
        <v>13.99</v>
      </c>
      <c r="F3354" s="1243">
        <v>0</v>
      </c>
      <c r="G3354" s="1243">
        <f t="shared" si="634"/>
        <v>2085301.5599999998</v>
      </c>
      <c r="H3354" s="1243"/>
      <c r="I3354" s="1243">
        <f t="shared" si="631"/>
        <v>1765910.1399999992</v>
      </c>
      <c r="J3354" s="376">
        <f t="shared" si="635"/>
        <v>1.9900000000000001E-2</v>
      </c>
      <c r="K3354" s="1243">
        <f>ROUND((G3354+D3354)/2*J3354/12,0)</f>
        <v>3458</v>
      </c>
      <c r="L3354" s="1243">
        <v>0</v>
      </c>
      <c r="M3354" s="1243">
        <f t="shared" si="632"/>
        <v>0</v>
      </c>
      <c r="N3354" s="1243">
        <v>0</v>
      </c>
      <c r="O3354" s="1243">
        <f t="shared" si="633"/>
        <v>1769368.1399999992</v>
      </c>
    </row>
    <row r="3355" spans="1:15">
      <c r="A3355" s="361">
        <f t="shared" si="629"/>
        <v>32</v>
      </c>
      <c r="B3355" s="365">
        <v>385</v>
      </c>
      <c r="C3355" s="358" t="s">
        <v>403</v>
      </c>
      <c r="D3355" s="1243">
        <f t="shared" si="630"/>
        <v>6366032.5399999991</v>
      </c>
      <c r="E3355" s="1243">
        <v>22944.27</v>
      </c>
      <c r="F3355" s="1243">
        <v>-14565.02</v>
      </c>
      <c r="G3355" s="1243">
        <f t="shared" si="634"/>
        <v>6374411.7899999991</v>
      </c>
      <c r="H3355" s="1243"/>
      <c r="I3355" s="1243">
        <f t="shared" si="631"/>
        <v>961882.85999999975</v>
      </c>
      <c r="J3355" s="376">
        <f t="shared" si="635"/>
        <v>5.4699999999999999E-2</v>
      </c>
      <c r="K3355" s="1243">
        <f t="shared" si="637"/>
        <v>29038</v>
      </c>
      <c r="L3355" s="1243">
        <v>0</v>
      </c>
      <c r="M3355" s="1243">
        <f t="shared" si="632"/>
        <v>-14565.02</v>
      </c>
      <c r="N3355" s="1243">
        <v>-1227.74</v>
      </c>
      <c r="O3355" s="1243">
        <f t="shared" si="633"/>
        <v>975128.09999999974</v>
      </c>
    </row>
    <row r="3356" spans="1:15">
      <c r="A3356" s="361">
        <f t="shared" si="629"/>
        <v>33</v>
      </c>
      <c r="B3356" s="365">
        <v>387.2</v>
      </c>
      <c r="C3356" s="358" t="s">
        <v>404</v>
      </c>
      <c r="D3356" s="1243">
        <f t="shared" si="630"/>
        <v>0</v>
      </c>
      <c r="E3356" s="1243">
        <v>0</v>
      </c>
      <c r="F3356" s="1243">
        <v>0</v>
      </c>
      <c r="G3356" s="1243">
        <f t="shared" si="634"/>
        <v>0</v>
      </c>
      <c r="H3356" s="1243"/>
      <c r="I3356" s="1243">
        <f t="shared" si="631"/>
        <v>-59912.03</v>
      </c>
      <c r="J3356" s="376">
        <f t="shared" si="635"/>
        <v>0</v>
      </c>
      <c r="K3356" s="1243">
        <f t="shared" si="637"/>
        <v>0</v>
      </c>
      <c r="L3356" s="1243">
        <v>0</v>
      </c>
      <c r="M3356" s="1243">
        <f t="shared" si="632"/>
        <v>0</v>
      </c>
      <c r="N3356" s="1243">
        <v>0</v>
      </c>
      <c r="O3356" s="1243">
        <f t="shared" si="633"/>
        <v>-59912.03</v>
      </c>
    </row>
    <row r="3357" spans="1:15">
      <c r="A3357" s="361">
        <f t="shared" si="629"/>
        <v>34</v>
      </c>
      <c r="B3357" s="365">
        <v>387.41</v>
      </c>
      <c r="C3357" s="358" t="s">
        <v>405</v>
      </c>
      <c r="D3357" s="1243">
        <f t="shared" si="630"/>
        <v>260538.46000000008</v>
      </c>
      <c r="E3357" s="1243">
        <v>0</v>
      </c>
      <c r="F3357" s="1243">
        <v>0</v>
      </c>
      <c r="G3357" s="1243">
        <f t="shared" si="634"/>
        <v>260538.46000000008</v>
      </c>
      <c r="H3357" s="1243"/>
      <c r="I3357" s="1243">
        <f t="shared" si="631"/>
        <v>74217.970000000059</v>
      </c>
      <c r="J3357" s="376">
        <f t="shared" si="635"/>
        <v>4.9599999999999998E-2</v>
      </c>
      <c r="K3357" s="1243">
        <f t="shared" si="637"/>
        <v>1077</v>
      </c>
      <c r="L3357" s="1243">
        <v>0</v>
      </c>
      <c r="M3357" s="1243">
        <f t="shared" si="632"/>
        <v>0</v>
      </c>
      <c r="N3357" s="1243">
        <v>0</v>
      </c>
      <c r="O3357" s="1243">
        <f t="shared" si="633"/>
        <v>75294.970000000059</v>
      </c>
    </row>
    <row r="3358" spans="1:15">
      <c r="A3358" s="361">
        <f t="shared" si="629"/>
        <v>35</v>
      </c>
      <c r="B3358" s="365">
        <v>387.42</v>
      </c>
      <c r="C3358" s="358" t="s">
        <v>406</v>
      </c>
      <c r="D3358" s="1243">
        <f t="shared" si="630"/>
        <v>419367.40000000008</v>
      </c>
      <c r="E3358" s="1243">
        <v>0</v>
      </c>
      <c r="F3358" s="1243">
        <v>0</v>
      </c>
      <c r="G3358" s="1243">
        <f t="shared" si="634"/>
        <v>419367.40000000008</v>
      </c>
      <c r="H3358" s="1243"/>
      <c r="I3358" s="1243">
        <f t="shared" si="631"/>
        <v>365648.80999999976</v>
      </c>
      <c r="J3358" s="376">
        <f t="shared" si="635"/>
        <v>4.9599999999999998E-2</v>
      </c>
      <c r="K3358" s="1243">
        <f t="shared" si="637"/>
        <v>1733</v>
      </c>
      <c r="L3358" s="1243">
        <v>0</v>
      </c>
      <c r="M3358" s="1243">
        <f t="shared" si="632"/>
        <v>0</v>
      </c>
      <c r="N3358" s="1243">
        <v>0</v>
      </c>
      <c r="O3358" s="1243">
        <f t="shared" si="633"/>
        <v>367381.80999999976</v>
      </c>
    </row>
    <row r="3359" spans="1:15">
      <c r="A3359" s="361">
        <f t="shared" si="629"/>
        <v>36</v>
      </c>
      <c r="B3359" s="365">
        <v>387.44</v>
      </c>
      <c r="C3359" s="358" t="s">
        <v>407</v>
      </c>
      <c r="D3359" s="1243">
        <f t="shared" si="630"/>
        <v>124678.76000000001</v>
      </c>
      <c r="E3359" s="1243">
        <v>0</v>
      </c>
      <c r="F3359" s="1243">
        <v>0</v>
      </c>
      <c r="G3359" s="1243">
        <f t="shared" si="634"/>
        <v>124678.76000000001</v>
      </c>
      <c r="H3359" s="1243"/>
      <c r="I3359" s="1243">
        <f t="shared" si="631"/>
        <v>74024.390000000014</v>
      </c>
      <c r="J3359" s="376">
        <f t="shared" si="635"/>
        <v>4.9599999999999998E-2</v>
      </c>
      <c r="K3359" s="1243">
        <f t="shared" si="637"/>
        <v>515</v>
      </c>
      <c r="L3359" s="1243">
        <v>0</v>
      </c>
      <c r="M3359" s="1243">
        <f t="shared" si="632"/>
        <v>0</v>
      </c>
      <c r="N3359" s="1243">
        <v>0</v>
      </c>
      <c r="O3359" s="1243">
        <f t="shared" si="633"/>
        <v>74539.390000000014</v>
      </c>
    </row>
    <row r="3360" spans="1:15">
      <c r="A3360" s="361">
        <f t="shared" si="629"/>
        <v>37</v>
      </c>
      <c r="B3360" s="365">
        <v>387.45</v>
      </c>
      <c r="C3360" s="358" t="s">
        <v>408</v>
      </c>
      <c r="D3360" s="1243">
        <f t="shared" si="630"/>
        <v>6244946.1900000032</v>
      </c>
      <c r="E3360" s="1243">
        <v>13032.08</v>
      </c>
      <c r="F3360" s="1243">
        <v>-10419.39</v>
      </c>
      <c r="G3360" s="1243">
        <f t="shared" si="634"/>
        <v>6247558.8800000036</v>
      </c>
      <c r="H3360" s="1243"/>
      <c r="I3360" s="1243">
        <f t="shared" si="631"/>
        <v>-979565.2</v>
      </c>
      <c r="J3360" s="376">
        <f t="shared" si="635"/>
        <v>4.9599999999999998E-2</v>
      </c>
      <c r="K3360" s="1243">
        <f t="shared" si="637"/>
        <v>25818</v>
      </c>
      <c r="L3360" s="1243">
        <v>0</v>
      </c>
      <c r="M3360" s="1243">
        <f t="shared" si="632"/>
        <v>-10419.39</v>
      </c>
      <c r="N3360" s="1243">
        <v>-3766.31</v>
      </c>
      <c r="O3360" s="1243">
        <f t="shared" si="633"/>
        <v>-967932.9</v>
      </c>
    </row>
    <row r="3361" spans="1:16">
      <c r="A3361" s="361">
        <f t="shared" si="629"/>
        <v>38</v>
      </c>
      <c r="B3361" s="365">
        <v>387.46</v>
      </c>
      <c r="C3361" s="358" t="s">
        <v>409</v>
      </c>
      <c r="D3361" s="1243">
        <f t="shared" si="630"/>
        <v>113644.47</v>
      </c>
      <c r="E3361" s="1243">
        <v>0</v>
      </c>
      <c r="F3361" s="1243">
        <v>0</v>
      </c>
      <c r="G3361" s="1243">
        <f t="shared" si="634"/>
        <v>113644.47</v>
      </c>
      <c r="H3361" s="1243"/>
      <c r="I3361" s="1243">
        <f t="shared" si="631"/>
        <v>119917.07</v>
      </c>
      <c r="J3361" s="376">
        <f t="shared" si="635"/>
        <v>4.9599999999999998E-2</v>
      </c>
      <c r="K3361" s="1243">
        <f t="shared" si="637"/>
        <v>470</v>
      </c>
      <c r="L3361" s="1243">
        <v>0</v>
      </c>
      <c r="M3361" s="1243">
        <f t="shared" si="632"/>
        <v>0</v>
      </c>
      <c r="N3361" s="1243">
        <v>0</v>
      </c>
      <c r="O3361" s="1243">
        <f t="shared" si="633"/>
        <v>120387.07</v>
      </c>
    </row>
    <row r="3362" spans="1:16">
      <c r="A3362" s="361">
        <f t="shared" si="629"/>
        <v>39</v>
      </c>
      <c r="B3362" s="365">
        <v>387.5</v>
      </c>
      <c r="C3362" s="358" t="s">
        <v>1075</v>
      </c>
      <c r="D3362" s="1244">
        <f t="shared" si="630"/>
        <v>238072.69</v>
      </c>
      <c r="E3362" s="1244">
        <v>0</v>
      </c>
      <c r="F3362" s="1244">
        <v>0</v>
      </c>
      <c r="G3362" s="1244">
        <f t="shared" si="634"/>
        <v>238072.69</v>
      </c>
      <c r="H3362" s="1243"/>
      <c r="I3362" s="1244">
        <f t="shared" si="631"/>
        <v>84418.47000000003</v>
      </c>
      <c r="J3362" s="376">
        <f t="shared" si="635"/>
        <v>0.13500000000000001</v>
      </c>
      <c r="K3362" s="1244">
        <f t="shared" si="637"/>
        <v>2678</v>
      </c>
      <c r="L3362" s="1244">
        <v>0</v>
      </c>
      <c r="M3362" s="1244">
        <f t="shared" si="632"/>
        <v>0</v>
      </c>
      <c r="N3362" s="1244">
        <v>0</v>
      </c>
      <c r="O3362" s="1244">
        <f t="shared" si="633"/>
        <v>87096.47000000003</v>
      </c>
    </row>
    <row r="3363" spans="1:16">
      <c r="A3363" s="361">
        <f t="shared" si="629"/>
        <v>40</v>
      </c>
      <c r="C3363" s="365" t="s">
        <v>1601</v>
      </c>
      <c r="D3363" s="1243">
        <f>SUM(D3333:D3362)</f>
        <v>747023599.97402203</v>
      </c>
      <c r="E3363" s="1243">
        <f>SUM(E3333:E3362)</f>
        <v>1075961.9944141195</v>
      </c>
      <c r="F3363" s="1243">
        <f>SUM(F3333:F3362)</f>
        <v>-159389.68525802967</v>
      </c>
      <c r="G3363" s="1243">
        <f>SUM(G3333:G3362)</f>
        <v>747940172.28317797</v>
      </c>
      <c r="H3363" s="1243"/>
      <c r="I3363" s="1243">
        <f>SUM(I3333:I3362)</f>
        <v>189922150.32770663</v>
      </c>
      <c r="J3363" s="369"/>
      <c r="K3363" s="1243">
        <f>SUM(K3333:K3362)</f>
        <v>1869020.97</v>
      </c>
      <c r="L3363" s="1243">
        <f>SUM(L3333:L3362)</f>
        <v>0</v>
      </c>
      <c r="M3363" s="1243">
        <f>SUM(M3333:M3362)</f>
        <v>-159389.68525802967</v>
      </c>
      <c r="N3363" s="1243">
        <f>SUM(N3333:N3362)</f>
        <v>-59316.755030183624</v>
      </c>
      <c r="O3363" s="1243">
        <f>SUM(O3333:O3362)</f>
        <v>191572464.85741839</v>
      </c>
    </row>
    <row r="3364" spans="1:16">
      <c r="B3364" s="367"/>
      <c r="C3364" s="368"/>
      <c r="D3364" s="369"/>
      <c r="E3364" s="369"/>
      <c r="F3364" s="369"/>
      <c r="G3364" s="369"/>
      <c r="I3364" s="369"/>
      <c r="J3364" s="369"/>
      <c r="K3364" s="369"/>
      <c r="L3364" s="369"/>
      <c r="M3364" s="369"/>
      <c r="N3364" s="369"/>
      <c r="O3364" s="369"/>
    </row>
    <row r="3365" spans="1:16">
      <c r="I3365" s="369"/>
      <c r="J3365" s="369"/>
      <c r="K3365" s="369"/>
      <c r="L3365" s="369"/>
      <c r="M3365" s="369"/>
      <c r="N3365" s="369"/>
      <c r="O3365" s="369"/>
    </row>
    <row r="3366" spans="1:16" s="291" customFormat="1">
      <c r="A3366" s="1308" t="str">
        <f>$A$1</f>
        <v>COLUMBIA GAS OF KENTUCKY, INC.</v>
      </c>
      <c r="B3366" s="1308"/>
      <c r="C3366" s="1308"/>
      <c r="D3366" s="1308"/>
      <c r="E3366" s="1308"/>
      <c r="F3366" s="1308"/>
      <c r="G3366" s="1308"/>
      <c r="H3366" s="1308"/>
      <c r="I3366" s="1308"/>
      <c r="J3366" s="1308"/>
      <c r="K3366" s="1308"/>
      <c r="L3366" s="1308"/>
      <c r="M3366" s="1308"/>
      <c r="N3366" s="1308"/>
      <c r="O3366" s="1308"/>
    </row>
    <row r="3367" spans="1:16" s="291" customFormat="1">
      <c r="A3367" s="1308" t="str">
        <f>$A$2</f>
        <v>CASE NO. 2024 - 00092</v>
      </c>
      <c r="B3367" s="1308"/>
      <c r="C3367" s="1308"/>
      <c r="D3367" s="1308"/>
      <c r="E3367" s="1308"/>
      <c r="F3367" s="1308"/>
      <c r="G3367" s="1308"/>
      <c r="H3367" s="1308"/>
      <c r="I3367" s="1308"/>
      <c r="J3367" s="1308"/>
      <c r="K3367" s="1308"/>
      <c r="L3367" s="1308"/>
      <c r="M3367" s="1308"/>
      <c r="N3367" s="1308"/>
      <c r="O3367" s="1308"/>
    </row>
    <row r="3368" spans="1:16" s="291" customFormat="1">
      <c r="A3368" s="1308" t="str">
        <f>$A$3</f>
        <v>DETAIL OF ACTUAL &amp; FORECASTED PLANT, ACCUMULATED RESERVE &amp; DEPRECIATION EXPENSE</v>
      </c>
      <c r="B3368" s="1308"/>
      <c r="C3368" s="1308"/>
      <c r="D3368" s="1308"/>
      <c r="E3368" s="1308"/>
      <c r="F3368" s="1308"/>
      <c r="G3368" s="1308"/>
      <c r="H3368" s="1308"/>
      <c r="I3368" s="1308"/>
      <c r="J3368" s="1308"/>
      <c r="K3368" s="1308"/>
      <c r="L3368" s="1308"/>
      <c r="M3368" s="1308"/>
      <c r="N3368" s="1308"/>
      <c r="O3368" s="1308"/>
      <c r="P3368" s="357"/>
    </row>
    <row r="3369" spans="1:16" s="291" customFormat="1">
      <c r="A3369" s="1308" t="str">
        <f>$A$4</f>
        <v>FROM JANUARY 01, 2023 THROUGH DECEMBER 31, 2025</v>
      </c>
      <c r="B3369" s="1308"/>
      <c r="C3369" s="1308"/>
      <c r="D3369" s="1308"/>
      <c r="E3369" s="1308"/>
      <c r="F3369" s="1308"/>
      <c r="G3369" s="1308"/>
      <c r="H3369" s="1308"/>
      <c r="I3369" s="1308"/>
      <c r="J3369" s="1308"/>
      <c r="K3369" s="1308"/>
      <c r="L3369" s="1308"/>
      <c r="M3369" s="1308"/>
      <c r="N3369" s="1308"/>
      <c r="O3369" s="1308"/>
    </row>
    <row r="3370" spans="1:16" s="291" customFormat="1">
      <c r="B3370" s="293"/>
      <c r="P3370" s="312"/>
    </row>
    <row r="3371" spans="1:16" s="291" customFormat="1">
      <c r="A3371" s="297" t="str">
        <f>$A$6</f>
        <v xml:space="preserve">DATA: _X_ BASE PERIOD _X_ FORECASTED PERIOD     </v>
      </c>
      <c r="B3371" s="293"/>
      <c r="O3371" s="312" t="str">
        <f>$O$6</f>
        <v>WPB-2.1.C</v>
      </c>
      <c r="P3371" s="312"/>
    </row>
    <row r="3372" spans="1:16" s="291" customFormat="1">
      <c r="A3372" s="297" t="str">
        <f>$A$7</f>
        <v>TYPE OF FILING:___X___ORIGINAL______UPDATED</v>
      </c>
      <c r="B3372" s="293"/>
      <c r="O3372" s="312" t="s">
        <v>2163</v>
      </c>
      <c r="P3372" s="312"/>
    </row>
    <row r="3373" spans="1:16" s="291" customFormat="1">
      <c r="A3373" s="297" t="str">
        <f>$A$8</f>
        <v>WORKPAPER REFERENCE NO(S).:</v>
      </c>
      <c r="B3373" s="293"/>
      <c r="O3373" s="312" t="str">
        <f>$O$8</f>
        <v>WITNESS: GORE</v>
      </c>
    </row>
    <row r="3374" spans="1:16">
      <c r="A3374" s="918"/>
      <c r="B3374" s="919"/>
      <c r="C3374" s="918"/>
      <c r="D3374" s="918"/>
      <c r="E3374" s="918"/>
      <c r="F3374" s="918"/>
      <c r="G3374" s="918"/>
      <c r="H3374" s="918"/>
      <c r="I3374" s="918"/>
      <c r="J3374" s="918"/>
      <c r="K3374" s="918"/>
      <c r="L3374" s="918"/>
      <c r="M3374" s="918"/>
      <c r="N3374" s="918"/>
      <c r="O3374" s="920"/>
    </row>
    <row r="3375" spans="1:16">
      <c r="D3375" s="1311" t="s">
        <v>1768</v>
      </c>
      <c r="E3375" s="1311"/>
      <c r="F3375" s="1311"/>
      <c r="G3375" s="1311"/>
      <c r="I3375" s="1311" t="s">
        <v>1769</v>
      </c>
      <c r="J3375" s="1311"/>
      <c r="K3375" s="1311"/>
      <c r="L3375" s="1311"/>
      <c r="M3375" s="1311"/>
      <c r="N3375" s="1311"/>
      <c r="O3375" s="1311"/>
    </row>
    <row r="3376" spans="1:16">
      <c r="D3376" s="360">
        <f>D3317</f>
        <v>45809</v>
      </c>
      <c r="G3376" s="360">
        <f>G3317</f>
        <v>45838</v>
      </c>
      <c r="I3376" s="360">
        <f>D3376</f>
        <v>45809</v>
      </c>
      <c r="O3376" s="360">
        <f>G3376</f>
        <v>45838</v>
      </c>
    </row>
    <row r="3377" spans="1:15">
      <c r="D3377" s="361" t="s">
        <v>1757</v>
      </c>
      <c r="G3377" s="361" t="s">
        <v>1757</v>
      </c>
      <c r="I3377" s="361" t="s">
        <v>1758</v>
      </c>
      <c r="J3377" s="361" t="s">
        <v>488</v>
      </c>
      <c r="L3377" s="361" t="s">
        <v>1758</v>
      </c>
      <c r="O3377" s="361" t="s">
        <v>1758</v>
      </c>
    </row>
    <row r="3378" spans="1:15">
      <c r="A3378" s="361" t="s">
        <v>1770</v>
      </c>
      <c r="B3378" s="361" t="s">
        <v>368</v>
      </c>
      <c r="C3378" s="361"/>
      <c r="D3378" s="361" t="s">
        <v>437</v>
      </c>
      <c r="G3378" s="361" t="s">
        <v>439</v>
      </c>
      <c r="I3378" s="361" t="s">
        <v>437</v>
      </c>
      <c r="J3378" s="361" t="s">
        <v>1771</v>
      </c>
      <c r="K3378" s="361" t="s">
        <v>1772</v>
      </c>
      <c r="L3378" s="361" t="s">
        <v>1759</v>
      </c>
      <c r="N3378" s="361" t="s">
        <v>1760</v>
      </c>
      <c r="O3378" s="361" t="s">
        <v>439</v>
      </c>
    </row>
    <row r="3379" spans="1:15">
      <c r="A3379" s="364" t="s">
        <v>316</v>
      </c>
      <c r="B3379" s="364" t="s">
        <v>316</v>
      </c>
      <c r="C3379" s="364" t="s">
        <v>451</v>
      </c>
      <c r="D3379" s="364" t="s">
        <v>441</v>
      </c>
      <c r="E3379" s="364" t="s">
        <v>442</v>
      </c>
      <c r="F3379" s="364" t="s">
        <v>443</v>
      </c>
      <c r="G3379" s="364" t="s">
        <v>441</v>
      </c>
      <c r="I3379" s="364" t="s">
        <v>441</v>
      </c>
      <c r="J3379" s="364" t="s">
        <v>1773</v>
      </c>
      <c r="K3379" s="364" t="s">
        <v>1771</v>
      </c>
      <c r="L3379" s="364" t="s">
        <v>355</v>
      </c>
      <c r="M3379" s="364" t="s">
        <v>443</v>
      </c>
      <c r="N3379" s="364" t="s">
        <v>1763</v>
      </c>
      <c r="O3379" s="364" t="s">
        <v>441</v>
      </c>
    </row>
    <row r="3380" spans="1:15">
      <c r="D3380" s="361" t="s">
        <v>532</v>
      </c>
      <c r="E3380" s="361" t="s">
        <v>541</v>
      </c>
      <c r="F3380" s="361" t="s">
        <v>542</v>
      </c>
      <c r="G3380" s="361" t="s">
        <v>1764</v>
      </c>
      <c r="I3380" s="334" t="str">
        <f>"(5)"</f>
        <v>(5)</v>
      </c>
      <c r="J3380" s="334" t="str">
        <f>"(6)"</f>
        <v>(6)</v>
      </c>
      <c r="K3380" s="334" t="str">
        <f>"(7)=((1+4)/2*6/12))"</f>
        <v>(7)=((1+4)/2*6/12))</v>
      </c>
      <c r="L3380" s="334" t="str">
        <f>"(8)"</f>
        <v>(8)</v>
      </c>
      <c r="M3380" s="334" t="str">
        <f>"(9)"</f>
        <v>(9)</v>
      </c>
      <c r="N3380" s="334" t="str">
        <f>"(10)"</f>
        <v>(10)</v>
      </c>
      <c r="O3380" s="334" t="str">
        <f>"(11=5+7+8+9+10)"</f>
        <v>(11=5+7+8+9+10)</v>
      </c>
    </row>
    <row r="3381" spans="1:15">
      <c r="D3381" s="361" t="s">
        <v>320</v>
      </c>
      <c r="E3381" s="361" t="s">
        <v>320</v>
      </c>
      <c r="F3381" s="361" t="s">
        <v>320</v>
      </c>
      <c r="G3381" s="361" t="s">
        <v>320</v>
      </c>
      <c r="I3381" s="334" t="s">
        <v>320</v>
      </c>
      <c r="J3381" s="334" t="s">
        <v>529</v>
      </c>
      <c r="K3381" s="334" t="s">
        <v>320</v>
      </c>
      <c r="L3381" s="334" t="s">
        <v>320</v>
      </c>
      <c r="M3381" s="334" t="s">
        <v>320</v>
      </c>
      <c r="N3381" s="334" t="s">
        <v>320</v>
      </c>
      <c r="O3381" s="334" t="s">
        <v>320</v>
      </c>
    </row>
    <row r="3382" spans="1:15">
      <c r="A3382" s="361">
        <v>1</v>
      </c>
      <c r="B3382" s="363" t="s">
        <v>411</v>
      </c>
      <c r="D3382" s="361"/>
      <c r="E3382" s="361"/>
      <c r="F3382" s="361"/>
      <c r="G3382" s="361"/>
      <c r="I3382" s="334"/>
      <c r="J3382" s="334"/>
      <c r="K3382" s="334"/>
      <c r="L3382" s="334"/>
      <c r="M3382" s="334"/>
      <c r="N3382" s="334"/>
      <c r="O3382" s="334"/>
    </row>
    <row r="3383" spans="1:15">
      <c r="A3383" s="361">
        <f>A3382+1</f>
        <v>2</v>
      </c>
      <c r="B3383" s="365">
        <v>391.1</v>
      </c>
      <c r="C3383" s="358" t="s">
        <v>412</v>
      </c>
      <c r="D3383" s="1243">
        <f t="shared" ref="D3383:D3396" si="638">G3269</f>
        <v>921741.33000000007</v>
      </c>
      <c r="E3383" s="1243">
        <v>0</v>
      </c>
      <c r="F3383" s="1243">
        <v>0</v>
      </c>
      <c r="G3383" s="1243">
        <f>SUM(D3383:F3383)</f>
        <v>921741.33000000007</v>
      </c>
      <c r="H3383" s="1243"/>
      <c r="I3383" s="1245">
        <f t="shared" ref="I3383:I3396" si="639">O3269</f>
        <v>261820.45333333328</v>
      </c>
      <c r="J3383" s="376">
        <f t="shared" ref="J3383:J3396" si="640">+J3269</f>
        <v>0.05</v>
      </c>
      <c r="K3383" s="1243">
        <f>ROUND((G3383+D3383)/2*J3383/12,0)</f>
        <v>3841</v>
      </c>
      <c r="L3383" s="1243">
        <f>+L3269</f>
        <v>4814.416666666667</v>
      </c>
      <c r="M3383" s="1243">
        <f t="shared" ref="M3383:M3396" si="641">F3383</f>
        <v>0</v>
      </c>
      <c r="N3383" s="1243">
        <v>0</v>
      </c>
      <c r="O3383" s="1243">
        <f t="shared" ref="O3383:O3396" si="642">I3383+K3383+L3383+M3383+N3383</f>
        <v>270475.86999999994</v>
      </c>
    </row>
    <row r="3384" spans="1:15">
      <c r="A3384" s="361">
        <f t="shared" ref="A3384:A3397" si="643">A3383+1</f>
        <v>3</v>
      </c>
      <c r="B3384" s="365">
        <v>391.11</v>
      </c>
      <c r="C3384" s="358" t="s">
        <v>413</v>
      </c>
      <c r="D3384" s="1243">
        <f t="shared" si="638"/>
        <v>0</v>
      </c>
      <c r="E3384" s="1243">
        <v>0</v>
      </c>
      <c r="F3384" s="1243">
        <v>0</v>
      </c>
      <c r="G3384" s="1243">
        <f t="shared" ref="G3384:G3391" si="644">SUM(D3384:F3384)</f>
        <v>0</v>
      </c>
      <c r="H3384" s="1243"/>
      <c r="I3384" s="1245">
        <f t="shared" si="639"/>
        <v>-9993.2066666666669</v>
      </c>
      <c r="J3384" s="376">
        <f t="shared" si="640"/>
        <v>0</v>
      </c>
      <c r="K3384" s="1243">
        <f>ROUND((G3384+D3384)/2*J3384/12,0)</f>
        <v>0</v>
      </c>
      <c r="L3384" s="1243">
        <f t="shared" ref="L3384:L3396" si="645">+L3270</f>
        <v>525.91666666666663</v>
      </c>
      <c r="M3384" s="1243">
        <f t="shared" si="641"/>
        <v>0</v>
      </c>
      <c r="N3384" s="1243">
        <v>0</v>
      </c>
      <c r="O3384" s="1243">
        <f t="shared" si="642"/>
        <v>-9467.2900000000009</v>
      </c>
    </row>
    <row r="3385" spans="1:15">
      <c r="A3385" s="361">
        <f t="shared" si="643"/>
        <v>4</v>
      </c>
      <c r="B3385" s="365">
        <v>391.12</v>
      </c>
      <c r="C3385" s="358" t="s">
        <v>414</v>
      </c>
      <c r="D3385" s="1243">
        <f t="shared" si="638"/>
        <v>37129.580000000009</v>
      </c>
      <c r="E3385" s="1243">
        <v>0</v>
      </c>
      <c r="F3385" s="1243">
        <v>0</v>
      </c>
      <c r="G3385" s="1243">
        <f t="shared" si="644"/>
        <v>37129.580000000009</v>
      </c>
      <c r="H3385" s="1243"/>
      <c r="I3385" s="1245">
        <f t="shared" si="639"/>
        <v>12995.22</v>
      </c>
      <c r="J3385" s="376">
        <f t="shared" si="640"/>
        <v>0.2</v>
      </c>
      <c r="K3385" s="1243">
        <f>ROUND((G3385+D3385)/2*J3385/12,0)</f>
        <v>619</v>
      </c>
      <c r="L3385" s="1243">
        <f t="shared" si="645"/>
        <v>456.25</v>
      </c>
      <c r="M3385" s="1243">
        <f t="shared" si="641"/>
        <v>0</v>
      </c>
      <c r="N3385" s="1243">
        <v>0</v>
      </c>
      <c r="O3385" s="1243">
        <f t="shared" si="642"/>
        <v>14070.47</v>
      </c>
    </row>
    <row r="3386" spans="1:15">
      <c r="A3386" s="361">
        <f t="shared" si="643"/>
        <v>5</v>
      </c>
      <c r="B3386" s="365">
        <v>392.2</v>
      </c>
      <c r="C3386" s="358" t="s">
        <v>524</v>
      </c>
      <c r="D3386" s="1243">
        <f t="shared" si="638"/>
        <v>48924.4</v>
      </c>
      <c r="E3386" s="1243">
        <v>0</v>
      </c>
      <c r="F3386" s="1243">
        <v>0</v>
      </c>
      <c r="G3386" s="1243">
        <f t="shared" si="644"/>
        <v>48924.4</v>
      </c>
      <c r="H3386" s="1243"/>
      <c r="I3386" s="1245">
        <f t="shared" si="639"/>
        <v>17772.359999999961</v>
      </c>
      <c r="J3386" s="376">
        <f t="shared" si="640"/>
        <v>8.9999999999999993E-3</v>
      </c>
      <c r="K3386" s="1243">
        <f>ROUND((G3386+D3386)/2*J3386/12,0)</f>
        <v>37</v>
      </c>
      <c r="L3386" s="1243">
        <f t="shared" si="645"/>
        <v>0</v>
      </c>
      <c r="M3386" s="1243">
        <f t="shared" si="641"/>
        <v>0</v>
      </c>
      <c r="N3386" s="1243">
        <v>0</v>
      </c>
      <c r="O3386" s="1243">
        <f t="shared" si="642"/>
        <v>17809.359999999961</v>
      </c>
    </row>
    <row r="3387" spans="1:15">
      <c r="A3387" s="361">
        <f t="shared" si="643"/>
        <v>6</v>
      </c>
      <c r="B3387" s="365">
        <v>392.21</v>
      </c>
      <c r="C3387" s="358" t="s">
        <v>415</v>
      </c>
      <c r="D3387" s="1243">
        <f t="shared" si="638"/>
        <v>24462.2</v>
      </c>
      <c r="E3387" s="1243">
        <v>0</v>
      </c>
      <c r="F3387" s="1243">
        <v>0</v>
      </c>
      <c r="G3387" s="1243">
        <f t="shared" si="644"/>
        <v>24462.2</v>
      </c>
      <c r="H3387" s="1243"/>
      <c r="I3387" s="1245">
        <f t="shared" si="639"/>
        <v>45024.01</v>
      </c>
      <c r="J3387" s="376">
        <f t="shared" si="640"/>
        <v>8.9999999999999993E-3</v>
      </c>
      <c r="K3387" s="1243">
        <f>ROUND((G3387+D3387)/2*J3387/12,0)</f>
        <v>18</v>
      </c>
      <c r="L3387" s="1243">
        <f t="shared" si="645"/>
        <v>0</v>
      </c>
      <c r="M3387" s="1243">
        <f t="shared" si="641"/>
        <v>0</v>
      </c>
      <c r="N3387" s="1243">
        <v>0</v>
      </c>
      <c r="O3387" s="1243">
        <f t="shared" si="642"/>
        <v>45042.01</v>
      </c>
    </row>
    <row r="3388" spans="1:15">
      <c r="A3388" s="361">
        <f t="shared" si="643"/>
        <v>7</v>
      </c>
      <c r="B3388" s="365">
        <v>393</v>
      </c>
      <c r="C3388" s="358" t="s">
        <v>416</v>
      </c>
      <c r="D3388" s="1243">
        <f t="shared" si="638"/>
        <v>0</v>
      </c>
      <c r="E3388" s="1243">
        <v>0</v>
      </c>
      <c r="F3388" s="1243">
        <v>0</v>
      </c>
      <c r="G3388" s="1243">
        <f t="shared" si="644"/>
        <v>0</v>
      </c>
      <c r="H3388" s="1243"/>
      <c r="I3388" s="1245">
        <f t="shared" si="639"/>
        <v>0</v>
      </c>
      <c r="J3388" s="376" t="str">
        <f t="shared" si="640"/>
        <v>Amort.</v>
      </c>
      <c r="K3388" s="1243">
        <v>0</v>
      </c>
      <c r="L3388" s="1243">
        <f t="shared" si="645"/>
        <v>0</v>
      </c>
      <c r="M3388" s="1243">
        <f t="shared" si="641"/>
        <v>0</v>
      </c>
      <c r="N3388" s="1243">
        <v>0</v>
      </c>
      <c r="O3388" s="1243">
        <f t="shared" si="642"/>
        <v>0</v>
      </c>
    </row>
    <row r="3389" spans="1:15">
      <c r="A3389" s="361">
        <f t="shared" si="643"/>
        <v>8</v>
      </c>
      <c r="B3389" s="365">
        <v>394.1</v>
      </c>
      <c r="C3389" s="358" t="s">
        <v>417</v>
      </c>
      <c r="D3389" s="1243">
        <f t="shared" si="638"/>
        <v>9739</v>
      </c>
      <c r="E3389" s="1243">
        <v>0</v>
      </c>
      <c r="F3389" s="1243">
        <v>0</v>
      </c>
      <c r="G3389" s="1243">
        <f t="shared" si="644"/>
        <v>9739</v>
      </c>
      <c r="H3389" s="1243"/>
      <c r="I3389" s="1245">
        <f t="shared" si="639"/>
        <v>4620.0700000000006</v>
      </c>
      <c r="J3389" s="376">
        <f t="shared" si="640"/>
        <v>0.04</v>
      </c>
      <c r="K3389" s="1243">
        <f>ROUND((G3389+D3389)/2*J3389/12,0)</f>
        <v>32</v>
      </c>
      <c r="L3389" s="1243">
        <f t="shared" si="645"/>
        <v>0</v>
      </c>
      <c r="M3389" s="1243">
        <f t="shared" si="641"/>
        <v>0</v>
      </c>
      <c r="N3389" s="1243">
        <v>0</v>
      </c>
      <c r="O3389" s="1243">
        <f t="shared" si="642"/>
        <v>4652.0700000000006</v>
      </c>
    </row>
    <row r="3390" spans="1:15">
      <c r="A3390" s="361">
        <f t="shared" si="643"/>
        <v>9</v>
      </c>
      <c r="B3390" s="365">
        <v>394.11</v>
      </c>
      <c r="C3390" s="358" t="s">
        <v>418</v>
      </c>
      <c r="D3390" s="1243">
        <f t="shared" si="638"/>
        <v>0</v>
      </c>
      <c r="E3390" s="1243">
        <v>0</v>
      </c>
      <c r="F3390" s="1243">
        <v>0</v>
      </c>
      <c r="G3390" s="1243">
        <f t="shared" si="644"/>
        <v>0</v>
      </c>
      <c r="H3390" s="1243"/>
      <c r="I3390" s="1245">
        <f t="shared" si="639"/>
        <v>-26071.5</v>
      </c>
      <c r="J3390" s="376">
        <f t="shared" si="640"/>
        <v>0.04</v>
      </c>
      <c r="K3390" s="1243">
        <f>ROUND((G3390+D3390)/2*J3390/12,0)</f>
        <v>0</v>
      </c>
      <c r="L3390" s="1243">
        <f t="shared" si="645"/>
        <v>0</v>
      </c>
      <c r="M3390" s="1243">
        <f t="shared" si="641"/>
        <v>0</v>
      </c>
      <c r="N3390" s="1243">
        <v>0</v>
      </c>
      <c r="O3390" s="1243">
        <f t="shared" si="642"/>
        <v>-26071.5</v>
      </c>
    </row>
    <row r="3391" spans="1:15">
      <c r="A3391" s="361">
        <f t="shared" si="643"/>
        <v>10</v>
      </c>
      <c r="B3391" s="365">
        <v>394.13</v>
      </c>
      <c r="C3391" s="358" t="s">
        <v>515</v>
      </c>
      <c r="D3391" s="1243">
        <f t="shared" si="638"/>
        <v>0</v>
      </c>
      <c r="E3391" s="1243">
        <v>0</v>
      </c>
      <c r="F3391" s="1243">
        <v>0</v>
      </c>
      <c r="G3391" s="1243">
        <f t="shared" si="644"/>
        <v>0</v>
      </c>
      <c r="H3391" s="1243"/>
      <c r="I3391" s="1245">
        <f t="shared" si="639"/>
        <v>24524.36</v>
      </c>
      <c r="J3391" s="376" t="str">
        <f t="shared" si="640"/>
        <v>Amort.</v>
      </c>
      <c r="K3391" s="1243">
        <v>0</v>
      </c>
      <c r="L3391" s="1243">
        <f t="shared" si="645"/>
        <v>-789</v>
      </c>
      <c r="M3391" s="1243">
        <f t="shared" si="641"/>
        <v>0</v>
      </c>
      <c r="N3391" s="1243">
        <v>0</v>
      </c>
      <c r="O3391" s="1243">
        <f t="shared" si="642"/>
        <v>23735.360000000001</v>
      </c>
    </row>
    <row r="3392" spans="1:15">
      <c r="A3392" s="361">
        <f t="shared" si="643"/>
        <v>11</v>
      </c>
      <c r="B3392" s="365">
        <v>394.2</v>
      </c>
      <c r="C3392" s="358" t="s">
        <v>420</v>
      </c>
      <c r="D3392" s="1243">
        <f t="shared" si="638"/>
        <v>0</v>
      </c>
      <c r="E3392" s="1243">
        <v>0</v>
      </c>
      <c r="F3392" s="1243">
        <v>0</v>
      </c>
      <c r="G3392" s="1243">
        <f>SUM(D3392:F3392)</f>
        <v>0</v>
      </c>
      <c r="H3392" s="1243"/>
      <c r="I3392" s="1245">
        <f t="shared" si="639"/>
        <v>185.21</v>
      </c>
      <c r="J3392" s="376">
        <f t="shared" si="640"/>
        <v>0.04</v>
      </c>
      <c r="K3392" s="1243">
        <f>ROUND((G3392+D3392)/2*J3392/12,0)</f>
        <v>0</v>
      </c>
      <c r="L3392" s="1243">
        <f t="shared" si="645"/>
        <v>0</v>
      </c>
      <c r="M3392" s="1243">
        <f t="shared" si="641"/>
        <v>0</v>
      </c>
      <c r="N3392" s="1243">
        <v>0</v>
      </c>
      <c r="O3392" s="1243">
        <f t="shared" si="642"/>
        <v>185.21</v>
      </c>
    </row>
    <row r="3393" spans="1:15">
      <c r="A3393" s="361">
        <f t="shared" si="643"/>
        <v>12</v>
      </c>
      <c r="B3393" s="365">
        <v>394.3</v>
      </c>
      <c r="C3393" s="358" t="s">
        <v>1602</v>
      </c>
      <c r="D3393" s="1243">
        <f t="shared" si="638"/>
        <v>6015858.7800000003</v>
      </c>
      <c r="E3393" s="1243">
        <v>39932.44</v>
      </c>
      <c r="F3393" s="1243">
        <v>-31422.69</v>
      </c>
      <c r="G3393" s="1243">
        <f>SUM(D3393:F3393)</f>
        <v>6024368.5300000003</v>
      </c>
      <c r="H3393" s="1243"/>
      <c r="I3393" s="1245">
        <f t="shared" si="639"/>
        <v>1472901.4299999995</v>
      </c>
      <c r="J3393" s="376">
        <f t="shared" si="640"/>
        <v>0.04</v>
      </c>
      <c r="K3393" s="1243">
        <f>ROUND((G3393+D3393)/2*J3393/12,0)</f>
        <v>20067</v>
      </c>
      <c r="L3393" s="1243">
        <f t="shared" si="645"/>
        <v>0</v>
      </c>
      <c r="M3393" s="1243">
        <f t="shared" si="641"/>
        <v>-31422.69</v>
      </c>
      <c r="N3393" s="1243">
        <v>0</v>
      </c>
      <c r="O3393" s="1243">
        <f t="shared" si="642"/>
        <v>1461545.7399999995</v>
      </c>
    </row>
    <row r="3394" spans="1:15">
      <c r="A3394" s="361">
        <f t="shared" si="643"/>
        <v>13</v>
      </c>
      <c r="B3394" s="365">
        <v>395</v>
      </c>
      <c r="C3394" s="358" t="s">
        <v>422</v>
      </c>
      <c r="D3394" s="1243">
        <f t="shared" si="638"/>
        <v>0</v>
      </c>
      <c r="E3394" s="1243">
        <v>0</v>
      </c>
      <c r="F3394" s="1243">
        <v>0</v>
      </c>
      <c r="G3394" s="1243">
        <f>SUM(D3394:F3394)</f>
        <v>0</v>
      </c>
      <c r="H3394" s="1243"/>
      <c r="I3394" s="1245">
        <f t="shared" si="639"/>
        <v>-147.44999999999845</v>
      </c>
      <c r="J3394" s="376">
        <f t="shared" si="640"/>
        <v>0.05</v>
      </c>
      <c r="K3394" s="1243">
        <f>ROUND((G3394+D3394)/2*J3394/12,0)</f>
        <v>0</v>
      </c>
      <c r="L3394" s="1243">
        <f t="shared" si="645"/>
        <v>-2.75</v>
      </c>
      <c r="M3394" s="1243">
        <f t="shared" si="641"/>
        <v>0</v>
      </c>
      <c r="N3394" s="1243">
        <v>0</v>
      </c>
      <c r="O3394" s="1243">
        <f t="shared" si="642"/>
        <v>-150.19999999999845</v>
      </c>
    </row>
    <row r="3395" spans="1:15">
      <c r="A3395" s="361">
        <f t="shared" si="643"/>
        <v>14</v>
      </c>
      <c r="B3395" s="365">
        <v>396</v>
      </c>
      <c r="C3395" s="358" t="s">
        <v>423</v>
      </c>
      <c r="D3395" s="1243">
        <f t="shared" si="638"/>
        <v>185547</v>
      </c>
      <c r="E3395" s="1243">
        <v>0</v>
      </c>
      <c r="F3395" s="1243">
        <v>0</v>
      </c>
      <c r="G3395" s="1243">
        <f>SUM(D3395:F3395)</f>
        <v>185547</v>
      </c>
      <c r="H3395" s="1243"/>
      <c r="I3395" s="1245">
        <f t="shared" si="639"/>
        <v>171938.14</v>
      </c>
      <c r="J3395" s="376">
        <f t="shared" si="640"/>
        <v>0</v>
      </c>
      <c r="K3395" s="1243">
        <f>ROUND((G3395+D3395)/2*J3395/12,0)</f>
        <v>0</v>
      </c>
      <c r="L3395" s="1243">
        <f t="shared" si="645"/>
        <v>0</v>
      </c>
      <c r="M3395" s="1243">
        <f t="shared" si="641"/>
        <v>0</v>
      </c>
      <c r="N3395" s="1243">
        <v>0</v>
      </c>
      <c r="O3395" s="1243">
        <f t="shared" si="642"/>
        <v>171938.14</v>
      </c>
    </row>
    <row r="3396" spans="1:15">
      <c r="A3396" s="361">
        <f t="shared" si="643"/>
        <v>15</v>
      </c>
      <c r="B3396" s="365">
        <v>398</v>
      </c>
      <c r="C3396" s="358" t="s">
        <v>424</v>
      </c>
      <c r="D3396" s="1244">
        <f t="shared" si="638"/>
        <v>148028.20000000001</v>
      </c>
      <c r="E3396" s="1244">
        <v>0</v>
      </c>
      <c r="F3396" s="1244">
        <v>0</v>
      </c>
      <c r="G3396" s="1244">
        <f>SUM(D3396:F3396)</f>
        <v>148028.20000000001</v>
      </c>
      <c r="H3396" s="1243"/>
      <c r="I3396" s="1246">
        <f t="shared" si="639"/>
        <v>88602.383333333302</v>
      </c>
      <c r="J3396" s="376">
        <f t="shared" si="640"/>
        <v>6.6699999999999995E-2</v>
      </c>
      <c r="K3396" s="1244">
        <f>ROUND((G3396+D3396)/2*J3396/12,0)</f>
        <v>823</v>
      </c>
      <c r="L3396" s="1244">
        <f t="shared" si="645"/>
        <v>265.16666666666669</v>
      </c>
      <c r="M3396" s="1244">
        <f t="shared" si="641"/>
        <v>0</v>
      </c>
      <c r="N3396" s="1244">
        <v>0</v>
      </c>
      <c r="O3396" s="1244">
        <f t="shared" si="642"/>
        <v>89690.549999999974</v>
      </c>
    </row>
    <row r="3397" spans="1:15">
      <c r="A3397" s="361">
        <f t="shared" si="643"/>
        <v>16</v>
      </c>
      <c r="B3397" s="367"/>
      <c r="C3397" s="358" t="s">
        <v>425</v>
      </c>
      <c r="D3397" s="1243">
        <f>SUM(D3383:D3396)</f>
        <v>7391430.4900000002</v>
      </c>
      <c r="E3397" s="1243">
        <f>SUM(E3383:E3396)</f>
        <v>39932.44</v>
      </c>
      <c r="F3397" s="1243">
        <f>SUM(F3383:F3396)</f>
        <v>-31422.69</v>
      </c>
      <c r="G3397" s="1243">
        <f>SUM(G3383:G3396)</f>
        <v>7399940.2400000002</v>
      </c>
      <c r="H3397" s="1243"/>
      <c r="I3397" s="1243">
        <f>SUM(I3383:I3396)</f>
        <v>2064171.4799999995</v>
      </c>
      <c r="J3397" s="369"/>
      <c r="K3397" s="1243">
        <f>SUM(K3383:K3396)</f>
        <v>25437</v>
      </c>
      <c r="L3397" s="1243">
        <f>SUM(L3383:L3396)</f>
        <v>5270.0000000000009</v>
      </c>
      <c r="M3397" s="1243">
        <f>SUM(M3383:M3396)</f>
        <v>-31422.69</v>
      </c>
      <c r="N3397" s="1243">
        <f>SUM(N3383:N3396)</f>
        <v>0</v>
      </c>
      <c r="O3397" s="1243">
        <f>SUM(O3383:O3396)</f>
        <v>2063455.7899999993</v>
      </c>
    </row>
    <row r="3398" spans="1:15">
      <c r="A3398" s="361"/>
      <c r="D3398" s="1243"/>
      <c r="E3398" s="1243"/>
      <c r="F3398" s="1243"/>
      <c r="G3398" s="1243"/>
      <c r="H3398" s="1243"/>
      <c r="I3398" s="1243"/>
      <c r="J3398" s="369"/>
      <c r="K3398" s="1243"/>
      <c r="L3398" s="1243"/>
      <c r="M3398" s="1243"/>
      <c r="N3398" s="1243"/>
      <c r="O3398" s="1243"/>
    </row>
    <row r="3399" spans="1:15">
      <c r="A3399" s="361">
        <f>A3397+1</f>
        <v>17</v>
      </c>
      <c r="B3399" s="363" t="s">
        <v>1038</v>
      </c>
      <c r="D3399" s="1243"/>
      <c r="E3399" s="1243"/>
      <c r="F3399" s="1243"/>
      <c r="G3399" s="1243"/>
      <c r="H3399" s="1243"/>
      <c r="I3399" s="1243"/>
      <c r="J3399" s="369"/>
      <c r="K3399" s="1243"/>
      <c r="L3399" s="1243"/>
      <c r="M3399" s="1243"/>
      <c r="N3399" s="1243"/>
      <c r="O3399" s="1243"/>
    </row>
    <row r="3400" spans="1:15">
      <c r="A3400" s="361">
        <f>A3399+1</f>
        <v>18</v>
      </c>
      <c r="B3400" s="365">
        <v>378.21</v>
      </c>
      <c r="C3400" s="358" t="s">
        <v>1037</v>
      </c>
      <c r="D3400" s="1244">
        <f>G3286</f>
        <v>-777092</v>
      </c>
      <c r="E3400" s="1244">
        <v>0</v>
      </c>
      <c r="F3400" s="1244">
        <v>0</v>
      </c>
      <c r="G3400" s="1244">
        <f>SUM(D3400:F3400)</f>
        <v>-777092</v>
      </c>
      <c r="H3400" s="1243"/>
      <c r="I3400" s="1244">
        <f>O3286</f>
        <v>-240821.23000000033</v>
      </c>
      <c r="J3400" s="376" t="str">
        <f>$J$1690</f>
        <v>Amort.</v>
      </c>
      <c r="K3400" s="1244">
        <f>$K$1348</f>
        <v>-2144.17</v>
      </c>
      <c r="L3400" s="1244">
        <v>0</v>
      </c>
      <c r="M3400" s="1244">
        <f>F3400</f>
        <v>0</v>
      </c>
      <c r="N3400" s="1244">
        <v>0</v>
      </c>
      <c r="O3400" s="1244">
        <f>I3400+K3400+L3400+M3400+N3400</f>
        <v>-242965.40000000034</v>
      </c>
    </row>
    <row r="3401" spans="1:15">
      <c r="A3401" s="361">
        <f>A3400+1</f>
        <v>19</v>
      </c>
      <c r="B3401" s="370"/>
      <c r="C3401" s="358" t="s">
        <v>1579</v>
      </c>
      <c r="D3401" s="1243">
        <f>SUM(D3400)</f>
        <v>-777092</v>
      </c>
      <c r="E3401" s="1243">
        <f>SUM(E3400)</f>
        <v>0</v>
      </c>
      <c r="F3401" s="1243">
        <f>SUM(F3400)</f>
        <v>0</v>
      </c>
      <c r="G3401" s="1243">
        <f>SUM(G3400)</f>
        <v>-777092</v>
      </c>
      <c r="H3401" s="1243"/>
      <c r="I3401" s="1243">
        <f>SUM(I3400)</f>
        <v>-240821.23000000033</v>
      </c>
      <c r="J3401" s="369"/>
      <c r="K3401" s="1243">
        <f>SUM(K3400)</f>
        <v>-2144.17</v>
      </c>
      <c r="L3401" s="1243">
        <f>SUM(L3400)</f>
        <v>0</v>
      </c>
      <c r="M3401" s="1243">
        <f>SUM(M3400)</f>
        <v>0</v>
      </c>
      <c r="N3401" s="1243">
        <f>SUM(N3400)</f>
        <v>0</v>
      </c>
      <c r="O3401" s="1243">
        <f>SUM(O3400)</f>
        <v>-242965.40000000034</v>
      </c>
    </row>
    <row r="3402" spans="1:15">
      <c r="A3402" s="361"/>
      <c r="B3402" s="370"/>
      <c r="D3402" s="1243"/>
      <c r="E3402" s="1243"/>
      <c r="F3402" s="1243"/>
      <c r="G3402" s="1243"/>
      <c r="H3402" s="1243"/>
      <c r="I3402" s="1243"/>
      <c r="J3402" s="369"/>
      <c r="K3402" s="1243"/>
      <c r="L3402" s="1243"/>
      <c r="M3402" s="1243"/>
      <c r="N3402" s="1243"/>
      <c r="O3402" s="1243"/>
    </row>
    <row r="3403" spans="1:15">
      <c r="A3403" s="361">
        <f>A3401+1</f>
        <v>20</v>
      </c>
      <c r="B3403" s="370"/>
      <c r="C3403" s="358" t="s">
        <v>2037</v>
      </c>
      <c r="D3403" s="1243">
        <f>D3330+D3363+D3397+D3401</f>
        <v>774048012.94754827</v>
      </c>
      <c r="E3403" s="1243">
        <f>E3330+E3363+E3397+E3401</f>
        <v>2303166.7716011149</v>
      </c>
      <c r="F3403" s="1243">
        <f>F3330+F3363+F3397+F3401</f>
        <v>-254469.30525802966</v>
      </c>
      <c r="G3403" s="1243">
        <f>G3330+G3363+G3397+G3401</f>
        <v>776096710.4138912</v>
      </c>
      <c r="H3403" s="1243"/>
      <c r="I3403" s="1243">
        <f>I3330+I3363+I3397+I3401</f>
        <v>199532878.46833384</v>
      </c>
      <c r="J3403" s="369"/>
      <c r="K3403" s="1243">
        <f>K3330+K3363+K3397+K3401</f>
        <v>2206097.3576523</v>
      </c>
      <c r="L3403" s="1243">
        <f>L3330+L3363+L3397+L3401</f>
        <v>5270.0000000000009</v>
      </c>
      <c r="M3403" s="1243">
        <f>M3330+M3363+M3397+M3401</f>
        <v>-254469.30525802966</v>
      </c>
      <c r="N3403" s="1243">
        <f>N3330+N3363+N3397+N3401</f>
        <v>-59316.755030183624</v>
      </c>
      <c r="O3403" s="1243">
        <f>O3330+O3363+O3397+O3401</f>
        <v>201430459.7656979</v>
      </c>
    </row>
    <row r="3404" spans="1:15">
      <c r="A3404" s="361"/>
      <c r="B3404" s="370"/>
      <c r="D3404" s="1243"/>
      <c r="E3404" s="1243"/>
      <c r="F3404" s="1243"/>
      <c r="G3404" s="1243"/>
      <c r="H3404" s="1243"/>
      <c r="I3404" s="1243"/>
      <c r="J3404" s="369"/>
      <c r="K3404" s="1243"/>
      <c r="L3404" s="1243"/>
      <c r="M3404" s="1243"/>
      <c r="N3404" s="1243"/>
      <c r="O3404" s="1243"/>
    </row>
    <row r="3405" spans="1:15">
      <c r="A3405" s="361">
        <f>A3403+1</f>
        <v>21</v>
      </c>
      <c r="B3405" s="370"/>
      <c r="C3405" s="358" t="s">
        <v>2038</v>
      </c>
      <c r="D3405" s="1243">
        <v>0</v>
      </c>
      <c r="E3405" s="1249">
        <v>0</v>
      </c>
      <c r="F3405" s="1249">
        <v>0</v>
      </c>
      <c r="G3405" s="1249">
        <f>SUM(D3405:F3405)</f>
        <v>0</v>
      </c>
      <c r="H3405" s="1243"/>
      <c r="I3405" s="1243">
        <f>O3291</f>
        <v>-6687302.71</v>
      </c>
      <c r="J3405" s="369"/>
      <c r="K3405" s="1243"/>
      <c r="L3405" s="1243"/>
      <c r="M3405" s="1243"/>
      <c r="N3405" s="1243"/>
      <c r="O3405" s="1243">
        <f>I3405+K3405+L3405+M3405+N3405</f>
        <v>-6687302.71</v>
      </c>
    </row>
    <row r="3406" spans="1:15">
      <c r="A3406" s="361"/>
      <c r="B3406" s="370"/>
      <c r="C3406" s="368"/>
      <c r="D3406" s="1243"/>
      <c r="E3406" s="1243"/>
      <c r="F3406" s="1243"/>
      <c r="G3406" s="1243"/>
      <c r="H3406" s="1243"/>
      <c r="I3406" s="1243"/>
      <c r="J3406" s="369"/>
      <c r="K3406" s="1243"/>
      <c r="L3406" s="1243"/>
      <c r="M3406" s="1243"/>
      <c r="N3406" s="1243"/>
      <c r="O3406" s="1243"/>
    </row>
    <row r="3407" spans="1:15">
      <c r="A3407" s="361">
        <f>A3405+1</f>
        <v>22</v>
      </c>
      <c r="C3407" s="358" t="s">
        <v>1603</v>
      </c>
      <c r="D3407" s="1247">
        <f>D3403+D3405</f>
        <v>774048012.94754827</v>
      </c>
      <c r="E3407" s="1247">
        <f t="shared" ref="E3407:O3407" si="646">E3403+E3405</f>
        <v>2303166.7716011149</v>
      </c>
      <c r="F3407" s="1247">
        <f t="shared" si="646"/>
        <v>-254469.30525802966</v>
      </c>
      <c r="G3407" s="1247">
        <f t="shared" si="646"/>
        <v>776096710.4138912</v>
      </c>
      <c r="H3407" s="1243"/>
      <c r="I3407" s="1247">
        <f t="shared" si="646"/>
        <v>192845575.75833383</v>
      </c>
      <c r="J3407" s="369"/>
      <c r="K3407" s="1247">
        <f t="shared" si="646"/>
        <v>2206097.3576523</v>
      </c>
      <c r="L3407" s="1247">
        <f t="shared" si="646"/>
        <v>5270.0000000000009</v>
      </c>
      <c r="M3407" s="1247">
        <f t="shared" si="646"/>
        <v>-254469.30525802966</v>
      </c>
      <c r="N3407" s="1247">
        <f t="shared" si="646"/>
        <v>-59316.755030183624</v>
      </c>
      <c r="O3407" s="1247">
        <f t="shared" si="646"/>
        <v>194743157.05569789</v>
      </c>
    </row>
    <row r="3408" spans="1:15">
      <c r="A3408" s="361"/>
      <c r="D3408" s="1243"/>
      <c r="E3408" s="1243"/>
      <c r="F3408" s="1243"/>
      <c r="G3408" s="1243"/>
      <c r="H3408" s="1243"/>
      <c r="I3408" s="1243"/>
      <c r="J3408" s="369"/>
      <c r="K3408" s="1243"/>
      <c r="L3408" s="1243"/>
      <c r="M3408" s="1243"/>
      <c r="N3408" s="1243"/>
      <c r="O3408" s="1243"/>
    </row>
    <row r="3409" spans="1:16">
      <c r="A3409" s="361"/>
      <c r="D3409" s="1243"/>
      <c r="E3409" s="1243"/>
      <c r="F3409" s="1243"/>
      <c r="G3409" s="1243"/>
      <c r="H3409" s="1243"/>
      <c r="I3409" s="1243"/>
      <c r="J3409" s="369"/>
      <c r="K3409" s="1243"/>
      <c r="L3409" s="1243"/>
      <c r="M3409" s="1243"/>
      <c r="N3409" s="1243"/>
      <c r="O3409" s="1243"/>
    </row>
    <row r="3410" spans="1:16">
      <c r="A3410" s="361">
        <f>A3407+1</f>
        <v>23</v>
      </c>
      <c r="B3410" s="363" t="s">
        <v>1774</v>
      </c>
      <c r="D3410" s="1243"/>
      <c r="E3410" s="1243"/>
      <c r="F3410" s="1243"/>
      <c r="G3410" s="1243"/>
      <c r="H3410" s="1243"/>
      <c r="I3410" s="1243"/>
      <c r="J3410" s="369"/>
      <c r="K3410" s="1243"/>
      <c r="L3410" s="1243"/>
      <c r="M3410" s="1243"/>
      <c r="N3410" s="1243"/>
      <c r="O3410" s="1243"/>
    </row>
    <row r="3411" spans="1:16">
      <c r="A3411" s="361">
        <f t="shared" ref="A3411:A3416" si="647">A3410+1</f>
        <v>24</v>
      </c>
      <c r="B3411" s="365">
        <v>376</v>
      </c>
      <c r="C3411" s="358" t="s">
        <v>1775</v>
      </c>
      <c r="D3411" s="1243">
        <f>G3297</f>
        <v>59120122.054636769</v>
      </c>
      <c r="E3411" s="1243">
        <f>'WPB-2.1.D SMRP'!E1352</f>
        <v>2009726.2754147092</v>
      </c>
      <c r="F3411" s="1243">
        <f>'WPB-2.1.D SMRP'!F1352</f>
        <v>-12279.020000000004</v>
      </c>
      <c r="G3411" s="1243">
        <f>SUM(D3411:F3411)</f>
        <v>61117569.310051478</v>
      </c>
      <c r="H3411" s="1243"/>
      <c r="I3411" s="1243">
        <f>O3297</f>
        <v>594055.61878931639</v>
      </c>
      <c r="J3411" s="376">
        <f>+J3297</f>
        <v>1.7999999999999999E-2</v>
      </c>
      <c r="K3411" s="1243">
        <f>'WPB-2.1.D SMRP'!K1352</f>
        <v>90178.27</v>
      </c>
      <c r="L3411" s="1243">
        <v>0</v>
      </c>
      <c r="M3411" s="1243">
        <f>F3411</f>
        <v>-12279.020000000004</v>
      </c>
      <c r="N3411" s="1243">
        <f>'WPB-2.1.D SMRP'!N1352</f>
        <v>0</v>
      </c>
      <c r="O3411" s="1243">
        <f>I3411+K3411+L3411+M3411+N3411</f>
        <v>671954.86878931639</v>
      </c>
    </row>
    <row r="3412" spans="1:16">
      <c r="A3412" s="361">
        <f t="shared" si="647"/>
        <v>25</v>
      </c>
      <c r="B3412" s="365">
        <v>378.2</v>
      </c>
      <c r="C3412" s="358" t="s">
        <v>1776</v>
      </c>
      <c r="D3412" s="1243">
        <f>G3298</f>
        <v>599780.62011021946</v>
      </c>
      <c r="E3412" s="1243">
        <f>'WPB-2.1.D SMRP'!E1353</f>
        <v>0</v>
      </c>
      <c r="F3412" s="1243">
        <f>'WPB-2.1.D SMRP'!F1353</f>
        <v>0</v>
      </c>
      <c r="G3412" s="1243">
        <f>SUM(D3412:F3412)</f>
        <v>599780.62011021946</v>
      </c>
      <c r="H3412" s="1243"/>
      <c r="I3412" s="1243">
        <f>O3298</f>
        <v>-936545.32754116016</v>
      </c>
      <c r="J3412" s="376">
        <f>+J3298</f>
        <v>3.3099999999999997E-2</v>
      </c>
      <c r="K3412" s="1243">
        <f>'WPB-2.1.D SMRP'!K1353</f>
        <v>1654.39</v>
      </c>
      <c r="L3412" s="1243">
        <v>0</v>
      </c>
      <c r="M3412" s="1243">
        <f>F3412</f>
        <v>0</v>
      </c>
      <c r="N3412" s="1243">
        <f>'WPB-2.1.D SMRP'!N1353</f>
        <v>0</v>
      </c>
      <c r="O3412" s="1243">
        <f>I3412+K3412+L3412+M3412+N3412</f>
        <v>-934890.93754116015</v>
      </c>
    </row>
    <row r="3413" spans="1:16">
      <c r="A3413" s="361">
        <f t="shared" si="647"/>
        <v>26</v>
      </c>
      <c r="B3413" s="365">
        <v>380</v>
      </c>
      <c r="C3413" s="358" t="s">
        <v>1777</v>
      </c>
      <c r="D3413" s="1243">
        <f>G3299</f>
        <v>25100315.207036886</v>
      </c>
      <c r="E3413" s="1243">
        <f>'WPB-2.1.D SMRP'!E1354</f>
        <v>891305.52897359652</v>
      </c>
      <c r="F3413" s="1243">
        <f>'WPB-2.1.D SMRP'!F1354</f>
        <v>-260213.17135648616</v>
      </c>
      <c r="G3413" s="1243">
        <f>SUM(D3413:F3413)</f>
        <v>25731407.564654</v>
      </c>
      <c r="H3413" s="1243"/>
      <c r="I3413" s="1243">
        <f>O3299</f>
        <v>-12464673.115395388</v>
      </c>
      <c r="J3413" s="376">
        <f>+J3299</f>
        <v>5.1799999999999999E-2</v>
      </c>
      <c r="K3413" s="1243">
        <f>'WPB-2.1.D SMRP'!K1354</f>
        <v>109711.8</v>
      </c>
      <c r="L3413" s="1243">
        <v>0</v>
      </c>
      <c r="M3413" s="1243">
        <f>F3413</f>
        <v>-260213.17135648616</v>
      </c>
      <c r="N3413" s="1243">
        <f>'WPB-2.1.D SMRP'!N1354</f>
        <v>-89524.468303690199</v>
      </c>
      <c r="O3413" s="1243">
        <f>I3413+K3413+L3413+M3413+N3413</f>
        <v>-12704698.955055563</v>
      </c>
    </row>
    <row r="3414" spans="1:16">
      <c r="A3414" s="361">
        <f t="shared" si="647"/>
        <v>27</v>
      </c>
      <c r="B3414" s="365">
        <v>382</v>
      </c>
      <c r="C3414" s="358" t="s">
        <v>1778</v>
      </c>
      <c r="D3414" s="1243">
        <f>G3300</f>
        <v>237414.18658453683</v>
      </c>
      <c r="E3414" s="1243">
        <f>'WPB-2.1.D SMRP'!E1355</f>
        <v>2454.8522186358073</v>
      </c>
      <c r="F3414" s="1243">
        <f>'WPB-2.1.D SMRP'!F1355</f>
        <v>-620.99219753817829</v>
      </c>
      <c r="G3414" s="1243">
        <f>SUM(D3414:F3414)</f>
        <v>239248.04660563447</v>
      </c>
      <c r="H3414" s="1243"/>
      <c r="I3414" s="1243">
        <f>O3300</f>
        <v>-74681.276097349328</v>
      </c>
      <c r="J3414" s="376">
        <f>+J3300</f>
        <v>2.2800000000000001E-2</v>
      </c>
      <c r="K3414" s="1243">
        <f>'WPB-2.1.D SMRP'!K1355</f>
        <v>452.83</v>
      </c>
      <c r="L3414" s="1243">
        <v>0</v>
      </c>
      <c r="M3414" s="1243">
        <f>F3414</f>
        <v>-620.99219753817829</v>
      </c>
      <c r="N3414" s="1243">
        <f>'WPB-2.1.D SMRP'!N1355</f>
        <v>0</v>
      </c>
      <c r="O3414" s="1243">
        <f>I3414+K3414+L3414+M3414+N3414</f>
        <v>-74849.438294887499</v>
      </c>
    </row>
    <row r="3415" spans="1:16">
      <c r="A3415" s="361">
        <f t="shared" si="647"/>
        <v>28</v>
      </c>
      <c r="B3415" s="365">
        <v>383</v>
      </c>
      <c r="C3415" s="358" t="s">
        <v>1779</v>
      </c>
      <c r="D3415" s="1244">
        <f>G3301</f>
        <v>169262.40961912516</v>
      </c>
      <c r="E3415" s="1244">
        <f>'WPB-2.1.D SMRP'!E1356</f>
        <v>3490.0200886073349</v>
      </c>
      <c r="F3415" s="1244">
        <f>'WPB-2.1.D SMRP'!F1356</f>
        <v>-87.041752135388975</v>
      </c>
      <c r="G3415" s="1244">
        <f>SUM(D3415:F3415)</f>
        <v>172665.38795559711</v>
      </c>
      <c r="H3415" s="1243"/>
      <c r="I3415" s="1244">
        <f>O3301</f>
        <v>-7648.6012854036217</v>
      </c>
      <c r="J3415" s="376">
        <f>+J3301</f>
        <v>2.2200000000000001E-2</v>
      </c>
      <c r="K3415" s="1244">
        <f>'WPB-2.1.D SMRP'!K1356</f>
        <v>316.27999999999997</v>
      </c>
      <c r="L3415" s="1244">
        <v>0</v>
      </c>
      <c r="M3415" s="1244">
        <f>F3415</f>
        <v>-87.041752135388975</v>
      </c>
      <c r="N3415" s="1244">
        <f>'WPB-2.1.D SMRP'!N1356</f>
        <v>0</v>
      </c>
      <c r="O3415" s="1244">
        <f>I3415+K3415+L3415+M3415+N3415</f>
        <v>-7419.3630375390112</v>
      </c>
    </row>
    <row r="3416" spans="1:16">
      <c r="A3416" s="361">
        <f t="shared" si="647"/>
        <v>29</v>
      </c>
      <c r="C3416" s="358" t="s">
        <v>1780</v>
      </c>
      <c r="D3416" s="1243">
        <f>SUM(D3411:D3415)</f>
        <v>85226894.477987528</v>
      </c>
      <c r="E3416" s="1243">
        <f>SUM(E3411:E3415)</f>
        <v>2906976.6766955489</v>
      </c>
      <c r="F3416" s="1243">
        <f>SUM(F3411:F3415)</f>
        <v>-273200.22530615976</v>
      </c>
      <c r="G3416" s="1243">
        <f>SUM(G3411:G3415)</f>
        <v>87860670.92937693</v>
      </c>
      <c r="H3416" s="1243"/>
      <c r="I3416" s="1243">
        <f>SUM(I3411:I3415)</f>
        <v>-12889492.701529985</v>
      </c>
      <c r="J3416" s="369"/>
      <c r="K3416" s="1243">
        <f>SUM(K3411:K3415)</f>
        <v>202313.57</v>
      </c>
      <c r="L3416" s="1243">
        <f>SUM(L3411:L3415)</f>
        <v>0</v>
      </c>
      <c r="M3416" s="1243">
        <f>SUM(M3411:M3415)</f>
        <v>-273200.22530615976</v>
      </c>
      <c r="N3416" s="1243">
        <f>SUM(N3411:N3415)</f>
        <v>-89524.468303690199</v>
      </c>
      <c r="O3416" s="1243">
        <f>SUM(O3411:O3415)</f>
        <v>-13049903.825139834</v>
      </c>
    </row>
    <row r="3417" spans="1:16">
      <c r="A3417" s="361"/>
      <c r="D3417" s="1243"/>
      <c r="E3417" s="1243"/>
      <c r="F3417" s="1243"/>
      <c r="G3417" s="1243"/>
      <c r="H3417" s="1243"/>
      <c r="I3417" s="1243"/>
      <c r="J3417" s="369"/>
      <c r="K3417" s="1243"/>
      <c r="L3417" s="1243"/>
      <c r="M3417" s="1243"/>
      <c r="N3417" s="1243"/>
      <c r="O3417" s="1243"/>
    </row>
    <row r="3418" spans="1:16" ht="13.5" thickBot="1">
      <c r="A3418" s="361">
        <f>A3416+1</f>
        <v>30</v>
      </c>
      <c r="C3418" s="358" t="s">
        <v>447</v>
      </c>
      <c r="D3418" s="1248">
        <f>D3407+D3416</f>
        <v>859274907.4255358</v>
      </c>
      <c r="E3418" s="1248">
        <f>E3407+E3416</f>
        <v>5210143.4482966643</v>
      </c>
      <c r="F3418" s="1248">
        <f>F3407+F3416</f>
        <v>-527669.53056418942</v>
      </c>
      <c r="G3418" s="1248">
        <f>G3407+G3416</f>
        <v>863957381.34326816</v>
      </c>
      <c r="H3418" s="1243"/>
      <c r="I3418" s="1248">
        <f>I3407+I3416</f>
        <v>179956083.05680385</v>
      </c>
      <c r="J3418" s="369"/>
      <c r="K3418" s="1248">
        <f>K3407+K3416</f>
        <v>2408410.9276522999</v>
      </c>
      <c r="L3418" s="1248">
        <f>L3407+L3416</f>
        <v>5270.0000000000009</v>
      </c>
      <c r="M3418" s="1248">
        <f>M3407+M3416</f>
        <v>-527669.53056418942</v>
      </c>
      <c r="N3418" s="1248">
        <f>N3407+N3416</f>
        <v>-148841.22333387382</v>
      </c>
      <c r="O3418" s="1248">
        <f>O3407+O3416</f>
        <v>181693253.23055807</v>
      </c>
    </row>
    <row r="3419" spans="1:16" ht="13.5" thickTop="1"/>
    <row r="3421" spans="1:16" s="291" customFormat="1">
      <c r="A3421" s="1308" t="str">
        <f>$A$1</f>
        <v>COLUMBIA GAS OF KENTUCKY, INC.</v>
      </c>
      <c r="B3421" s="1308"/>
      <c r="C3421" s="1308"/>
      <c r="D3421" s="1308"/>
      <c r="E3421" s="1308"/>
      <c r="F3421" s="1308"/>
      <c r="G3421" s="1308"/>
      <c r="H3421" s="1308"/>
      <c r="I3421" s="1308"/>
      <c r="J3421" s="1308"/>
      <c r="K3421" s="1308"/>
      <c r="L3421" s="1308"/>
      <c r="M3421" s="1308"/>
      <c r="N3421" s="1308"/>
      <c r="O3421" s="1308"/>
    </row>
    <row r="3422" spans="1:16" s="291" customFormat="1">
      <c r="A3422" s="1308" t="str">
        <f>$A$2</f>
        <v>CASE NO. 2024 - 00092</v>
      </c>
      <c r="B3422" s="1308"/>
      <c r="C3422" s="1308"/>
      <c r="D3422" s="1308"/>
      <c r="E3422" s="1308"/>
      <c r="F3422" s="1308"/>
      <c r="G3422" s="1308"/>
      <c r="H3422" s="1308"/>
      <c r="I3422" s="1308"/>
      <c r="J3422" s="1308"/>
      <c r="K3422" s="1308"/>
      <c r="L3422" s="1308"/>
      <c r="M3422" s="1308"/>
      <c r="N3422" s="1308"/>
      <c r="O3422" s="1308"/>
    </row>
    <row r="3423" spans="1:16" s="291" customFormat="1">
      <c r="A3423" s="1308" t="str">
        <f>$A$3</f>
        <v>DETAIL OF ACTUAL &amp; FORECASTED PLANT, ACCUMULATED RESERVE &amp; DEPRECIATION EXPENSE</v>
      </c>
      <c r="B3423" s="1308"/>
      <c r="C3423" s="1308"/>
      <c r="D3423" s="1308"/>
      <c r="E3423" s="1308"/>
      <c r="F3423" s="1308"/>
      <c r="G3423" s="1308"/>
      <c r="H3423" s="1308"/>
      <c r="I3423" s="1308"/>
      <c r="J3423" s="1308"/>
      <c r="K3423" s="1308"/>
      <c r="L3423" s="1308"/>
      <c r="M3423" s="1308"/>
      <c r="N3423" s="1308"/>
      <c r="O3423" s="1308"/>
      <c r="P3423" s="357"/>
    </row>
    <row r="3424" spans="1:16" s="291" customFormat="1">
      <c r="A3424" s="1308" t="str">
        <f>$A$4</f>
        <v>FROM JANUARY 01, 2023 THROUGH DECEMBER 31, 2025</v>
      </c>
      <c r="B3424" s="1308"/>
      <c r="C3424" s="1308"/>
      <c r="D3424" s="1308"/>
      <c r="E3424" s="1308"/>
      <c r="F3424" s="1308"/>
      <c r="G3424" s="1308"/>
      <c r="H3424" s="1308"/>
      <c r="I3424" s="1308"/>
      <c r="J3424" s="1308"/>
      <c r="K3424" s="1308"/>
      <c r="L3424" s="1308"/>
      <c r="M3424" s="1308"/>
      <c r="N3424" s="1308"/>
      <c r="O3424" s="1308"/>
    </row>
    <row r="3425" spans="1:16" s="291" customFormat="1">
      <c r="B3425" s="293"/>
      <c r="P3425" s="312"/>
    </row>
    <row r="3426" spans="1:16" s="291" customFormat="1">
      <c r="A3426" s="297" t="str">
        <f>$A$6</f>
        <v xml:space="preserve">DATA: _X_ BASE PERIOD _X_ FORECASTED PERIOD     </v>
      </c>
      <c r="B3426" s="293"/>
      <c r="O3426" s="312" t="str">
        <f>$O$6</f>
        <v>WPB-2.1.C</v>
      </c>
      <c r="P3426" s="312"/>
    </row>
    <row r="3427" spans="1:16" s="291" customFormat="1">
      <c r="A3427" s="297" t="str">
        <f>$A$7</f>
        <v>TYPE OF FILING:___X___ORIGINAL______UPDATED</v>
      </c>
      <c r="B3427" s="293"/>
      <c r="O3427" s="312" t="s">
        <v>2162</v>
      </c>
      <c r="P3427" s="312"/>
    </row>
    <row r="3428" spans="1:16" s="291" customFormat="1">
      <c r="A3428" s="297" t="str">
        <f>$A$8</f>
        <v>WORKPAPER REFERENCE NO(S).:</v>
      </c>
      <c r="B3428" s="293"/>
      <c r="O3428" s="312" t="str">
        <f>$O$8</f>
        <v>WITNESS: GORE</v>
      </c>
    </row>
    <row r="3429" spans="1:16">
      <c r="A3429" s="918"/>
      <c r="B3429" s="919"/>
      <c r="C3429" s="918"/>
      <c r="D3429" s="918"/>
      <c r="E3429" s="918"/>
      <c r="F3429" s="918"/>
      <c r="G3429" s="918"/>
      <c r="H3429" s="918"/>
      <c r="I3429" s="918"/>
      <c r="J3429" s="918"/>
      <c r="K3429" s="918"/>
      <c r="L3429" s="918"/>
      <c r="M3429" s="918"/>
      <c r="N3429" s="918"/>
      <c r="O3429" s="920"/>
    </row>
    <row r="3430" spans="1:16">
      <c r="D3430" s="1311" t="s">
        <v>1768</v>
      </c>
      <c r="E3430" s="1311"/>
      <c r="F3430" s="1311"/>
      <c r="G3430" s="1311"/>
      <c r="I3430" s="1311" t="s">
        <v>1769</v>
      </c>
      <c r="J3430" s="1311"/>
      <c r="K3430" s="1311"/>
      <c r="L3430" s="1311"/>
      <c r="M3430" s="1311"/>
      <c r="N3430" s="1311"/>
      <c r="O3430" s="1311"/>
    </row>
    <row r="3431" spans="1:16">
      <c r="D3431" s="360">
        <f>G3376+1</f>
        <v>45839</v>
      </c>
      <c r="G3431" s="360">
        <f>D3431+30</f>
        <v>45869</v>
      </c>
      <c r="I3431" s="360">
        <f>D3431</f>
        <v>45839</v>
      </c>
      <c r="O3431" s="360">
        <f>G3431</f>
        <v>45869</v>
      </c>
    </row>
    <row r="3432" spans="1:16">
      <c r="D3432" s="361" t="s">
        <v>1757</v>
      </c>
      <c r="G3432" s="361" t="s">
        <v>1757</v>
      </c>
      <c r="I3432" s="361" t="s">
        <v>1758</v>
      </c>
      <c r="J3432" s="361" t="s">
        <v>488</v>
      </c>
      <c r="L3432" s="361" t="s">
        <v>1758</v>
      </c>
      <c r="O3432" s="361" t="s">
        <v>1758</v>
      </c>
    </row>
    <row r="3433" spans="1:16">
      <c r="A3433" s="361" t="s">
        <v>1770</v>
      </c>
      <c r="B3433" s="361" t="s">
        <v>368</v>
      </c>
      <c r="C3433" s="361"/>
      <c r="D3433" s="361" t="s">
        <v>437</v>
      </c>
      <c r="G3433" s="361" t="s">
        <v>439</v>
      </c>
      <c r="I3433" s="361" t="s">
        <v>437</v>
      </c>
      <c r="J3433" s="361" t="s">
        <v>1771</v>
      </c>
      <c r="K3433" s="361" t="s">
        <v>1772</v>
      </c>
      <c r="L3433" s="361" t="s">
        <v>1759</v>
      </c>
      <c r="N3433" s="361" t="s">
        <v>1760</v>
      </c>
      <c r="O3433" s="361" t="s">
        <v>439</v>
      </c>
    </row>
    <row r="3434" spans="1:16">
      <c r="A3434" s="364" t="s">
        <v>316</v>
      </c>
      <c r="B3434" s="364" t="s">
        <v>316</v>
      </c>
      <c r="C3434" s="364" t="s">
        <v>451</v>
      </c>
      <c r="D3434" s="364" t="s">
        <v>441</v>
      </c>
      <c r="E3434" s="364" t="s">
        <v>442</v>
      </c>
      <c r="F3434" s="364" t="s">
        <v>443</v>
      </c>
      <c r="G3434" s="364" t="s">
        <v>441</v>
      </c>
      <c r="I3434" s="364" t="s">
        <v>441</v>
      </c>
      <c r="J3434" s="364" t="s">
        <v>1773</v>
      </c>
      <c r="K3434" s="364" t="s">
        <v>1771</v>
      </c>
      <c r="L3434" s="364" t="s">
        <v>355</v>
      </c>
      <c r="M3434" s="364" t="s">
        <v>443</v>
      </c>
      <c r="N3434" s="364" t="s">
        <v>1763</v>
      </c>
      <c r="O3434" s="364" t="s">
        <v>441</v>
      </c>
    </row>
    <row r="3435" spans="1:16">
      <c r="D3435" s="361" t="s">
        <v>532</v>
      </c>
      <c r="E3435" s="361" t="s">
        <v>541</v>
      </c>
      <c r="F3435" s="361" t="s">
        <v>542</v>
      </c>
      <c r="G3435" s="361" t="s">
        <v>1764</v>
      </c>
      <c r="I3435" s="334" t="str">
        <f>"(5)"</f>
        <v>(5)</v>
      </c>
      <c r="J3435" s="334" t="str">
        <f>"(6)"</f>
        <v>(6)</v>
      </c>
      <c r="K3435" s="334" t="str">
        <f>"(7)=((1+4)/2*6/12))"</f>
        <v>(7)=((1+4)/2*6/12))</v>
      </c>
      <c r="L3435" s="334" t="str">
        <f>"(8)"</f>
        <v>(8)</v>
      </c>
      <c r="M3435" s="334" t="str">
        <f>"(9)"</f>
        <v>(9)</v>
      </c>
      <c r="N3435" s="334" t="str">
        <f>"(10)"</f>
        <v>(10)</v>
      </c>
      <c r="O3435" s="334" t="str">
        <f>"(11=5+7+8+9+10)"</f>
        <v>(11=5+7+8+9+10)</v>
      </c>
    </row>
    <row r="3436" spans="1:16">
      <c r="D3436" s="361" t="s">
        <v>320</v>
      </c>
      <c r="E3436" s="361" t="s">
        <v>320</v>
      </c>
      <c r="F3436" s="361" t="s">
        <v>320</v>
      </c>
      <c r="G3436" s="361" t="s">
        <v>320</v>
      </c>
      <c r="I3436" s="334" t="s">
        <v>320</v>
      </c>
      <c r="J3436" s="334" t="s">
        <v>529</v>
      </c>
      <c r="K3436" s="334" t="s">
        <v>320</v>
      </c>
      <c r="L3436" s="334" t="s">
        <v>320</v>
      </c>
      <c r="M3436" s="334" t="s">
        <v>320</v>
      </c>
      <c r="N3436" s="334" t="s">
        <v>320</v>
      </c>
      <c r="O3436" s="334" t="s">
        <v>320</v>
      </c>
    </row>
    <row r="3437" spans="1:16">
      <c r="A3437" s="361">
        <v>1</v>
      </c>
      <c r="B3437" s="362" t="s">
        <v>373</v>
      </c>
      <c r="D3437" s="361"/>
      <c r="E3437" s="361"/>
      <c r="F3437" s="361"/>
      <c r="G3437" s="361"/>
      <c r="I3437" s="334"/>
      <c r="J3437" s="334"/>
      <c r="K3437" s="334"/>
      <c r="L3437" s="334"/>
      <c r="M3437" s="334"/>
      <c r="N3437" s="334"/>
      <c r="O3437" s="334"/>
    </row>
    <row r="3438" spans="1:16">
      <c r="A3438" s="361">
        <f>A3437+1</f>
        <v>2</v>
      </c>
      <c r="B3438" s="365">
        <v>301</v>
      </c>
      <c r="C3438" s="358" t="s">
        <v>374</v>
      </c>
      <c r="D3438" s="1243">
        <f t="shared" ref="D3438:D3443" si="648">G3324</f>
        <v>521.20000000000005</v>
      </c>
      <c r="E3438" s="1243">
        <v>0</v>
      </c>
      <c r="F3438" s="1243">
        <v>0</v>
      </c>
      <c r="G3438" s="1243">
        <f t="shared" ref="G3438:G3443" si="649">SUM(D3438:F3438)</f>
        <v>521.20000000000005</v>
      </c>
      <c r="H3438" s="1243"/>
      <c r="I3438" s="1243">
        <f t="shared" ref="I3438:I3443" si="650">O3324</f>
        <v>0</v>
      </c>
      <c r="J3438" s="375" t="str">
        <f>$J$1614</f>
        <v>Amort.</v>
      </c>
      <c r="K3438" s="1243">
        <v>0</v>
      </c>
      <c r="L3438" s="1243">
        <v>0</v>
      </c>
      <c r="M3438" s="1243">
        <f t="shared" ref="M3438:M3443" si="651">F3438</f>
        <v>0</v>
      </c>
      <c r="N3438" s="1243">
        <v>0</v>
      </c>
      <c r="O3438" s="1243">
        <f t="shared" ref="O3438:O3443" si="652">I3438+K3438+L3438+M3438+N3438</f>
        <v>0</v>
      </c>
    </row>
    <row r="3439" spans="1:16">
      <c r="A3439" s="361">
        <f t="shared" ref="A3439:A3444" si="653">A3438+1</f>
        <v>3</v>
      </c>
      <c r="B3439" s="365">
        <v>303</v>
      </c>
      <c r="C3439" s="358" t="s">
        <v>375</v>
      </c>
      <c r="D3439" s="1243">
        <f t="shared" si="648"/>
        <v>81146.899999999994</v>
      </c>
      <c r="E3439" s="1243">
        <v>0</v>
      </c>
      <c r="F3439" s="1243">
        <v>0</v>
      </c>
      <c r="G3439" s="1243">
        <f t="shared" si="649"/>
        <v>81146.899999999994</v>
      </c>
      <c r="H3439" s="1243"/>
      <c r="I3439" s="1243">
        <f t="shared" si="650"/>
        <v>68428.238791666794</v>
      </c>
      <c r="J3439" s="375" t="str">
        <f>$J$1615</f>
        <v>Amort.</v>
      </c>
      <c r="K3439" s="1243">
        <f>+'WPB-2.1.E Intangibles'!K53</f>
        <v>225.41</v>
      </c>
      <c r="L3439" s="1243">
        <v>0</v>
      </c>
      <c r="M3439" s="1243">
        <f t="shared" si="651"/>
        <v>0</v>
      </c>
      <c r="N3439" s="1243">
        <v>0</v>
      </c>
      <c r="O3439" s="1243">
        <f t="shared" si="652"/>
        <v>68653.648791666797</v>
      </c>
    </row>
    <row r="3440" spans="1:16">
      <c r="A3440" s="361">
        <f t="shared" si="653"/>
        <v>4</v>
      </c>
      <c r="B3440" s="365">
        <v>303.10000000000002</v>
      </c>
      <c r="C3440" s="358" t="s">
        <v>376</v>
      </c>
      <c r="D3440" s="1243">
        <f t="shared" si="648"/>
        <v>943.27</v>
      </c>
      <c r="E3440" s="1243">
        <v>0</v>
      </c>
      <c r="F3440" s="1243">
        <v>0</v>
      </c>
      <c r="G3440" s="1243">
        <f t="shared" si="649"/>
        <v>943.27</v>
      </c>
      <c r="H3440" s="1243"/>
      <c r="I3440" s="1243">
        <f t="shared" si="650"/>
        <v>318.35000000000008</v>
      </c>
      <c r="J3440" s="375" t="str">
        <f>$J$1616</f>
        <v>Amort.</v>
      </c>
      <c r="K3440" s="1243">
        <v>0</v>
      </c>
      <c r="L3440" s="1243">
        <v>0</v>
      </c>
      <c r="M3440" s="1243">
        <f t="shared" si="651"/>
        <v>0</v>
      </c>
      <c r="N3440" s="1243">
        <v>0</v>
      </c>
      <c r="O3440" s="1243">
        <f t="shared" si="652"/>
        <v>318.35000000000008</v>
      </c>
    </row>
    <row r="3441" spans="1:15">
      <c r="A3441" s="361">
        <f t="shared" si="653"/>
        <v>5</v>
      </c>
      <c r="B3441" s="365">
        <v>303.2</v>
      </c>
      <c r="C3441" s="358" t="s">
        <v>377</v>
      </c>
      <c r="D3441" s="1243">
        <f t="shared" si="648"/>
        <v>0</v>
      </c>
      <c r="E3441" s="1243">
        <v>0</v>
      </c>
      <c r="F3441" s="1243">
        <v>0</v>
      </c>
      <c r="G3441" s="1243">
        <f t="shared" si="649"/>
        <v>0</v>
      </c>
      <c r="H3441" s="1243"/>
      <c r="I3441" s="1243">
        <f t="shared" si="650"/>
        <v>0</v>
      </c>
      <c r="J3441" s="375" t="str">
        <f>$J$1617</f>
        <v>Amort.</v>
      </c>
      <c r="K3441" s="1243">
        <v>0</v>
      </c>
      <c r="L3441" s="1243">
        <v>0</v>
      </c>
      <c r="M3441" s="1243">
        <f t="shared" si="651"/>
        <v>0</v>
      </c>
      <c r="N3441" s="1243">
        <v>0</v>
      </c>
      <c r="O3441" s="1243">
        <f t="shared" si="652"/>
        <v>0</v>
      </c>
    </row>
    <row r="3442" spans="1:15">
      <c r="A3442" s="361">
        <f t="shared" si="653"/>
        <v>6</v>
      </c>
      <c r="B3442" s="365">
        <v>303.3</v>
      </c>
      <c r="C3442" s="358" t="s">
        <v>378</v>
      </c>
      <c r="D3442" s="1243">
        <f t="shared" si="648"/>
        <v>17127759.361049011</v>
      </c>
      <c r="E3442" s="1243">
        <f>+'WPB-2.1.E Intangibles'!K26</f>
        <v>308137.34090000001</v>
      </c>
      <c r="F3442" s="1243">
        <f>-'WPB-2.1.E Intangibles'!K41</f>
        <v>-110228.52999999998</v>
      </c>
      <c r="G3442" s="1243">
        <f t="shared" si="649"/>
        <v>17325668.17194901</v>
      </c>
      <c r="H3442" s="1243"/>
      <c r="I3442" s="1243">
        <f t="shared" si="650"/>
        <v>6632317.4721427122</v>
      </c>
      <c r="J3442" s="375" t="str">
        <f>$J$1618</f>
        <v>Amort.</v>
      </c>
      <c r="K3442" s="1243">
        <f>+'WPB-2.1.E Intangibles'!K54</f>
        <v>262245.07989721675</v>
      </c>
      <c r="L3442" s="1243">
        <v>0</v>
      </c>
      <c r="M3442" s="1243">
        <f t="shared" si="651"/>
        <v>-110228.52999999998</v>
      </c>
      <c r="N3442" s="1243">
        <v>0</v>
      </c>
      <c r="O3442" s="1243">
        <f t="shared" si="652"/>
        <v>6784334.0220399285</v>
      </c>
    </row>
    <row r="3443" spans="1:15">
      <c r="A3443" s="361">
        <f t="shared" si="653"/>
        <v>7</v>
      </c>
      <c r="B3443" s="365">
        <v>303.99</v>
      </c>
      <c r="C3443" s="358" t="s">
        <v>1129</v>
      </c>
      <c r="D3443" s="1244">
        <f t="shared" si="648"/>
        <v>4323319.1596641792</v>
      </c>
      <c r="E3443" s="1244">
        <f>+'WPB-2.1.E Intangibles'!K30</f>
        <v>5474.0554032724558</v>
      </c>
      <c r="F3443" s="1244">
        <f>-'WPB-2.1.E Intangibles'!K42</f>
        <v>-9526.1</v>
      </c>
      <c r="G3443" s="1244">
        <f t="shared" si="649"/>
        <v>4319267.1150674522</v>
      </c>
      <c r="H3443" s="1243"/>
      <c r="I3443" s="1244">
        <f t="shared" si="650"/>
        <v>1336440.4573451397</v>
      </c>
      <c r="J3443" s="375" t="str">
        <f>$J$1619</f>
        <v>Amort.</v>
      </c>
      <c r="K3443" s="1244">
        <f>+'WPB-2.1.E Intangibles'!K55</f>
        <v>61544.932395316428</v>
      </c>
      <c r="L3443" s="1244">
        <v>0</v>
      </c>
      <c r="M3443" s="1244">
        <f t="shared" si="651"/>
        <v>-9526.1</v>
      </c>
      <c r="N3443" s="1244">
        <v>0</v>
      </c>
      <c r="O3443" s="1244">
        <f t="shared" si="652"/>
        <v>1388459.289740456</v>
      </c>
    </row>
    <row r="3444" spans="1:15">
      <c r="A3444" s="361">
        <f t="shared" si="653"/>
        <v>8</v>
      </c>
      <c r="B3444" s="367"/>
      <c r="C3444" s="358" t="s">
        <v>379</v>
      </c>
      <c r="D3444" s="1243">
        <f>SUM(D3438:D3443)</f>
        <v>21533689.890713193</v>
      </c>
      <c r="E3444" s="1243">
        <f>SUM(E3438:E3443)</f>
        <v>313611.39630327246</v>
      </c>
      <c r="F3444" s="1243">
        <f>SUM(F3438:F3443)</f>
        <v>-119754.62999999999</v>
      </c>
      <c r="G3444" s="1243">
        <f>SUM(G3438:G3443)</f>
        <v>21727546.657016464</v>
      </c>
      <c r="H3444" s="1243"/>
      <c r="I3444" s="1243">
        <f>SUM(I3438:I3443)</f>
        <v>8037504.5182795189</v>
      </c>
      <c r="J3444" s="369"/>
      <c r="K3444" s="1243">
        <f>SUM(K3438:K3443)</f>
        <v>324015.42229253316</v>
      </c>
      <c r="L3444" s="1243">
        <f>SUM(L3438:L3443)</f>
        <v>0</v>
      </c>
      <c r="M3444" s="1243">
        <f>SUM(M3438:M3443)</f>
        <v>-119754.62999999999</v>
      </c>
      <c r="N3444" s="1243">
        <f>SUM(N3438:N3443)</f>
        <v>0</v>
      </c>
      <c r="O3444" s="1243">
        <f>SUM(O3438:O3443)</f>
        <v>8241765.3105720514</v>
      </c>
    </row>
    <row r="3445" spans="1:15">
      <c r="A3445" s="361"/>
      <c r="B3445" s="367"/>
      <c r="C3445" s="368"/>
      <c r="D3445" s="1243"/>
      <c r="E3445" s="1243"/>
      <c r="F3445" s="1243"/>
      <c r="G3445" s="1243"/>
      <c r="H3445" s="1243"/>
      <c r="I3445" s="1243"/>
      <c r="J3445" s="369"/>
      <c r="K3445" s="1243"/>
      <c r="L3445" s="1243"/>
      <c r="M3445" s="1243"/>
      <c r="N3445" s="1243"/>
      <c r="O3445" s="1243"/>
    </row>
    <row r="3446" spans="1:15">
      <c r="A3446" s="361">
        <f>A3444+1</f>
        <v>9</v>
      </c>
      <c r="B3446" s="362" t="s">
        <v>1600</v>
      </c>
      <c r="C3446" s="368"/>
      <c r="D3446" s="1243"/>
      <c r="E3446" s="1243"/>
      <c r="F3446" s="1243"/>
      <c r="G3446" s="1243"/>
      <c r="H3446" s="1243"/>
      <c r="I3446" s="1243"/>
      <c r="J3446" s="369"/>
      <c r="K3446" s="1243"/>
      <c r="L3446" s="1243"/>
      <c r="M3446" s="1243"/>
      <c r="N3446" s="1243"/>
      <c r="O3446" s="1243"/>
    </row>
    <row r="3447" spans="1:15">
      <c r="A3447" s="361">
        <f t="shared" ref="A3447:A3477" si="654">A3446+1</f>
        <v>10</v>
      </c>
      <c r="B3447" s="365">
        <v>374.1</v>
      </c>
      <c r="C3447" s="358" t="s">
        <v>382</v>
      </c>
      <c r="D3447" s="1243">
        <f t="shared" ref="D3447:D3476" si="655">G3333</f>
        <v>205.4</v>
      </c>
      <c r="E3447" s="1243">
        <v>0</v>
      </c>
      <c r="F3447" s="1243">
        <v>0</v>
      </c>
      <c r="G3447" s="1243">
        <f>SUM(D3447:F3447)</f>
        <v>205.4</v>
      </c>
      <c r="H3447" s="1243"/>
      <c r="I3447" s="1243">
        <f t="shared" ref="I3447:I3476" si="656">O3333</f>
        <v>0</v>
      </c>
      <c r="J3447" s="375" t="str">
        <f>$J$1623</f>
        <v>Non-Dep.</v>
      </c>
      <c r="K3447" s="1243">
        <v>0</v>
      </c>
      <c r="L3447" s="1243">
        <v>0</v>
      </c>
      <c r="M3447" s="1243">
        <f t="shared" ref="M3447:M3476" si="657">F3447</f>
        <v>0</v>
      </c>
      <c r="N3447" s="1243">
        <v>0</v>
      </c>
      <c r="O3447" s="1243">
        <f t="shared" ref="O3447:O3476" si="658">I3447+K3447+L3447+M3447+N3447</f>
        <v>0</v>
      </c>
    </row>
    <row r="3448" spans="1:15">
      <c r="A3448" s="361">
        <f t="shared" si="654"/>
        <v>11</v>
      </c>
      <c r="B3448" s="365">
        <v>374.2</v>
      </c>
      <c r="C3448" s="358" t="s">
        <v>383</v>
      </c>
      <c r="D3448" s="1243">
        <f t="shared" si="655"/>
        <v>876986.66</v>
      </c>
      <c r="E3448" s="1243">
        <v>0</v>
      </c>
      <c r="F3448" s="1243">
        <v>0</v>
      </c>
      <c r="G3448" s="1243">
        <f t="shared" ref="G3448:G3476" si="659">SUM(D3448:F3448)</f>
        <v>876986.66</v>
      </c>
      <c r="H3448" s="1243"/>
      <c r="I3448" s="1243">
        <f t="shared" si="656"/>
        <v>-522.25</v>
      </c>
      <c r="J3448" s="375" t="str">
        <f>$J$1624</f>
        <v>Non-Dep.</v>
      </c>
      <c r="K3448" s="1243">
        <v>0</v>
      </c>
      <c r="L3448" s="1243">
        <v>0</v>
      </c>
      <c r="M3448" s="1243">
        <f t="shared" si="657"/>
        <v>0</v>
      </c>
      <c r="N3448" s="1243">
        <v>0</v>
      </c>
      <c r="O3448" s="1243">
        <f t="shared" si="658"/>
        <v>-522.25</v>
      </c>
    </row>
    <row r="3449" spans="1:15">
      <c r="A3449" s="361">
        <f t="shared" si="654"/>
        <v>12</v>
      </c>
      <c r="B3449" s="365">
        <v>374.4</v>
      </c>
      <c r="C3449" s="358" t="s">
        <v>384</v>
      </c>
      <c r="D3449" s="1243">
        <f t="shared" si="655"/>
        <v>3147484.7500000005</v>
      </c>
      <c r="E3449" s="1243">
        <v>145237.66</v>
      </c>
      <c r="F3449" s="1243">
        <v>0</v>
      </c>
      <c r="G3449" s="1243">
        <f t="shared" si="659"/>
        <v>3292722.4100000006</v>
      </c>
      <c r="H3449" s="1243"/>
      <c r="I3449" s="1243">
        <f t="shared" si="656"/>
        <v>410334.77</v>
      </c>
      <c r="J3449" s="376">
        <f t="shared" ref="J3449:J3476" si="660">+J3335</f>
        <v>1.3299999999999999E-2</v>
      </c>
      <c r="K3449" s="1243">
        <f t="shared" ref="K3449:K3455" si="661">ROUND((G3449+D3449)/2*J3449/12,0)</f>
        <v>3569</v>
      </c>
      <c r="L3449" s="1243">
        <v>0</v>
      </c>
      <c r="M3449" s="1243">
        <f t="shared" si="657"/>
        <v>0</v>
      </c>
      <c r="N3449" s="1243">
        <v>0</v>
      </c>
      <c r="O3449" s="1243">
        <f t="shared" si="658"/>
        <v>413903.77</v>
      </c>
    </row>
    <row r="3450" spans="1:15">
      <c r="A3450" s="361">
        <f t="shared" si="654"/>
        <v>13</v>
      </c>
      <c r="B3450" s="365">
        <v>374.5</v>
      </c>
      <c r="C3450" s="358" t="s">
        <v>385</v>
      </c>
      <c r="D3450" s="1243">
        <f t="shared" si="655"/>
        <v>2666577.16</v>
      </c>
      <c r="E3450" s="1243">
        <v>0</v>
      </c>
      <c r="F3450" s="1243">
        <v>0</v>
      </c>
      <c r="G3450" s="1243">
        <f t="shared" si="659"/>
        <v>2666577.16</v>
      </c>
      <c r="H3450" s="1243"/>
      <c r="I3450" s="1243">
        <f t="shared" si="656"/>
        <v>1200292.1900000013</v>
      </c>
      <c r="J3450" s="376">
        <f t="shared" si="660"/>
        <v>1.0999999999999999E-2</v>
      </c>
      <c r="K3450" s="1243">
        <f t="shared" si="661"/>
        <v>2444</v>
      </c>
      <c r="L3450" s="1243">
        <v>0</v>
      </c>
      <c r="M3450" s="1243">
        <f t="shared" si="657"/>
        <v>0</v>
      </c>
      <c r="N3450" s="1243">
        <v>0</v>
      </c>
      <c r="O3450" s="1243">
        <f t="shared" si="658"/>
        <v>1202736.1900000013</v>
      </c>
    </row>
    <row r="3451" spans="1:15">
      <c r="A3451" s="361">
        <f t="shared" si="654"/>
        <v>14</v>
      </c>
      <c r="B3451" s="365">
        <v>375.2</v>
      </c>
      <c r="C3451" s="358" t="s">
        <v>386</v>
      </c>
      <c r="D3451" s="1243">
        <f t="shared" si="655"/>
        <v>2124.98</v>
      </c>
      <c r="E3451" s="1243">
        <v>0</v>
      </c>
      <c r="F3451" s="1243">
        <v>0</v>
      </c>
      <c r="G3451" s="1243">
        <f t="shared" si="659"/>
        <v>2124.98</v>
      </c>
      <c r="H3451" s="1243"/>
      <c r="I3451" s="1243">
        <f t="shared" si="656"/>
        <v>2127.3000000000002</v>
      </c>
      <c r="J3451" s="376">
        <f t="shared" si="660"/>
        <v>2.3900000000000001E-2</v>
      </c>
      <c r="K3451" s="1243">
        <f t="shared" si="661"/>
        <v>4</v>
      </c>
      <c r="L3451" s="1243">
        <v>0</v>
      </c>
      <c r="M3451" s="1243">
        <f t="shared" si="657"/>
        <v>0</v>
      </c>
      <c r="N3451" s="1243">
        <v>0</v>
      </c>
      <c r="O3451" s="1243">
        <f t="shared" si="658"/>
        <v>2131.3000000000002</v>
      </c>
    </row>
    <row r="3452" spans="1:15">
      <c r="A3452" s="361">
        <f t="shared" si="654"/>
        <v>15</v>
      </c>
      <c r="B3452" s="365">
        <v>375.3</v>
      </c>
      <c r="C3452" s="358" t="s">
        <v>387</v>
      </c>
      <c r="D3452" s="1243">
        <f t="shared" si="655"/>
        <v>0</v>
      </c>
      <c r="E3452" s="1243">
        <v>0</v>
      </c>
      <c r="F3452" s="1243">
        <v>0</v>
      </c>
      <c r="G3452" s="1243">
        <f t="shared" si="659"/>
        <v>0</v>
      </c>
      <c r="H3452" s="1243"/>
      <c r="I3452" s="1243">
        <f t="shared" si="656"/>
        <v>-77.66</v>
      </c>
      <c r="J3452" s="376">
        <f t="shared" si="660"/>
        <v>2.3900000000000001E-2</v>
      </c>
      <c r="K3452" s="1243">
        <f t="shared" si="661"/>
        <v>0</v>
      </c>
      <c r="L3452" s="1243">
        <v>0</v>
      </c>
      <c r="M3452" s="1243">
        <f t="shared" si="657"/>
        <v>0</v>
      </c>
      <c r="N3452" s="1243">
        <v>0</v>
      </c>
      <c r="O3452" s="1243">
        <f t="shared" si="658"/>
        <v>-77.66</v>
      </c>
    </row>
    <row r="3453" spans="1:15">
      <c r="A3453" s="361">
        <f t="shared" si="654"/>
        <v>16</v>
      </c>
      <c r="B3453" s="365">
        <v>375.4</v>
      </c>
      <c r="C3453" s="358" t="s">
        <v>388</v>
      </c>
      <c r="D3453" s="1243">
        <f t="shared" si="655"/>
        <v>4149887.2999999984</v>
      </c>
      <c r="E3453" s="1243">
        <v>134011.13</v>
      </c>
      <c r="F3453" s="1243">
        <v>-68.17</v>
      </c>
      <c r="G3453" s="1243">
        <f t="shared" si="659"/>
        <v>4283830.2599999988</v>
      </c>
      <c r="H3453" s="1243"/>
      <c r="I3453" s="1243">
        <f t="shared" si="656"/>
        <v>49141.810000000172</v>
      </c>
      <c r="J3453" s="376">
        <f t="shared" si="660"/>
        <v>2.3900000000000001E-2</v>
      </c>
      <c r="K3453" s="1243">
        <f t="shared" si="661"/>
        <v>8399</v>
      </c>
      <c r="L3453" s="1243">
        <v>0</v>
      </c>
      <c r="M3453" s="1243">
        <f t="shared" si="657"/>
        <v>-68.17</v>
      </c>
      <c r="N3453" s="1243">
        <v>-22142.240000000002</v>
      </c>
      <c r="O3453" s="1243">
        <f t="shared" si="658"/>
        <v>35330.400000000169</v>
      </c>
    </row>
    <row r="3454" spans="1:15">
      <c r="A3454" s="361">
        <f t="shared" si="654"/>
        <v>17</v>
      </c>
      <c r="B3454" s="365">
        <v>375.6</v>
      </c>
      <c r="C3454" s="358" t="s">
        <v>389</v>
      </c>
      <c r="D3454" s="1243">
        <f t="shared" si="655"/>
        <v>0</v>
      </c>
      <c r="E3454" s="1243">
        <v>0</v>
      </c>
      <c r="F3454" s="1243">
        <v>0</v>
      </c>
      <c r="G3454" s="1243">
        <f t="shared" si="659"/>
        <v>0</v>
      </c>
      <c r="H3454" s="1243"/>
      <c r="I3454" s="1243">
        <f t="shared" si="656"/>
        <v>0.02</v>
      </c>
      <c r="J3454" s="376">
        <f t="shared" si="660"/>
        <v>2.3900000000000001E-2</v>
      </c>
      <c r="K3454" s="1243">
        <f t="shared" si="661"/>
        <v>0</v>
      </c>
      <c r="L3454" s="1243">
        <v>0</v>
      </c>
      <c r="M3454" s="1243">
        <f t="shared" si="657"/>
        <v>0</v>
      </c>
      <c r="N3454" s="1243">
        <v>0</v>
      </c>
      <c r="O3454" s="1243">
        <f t="shared" si="658"/>
        <v>0.02</v>
      </c>
    </row>
    <row r="3455" spans="1:15">
      <c r="A3455" s="361">
        <f t="shared" si="654"/>
        <v>18</v>
      </c>
      <c r="B3455" s="365">
        <v>375.7</v>
      </c>
      <c r="C3455" s="358" t="s">
        <v>390</v>
      </c>
      <c r="D3455" s="1243">
        <f t="shared" si="655"/>
        <v>9703438.9499999993</v>
      </c>
      <c r="E3455" s="1243">
        <v>1460.45</v>
      </c>
      <c r="F3455" s="1243">
        <v>0</v>
      </c>
      <c r="G3455" s="1243">
        <f t="shared" si="659"/>
        <v>9704899.3999999985</v>
      </c>
      <c r="H3455" s="1243"/>
      <c r="I3455" s="1243">
        <f t="shared" si="656"/>
        <v>5031216.8699999982</v>
      </c>
      <c r="J3455" s="376">
        <f t="shared" si="660"/>
        <v>2.5100000000000001E-2</v>
      </c>
      <c r="K3455" s="1243">
        <f t="shared" si="661"/>
        <v>20298</v>
      </c>
      <c r="L3455" s="1243">
        <v>0</v>
      </c>
      <c r="M3455" s="1243">
        <f t="shared" si="657"/>
        <v>0</v>
      </c>
      <c r="N3455" s="1243">
        <v>0</v>
      </c>
      <c r="O3455" s="1243">
        <f t="shared" si="658"/>
        <v>5051514.8699999982</v>
      </c>
    </row>
    <row r="3456" spans="1:15">
      <c r="A3456" s="361">
        <f t="shared" si="654"/>
        <v>19</v>
      </c>
      <c r="B3456" s="365">
        <v>375.71</v>
      </c>
      <c r="C3456" s="358" t="s">
        <v>391</v>
      </c>
      <c r="D3456" s="1243">
        <f t="shared" si="655"/>
        <v>880994.59</v>
      </c>
      <c r="E3456" s="1243">
        <v>0</v>
      </c>
      <c r="F3456" s="1243">
        <v>0</v>
      </c>
      <c r="G3456" s="1243">
        <f t="shared" si="659"/>
        <v>880994.59</v>
      </c>
      <c r="H3456" s="1243"/>
      <c r="I3456" s="1243">
        <f t="shared" si="656"/>
        <v>844346.84000000102</v>
      </c>
      <c r="J3456" s="376" t="str">
        <f t="shared" si="660"/>
        <v>Amort.</v>
      </c>
      <c r="K3456" s="1243">
        <f>$K$1290</f>
        <v>4743.54</v>
      </c>
      <c r="L3456" s="1243">
        <v>0</v>
      </c>
      <c r="M3456" s="1243">
        <f t="shared" si="657"/>
        <v>0</v>
      </c>
      <c r="N3456" s="1243">
        <v>0</v>
      </c>
      <c r="O3456" s="1243">
        <f t="shared" si="658"/>
        <v>849090.38000000105</v>
      </c>
    </row>
    <row r="3457" spans="1:15">
      <c r="A3457" s="361">
        <f t="shared" si="654"/>
        <v>20</v>
      </c>
      <c r="B3457" s="365">
        <v>375.8</v>
      </c>
      <c r="C3457" s="358" t="s">
        <v>392</v>
      </c>
      <c r="D3457" s="1243">
        <f t="shared" si="655"/>
        <v>132125.04</v>
      </c>
      <c r="E3457" s="1243">
        <v>0</v>
      </c>
      <c r="F3457" s="1243">
        <v>0</v>
      </c>
      <c r="G3457" s="1243">
        <f t="shared" si="659"/>
        <v>132125.04</v>
      </c>
      <c r="H3457" s="1243"/>
      <c r="I3457" s="1243">
        <f t="shared" si="656"/>
        <v>15940.43</v>
      </c>
      <c r="J3457" s="376">
        <f t="shared" si="660"/>
        <v>2.1100000000000001E-2</v>
      </c>
      <c r="K3457" s="1243">
        <f t="shared" ref="K3457:K3476" si="662">ROUND((G3457+D3457)/2*J3457/12,0)</f>
        <v>232</v>
      </c>
      <c r="L3457" s="1243">
        <v>0</v>
      </c>
      <c r="M3457" s="1243">
        <f t="shared" si="657"/>
        <v>0</v>
      </c>
      <c r="N3457" s="1243">
        <v>0</v>
      </c>
      <c r="O3457" s="1243">
        <f t="shared" si="658"/>
        <v>16172.43</v>
      </c>
    </row>
    <row r="3458" spans="1:15">
      <c r="A3458" s="361">
        <f t="shared" si="654"/>
        <v>21</v>
      </c>
      <c r="B3458" s="365">
        <v>376</v>
      </c>
      <c r="C3458" s="358" t="s">
        <v>1621</v>
      </c>
      <c r="D3458" s="1243">
        <f t="shared" si="655"/>
        <v>423229240.28994858</v>
      </c>
      <c r="E3458" s="1243">
        <f>'WPB-2.1.D SMRP'!E1407</f>
        <v>195124.55936755543</v>
      </c>
      <c r="F3458" s="1243">
        <f>'WPB-2.1.D SMRP'!F1407</f>
        <v>-44292.73</v>
      </c>
      <c r="G3458" s="1243">
        <f t="shared" si="659"/>
        <v>423380072.1193161</v>
      </c>
      <c r="H3458" s="1243"/>
      <c r="I3458" s="1243">
        <f t="shared" si="656"/>
        <v>89659466.683721811</v>
      </c>
      <c r="J3458" s="376">
        <f t="shared" si="660"/>
        <v>1.7999999999999999E-2</v>
      </c>
      <c r="K3458" s="1243">
        <f>'WPB-2.1.D SMRP'!K1407</f>
        <v>634957.41</v>
      </c>
      <c r="L3458" s="1243">
        <v>0</v>
      </c>
      <c r="M3458" s="1243">
        <f>F3458</f>
        <v>-44292.73</v>
      </c>
      <c r="N3458" s="1243">
        <f>'WPB-2.1.D SMRP'!N1407</f>
        <v>-9632.3828674842989</v>
      </c>
      <c r="O3458" s="1243">
        <f t="shared" si="658"/>
        <v>90240498.980854318</v>
      </c>
    </row>
    <row r="3459" spans="1:15">
      <c r="A3459" s="361">
        <f t="shared" si="654"/>
        <v>22</v>
      </c>
      <c r="B3459" s="365">
        <v>378.1</v>
      </c>
      <c r="C3459" s="358" t="s">
        <v>394</v>
      </c>
      <c r="D3459" s="1243">
        <f t="shared" si="655"/>
        <v>-172291.25</v>
      </c>
      <c r="E3459" s="1243">
        <v>0</v>
      </c>
      <c r="F3459" s="1243">
        <v>0</v>
      </c>
      <c r="G3459" s="1243">
        <f t="shared" si="659"/>
        <v>-172291.25</v>
      </c>
      <c r="H3459" s="1243"/>
      <c r="I3459" s="1243">
        <f t="shared" si="656"/>
        <v>-330469.52000000008</v>
      </c>
      <c r="J3459" s="376">
        <f t="shared" si="660"/>
        <v>3.3099999999999997E-2</v>
      </c>
      <c r="K3459" s="1243">
        <f t="shared" si="662"/>
        <v>-475</v>
      </c>
      <c r="L3459" s="1243">
        <v>0</v>
      </c>
      <c r="M3459" s="1243">
        <f t="shared" si="657"/>
        <v>0</v>
      </c>
      <c r="N3459" s="1243">
        <v>0</v>
      </c>
      <c r="O3459" s="1243">
        <f t="shared" si="658"/>
        <v>-330944.52000000008</v>
      </c>
    </row>
    <row r="3460" spans="1:15">
      <c r="A3460" s="361">
        <f t="shared" si="654"/>
        <v>23</v>
      </c>
      <c r="B3460" s="365">
        <v>378.2</v>
      </c>
      <c r="C3460" s="358" t="s">
        <v>1622</v>
      </c>
      <c r="D3460" s="1243">
        <f t="shared" si="655"/>
        <v>29791170.144601122</v>
      </c>
      <c r="E3460" s="1243">
        <f>'WPB-2.1.D SMRP'!E1411</f>
        <v>1064066.4164779247</v>
      </c>
      <c r="F3460" s="1243">
        <f>'WPB-2.1.D SMRP'!F1411</f>
        <v>0</v>
      </c>
      <c r="G3460" s="1243">
        <f t="shared" si="659"/>
        <v>30855236.561079048</v>
      </c>
      <c r="H3460" s="1243"/>
      <c r="I3460" s="1243">
        <f t="shared" si="656"/>
        <v>3370398.0950729675</v>
      </c>
      <c r="J3460" s="376">
        <f t="shared" si="660"/>
        <v>3.3099999999999997E-2</v>
      </c>
      <c r="K3460" s="1243">
        <f>'WPB-2.1.D SMRP'!K1411</f>
        <v>83641.61</v>
      </c>
      <c r="L3460" s="1243">
        <v>0</v>
      </c>
      <c r="M3460" s="1243">
        <f>F3460</f>
        <v>0</v>
      </c>
      <c r="N3460" s="1243">
        <f>'WPB-2.1.D SMRP'!N1411</f>
        <v>0</v>
      </c>
      <c r="O3460" s="1243">
        <f t="shared" si="658"/>
        <v>3454039.7050729673</v>
      </c>
    </row>
    <row r="3461" spans="1:15">
      <c r="A3461" s="361">
        <f t="shared" si="654"/>
        <v>24</v>
      </c>
      <c r="B3461" s="365">
        <v>378.3</v>
      </c>
      <c r="C3461" s="358" t="s">
        <v>396</v>
      </c>
      <c r="D3461" s="1243">
        <f t="shared" si="655"/>
        <v>45443.08</v>
      </c>
      <c r="E3461" s="1243">
        <v>0</v>
      </c>
      <c r="F3461" s="1243">
        <v>0</v>
      </c>
      <c r="G3461" s="1243">
        <f t="shared" si="659"/>
        <v>45443.08</v>
      </c>
      <c r="H3461" s="1243"/>
      <c r="I3461" s="1243">
        <f t="shared" si="656"/>
        <v>45058.320000000007</v>
      </c>
      <c r="J3461" s="376">
        <f t="shared" si="660"/>
        <v>3.3099999999999997E-2</v>
      </c>
      <c r="K3461" s="1243">
        <f t="shared" si="662"/>
        <v>125</v>
      </c>
      <c r="L3461" s="1243">
        <v>0</v>
      </c>
      <c r="M3461" s="1243">
        <f t="shared" si="657"/>
        <v>0</v>
      </c>
      <c r="N3461" s="1243">
        <v>0</v>
      </c>
      <c r="O3461" s="1243">
        <f t="shared" si="658"/>
        <v>45183.320000000007</v>
      </c>
    </row>
    <row r="3462" spans="1:15">
      <c r="A3462" s="361">
        <f t="shared" si="654"/>
        <v>25</v>
      </c>
      <c r="B3462" s="365">
        <v>379.1</v>
      </c>
      <c r="C3462" s="358" t="s">
        <v>397</v>
      </c>
      <c r="D3462" s="1243">
        <f t="shared" si="655"/>
        <v>1554144.06</v>
      </c>
      <c r="E3462" s="1243">
        <v>0</v>
      </c>
      <c r="F3462" s="1243">
        <v>0</v>
      </c>
      <c r="G3462" s="1243">
        <f t="shared" si="659"/>
        <v>1554144.06</v>
      </c>
      <c r="H3462" s="1243"/>
      <c r="I3462" s="1243">
        <f t="shared" si="656"/>
        <v>408733.19000000006</v>
      </c>
      <c r="J3462" s="376">
        <f t="shared" si="660"/>
        <v>2.5399999999999999E-2</v>
      </c>
      <c r="K3462" s="1243">
        <f t="shared" si="662"/>
        <v>3290</v>
      </c>
      <c r="L3462" s="1243">
        <v>0</v>
      </c>
      <c r="M3462" s="1243">
        <f t="shared" si="657"/>
        <v>0</v>
      </c>
      <c r="N3462" s="1243">
        <v>0</v>
      </c>
      <c r="O3462" s="1243">
        <f t="shared" si="658"/>
        <v>412023.19000000006</v>
      </c>
    </row>
    <row r="3463" spans="1:15">
      <c r="A3463" s="361">
        <f t="shared" si="654"/>
        <v>26</v>
      </c>
      <c r="B3463" s="365">
        <v>380</v>
      </c>
      <c r="C3463" s="358" t="s">
        <v>1623</v>
      </c>
      <c r="D3463" s="1243">
        <f t="shared" si="655"/>
        <v>206946332.58534601</v>
      </c>
      <c r="E3463" s="1243">
        <f>'WPB-2.1.D SMRP'!E1415</f>
        <v>384153.32471262303</v>
      </c>
      <c r="F3463" s="1243">
        <f>'WPB-2.1.D SMRP'!F1415</f>
        <v>-44968.371874356701</v>
      </c>
      <c r="G3463" s="1243">
        <f t="shared" si="659"/>
        <v>207285517.53818429</v>
      </c>
      <c r="H3463" s="1243"/>
      <c r="I3463" s="1243">
        <f t="shared" si="656"/>
        <v>71281062.575055569</v>
      </c>
      <c r="J3463" s="376">
        <f t="shared" si="660"/>
        <v>5.1799999999999999E-2</v>
      </c>
      <c r="K3463" s="1243">
        <f>'WPB-2.1.D SMRP'!K1415</f>
        <v>894050.27</v>
      </c>
      <c r="L3463" s="1243">
        <v>0</v>
      </c>
      <c r="M3463" s="1243">
        <f>F3463</f>
        <v>-44968.371874356701</v>
      </c>
      <c r="N3463" s="1243">
        <f>'WPB-2.1.D SMRP'!N1415</f>
        <v>-43753.871920172998</v>
      </c>
      <c r="O3463" s="1243">
        <f t="shared" si="658"/>
        <v>72086390.601261035</v>
      </c>
    </row>
    <row r="3464" spans="1:15">
      <c r="A3464" s="361">
        <f t="shared" si="654"/>
        <v>27</v>
      </c>
      <c r="B3464" s="365">
        <v>381</v>
      </c>
      <c r="C3464" s="358" t="s">
        <v>399</v>
      </c>
      <c r="D3464" s="1243">
        <f t="shared" si="655"/>
        <v>20686439.970808242</v>
      </c>
      <c r="E3464" s="1243">
        <v>39680.400000000001</v>
      </c>
      <c r="F3464" s="1243">
        <v>-21122.75</v>
      </c>
      <c r="G3464" s="1243">
        <f t="shared" si="659"/>
        <v>20704997.62080824</v>
      </c>
      <c r="H3464" s="1243"/>
      <c r="I3464" s="1243">
        <f t="shared" si="656"/>
        <v>1858745.6299999994</v>
      </c>
      <c r="J3464" s="376">
        <f t="shared" si="660"/>
        <v>3.5799999999999998E-2</v>
      </c>
      <c r="K3464" s="1243">
        <f t="shared" si="662"/>
        <v>61742</v>
      </c>
      <c r="L3464" s="1243">
        <v>0</v>
      </c>
      <c r="M3464" s="1243">
        <f t="shared" si="657"/>
        <v>-21122.75</v>
      </c>
      <c r="N3464" s="1243">
        <v>0</v>
      </c>
      <c r="O3464" s="1243">
        <f t="shared" si="658"/>
        <v>1899364.8799999994</v>
      </c>
    </row>
    <row r="3465" spans="1:15">
      <c r="A3465" s="361">
        <f t="shared" si="654"/>
        <v>28</v>
      </c>
      <c r="B3465" s="365">
        <v>381.1</v>
      </c>
      <c r="C3465" s="358" t="s">
        <v>2366</v>
      </c>
      <c r="D3465" s="1243">
        <f t="shared" si="655"/>
        <v>9980854.4800000004</v>
      </c>
      <c r="E3465" s="1243">
        <v>0</v>
      </c>
      <c r="F3465" s="1243">
        <v>0</v>
      </c>
      <c r="G3465" s="1243">
        <f t="shared" si="659"/>
        <v>9980854.4800000004</v>
      </c>
      <c r="H3465" s="1243"/>
      <c r="I3465" s="1243">
        <f t="shared" si="656"/>
        <v>6446517.0300000031</v>
      </c>
      <c r="J3465" s="376">
        <f t="shared" si="660"/>
        <v>6.7900000000000002E-2</v>
      </c>
      <c r="K3465" s="1243">
        <f t="shared" si="662"/>
        <v>56475</v>
      </c>
      <c r="L3465" s="1243">
        <v>0</v>
      </c>
      <c r="M3465" s="1243">
        <f t="shared" si="657"/>
        <v>0</v>
      </c>
      <c r="N3465" s="1243">
        <v>0</v>
      </c>
      <c r="O3465" s="1243">
        <f t="shared" si="658"/>
        <v>6502992.0300000031</v>
      </c>
    </row>
    <row r="3466" spans="1:15">
      <c r="A3466" s="361">
        <f t="shared" si="654"/>
        <v>29</v>
      </c>
      <c r="B3466" s="365">
        <v>382</v>
      </c>
      <c r="C3466" s="358" t="s">
        <v>1624</v>
      </c>
      <c r="D3466" s="1243">
        <f t="shared" si="655"/>
        <v>10720331.257893417</v>
      </c>
      <c r="E3466" s="1243">
        <f>'WPB-2.1.D SMRP'!E1419</f>
        <v>9472.3020612316413</v>
      </c>
      <c r="F3466" s="1243">
        <f>'WPB-2.1.D SMRP'!F1419</f>
        <v>-1797.0252581967607</v>
      </c>
      <c r="G3466" s="1243">
        <f t="shared" si="659"/>
        <v>10728006.534696452</v>
      </c>
      <c r="H3466" s="1243"/>
      <c r="I3466" s="1243">
        <f t="shared" si="656"/>
        <v>6130059.6755599175</v>
      </c>
      <c r="J3466" s="376">
        <f t="shared" si="660"/>
        <v>2.2800000000000001E-2</v>
      </c>
      <c r="K3466" s="1243">
        <f>'WPB-2.1.D SMRP'!K1419</f>
        <v>20375.990000000002</v>
      </c>
      <c r="L3466" s="1243">
        <v>0</v>
      </c>
      <c r="M3466" s="1243">
        <f t="shared" si="657"/>
        <v>-1797.0252581967607</v>
      </c>
      <c r="N3466" s="1243">
        <f>'WPB-2.1.D SMRP'!N1419</f>
        <v>0</v>
      </c>
      <c r="O3466" s="1243">
        <f t="shared" si="658"/>
        <v>6148638.6403017212</v>
      </c>
    </row>
    <row r="3467" spans="1:15">
      <c r="A3467" s="361">
        <f t="shared" si="654"/>
        <v>30</v>
      </c>
      <c r="B3467" s="365">
        <v>383</v>
      </c>
      <c r="C3467" s="358" t="s">
        <v>1625</v>
      </c>
      <c r="D3467" s="1243">
        <f t="shared" si="655"/>
        <v>7735108.8245805092</v>
      </c>
      <c r="E3467" s="1243">
        <f>'WPB-2.1.D SMRP'!E1423</f>
        <v>13098.682701980073</v>
      </c>
      <c r="F3467" s="1243">
        <f>'WPB-2.1.D SMRP'!F1423</f>
        <v>-1769.1825914108804</v>
      </c>
      <c r="G3467" s="1243">
        <f t="shared" si="659"/>
        <v>7746438.3246910777</v>
      </c>
      <c r="H3467" s="1243"/>
      <c r="I3467" s="1243">
        <f t="shared" si="656"/>
        <v>2708741.8380081826</v>
      </c>
      <c r="J3467" s="376">
        <f t="shared" si="660"/>
        <v>2.2200000000000001E-2</v>
      </c>
      <c r="K3467" s="1243">
        <f>'WPB-2.1.D SMRP'!K1423</f>
        <v>14320.77</v>
      </c>
      <c r="L3467" s="1243">
        <v>0</v>
      </c>
      <c r="M3467" s="1243">
        <f t="shared" si="657"/>
        <v>-1769.1825914108804</v>
      </c>
      <c r="N3467" s="1243">
        <f>'WPB-2.1.D SMRP'!N1423</f>
        <v>0</v>
      </c>
      <c r="O3467" s="1243">
        <f t="shared" si="658"/>
        <v>2721293.4254167718</v>
      </c>
    </row>
    <row r="3468" spans="1:15">
      <c r="A3468" s="361">
        <f t="shared" si="654"/>
        <v>31</v>
      </c>
      <c r="B3468" s="365">
        <v>384</v>
      </c>
      <c r="C3468" s="358" t="s">
        <v>402</v>
      </c>
      <c r="D3468" s="1243">
        <f t="shared" si="655"/>
        <v>2085301.5599999998</v>
      </c>
      <c r="E3468" s="1243">
        <v>13.99</v>
      </c>
      <c r="F3468" s="1243">
        <v>0</v>
      </c>
      <c r="G3468" s="1243">
        <f t="shared" si="659"/>
        <v>2085315.5499999998</v>
      </c>
      <c r="H3468" s="1243"/>
      <c r="I3468" s="1243">
        <f t="shared" si="656"/>
        <v>1769368.1399999992</v>
      </c>
      <c r="J3468" s="376">
        <f t="shared" si="660"/>
        <v>1.9900000000000001E-2</v>
      </c>
      <c r="K3468" s="1243">
        <f t="shared" si="662"/>
        <v>3458</v>
      </c>
      <c r="L3468" s="1243">
        <v>0</v>
      </c>
      <c r="M3468" s="1243">
        <f t="shared" si="657"/>
        <v>0</v>
      </c>
      <c r="N3468" s="1243">
        <v>0</v>
      </c>
      <c r="O3468" s="1243">
        <f t="shared" si="658"/>
        <v>1772826.1399999992</v>
      </c>
    </row>
    <row r="3469" spans="1:15">
      <c r="A3469" s="361">
        <f t="shared" si="654"/>
        <v>32</v>
      </c>
      <c r="B3469" s="365">
        <v>385</v>
      </c>
      <c r="C3469" s="358" t="s">
        <v>403</v>
      </c>
      <c r="D3469" s="1243">
        <f t="shared" si="655"/>
        <v>6374411.7899999991</v>
      </c>
      <c r="E3469" s="1243">
        <v>9591.2999999999993</v>
      </c>
      <c r="F3469" s="1243">
        <v>-16016.57</v>
      </c>
      <c r="G3469" s="1243">
        <f t="shared" si="659"/>
        <v>6367986.5199999986</v>
      </c>
      <c r="H3469" s="1243"/>
      <c r="I3469" s="1243">
        <f t="shared" si="656"/>
        <v>975128.09999999974</v>
      </c>
      <c r="J3469" s="376">
        <f t="shared" si="660"/>
        <v>5.4699999999999999E-2</v>
      </c>
      <c r="K3469" s="1243">
        <f t="shared" si="662"/>
        <v>29042</v>
      </c>
      <c r="L3469" s="1243">
        <v>0</v>
      </c>
      <c r="M3469" s="1243">
        <f t="shared" si="657"/>
        <v>-16016.57</v>
      </c>
      <c r="N3469" s="1243">
        <v>-402.54</v>
      </c>
      <c r="O3469" s="1243">
        <f t="shared" si="658"/>
        <v>987750.98999999976</v>
      </c>
    </row>
    <row r="3470" spans="1:15">
      <c r="A3470" s="361">
        <f t="shared" si="654"/>
        <v>33</v>
      </c>
      <c r="B3470" s="365">
        <v>387.2</v>
      </c>
      <c r="C3470" s="358" t="s">
        <v>404</v>
      </c>
      <c r="D3470" s="1243">
        <f t="shared" si="655"/>
        <v>0</v>
      </c>
      <c r="E3470" s="1243">
        <v>0</v>
      </c>
      <c r="F3470" s="1243">
        <v>0</v>
      </c>
      <c r="G3470" s="1243">
        <f t="shared" si="659"/>
        <v>0</v>
      </c>
      <c r="H3470" s="1243"/>
      <c r="I3470" s="1243">
        <f t="shared" si="656"/>
        <v>-59912.03</v>
      </c>
      <c r="J3470" s="376">
        <f t="shared" si="660"/>
        <v>0</v>
      </c>
      <c r="K3470" s="1243">
        <f t="shared" si="662"/>
        <v>0</v>
      </c>
      <c r="L3470" s="1243">
        <v>0</v>
      </c>
      <c r="M3470" s="1243">
        <f t="shared" si="657"/>
        <v>0</v>
      </c>
      <c r="N3470" s="1243">
        <v>0</v>
      </c>
      <c r="O3470" s="1243">
        <f t="shared" si="658"/>
        <v>-59912.03</v>
      </c>
    </row>
    <row r="3471" spans="1:15">
      <c r="A3471" s="361">
        <f t="shared" si="654"/>
        <v>34</v>
      </c>
      <c r="B3471" s="365">
        <v>387.41</v>
      </c>
      <c r="C3471" s="358" t="s">
        <v>405</v>
      </c>
      <c r="D3471" s="1243">
        <f t="shared" si="655"/>
        <v>260538.46000000008</v>
      </c>
      <c r="E3471" s="1243">
        <v>0</v>
      </c>
      <c r="F3471" s="1243">
        <v>0</v>
      </c>
      <c r="G3471" s="1243">
        <f t="shared" si="659"/>
        <v>260538.46000000008</v>
      </c>
      <c r="H3471" s="1243"/>
      <c r="I3471" s="1243">
        <f t="shared" si="656"/>
        <v>75294.970000000059</v>
      </c>
      <c r="J3471" s="376">
        <f t="shared" si="660"/>
        <v>4.9599999999999998E-2</v>
      </c>
      <c r="K3471" s="1243">
        <f t="shared" si="662"/>
        <v>1077</v>
      </c>
      <c r="L3471" s="1243">
        <v>0</v>
      </c>
      <c r="M3471" s="1243">
        <f t="shared" si="657"/>
        <v>0</v>
      </c>
      <c r="N3471" s="1243">
        <v>0</v>
      </c>
      <c r="O3471" s="1243">
        <f t="shared" si="658"/>
        <v>76371.970000000059</v>
      </c>
    </row>
    <row r="3472" spans="1:15">
      <c r="A3472" s="361">
        <f t="shared" si="654"/>
        <v>35</v>
      </c>
      <c r="B3472" s="365">
        <v>387.42</v>
      </c>
      <c r="C3472" s="358" t="s">
        <v>406</v>
      </c>
      <c r="D3472" s="1243">
        <f t="shared" si="655"/>
        <v>419367.40000000008</v>
      </c>
      <c r="E3472" s="1243">
        <v>0</v>
      </c>
      <c r="F3472" s="1243">
        <v>0</v>
      </c>
      <c r="G3472" s="1243">
        <f t="shared" si="659"/>
        <v>419367.40000000008</v>
      </c>
      <c r="H3472" s="1243"/>
      <c r="I3472" s="1243">
        <f t="shared" si="656"/>
        <v>367381.80999999976</v>
      </c>
      <c r="J3472" s="376">
        <f t="shared" si="660"/>
        <v>4.9599999999999998E-2</v>
      </c>
      <c r="K3472" s="1243">
        <f t="shared" si="662"/>
        <v>1733</v>
      </c>
      <c r="L3472" s="1243">
        <v>0</v>
      </c>
      <c r="M3472" s="1243">
        <f t="shared" si="657"/>
        <v>0</v>
      </c>
      <c r="N3472" s="1243">
        <v>0</v>
      </c>
      <c r="O3472" s="1243">
        <f t="shared" si="658"/>
        <v>369114.80999999976</v>
      </c>
    </row>
    <row r="3473" spans="1:16">
      <c r="A3473" s="361">
        <f t="shared" si="654"/>
        <v>36</v>
      </c>
      <c r="B3473" s="365">
        <v>387.44</v>
      </c>
      <c r="C3473" s="358" t="s">
        <v>407</v>
      </c>
      <c r="D3473" s="1243">
        <f t="shared" si="655"/>
        <v>124678.76000000001</v>
      </c>
      <c r="E3473" s="1243">
        <v>0</v>
      </c>
      <c r="F3473" s="1243">
        <v>0</v>
      </c>
      <c r="G3473" s="1243">
        <f t="shared" si="659"/>
        <v>124678.76000000001</v>
      </c>
      <c r="H3473" s="1243"/>
      <c r="I3473" s="1243">
        <f t="shared" si="656"/>
        <v>74539.390000000014</v>
      </c>
      <c r="J3473" s="376">
        <f t="shared" si="660"/>
        <v>4.9599999999999998E-2</v>
      </c>
      <c r="K3473" s="1243">
        <f t="shared" si="662"/>
        <v>515</v>
      </c>
      <c r="L3473" s="1243">
        <v>0</v>
      </c>
      <c r="M3473" s="1243">
        <f t="shared" si="657"/>
        <v>0</v>
      </c>
      <c r="N3473" s="1243">
        <v>0</v>
      </c>
      <c r="O3473" s="1243">
        <f t="shared" si="658"/>
        <v>75054.390000000014</v>
      </c>
    </row>
    <row r="3474" spans="1:16">
      <c r="A3474" s="361">
        <f t="shared" si="654"/>
        <v>37</v>
      </c>
      <c r="B3474" s="365">
        <v>387.45</v>
      </c>
      <c r="C3474" s="358" t="s">
        <v>408</v>
      </c>
      <c r="D3474" s="1243">
        <f t="shared" si="655"/>
        <v>6247558.8800000036</v>
      </c>
      <c r="E3474" s="1243">
        <v>209019.3</v>
      </c>
      <c r="F3474" s="1243">
        <v>0</v>
      </c>
      <c r="G3474" s="1243">
        <f t="shared" si="659"/>
        <v>6456578.1800000034</v>
      </c>
      <c r="H3474" s="1243"/>
      <c r="I3474" s="1243">
        <f t="shared" si="656"/>
        <v>-967932.9</v>
      </c>
      <c r="J3474" s="376">
        <f t="shared" si="660"/>
        <v>4.9599999999999998E-2</v>
      </c>
      <c r="K3474" s="1243">
        <f t="shared" si="662"/>
        <v>26255</v>
      </c>
      <c r="L3474" s="1243">
        <v>0</v>
      </c>
      <c r="M3474" s="1243">
        <f t="shared" si="657"/>
        <v>0</v>
      </c>
      <c r="N3474" s="1243">
        <v>0</v>
      </c>
      <c r="O3474" s="1243">
        <f t="shared" si="658"/>
        <v>-941677.9</v>
      </c>
    </row>
    <row r="3475" spans="1:16">
      <c r="A3475" s="361">
        <f t="shared" si="654"/>
        <v>38</v>
      </c>
      <c r="B3475" s="365">
        <v>387.46</v>
      </c>
      <c r="C3475" s="358" t="s">
        <v>409</v>
      </c>
      <c r="D3475" s="1243">
        <f t="shared" si="655"/>
        <v>113644.47</v>
      </c>
      <c r="E3475" s="1243">
        <v>0</v>
      </c>
      <c r="F3475" s="1243">
        <v>0</v>
      </c>
      <c r="G3475" s="1243">
        <f t="shared" si="659"/>
        <v>113644.47</v>
      </c>
      <c r="H3475" s="1243"/>
      <c r="I3475" s="1243">
        <f t="shared" si="656"/>
        <v>120387.07</v>
      </c>
      <c r="J3475" s="376">
        <f t="shared" si="660"/>
        <v>4.9599999999999998E-2</v>
      </c>
      <c r="K3475" s="1243">
        <f t="shared" si="662"/>
        <v>470</v>
      </c>
      <c r="L3475" s="1243">
        <v>0</v>
      </c>
      <c r="M3475" s="1243">
        <f t="shared" si="657"/>
        <v>0</v>
      </c>
      <c r="N3475" s="1243">
        <v>0</v>
      </c>
      <c r="O3475" s="1243">
        <f t="shared" si="658"/>
        <v>120857.07</v>
      </c>
    </row>
    <row r="3476" spans="1:16">
      <c r="A3476" s="361">
        <f t="shared" si="654"/>
        <v>39</v>
      </c>
      <c r="B3476" s="365">
        <v>387.5</v>
      </c>
      <c r="C3476" s="358" t="s">
        <v>1075</v>
      </c>
      <c r="D3476" s="1244">
        <f t="shared" si="655"/>
        <v>238072.69</v>
      </c>
      <c r="E3476" s="1244">
        <v>0</v>
      </c>
      <c r="F3476" s="1244">
        <v>0</v>
      </c>
      <c r="G3476" s="1244">
        <f t="shared" si="659"/>
        <v>238072.69</v>
      </c>
      <c r="H3476" s="1243"/>
      <c r="I3476" s="1244">
        <f t="shared" si="656"/>
        <v>87096.47000000003</v>
      </c>
      <c r="J3476" s="376">
        <f t="shared" si="660"/>
        <v>0.13500000000000001</v>
      </c>
      <c r="K3476" s="1244">
        <f t="shared" si="662"/>
        <v>2678</v>
      </c>
      <c r="L3476" s="1244">
        <v>0</v>
      </c>
      <c r="M3476" s="1244">
        <f t="shared" si="657"/>
        <v>0</v>
      </c>
      <c r="N3476" s="1244">
        <v>0</v>
      </c>
      <c r="O3476" s="1244">
        <f t="shared" si="658"/>
        <v>89774.47000000003</v>
      </c>
    </row>
    <row r="3477" spans="1:16">
      <c r="A3477" s="361">
        <f t="shared" si="654"/>
        <v>40</v>
      </c>
      <c r="C3477" s="365" t="s">
        <v>1601</v>
      </c>
      <c r="D3477" s="1243">
        <f>SUM(D3447:D3476)</f>
        <v>747940172.28317797</v>
      </c>
      <c r="E3477" s="1243">
        <f>SUM(E3447:E3476)</f>
        <v>2204929.5153213143</v>
      </c>
      <c r="F3477" s="1243">
        <f>SUM(F3447:F3476)</f>
        <v>-130034.79972396433</v>
      </c>
      <c r="G3477" s="1243">
        <f>SUM(G3447:G3476)</f>
        <v>750015066.99877512</v>
      </c>
      <c r="H3477" s="1243"/>
      <c r="I3477" s="1243">
        <f>SUM(I3447:I3476)</f>
        <v>191572464.85741839</v>
      </c>
      <c r="J3477" s="369"/>
      <c r="K3477" s="1243">
        <f>SUM(K3447:K3476)</f>
        <v>1873420.59</v>
      </c>
      <c r="L3477" s="1243">
        <f>SUM(L3447:L3476)</f>
        <v>0</v>
      </c>
      <c r="M3477" s="1243">
        <f>SUM(M3447:M3476)</f>
        <v>-130034.79972396433</v>
      </c>
      <c r="N3477" s="1243">
        <f>SUM(N3447:N3476)</f>
        <v>-75931.034787657292</v>
      </c>
      <c r="O3477" s="1243">
        <f>SUM(O3447:O3476)</f>
        <v>193239919.61290678</v>
      </c>
    </row>
    <row r="3478" spans="1:16">
      <c r="B3478" s="367"/>
      <c r="C3478" s="368"/>
      <c r="D3478" s="369"/>
      <c r="E3478" s="369"/>
      <c r="F3478" s="369"/>
      <c r="G3478" s="369"/>
      <c r="I3478" s="369"/>
      <c r="J3478" s="369"/>
      <c r="K3478" s="369"/>
      <c r="L3478" s="369"/>
      <c r="M3478" s="369"/>
      <c r="N3478" s="369"/>
      <c r="O3478" s="369"/>
    </row>
    <row r="3479" spans="1:16">
      <c r="I3479" s="369"/>
      <c r="J3479" s="369"/>
      <c r="K3479" s="369"/>
      <c r="L3479" s="369"/>
      <c r="M3479" s="369"/>
      <c r="N3479" s="369"/>
      <c r="O3479" s="369"/>
    </row>
    <row r="3480" spans="1:16" s="291" customFormat="1">
      <c r="A3480" s="1308" t="str">
        <f>$A$1</f>
        <v>COLUMBIA GAS OF KENTUCKY, INC.</v>
      </c>
      <c r="B3480" s="1308"/>
      <c r="C3480" s="1308"/>
      <c r="D3480" s="1308"/>
      <c r="E3480" s="1308"/>
      <c r="F3480" s="1308"/>
      <c r="G3480" s="1308"/>
      <c r="H3480" s="1308"/>
      <c r="I3480" s="1308"/>
      <c r="J3480" s="1308"/>
      <c r="K3480" s="1308"/>
      <c r="L3480" s="1308"/>
      <c r="M3480" s="1308"/>
      <c r="N3480" s="1308"/>
      <c r="O3480" s="1308"/>
    </row>
    <row r="3481" spans="1:16" s="291" customFormat="1">
      <c r="A3481" s="1308" t="str">
        <f>$A$2</f>
        <v>CASE NO. 2024 - 00092</v>
      </c>
      <c r="B3481" s="1308"/>
      <c r="C3481" s="1308"/>
      <c r="D3481" s="1308"/>
      <c r="E3481" s="1308"/>
      <c r="F3481" s="1308"/>
      <c r="G3481" s="1308"/>
      <c r="H3481" s="1308"/>
      <c r="I3481" s="1308"/>
      <c r="J3481" s="1308"/>
      <c r="K3481" s="1308"/>
      <c r="L3481" s="1308"/>
      <c r="M3481" s="1308"/>
      <c r="N3481" s="1308"/>
      <c r="O3481" s="1308"/>
    </row>
    <row r="3482" spans="1:16" s="291" customFormat="1">
      <c r="A3482" s="1308" t="str">
        <f>$A$3</f>
        <v>DETAIL OF ACTUAL &amp; FORECASTED PLANT, ACCUMULATED RESERVE &amp; DEPRECIATION EXPENSE</v>
      </c>
      <c r="B3482" s="1308"/>
      <c r="C3482" s="1308"/>
      <c r="D3482" s="1308"/>
      <c r="E3482" s="1308"/>
      <c r="F3482" s="1308"/>
      <c r="G3482" s="1308"/>
      <c r="H3482" s="1308"/>
      <c r="I3482" s="1308"/>
      <c r="J3482" s="1308"/>
      <c r="K3482" s="1308"/>
      <c r="L3482" s="1308"/>
      <c r="M3482" s="1308"/>
      <c r="N3482" s="1308"/>
      <c r="O3482" s="1308"/>
      <c r="P3482" s="357"/>
    </row>
    <row r="3483" spans="1:16" s="291" customFormat="1">
      <c r="A3483" s="1308" t="str">
        <f>$A$4</f>
        <v>FROM JANUARY 01, 2023 THROUGH DECEMBER 31, 2025</v>
      </c>
      <c r="B3483" s="1308"/>
      <c r="C3483" s="1308"/>
      <c r="D3483" s="1308"/>
      <c r="E3483" s="1308"/>
      <c r="F3483" s="1308"/>
      <c r="G3483" s="1308"/>
      <c r="H3483" s="1308"/>
      <c r="I3483" s="1308"/>
      <c r="J3483" s="1308"/>
      <c r="K3483" s="1308"/>
      <c r="L3483" s="1308"/>
      <c r="M3483" s="1308"/>
      <c r="N3483" s="1308"/>
      <c r="O3483" s="1308"/>
    </row>
    <row r="3484" spans="1:16" s="291" customFormat="1">
      <c r="B3484" s="293"/>
      <c r="P3484" s="312"/>
    </row>
    <row r="3485" spans="1:16" s="291" customFormat="1">
      <c r="A3485" s="297" t="str">
        <f>$A$6</f>
        <v xml:space="preserve">DATA: _X_ BASE PERIOD _X_ FORECASTED PERIOD     </v>
      </c>
      <c r="B3485" s="293"/>
      <c r="O3485" s="312" t="str">
        <f>$O$6</f>
        <v>WPB-2.1.C</v>
      </c>
      <c r="P3485" s="312"/>
    </row>
    <row r="3486" spans="1:16" s="291" customFormat="1">
      <c r="A3486" s="297" t="str">
        <f>$A$7</f>
        <v>TYPE OF FILING:___X___ORIGINAL______UPDATED</v>
      </c>
      <c r="B3486" s="293"/>
      <c r="O3486" s="312" t="s">
        <v>2161</v>
      </c>
      <c r="P3486" s="312"/>
    </row>
    <row r="3487" spans="1:16" s="291" customFormat="1">
      <c r="A3487" s="297" t="str">
        <f>$A$8</f>
        <v>WORKPAPER REFERENCE NO(S).:</v>
      </c>
      <c r="B3487" s="293"/>
      <c r="O3487" s="312" t="str">
        <f>$O$8</f>
        <v>WITNESS: GORE</v>
      </c>
    </row>
    <row r="3488" spans="1:16">
      <c r="A3488" s="918"/>
      <c r="B3488" s="919"/>
      <c r="C3488" s="918"/>
      <c r="D3488" s="918"/>
      <c r="E3488" s="918"/>
      <c r="F3488" s="918"/>
      <c r="G3488" s="918"/>
      <c r="H3488" s="918"/>
      <c r="I3488" s="918"/>
      <c r="J3488" s="918"/>
      <c r="K3488" s="918"/>
      <c r="L3488" s="918"/>
      <c r="M3488" s="918"/>
      <c r="N3488" s="918"/>
      <c r="O3488" s="920"/>
    </row>
    <row r="3489" spans="1:15">
      <c r="D3489" s="1311" t="s">
        <v>1768</v>
      </c>
      <c r="E3489" s="1311"/>
      <c r="F3489" s="1311"/>
      <c r="G3489" s="1311"/>
      <c r="I3489" s="1311" t="s">
        <v>1769</v>
      </c>
      <c r="J3489" s="1311"/>
      <c r="K3489" s="1311"/>
      <c r="L3489" s="1311"/>
      <c r="M3489" s="1311"/>
      <c r="N3489" s="1311"/>
      <c r="O3489" s="1311"/>
    </row>
    <row r="3490" spans="1:15">
      <c r="D3490" s="360">
        <f>D3431</f>
        <v>45839</v>
      </c>
      <c r="G3490" s="360">
        <f>G3431</f>
        <v>45869</v>
      </c>
      <c r="I3490" s="360">
        <f>D3490</f>
        <v>45839</v>
      </c>
      <c r="O3490" s="360">
        <f>G3490</f>
        <v>45869</v>
      </c>
    </row>
    <row r="3491" spans="1:15">
      <c r="D3491" s="361" t="s">
        <v>1757</v>
      </c>
      <c r="G3491" s="361" t="s">
        <v>1757</v>
      </c>
      <c r="I3491" s="361" t="s">
        <v>1758</v>
      </c>
      <c r="J3491" s="361" t="s">
        <v>488</v>
      </c>
      <c r="L3491" s="361" t="s">
        <v>1758</v>
      </c>
      <c r="O3491" s="361" t="s">
        <v>1758</v>
      </c>
    </row>
    <row r="3492" spans="1:15">
      <c r="A3492" s="361" t="s">
        <v>1770</v>
      </c>
      <c r="B3492" s="361" t="s">
        <v>368</v>
      </c>
      <c r="C3492" s="361"/>
      <c r="D3492" s="361" t="s">
        <v>437</v>
      </c>
      <c r="G3492" s="361" t="s">
        <v>439</v>
      </c>
      <c r="I3492" s="361" t="s">
        <v>437</v>
      </c>
      <c r="J3492" s="361" t="s">
        <v>1771</v>
      </c>
      <c r="K3492" s="361" t="s">
        <v>1772</v>
      </c>
      <c r="L3492" s="361" t="s">
        <v>1759</v>
      </c>
      <c r="N3492" s="361" t="s">
        <v>1760</v>
      </c>
      <c r="O3492" s="361" t="s">
        <v>439</v>
      </c>
    </row>
    <row r="3493" spans="1:15">
      <c r="A3493" s="364" t="s">
        <v>316</v>
      </c>
      <c r="B3493" s="364" t="s">
        <v>316</v>
      </c>
      <c r="C3493" s="364" t="s">
        <v>451</v>
      </c>
      <c r="D3493" s="364" t="s">
        <v>441</v>
      </c>
      <c r="E3493" s="364" t="s">
        <v>442</v>
      </c>
      <c r="F3493" s="364" t="s">
        <v>443</v>
      </c>
      <c r="G3493" s="364" t="s">
        <v>441</v>
      </c>
      <c r="I3493" s="364" t="s">
        <v>441</v>
      </c>
      <c r="J3493" s="364" t="s">
        <v>1773</v>
      </c>
      <c r="K3493" s="364" t="s">
        <v>1771</v>
      </c>
      <c r="L3493" s="364" t="s">
        <v>355</v>
      </c>
      <c r="M3493" s="364" t="s">
        <v>443</v>
      </c>
      <c r="N3493" s="364" t="s">
        <v>1763</v>
      </c>
      <c r="O3493" s="364" t="s">
        <v>441</v>
      </c>
    </row>
    <row r="3494" spans="1:15">
      <c r="D3494" s="361" t="s">
        <v>532</v>
      </c>
      <c r="E3494" s="361" t="s">
        <v>541</v>
      </c>
      <c r="F3494" s="361" t="s">
        <v>542</v>
      </c>
      <c r="G3494" s="361" t="s">
        <v>1764</v>
      </c>
      <c r="I3494" s="334" t="str">
        <f>"(5)"</f>
        <v>(5)</v>
      </c>
      <c r="J3494" s="334" t="str">
        <f>"(6)"</f>
        <v>(6)</v>
      </c>
      <c r="K3494" s="334" t="str">
        <f>"(7)=((1+4)/2*6/12))"</f>
        <v>(7)=((1+4)/2*6/12))</v>
      </c>
      <c r="L3494" s="334" t="str">
        <f>"(8)"</f>
        <v>(8)</v>
      </c>
      <c r="M3494" s="334" t="str">
        <f>"(9)"</f>
        <v>(9)</v>
      </c>
      <c r="N3494" s="334" t="str">
        <f>"(10)"</f>
        <v>(10)</v>
      </c>
      <c r="O3494" s="334" t="str">
        <f>"(11=5+7+8+9+10)"</f>
        <v>(11=5+7+8+9+10)</v>
      </c>
    </row>
    <row r="3495" spans="1:15">
      <c r="D3495" s="361" t="s">
        <v>320</v>
      </c>
      <c r="E3495" s="361" t="s">
        <v>320</v>
      </c>
      <c r="F3495" s="361" t="s">
        <v>320</v>
      </c>
      <c r="G3495" s="361" t="s">
        <v>320</v>
      </c>
      <c r="I3495" s="334" t="s">
        <v>320</v>
      </c>
      <c r="J3495" s="334" t="s">
        <v>529</v>
      </c>
      <c r="K3495" s="334" t="s">
        <v>320</v>
      </c>
      <c r="L3495" s="334" t="s">
        <v>320</v>
      </c>
      <c r="M3495" s="334" t="s">
        <v>320</v>
      </c>
      <c r="N3495" s="334" t="s">
        <v>320</v>
      </c>
      <c r="O3495" s="334" t="s">
        <v>320</v>
      </c>
    </row>
    <row r="3496" spans="1:15">
      <c r="A3496" s="361">
        <v>1</v>
      </c>
      <c r="B3496" s="363" t="s">
        <v>411</v>
      </c>
      <c r="D3496" s="361"/>
      <c r="E3496" s="361"/>
      <c r="F3496" s="361"/>
      <c r="G3496" s="361"/>
      <c r="I3496" s="334"/>
      <c r="J3496" s="334"/>
      <c r="K3496" s="334"/>
      <c r="L3496" s="334"/>
      <c r="M3496" s="334"/>
      <c r="N3496" s="334"/>
      <c r="O3496" s="334"/>
    </row>
    <row r="3497" spans="1:15">
      <c r="A3497" s="361">
        <f>A3496+1</f>
        <v>2</v>
      </c>
      <c r="B3497" s="365">
        <v>391.1</v>
      </c>
      <c r="C3497" s="358" t="s">
        <v>412</v>
      </c>
      <c r="D3497" s="1243">
        <f t="shared" ref="D3497:D3510" si="663">G3383</f>
        <v>921741.33000000007</v>
      </c>
      <c r="E3497" s="1243">
        <v>0</v>
      </c>
      <c r="F3497" s="1243">
        <v>0</v>
      </c>
      <c r="G3497" s="1243">
        <f>SUM(D3497:F3497)</f>
        <v>921741.33000000007</v>
      </c>
      <c r="H3497" s="1243"/>
      <c r="I3497" s="1245">
        <f t="shared" ref="I3497:I3510" si="664">O3383</f>
        <v>270475.86999999994</v>
      </c>
      <c r="J3497" s="376">
        <f t="shared" ref="J3497:J3510" si="665">+J3383</f>
        <v>0.05</v>
      </c>
      <c r="K3497" s="1243">
        <f>ROUND((G3497+D3497)/2*J3497/12,0)</f>
        <v>3841</v>
      </c>
      <c r="L3497" s="1243">
        <f>+L3383</f>
        <v>4814.416666666667</v>
      </c>
      <c r="M3497" s="1243">
        <f t="shared" ref="M3497:M3510" si="666">F3497</f>
        <v>0</v>
      </c>
      <c r="N3497" s="1243">
        <v>0</v>
      </c>
      <c r="O3497" s="1243">
        <f t="shared" ref="O3497:O3510" si="667">I3497+K3497+L3497+M3497+N3497</f>
        <v>279131.28666666662</v>
      </c>
    </row>
    <row r="3498" spans="1:15">
      <c r="A3498" s="361">
        <f t="shared" ref="A3498:A3511" si="668">A3497+1</f>
        <v>3</v>
      </c>
      <c r="B3498" s="365">
        <v>391.11</v>
      </c>
      <c r="C3498" s="358" t="s">
        <v>413</v>
      </c>
      <c r="D3498" s="1243">
        <f t="shared" si="663"/>
        <v>0</v>
      </c>
      <c r="E3498" s="1243">
        <v>0</v>
      </c>
      <c r="F3498" s="1243">
        <v>0</v>
      </c>
      <c r="G3498" s="1243">
        <f t="shared" ref="G3498:G3505" si="669">SUM(D3498:F3498)</f>
        <v>0</v>
      </c>
      <c r="H3498" s="1243"/>
      <c r="I3498" s="1245">
        <f t="shared" si="664"/>
        <v>-9467.2900000000009</v>
      </c>
      <c r="J3498" s="376">
        <f t="shared" si="665"/>
        <v>0</v>
      </c>
      <c r="K3498" s="1243">
        <f>ROUND((G3498+D3498)/2*J3498/12,0)</f>
        <v>0</v>
      </c>
      <c r="L3498" s="1243">
        <f t="shared" ref="L3498:L3510" si="670">+L3384</f>
        <v>525.91666666666663</v>
      </c>
      <c r="M3498" s="1243">
        <f t="shared" si="666"/>
        <v>0</v>
      </c>
      <c r="N3498" s="1243">
        <v>0</v>
      </c>
      <c r="O3498" s="1243">
        <f t="shared" si="667"/>
        <v>-8941.3733333333348</v>
      </c>
    </row>
    <row r="3499" spans="1:15">
      <c r="A3499" s="361">
        <f t="shared" si="668"/>
        <v>4</v>
      </c>
      <c r="B3499" s="365">
        <v>391.12</v>
      </c>
      <c r="C3499" s="358" t="s">
        <v>414</v>
      </c>
      <c r="D3499" s="1243">
        <f t="shared" si="663"/>
        <v>37129.580000000009</v>
      </c>
      <c r="E3499" s="1243">
        <v>0</v>
      </c>
      <c r="F3499" s="1243">
        <v>0</v>
      </c>
      <c r="G3499" s="1243">
        <f t="shared" si="669"/>
        <v>37129.580000000009</v>
      </c>
      <c r="H3499" s="1243"/>
      <c r="I3499" s="1245">
        <f t="shared" si="664"/>
        <v>14070.47</v>
      </c>
      <c r="J3499" s="376">
        <f t="shared" si="665"/>
        <v>0.2</v>
      </c>
      <c r="K3499" s="1243">
        <f>ROUND((G3499+D3499)/2*J3499/12,0)</f>
        <v>619</v>
      </c>
      <c r="L3499" s="1243">
        <f t="shared" si="670"/>
        <v>456.25</v>
      </c>
      <c r="M3499" s="1243">
        <f t="shared" si="666"/>
        <v>0</v>
      </c>
      <c r="N3499" s="1243">
        <v>0</v>
      </c>
      <c r="O3499" s="1243">
        <f t="shared" si="667"/>
        <v>15145.72</v>
      </c>
    </row>
    <row r="3500" spans="1:15">
      <c r="A3500" s="361">
        <f t="shared" si="668"/>
        <v>5</v>
      </c>
      <c r="B3500" s="365">
        <v>392.2</v>
      </c>
      <c r="C3500" s="358" t="s">
        <v>524</v>
      </c>
      <c r="D3500" s="1243">
        <f t="shared" si="663"/>
        <v>48924.4</v>
      </c>
      <c r="E3500" s="1243">
        <v>0</v>
      </c>
      <c r="F3500" s="1243">
        <v>0</v>
      </c>
      <c r="G3500" s="1243">
        <f t="shared" si="669"/>
        <v>48924.4</v>
      </c>
      <c r="H3500" s="1243"/>
      <c r="I3500" s="1245">
        <f t="shared" si="664"/>
        <v>17809.359999999961</v>
      </c>
      <c r="J3500" s="376">
        <f t="shared" si="665"/>
        <v>8.9999999999999993E-3</v>
      </c>
      <c r="K3500" s="1243">
        <f>ROUND((G3500+D3500)/2*J3500/12,0)</f>
        <v>37</v>
      </c>
      <c r="L3500" s="1243">
        <f t="shared" si="670"/>
        <v>0</v>
      </c>
      <c r="M3500" s="1243">
        <f t="shared" si="666"/>
        <v>0</v>
      </c>
      <c r="N3500" s="1243">
        <v>0</v>
      </c>
      <c r="O3500" s="1243">
        <f t="shared" si="667"/>
        <v>17846.359999999961</v>
      </c>
    </row>
    <row r="3501" spans="1:15">
      <c r="A3501" s="361">
        <f t="shared" si="668"/>
        <v>6</v>
      </c>
      <c r="B3501" s="365">
        <v>392.21</v>
      </c>
      <c r="C3501" s="358" t="s">
        <v>415</v>
      </c>
      <c r="D3501" s="1243">
        <f t="shared" si="663"/>
        <v>24462.2</v>
      </c>
      <c r="E3501" s="1243">
        <v>0</v>
      </c>
      <c r="F3501" s="1243">
        <v>0</v>
      </c>
      <c r="G3501" s="1243">
        <f t="shared" si="669"/>
        <v>24462.2</v>
      </c>
      <c r="H3501" s="1243"/>
      <c r="I3501" s="1245">
        <f t="shared" si="664"/>
        <v>45042.01</v>
      </c>
      <c r="J3501" s="376">
        <f t="shared" si="665"/>
        <v>8.9999999999999993E-3</v>
      </c>
      <c r="K3501" s="1243">
        <f>ROUND((G3501+D3501)/2*J3501/12,0)</f>
        <v>18</v>
      </c>
      <c r="L3501" s="1243">
        <f t="shared" si="670"/>
        <v>0</v>
      </c>
      <c r="M3501" s="1243">
        <f t="shared" si="666"/>
        <v>0</v>
      </c>
      <c r="N3501" s="1243">
        <v>0</v>
      </c>
      <c r="O3501" s="1243">
        <f t="shared" si="667"/>
        <v>45060.01</v>
      </c>
    </row>
    <row r="3502" spans="1:15">
      <c r="A3502" s="361">
        <f t="shared" si="668"/>
        <v>7</v>
      </c>
      <c r="B3502" s="365">
        <v>393</v>
      </c>
      <c r="C3502" s="358" t="s">
        <v>416</v>
      </c>
      <c r="D3502" s="1243">
        <f t="shared" si="663"/>
        <v>0</v>
      </c>
      <c r="E3502" s="1243">
        <v>0</v>
      </c>
      <c r="F3502" s="1243">
        <v>0</v>
      </c>
      <c r="G3502" s="1243">
        <f t="shared" si="669"/>
        <v>0</v>
      </c>
      <c r="H3502" s="1243"/>
      <c r="I3502" s="1245">
        <f t="shared" si="664"/>
        <v>0</v>
      </c>
      <c r="J3502" s="376" t="str">
        <f t="shared" si="665"/>
        <v>Amort.</v>
      </c>
      <c r="K3502" s="1243">
        <v>0</v>
      </c>
      <c r="L3502" s="1243">
        <f t="shared" si="670"/>
        <v>0</v>
      </c>
      <c r="M3502" s="1243">
        <f t="shared" si="666"/>
        <v>0</v>
      </c>
      <c r="N3502" s="1243">
        <v>0</v>
      </c>
      <c r="O3502" s="1243">
        <f t="shared" si="667"/>
        <v>0</v>
      </c>
    </row>
    <row r="3503" spans="1:15">
      <c r="A3503" s="361">
        <f t="shared" si="668"/>
        <v>8</v>
      </c>
      <c r="B3503" s="365">
        <v>394.1</v>
      </c>
      <c r="C3503" s="358" t="s">
        <v>417</v>
      </c>
      <c r="D3503" s="1243">
        <f t="shared" si="663"/>
        <v>9739</v>
      </c>
      <c r="E3503" s="1243">
        <v>0</v>
      </c>
      <c r="F3503" s="1243">
        <v>0</v>
      </c>
      <c r="G3503" s="1243">
        <f t="shared" si="669"/>
        <v>9739</v>
      </c>
      <c r="H3503" s="1243"/>
      <c r="I3503" s="1245">
        <f t="shared" si="664"/>
        <v>4652.0700000000006</v>
      </c>
      <c r="J3503" s="376">
        <f t="shared" si="665"/>
        <v>0.04</v>
      </c>
      <c r="K3503" s="1243">
        <f>ROUND((G3503+D3503)/2*J3503/12,0)</f>
        <v>32</v>
      </c>
      <c r="L3503" s="1243">
        <f t="shared" si="670"/>
        <v>0</v>
      </c>
      <c r="M3503" s="1243">
        <f t="shared" si="666"/>
        <v>0</v>
      </c>
      <c r="N3503" s="1243">
        <v>0</v>
      </c>
      <c r="O3503" s="1243">
        <f t="shared" si="667"/>
        <v>4684.0700000000006</v>
      </c>
    </row>
    <row r="3504" spans="1:15">
      <c r="A3504" s="361">
        <f t="shared" si="668"/>
        <v>9</v>
      </c>
      <c r="B3504" s="365">
        <v>394.11</v>
      </c>
      <c r="C3504" s="358" t="s">
        <v>418</v>
      </c>
      <c r="D3504" s="1243">
        <f t="shared" si="663"/>
        <v>0</v>
      </c>
      <c r="E3504" s="1243">
        <v>0</v>
      </c>
      <c r="F3504" s="1243">
        <v>0</v>
      </c>
      <c r="G3504" s="1243">
        <f t="shared" si="669"/>
        <v>0</v>
      </c>
      <c r="H3504" s="1243"/>
      <c r="I3504" s="1245">
        <f t="shared" si="664"/>
        <v>-26071.5</v>
      </c>
      <c r="J3504" s="376">
        <f t="shared" si="665"/>
        <v>0.04</v>
      </c>
      <c r="K3504" s="1243">
        <f>ROUND((G3504+D3504)/2*J3504/12,0)</f>
        <v>0</v>
      </c>
      <c r="L3504" s="1243">
        <f t="shared" si="670"/>
        <v>0</v>
      </c>
      <c r="M3504" s="1243">
        <f t="shared" si="666"/>
        <v>0</v>
      </c>
      <c r="N3504" s="1243">
        <v>0</v>
      </c>
      <c r="O3504" s="1243">
        <f t="shared" si="667"/>
        <v>-26071.5</v>
      </c>
    </row>
    <row r="3505" spans="1:15">
      <c r="A3505" s="361">
        <f t="shared" si="668"/>
        <v>10</v>
      </c>
      <c r="B3505" s="365">
        <v>394.13</v>
      </c>
      <c r="C3505" s="358" t="s">
        <v>515</v>
      </c>
      <c r="D3505" s="1243">
        <f t="shared" si="663"/>
        <v>0</v>
      </c>
      <c r="E3505" s="1243">
        <v>0</v>
      </c>
      <c r="F3505" s="1243">
        <v>0</v>
      </c>
      <c r="G3505" s="1243">
        <f t="shared" si="669"/>
        <v>0</v>
      </c>
      <c r="H3505" s="1243"/>
      <c r="I3505" s="1245">
        <f t="shared" si="664"/>
        <v>23735.360000000001</v>
      </c>
      <c r="J3505" s="376" t="str">
        <f t="shared" si="665"/>
        <v>Amort.</v>
      </c>
      <c r="K3505" s="1243">
        <v>0</v>
      </c>
      <c r="L3505" s="1243">
        <f t="shared" si="670"/>
        <v>-789</v>
      </c>
      <c r="M3505" s="1243">
        <f t="shared" si="666"/>
        <v>0</v>
      </c>
      <c r="N3505" s="1243">
        <v>0</v>
      </c>
      <c r="O3505" s="1243">
        <f t="shared" si="667"/>
        <v>22946.36</v>
      </c>
    </row>
    <row r="3506" spans="1:15">
      <c r="A3506" s="361">
        <f t="shared" si="668"/>
        <v>11</v>
      </c>
      <c r="B3506" s="365">
        <v>394.2</v>
      </c>
      <c r="C3506" s="358" t="s">
        <v>420</v>
      </c>
      <c r="D3506" s="1243">
        <f t="shared" si="663"/>
        <v>0</v>
      </c>
      <c r="E3506" s="1243">
        <v>0</v>
      </c>
      <c r="F3506" s="1243">
        <v>0</v>
      </c>
      <c r="G3506" s="1243">
        <f>SUM(D3506:F3506)</f>
        <v>0</v>
      </c>
      <c r="H3506" s="1243"/>
      <c r="I3506" s="1245">
        <f t="shared" si="664"/>
        <v>185.21</v>
      </c>
      <c r="J3506" s="376">
        <f t="shared" si="665"/>
        <v>0.04</v>
      </c>
      <c r="K3506" s="1243">
        <f>ROUND((G3506+D3506)/2*J3506/12,0)</f>
        <v>0</v>
      </c>
      <c r="L3506" s="1243">
        <f t="shared" si="670"/>
        <v>0</v>
      </c>
      <c r="M3506" s="1243">
        <f t="shared" si="666"/>
        <v>0</v>
      </c>
      <c r="N3506" s="1243">
        <v>0</v>
      </c>
      <c r="O3506" s="1243">
        <f t="shared" si="667"/>
        <v>185.21</v>
      </c>
    </row>
    <row r="3507" spans="1:15">
      <c r="A3507" s="361">
        <f t="shared" si="668"/>
        <v>12</v>
      </c>
      <c r="B3507" s="365">
        <v>394.3</v>
      </c>
      <c r="C3507" s="358" t="s">
        <v>1602</v>
      </c>
      <c r="D3507" s="1243">
        <f t="shared" si="663"/>
        <v>6024368.5300000003</v>
      </c>
      <c r="E3507" s="1243">
        <v>406347.45</v>
      </c>
      <c r="F3507" s="1243">
        <v>-26770.67</v>
      </c>
      <c r="G3507" s="1243">
        <f>SUM(D3507:F3507)</f>
        <v>6403945.3100000005</v>
      </c>
      <c r="H3507" s="1243"/>
      <c r="I3507" s="1245">
        <f t="shared" si="664"/>
        <v>1461545.7399999995</v>
      </c>
      <c r="J3507" s="376">
        <f t="shared" si="665"/>
        <v>0.04</v>
      </c>
      <c r="K3507" s="1243">
        <f>ROUND((G3507+D3507)/2*J3507/12,0)</f>
        <v>20714</v>
      </c>
      <c r="L3507" s="1243">
        <f t="shared" si="670"/>
        <v>0</v>
      </c>
      <c r="M3507" s="1243">
        <f t="shared" si="666"/>
        <v>-26770.67</v>
      </c>
      <c r="N3507" s="1243">
        <v>0</v>
      </c>
      <c r="O3507" s="1243">
        <f t="shared" si="667"/>
        <v>1455489.0699999996</v>
      </c>
    </row>
    <row r="3508" spans="1:15">
      <c r="A3508" s="361">
        <f t="shared" si="668"/>
        <v>13</v>
      </c>
      <c r="B3508" s="365">
        <v>395</v>
      </c>
      <c r="C3508" s="358" t="s">
        <v>422</v>
      </c>
      <c r="D3508" s="1243">
        <f t="shared" si="663"/>
        <v>0</v>
      </c>
      <c r="E3508" s="1243">
        <v>0</v>
      </c>
      <c r="F3508" s="1243">
        <v>0</v>
      </c>
      <c r="G3508" s="1243">
        <f>SUM(D3508:F3508)</f>
        <v>0</v>
      </c>
      <c r="H3508" s="1243"/>
      <c r="I3508" s="1245">
        <f t="shared" si="664"/>
        <v>-150.19999999999845</v>
      </c>
      <c r="J3508" s="376">
        <f t="shared" si="665"/>
        <v>0.05</v>
      </c>
      <c r="K3508" s="1243">
        <f>ROUND((G3508+D3508)/2*J3508/12,0)</f>
        <v>0</v>
      </c>
      <c r="L3508" s="1243">
        <f t="shared" si="670"/>
        <v>-2.75</v>
      </c>
      <c r="M3508" s="1243">
        <f t="shared" si="666"/>
        <v>0</v>
      </c>
      <c r="N3508" s="1243">
        <v>0</v>
      </c>
      <c r="O3508" s="1243">
        <f t="shared" si="667"/>
        <v>-152.94999999999845</v>
      </c>
    </row>
    <row r="3509" spans="1:15">
      <c r="A3509" s="361">
        <f t="shared" si="668"/>
        <v>14</v>
      </c>
      <c r="B3509" s="365">
        <v>396</v>
      </c>
      <c r="C3509" s="358" t="s">
        <v>423</v>
      </c>
      <c r="D3509" s="1243">
        <f t="shared" si="663"/>
        <v>185547</v>
      </c>
      <c r="E3509" s="1243">
        <v>0</v>
      </c>
      <c r="F3509" s="1243">
        <v>0</v>
      </c>
      <c r="G3509" s="1243">
        <f>SUM(D3509:F3509)</f>
        <v>185547</v>
      </c>
      <c r="H3509" s="1243"/>
      <c r="I3509" s="1245">
        <f t="shared" si="664"/>
        <v>171938.14</v>
      </c>
      <c r="J3509" s="376">
        <f t="shared" si="665"/>
        <v>0</v>
      </c>
      <c r="K3509" s="1243">
        <f>ROUND((G3509+D3509)/2*J3509/12,0)</f>
        <v>0</v>
      </c>
      <c r="L3509" s="1243">
        <f t="shared" si="670"/>
        <v>0</v>
      </c>
      <c r="M3509" s="1243">
        <f t="shared" si="666"/>
        <v>0</v>
      </c>
      <c r="N3509" s="1243">
        <v>0</v>
      </c>
      <c r="O3509" s="1243">
        <f t="shared" si="667"/>
        <v>171938.14</v>
      </c>
    </row>
    <row r="3510" spans="1:15">
      <c r="A3510" s="361">
        <f t="shared" si="668"/>
        <v>15</v>
      </c>
      <c r="B3510" s="365">
        <v>398</v>
      </c>
      <c r="C3510" s="358" t="s">
        <v>424</v>
      </c>
      <c r="D3510" s="1244">
        <f t="shared" si="663"/>
        <v>148028.20000000001</v>
      </c>
      <c r="E3510" s="1244">
        <v>0</v>
      </c>
      <c r="F3510" s="1244">
        <v>0</v>
      </c>
      <c r="G3510" s="1244">
        <f>SUM(D3510:F3510)</f>
        <v>148028.20000000001</v>
      </c>
      <c r="H3510" s="1243"/>
      <c r="I3510" s="1246">
        <f t="shared" si="664"/>
        <v>89690.549999999974</v>
      </c>
      <c r="J3510" s="376">
        <f t="shared" si="665"/>
        <v>6.6699999999999995E-2</v>
      </c>
      <c r="K3510" s="1244">
        <f>ROUND((G3510+D3510)/2*J3510/12,0)</f>
        <v>823</v>
      </c>
      <c r="L3510" s="1244">
        <f t="shared" si="670"/>
        <v>265.16666666666669</v>
      </c>
      <c r="M3510" s="1244">
        <f t="shared" si="666"/>
        <v>0</v>
      </c>
      <c r="N3510" s="1244">
        <v>0</v>
      </c>
      <c r="O3510" s="1244">
        <f t="shared" si="667"/>
        <v>90778.716666666645</v>
      </c>
    </row>
    <row r="3511" spans="1:15">
      <c r="A3511" s="361">
        <f t="shared" si="668"/>
        <v>16</v>
      </c>
      <c r="B3511" s="367"/>
      <c r="C3511" s="358" t="s">
        <v>425</v>
      </c>
      <c r="D3511" s="1243">
        <f>SUM(D3497:D3510)</f>
        <v>7399940.2400000002</v>
      </c>
      <c r="E3511" s="1243">
        <f>SUM(E3497:E3510)</f>
        <v>406347.45</v>
      </c>
      <c r="F3511" s="1243">
        <f>SUM(F3497:F3510)</f>
        <v>-26770.67</v>
      </c>
      <c r="G3511" s="1243">
        <f>SUM(G3497:G3510)</f>
        <v>7779517.0200000005</v>
      </c>
      <c r="H3511" s="1243"/>
      <c r="I3511" s="1243">
        <f>SUM(I3497:I3510)</f>
        <v>2063455.7899999993</v>
      </c>
      <c r="J3511" s="369"/>
      <c r="K3511" s="1243">
        <f>SUM(K3497:K3510)</f>
        <v>26084</v>
      </c>
      <c r="L3511" s="1243">
        <f>SUM(L3497:L3510)</f>
        <v>5270.0000000000009</v>
      </c>
      <c r="M3511" s="1243">
        <f>SUM(M3497:M3510)</f>
        <v>-26770.67</v>
      </c>
      <c r="N3511" s="1243">
        <f>SUM(N3497:N3510)</f>
        <v>0</v>
      </c>
      <c r="O3511" s="1243">
        <f>SUM(O3497:O3510)</f>
        <v>2068039.1199999994</v>
      </c>
    </row>
    <row r="3512" spans="1:15">
      <c r="A3512" s="361"/>
      <c r="D3512" s="1243"/>
      <c r="E3512" s="1243"/>
      <c r="F3512" s="1243"/>
      <c r="G3512" s="1243"/>
      <c r="H3512" s="1243"/>
      <c r="I3512" s="1243"/>
      <c r="J3512" s="369"/>
      <c r="K3512" s="1243"/>
      <c r="L3512" s="1243"/>
      <c r="M3512" s="1243"/>
      <c r="N3512" s="1243"/>
      <c r="O3512" s="1243"/>
    </row>
    <row r="3513" spans="1:15">
      <c r="A3513" s="361">
        <f>A3511+1</f>
        <v>17</v>
      </c>
      <c r="B3513" s="363" t="s">
        <v>1038</v>
      </c>
      <c r="D3513" s="1243"/>
      <c r="E3513" s="1243"/>
      <c r="F3513" s="1243"/>
      <c r="G3513" s="1243"/>
      <c r="H3513" s="1243"/>
      <c r="I3513" s="1243"/>
      <c r="J3513" s="369"/>
      <c r="K3513" s="1243"/>
      <c r="L3513" s="1243"/>
      <c r="M3513" s="1243"/>
      <c r="N3513" s="1243"/>
      <c r="O3513" s="1243"/>
    </row>
    <row r="3514" spans="1:15">
      <c r="A3514" s="361">
        <f>A3513+1</f>
        <v>18</v>
      </c>
      <c r="B3514" s="365">
        <v>378.21</v>
      </c>
      <c r="C3514" s="358" t="s">
        <v>1037</v>
      </c>
      <c r="D3514" s="1244">
        <f>G3400</f>
        <v>-777092</v>
      </c>
      <c r="E3514" s="1244">
        <v>0</v>
      </c>
      <c r="F3514" s="1244">
        <v>0</v>
      </c>
      <c r="G3514" s="1244">
        <f>SUM(D3514:F3514)</f>
        <v>-777092</v>
      </c>
      <c r="H3514" s="1243"/>
      <c r="I3514" s="1244">
        <f>O3400</f>
        <v>-242965.40000000034</v>
      </c>
      <c r="J3514" s="376" t="str">
        <f>$J$1690</f>
        <v>Amort.</v>
      </c>
      <c r="K3514" s="1244">
        <f>$K$1348</f>
        <v>-2144.17</v>
      </c>
      <c r="L3514" s="1244">
        <v>0</v>
      </c>
      <c r="M3514" s="1244">
        <f>F3514</f>
        <v>0</v>
      </c>
      <c r="N3514" s="1244">
        <v>0</v>
      </c>
      <c r="O3514" s="1244">
        <f>I3514+K3514+L3514+M3514+N3514</f>
        <v>-245109.57000000036</v>
      </c>
    </row>
    <row r="3515" spans="1:15">
      <c r="A3515" s="361">
        <f>A3514+1</f>
        <v>19</v>
      </c>
      <c r="B3515" s="370"/>
      <c r="C3515" s="358" t="s">
        <v>1579</v>
      </c>
      <c r="D3515" s="1243">
        <f>SUM(D3514)</f>
        <v>-777092</v>
      </c>
      <c r="E3515" s="1243">
        <f>SUM(E3514)</f>
        <v>0</v>
      </c>
      <c r="F3515" s="1243">
        <f>SUM(F3514)</f>
        <v>0</v>
      </c>
      <c r="G3515" s="1243">
        <f>SUM(G3514)</f>
        <v>-777092</v>
      </c>
      <c r="H3515" s="1243"/>
      <c r="I3515" s="1243">
        <f>SUM(I3514)</f>
        <v>-242965.40000000034</v>
      </c>
      <c r="J3515" s="369"/>
      <c r="K3515" s="1243">
        <f>SUM(K3514)</f>
        <v>-2144.17</v>
      </c>
      <c r="L3515" s="1243">
        <f>SUM(L3514)</f>
        <v>0</v>
      </c>
      <c r="M3515" s="1243">
        <f>SUM(M3514)</f>
        <v>0</v>
      </c>
      <c r="N3515" s="1243">
        <f>SUM(N3514)</f>
        <v>0</v>
      </c>
      <c r="O3515" s="1243">
        <f>SUM(O3514)</f>
        <v>-245109.57000000036</v>
      </c>
    </row>
    <row r="3516" spans="1:15">
      <c r="A3516" s="361"/>
      <c r="B3516" s="370"/>
      <c r="D3516" s="1243"/>
      <c r="E3516" s="1243"/>
      <c r="F3516" s="1243"/>
      <c r="G3516" s="1243"/>
      <c r="H3516" s="1243"/>
      <c r="I3516" s="1243"/>
      <c r="J3516" s="369"/>
      <c r="K3516" s="1243"/>
      <c r="L3516" s="1243"/>
      <c r="M3516" s="1243"/>
      <c r="N3516" s="1243"/>
      <c r="O3516" s="1243"/>
    </row>
    <row r="3517" spans="1:15">
      <c r="A3517" s="361">
        <f>A3515+1</f>
        <v>20</v>
      </c>
      <c r="B3517" s="370"/>
      <c r="C3517" s="358" t="s">
        <v>2037</v>
      </c>
      <c r="D3517" s="1243">
        <f>D3444+D3477+D3511+D3515</f>
        <v>776096710.4138912</v>
      </c>
      <c r="E3517" s="1243">
        <f>E3444+E3477+E3511+E3515</f>
        <v>2924888.3616245869</v>
      </c>
      <c r="F3517" s="1243">
        <f>F3444+F3477+F3511+F3515</f>
        <v>-276560.09972396429</v>
      </c>
      <c r="G3517" s="1243">
        <f>G3444+G3477+G3511+G3515</f>
        <v>778745038.67579162</v>
      </c>
      <c r="H3517" s="1243"/>
      <c r="I3517" s="1243">
        <f>I3444+I3477+I3511+I3515</f>
        <v>201430459.7656979</v>
      </c>
      <c r="J3517" s="369"/>
      <c r="K3517" s="1243">
        <f>K3444+K3477+K3511+K3515</f>
        <v>2221375.8422925333</v>
      </c>
      <c r="L3517" s="1243">
        <f>L3444+L3477+L3511+L3515</f>
        <v>5270.0000000000009</v>
      </c>
      <c r="M3517" s="1243">
        <f>M3444+M3477+M3511+M3515</f>
        <v>-276560.09972396429</v>
      </c>
      <c r="N3517" s="1243">
        <f>N3444+N3477+N3511+N3515</f>
        <v>-75931.034787657292</v>
      </c>
      <c r="O3517" s="1243">
        <f>O3444+O3477+O3511+O3515</f>
        <v>203304614.47347885</v>
      </c>
    </row>
    <row r="3518" spans="1:15">
      <c r="A3518" s="361"/>
      <c r="B3518" s="370"/>
      <c r="D3518" s="1243"/>
      <c r="E3518" s="1243"/>
      <c r="F3518" s="1243"/>
      <c r="G3518" s="1243"/>
      <c r="H3518" s="1243"/>
      <c r="I3518" s="1243"/>
      <c r="J3518" s="369"/>
      <c r="K3518" s="1243"/>
      <c r="L3518" s="1243"/>
      <c r="M3518" s="1243"/>
      <c r="N3518" s="1243"/>
      <c r="O3518" s="1243"/>
    </row>
    <row r="3519" spans="1:15">
      <c r="A3519" s="361">
        <f>A3517+1</f>
        <v>21</v>
      </c>
      <c r="B3519" s="370"/>
      <c r="C3519" s="358" t="s">
        <v>2038</v>
      </c>
      <c r="D3519" s="1243">
        <v>0</v>
      </c>
      <c r="E3519" s="1249">
        <v>0</v>
      </c>
      <c r="F3519" s="1249">
        <v>0</v>
      </c>
      <c r="G3519" s="1249">
        <f>SUM(D3519:F3519)</f>
        <v>0</v>
      </c>
      <c r="H3519" s="1243"/>
      <c r="I3519" s="1243">
        <f>O3405</f>
        <v>-6687302.71</v>
      </c>
      <c r="J3519" s="369"/>
      <c r="K3519" s="1243"/>
      <c r="L3519" s="1243"/>
      <c r="M3519" s="1243"/>
      <c r="N3519" s="1243"/>
      <c r="O3519" s="1243">
        <f>I3519+K3519+L3519+M3519+N3519</f>
        <v>-6687302.71</v>
      </c>
    </row>
    <row r="3520" spans="1:15">
      <c r="A3520" s="361"/>
      <c r="B3520" s="370"/>
      <c r="C3520" s="368"/>
      <c r="D3520" s="1243"/>
      <c r="E3520" s="1243"/>
      <c r="F3520" s="1243"/>
      <c r="G3520" s="1243"/>
      <c r="H3520" s="1243"/>
      <c r="I3520" s="1243"/>
      <c r="J3520" s="369"/>
      <c r="K3520" s="1243"/>
      <c r="L3520" s="1243"/>
      <c r="M3520" s="1243"/>
      <c r="N3520" s="1243"/>
      <c r="O3520" s="1243"/>
    </row>
    <row r="3521" spans="1:15">
      <c r="A3521" s="361">
        <f>A3519+1</f>
        <v>22</v>
      </c>
      <c r="C3521" s="358" t="s">
        <v>1603</v>
      </c>
      <c r="D3521" s="1247">
        <f>D3517+D3519</f>
        <v>776096710.4138912</v>
      </c>
      <c r="E3521" s="1247">
        <f t="shared" ref="E3521:O3521" si="671">E3517+E3519</f>
        <v>2924888.3616245869</v>
      </c>
      <c r="F3521" s="1247">
        <f t="shared" si="671"/>
        <v>-276560.09972396429</v>
      </c>
      <c r="G3521" s="1247">
        <f t="shared" si="671"/>
        <v>778745038.67579162</v>
      </c>
      <c r="H3521" s="1243"/>
      <c r="I3521" s="1247">
        <f t="shared" si="671"/>
        <v>194743157.05569789</v>
      </c>
      <c r="J3521" s="369"/>
      <c r="K3521" s="1247">
        <f t="shared" si="671"/>
        <v>2221375.8422925333</v>
      </c>
      <c r="L3521" s="1247">
        <f t="shared" si="671"/>
        <v>5270.0000000000009</v>
      </c>
      <c r="M3521" s="1247">
        <f t="shared" si="671"/>
        <v>-276560.09972396429</v>
      </c>
      <c r="N3521" s="1247">
        <f t="shared" si="671"/>
        <v>-75931.034787657292</v>
      </c>
      <c r="O3521" s="1247">
        <f t="shared" si="671"/>
        <v>196617311.76347885</v>
      </c>
    </row>
    <row r="3522" spans="1:15">
      <c r="A3522" s="361"/>
      <c r="D3522" s="1243"/>
      <c r="E3522" s="1243"/>
      <c r="F3522" s="1243"/>
      <c r="G3522" s="1243"/>
      <c r="H3522" s="1243"/>
      <c r="I3522" s="1243"/>
      <c r="J3522" s="369"/>
      <c r="K3522" s="1243"/>
      <c r="L3522" s="1243"/>
      <c r="M3522" s="1243"/>
      <c r="N3522" s="1243"/>
      <c r="O3522" s="1243"/>
    </row>
    <row r="3523" spans="1:15">
      <c r="A3523" s="361"/>
      <c r="D3523" s="1243"/>
      <c r="E3523" s="1243"/>
      <c r="F3523" s="1243"/>
      <c r="G3523" s="1243"/>
      <c r="H3523" s="1243"/>
      <c r="I3523" s="1243"/>
      <c r="J3523" s="369"/>
      <c r="K3523" s="1243"/>
      <c r="L3523" s="1243"/>
      <c r="M3523" s="1243"/>
      <c r="N3523" s="1243"/>
      <c r="O3523" s="1243"/>
    </row>
    <row r="3524" spans="1:15">
      <c r="A3524" s="361">
        <f>A3521+1</f>
        <v>23</v>
      </c>
      <c r="B3524" s="363" t="s">
        <v>1774</v>
      </c>
      <c r="D3524" s="1243"/>
      <c r="E3524" s="1243"/>
      <c r="F3524" s="1243"/>
      <c r="G3524" s="1243"/>
      <c r="H3524" s="1243"/>
      <c r="I3524" s="1243"/>
      <c r="J3524" s="369"/>
      <c r="K3524" s="1243"/>
      <c r="L3524" s="1243"/>
      <c r="M3524" s="1243"/>
      <c r="N3524" s="1243"/>
      <c r="O3524" s="1243"/>
    </row>
    <row r="3525" spans="1:15">
      <c r="A3525" s="361">
        <f t="shared" ref="A3525:A3530" si="672">A3524+1</f>
        <v>24</v>
      </c>
      <c r="B3525" s="365">
        <v>376</v>
      </c>
      <c r="C3525" s="358" t="s">
        <v>1775</v>
      </c>
      <c r="D3525" s="1243">
        <f>G3411</f>
        <v>61117569.310051478</v>
      </c>
      <c r="E3525" s="1243">
        <f>'WPB-2.1.D SMRP'!E1398</f>
        <v>1283012.2106324446</v>
      </c>
      <c r="F3525" s="1243">
        <f>'WPB-2.1.D SMRP'!F1398</f>
        <v>-16031.32</v>
      </c>
      <c r="G3525" s="1243">
        <f>SUM(D3525:F3525)</f>
        <v>62384550.200683922</v>
      </c>
      <c r="H3525" s="1243"/>
      <c r="I3525" s="1243">
        <f>O3411</f>
        <v>671954.86878931639</v>
      </c>
      <c r="J3525" s="376">
        <f>+J3411</f>
        <v>1.7999999999999999E-2</v>
      </c>
      <c r="K3525" s="1243">
        <f>'WPB-2.1.D SMRP'!K1398</f>
        <v>92626.59</v>
      </c>
      <c r="L3525" s="1243">
        <v>0</v>
      </c>
      <c r="M3525" s="1243">
        <f>F3525</f>
        <v>-16031.32</v>
      </c>
      <c r="N3525" s="1243">
        <f>'WPB-2.1.D SMRP'!N1398</f>
        <v>-3181.0271325157</v>
      </c>
      <c r="O3525" s="1243">
        <f>I3525+K3525+L3525+M3525+N3525</f>
        <v>745369.11165680073</v>
      </c>
    </row>
    <row r="3526" spans="1:15">
      <c r="A3526" s="361">
        <f t="shared" si="672"/>
        <v>25</v>
      </c>
      <c r="B3526" s="365">
        <v>378.2</v>
      </c>
      <c r="C3526" s="358" t="s">
        <v>1776</v>
      </c>
      <c r="D3526" s="1243">
        <f>G3412</f>
        <v>599780.62011021946</v>
      </c>
      <c r="E3526" s="1243">
        <f>'WPB-2.1.D SMRP'!E1399</f>
        <v>0</v>
      </c>
      <c r="F3526" s="1243">
        <f>'WPB-2.1.D SMRP'!F1399</f>
        <v>0</v>
      </c>
      <c r="G3526" s="1243">
        <f>SUM(D3526:F3526)</f>
        <v>599780.62011021946</v>
      </c>
      <c r="H3526" s="1243"/>
      <c r="I3526" s="1243">
        <f>O3412</f>
        <v>-934890.93754116015</v>
      </c>
      <c r="J3526" s="376">
        <f>+J3412</f>
        <v>3.3099999999999997E-2</v>
      </c>
      <c r="K3526" s="1243">
        <f>'WPB-2.1.D SMRP'!K1399</f>
        <v>1654.39</v>
      </c>
      <c r="L3526" s="1243">
        <v>0</v>
      </c>
      <c r="M3526" s="1243">
        <f>F3526</f>
        <v>0</v>
      </c>
      <c r="N3526" s="1243">
        <f>'WPB-2.1.D SMRP'!N1399</f>
        <v>0</v>
      </c>
      <c r="O3526" s="1243">
        <f>I3526+K3526+L3526+M3526+N3526</f>
        <v>-933236.54754116014</v>
      </c>
    </row>
    <row r="3527" spans="1:15">
      <c r="A3527" s="361">
        <f t="shared" si="672"/>
        <v>26</v>
      </c>
      <c r="B3527" s="365">
        <v>380</v>
      </c>
      <c r="C3527" s="358" t="s">
        <v>1777</v>
      </c>
      <c r="D3527" s="1243">
        <f>G3413</f>
        <v>25731407.564654</v>
      </c>
      <c r="E3527" s="1243">
        <f>'WPB-2.1.D SMRP'!E1400</f>
        <v>776797.48528737703</v>
      </c>
      <c r="F3527" s="1243">
        <f>'WPB-2.1.D SMRP'!F1400</f>
        <v>-204678.48812564329</v>
      </c>
      <c r="G3527" s="1243">
        <f>SUM(D3527:F3527)</f>
        <v>26303526.561815731</v>
      </c>
      <c r="H3527" s="1243"/>
      <c r="I3527" s="1243">
        <f>O3413</f>
        <v>-12704698.955055563</v>
      </c>
      <c r="J3527" s="376">
        <f>+J3413</f>
        <v>5.1799999999999999E-2</v>
      </c>
      <c r="K3527" s="1243">
        <f>'WPB-2.1.D SMRP'!K1400</f>
        <v>112308.73</v>
      </c>
      <c r="L3527" s="1243">
        <v>0</v>
      </c>
      <c r="M3527" s="1243">
        <f>F3527</f>
        <v>-204678.48812564329</v>
      </c>
      <c r="N3527" s="1243">
        <f>'WPB-2.1.D SMRP'!N1400</f>
        <v>-106647.28807982701</v>
      </c>
      <c r="O3527" s="1243">
        <f>I3527+K3527+L3527+M3527+N3527</f>
        <v>-12903716.001261031</v>
      </c>
    </row>
    <row r="3528" spans="1:15">
      <c r="A3528" s="361">
        <f t="shared" si="672"/>
        <v>27</v>
      </c>
      <c r="B3528" s="365">
        <v>382</v>
      </c>
      <c r="C3528" s="358" t="s">
        <v>1778</v>
      </c>
      <c r="D3528" s="1243">
        <f>G3414</f>
        <v>239248.04660563447</v>
      </c>
      <c r="E3528" s="1243">
        <f>'WPB-2.1.D SMRP'!E1401</f>
        <v>3163.9573974624709</v>
      </c>
      <c r="F3528" s="1243">
        <f>'WPB-2.1.D SMRP'!F1401</f>
        <v>-600.24599324900112</v>
      </c>
      <c r="G3528" s="1243">
        <f>SUM(D3528:F3528)</f>
        <v>241811.75800984795</v>
      </c>
      <c r="H3528" s="1243"/>
      <c r="I3528" s="1243">
        <f>O3414</f>
        <v>-74849.438294887499</v>
      </c>
      <c r="J3528" s="376">
        <f>+J3414</f>
        <v>2.2800000000000001E-2</v>
      </c>
      <c r="K3528" s="1243">
        <f>'WPB-2.1.D SMRP'!K1401</f>
        <v>457.01</v>
      </c>
      <c r="L3528" s="1243">
        <v>0</v>
      </c>
      <c r="M3528" s="1243">
        <f>F3528</f>
        <v>-600.24599324900112</v>
      </c>
      <c r="N3528" s="1243">
        <f>'WPB-2.1.D SMRP'!N1401</f>
        <v>0</v>
      </c>
      <c r="O3528" s="1243">
        <f>I3528+K3528+L3528+M3528+N3528</f>
        <v>-74992.674288136506</v>
      </c>
    </row>
    <row r="3529" spans="1:15">
      <c r="A3529" s="361">
        <f t="shared" si="672"/>
        <v>28</v>
      </c>
      <c r="B3529" s="365">
        <v>383</v>
      </c>
      <c r="C3529" s="358" t="s">
        <v>1779</v>
      </c>
      <c r="D3529" s="1244">
        <f>G3415</f>
        <v>172665.38795559711</v>
      </c>
      <c r="E3529" s="1244">
        <f>'WPB-2.1.D SMRP'!E1402</f>
        <v>2249.7972980199265</v>
      </c>
      <c r="F3529" s="1244">
        <f>'WPB-2.1.D SMRP'!F1402</f>
        <v>-303.87045165893409</v>
      </c>
      <c r="G3529" s="1244">
        <f>SUM(D3529:F3529)</f>
        <v>174611.3148019581</v>
      </c>
      <c r="H3529" s="1243"/>
      <c r="I3529" s="1244">
        <f>O3415</f>
        <v>-7419.3630375390112</v>
      </c>
      <c r="J3529" s="376">
        <f>+J3415</f>
        <v>2.2200000000000001E-2</v>
      </c>
      <c r="K3529" s="1244">
        <f>'WPB-2.1.D SMRP'!K1402</f>
        <v>321.23</v>
      </c>
      <c r="L3529" s="1244">
        <v>0</v>
      </c>
      <c r="M3529" s="1244">
        <f>F3529</f>
        <v>-303.87045165893409</v>
      </c>
      <c r="N3529" s="1244">
        <f>'WPB-2.1.D SMRP'!N1402</f>
        <v>0</v>
      </c>
      <c r="O3529" s="1244">
        <f>I3529+K3529+L3529+M3529+N3529</f>
        <v>-7402.0034891979458</v>
      </c>
    </row>
    <row r="3530" spans="1:15">
      <c r="A3530" s="361">
        <f t="shared" si="672"/>
        <v>29</v>
      </c>
      <c r="C3530" s="358" t="s">
        <v>1780</v>
      </c>
      <c r="D3530" s="1243">
        <f>SUM(D3525:D3529)</f>
        <v>87860670.92937693</v>
      </c>
      <c r="E3530" s="1243">
        <f>SUM(E3525:E3529)</f>
        <v>2065223.4506153041</v>
      </c>
      <c r="F3530" s="1243">
        <f>SUM(F3525:F3529)</f>
        <v>-221613.92457055123</v>
      </c>
      <c r="G3530" s="1243">
        <f>SUM(G3525:G3529)</f>
        <v>89704280.455421686</v>
      </c>
      <c r="H3530" s="1243"/>
      <c r="I3530" s="1243">
        <f>SUM(I3525:I3529)</f>
        <v>-13049903.825139834</v>
      </c>
      <c r="J3530" s="369"/>
      <c r="K3530" s="1243">
        <f>SUM(K3525:K3529)</f>
        <v>207367.95</v>
      </c>
      <c r="L3530" s="1243">
        <f>SUM(L3525:L3529)</f>
        <v>0</v>
      </c>
      <c r="M3530" s="1243">
        <f>SUM(M3525:M3529)</f>
        <v>-221613.92457055123</v>
      </c>
      <c r="N3530" s="1243">
        <f>SUM(N3525:N3529)</f>
        <v>-109828.3152123427</v>
      </c>
      <c r="O3530" s="1243">
        <f>SUM(O3525:O3529)</f>
        <v>-13173978.114922727</v>
      </c>
    </row>
    <row r="3531" spans="1:15">
      <c r="A3531" s="361"/>
      <c r="D3531" s="1243"/>
      <c r="E3531" s="1243"/>
      <c r="F3531" s="1243"/>
      <c r="G3531" s="1243"/>
      <c r="H3531" s="1243"/>
      <c r="I3531" s="1243"/>
      <c r="J3531" s="369"/>
      <c r="K3531" s="1243"/>
      <c r="L3531" s="1243"/>
      <c r="M3531" s="1243"/>
      <c r="N3531" s="1243"/>
      <c r="O3531" s="1243"/>
    </row>
    <row r="3532" spans="1:15" ht="13.5" thickBot="1">
      <c r="A3532" s="361">
        <f>A3530+1</f>
        <v>30</v>
      </c>
      <c r="C3532" s="358" t="s">
        <v>447</v>
      </c>
      <c r="D3532" s="1248">
        <f>D3521+D3530</f>
        <v>863957381.34326816</v>
      </c>
      <c r="E3532" s="1248">
        <f>E3521+E3530</f>
        <v>4990111.8122398909</v>
      </c>
      <c r="F3532" s="1248">
        <f>F3521+F3530</f>
        <v>-498174.02429451549</v>
      </c>
      <c r="G3532" s="1248">
        <f>G3521+G3530</f>
        <v>868449319.13121331</v>
      </c>
      <c r="H3532" s="1243"/>
      <c r="I3532" s="1248">
        <f>I3521+I3530</f>
        <v>181693253.23055807</v>
      </c>
      <c r="J3532" s="369"/>
      <c r="K3532" s="1248">
        <f>K3521+K3530</f>
        <v>2428743.7922925334</v>
      </c>
      <c r="L3532" s="1248">
        <f>L3521+L3530</f>
        <v>5270.0000000000009</v>
      </c>
      <c r="M3532" s="1248">
        <f>M3521+M3530</f>
        <v>-498174.02429451549</v>
      </c>
      <c r="N3532" s="1248">
        <f>N3521+N3530</f>
        <v>-185759.34999999998</v>
      </c>
      <c r="O3532" s="1248">
        <f>O3521+O3530</f>
        <v>183443333.64855611</v>
      </c>
    </row>
    <row r="3533" spans="1:15" ht="13.5" thickTop="1"/>
    <row r="3535" spans="1:15" s="291" customFormat="1">
      <c r="A3535" s="1308" t="str">
        <f>$A$1</f>
        <v>COLUMBIA GAS OF KENTUCKY, INC.</v>
      </c>
      <c r="B3535" s="1308"/>
      <c r="C3535" s="1308"/>
      <c r="D3535" s="1308"/>
      <c r="E3535" s="1308"/>
      <c r="F3535" s="1308"/>
      <c r="G3535" s="1308"/>
      <c r="H3535" s="1308"/>
      <c r="I3535" s="1308"/>
      <c r="J3535" s="1308"/>
      <c r="K3535" s="1308"/>
      <c r="L3535" s="1308"/>
      <c r="M3535" s="1308"/>
      <c r="N3535" s="1308"/>
      <c r="O3535" s="1308"/>
    </row>
    <row r="3536" spans="1:15" s="291" customFormat="1">
      <c r="A3536" s="1308" t="str">
        <f>$A$2</f>
        <v>CASE NO. 2024 - 00092</v>
      </c>
      <c r="B3536" s="1308"/>
      <c r="C3536" s="1308"/>
      <c r="D3536" s="1308"/>
      <c r="E3536" s="1308"/>
      <c r="F3536" s="1308"/>
      <c r="G3536" s="1308"/>
      <c r="H3536" s="1308"/>
      <c r="I3536" s="1308"/>
      <c r="J3536" s="1308"/>
      <c r="K3536" s="1308"/>
      <c r="L3536" s="1308"/>
      <c r="M3536" s="1308"/>
      <c r="N3536" s="1308"/>
      <c r="O3536" s="1308"/>
    </row>
    <row r="3537" spans="1:16" s="291" customFormat="1">
      <c r="A3537" s="1308" t="str">
        <f>$A$3</f>
        <v>DETAIL OF ACTUAL &amp; FORECASTED PLANT, ACCUMULATED RESERVE &amp; DEPRECIATION EXPENSE</v>
      </c>
      <c r="B3537" s="1308"/>
      <c r="C3537" s="1308"/>
      <c r="D3537" s="1308"/>
      <c r="E3537" s="1308"/>
      <c r="F3537" s="1308"/>
      <c r="G3537" s="1308"/>
      <c r="H3537" s="1308"/>
      <c r="I3537" s="1308"/>
      <c r="J3537" s="1308"/>
      <c r="K3537" s="1308"/>
      <c r="L3537" s="1308"/>
      <c r="M3537" s="1308"/>
      <c r="N3537" s="1308"/>
      <c r="O3537" s="1308"/>
      <c r="P3537" s="357"/>
    </row>
    <row r="3538" spans="1:16" s="291" customFormat="1">
      <c r="A3538" s="1308" t="str">
        <f>$A$4</f>
        <v>FROM JANUARY 01, 2023 THROUGH DECEMBER 31, 2025</v>
      </c>
      <c r="B3538" s="1308"/>
      <c r="C3538" s="1308"/>
      <c r="D3538" s="1308"/>
      <c r="E3538" s="1308"/>
      <c r="F3538" s="1308"/>
      <c r="G3538" s="1308"/>
      <c r="H3538" s="1308"/>
      <c r="I3538" s="1308"/>
      <c r="J3538" s="1308"/>
      <c r="K3538" s="1308"/>
      <c r="L3538" s="1308"/>
      <c r="M3538" s="1308"/>
      <c r="N3538" s="1308"/>
      <c r="O3538" s="1308"/>
    </row>
    <row r="3539" spans="1:16" s="291" customFormat="1">
      <c r="B3539" s="293"/>
      <c r="P3539" s="312"/>
    </row>
    <row r="3540" spans="1:16" s="291" customFormat="1">
      <c r="A3540" s="297" t="str">
        <f>$A$6</f>
        <v xml:space="preserve">DATA: _X_ BASE PERIOD _X_ FORECASTED PERIOD     </v>
      </c>
      <c r="B3540" s="293"/>
      <c r="O3540" s="312" t="str">
        <f>$O$6</f>
        <v>WPB-2.1.C</v>
      </c>
      <c r="P3540" s="312"/>
    </row>
    <row r="3541" spans="1:16" s="291" customFormat="1">
      <c r="A3541" s="297" t="str">
        <f>$A$7</f>
        <v>TYPE OF FILING:___X___ORIGINAL______UPDATED</v>
      </c>
      <c r="B3541" s="293"/>
      <c r="O3541" s="312" t="s">
        <v>2160</v>
      </c>
      <c r="P3541" s="312"/>
    </row>
    <row r="3542" spans="1:16" s="291" customFormat="1">
      <c r="A3542" s="297" t="str">
        <f>$A$8</f>
        <v>WORKPAPER REFERENCE NO(S).:</v>
      </c>
      <c r="B3542" s="293"/>
      <c r="O3542" s="312" t="str">
        <f>$O$8</f>
        <v>WITNESS: GORE</v>
      </c>
    </row>
    <row r="3543" spans="1:16">
      <c r="A3543" s="918"/>
      <c r="B3543" s="919"/>
      <c r="C3543" s="918"/>
      <c r="D3543" s="918"/>
      <c r="E3543" s="918"/>
      <c r="F3543" s="918"/>
      <c r="G3543" s="918"/>
      <c r="H3543" s="918"/>
      <c r="I3543" s="918"/>
      <c r="J3543" s="918"/>
      <c r="K3543" s="918"/>
      <c r="L3543" s="918"/>
      <c r="M3543" s="918"/>
      <c r="N3543" s="918"/>
      <c r="O3543" s="920"/>
    </row>
    <row r="3544" spans="1:16">
      <c r="D3544" s="1311" t="s">
        <v>1768</v>
      </c>
      <c r="E3544" s="1311"/>
      <c r="F3544" s="1311"/>
      <c r="G3544" s="1311"/>
      <c r="I3544" s="1311" t="s">
        <v>1769</v>
      </c>
      <c r="J3544" s="1311"/>
      <c r="K3544" s="1311"/>
      <c r="L3544" s="1311"/>
      <c r="M3544" s="1311"/>
      <c r="N3544" s="1311"/>
      <c r="O3544" s="1311"/>
    </row>
    <row r="3545" spans="1:16">
      <c r="D3545" s="360">
        <f>G3490+1</f>
        <v>45870</v>
      </c>
      <c r="G3545" s="360">
        <f>D3545+30</f>
        <v>45900</v>
      </c>
      <c r="I3545" s="360">
        <f>D3545</f>
        <v>45870</v>
      </c>
      <c r="O3545" s="360">
        <f>G3545</f>
        <v>45900</v>
      </c>
    </row>
    <row r="3546" spans="1:16">
      <c r="D3546" s="361" t="s">
        <v>1757</v>
      </c>
      <c r="G3546" s="361" t="s">
        <v>1757</v>
      </c>
      <c r="I3546" s="361" t="s">
        <v>1758</v>
      </c>
      <c r="J3546" s="361" t="s">
        <v>488</v>
      </c>
      <c r="L3546" s="361" t="s">
        <v>1758</v>
      </c>
      <c r="O3546" s="361" t="s">
        <v>1758</v>
      </c>
    </row>
    <row r="3547" spans="1:16">
      <c r="A3547" s="361" t="s">
        <v>1770</v>
      </c>
      <c r="B3547" s="361" t="s">
        <v>368</v>
      </c>
      <c r="C3547" s="361"/>
      <c r="D3547" s="361" t="s">
        <v>437</v>
      </c>
      <c r="G3547" s="361" t="s">
        <v>439</v>
      </c>
      <c r="I3547" s="361" t="s">
        <v>437</v>
      </c>
      <c r="J3547" s="361" t="s">
        <v>1771</v>
      </c>
      <c r="K3547" s="361" t="s">
        <v>1772</v>
      </c>
      <c r="L3547" s="361" t="s">
        <v>1759</v>
      </c>
      <c r="N3547" s="361" t="s">
        <v>1760</v>
      </c>
      <c r="O3547" s="361" t="s">
        <v>439</v>
      </c>
    </row>
    <row r="3548" spans="1:16">
      <c r="A3548" s="364" t="s">
        <v>316</v>
      </c>
      <c r="B3548" s="364" t="s">
        <v>316</v>
      </c>
      <c r="C3548" s="364" t="s">
        <v>451</v>
      </c>
      <c r="D3548" s="364" t="s">
        <v>441</v>
      </c>
      <c r="E3548" s="364" t="s">
        <v>442</v>
      </c>
      <c r="F3548" s="364" t="s">
        <v>443</v>
      </c>
      <c r="G3548" s="364" t="s">
        <v>441</v>
      </c>
      <c r="I3548" s="364" t="s">
        <v>441</v>
      </c>
      <c r="J3548" s="364" t="s">
        <v>1773</v>
      </c>
      <c r="K3548" s="364" t="s">
        <v>1771</v>
      </c>
      <c r="L3548" s="364" t="s">
        <v>355</v>
      </c>
      <c r="M3548" s="364" t="s">
        <v>443</v>
      </c>
      <c r="N3548" s="364" t="s">
        <v>1763</v>
      </c>
      <c r="O3548" s="364" t="s">
        <v>441</v>
      </c>
    </row>
    <row r="3549" spans="1:16">
      <c r="D3549" s="361" t="s">
        <v>532</v>
      </c>
      <c r="E3549" s="361" t="s">
        <v>541</v>
      </c>
      <c r="F3549" s="361" t="s">
        <v>542</v>
      </c>
      <c r="G3549" s="361" t="s">
        <v>1764</v>
      </c>
      <c r="I3549" s="334" t="str">
        <f>"(5)"</f>
        <v>(5)</v>
      </c>
      <c r="J3549" s="334" t="str">
        <f>"(6)"</f>
        <v>(6)</v>
      </c>
      <c r="K3549" s="334" t="str">
        <f>"(7)=((1+4)/2*6/12))"</f>
        <v>(7)=((1+4)/2*6/12))</v>
      </c>
      <c r="L3549" s="334" t="str">
        <f>"(8)"</f>
        <v>(8)</v>
      </c>
      <c r="M3549" s="334" t="str">
        <f>"(9)"</f>
        <v>(9)</v>
      </c>
      <c r="N3549" s="334" t="str">
        <f>"(10)"</f>
        <v>(10)</v>
      </c>
      <c r="O3549" s="334" t="str">
        <f>"(11=5+7+8+9+10)"</f>
        <v>(11=5+7+8+9+10)</v>
      </c>
    </row>
    <row r="3550" spans="1:16">
      <c r="D3550" s="361" t="s">
        <v>320</v>
      </c>
      <c r="E3550" s="361" t="s">
        <v>320</v>
      </c>
      <c r="F3550" s="361" t="s">
        <v>320</v>
      </c>
      <c r="G3550" s="361" t="s">
        <v>320</v>
      </c>
      <c r="I3550" s="334" t="s">
        <v>320</v>
      </c>
      <c r="J3550" s="334" t="s">
        <v>529</v>
      </c>
      <c r="K3550" s="334" t="s">
        <v>320</v>
      </c>
      <c r="L3550" s="334" t="s">
        <v>320</v>
      </c>
      <c r="M3550" s="334" t="s">
        <v>320</v>
      </c>
      <c r="N3550" s="334" t="s">
        <v>320</v>
      </c>
      <c r="O3550" s="334" t="s">
        <v>320</v>
      </c>
    </row>
    <row r="3551" spans="1:16">
      <c r="A3551" s="361">
        <v>1</v>
      </c>
      <c r="B3551" s="362" t="s">
        <v>373</v>
      </c>
      <c r="D3551" s="361"/>
      <c r="E3551" s="361"/>
      <c r="F3551" s="361"/>
      <c r="G3551" s="361"/>
      <c r="I3551" s="334"/>
      <c r="J3551" s="334"/>
      <c r="K3551" s="334"/>
      <c r="L3551" s="334"/>
      <c r="M3551" s="334"/>
      <c r="N3551" s="334"/>
      <c r="O3551" s="334"/>
    </row>
    <row r="3552" spans="1:16">
      <c r="A3552" s="361">
        <f>A3551+1</f>
        <v>2</v>
      </c>
      <c r="B3552" s="365">
        <v>301</v>
      </c>
      <c r="C3552" s="358" t="s">
        <v>374</v>
      </c>
      <c r="D3552" s="1243">
        <f t="shared" ref="D3552:D3557" si="673">G3438</f>
        <v>521.20000000000005</v>
      </c>
      <c r="E3552" s="1243">
        <v>0</v>
      </c>
      <c r="F3552" s="1243">
        <v>0</v>
      </c>
      <c r="G3552" s="1243">
        <f t="shared" ref="G3552:G3557" si="674">SUM(D3552:F3552)</f>
        <v>521.20000000000005</v>
      </c>
      <c r="H3552" s="1243"/>
      <c r="I3552" s="1243">
        <f t="shared" ref="I3552:I3557" si="675">O3438</f>
        <v>0</v>
      </c>
      <c r="J3552" s="375" t="str">
        <f>$J$1614</f>
        <v>Amort.</v>
      </c>
      <c r="K3552" s="1243">
        <v>0</v>
      </c>
      <c r="L3552" s="1243">
        <v>0</v>
      </c>
      <c r="M3552" s="1243">
        <f t="shared" ref="M3552:M3557" si="676">F3552</f>
        <v>0</v>
      </c>
      <c r="N3552" s="1243">
        <v>0</v>
      </c>
      <c r="O3552" s="1243">
        <f t="shared" ref="O3552:O3557" si="677">I3552+K3552+L3552+M3552+N3552</f>
        <v>0</v>
      </c>
    </row>
    <row r="3553" spans="1:15">
      <c r="A3553" s="361">
        <f t="shared" ref="A3553:A3558" si="678">A3552+1</f>
        <v>3</v>
      </c>
      <c r="B3553" s="365">
        <v>303</v>
      </c>
      <c r="C3553" s="358" t="s">
        <v>375</v>
      </c>
      <c r="D3553" s="1243">
        <f t="shared" si="673"/>
        <v>81146.899999999994</v>
      </c>
      <c r="E3553" s="1243">
        <v>0</v>
      </c>
      <c r="F3553" s="1243">
        <v>0</v>
      </c>
      <c r="G3553" s="1243">
        <f t="shared" si="674"/>
        <v>81146.899999999994</v>
      </c>
      <c r="H3553" s="1243"/>
      <c r="I3553" s="1243">
        <f t="shared" si="675"/>
        <v>68653.648791666797</v>
      </c>
      <c r="J3553" s="375" t="str">
        <f>$J$1615</f>
        <v>Amort.</v>
      </c>
      <c r="K3553" s="1243">
        <f>+'WPB-2.1.E Intangibles'!L53</f>
        <v>225.41</v>
      </c>
      <c r="L3553" s="1243">
        <v>0</v>
      </c>
      <c r="M3553" s="1243">
        <f t="shared" si="676"/>
        <v>0</v>
      </c>
      <c r="N3553" s="1243">
        <v>0</v>
      </c>
      <c r="O3553" s="1243">
        <f t="shared" si="677"/>
        <v>68879.058791666801</v>
      </c>
    </row>
    <row r="3554" spans="1:15">
      <c r="A3554" s="361">
        <f t="shared" si="678"/>
        <v>4</v>
      </c>
      <c r="B3554" s="365">
        <v>303.10000000000002</v>
      </c>
      <c r="C3554" s="358" t="s">
        <v>376</v>
      </c>
      <c r="D3554" s="1243">
        <f t="shared" si="673"/>
        <v>943.27</v>
      </c>
      <c r="E3554" s="1243">
        <v>0</v>
      </c>
      <c r="F3554" s="1243">
        <v>0</v>
      </c>
      <c r="G3554" s="1243">
        <f t="shared" si="674"/>
        <v>943.27</v>
      </c>
      <c r="H3554" s="1243"/>
      <c r="I3554" s="1243">
        <f t="shared" si="675"/>
        <v>318.35000000000008</v>
      </c>
      <c r="J3554" s="375" t="str">
        <f>$J$1616</f>
        <v>Amort.</v>
      </c>
      <c r="K3554" s="1243">
        <v>0</v>
      </c>
      <c r="L3554" s="1243">
        <v>0</v>
      </c>
      <c r="M3554" s="1243">
        <f t="shared" si="676"/>
        <v>0</v>
      </c>
      <c r="N3554" s="1243">
        <v>0</v>
      </c>
      <c r="O3554" s="1243">
        <f t="shared" si="677"/>
        <v>318.35000000000008</v>
      </c>
    </row>
    <row r="3555" spans="1:15">
      <c r="A3555" s="361">
        <f t="shared" si="678"/>
        <v>5</v>
      </c>
      <c r="B3555" s="365">
        <v>303.2</v>
      </c>
      <c r="C3555" s="358" t="s">
        <v>377</v>
      </c>
      <c r="D3555" s="1243">
        <f t="shared" si="673"/>
        <v>0</v>
      </c>
      <c r="E3555" s="1243">
        <v>0</v>
      </c>
      <c r="F3555" s="1243">
        <v>0</v>
      </c>
      <c r="G3555" s="1243">
        <f t="shared" si="674"/>
        <v>0</v>
      </c>
      <c r="H3555" s="1243"/>
      <c r="I3555" s="1243">
        <f t="shared" si="675"/>
        <v>0</v>
      </c>
      <c r="J3555" s="375" t="str">
        <f>$J$1617</f>
        <v>Amort.</v>
      </c>
      <c r="K3555" s="1243">
        <v>0</v>
      </c>
      <c r="L3555" s="1243">
        <v>0</v>
      </c>
      <c r="M3555" s="1243">
        <f t="shared" si="676"/>
        <v>0</v>
      </c>
      <c r="N3555" s="1243">
        <v>0</v>
      </c>
      <c r="O3555" s="1243">
        <f t="shared" si="677"/>
        <v>0</v>
      </c>
    </row>
    <row r="3556" spans="1:15">
      <c r="A3556" s="361">
        <f t="shared" si="678"/>
        <v>6</v>
      </c>
      <c r="B3556" s="365">
        <v>303.3</v>
      </c>
      <c r="C3556" s="358" t="s">
        <v>378</v>
      </c>
      <c r="D3556" s="1243">
        <f t="shared" si="673"/>
        <v>17325668.17194901</v>
      </c>
      <c r="E3556" s="1243">
        <f>+'WPB-2.1.E Intangibles'!L26</f>
        <v>130651.3409</v>
      </c>
      <c r="F3556" s="1243">
        <f>-'WPB-2.1.E Intangibles'!L41</f>
        <v>-54486.85</v>
      </c>
      <c r="G3556" s="1243">
        <f t="shared" si="674"/>
        <v>17401832.662849009</v>
      </c>
      <c r="H3556" s="1243"/>
      <c r="I3556" s="1243">
        <f t="shared" si="675"/>
        <v>6784334.0220399285</v>
      </c>
      <c r="J3556" s="375" t="str">
        <f>$J$1618</f>
        <v>Amort.</v>
      </c>
      <c r="K3556" s="1243">
        <f>+'WPB-2.1.E Intangibles'!L54</f>
        <v>263962.94067999459</v>
      </c>
      <c r="L3556" s="1243">
        <v>0</v>
      </c>
      <c r="M3556" s="1243">
        <f t="shared" si="676"/>
        <v>-54486.85</v>
      </c>
      <c r="N3556" s="1243">
        <v>0</v>
      </c>
      <c r="O3556" s="1243">
        <f t="shared" si="677"/>
        <v>6993810.1127199233</v>
      </c>
    </row>
    <row r="3557" spans="1:15">
      <c r="A3557" s="361">
        <f t="shared" si="678"/>
        <v>7</v>
      </c>
      <c r="B3557" s="365">
        <v>303.99</v>
      </c>
      <c r="C3557" s="358" t="s">
        <v>1129</v>
      </c>
      <c r="D3557" s="1244">
        <f t="shared" si="673"/>
        <v>4319267.1150674522</v>
      </c>
      <c r="E3557" s="1244">
        <f>+'WPB-2.1.E Intangibles'!L30</f>
        <v>8912.1258152824539</v>
      </c>
      <c r="F3557" s="1244">
        <f>-'WPB-2.1.E Intangibles'!L42</f>
        <v>-32787.81</v>
      </c>
      <c r="G3557" s="1244">
        <f t="shared" si="674"/>
        <v>4295391.4308827352</v>
      </c>
      <c r="H3557" s="1243"/>
      <c r="I3557" s="1244">
        <f t="shared" si="675"/>
        <v>1388459.289740456</v>
      </c>
      <c r="J3557" s="375" t="str">
        <f>$J$1619</f>
        <v>Amort.</v>
      </c>
      <c r="K3557" s="1244">
        <f>+'WPB-2.1.E Intangibles'!L55</f>
        <v>61382.606312218537</v>
      </c>
      <c r="L3557" s="1244">
        <v>0</v>
      </c>
      <c r="M3557" s="1244">
        <f t="shared" si="676"/>
        <v>-32787.81</v>
      </c>
      <c r="N3557" s="1244">
        <v>0</v>
      </c>
      <c r="O3557" s="1244">
        <f t="shared" si="677"/>
        <v>1417054.0860526746</v>
      </c>
    </row>
    <row r="3558" spans="1:15">
      <c r="A3558" s="361">
        <f t="shared" si="678"/>
        <v>8</v>
      </c>
      <c r="B3558" s="367"/>
      <c r="C3558" s="358" t="s">
        <v>379</v>
      </c>
      <c r="D3558" s="1243">
        <f>SUM(D3552:D3557)</f>
        <v>21727546.657016464</v>
      </c>
      <c r="E3558" s="1243">
        <f>SUM(E3552:E3557)</f>
        <v>139563.46671528244</v>
      </c>
      <c r="F3558" s="1243">
        <f>SUM(F3552:F3557)</f>
        <v>-87274.66</v>
      </c>
      <c r="G3558" s="1243">
        <f>SUM(G3552:G3557)</f>
        <v>21779835.463731743</v>
      </c>
      <c r="H3558" s="1243"/>
      <c r="I3558" s="1243">
        <f>SUM(I3552:I3557)</f>
        <v>8241765.3105720514</v>
      </c>
      <c r="J3558" s="369"/>
      <c r="K3558" s="1243">
        <f>SUM(K3552:K3557)</f>
        <v>325570.95699221309</v>
      </c>
      <c r="L3558" s="1243">
        <f>SUM(L3552:L3557)</f>
        <v>0</v>
      </c>
      <c r="M3558" s="1243">
        <f>SUM(M3552:M3557)</f>
        <v>-87274.66</v>
      </c>
      <c r="N3558" s="1243">
        <f>SUM(N3552:N3557)</f>
        <v>0</v>
      </c>
      <c r="O3558" s="1243">
        <f>SUM(O3552:O3557)</f>
        <v>8480061.6075642649</v>
      </c>
    </row>
    <row r="3559" spans="1:15">
      <c r="A3559" s="361"/>
      <c r="B3559" s="367"/>
      <c r="C3559" s="368"/>
      <c r="D3559" s="1243"/>
      <c r="E3559" s="1243"/>
      <c r="F3559" s="1243"/>
      <c r="G3559" s="1243"/>
      <c r="H3559" s="1243"/>
      <c r="I3559" s="1243"/>
      <c r="J3559" s="369"/>
      <c r="K3559" s="1243"/>
      <c r="L3559" s="1243"/>
      <c r="M3559" s="1243"/>
      <c r="N3559" s="1243"/>
      <c r="O3559" s="1243"/>
    </row>
    <row r="3560" spans="1:15">
      <c r="A3560" s="361">
        <f>A3558+1</f>
        <v>9</v>
      </c>
      <c r="B3560" s="362" t="s">
        <v>1600</v>
      </c>
      <c r="C3560" s="368"/>
      <c r="D3560" s="1243"/>
      <c r="E3560" s="1243"/>
      <c r="F3560" s="1243"/>
      <c r="G3560" s="1243"/>
      <c r="H3560" s="1243"/>
      <c r="I3560" s="1243"/>
      <c r="J3560" s="369"/>
      <c r="K3560" s="1243"/>
      <c r="L3560" s="1243"/>
      <c r="M3560" s="1243"/>
      <c r="N3560" s="1243"/>
      <c r="O3560" s="1243"/>
    </row>
    <row r="3561" spans="1:15">
      <c r="A3561" s="361">
        <f t="shared" ref="A3561:A3591" si="679">A3560+1</f>
        <v>10</v>
      </c>
      <c r="B3561" s="365">
        <v>374.1</v>
      </c>
      <c r="C3561" s="358" t="s">
        <v>382</v>
      </c>
      <c r="D3561" s="1243">
        <f t="shared" ref="D3561:D3590" si="680">G3447</f>
        <v>205.4</v>
      </c>
      <c r="E3561" s="1243">
        <v>0</v>
      </c>
      <c r="F3561" s="1243">
        <v>0</v>
      </c>
      <c r="G3561" s="1243">
        <f>SUM(D3561:F3561)</f>
        <v>205.4</v>
      </c>
      <c r="H3561" s="1243"/>
      <c r="I3561" s="1243">
        <f t="shared" ref="I3561:I3590" si="681">O3447</f>
        <v>0</v>
      </c>
      <c r="J3561" s="375" t="str">
        <f>$J$1623</f>
        <v>Non-Dep.</v>
      </c>
      <c r="K3561" s="1243">
        <v>0</v>
      </c>
      <c r="L3561" s="1243">
        <v>0</v>
      </c>
      <c r="M3561" s="1243">
        <f t="shared" ref="M3561:M3590" si="682">F3561</f>
        <v>0</v>
      </c>
      <c r="N3561" s="1243">
        <v>0</v>
      </c>
      <c r="O3561" s="1243">
        <f t="shared" ref="O3561:O3590" si="683">I3561+K3561+L3561+M3561+N3561</f>
        <v>0</v>
      </c>
    </row>
    <row r="3562" spans="1:15">
      <c r="A3562" s="361">
        <f t="shared" si="679"/>
        <v>11</v>
      </c>
      <c r="B3562" s="365">
        <v>374.2</v>
      </c>
      <c r="C3562" s="358" t="s">
        <v>383</v>
      </c>
      <c r="D3562" s="1243">
        <f t="shared" si="680"/>
        <v>876986.66</v>
      </c>
      <c r="E3562" s="1243">
        <v>0</v>
      </c>
      <c r="F3562" s="1243">
        <v>0</v>
      </c>
      <c r="G3562" s="1243">
        <f t="shared" ref="G3562:G3590" si="684">SUM(D3562:F3562)</f>
        <v>876986.66</v>
      </c>
      <c r="H3562" s="1243"/>
      <c r="I3562" s="1243">
        <f t="shared" si="681"/>
        <v>-522.25</v>
      </c>
      <c r="J3562" s="375" t="str">
        <f>$J$1624</f>
        <v>Non-Dep.</v>
      </c>
      <c r="K3562" s="1243">
        <v>0</v>
      </c>
      <c r="L3562" s="1243">
        <v>0</v>
      </c>
      <c r="M3562" s="1243">
        <f t="shared" si="682"/>
        <v>0</v>
      </c>
      <c r="N3562" s="1243">
        <v>0</v>
      </c>
      <c r="O3562" s="1243">
        <f t="shared" si="683"/>
        <v>-522.25</v>
      </c>
    </row>
    <row r="3563" spans="1:15">
      <c r="A3563" s="361">
        <f t="shared" si="679"/>
        <v>12</v>
      </c>
      <c r="B3563" s="365">
        <v>374.4</v>
      </c>
      <c r="C3563" s="358" t="s">
        <v>384</v>
      </c>
      <c r="D3563" s="1243">
        <f t="shared" si="680"/>
        <v>3292722.4100000006</v>
      </c>
      <c r="E3563" s="1243">
        <v>2103.7399999999998</v>
      </c>
      <c r="F3563" s="1243">
        <v>0</v>
      </c>
      <c r="G3563" s="1243">
        <f t="shared" si="684"/>
        <v>3294826.1500000008</v>
      </c>
      <c r="H3563" s="1243"/>
      <c r="I3563" s="1243">
        <f t="shared" si="681"/>
        <v>413903.77</v>
      </c>
      <c r="J3563" s="376">
        <f t="shared" ref="J3563:J3590" si="685">+J3449</f>
        <v>1.3299999999999999E-2</v>
      </c>
      <c r="K3563" s="1243">
        <f t="shared" ref="K3563:K3569" si="686">ROUND((G3563+D3563)/2*J3563/12,0)</f>
        <v>3651</v>
      </c>
      <c r="L3563" s="1243">
        <v>0</v>
      </c>
      <c r="M3563" s="1243">
        <f t="shared" si="682"/>
        <v>0</v>
      </c>
      <c r="N3563" s="1243">
        <v>0</v>
      </c>
      <c r="O3563" s="1243">
        <f t="shared" si="683"/>
        <v>417554.77</v>
      </c>
    </row>
    <row r="3564" spans="1:15">
      <c r="A3564" s="361">
        <f t="shared" si="679"/>
        <v>13</v>
      </c>
      <c r="B3564" s="365">
        <v>374.5</v>
      </c>
      <c r="C3564" s="358" t="s">
        <v>385</v>
      </c>
      <c r="D3564" s="1243">
        <f t="shared" si="680"/>
        <v>2666577.16</v>
      </c>
      <c r="E3564" s="1243">
        <v>0</v>
      </c>
      <c r="F3564" s="1243">
        <v>0</v>
      </c>
      <c r="G3564" s="1243">
        <f t="shared" si="684"/>
        <v>2666577.16</v>
      </c>
      <c r="H3564" s="1243"/>
      <c r="I3564" s="1243">
        <f t="shared" si="681"/>
        <v>1202736.1900000013</v>
      </c>
      <c r="J3564" s="376">
        <f t="shared" si="685"/>
        <v>1.0999999999999999E-2</v>
      </c>
      <c r="K3564" s="1243">
        <f t="shared" si="686"/>
        <v>2444</v>
      </c>
      <c r="L3564" s="1243">
        <v>0</v>
      </c>
      <c r="M3564" s="1243">
        <f t="shared" si="682"/>
        <v>0</v>
      </c>
      <c r="N3564" s="1243">
        <v>0</v>
      </c>
      <c r="O3564" s="1243">
        <f t="shared" si="683"/>
        <v>1205180.1900000013</v>
      </c>
    </row>
    <row r="3565" spans="1:15">
      <c r="A3565" s="361">
        <f t="shared" si="679"/>
        <v>14</v>
      </c>
      <c r="B3565" s="365">
        <v>375.2</v>
      </c>
      <c r="C3565" s="358" t="s">
        <v>386</v>
      </c>
      <c r="D3565" s="1243">
        <f t="shared" si="680"/>
        <v>2124.98</v>
      </c>
      <c r="E3565" s="1243">
        <v>0</v>
      </c>
      <c r="F3565" s="1243">
        <v>0</v>
      </c>
      <c r="G3565" s="1243">
        <f t="shared" si="684"/>
        <v>2124.98</v>
      </c>
      <c r="H3565" s="1243"/>
      <c r="I3565" s="1243">
        <f t="shared" si="681"/>
        <v>2131.3000000000002</v>
      </c>
      <c r="J3565" s="376">
        <f t="shared" si="685"/>
        <v>2.3900000000000001E-2</v>
      </c>
      <c r="K3565" s="1243">
        <f t="shared" si="686"/>
        <v>4</v>
      </c>
      <c r="L3565" s="1243">
        <v>0</v>
      </c>
      <c r="M3565" s="1243">
        <f t="shared" si="682"/>
        <v>0</v>
      </c>
      <c r="N3565" s="1243">
        <v>0</v>
      </c>
      <c r="O3565" s="1243">
        <f t="shared" si="683"/>
        <v>2135.3000000000002</v>
      </c>
    </row>
    <row r="3566" spans="1:15">
      <c r="A3566" s="361">
        <f t="shared" si="679"/>
        <v>15</v>
      </c>
      <c r="B3566" s="365">
        <v>375.3</v>
      </c>
      <c r="C3566" s="358" t="s">
        <v>387</v>
      </c>
      <c r="D3566" s="1243">
        <f t="shared" si="680"/>
        <v>0</v>
      </c>
      <c r="E3566" s="1243">
        <v>0</v>
      </c>
      <c r="F3566" s="1243">
        <v>0</v>
      </c>
      <c r="G3566" s="1243">
        <f t="shared" si="684"/>
        <v>0</v>
      </c>
      <c r="H3566" s="1243"/>
      <c r="I3566" s="1243">
        <f t="shared" si="681"/>
        <v>-77.66</v>
      </c>
      <c r="J3566" s="376">
        <f t="shared" si="685"/>
        <v>2.3900000000000001E-2</v>
      </c>
      <c r="K3566" s="1243">
        <f t="shared" si="686"/>
        <v>0</v>
      </c>
      <c r="L3566" s="1243">
        <v>0</v>
      </c>
      <c r="M3566" s="1243">
        <f t="shared" si="682"/>
        <v>0</v>
      </c>
      <c r="N3566" s="1243">
        <v>0</v>
      </c>
      <c r="O3566" s="1243">
        <f t="shared" si="683"/>
        <v>-77.66</v>
      </c>
    </row>
    <row r="3567" spans="1:15">
      <c r="A3567" s="361">
        <f t="shared" si="679"/>
        <v>16</v>
      </c>
      <c r="B3567" s="365">
        <v>375.4</v>
      </c>
      <c r="C3567" s="358" t="s">
        <v>388</v>
      </c>
      <c r="D3567" s="1243">
        <f t="shared" si="680"/>
        <v>4283830.2599999988</v>
      </c>
      <c r="E3567" s="1243">
        <v>0</v>
      </c>
      <c r="F3567" s="1243">
        <v>0</v>
      </c>
      <c r="G3567" s="1243">
        <f t="shared" si="684"/>
        <v>4283830.2599999988</v>
      </c>
      <c r="H3567" s="1243"/>
      <c r="I3567" s="1243">
        <f t="shared" si="681"/>
        <v>35330.400000000169</v>
      </c>
      <c r="J3567" s="376">
        <f t="shared" si="685"/>
        <v>2.3900000000000001E-2</v>
      </c>
      <c r="K3567" s="1243">
        <f t="shared" si="686"/>
        <v>8532</v>
      </c>
      <c r="L3567" s="1243">
        <v>0</v>
      </c>
      <c r="M3567" s="1243">
        <f t="shared" si="682"/>
        <v>0</v>
      </c>
      <c r="N3567" s="1243">
        <v>0</v>
      </c>
      <c r="O3567" s="1243">
        <f t="shared" si="683"/>
        <v>43862.400000000169</v>
      </c>
    </row>
    <row r="3568" spans="1:15">
      <c r="A3568" s="361">
        <f t="shared" si="679"/>
        <v>17</v>
      </c>
      <c r="B3568" s="365">
        <v>375.6</v>
      </c>
      <c r="C3568" s="358" t="s">
        <v>389</v>
      </c>
      <c r="D3568" s="1243">
        <f t="shared" si="680"/>
        <v>0</v>
      </c>
      <c r="E3568" s="1243">
        <v>0</v>
      </c>
      <c r="F3568" s="1243">
        <v>0</v>
      </c>
      <c r="G3568" s="1243">
        <f t="shared" si="684"/>
        <v>0</v>
      </c>
      <c r="H3568" s="1243"/>
      <c r="I3568" s="1243">
        <f t="shared" si="681"/>
        <v>0.02</v>
      </c>
      <c r="J3568" s="376">
        <f t="shared" si="685"/>
        <v>2.3900000000000001E-2</v>
      </c>
      <c r="K3568" s="1243">
        <f t="shared" si="686"/>
        <v>0</v>
      </c>
      <c r="L3568" s="1243">
        <v>0</v>
      </c>
      <c r="M3568" s="1243">
        <f t="shared" si="682"/>
        <v>0</v>
      </c>
      <c r="N3568" s="1243">
        <v>0</v>
      </c>
      <c r="O3568" s="1243">
        <f t="shared" si="683"/>
        <v>0.02</v>
      </c>
    </row>
    <row r="3569" spans="1:15">
      <c r="A3569" s="361">
        <f t="shared" si="679"/>
        <v>18</v>
      </c>
      <c r="B3569" s="365">
        <v>375.7</v>
      </c>
      <c r="C3569" s="358" t="s">
        <v>390</v>
      </c>
      <c r="D3569" s="1243">
        <f t="shared" si="680"/>
        <v>9704899.3999999985</v>
      </c>
      <c r="E3569" s="1243">
        <v>67914.429999999993</v>
      </c>
      <c r="F3569" s="1243">
        <v>0</v>
      </c>
      <c r="G3569" s="1243">
        <f t="shared" si="684"/>
        <v>9772813.8299999982</v>
      </c>
      <c r="H3569" s="1243"/>
      <c r="I3569" s="1243">
        <f t="shared" si="681"/>
        <v>5051514.8699999982</v>
      </c>
      <c r="J3569" s="376">
        <f t="shared" si="685"/>
        <v>2.5100000000000001E-2</v>
      </c>
      <c r="K3569" s="1243">
        <f t="shared" si="686"/>
        <v>20370</v>
      </c>
      <c r="L3569" s="1243">
        <v>0</v>
      </c>
      <c r="M3569" s="1243">
        <f t="shared" si="682"/>
        <v>0</v>
      </c>
      <c r="N3569" s="1243">
        <v>0</v>
      </c>
      <c r="O3569" s="1243">
        <f t="shared" si="683"/>
        <v>5071884.8699999982</v>
      </c>
    </row>
    <row r="3570" spans="1:15">
      <c r="A3570" s="361">
        <f t="shared" si="679"/>
        <v>19</v>
      </c>
      <c r="B3570" s="365">
        <v>375.71</v>
      </c>
      <c r="C3570" s="358" t="s">
        <v>391</v>
      </c>
      <c r="D3570" s="1243">
        <f t="shared" si="680"/>
        <v>880994.59</v>
      </c>
      <c r="E3570" s="1243">
        <v>0</v>
      </c>
      <c r="F3570" s="1243">
        <v>0</v>
      </c>
      <c r="G3570" s="1243">
        <f t="shared" si="684"/>
        <v>880994.59</v>
      </c>
      <c r="H3570" s="1243"/>
      <c r="I3570" s="1243">
        <f t="shared" si="681"/>
        <v>849090.38000000105</v>
      </c>
      <c r="J3570" s="376" t="str">
        <f t="shared" si="685"/>
        <v>Amort.</v>
      </c>
      <c r="K3570" s="1243">
        <f>$K$1290</f>
        <v>4743.54</v>
      </c>
      <c r="L3570" s="1243">
        <v>0</v>
      </c>
      <c r="M3570" s="1243">
        <f t="shared" si="682"/>
        <v>0</v>
      </c>
      <c r="N3570" s="1243">
        <v>0</v>
      </c>
      <c r="O3570" s="1243">
        <f t="shared" si="683"/>
        <v>853833.92000000109</v>
      </c>
    </row>
    <row r="3571" spans="1:15">
      <c r="A3571" s="361">
        <f t="shared" si="679"/>
        <v>20</v>
      </c>
      <c r="B3571" s="365">
        <v>375.8</v>
      </c>
      <c r="C3571" s="358" t="s">
        <v>392</v>
      </c>
      <c r="D3571" s="1243">
        <f t="shared" si="680"/>
        <v>132125.04</v>
      </c>
      <c r="E3571" s="1243">
        <v>0</v>
      </c>
      <c r="F3571" s="1243">
        <v>0</v>
      </c>
      <c r="G3571" s="1243">
        <f t="shared" si="684"/>
        <v>132125.04</v>
      </c>
      <c r="H3571" s="1243"/>
      <c r="I3571" s="1243">
        <f t="shared" si="681"/>
        <v>16172.43</v>
      </c>
      <c r="J3571" s="376">
        <f t="shared" si="685"/>
        <v>2.1100000000000001E-2</v>
      </c>
      <c r="K3571" s="1243">
        <f t="shared" ref="K3571:K3590" si="687">ROUND((G3571+D3571)/2*J3571/12,0)</f>
        <v>232</v>
      </c>
      <c r="L3571" s="1243">
        <v>0</v>
      </c>
      <c r="M3571" s="1243">
        <f t="shared" si="682"/>
        <v>0</v>
      </c>
      <c r="N3571" s="1243">
        <v>0</v>
      </c>
      <c r="O3571" s="1243">
        <f t="shared" si="683"/>
        <v>16404.43</v>
      </c>
    </row>
    <row r="3572" spans="1:15">
      <c r="A3572" s="361">
        <f t="shared" si="679"/>
        <v>21</v>
      </c>
      <c r="B3572" s="365">
        <v>376</v>
      </c>
      <c r="C3572" s="358" t="s">
        <v>1621</v>
      </c>
      <c r="D3572" s="1243">
        <f t="shared" si="680"/>
        <v>423380072.1193161</v>
      </c>
      <c r="E3572" s="1243">
        <f>'WPB-2.1.D SMRP'!E1453</f>
        <v>166443.14994973224</v>
      </c>
      <c r="F3572" s="1243">
        <f>'WPB-2.1.D SMRP'!F1453</f>
        <v>-27769.47</v>
      </c>
      <c r="G3572" s="1243">
        <f t="shared" si="684"/>
        <v>423518745.7992658</v>
      </c>
      <c r="H3572" s="1243"/>
      <c r="I3572" s="1243">
        <f t="shared" si="681"/>
        <v>90240498.980854318</v>
      </c>
      <c r="J3572" s="376">
        <f t="shared" si="685"/>
        <v>1.7999999999999999E-2</v>
      </c>
      <c r="K3572" s="1243">
        <f>'WPB-2.1.D SMRP'!K1453</f>
        <v>635173.82999999996</v>
      </c>
      <c r="L3572" s="1243">
        <v>0</v>
      </c>
      <c r="M3572" s="1243">
        <f>F3572</f>
        <v>-27769.47</v>
      </c>
      <c r="N3572" s="1243">
        <f>'WPB-2.1.D SMRP'!N1453</f>
        <v>-11239.614015701094</v>
      </c>
      <c r="O3572" s="1243">
        <f t="shared" si="683"/>
        <v>90836663.726838619</v>
      </c>
    </row>
    <row r="3573" spans="1:15">
      <c r="A3573" s="361">
        <f t="shared" si="679"/>
        <v>22</v>
      </c>
      <c r="B3573" s="365">
        <v>378.1</v>
      </c>
      <c r="C3573" s="358" t="s">
        <v>394</v>
      </c>
      <c r="D3573" s="1243">
        <f t="shared" si="680"/>
        <v>-172291.25</v>
      </c>
      <c r="E3573" s="1243">
        <v>0</v>
      </c>
      <c r="F3573" s="1243">
        <v>0</v>
      </c>
      <c r="G3573" s="1243">
        <f t="shared" si="684"/>
        <v>-172291.25</v>
      </c>
      <c r="H3573" s="1243"/>
      <c r="I3573" s="1243">
        <f t="shared" si="681"/>
        <v>-330944.52000000008</v>
      </c>
      <c r="J3573" s="376">
        <f t="shared" si="685"/>
        <v>3.3099999999999997E-2</v>
      </c>
      <c r="K3573" s="1243">
        <f t="shared" si="687"/>
        <v>-475</v>
      </c>
      <c r="L3573" s="1243">
        <v>0</v>
      </c>
      <c r="M3573" s="1243">
        <f t="shared" si="682"/>
        <v>0</v>
      </c>
      <c r="N3573" s="1243">
        <v>0</v>
      </c>
      <c r="O3573" s="1243">
        <f t="shared" si="683"/>
        <v>-331419.52000000008</v>
      </c>
    </row>
    <row r="3574" spans="1:15">
      <c r="A3574" s="361">
        <f t="shared" si="679"/>
        <v>23</v>
      </c>
      <c r="B3574" s="365">
        <v>378.2</v>
      </c>
      <c r="C3574" s="358" t="s">
        <v>1622</v>
      </c>
      <c r="D3574" s="1243">
        <f t="shared" si="680"/>
        <v>30855236.561079048</v>
      </c>
      <c r="E3574" s="1243">
        <f>'WPB-2.1.D SMRP'!E1457</f>
        <v>69213.555321360371</v>
      </c>
      <c r="F3574" s="1243">
        <f>'WPB-2.1.D SMRP'!F1457</f>
        <v>-77751.6928822833</v>
      </c>
      <c r="G3574" s="1243">
        <f t="shared" si="684"/>
        <v>30846698.423518125</v>
      </c>
      <c r="H3574" s="1243"/>
      <c r="I3574" s="1243">
        <f t="shared" si="681"/>
        <v>3454039.7050729673</v>
      </c>
      <c r="J3574" s="376">
        <f t="shared" si="685"/>
        <v>3.3099999999999997E-2</v>
      </c>
      <c r="K3574" s="1243">
        <f>'WPB-2.1.D SMRP'!K1457</f>
        <v>85097.61</v>
      </c>
      <c r="L3574" s="1243">
        <v>0</v>
      </c>
      <c r="M3574" s="1243">
        <f>F3574</f>
        <v>-77751.6928822833</v>
      </c>
      <c r="N3574" s="1243">
        <f>'WPB-2.1.D SMRP'!N1457</f>
        <v>-300940.69465316215</v>
      </c>
      <c r="O3574" s="1243">
        <f t="shared" si="683"/>
        <v>3160444.9275375218</v>
      </c>
    </row>
    <row r="3575" spans="1:15">
      <c r="A3575" s="361">
        <f t="shared" si="679"/>
        <v>24</v>
      </c>
      <c r="B3575" s="365">
        <v>378.3</v>
      </c>
      <c r="C3575" s="358" t="s">
        <v>396</v>
      </c>
      <c r="D3575" s="1243">
        <f t="shared" si="680"/>
        <v>45443.08</v>
      </c>
      <c r="E3575" s="1243">
        <v>0</v>
      </c>
      <c r="F3575" s="1243">
        <v>0</v>
      </c>
      <c r="G3575" s="1243">
        <f t="shared" si="684"/>
        <v>45443.08</v>
      </c>
      <c r="H3575" s="1243"/>
      <c r="I3575" s="1243">
        <f t="shared" si="681"/>
        <v>45183.320000000007</v>
      </c>
      <c r="J3575" s="376">
        <f t="shared" si="685"/>
        <v>3.3099999999999997E-2</v>
      </c>
      <c r="K3575" s="1243">
        <f t="shared" si="687"/>
        <v>125</v>
      </c>
      <c r="L3575" s="1243">
        <v>0</v>
      </c>
      <c r="M3575" s="1243">
        <f t="shared" si="682"/>
        <v>0</v>
      </c>
      <c r="N3575" s="1243">
        <v>0</v>
      </c>
      <c r="O3575" s="1243">
        <f t="shared" si="683"/>
        <v>45308.320000000007</v>
      </c>
    </row>
    <row r="3576" spans="1:15">
      <c r="A3576" s="361">
        <f t="shared" si="679"/>
        <v>25</v>
      </c>
      <c r="B3576" s="365">
        <v>379.1</v>
      </c>
      <c r="C3576" s="358" t="s">
        <v>397</v>
      </c>
      <c r="D3576" s="1243">
        <f t="shared" si="680"/>
        <v>1554144.06</v>
      </c>
      <c r="E3576" s="1243">
        <v>0</v>
      </c>
      <c r="F3576" s="1243">
        <v>0</v>
      </c>
      <c r="G3576" s="1243">
        <f t="shared" si="684"/>
        <v>1554144.06</v>
      </c>
      <c r="H3576" s="1243"/>
      <c r="I3576" s="1243">
        <f t="shared" si="681"/>
        <v>412023.19000000006</v>
      </c>
      <c r="J3576" s="376">
        <f t="shared" si="685"/>
        <v>2.5399999999999999E-2</v>
      </c>
      <c r="K3576" s="1243">
        <f t="shared" si="687"/>
        <v>3290</v>
      </c>
      <c r="L3576" s="1243">
        <v>0</v>
      </c>
      <c r="M3576" s="1243">
        <f t="shared" si="682"/>
        <v>0</v>
      </c>
      <c r="N3576" s="1243">
        <v>0</v>
      </c>
      <c r="O3576" s="1243">
        <f t="shared" si="683"/>
        <v>415313.19000000006</v>
      </c>
    </row>
    <row r="3577" spans="1:15">
      <c r="A3577" s="361">
        <f t="shared" si="679"/>
        <v>26</v>
      </c>
      <c r="B3577" s="365">
        <v>380</v>
      </c>
      <c r="C3577" s="358" t="s">
        <v>1623</v>
      </c>
      <c r="D3577" s="1243">
        <f t="shared" si="680"/>
        <v>207285517.53818429</v>
      </c>
      <c r="E3577" s="1243">
        <f>'WPB-2.1.D SMRP'!E1461</f>
        <v>533807.09881049651</v>
      </c>
      <c r="F3577" s="1243">
        <f>'WPB-2.1.D SMRP'!F1461</f>
        <v>-32918.697035888617</v>
      </c>
      <c r="G3577" s="1243">
        <f t="shared" si="684"/>
        <v>207786405.9399589</v>
      </c>
      <c r="H3577" s="1243"/>
      <c r="I3577" s="1243">
        <f t="shared" si="681"/>
        <v>72086390.601261035</v>
      </c>
      <c r="J3577" s="376">
        <f t="shared" si="685"/>
        <v>5.1799999999999999E-2</v>
      </c>
      <c r="K3577" s="1243">
        <f>'WPB-2.1.D SMRP'!K1461</f>
        <v>895863.4</v>
      </c>
      <c r="L3577" s="1243">
        <v>0</v>
      </c>
      <c r="M3577" s="1243">
        <f>F3577</f>
        <v>-32918.697035888617</v>
      </c>
      <c r="N3577" s="1243">
        <f>'WPB-2.1.D SMRP'!N1461</f>
        <v>-48435.067762519015</v>
      </c>
      <c r="O3577" s="1243">
        <f t="shared" si="683"/>
        <v>72900900.236462623</v>
      </c>
    </row>
    <row r="3578" spans="1:15">
      <c r="A3578" s="361">
        <f t="shared" si="679"/>
        <v>27</v>
      </c>
      <c r="B3578" s="365">
        <v>381</v>
      </c>
      <c r="C3578" s="358" t="s">
        <v>399</v>
      </c>
      <c r="D3578" s="1243">
        <f t="shared" si="680"/>
        <v>20704997.62080824</v>
      </c>
      <c r="E3578" s="1243">
        <v>99283.69</v>
      </c>
      <c r="F3578" s="1243">
        <v>-14837.7</v>
      </c>
      <c r="G3578" s="1243">
        <f t="shared" si="684"/>
        <v>20789443.610808242</v>
      </c>
      <c r="H3578" s="1243"/>
      <c r="I3578" s="1243">
        <f t="shared" si="681"/>
        <v>1899364.8799999994</v>
      </c>
      <c r="J3578" s="376">
        <f t="shared" si="685"/>
        <v>3.5799999999999998E-2</v>
      </c>
      <c r="K3578" s="1243">
        <f t="shared" si="687"/>
        <v>61896</v>
      </c>
      <c r="L3578" s="1243">
        <v>0</v>
      </c>
      <c r="M3578" s="1243">
        <f t="shared" si="682"/>
        <v>-14837.7</v>
      </c>
      <c r="N3578" s="1243">
        <v>-7201.29</v>
      </c>
      <c r="O3578" s="1243">
        <f t="shared" si="683"/>
        <v>1939221.8899999994</v>
      </c>
    </row>
    <row r="3579" spans="1:15">
      <c r="A3579" s="361">
        <f t="shared" si="679"/>
        <v>28</v>
      </c>
      <c r="B3579" s="365">
        <v>381.1</v>
      </c>
      <c r="C3579" s="358" t="s">
        <v>2366</v>
      </c>
      <c r="D3579" s="1243">
        <f t="shared" si="680"/>
        <v>9980854.4800000004</v>
      </c>
      <c r="E3579" s="1243">
        <v>0</v>
      </c>
      <c r="F3579" s="1243">
        <v>0</v>
      </c>
      <c r="G3579" s="1243">
        <f t="shared" si="684"/>
        <v>9980854.4800000004</v>
      </c>
      <c r="H3579" s="1243"/>
      <c r="I3579" s="1243">
        <f t="shared" si="681"/>
        <v>6502992.0300000031</v>
      </c>
      <c r="J3579" s="376">
        <f t="shared" si="685"/>
        <v>6.7900000000000002E-2</v>
      </c>
      <c r="K3579" s="1243">
        <f t="shared" si="687"/>
        <v>56475</v>
      </c>
      <c r="L3579" s="1243">
        <v>0</v>
      </c>
      <c r="M3579" s="1243">
        <f t="shared" si="682"/>
        <v>0</v>
      </c>
      <c r="N3579" s="1243">
        <v>0</v>
      </c>
      <c r="O3579" s="1243">
        <f t="shared" si="683"/>
        <v>6559467.0300000031</v>
      </c>
    </row>
    <row r="3580" spans="1:15">
      <c r="A3580" s="361">
        <f t="shared" si="679"/>
        <v>29</v>
      </c>
      <c r="B3580" s="365">
        <v>382</v>
      </c>
      <c r="C3580" s="358" t="s">
        <v>1624</v>
      </c>
      <c r="D3580" s="1243">
        <f t="shared" si="680"/>
        <v>10728006.534696452</v>
      </c>
      <c r="E3580" s="1243">
        <f>'WPB-2.1.D SMRP'!E1465</f>
        <v>15380.594281287049</v>
      </c>
      <c r="F3580" s="1243">
        <f>'WPB-2.1.D SMRP'!F1465</f>
        <v>-2575.8872168002399</v>
      </c>
      <c r="G3580" s="1243">
        <f t="shared" si="684"/>
        <v>10740811.241760939</v>
      </c>
      <c r="H3580" s="1243"/>
      <c r="I3580" s="1243">
        <f t="shared" si="681"/>
        <v>6148638.6403017212</v>
      </c>
      <c r="J3580" s="376">
        <f t="shared" si="685"/>
        <v>2.2800000000000001E-2</v>
      </c>
      <c r="K3580" s="1243">
        <f>'WPB-2.1.D SMRP'!K1465</f>
        <v>20395.490000000002</v>
      </c>
      <c r="L3580" s="1243">
        <v>0</v>
      </c>
      <c r="M3580" s="1243">
        <f t="shared" si="682"/>
        <v>-2575.8872168002399</v>
      </c>
      <c r="N3580" s="1243">
        <f>'WPB-2.1.D SMRP'!N1465</f>
        <v>0</v>
      </c>
      <c r="O3580" s="1243">
        <f t="shared" si="683"/>
        <v>6166458.2430849215</v>
      </c>
    </row>
    <row r="3581" spans="1:15">
      <c r="A3581" s="361">
        <f t="shared" si="679"/>
        <v>30</v>
      </c>
      <c r="B3581" s="365">
        <v>383</v>
      </c>
      <c r="C3581" s="358" t="s">
        <v>1625</v>
      </c>
      <c r="D3581" s="1243">
        <f t="shared" si="680"/>
        <v>7746438.3246910777</v>
      </c>
      <c r="E3581" s="1243">
        <f>'WPB-2.1.D SMRP'!E1469</f>
        <v>17514.920362094032</v>
      </c>
      <c r="F3581" s="1243">
        <f>'WPB-2.1.D SMRP'!F1469</f>
        <v>-505.35490588373818</v>
      </c>
      <c r="G3581" s="1243">
        <f t="shared" si="684"/>
        <v>7763447.8901472883</v>
      </c>
      <c r="H3581" s="1243"/>
      <c r="I3581" s="1243">
        <f t="shared" si="681"/>
        <v>2721293.4254167718</v>
      </c>
      <c r="J3581" s="376">
        <f t="shared" si="685"/>
        <v>2.2200000000000001E-2</v>
      </c>
      <c r="K3581" s="1243">
        <f>'WPB-2.1.D SMRP'!K1469</f>
        <v>14346.27</v>
      </c>
      <c r="L3581" s="1243">
        <v>0</v>
      </c>
      <c r="M3581" s="1243">
        <f t="shared" si="682"/>
        <v>-505.35490588373818</v>
      </c>
      <c r="N3581" s="1243">
        <f>'WPB-2.1.D SMRP'!N1469</f>
        <v>0</v>
      </c>
      <c r="O3581" s="1243">
        <f t="shared" si="683"/>
        <v>2735134.340510888</v>
      </c>
    </row>
    <row r="3582" spans="1:15">
      <c r="A3582" s="361">
        <f t="shared" si="679"/>
        <v>31</v>
      </c>
      <c r="B3582" s="365">
        <v>384</v>
      </c>
      <c r="C3582" s="358" t="s">
        <v>402</v>
      </c>
      <c r="D3582" s="1243">
        <f t="shared" si="680"/>
        <v>2085315.5499999998</v>
      </c>
      <c r="E3582" s="1243">
        <v>13.99</v>
      </c>
      <c r="F3582" s="1243">
        <v>0</v>
      </c>
      <c r="G3582" s="1243">
        <f t="shared" si="684"/>
        <v>2085329.5399999998</v>
      </c>
      <c r="H3582" s="1243"/>
      <c r="I3582" s="1243">
        <f t="shared" si="681"/>
        <v>1772826.1399999992</v>
      </c>
      <c r="J3582" s="376">
        <f t="shared" si="685"/>
        <v>1.9900000000000001E-2</v>
      </c>
      <c r="K3582" s="1243">
        <f t="shared" si="687"/>
        <v>3458</v>
      </c>
      <c r="L3582" s="1243">
        <v>0</v>
      </c>
      <c r="M3582" s="1243">
        <f t="shared" si="682"/>
        <v>0</v>
      </c>
      <c r="N3582" s="1243">
        <v>0</v>
      </c>
      <c r="O3582" s="1243">
        <f t="shared" si="683"/>
        <v>1776284.1399999992</v>
      </c>
    </row>
    <row r="3583" spans="1:15">
      <c r="A3583" s="361">
        <f t="shared" si="679"/>
        <v>32</v>
      </c>
      <c r="B3583" s="365">
        <v>385</v>
      </c>
      <c r="C3583" s="358" t="s">
        <v>403</v>
      </c>
      <c r="D3583" s="1243">
        <f t="shared" si="680"/>
        <v>6367986.5199999986</v>
      </c>
      <c r="E3583" s="1243">
        <v>76293.649999999994</v>
      </c>
      <c r="F3583" s="1243">
        <v>-11567.08</v>
      </c>
      <c r="G3583" s="1243">
        <f t="shared" si="684"/>
        <v>6432713.0899999989</v>
      </c>
      <c r="H3583" s="1243"/>
      <c r="I3583" s="1243">
        <f t="shared" si="681"/>
        <v>987750.98999999976</v>
      </c>
      <c r="J3583" s="376">
        <f t="shared" si="685"/>
        <v>5.4699999999999999E-2</v>
      </c>
      <c r="K3583" s="1243">
        <f t="shared" si="687"/>
        <v>29175</v>
      </c>
      <c r="L3583" s="1243">
        <v>0</v>
      </c>
      <c r="M3583" s="1243">
        <f t="shared" si="682"/>
        <v>-11567.08</v>
      </c>
      <c r="N3583" s="1243">
        <v>-1029.78</v>
      </c>
      <c r="O3583" s="1243">
        <f t="shared" si="683"/>
        <v>1004329.1299999998</v>
      </c>
    </row>
    <row r="3584" spans="1:15">
      <c r="A3584" s="361">
        <f t="shared" si="679"/>
        <v>33</v>
      </c>
      <c r="B3584" s="365">
        <v>387.2</v>
      </c>
      <c r="C3584" s="358" t="s">
        <v>404</v>
      </c>
      <c r="D3584" s="1243">
        <f t="shared" si="680"/>
        <v>0</v>
      </c>
      <c r="E3584" s="1243">
        <v>0</v>
      </c>
      <c r="F3584" s="1243">
        <v>0</v>
      </c>
      <c r="G3584" s="1243">
        <f t="shared" si="684"/>
        <v>0</v>
      </c>
      <c r="H3584" s="1243"/>
      <c r="I3584" s="1243">
        <f t="shared" si="681"/>
        <v>-59912.03</v>
      </c>
      <c r="J3584" s="376">
        <f t="shared" si="685"/>
        <v>0</v>
      </c>
      <c r="K3584" s="1243">
        <f t="shared" si="687"/>
        <v>0</v>
      </c>
      <c r="L3584" s="1243">
        <v>0</v>
      </c>
      <c r="M3584" s="1243">
        <f t="shared" si="682"/>
        <v>0</v>
      </c>
      <c r="N3584" s="1243">
        <v>0</v>
      </c>
      <c r="O3584" s="1243">
        <f t="shared" si="683"/>
        <v>-59912.03</v>
      </c>
    </row>
    <row r="3585" spans="1:16">
      <c r="A3585" s="361">
        <f t="shared" si="679"/>
        <v>34</v>
      </c>
      <c r="B3585" s="365">
        <v>387.41</v>
      </c>
      <c r="C3585" s="358" t="s">
        <v>405</v>
      </c>
      <c r="D3585" s="1243">
        <f t="shared" si="680"/>
        <v>260538.46000000008</v>
      </c>
      <c r="E3585" s="1243">
        <v>0</v>
      </c>
      <c r="F3585" s="1243">
        <v>0</v>
      </c>
      <c r="G3585" s="1243">
        <f t="shared" si="684"/>
        <v>260538.46000000008</v>
      </c>
      <c r="H3585" s="1243"/>
      <c r="I3585" s="1243">
        <f t="shared" si="681"/>
        <v>76371.970000000059</v>
      </c>
      <c r="J3585" s="376">
        <f t="shared" si="685"/>
        <v>4.9599999999999998E-2</v>
      </c>
      <c r="K3585" s="1243">
        <f t="shared" si="687"/>
        <v>1077</v>
      </c>
      <c r="L3585" s="1243">
        <v>0</v>
      </c>
      <c r="M3585" s="1243">
        <f t="shared" si="682"/>
        <v>0</v>
      </c>
      <c r="N3585" s="1243">
        <v>0</v>
      </c>
      <c r="O3585" s="1243">
        <f t="shared" si="683"/>
        <v>77448.970000000059</v>
      </c>
    </row>
    <row r="3586" spans="1:16">
      <c r="A3586" s="361">
        <f t="shared" si="679"/>
        <v>35</v>
      </c>
      <c r="B3586" s="365">
        <v>387.42</v>
      </c>
      <c r="C3586" s="358" t="s">
        <v>406</v>
      </c>
      <c r="D3586" s="1243">
        <f t="shared" si="680"/>
        <v>419367.40000000008</v>
      </c>
      <c r="E3586" s="1243">
        <v>0</v>
      </c>
      <c r="F3586" s="1243">
        <v>0</v>
      </c>
      <c r="G3586" s="1243">
        <f t="shared" si="684"/>
        <v>419367.40000000008</v>
      </c>
      <c r="H3586" s="1243"/>
      <c r="I3586" s="1243">
        <f t="shared" si="681"/>
        <v>369114.80999999976</v>
      </c>
      <c r="J3586" s="376">
        <f t="shared" si="685"/>
        <v>4.9599999999999998E-2</v>
      </c>
      <c r="K3586" s="1243">
        <f t="shared" si="687"/>
        <v>1733</v>
      </c>
      <c r="L3586" s="1243">
        <v>0</v>
      </c>
      <c r="M3586" s="1243">
        <f t="shared" si="682"/>
        <v>0</v>
      </c>
      <c r="N3586" s="1243">
        <v>0</v>
      </c>
      <c r="O3586" s="1243">
        <f t="shared" si="683"/>
        <v>370847.80999999976</v>
      </c>
    </row>
    <row r="3587" spans="1:16">
      <c r="A3587" s="361">
        <f t="shared" si="679"/>
        <v>36</v>
      </c>
      <c r="B3587" s="365">
        <v>387.44</v>
      </c>
      <c r="C3587" s="358" t="s">
        <v>407</v>
      </c>
      <c r="D3587" s="1243">
        <f t="shared" si="680"/>
        <v>124678.76000000001</v>
      </c>
      <c r="E3587" s="1243">
        <v>0</v>
      </c>
      <c r="F3587" s="1243">
        <v>0</v>
      </c>
      <c r="G3587" s="1243">
        <f t="shared" si="684"/>
        <v>124678.76000000001</v>
      </c>
      <c r="H3587" s="1243"/>
      <c r="I3587" s="1243">
        <f t="shared" si="681"/>
        <v>75054.390000000014</v>
      </c>
      <c r="J3587" s="376">
        <f t="shared" si="685"/>
        <v>4.9599999999999998E-2</v>
      </c>
      <c r="K3587" s="1243">
        <f t="shared" si="687"/>
        <v>515</v>
      </c>
      <c r="L3587" s="1243">
        <v>0</v>
      </c>
      <c r="M3587" s="1243">
        <f t="shared" si="682"/>
        <v>0</v>
      </c>
      <c r="N3587" s="1243">
        <v>0</v>
      </c>
      <c r="O3587" s="1243">
        <f t="shared" si="683"/>
        <v>75569.390000000014</v>
      </c>
    </row>
    <row r="3588" spans="1:16">
      <c r="A3588" s="361">
        <f t="shared" si="679"/>
        <v>37</v>
      </c>
      <c r="B3588" s="365">
        <v>387.45</v>
      </c>
      <c r="C3588" s="358" t="s">
        <v>408</v>
      </c>
      <c r="D3588" s="1243">
        <f t="shared" si="680"/>
        <v>6456578.1800000034</v>
      </c>
      <c r="E3588" s="1243">
        <v>166759.95000000001</v>
      </c>
      <c r="F3588" s="1243">
        <v>0</v>
      </c>
      <c r="G3588" s="1243">
        <f t="shared" si="684"/>
        <v>6623338.1300000036</v>
      </c>
      <c r="H3588" s="1243"/>
      <c r="I3588" s="1243">
        <f t="shared" si="681"/>
        <v>-941677.9</v>
      </c>
      <c r="J3588" s="376">
        <f t="shared" si="685"/>
        <v>4.9599999999999998E-2</v>
      </c>
      <c r="K3588" s="1243">
        <f t="shared" si="687"/>
        <v>27032</v>
      </c>
      <c r="L3588" s="1243">
        <v>0</v>
      </c>
      <c r="M3588" s="1243">
        <f t="shared" si="682"/>
        <v>0</v>
      </c>
      <c r="N3588" s="1243">
        <v>-483.68</v>
      </c>
      <c r="O3588" s="1243">
        <f t="shared" si="683"/>
        <v>-915129.58000000007</v>
      </c>
    </row>
    <row r="3589" spans="1:16">
      <c r="A3589" s="361">
        <f t="shared" si="679"/>
        <v>38</v>
      </c>
      <c r="B3589" s="365">
        <v>387.46</v>
      </c>
      <c r="C3589" s="358" t="s">
        <v>409</v>
      </c>
      <c r="D3589" s="1243">
        <f t="shared" si="680"/>
        <v>113644.47</v>
      </c>
      <c r="E3589" s="1243">
        <v>0</v>
      </c>
      <c r="F3589" s="1243">
        <v>0</v>
      </c>
      <c r="G3589" s="1243">
        <f t="shared" si="684"/>
        <v>113644.47</v>
      </c>
      <c r="H3589" s="1243"/>
      <c r="I3589" s="1243">
        <f t="shared" si="681"/>
        <v>120857.07</v>
      </c>
      <c r="J3589" s="376">
        <f t="shared" si="685"/>
        <v>4.9599999999999998E-2</v>
      </c>
      <c r="K3589" s="1243">
        <f t="shared" si="687"/>
        <v>470</v>
      </c>
      <c r="L3589" s="1243">
        <v>0</v>
      </c>
      <c r="M3589" s="1243">
        <f t="shared" si="682"/>
        <v>0</v>
      </c>
      <c r="N3589" s="1243">
        <v>0</v>
      </c>
      <c r="O3589" s="1243">
        <f t="shared" si="683"/>
        <v>121327.07</v>
      </c>
    </row>
    <row r="3590" spans="1:16">
      <c r="A3590" s="361">
        <f t="shared" si="679"/>
        <v>39</v>
      </c>
      <c r="B3590" s="365">
        <v>387.5</v>
      </c>
      <c r="C3590" s="358" t="s">
        <v>1075</v>
      </c>
      <c r="D3590" s="1244">
        <f t="shared" si="680"/>
        <v>238072.69</v>
      </c>
      <c r="E3590" s="1244">
        <v>0</v>
      </c>
      <c r="F3590" s="1244">
        <v>0</v>
      </c>
      <c r="G3590" s="1244">
        <f t="shared" si="684"/>
        <v>238072.69</v>
      </c>
      <c r="H3590" s="1243"/>
      <c r="I3590" s="1244">
        <f t="shared" si="681"/>
        <v>89774.47000000003</v>
      </c>
      <c r="J3590" s="376">
        <f t="shared" si="685"/>
        <v>0.13500000000000001</v>
      </c>
      <c r="K3590" s="1244">
        <f t="shared" si="687"/>
        <v>2678</v>
      </c>
      <c r="L3590" s="1244">
        <v>0</v>
      </c>
      <c r="M3590" s="1244">
        <f t="shared" si="682"/>
        <v>0</v>
      </c>
      <c r="N3590" s="1244">
        <v>0</v>
      </c>
      <c r="O3590" s="1244">
        <f t="shared" si="683"/>
        <v>92452.47000000003</v>
      </c>
    </row>
    <row r="3591" spans="1:16">
      <c r="A3591" s="361">
        <f t="shared" si="679"/>
        <v>40</v>
      </c>
      <c r="C3591" s="365" t="s">
        <v>1601</v>
      </c>
      <c r="D3591" s="1243">
        <f>SUM(D3561:D3590)</f>
        <v>750015066.99877512</v>
      </c>
      <c r="E3591" s="1243">
        <f>SUM(E3561:E3590)</f>
        <v>1214728.7687249703</v>
      </c>
      <c r="F3591" s="1243">
        <f>SUM(F3561:F3590)</f>
        <v>-167925.88204085591</v>
      </c>
      <c r="G3591" s="1243">
        <f>SUM(G3561:G3590)</f>
        <v>751061869.88545942</v>
      </c>
      <c r="H3591" s="1243"/>
      <c r="I3591" s="1243">
        <f>SUM(I3561:I3590)</f>
        <v>193239919.61290678</v>
      </c>
      <c r="J3591" s="369"/>
      <c r="K3591" s="1243">
        <f>SUM(K3561:K3590)</f>
        <v>1878302.14</v>
      </c>
      <c r="L3591" s="1243">
        <f>SUM(L3561:L3590)</f>
        <v>0</v>
      </c>
      <c r="M3591" s="1243">
        <f>SUM(M3561:M3590)</f>
        <v>-167925.88204085591</v>
      </c>
      <c r="N3591" s="1243">
        <f>SUM(N3561:N3590)</f>
        <v>-369330.12643138226</v>
      </c>
      <c r="O3591" s="1243">
        <f>SUM(O3561:O3590)</f>
        <v>194580965.74443448</v>
      </c>
    </row>
    <row r="3592" spans="1:16">
      <c r="B3592" s="367"/>
      <c r="C3592" s="368"/>
      <c r="D3592" s="369"/>
      <c r="E3592" s="369"/>
      <c r="F3592" s="369"/>
      <c r="G3592" s="369"/>
      <c r="I3592" s="369"/>
      <c r="J3592" s="369"/>
      <c r="K3592" s="369"/>
      <c r="L3592" s="369"/>
      <c r="M3592" s="369"/>
      <c r="N3592" s="369"/>
      <c r="O3592" s="369"/>
    </row>
    <row r="3593" spans="1:16">
      <c r="I3593" s="369"/>
      <c r="J3593" s="369"/>
      <c r="K3593" s="369"/>
      <c r="L3593" s="369"/>
      <c r="M3593" s="369"/>
      <c r="N3593" s="369"/>
      <c r="O3593" s="369"/>
    </row>
    <row r="3594" spans="1:16" s="291" customFormat="1">
      <c r="A3594" s="1308" t="str">
        <f>$A$1</f>
        <v>COLUMBIA GAS OF KENTUCKY, INC.</v>
      </c>
      <c r="B3594" s="1308"/>
      <c r="C3594" s="1308"/>
      <c r="D3594" s="1308"/>
      <c r="E3594" s="1308"/>
      <c r="F3594" s="1308"/>
      <c r="G3594" s="1308"/>
      <c r="H3594" s="1308"/>
      <c r="I3594" s="1308"/>
      <c r="J3594" s="1308"/>
      <c r="K3594" s="1308"/>
      <c r="L3594" s="1308"/>
      <c r="M3594" s="1308"/>
      <c r="N3594" s="1308"/>
      <c r="O3594" s="1308"/>
    </row>
    <row r="3595" spans="1:16" s="291" customFormat="1">
      <c r="A3595" s="1308" t="str">
        <f>$A$2</f>
        <v>CASE NO. 2024 - 00092</v>
      </c>
      <c r="B3595" s="1308"/>
      <c r="C3595" s="1308"/>
      <c r="D3595" s="1308"/>
      <c r="E3595" s="1308"/>
      <c r="F3595" s="1308"/>
      <c r="G3595" s="1308"/>
      <c r="H3595" s="1308"/>
      <c r="I3595" s="1308"/>
      <c r="J3595" s="1308"/>
      <c r="K3595" s="1308"/>
      <c r="L3595" s="1308"/>
      <c r="M3595" s="1308"/>
      <c r="N3595" s="1308"/>
      <c r="O3595" s="1308"/>
    </row>
    <row r="3596" spans="1:16" s="291" customFormat="1">
      <c r="A3596" s="1308" t="str">
        <f>$A$3</f>
        <v>DETAIL OF ACTUAL &amp; FORECASTED PLANT, ACCUMULATED RESERVE &amp; DEPRECIATION EXPENSE</v>
      </c>
      <c r="B3596" s="1308"/>
      <c r="C3596" s="1308"/>
      <c r="D3596" s="1308"/>
      <c r="E3596" s="1308"/>
      <c r="F3596" s="1308"/>
      <c r="G3596" s="1308"/>
      <c r="H3596" s="1308"/>
      <c r="I3596" s="1308"/>
      <c r="J3596" s="1308"/>
      <c r="K3596" s="1308"/>
      <c r="L3596" s="1308"/>
      <c r="M3596" s="1308"/>
      <c r="N3596" s="1308"/>
      <c r="O3596" s="1308"/>
      <c r="P3596" s="357"/>
    </row>
    <row r="3597" spans="1:16" s="291" customFormat="1">
      <c r="A3597" s="1308" t="str">
        <f>$A$4</f>
        <v>FROM JANUARY 01, 2023 THROUGH DECEMBER 31, 2025</v>
      </c>
      <c r="B3597" s="1308"/>
      <c r="C3597" s="1308"/>
      <c r="D3597" s="1308"/>
      <c r="E3597" s="1308"/>
      <c r="F3597" s="1308"/>
      <c r="G3597" s="1308"/>
      <c r="H3597" s="1308"/>
      <c r="I3597" s="1308"/>
      <c r="J3597" s="1308"/>
      <c r="K3597" s="1308"/>
      <c r="L3597" s="1308"/>
      <c r="M3597" s="1308"/>
      <c r="N3597" s="1308"/>
      <c r="O3597" s="1308"/>
    </row>
    <row r="3598" spans="1:16" s="291" customFormat="1">
      <c r="B3598" s="293"/>
      <c r="P3598" s="312"/>
    </row>
    <row r="3599" spans="1:16" s="291" customFormat="1">
      <c r="A3599" s="297" t="str">
        <f>$A$6</f>
        <v xml:space="preserve">DATA: _X_ BASE PERIOD _X_ FORECASTED PERIOD     </v>
      </c>
      <c r="B3599" s="293"/>
      <c r="O3599" s="312" t="str">
        <f>$O$6</f>
        <v>WPB-2.1.C</v>
      </c>
      <c r="P3599" s="312"/>
    </row>
    <row r="3600" spans="1:16" s="291" customFormat="1">
      <c r="A3600" s="297" t="str">
        <f>$A$7</f>
        <v>TYPE OF FILING:___X___ORIGINAL______UPDATED</v>
      </c>
      <c r="B3600" s="293"/>
      <c r="O3600" s="312" t="s">
        <v>2159</v>
      </c>
      <c r="P3600" s="312"/>
    </row>
    <row r="3601" spans="1:15" s="291" customFormat="1">
      <c r="A3601" s="297" t="str">
        <f>$A$8</f>
        <v>WORKPAPER REFERENCE NO(S).:</v>
      </c>
      <c r="B3601" s="293"/>
      <c r="O3601" s="312" t="str">
        <f>$O$8</f>
        <v>WITNESS: GORE</v>
      </c>
    </row>
    <row r="3602" spans="1:15">
      <c r="A3602" s="918"/>
      <c r="B3602" s="919"/>
      <c r="C3602" s="918"/>
      <c r="D3602" s="918"/>
      <c r="E3602" s="918"/>
      <c r="F3602" s="918"/>
      <c r="G3602" s="918"/>
      <c r="H3602" s="918"/>
      <c r="I3602" s="918"/>
      <c r="J3602" s="918"/>
      <c r="K3602" s="918"/>
      <c r="L3602" s="918"/>
      <c r="M3602" s="918"/>
      <c r="N3602" s="918"/>
      <c r="O3602" s="920"/>
    </row>
    <row r="3603" spans="1:15">
      <c r="D3603" s="1311" t="s">
        <v>1768</v>
      </c>
      <c r="E3603" s="1311"/>
      <c r="F3603" s="1311"/>
      <c r="G3603" s="1311"/>
      <c r="I3603" s="1311" t="s">
        <v>1769</v>
      </c>
      <c r="J3603" s="1311"/>
      <c r="K3603" s="1311"/>
      <c r="L3603" s="1311"/>
      <c r="M3603" s="1311"/>
      <c r="N3603" s="1311"/>
      <c r="O3603" s="1311"/>
    </row>
    <row r="3604" spans="1:15">
      <c r="D3604" s="360">
        <f>D3545</f>
        <v>45870</v>
      </c>
      <c r="G3604" s="360">
        <f>G3545</f>
        <v>45900</v>
      </c>
      <c r="I3604" s="360">
        <f>D3604</f>
        <v>45870</v>
      </c>
      <c r="O3604" s="360">
        <f>G3604</f>
        <v>45900</v>
      </c>
    </row>
    <row r="3605" spans="1:15">
      <c r="D3605" s="361" t="s">
        <v>1757</v>
      </c>
      <c r="G3605" s="361" t="s">
        <v>1757</v>
      </c>
      <c r="I3605" s="361" t="s">
        <v>1758</v>
      </c>
      <c r="J3605" s="361" t="s">
        <v>488</v>
      </c>
      <c r="L3605" s="361" t="s">
        <v>1758</v>
      </c>
      <c r="O3605" s="361" t="s">
        <v>1758</v>
      </c>
    </row>
    <row r="3606" spans="1:15">
      <c r="A3606" s="361" t="s">
        <v>1770</v>
      </c>
      <c r="B3606" s="361" t="s">
        <v>368</v>
      </c>
      <c r="C3606" s="361"/>
      <c r="D3606" s="361" t="s">
        <v>437</v>
      </c>
      <c r="G3606" s="361" t="s">
        <v>439</v>
      </c>
      <c r="I3606" s="361" t="s">
        <v>437</v>
      </c>
      <c r="J3606" s="361" t="s">
        <v>1771</v>
      </c>
      <c r="K3606" s="361" t="s">
        <v>1772</v>
      </c>
      <c r="L3606" s="361" t="s">
        <v>1759</v>
      </c>
      <c r="N3606" s="361" t="s">
        <v>1760</v>
      </c>
      <c r="O3606" s="361" t="s">
        <v>439</v>
      </c>
    </row>
    <row r="3607" spans="1:15">
      <c r="A3607" s="364" t="s">
        <v>316</v>
      </c>
      <c r="B3607" s="364" t="s">
        <v>316</v>
      </c>
      <c r="C3607" s="364" t="s">
        <v>451</v>
      </c>
      <c r="D3607" s="364" t="s">
        <v>441</v>
      </c>
      <c r="E3607" s="364" t="s">
        <v>442</v>
      </c>
      <c r="F3607" s="364" t="s">
        <v>443</v>
      </c>
      <c r="G3607" s="364" t="s">
        <v>441</v>
      </c>
      <c r="I3607" s="364" t="s">
        <v>441</v>
      </c>
      <c r="J3607" s="364" t="s">
        <v>1773</v>
      </c>
      <c r="K3607" s="364" t="s">
        <v>1771</v>
      </c>
      <c r="L3607" s="364" t="s">
        <v>355</v>
      </c>
      <c r="M3607" s="364" t="s">
        <v>443</v>
      </c>
      <c r="N3607" s="364" t="s">
        <v>1763</v>
      </c>
      <c r="O3607" s="364" t="s">
        <v>441</v>
      </c>
    </row>
    <row r="3608" spans="1:15">
      <c r="D3608" s="361" t="s">
        <v>532</v>
      </c>
      <c r="E3608" s="361" t="s">
        <v>541</v>
      </c>
      <c r="F3608" s="361" t="s">
        <v>542</v>
      </c>
      <c r="G3608" s="361" t="s">
        <v>1764</v>
      </c>
      <c r="I3608" s="334" t="str">
        <f>"(5)"</f>
        <v>(5)</v>
      </c>
      <c r="J3608" s="334" t="str">
        <f>"(6)"</f>
        <v>(6)</v>
      </c>
      <c r="K3608" s="334" t="str">
        <f>"(7)=((1+4)/2*6/12))"</f>
        <v>(7)=((1+4)/2*6/12))</v>
      </c>
      <c r="L3608" s="334" t="str">
        <f>"(8)"</f>
        <v>(8)</v>
      </c>
      <c r="M3608" s="334" t="str">
        <f>"(9)"</f>
        <v>(9)</v>
      </c>
      <c r="N3608" s="334" t="str">
        <f>"(10)"</f>
        <v>(10)</v>
      </c>
      <c r="O3608" s="334" t="str">
        <f>"(11=5+7+8+9+10)"</f>
        <v>(11=5+7+8+9+10)</v>
      </c>
    </row>
    <row r="3609" spans="1:15">
      <c r="D3609" s="361" t="s">
        <v>320</v>
      </c>
      <c r="E3609" s="361" t="s">
        <v>320</v>
      </c>
      <c r="F3609" s="361" t="s">
        <v>320</v>
      </c>
      <c r="G3609" s="361" t="s">
        <v>320</v>
      </c>
      <c r="I3609" s="334" t="s">
        <v>320</v>
      </c>
      <c r="J3609" s="334" t="s">
        <v>529</v>
      </c>
      <c r="K3609" s="334" t="s">
        <v>320</v>
      </c>
      <c r="L3609" s="334" t="s">
        <v>320</v>
      </c>
      <c r="M3609" s="334" t="s">
        <v>320</v>
      </c>
      <c r="N3609" s="334" t="s">
        <v>320</v>
      </c>
      <c r="O3609" s="334" t="s">
        <v>320</v>
      </c>
    </row>
    <row r="3610" spans="1:15">
      <c r="A3610" s="361">
        <v>1</v>
      </c>
      <c r="B3610" s="363" t="s">
        <v>411</v>
      </c>
      <c r="D3610" s="361"/>
      <c r="E3610" s="361"/>
      <c r="F3610" s="361"/>
      <c r="G3610" s="361"/>
      <c r="I3610" s="334"/>
      <c r="J3610" s="334"/>
      <c r="K3610" s="334"/>
      <c r="L3610" s="334"/>
      <c r="M3610" s="334"/>
      <c r="N3610" s="334"/>
      <c r="O3610" s="334"/>
    </row>
    <row r="3611" spans="1:15">
      <c r="A3611" s="361">
        <f>A3610+1</f>
        <v>2</v>
      </c>
      <c r="B3611" s="365">
        <v>391.1</v>
      </c>
      <c r="C3611" s="358" t="s">
        <v>412</v>
      </c>
      <c r="D3611" s="1243">
        <f t="shared" ref="D3611:D3624" si="688">G3497</f>
        <v>921741.33000000007</v>
      </c>
      <c r="E3611" s="1243">
        <v>0</v>
      </c>
      <c r="F3611" s="1243">
        <v>0</v>
      </c>
      <c r="G3611" s="1243">
        <f>SUM(D3611:F3611)</f>
        <v>921741.33000000007</v>
      </c>
      <c r="H3611" s="1243"/>
      <c r="I3611" s="1245">
        <f t="shared" ref="I3611:I3624" si="689">O3497</f>
        <v>279131.28666666662</v>
      </c>
      <c r="J3611" s="376">
        <f t="shared" ref="J3611:J3624" si="690">+J3497</f>
        <v>0.05</v>
      </c>
      <c r="K3611" s="1243">
        <f>ROUND((G3611+D3611)/2*J3611/12,0)</f>
        <v>3841</v>
      </c>
      <c r="L3611" s="1243">
        <f>+L3497</f>
        <v>4814.416666666667</v>
      </c>
      <c r="M3611" s="1243">
        <f t="shared" ref="M3611:M3624" si="691">F3611</f>
        <v>0</v>
      </c>
      <c r="N3611" s="1243">
        <v>0</v>
      </c>
      <c r="O3611" s="1243">
        <f t="shared" ref="O3611:O3624" si="692">I3611+K3611+L3611+M3611+N3611</f>
        <v>287786.70333333331</v>
      </c>
    </row>
    <row r="3612" spans="1:15">
      <c r="A3612" s="361">
        <f t="shared" ref="A3612:A3625" si="693">A3611+1</f>
        <v>3</v>
      </c>
      <c r="B3612" s="365">
        <v>391.11</v>
      </c>
      <c r="C3612" s="358" t="s">
        <v>413</v>
      </c>
      <c r="D3612" s="1243">
        <f t="shared" si="688"/>
        <v>0</v>
      </c>
      <c r="E3612" s="1243">
        <v>0</v>
      </c>
      <c r="F3612" s="1243">
        <v>0</v>
      </c>
      <c r="G3612" s="1243">
        <f t="shared" ref="G3612:G3619" si="694">SUM(D3612:F3612)</f>
        <v>0</v>
      </c>
      <c r="H3612" s="1243"/>
      <c r="I3612" s="1245">
        <f t="shared" si="689"/>
        <v>-8941.3733333333348</v>
      </c>
      <c r="J3612" s="376">
        <f t="shared" si="690"/>
        <v>0</v>
      </c>
      <c r="K3612" s="1243">
        <f>ROUND((G3612+D3612)/2*J3612/12,0)</f>
        <v>0</v>
      </c>
      <c r="L3612" s="1243">
        <f t="shared" ref="L3612:L3624" si="695">+L3498</f>
        <v>525.91666666666663</v>
      </c>
      <c r="M3612" s="1243">
        <f t="shared" si="691"/>
        <v>0</v>
      </c>
      <c r="N3612" s="1243">
        <v>0</v>
      </c>
      <c r="O3612" s="1243">
        <f t="shared" si="692"/>
        <v>-8415.4566666666688</v>
      </c>
    </row>
    <row r="3613" spans="1:15">
      <c r="A3613" s="361">
        <f t="shared" si="693"/>
        <v>4</v>
      </c>
      <c r="B3613" s="365">
        <v>391.12</v>
      </c>
      <c r="C3613" s="358" t="s">
        <v>414</v>
      </c>
      <c r="D3613" s="1243">
        <f t="shared" si="688"/>
        <v>37129.580000000009</v>
      </c>
      <c r="E3613" s="1243">
        <v>0</v>
      </c>
      <c r="F3613" s="1243">
        <v>0</v>
      </c>
      <c r="G3613" s="1243">
        <f t="shared" si="694"/>
        <v>37129.580000000009</v>
      </c>
      <c r="H3613" s="1243"/>
      <c r="I3613" s="1245">
        <f t="shared" si="689"/>
        <v>15145.72</v>
      </c>
      <c r="J3613" s="376">
        <f t="shared" si="690"/>
        <v>0.2</v>
      </c>
      <c r="K3613" s="1243">
        <f>ROUND((G3613+D3613)/2*J3613/12,0)</f>
        <v>619</v>
      </c>
      <c r="L3613" s="1243">
        <f t="shared" si="695"/>
        <v>456.25</v>
      </c>
      <c r="M3613" s="1243">
        <f t="shared" si="691"/>
        <v>0</v>
      </c>
      <c r="N3613" s="1243">
        <v>0</v>
      </c>
      <c r="O3613" s="1243">
        <f t="shared" si="692"/>
        <v>16220.97</v>
      </c>
    </row>
    <row r="3614" spans="1:15">
      <c r="A3614" s="361">
        <f t="shared" si="693"/>
        <v>5</v>
      </c>
      <c r="B3614" s="365">
        <v>392.2</v>
      </c>
      <c r="C3614" s="358" t="s">
        <v>524</v>
      </c>
      <c r="D3614" s="1243">
        <f t="shared" si="688"/>
        <v>48924.4</v>
      </c>
      <c r="E3614" s="1243">
        <v>0</v>
      </c>
      <c r="F3614" s="1243">
        <v>0</v>
      </c>
      <c r="G3614" s="1243">
        <f t="shared" si="694"/>
        <v>48924.4</v>
      </c>
      <c r="H3614" s="1243"/>
      <c r="I3614" s="1245">
        <f t="shared" si="689"/>
        <v>17846.359999999961</v>
      </c>
      <c r="J3614" s="376">
        <f t="shared" si="690"/>
        <v>8.9999999999999993E-3</v>
      </c>
      <c r="K3614" s="1243">
        <f>ROUND((G3614+D3614)/2*J3614/12,0)</f>
        <v>37</v>
      </c>
      <c r="L3614" s="1243">
        <f t="shared" si="695"/>
        <v>0</v>
      </c>
      <c r="M3614" s="1243">
        <f t="shared" si="691"/>
        <v>0</v>
      </c>
      <c r="N3614" s="1243">
        <v>0</v>
      </c>
      <c r="O3614" s="1243">
        <f t="shared" si="692"/>
        <v>17883.359999999961</v>
      </c>
    </row>
    <row r="3615" spans="1:15">
      <c r="A3615" s="361">
        <f t="shared" si="693"/>
        <v>6</v>
      </c>
      <c r="B3615" s="365">
        <v>392.21</v>
      </c>
      <c r="C3615" s="358" t="s">
        <v>415</v>
      </c>
      <c r="D3615" s="1243">
        <f t="shared" si="688"/>
        <v>24462.2</v>
      </c>
      <c r="E3615" s="1243">
        <v>0</v>
      </c>
      <c r="F3615" s="1243">
        <v>0</v>
      </c>
      <c r="G3615" s="1243">
        <f t="shared" si="694"/>
        <v>24462.2</v>
      </c>
      <c r="H3615" s="1243"/>
      <c r="I3615" s="1245">
        <f t="shared" si="689"/>
        <v>45060.01</v>
      </c>
      <c r="J3615" s="376">
        <f t="shared" si="690"/>
        <v>8.9999999999999993E-3</v>
      </c>
      <c r="K3615" s="1243">
        <f>ROUND((G3615+D3615)/2*J3615/12,0)</f>
        <v>18</v>
      </c>
      <c r="L3615" s="1243">
        <f t="shared" si="695"/>
        <v>0</v>
      </c>
      <c r="M3615" s="1243">
        <f t="shared" si="691"/>
        <v>0</v>
      </c>
      <c r="N3615" s="1243">
        <v>0</v>
      </c>
      <c r="O3615" s="1243">
        <f t="shared" si="692"/>
        <v>45078.01</v>
      </c>
    </row>
    <row r="3616" spans="1:15">
      <c r="A3616" s="361">
        <f t="shared" si="693"/>
        <v>7</v>
      </c>
      <c r="B3616" s="365">
        <v>393</v>
      </c>
      <c r="C3616" s="358" t="s">
        <v>416</v>
      </c>
      <c r="D3616" s="1243">
        <f t="shared" si="688"/>
        <v>0</v>
      </c>
      <c r="E3616" s="1243">
        <v>0</v>
      </c>
      <c r="F3616" s="1243">
        <v>0</v>
      </c>
      <c r="G3616" s="1243">
        <f t="shared" si="694"/>
        <v>0</v>
      </c>
      <c r="H3616" s="1243"/>
      <c r="I3616" s="1245">
        <f t="shared" si="689"/>
        <v>0</v>
      </c>
      <c r="J3616" s="376" t="str">
        <f t="shared" si="690"/>
        <v>Amort.</v>
      </c>
      <c r="K3616" s="1243">
        <v>0</v>
      </c>
      <c r="L3616" s="1243">
        <f t="shared" si="695"/>
        <v>0</v>
      </c>
      <c r="M3616" s="1243">
        <f t="shared" si="691"/>
        <v>0</v>
      </c>
      <c r="N3616" s="1243">
        <v>0</v>
      </c>
      <c r="O3616" s="1243">
        <f t="shared" si="692"/>
        <v>0</v>
      </c>
    </row>
    <row r="3617" spans="1:15">
      <c r="A3617" s="361">
        <f t="shared" si="693"/>
        <v>8</v>
      </c>
      <c r="B3617" s="365">
        <v>394.1</v>
      </c>
      <c r="C3617" s="358" t="s">
        <v>417</v>
      </c>
      <c r="D3617" s="1243">
        <f t="shared" si="688"/>
        <v>9739</v>
      </c>
      <c r="E3617" s="1243">
        <v>0</v>
      </c>
      <c r="F3617" s="1243">
        <v>0</v>
      </c>
      <c r="G3617" s="1243">
        <f t="shared" si="694"/>
        <v>9739</v>
      </c>
      <c r="H3617" s="1243"/>
      <c r="I3617" s="1245">
        <f t="shared" si="689"/>
        <v>4684.0700000000006</v>
      </c>
      <c r="J3617" s="376">
        <f t="shared" si="690"/>
        <v>0.04</v>
      </c>
      <c r="K3617" s="1243">
        <f>ROUND((G3617+D3617)/2*J3617/12,0)</f>
        <v>32</v>
      </c>
      <c r="L3617" s="1243">
        <f t="shared" si="695"/>
        <v>0</v>
      </c>
      <c r="M3617" s="1243">
        <f t="shared" si="691"/>
        <v>0</v>
      </c>
      <c r="N3617" s="1243">
        <v>0</v>
      </c>
      <c r="O3617" s="1243">
        <f t="shared" si="692"/>
        <v>4716.0700000000006</v>
      </c>
    </row>
    <row r="3618" spans="1:15">
      <c r="A3618" s="361">
        <f t="shared" si="693"/>
        <v>9</v>
      </c>
      <c r="B3618" s="365">
        <v>394.11</v>
      </c>
      <c r="C3618" s="358" t="s">
        <v>418</v>
      </c>
      <c r="D3618" s="1243">
        <f t="shared" si="688"/>
        <v>0</v>
      </c>
      <c r="E3618" s="1243">
        <v>0</v>
      </c>
      <c r="F3618" s="1243">
        <v>0</v>
      </c>
      <c r="G3618" s="1243">
        <f t="shared" si="694"/>
        <v>0</v>
      </c>
      <c r="H3618" s="1243"/>
      <c r="I3618" s="1245">
        <f t="shared" si="689"/>
        <v>-26071.5</v>
      </c>
      <c r="J3618" s="376">
        <f t="shared" si="690"/>
        <v>0.04</v>
      </c>
      <c r="K3618" s="1243">
        <f>ROUND((G3618+D3618)/2*J3618/12,0)</f>
        <v>0</v>
      </c>
      <c r="L3618" s="1243">
        <f t="shared" si="695"/>
        <v>0</v>
      </c>
      <c r="M3618" s="1243">
        <f t="shared" si="691"/>
        <v>0</v>
      </c>
      <c r="N3618" s="1243">
        <v>0</v>
      </c>
      <c r="O3618" s="1243">
        <f t="shared" si="692"/>
        <v>-26071.5</v>
      </c>
    </row>
    <row r="3619" spans="1:15">
      <c r="A3619" s="361">
        <f t="shared" si="693"/>
        <v>10</v>
      </c>
      <c r="B3619" s="365">
        <v>394.13</v>
      </c>
      <c r="C3619" s="358" t="s">
        <v>515</v>
      </c>
      <c r="D3619" s="1243">
        <f t="shared" si="688"/>
        <v>0</v>
      </c>
      <c r="E3619" s="1243">
        <v>0</v>
      </c>
      <c r="F3619" s="1243">
        <v>0</v>
      </c>
      <c r="G3619" s="1243">
        <f t="shared" si="694"/>
        <v>0</v>
      </c>
      <c r="H3619" s="1243"/>
      <c r="I3619" s="1245">
        <f t="shared" si="689"/>
        <v>22946.36</v>
      </c>
      <c r="J3619" s="376" t="str">
        <f t="shared" si="690"/>
        <v>Amort.</v>
      </c>
      <c r="K3619" s="1243">
        <v>0</v>
      </c>
      <c r="L3619" s="1243">
        <f t="shared" si="695"/>
        <v>-789</v>
      </c>
      <c r="M3619" s="1243">
        <f t="shared" si="691"/>
        <v>0</v>
      </c>
      <c r="N3619" s="1243">
        <v>0</v>
      </c>
      <c r="O3619" s="1243">
        <f t="shared" si="692"/>
        <v>22157.360000000001</v>
      </c>
    </row>
    <row r="3620" spans="1:15">
      <c r="A3620" s="361">
        <f t="shared" si="693"/>
        <v>11</v>
      </c>
      <c r="B3620" s="365">
        <v>394.2</v>
      </c>
      <c r="C3620" s="358" t="s">
        <v>420</v>
      </c>
      <c r="D3620" s="1243">
        <f t="shared" si="688"/>
        <v>0</v>
      </c>
      <c r="E3620" s="1243">
        <v>0</v>
      </c>
      <c r="F3620" s="1243">
        <v>0</v>
      </c>
      <c r="G3620" s="1243">
        <f>SUM(D3620:F3620)</f>
        <v>0</v>
      </c>
      <c r="H3620" s="1243"/>
      <c r="I3620" s="1245">
        <f t="shared" si="689"/>
        <v>185.21</v>
      </c>
      <c r="J3620" s="376">
        <f t="shared" si="690"/>
        <v>0.04</v>
      </c>
      <c r="K3620" s="1243">
        <f>ROUND((G3620+D3620)/2*J3620/12,0)</f>
        <v>0</v>
      </c>
      <c r="L3620" s="1243">
        <f t="shared" si="695"/>
        <v>0</v>
      </c>
      <c r="M3620" s="1243">
        <f t="shared" si="691"/>
        <v>0</v>
      </c>
      <c r="N3620" s="1243">
        <v>0</v>
      </c>
      <c r="O3620" s="1243">
        <f t="shared" si="692"/>
        <v>185.21</v>
      </c>
    </row>
    <row r="3621" spans="1:15">
      <c r="A3621" s="361">
        <f t="shared" si="693"/>
        <v>12</v>
      </c>
      <c r="B3621" s="365">
        <v>394.3</v>
      </c>
      <c r="C3621" s="358" t="s">
        <v>1602</v>
      </c>
      <c r="D3621" s="1243">
        <f t="shared" si="688"/>
        <v>6403945.3100000005</v>
      </c>
      <c r="E3621" s="1243">
        <v>209049.66</v>
      </c>
      <c r="F3621" s="1243">
        <v>-100798.9</v>
      </c>
      <c r="G3621" s="1243">
        <f>SUM(D3621:F3621)</f>
        <v>6512196.0700000003</v>
      </c>
      <c r="H3621" s="1243"/>
      <c r="I3621" s="1245">
        <f t="shared" si="689"/>
        <v>1455489.0699999996</v>
      </c>
      <c r="J3621" s="376">
        <f t="shared" si="690"/>
        <v>0.04</v>
      </c>
      <c r="K3621" s="1243">
        <f>ROUND((G3621+D3621)/2*J3621/12,0)</f>
        <v>21527</v>
      </c>
      <c r="L3621" s="1243">
        <f t="shared" si="695"/>
        <v>0</v>
      </c>
      <c r="M3621" s="1243">
        <f t="shared" si="691"/>
        <v>-100798.9</v>
      </c>
      <c r="N3621" s="1243">
        <v>0</v>
      </c>
      <c r="O3621" s="1243">
        <f t="shared" si="692"/>
        <v>1376217.1699999997</v>
      </c>
    </row>
    <row r="3622" spans="1:15">
      <c r="A3622" s="361">
        <f t="shared" si="693"/>
        <v>13</v>
      </c>
      <c r="B3622" s="365">
        <v>395</v>
      </c>
      <c r="C3622" s="358" t="s">
        <v>422</v>
      </c>
      <c r="D3622" s="1243">
        <f t="shared" si="688"/>
        <v>0</v>
      </c>
      <c r="E3622" s="1243">
        <v>0</v>
      </c>
      <c r="F3622" s="1243">
        <v>0</v>
      </c>
      <c r="G3622" s="1243">
        <f>SUM(D3622:F3622)</f>
        <v>0</v>
      </c>
      <c r="H3622" s="1243"/>
      <c r="I3622" s="1245">
        <f t="shared" si="689"/>
        <v>-152.94999999999845</v>
      </c>
      <c r="J3622" s="376">
        <f t="shared" si="690"/>
        <v>0.05</v>
      </c>
      <c r="K3622" s="1243">
        <f>ROUND((G3622+D3622)/2*J3622/12,0)</f>
        <v>0</v>
      </c>
      <c r="L3622" s="1243">
        <f t="shared" si="695"/>
        <v>-2.75</v>
      </c>
      <c r="M3622" s="1243">
        <f t="shared" si="691"/>
        <v>0</v>
      </c>
      <c r="N3622" s="1243">
        <v>0</v>
      </c>
      <c r="O3622" s="1243">
        <f t="shared" si="692"/>
        <v>-155.69999999999845</v>
      </c>
    </row>
    <row r="3623" spans="1:15">
      <c r="A3623" s="361">
        <f t="shared" si="693"/>
        <v>14</v>
      </c>
      <c r="B3623" s="365">
        <v>396</v>
      </c>
      <c r="C3623" s="358" t="s">
        <v>423</v>
      </c>
      <c r="D3623" s="1243">
        <f t="shared" si="688"/>
        <v>185547</v>
      </c>
      <c r="E3623" s="1243">
        <v>0</v>
      </c>
      <c r="F3623" s="1243">
        <v>0</v>
      </c>
      <c r="G3623" s="1243">
        <f>SUM(D3623:F3623)</f>
        <v>185547</v>
      </c>
      <c r="H3623" s="1243"/>
      <c r="I3623" s="1245">
        <f t="shared" si="689"/>
        <v>171938.14</v>
      </c>
      <c r="J3623" s="376">
        <f t="shared" si="690"/>
        <v>0</v>
      </c>
      <c r="K3623" s="1243">
        <f>ROUND((G3623+D3623)/2*J3623/12,0)</f>
        <v>0</v>
      </c>
      <c r="L3623" s="1243">
        <f t="shared" si="695"/>
        <v>0</v>
      </c>
      <c r="M3623" s="1243">
        <f t="shared" si="691"/>
        <v>0</v>
      </c>
      <c r="N3623" s="1243">
        <v>0</v>
      </c>
      <c r="O3623" s="1243">
        <f t="shared" si="692"/>
        <v>171938.14</v>
      </c>
    </row>
    <row r="3624" spans="1:15">
      <c r="A3624" s="361">
        <f t="shared" si="693"/>
        <v>15</v>
      </c>
      <c r="B3624" s="365">
        <v>398</v>
      </c>
      <c r="C3624" s="358" t="s">
        <v>424</v>
      </c>
      <c r="D3624" s="1244">
        <f t="shared" si="688"/>
        <v>148028.20000000001</v>
      </c>
      <c r="E3624" s="1244">
        <v>0</v>
      </c>
      <c r="F3624" s="1244">
        <v>0</v>
      </c>
      <c r="G3624" s="1244">
        <f>SUM(D3624:F3624)</f>
        <v>148028.20000000001</v>
      </c>
      <c r="H3624" s="1243"/>
      <c r="I3624" s="1246">
        <f t="shared" si="689"/>
        <v>90778.716666666645</v>
      </c>
      <c r="J3624" s="376">
        <f t="shared" si="690"/>
        <v>6.6699999999999995E-2</v>
      </c>
      <c r="K3624" s="1244">
        <f>ROUND((G3624+D3624)/2*J3624/12,0)</f>
        <v>823</v>
      </c>
      <c r="L3624" s="1244">
        <f t="shared" si="695"/>
        <v>265.16666666666669</v>
      </c>
      <c r="M3624" s="1244">
        <f t="shared" si="691"/>
        <v>0</v>
      </c>
      <c r="N3624" s="1244">
        <v>0</v>
      </c>
      <c r="O3624" s="1244">
        <f t="shared" si="692"/>
        <v>91866.883333333317</v>
      </c>
    </row>
    <row r="3625" spans="1:15">
      <c r="A3625" s="361">
        <f t="shared" si="693"/>
        <v>16</v>
      </c>
      <c r="B3625" s="367"/>
      <c r="C3625" s="358" t="s">
        <v>425</v>
      </c>
      <c r="D3625" s="1243">
        <f>SUM(D3611:D3624)</f>
        <v>7779517.0200000005</v>
      </c>
      <c r="E3625" s="1243">
        <f>SUM(E3611:E3624)</f>
        <v>209049.66</v>
      </c>
      <c r="F3625" s="1243">
        <f>SUM(F3611:F3624)</f>
        <v>-100798.9</v>
      </c>
      <c r="G3625" s="1243">
        <f>SUM(G3611:G3624)</f>
        <v>7887767.7800000003</v>
      </c>
      <c r="H3625" s="1243"/>
      <c r="I3625" s="1243">
        <f>SUM(I3611:I3624)</f>
        <v>2068039.1199999994</v>
      </c>
      <c r="J3625" s="369"/>
      <c r="K3625" s="1243">
        <f>SUM(K3611:K3624)</f>
        <v>26897</v>
      </c>
      <c r="L3625" s="1243">
        <f>SUM(L3611:L3624)</f>
        <v>5270.0000000000009</v>
      </c>
      <c r="M3625" s="1243">
        <f>SUM(M3611:M3624)</f>
        <v>-100798.9</v>
      </c>
      <c r="N3625" s="1243">
        <f>SUM(N3611:N3624)</f>
        <v>0</v>
      </c>
      <c r="O3625" s="1243">
        <f>SUM(O3611:O3624)</f>
        <v>1999407.2199999997</v>
      </c>
    </row>
    <row r="3626" spans="1:15">
      <c r="A3626" s="361"/>
      <c r="D3626" s="1243"/>
      <c r="E3626" s="1243"/>
      <c r="F3626" s="1243"/>
      <c r="G3626" s="1243"/>
      <c r="H3626" s="1243"/>
      <c r="I3626" s="1243"/>
      <c r="J3626" s="369"/>
      <c r="K3626" s="1243"/>
      <c r="L3626" s="1243"/>
      <c r="M3626" s="1243"/>
      <c r="N3626" s="1243"/>
      <c r="O3626" s="1243"/>
    </row>
    <row r="3627" spans="1:15">
      <c r="A3627" s="361">
        <f>A3625+1</f>
        <v>17</v>
      </c>
      <c r="B3627" s="363" t="s">
        <v>1038</v>
      </c>
      <c r="D3627" s="1243"/>
      <c r="E3627" s="1243"/>
      <c r="F3627" s="1243"/>
      <c r="G3627" s="1243"/>
      <c r="H3627" s="1243"/>
      <c r="I3627" s="1243"/>
      <c r="J3627" s="369"/>
      <c r="K3627" s="1243"/>
      <c r="L3627" s="1243"/>
      <c r="M3627" s="1243"/>
      <c r="N3627" s="1243"/>
      <c r="O3627" s="1243"/>
    </row>
    <row r="3628" spans="1:15">
      <c r="A3628" s="361">
        <f>A3627+1</f>
        <v>18</v>
      </c>
      <c r="B3628" s="365">
        <v>378.21</v>
      </c>
      <c r="C3628" s="358" t="s">
        <v>1037</v>
      </c>
      <c r="D3628" s="1244">
        <f>G3514</f>
        <v>-777092</v>
      </c>
      <c r="E3628" s="1244">
        <v>0</v>
      </c>
      <c r="F3628" s="1244">
        <v>0</v>
      </c>
      <c r="G3628" s="1244">
        <f>SUM(D3628:F3628)</f>
        <v>-777092</v>
      </c>
      <c r="H3628" s="1243"/>
      <c r="I3628" s="1244">
        <f>O3514</f>
        <v>-245109.57000000036</v>
      </c>
      <c r="J3628" s="376" t="str">
        <f>$J$1690</f>
        <v>Amort.</v>
      </c>
      <c r="K3628" s="1244">
        <f>$K$1348</f>
        <v>-2144.17</v>
      </c>
      <c r="L3628" s="1244">
        <v>0</v>
      </c>
      <c r="M3628" s="1244">
        <f>F3628</f>
        <v>0</v>
      </c>
      <c r="N3628" s="1244">
        <v>0</v>
      </c>
      <c r="O3628" s="1244">
        <f>I3628+K3628+L3628+M3628+N3628</f>
        <v>-247253.74000000037</v>
      </c>
    </row>
    <row r="3629" spans="1:15">
      <c r="A3629" s="361">
        <f>A3628+1</f>
        <v>19</v>
      </c>
      <c r="B3629" s="370"/>
      <c r="C3629" s="358" t="s">
        <v>1579</v>
      </c>
      <c r="D3629" s="1243">
        <f>SUM(D3628)</f>
        <v>-777092</v>
      </c>
      <c r="E3629" s="1243">
        <f>SUM(E3628)</f>
        <v>0</v>
      </c>
      <c r="F3629" s="1243">
        <f>SUM(F3628)</f>
        <v>0</v>
      </c>
      <c r="G3629" s="1243">
        <f>SUM(G3628)</f>
        <v>-777092</v>
      </c>
      <c r="H3629" s="1243"/>
      <c r="I3629" s="1243">
        <f>SUM(I3628)</f>
        <v>-245109.57000000036</v>
      </c>
      <c r="J3629" s="369"/>
      <c r="K3629" s="1243">
        <f>SUM(K3628)</f>
        <v>-2144.17</v>
      </c>
      <c r="L3629" s="1243">
        <f>SUM(L3628)</f>
        <v>0</v>
      </c>
      <c r="M3629" s="1243">
        <f>SUM(M3628)</f>
        <v>0</v>
      </c>
      <c r="N3629" s="1243">
        <f>SUM(N3628)</f>
        <v>0</v>
      </c>
      <c r="O3629" s="1243">
        <f>SUM(O3628)</f>
        <v>-247253.74000000037</v>
      </c>
    </row>
    <row r="3630" spans="1:15">
      <c r="A3630" s="361"/>
      <c r="B3630" s="370"/>
      <c r="D3630" s="1243"/>
      <c r="E3630" s="1243"/>
      <c r="F3630" s="1243"/>
      <c r="G3630" s="1243"/>
      <c r="H3630" s="1243"/>
      <c r="I3630" s="1243"/>
      <c r="J3630" s="369"/>
      <c r="K3630" s="1243"/>
      <c r="L3630" s="1243"/>
      <c r="M3630" s="1243"/>
      <c r="N3630" s="1243"/>
      <c r="O3630" s="1243"/>
    </row>
    <row r="3631" spans="1:15">
      <c r="A3631" s="361">
        <f>A3629+1</f>
        <v>20</v>
      </c>
      <c r="B3631" s="370"/>
      <c r="C3631" s="358" t="s">
        <v>2037</v>
      </c>
      <c r="D3631" s="1243">
        <f>D3558+D3591+D3625+D3629</f>
        <v>778745038.67579162</v>
      </c>
      <c r="E3631" s="1243">
        <f>E3558+E3591+E3625+E3629</f>
        <v>1563341.8954402527</v>
      </c>
      <c r="F3631" s="1243">
        <f>F3558+F3591+F3625+F3629</f>
        <v>-355999.44204085588</v>
      </c>
      <c r="G3631" s="1243">
        <f>G3558+G3591+G3625+G3629</f>
        <v>779952381.12919116</v>
      </c>
      <c r="H3631" s="1243"/>
      <c r="I3631" s="1243">
        <f>I3558+I3591+I3625+I3629</f>
        <v>203304614.47347885</v>
      </c>
      <c r="J3631" s="369"/>
      <c r="K3631" s="1243">
        <f>K3558+K3591+K3625+K3629</f>
        <v>2228625.9269922129</v>
      </c>
      <c r="L3631" s="1243">
        <f>L3558+L3591+L3625+L3629</f>
        <v>5270.0000000000009</v>
      </c>
      <c r="M3631" s="1243">
        <f>M3558+M3591+M3625+M3629</f>
        <v>-355999.44204085588</v>
      </c>
      <c r="N3631" s="1243">
        <f>N3558+N3591+N3625+N3629</f>
        <v>-369330.12643138226</v>
      </c>
      <c r="O3631" s="1243">
        <f>O3558+O3591+O3625+O3629</f>
        <v>204813180.83199874</v>
      </c>
    </row>
    <row r="3632" spans="1:15">
      <c r="A3632" s="361"/>
      <c r="B3632" s="370"/>
      <c r="D3632" s="1243"/>
      <c r="E3632" s="1243"/>
      <c r="F3632" s="1243"/>
      <c r="G3632" s="1243"/>
      <c r="H3632" s="1243"/>
      <c r="I3632" s="1243"/>
      <c r="J3632" s="369"/>
      <c r="K3632" s="1243"/>
      <c r="L3632" s="1243"/>
      <c r="M3632" s="1243"/>
      <c r="N3632" s="1243"/>
      <c r="O3632" s="1243"/>
    </row>
    <row r="3633" spans="1:15">
      <c r="A3633" s="361">
        <f>A3631+1</f>
        <v>21</v>
      </c>
      <c r="B3633" s="370"/>
      <c r="C3633" s="358" t="s">
        <v>2038</v>
      </c>
      <c r="D3633" s="1243">
        <v>0</v>
      </c>
      <c r="E3633" s="1249">
        <v>0</v>
      </c>
      <c r="F3633" s="1249">
        <v>0</v>
      </c>
      <c r="G3633" s="1249">
        <f>SUM(D3633:F3633)</f>
        <v>0</v>
      </c>
      <c r="H3633" s="1243"/>
      <c r="I3633" s="1243">
        <f>O3519</f>
        <v>-6687302.71</v>
      </c>
      <c r="J3633" s="369"/>
      <c r="K3633" s="1243"/>
      <c r="L3633" s="1243"/>
      <c r="M3633" s="1243"/>
      <c r="N3633" s="1243"/>
      <c r="O3633" s="1243">
        <f>I3633+K3633+L3633+M3633+N3633</f>
        <v>-6687302.71</v>
      </c>
    </row>
    <row r="3634" spans="1:15">
      <c r="A3634" s="361"/>
      <c r="B3634" s="370"/>
      <c r="C3634" s="368"/>
      <c r="D3634" s="1243"/>
      <c r="E3634" s="1243"/>
      <c r="F3634" s="1243"/>
      <c r="G3634" s="1243"/>
      <c r="H3634" s="1243"/>
      <c r="I3634" s="1243"/>
      <c r="J3634" s="369"/>
      <c r="K3634" s="1243"/>
      <c r="L3634" s="1243"/>
      <c r="M3634" s="1243"/>
      <c r="N3634" s="1243"/>
      <c r="O3634" s="1243"/>
    </row>
    <row r="3635" spans="1:15">
      <c r="A3635" s="361">
        <f>A3633+1</f>
        <v>22</v>
      </c>
      <c r="C3635" s="358" t="s">
        <v>1603</v>
      </c>
      <c r="D3635" s="1247">
        <f>D3631+D3633</f>
        <v>778745038.67579162</v>
      </c>
      <c r="E3635" s="1247">
        <f t="shared" ref="E3635:O3635" si="696">E3631+E3633</f>
        <v>1563341.8954402527</v>
      </c>
      <c r="F3635" s="1247">
        <f t="shared" si="696"/>
        <v>-355999.44204085588</v>
      </c>
      <c r="G3635" s="1247">
        <f t="shared" si="696"/>
        <v>779952381.12919116</v>
      </c>
      <c r="H3635" s="1243"/>
      <c r="I3635" s="1247">
        <f t="shared" si="696"/>
        <v>196617311.76347885</v>
      </c>
      <c r="J3635" s="369"/>
      <c r="K3635" s="1247">
        <f t="shared" si="696"/>
        <v>2228625.9269922129</v>
      </c>
      <c r="L3635" s="1247">
        <f t="shared" si="696"/>
        <v>5270.0000000000009</v>
      </c>
      <c r="M3635" s="1247">
        <f t="shared" si="696"/>
        <v>-355999.44204085588</v>
      </c>
      <c r="N3635" s="1247">
        <f t="shared" si="696"/>
        <v>-369330.12643138226</v>
      </c>
      <c r="O3635" s="1247">
        <f t="shared" si="696"/>
        <v>198125878.12199873</v>
      </c>
    </row>
    <row r="3636" spans="1:15">
      <c r="A3636" s="361"/>
      <c r="D3636" s="1243"/>
      <c r="E3636" s="1243"/>
      <c r="F3636" s="1243"/>
      <c r="G3636" s="1243"/>
      <c r="H3636" s="1243"/>
      <c r="I3636" s="1243"/>
      <c r="J3636" s="369"/>
      <c r="K3636" s="1243"/>
      <c r="L3636" s="1243"/>
      <c r="M3636" s="1243"/>
      <c r="N3636" s="1243"/>
      <c r="O3636" s="1243"/>
    </row>
    <row r="3637" spans="1:15">
      <c r="A3637" s="361"/>
      <c r="D3637" s="1243"/>
      <c r="E3637" s="1243"/>
      <c r="F3637" s="1243"/>
      <c r="G3637" s="1243"/>
      <c r="H3637" s="1243"/>
      <c r="I3637" s="1243"/>
      <c r="J3637" s="369"/>
      <c r="K3637" s="1243"/>
      <c r="L3637" s="1243"/>
      <c r="M3637" s="1243"/>
      <c r="N3637" s="1243"/>
      <c r="O3637" s="1243"/>
    </row>
    <row r="3638" spans="1:15">
      <c r="A3638" s="361">
        <f>A3635+1</f>
        <v>23</v>
      </c>
      <c r="B3638" s="363" t="s">
        <v>1774</v>
      </c>
      <c r="D3638" s="1243"/>
      <c r="E3638" s="1243"/>
      <c r="F3638" s="1243"/>
      <c r="G3638" s="1243"/>
      <c r="H3638" s="1243"/>
      <c r="I3638" s="1243"/>
      <c r="J3638" s="369"/>
      <c r="K3638" s="1243"/>
      <c r="L3638" s="1243"/>
      <c r="M3638" s="1243"/>
      <c r="N3638" s="1243"/>
      <c r="O3638" s="1243"/>
    </row>
    <row r="3639" spans="1:15">
      <c r="A3639" s="361">
        <f t="shared" ref="A3639:A3644" si="697">A3638+1</f>
        <v>24</v>
      </c>
      <c r="B3639" s="365">
        <v>376</v>
      </c>
      <c r="C3639" s="358" t="s">
        <v>1775</v>
      </c>
      <c r="D3639" s="1243">
        <f>G3525</f>
        <v>62384550.200683922</v>
      </c>
      <c r="E3639" s="1243">
        <f>'WPB-2.1.D SMRP'!E1444</f>
        <v>1220499.0400502677</v>
      </c>
      <c r="F3639" s="1243">
        <f>'WPB-2.1.D SMRP'!F1444</f>
        <v>-6699.8399999999965</v>
      </c>
      <c r="G3639" s="1243">
        <f>SUM(D3639:F3639)</f>
        <v>63598349.400734186</v>
      </c>
      <c r="H3639" s="1243"/>
      <c r="I3639" s="1243">
        <f>O3525</f>
        <v>745369.11165680073</v>
      </c>
      <c r="J3639" s="376">
        <f>+J3525</f>
        <v>1.7999999999999999E-2</v>
      </c>
      <c r="K3639" s="1243">
        <f>'WPB-2.1.D SMRP'!K1444</f>
        <v>94487.17</v>
      </c>
      <c r="L3639" s="1243">
        <v>0</v>
      </c>
      <c r="M3639" s="1243">
        <f>F3639</f>
        <v>-6699.8399999999965</v>
      </c>
      <c r="N3639" s="1243">
        <f>'WPB-2.1.D SMRP'!N1444</f>
        <v>-459.33598429890702</v>
      </c>
      <c r="O3639" s="1243">
        <f>I3639+K3639+L3639+M3639+N3639</f>
        <v>832697.10567250184</v>
      </c>
    </row>
    <row r="3640" spans="1:15">
      <c r="A3640" s="361">
        <f t="shared" si="697"/>
        <v>25</v>
      </c>
      <c r="B3640" s="365">
        <v>378.2</v>
      </c>
      <c r="C3640" s="358" t="s">
        <v>1776</v>
      </c>
      <c r="D3640" s="1243">
        <f>G3526</f>
        <v>599780.62011021946</v>
      </c>
      <c r="E3640" s="1243">
        <f>'WPB-2.1.D SMRP'!E1445</f>
        <v>0</v>
      </c>
      <c r="F3640" s="1243">
        <f>'WPB-2.1.D SMRP'!F1445</f>
        <v>0</v>
      </c>
      <c r="G3640" s="1243">
        <f>SUM(D3640:F3640)</f>
        <v>599780.62011021946</v>
      </c>
      <c r="H3640" s="1243"/>
      <c r="I3640" s="1243">
        <f>O3526</f>
        <v>-933236.54754116014</v>
      </c>
      <c r="J3640" s="376">
        <f>+J3526</f>
        <v>3.3099999999999997E-2</v>
      </c>
      <c r="K3640" s="1243">
        <f>'WPB-2.1.D SMRP'!K1445</f>
        <v>1654.39</v>
      </c>
      <c r="L3640" s="1243">
        <v>0</v>
      </c>
      <c r="M3640" s="1243">
        <f>F3640</f>
        <v>0</v>
      </c>
      <c r="N3640" s="1243">
        <f>'WPB-2.1.D SMRP'!N1445</f>
        <v>0</v>
      </c>
      <c r="O3640" s="1243">
        <f>I3640+K3640+L3640+M3640+N3640</f>
        <v>-931582.15754116012</v>
      </c>
    </row>
    <row r="3641" spans="1:15">
      <c r="A3641" s="361">
        <f t="shared" si="697"/>
        <v>26</v>
      </c>
      <c r="B3641" s="365">
        <v>380</v>
      </c>
      <c r="C3641" s="358" t="s">
        <v>1777</v>
      </c>
      <c r="D3641" s="1243">
        <f>G3527</f>
        <v>26303526.561815731</v>
      </c>
      <c r="E3641" s="1243">
        <f>'WPB-2.1.D SMRP'!E1446</f>
        <v>1011629.2311895036</v>
      </c>
      <c r="F3641" s="1243">
        <f>'WPB-2.1.D SMRP'!F1446</f>
        <v>-149833.0729641114</v>
      </c>
      <c r="G3641" s="1243">
        <f>SUM(D3641:F3641)</f>
        <v>27165322.720041122</v>
      </c>
      <c r="H3641" s="1243"/>
      <c r="I3641" s="1243">
        <f>O3527</f>
        <v>-12903716.001261031</v>
      </c>
      <c r="J3641" s="376">
        <f>+J3527</f>
        <v>5.1799999999999999E-2</v>
      </c>
      <c r="K3641" s="1243">
        <f>'WPB-2.1.D SMRP'!K1446</f>
        <v>115403.6</v>
      </c>
      <c r="L3641" s="1243">
        <v>0</v>
      </c>
      <c r="M3641" s="1243">
        <f>F3641</f>
        <v>-149833.0729641114</v>
      </c>
      <c r="N3641" s="1243">
        <f>'WPB-2.1.D SMRP'!N1446</f>
        <v>-118057.412237481</v>
      </c>
      <c r="O3641" s="1243">
        <f>I3641+K3641+L3641+M3641+N3641</f>
        <v>-13056202.886462623</v>
      </c>
    </row>
    <row r="3642" spans="1:15">
      <c r="A3642" s="361">
        <f t="shared" si="697"/>
        <v>27</v>
      </c>
      <c r="B3642" s="365">
        <v>382</v>
      </c>
      <c r="C3642" s="358" t="s">
        <v>1778</v>
      </c>
      <c r="D3642" s="1243">
        <f>G3528</f>
        <v>241811.75800984795</v>
      </c>
      <c r="E3642" s="1243">
        <f>'WPB-2.1.D SMRP'!E1447</f>
        <v>5137.4570552197556</v>
      </c>
      <c r="F3642" s="1243">
        <f>'WPB-2.1.D SMRP'!F1447</f>
        <v>-860.40303211830087</v>
      </c>
      <c r="G3642" s="1243">
        <f>SUM(D3642:F3642)</f>
        <v>246088.81203294941</v>
      </c>
      <c r="H3642" s="1243"/>
      <c r="I3642" s="1243">
        <f>O3528</f>
        <v>-74992.674288136506</v>
      </c>
      <c r="J3642" s="376">
        <f>+J3528</f>
        <v>2.2800000000000001E-2</v>
      </c>
      <c r="K3642" s="1243">
        <f>'WPB-2.1.D SMRP'!K1447</f>
        <v>463.51</v>
      </c>
      <c r="L3642" s="1243">
        <v>0</v>
      </c>
      <c r="M3642" s="1243">
        <f>F3642</f>
        <v>-860.40303211830087</v>
      </c>
      <c r="N3642" s="1243">
        <f>'WPB-2.1.D SMRP'!N1447</f>
        <v>0</v>
      </c>
      <c r="O3642" s="1243">
        <f>I3642+K3642+L3642+M3642+N3642</f>
        <v>-75389.567320254806</v>
      </c>
    </row>
    <row r="3643" spans="1:15">
      <c r="A3643" s="361">
        <f t="shared" si="697"/>
        <v>28</v>
      </c>
      <c r="B3643" s="365">
        <v>383</v>
      </c>
      <c r="C3643" s="358" t="s">
        <v>1779</v>
      </c>
      <c r="D3643" s="1244">
        <f>G3529</f>
        <v>174611.3148019581</v>
      </c>
      <c r="E3643" s="1244">
        <f>'WPB-2.1.D SMRP'!E1448</f>
        <v>3008.3196379059718</v>
      </c>
      <c r="F3643" s="1244">
        <f>'WPB-2.1.D SMRP'!F1448</f>
        <v>-86.798516017777061</v>
      </c>
      <c r="G3643" s="1244">
        <f>SUM(D3643:F3643)</f>
        <v>177532.83592384632</v>
      </c>
      <c r="H3643" s="1243"/>
      <c r="I3643" s="1244">
        <f>O3529</f>
        <v>-7402.0034891979458</v>
      </c>
      <c r="J3643" s="376">
        <f>+J3529</f>
        <v>2.2200000000000001E-2</v>
      </c>
      <c r="K3643" s="1244">
        <f>'WPB-2.1.D SMRP'!K1448</f>
        <v>325.73</v>
      </c>
      <c r="L3643" s="1244">
        <v>0</v>
      </c>
      <c r="M3643" s="1244">
        <f>F3643</f>
        <v>-86.798516017777061</v>
      </c>
      <c r="N3643" s="1244">
        <f>'WPB-2.1.D SMRP'!N1448</f>
        <v>0</v>
      </c>
      <c r="O3643" s="1244">
        <f>I3643+K3643+L3643+M3643+N3643</f>
        <v>-7163.0720052157221</v>
      </c>
    </row>
    <row r="3644" spans="1:15">
      <c r="A3644" s="361">
        <f t="shared" si="697"/>
        <v>29</v>
      </c>
      <c r="C3644" s="358" t="s">
        <v>1780</v>
      </c>
      <c r="D3644" s="1243">
        <f>SUM(D3639:D3643)</f>
        <v>89704280.455421686</v>
      </c>
      <c r="E3644" s="1243">
        <f>SUM(E3639:E3643)</f>
        <v>2240274.0479328972</v>
      </c>
      <c r="F3644" s="1243">
        <f>SUM(F3639:F3643)</f>
        <v>-157480.11451224747</v>
      </c>
      <c r="G3644" s="1243">
        <f>SUM(G3639:G3643)</f>
        <v>91787074.388842329</v>
      </c>
      <c r="H3644" s="1243"/>
      <c r="I3644" s="1243">
        <f>SUM(I3639:I3643)</f>
        <v>-13173978.114922727</v>
      </c>
      <c r="J3644" s="369"/>
      <c r="K3644" s="1243">
        <f>SUM(K3639:K3643)</f>
        <v>212334.40000000002</v>
      </c>
      <c r="L3644" s="1243">
        <f>SUM(L3639:L3643)</f>
        <v>0</v>
      </c>
      <c r="M3644" s="1243">
        <f>SUM(M3639:M3643)</f>
        <v>-157480.11451224747</v>
      </c>
      <c r="N3644" s="1243">
        <f>SUM(N3639:N3643)</f>
        <v>-118516.7482217799</v>
      </c>
      <c r="O3644" s="1243">
        <f>SUM(O3639:O3643)</f>
        <v>-13237640.577656753</v>
      </c>
    </row>
    <row r="3645" spans="1:15">
      <c r="A3645" s="361"/>
      <c r="D3645" s="1243"/>
      <c r="E3645" s="1243"/>
      <c r="F3645" s="1243"/>
      <c r="G3645" s="1243"/>
      <c r="H3645" s="1243"/>
      <c r="I3645" s="1243"/>
      <c r="J3645" s="369"/>
      <c r="K3645" s="1243"/>
      <c r="L3645" s="1243"/>
      <c r="M3645" s="1243"/>
      <c r="N3645" s="1243"/>
      <c r="O3645" s="1243"/>
    </row>
    <row r="3646" spans="1:15" ht="13.5" thickBot="1">
      <c r="A3646" s="361">
        <f>A3644+1</f>
        <v>30</v>
      </c>
      <c r="C3646" s="358" t="s">
        <v>447</v>
      </c>
      <c r="D3646" s="1248">
        <f>D3635+D3644</f>
        <v>868449319.13121331</v>
      </c>
      <c r="E3646" s="1248">
        <f>E3635+E3644</f>
        <v>3803615.9433731502</v>
      </c>
      <c r="F3646" s="1248">
        <f>F3635+F3644</f>
        <v>-513479.55655310338</v>
      </c>
      <c r="G3646" s="1248">
        <f>G3635+G3644</f>
        <v>871739455.5180335</v>
      </c>
      <c r="H3646" s="1243"/>
      <c r="I3646" s="1248">
        <f>I3635+I3644</f>
        <v>183443333.64855611</v>
      </c>
      <c r="J3646" s="369"/>
      <c r="K3646" s="1248">
        <f>K3635+K3644</f>
        <v>2440960.3269922128</v>
      </c>
      <c r="L3646" s="1248">
        <f>L3635+L3644</f>
        <v>5270.0000000000009</v>
      </c>
      <c r="M3646" s="1248">
        <f>M3635+M3644</f>
        <v>-513479.55655310338</v>
      </c>
      <c r="N3646" s="1248">
        <f>N3635+N3644</f>
        <v>-487846.87465316214</v>
      </c>
      <c r="O3646" s="1248">
        <f>O3635+O3644</f>
        <v>184888237.54434198</v>
      </c>
    </row>
    <row r="3647" spans="1:15" ht="13.5" thickTop="1"/>
    <row r="3649" spans="1:16" s="291" customFormat="1">
      <c r="A3649" s="1308" t="str">
        <f>$A$1</f>
        <v>COLUMBIA GAS OF KENTUCKY, INC.</v>
      </c>
      <c r="B3649" s="1308"/>
      <c r="C3649" s="1308"/>
      <c r="D3649" s="1308"/>
      <c r="E3649" s="1308"/>
      <c r="F3649" s="1308"/>
      <c r="G3649" s="1308"/>
      <c r="H3649" s="1308"/>
      <c r="I3649" s="1308"/>
      <c r="J3649" s="1308"/>
      <c r="K3649" s="1308"/>
      <c r="L3649" s="1308"/>
      <c r="M3649" s="1308"/>
      <c r="N3649" s="1308"/>
      <c r="O3649" s="1308"/>
    </row>
    <row r="3650" spans="1:16" s="291" customFormat="1">
      <c r="A3650" s="1308" t="str">
        <f>$A$2</f>
        <v>CASE NO. 2024 - 00092</v>
      </c>
      <c r="B3650" s="1308"/>
      <c r="C3650" s="1308"/>
      <c r="D3650" s="1308"/>
      <c r="E3650" s="1308"/>
      <c r="F3650" s="1308"/>
      <c r="G3650" s="1308"/>
      <c r="H3650" s="1308"/>
      <c r="I3650" s="1308"/>
      <c r="J3650" s="1308"/>
      <c r="K3650" s="1308"/>
      <c r="L3650" s="1308"/>
      <c r="M3650" s="1308"/>
      <c r="N3650" s="1308"/>
      <c r="O3650" s="1308"/>
    </row>
    <row r="3651" spans="1:16" s="291" customFormat="1">
      <c r="A3651" s="1308" t="str">
        <f>$A$3</f>
        <v>DETAIL OF ACTUAL &amp; FORECASTED PLANT, ACCUMULATED RESERVE &amp; DEPRECIATION EXPENSE</v>
      </c>
      <c r="B3651" s="1308"/>
      <c r="C3651" s="1308"/>
      <c r="D3651" s="1308"/>
      <c r="E3651" s="1308"/>
      <c r="F3651" s="1308"/>
      <c r="G3651" s="1308"/>
      <c r="H3651" s="1308"/>
      <c r="I3651" s="1308"/>
      <c r="J3651" s="1308"/>
      <c r="K3651" s="1308"/>
      <c r="L3651" s="1308"/>
      <c r="M3651" s="1308"/>
      <c r="N3651" s="1308"/>
      <c r="O3651" s="1308"/>
      <c r="P3651" s="357"/>
    </row>
    <row r="3652" spans="1:16" s="291" customFormat="1">
      <c r="A3652" s="1308" t="str">
        <f>$A$4</f>
        <v>FROM JANUARY 01, 2023 THROUGH DECEMBER 31, 2025</v>
      </c>
      <c r="B3652" s="1308"/>
      <c r="C3652" s="1308"/>
      <c r="D3652" s="1308"/>
      <c r="E3652" s="1308"/>
      <c r="F3652" s="1308"/>
      <c r="G3652" s="1308"/>
      <c r="H3652" s="1308"/>
      <c r="I3652" s="1308"/>
      <c r="J3652" s="1308"/>
      <c r="K3652" s="1308"/>
      <c r="L3652" s="1308"/>
      <c r="M3652" s="1308"/>
      <c r="N3652" s="1308"/>
      <c r="O3652" s="1308"/>
    </row>
    <row r="3653" spans="1:16" s="291" customFormat="1">
      <c r="B3653" s="293"/>
      <c r="P3653" s="312"/>
    </row>
    <row r="3654" spans="1:16" s="291" customFormat="1">
      <c r="A3654" s="297" t="str">
        <f>$A$6</f>
        <v xml:space="preserve">DATA: _X_ BASE PERIOD _X_ FORECASTED PERIOD     </v>
      </c>
      <c r="B3654" s="293"/>
      <c r="O3654" s="312" t="str">
        <f>$O$6</f>
        <v>WPB-2.1.C</v>
      </c>
      <c r="P3654" s="312"/>
    </row>
    <row r="3655" spans="1:16" s="291" customFormat="1">
      <c r="A3655" s="297" t="str">
        <f>$A$7</f>
        <v>TYPE OF FILING:___X___ORIGINAL______UPDATED</v>
      </c>
      <c r="B3655" s="293"/>
      <c r="O3655" s="312" t="s">
        <v>2158</v>
      </c>
      <c r="P3655" s="312"/>
    </row>
    <row r="3656" spans="1:16" s="291" customFormat="1">
      <c r="A3656" s="297" t="str">
        <f>$A$8</f>
        <v>WORKPAPER REFERENCE NO(S).:</v>
      </c>
      <c r="B3656" s="293"/>
      <c r="O3656" s="312" t="str">
        <f>$O$8</f>
        <v>WITNESS: GORE</v>
      </c>
    </row>
    <row r="3657" spans="1:16">
      <c r="A3657" s="918"/>
      <c r="B3657" s="919"/>
      <c r="C3657" s="918"/>
      <c r="D3657" s="918"/>
      <c r="E3657" s="918"/>
      <c r="F3657" s="918"/>
      <c r="G3657" s="918"/>
      <c r="H3657" s="918"/>
      <c r="I3657" s="918"/>
      <c r="J3657" s="918"/>
      <c r="K3657" s="918"/>
      <c r="L3657" s="918"/>
      <c r="M3657" s="918"/>
      <c r="N3657" s="918"/>
      <c r="O3657" s="920"/>
    </row>
    <row r="3658" spans="1:16">
      <c r="D3658" s="1311" t="s">
        <v>1768</v>
      </c>
      <c r="E3658" s="1311"/>
      <c r="F3658" s="1311"/>
      <c r="G3658" s="1311"/>
      <c r="I3658" s="1311" t="s">
        <v>1769</v>
      </c>
      <c r="J3658" s="1311"/>
      <c r="K3658" s="1311"/>
      <c r="L3658" s="1311"/>
      <c r="M3658" s="1311"/>
      <c r="N3658" s="1311"/>
      <c r="O3658" s="1311"/>
    </row>
    <row r="3659" spans="1:16">
      <c r="D3659" s="360">
        <f>G3604+1</f>
        <v>45901</v>
      </c>
      <c r="G3659" s="360">
        <f>D3659+29</f>
        <v>45930</v>
      </c>
      <c r="I3659" s="360">
        <f>D3659</f>
        <v>45901</v>
      </c>
      <c r="O3659" s="360">
        <f>G3659</f>
        <v>45930</v>
      </c>
    </row>
    <row r="3660" spans="1:16">
      <c r="D3660" s="361" t="s">
        <v>1757</v>
      </c>
      <c r="G3660" s="361" t="s">
        <v>1757</v>
      </c>
      <c r="I3660" s="361" t="s">
        <v>1758</v>
      </c>
      <c r="J3660" s="361" t="s">
        <v>488</v>
      </c>
      <c r="L3660" s="361" t="s">
        <v>1758</v>
      </c>
      <c r="O3660" s="361" t="s">
        <v>1758</v>
      </c>
    </row>
    <row r="3661" spans="1:16">
      <c r="A3661" s="361" t="s">
        <v>1770</v>
      </c>
      <c r="B3661" s="361" t="s">
        <v>368</v>
      </c>
      <c r="C3661" s="361"/>
      <c r="D3661" s="361" t="s">
        <v>437</v>
      </c>
      <c r="G3661" s="361" t="s">
        <v>439</v>
      </c>
      <c r="I3661" s="361" t="s">
        <v>437</v>
      </c>
      <c r="J3661" s="361" t="s">
        <v>1771</v>
      </c>
      <c r="K3661" s="361" t="s">
        <v>1772</v>
      </c>
      <c r="L3661" s="361" t="s">
        <v>1759</v>
      </c>
      <c r="N3661" s="361" t="s">
        <v>1760</v>
      </c>
      <c r="O3661" s="361" t="s">
        <v>439</v>
      </c>
    </row>
    <row r="3662" spans="1:16">
      <c r="A3662" s="364" t="s">
        <v>316</v>
      </c>
      <c r="B3662" s="364" t="s">
        <v>316</v>
      </c>
      <c r="C3662" s="364" t="s">
        <v>451</v>
      </c>
      <c r="D3662" s="364" t="s">
        <v>441</v>
      </c>
      <c r="E3662" s="364" t="s">
        <v>442</v>
      </c>
      <c r="F3662" s="364" t="s">
        <v>443</v>
      </c>
      <c r="G3662" s="364" t="s">
        <v>441</v>
      </c>
      <c r="I3662" s="364" t="s">
        <v>441</v>
      </c>
      <c r="J3662" s="364" t="s">
        <v>1773</v>
      </c>
      <c r="K3662" s="364" t="s">
        <v>1771</v>
      </c>
      <c r="L3662" s="364" t="s">
        <v>355</v>
      </c>
      <c r="M3662" s="364" t="s">
        <v>443</v>
      </c>
      <c r="N3662" s="364" t="s">
        <v>1763</v>
      </c>
      <c r="O3662" s="364" t="s">
        <v>441</v>
      </c>
    </row>
    <row r="3663" spans="1:16">
      <c r="D3663" s="361" t="s">
        <v>532</v>
      </c>
      <c r="E3663" s="361" t="s">
        <v>541</v>
      </c>
      <c r="F3663" s="361" t="s">
        <v>542</v>
      </c>
      <c r="G3663" s="361" t="s">
        <v>1764</v>
      </c>
      <c r="I3663" s="334" t="str">
        <f>"(5)"</f>
        <v>(5)</v>
      </c>
      <c r="J3663" s="334" t="str">
        <f>"(6)"</f>
        <v>(6)</v>
      </c>
      <c r="K3663" s="334" t="str">
        <f>"(7)=((1+4)/2*6/12))"</f>
        <v>(7)=((1+4)/2*6/12))</v>
      </c>
      <c r="L3663" s="334" t="str">
        <f>"(8)"</f>
        <v>(8)</v>
      </c>
      <c r="M3663" s="334" t="str">
        <f>"(9)"</f>
        <v>(9)</v>
      </c>
      <c r="N3663" s="334" t="str">
        <f>"(10)"</f>
        <v>(10)</v>
      </c>
      <c r="O3663" s="334" t="str">
        <f>"(11=5+7+8+9+10)"</f>
        <v>(11=5+7+8+9+10)</v>
      </c>
    </row>
    <row r="3664" spans="1:16">
      <c r="D3664" s="361" t="s">
        <v>320</v>
      </c>
      <c r="E3664" s="361" t="s">
        <v>320</v>
      </c>
      <c r="F3664" s="361" t="s">
        <v>320</v>
      </c>
      <c r="G3664" s="361" t="s">
        <v>320</v>
      </c>
      <c r="I3664" s="334" t="s">
        <v>320</v>
      </c>
      <c r="J3664" s="334" t="s">
        <v>529</v>
      </c>
      <c r="K3664" s="334" t="s">
        <v>320</v>
      </c>
      <c r="L3664" s="334" t="s">
        <v>320</v>
      </c>
      <c r="M3664" s="334" t="s">
        <v>320</v>
      </c>
      <c r="N3664" s="334" t="s">
        <v>320</v>
      </c>
      <c r="O3664" s="334" t="s">
        <v>320</v>
      </c>
    </row>
    <row r="3665" spans="1:15">
      <c r="A3665" s="361">
        <v>1</v>
      </c>
      <c r="B3665" s="362" t="s">
        <v>373</v>
      </c>
      <c r="D3665" s="361"/>
      <c r="E3665" s="361"/>
      <c r="F3665" s="361"/>
      <c r="G3665" s="361"/>
      <c r="I3665" s="334"/>
      <c r="J3665" s="334"/>
      <c r="K3665" s="334"/>
      <c r="L3665" s="334"/>
      <c r="M3665" s="334"/>
      <c r="N3665" s="334"/>
      <c r="O3665" s="334"/>
    </row>
    <row r="3666" spans="1:15">
      <c r="A3666" s="361">
        <f>A3665+1</f>
        <v>2</v>
      </c>
      <c r="B3666" s="365">
        <v>301</v>
      </c>
      <c r="C3666" s="358" t="s">
        <v>374</v>
      </c>
      <c r="D3666" s="1243">
        <f t="shared" ref="D3666:D3671" si="698">G3552</f>
        <v>521.20000000000005</v>
      </c>
      <c r="E3666" s="1243">
        <v>0</v>
      </c>
      <c r="F3666" s="1243">
        <v>0</v>
      </c>
      <c r="G3666" s="1243">
        <f t="shared" ref="G3666:G3671" si="699">SUM(D3666:F3666)</f>
        <v>521.20000000000005</v>
      </c>
      <c r="H3666" s="1243"/>
      <c r="I3666" s="1243">
        <f t="shared" ref="I3666:I3671" si="700">O3552</f>
        <v>0</v>
      </c>
      <c r="J3666" s="375" t="str">
        <f>$J$1614</f>
        <v>Amort.</v>
      </c>
      <c r="K3666" s="1243">
        <v>0</v>
      </c>
      <c r="L3666" s="1243">
        <v>0</v>
      </c>
      <c r="M3666" s="1243">
        <f t="shared" ref="M3666:M3671" si="701">F3666</f>
        <v>0</v>
      </c>
      <c r="N3666" s="1243">
        <v>0</v>
      </c>
      <c r="O3666" s="1243">
        <f t="shared" ref="O3666:O3671" si="702">I3666+K3666+L3666+M3666+N3666</f>
        <v>0</v>
      </c>
    </row>
    <row r="3667" spans="1:15">
      <c r="A3667" s="361">
        <f t="shared" ref="A3667:A3672" si="703">A3666+1</f>
        <v>3</v>
      </c>
      <c r="B3667" s="365">
        <v>303</v>
      </c>
      <c r="C3667" s="358" t="s">
        <v>375</v>
      </c>
      <c r="D3667" s="1243">
        <f t="shared" si="698"/>
        <v>81146.899999999994</v>
      </c>
      <c r="E3667" s="1243">
        <v>0</v>
      </c>
      <c r="F3667" s="1243">
        <v>0</v>
      </c>
      <c r="G3667" s="1243">
        <f t="shared" si="699"/>
        <v>81146.899999999994</v>
      </c>
      <c r="H3667" s="1243"/>
      <c r="I3667" s="1243">
        <f t="shared" si="700"/>
        <v>68879.058791666801</v>
      </c>
      <c r="J3667" s="375" t="str">
        <f>$J$1615</f>
        <v>Amort.</v>
      </c>
      <c r="K3667" s="1243">
        <f>+'WPB-2.1.E Intangibles'!M53</f>
        <v>225.41</v>
      </c>
      <c r="L3667" s="1243">
        <v>0</v>
      </c>
      <c r="M3667" s="1243">
        <f t="shared" si="701"/>
        <v>0</v>
      </c>
      <c r="N3667" s="1243">
        <v>0</v>
      </c>
      <c r="O3667" s="1243">
        <f t="shared" si="702"/>
        <v>69104.468791666804</v>
      </c>
    </row>
    <row r="3668" spans="1:15">
      <c r="A3668" s="361">
        <f t="shared" si="703"/>
        <v>4</v>
      </c>
      <c r="B3668" s="365">
        <v>303.10000000000002</v>
      </c>
      <c r="C3668" s="358" t="s">
        <v>376</v>
      </c>
      <c r="D3668" s="1243">
        <f t="shared" si="698"/>
        <v>943.27</v>
      </c>
      <c r="E3668" s="1243">
        <v>0</v>
      </c>
      <c r="F3668" s="1243">
        <v>0</v>
      </c>
      <c r="G3668" s="1243">
        <f t="shared" si="699"/>
        <v>943.27</v>
      </c>
      <c r="H3668" s="1243"/>
      <c r="I3668" s="1243">
        <f t="shared" si="700"/>
        <v>318.35000000000008</v>
      </c>
      <c r="J3668" s="375" t="str">
        <f>$J$1616</f>
        <v>Amort.</v>
      </c>
      <c r="K3668" s="1243">
        <v>0</v>
      </c>
      <c r="L3668" s="1243">
        <v>0</v>
      </c>
      <c r="M3668" s="1243">
        <f t="shared" si="701"/>
        <v>0</v>
      </c>
      <c r="N3668" s="1243">
        <v>0</v>
      </c>
      <c r="O3668" s="1243">
        <f t="shared" si="702"/>
        <v>318.35000000000008</v>
      </c>
    </row>
    <row r="3669" spans="1:15">
      <c r="A3669" s="361">
        <f t="shared" si="703"/>
        <v>5</v>
      </c>
      <c r="B3669" s="365">
        <v>303.2</v>
      </c>
      <c r="C3669" s="358" t="s">
        <v>377</v>
      </c>
      <c r="D3669" s="1243">
        <f t="shared" si="698"/>
        <v>0</v>
      </c>
      <c r="E3669" s="1243">
        <v>0</v>
      </c>
      <c r="F3669" s="1243">
        <v>0</v>
      </c>
      <c r="G3669" s="1243">
        <f t="shared" si="699"/>
        <v>0</v>
      </c>
      <c r="H3669" s="1243"/>
      <c r="I3669" s="1243">
        <f t="shared" si="700"/>
        <v>0</v>
      </c>
      <c r="J3669" s="375" t="str">
        <f>$J$1617</f>
        <v>Amort.</v>
      </c>
      <c r="K3669" s="1243">
        <v>0</v>
      </c>
      <c r="L3669" s="1243">
        <v>0</v>
      </c>
      <c r="M3669" s="1243">
        <f t="shared" si="701"/>
        <v>0</v>
      </c>
      <c r="N3669" s="1243">
        <v>0</v>
      </c>
      <c r="O3669" s="1243">
        <f t="shared" si="702"/>
        <v>0</v>
      </c>
    </row>
    <row r="3670" spans="1:15">
      <c r="A3670" s="361">
        <f t="shared" si="703"/>
        <v>6</v>
      </c>
      <c r="B3670" s="365">
        <v>303.3</v>
      </c>
      <c r="C3670" s="358" t="s">
        <v>378</v>
      </c>
      <c r="D3670" s="1243">
        <f t="shared" si="698"/>
        <v>17401832.662849009</v>
      </c>
      <c r="E3670" s="1243">
        <f>+'WPB-2.1.E Intangibles'!M26</f>
        <v>33203.340899999996</v>
      </c>
      <c r="F3670" s="1243">
        <f>-'WPB-2.1.E Intangibles'!M41</f>
        <v>-144955.91</v>
      </c>
      <c r="G3670" s="1243">
        <f t="shared" si="699"/>
        <v>17290080.093749009</v>
      </c>
      <c r="H3670" s="1243"/>
      <c r="I3670" s="1243">
        <f t="shared" si="700"/>
        <v>6993810.1127199233</v>
      </c>
      <c r="J3670" s="375" t="str">
        <f>$J$1618</f>
        <v>Amort.</v>
      </c>
      <c r="K3670" s="1243">
        <f>+'WPB-2.1.E Intangibles'!M54</f>
        <v>263574.76479610562</v>
      </c>
      <c r="L3670" s="1243">
        <v>0</v>
      </c>
      <c r="M3670" s="1243">
        <f t="shared" si="701"/>
        <v>-144955.91</v>
      </c>
      <c r="N3670" s="1243">
        <v>0</v>
      </c>
      <c r="O3670" s="1243">
        <f t="shared" si="702"/>
        <v>7112428.9675160283</v>
      </c>
    </row>
    <row r="3671" spans="1:15">
      <c r="A3671" s="361">
        <f t="shared" si="703"/>
        <v>7</v>
      </c>
      <c r="B3671" s="365">
        <v>303.99</v>
      </c>
      <c r="C3671" s="358" t="s">
        <v>1129</v>
      </c>
      <c r="D3671" s="1244">
        <f t="shared" si="698"/>
        <v>4295391.4308827352</v>
      </c>
      <c r="E3671" s="1244">
        <f>+'WPB-2.1.E Intangibles'!M30</f>
        <v>2693.3637671437286</v>
      </c>
      <c r="F3671" s="1244">
        <f>-'WPB-2.1.E Intangibles'!M42</f>
        <v>0</v>
      </c>
      <c r="G3671" s="1244">
        <f t="shared" si="699"/>
        <v>4298084.7946498785</v>
      </c>
      <c r="H3671" s="1243"/>
      <c r="I3671" s="1244">
        <f t="shared" si="700"/>
        <v>1417054.0860526746</v>
      </c>
      <c r="J3671" s="375" t="str">
        <f>$J$1619</f>
        <v>Amort.</v>
      </c>
      <c r="K3671" s="1244">
        <f>+'WPB-2.1.E Intangibles'!M55</f>
        <v>61411.01969799459</v>
      </c>
      <c r="L3671" s="1244">
        <v>0</v>
      </c>
      <c r="M3671" s="1244">
        <f t="shared" si="701"/>
        <v>0</v>
      </c>
      <c r="N3671" s="1244">
        <v>0</v>
      </c>
      <c r="O3671" s="1244">
        <f t="shared" si="702"/>
        <v>1478465.1057506693</v>
      </c>
    </row>
    <row r="3672" spans="1:15">
      <c r="A3672" s="361">
        <f t="shared" si="703"/>
        <v>8</v>
      </c>
      <c r="B3672" s="367"/>
      <c r="C3672" s="358" t="s">
        <v>379</v>
      </c>
      <c r="D3672" s="1243">
        <f>SUM(D3666:D3671)</f>
        <v>21779835.463731743</v>
      </c>
      <c r="E3672" s="1243">
        <f>SUM(E3666:E3671)</f>
        <v>35896.704667143727</v>
      </c>
      <c r="F3672" s="1243">
        <f>SUM(F3666:F3671)</f>
        <v>-144955.91</v>
      </c>
      <c r="G3672" s="1243">
        <f>SUM(G3666:G3671)</f>
        <v>21670776.25839889</v>
      </c>
      <c r="H3672" s="1243"/>
      <c r="I3672" s="1243">
        <f>SUM(I3666:I3671)</f>
        <v>8480061.6075642649</v>
      </c>
      <c r="J3672" s="369"/>
      <c r="K3672" s="1243">
        <f>SUM(K3666:K3671)</f>
        <v>325211.19449410017</v>
      </c>
      <c r="L3672" s="1243">
        <f>SUM(L3666:L3671)</f>
        <v>0</v>
      </c>
      <c r="M3672" s="1243">
        <f>SUM(M3666:M3671)</f>
        <v>-144955.91</v>
      </c>
      <c r="N3672" s="1243">
        <f>SUM(N3666:N3671)</f>
        <v>0</v>
      </c>
      <c r="O3672" s="1243">
        <f>SUM(O3666:O3671)</f>
        <v>8660316.892058365</v>
      </c>
    </row>
    <row r="3673" spans="1:15">
      <c r="A3673" s="361"/>
      <c r="B3673" s="367"/>
      <c r="C3673" s="368"/>
      <c r="D3673" s="1243"/>
      <c r="E3673" s="1243"/>
      <c r="F3673" s="1243"/>
      <c r="G3673" s="1243"/>
      <c r="H3673" s="1243"/>
      <c r="I3673" s="1243"/>
      <c r="J3673" s="369"/>
      <c r="K3673" s="1243"/>
      <c r="L3673" s="1243"/>
      <c r="M3673" s="1243"/>
      <c r="N3673" s="1243"/>
      <c r="O3673" s="1243"/>
    </row>
    <row r="3674" spans="1:15">
      <c r="A3674" s="361">
        <f>A3672+1</f>
        <v>9</v>
      </c>
      <c r="B3674" s="362" t="s">
        <v>1600</v>
      </c>
      <c r="C3674" s="368"/>
      <c r="D3674" s="1243"/>
      <c r="E3674" s="1243"/>
      <c r="F3674" s="1243"/>
      <c r="G3674" s="1243"/>
      <c r="H3674" s="1243"/>
      <c r="I3674" s="1243"/>
      <c r="J3674" s="369"/>
      <c r="K3674" s="1243"/>
      <c r="L3674" s="1243"/>
      <c r="M3674" s="1243"/>
      <c r="N3674" s="1243"/>
      <c r="O3674" s="1243"/>
    </row>
    <row r="3675" spans="1:15">
      <c r="A3675" s="361">
        <f t="shared" ref="A3675:A3705" si="704">A3674+1</f>
        <v>10</v>
      </c>
      <c r="B3675" s="365">
        <v>374.1</v>
      </c>
      <c r="C3675" s="358" t="s">
        <v>382</v>
      </c>
      <c r="D3675" s="1243">
        <f t="shared" ref="D3675:D3704" si="705">G3561</f>
        <v>205.4</v>
      </c>
      <c r="E3675" s="1243">
        <v>0</v>
      </c>
      <c r="F3675" s="1243">
        <v>0</v>
      </c>
      <c r="G3675" s="1243">
        <f>SUM(D3675:F3675)</f>
        <v>205.4</v>
      </c>
      <c r="H3675" s="1243"/>
      <c r="I3675" s="1243">
        <f t="shared" ref="I3675:I3704" si="706">O3561</f>
        <v>0</v>
      </c>
      <c r="J3675" s="375" t="str">
        <f>$J$1623</f>
        <v>Non-Dep.</v>
      </c>
      <c r="K3675" s="1243">
        <v>0</v>
      </c>
      <c r="L3675" s="1243">
        <v>0</v>
      </c>
      <c r="M3675" s="1243">
        <f t="shared" ref="M3675:M3704" si="707">F3675</f>
        <v>0</v>
      </c>
      <c r="N3675" s="1243">
        <v>0</v>
      </c>
      <c r="O3675" s="1243">
        <f t="shared" ref="O3675:O3704" si="708">I3675+K3675+L3675+M3675+N3675</f>
        <v>0</v>
      </c>
    </row>
    <row r="3676" spans="1:15">
      <c r="A3676" s="361">
        <f t="shared" si="704"/>
        <v>11</v>
      </c>
      <c r="B3676" s="365">
        <v>374.2</v>
      </c>
      <c r="C3676" s="358" t="s">
        <v>383</v>
      </c>
      <c r="D3676" s="1243">
        <f t="shared" si="705"/>
        <v>876986.66</v>
      </c>
      <c r="E3676" s="1243">
        <v>0</v>
      </c>
      <c r="F3676" s="1243">
        <v>0</v>
      </c>
      <c r="G3676" s="1243">
        <f t="shared" ref="G3676:G3704" si="709">SUM(D3676:F3676)</f>
        <v>876986.66</v>
      </c>
      <c r="H3676" s="1243"/>
      <c r="I3676" s="1243">
        <f t="shared" si="706"/>
        <v>-522.25</v>
      </c>
      <c r="J3676" s="375" t="str">
        <f>$J$1624</f>
        <v>Non-Dep.</v>
      </c>
      <c r="K3676" s="1243">
        <v>0</v>
      </c>
      <c r="L3676" s="1243">
        <v>0</v>
      </c>
      <c r="M3676" s="1243">
        <f t="shared" si="707"/>
        <v>0</v>
      </c>
      <c r="N3676" s="1243">
        <v>0</v>
      </c>
      <c r="O3676" s="1243">
        <f t="shared" si="708"/>
        <v>-522.25</v>
      </c>
    </row>
    <row r="3677" spans="1:15">
      <c r="A3677" s="361">
        <f t="shared" si="704"/>
        <v>12</v>
      </c>
      <c r="B3677" s="365">
        <v>374.4</v>
      </c>
      <c r="C3677" s="358" t="s">
        <v>384</v>
      </c>
      <c r="D3677" s="1243">
        <f t="shared" si="705"/>
        <v>3294826.1500000008</v>
      </c>
      <c r="E3677" s="1243">
        <v>3857.15</v>
      </c>
      <c r="F3677" s="1243">
        <v>0</v>
      </c>
      <c r="G3677" s="1243">
        <f t="shared" si="709"/>
        <v>3298683.3000000007</v>
      </c>
      <c r="H3677" s="1243"/>
      <c r="I3677" s="1243">
        <f t="shared" si="706"/>
        <v>417554.77</v>
      </c>
      <c r="J3677" s="376">
        <f t="shared" ref="J3677:J3704" si="710">+J3563</f>
        <v>1.3299999999999999E-2</v>
      </c>
      <c r="K3677" s="1243">
        <f t="shared" ref="K3677:K3683" si="711">ROUND((G3677+D3677)/2*J3677/12,0)</f>
        <v>3654</v>
      </c>
      <c r="L3677" s="1243">
        <v>0</v>
      </c>
      <c r="M3677" s="1243">
        <f t="shared" si="707"/>
        <v>0</v>
      </c>
      <c r="N3677" s="1243">
        <v>0</v>
      </c>
      <c r="O3677" s="1243">
        <f t="shared" si="708"/>
        <v>421208.77</v>
      </c>
    </row>
    <row r="3678" spans="1:15">
      <c r="A3678" s="361">
        <f t="shared" si="704"/>
        <v>13</v>
      </c>
      <c r="B3678" s="365">
        <v>374.5</v>
      </c>
      <c r="C3678" s="358" t="s">
        <v>385</v>
      </c>
      <c r="D3678" s="1243">
        <f t="shared" si="705"/>
        <v>2666577.16</v>
      </c>
      <c r="E3678" s="1243">
        <v>0</v>
      </c>
      <c r="F3678" s="1243">
        <v>0</v>
      </c>
      <c r="G3678" s="1243">
        <f t="shared" si="709"/>
        <v>2666577.16</v>
      </c>
      <c r="H3678" s="1243"/>
      <c r="I3678" s="1243">
        <f t="shared" si="706"/>
        <v>1205180.1900000013</v>
      </c>
      <c r="J3678" s="376">
        <f t="shared" si="710"/>
        <v>1.0999999999999999E-2</v>
      </c>
      <c r="K3678" s="1243">
        <f t="shared" si="711"/>
        <v>2444</v>
      </c>
      <c r="L3678" s="1243">
        <v>0</v>
      </c>
      <c r="M3678" s="1243">
        <f t="shared" si="707"/>
        <v>0</v>
      </c>
      <c r="N3678" s="1243">
        <v>0</v>
      </c>
      <c r="O3678" s="1243">
        <f t="shared" si="708"/>
        <v>1207624.1900000013</v>
      </c>
    </row>
    <row r="3679" spans="1:15">
      <c r="A3679" s="361">
        <f t="shared" si="704"/>
        <v>14</v>
      </c>
      <c r="B3679" s="365">
        <v>375.2</v>
      </c>
      <c r="C3679" s="358" t="s">
        <v>386</v>
      </c>
      <c r="D3679" s="1243">
        <f t="shared" si="705"/>
        <v>2124.98</v>
      </c>
      <c r="E3679" s="1243">
        <v>0</v>
      </c>
      <c r="F3679" s="1243">
        <v>0</v>
      </c>
      <c r="G3679" s="1243">
        <f t="shared" si="709"/>
        <v>2124.98</v>
      </c>
      <c r="H3679" s="1243"/>
      <c r="I3679" s="1243">
        <f t="shared" si="706"/>
        <v>2135.3000000000002</v>
      </c>
      <c r="J3679" s="376">
        <f t="shared" si="710"/>
        <v>2.3900000000000001E-2</v>
      </c>
      <c r="K3679" s="1243">
        <f t="shared" si="711"/>
        <v>4</v>
      </c>
      <c r="L3679" s="1243">
        <v>0</v>
      </c>
      <c r="M3679" s="1243">
        <f t="shared" si="707"/>
        <v>0</v>
      </c>
      <c r="N3679" s="1243">
        <v>0</v>
      </c>
      <c r="O3679" s="1243">
        <f t="shared" si="708"/>
        <v>2139.3000000000002</v>
      </c>
    </row>
    <row r="3680" spans="1:15">
      <c r="A3680" s="361">
        <f t="shared" si="704"/>
        <v>15</v>
      </c>
      <c r="B3680" s="365">
        <v>375.3</v>
      </c>
      <c r="C3680" s="358" t="s">
        <v>387</v>
      </c>
      <c r="D3680" s="1243">
        <f t="shared" si="705"/>
        <v>0</v>
      </c>
      <c r="E3680" s="1243">
        <v>0</v>
      </c>
      <c r="F3680" s="1243">
        <v>0</v>
      </c>
      <c r="G3680" s="1243">
        <f t="shared" si="709"/>
        <v>0</v>
      </c>
      <c r="H3680" s="1243"/>
      <c r="I3680" s="1243">
        <f t="shared" si="706"/>
        <v>-77.66</v>
      </c>
      <c r="J3680" s="376">
        <f t="shared" si="710"/>
        <v>2.3900000000000001E-2</v>
      </c>
      <c r="K3680" s="1243">
        <f t="shared" si="711"/>
        <v>0</v>
      </c>
      <c r="L3680" s="1243">
        <v>0</v>
      </c>
      <c r="M3680" s="1243">
        <f t="shared" si="707"/>
        <v>0</v>
      </c>
      <c r="N3680" s="1243">
        <v>0</v>
      </c>
      <c r="O3680" s="1243">
        <f t="shared" si="708"/>
        <v>-77.66</v>
      </c>
    </row>
    <row r="3681" spans="1:15">
      <c r="A3681" s="361">
        <f t="shared" si="704"/>
        <v>16</v>
      </c>
      <c r="B3681" s="365">
        <v>375.4</v>
      </c>
      <c r="C3681" s="358" t="s">
        <v>388</v>
      </c>
      <c r="D3681" s="1243">
        <f t="shared" si="705"/>
        <v>4283830.2599999988</v>
      </c>
      <c r="E3681" s="1243">
        <v>171598.03</v>
      </c>
      <c r="F3681" s="1243">
        <v>-6106.89</v>
      </c>
      <c r="G3681" s="1243">
        <f t="shared" si="709"/>
        <v>4449321.3999999994</v>
      </c>
      <c r="H3681" s="1243"/>
      <c r="I3681" s="1243">
        <f t="shared" si="706"/>
        <v>43862.400000000169</v>
      </c>
      <c r="J3681" s="376">
        <f t="shared" si="710"/>
        <v>2.3900000000000001E-2</v>
      </c>
      <c r="K3681" s="1243">
        <f t="shared" si="711"/>
        <v>8697</v>
      </c>
      <c r="L3681" s="1243">
        <v>0</v>
      </c>
      <c r="M3681" s="1243">
        <f t="shared" si="707"/>
        <v>-6106.89</v>
      </c>
      <c r="N3681" s="1243">
        <v>0</v>
      </c>
      <c r="O3681" s="1243">
        <f t="shared" si="708"/>
        <v>46452.510000000169</v>
      </c>
    </row>
    <row r="3682" spans="1:15">
      <c r="A3682" s="361">
        <f t="shared" si="704"/>
        <v>17</v>
      </c>
      <c r="B3682" s="365">
        <v>375.6</v>
      </c>
      <c r="C3682" s="358" t="s">
        <v>389</v>
      </c>
      <c r="D3682" s="1243">
        <f t="shared" si="705"/>
        <v>0</v>
      </c>
      <c r="E3682" s="1243">
        <v>0</v>
      </c>
      <c r="F3682" s="1243">
        <v>0</v>
      </c>
      <c r="G3682" s="1243">
        <f t="shared" si="709"/>
        <v>0</v>
      </c>
      <c r="H3682" s="1243"/>
      <c r="I3682" s="1243">
        <f t="shared" si="706"/>
        <v>0.02</v>
      </c>
      <c r="J3682" s="376">
        <f t="shared" si="710"/>
        <v>2.3900000000000001E-2</v>
      </c>
      <c r="K3682" s="1243">
        <f t="shared" si="711"/>
        <v>0</v>
      </c>
      <c r="L3682" s="1243">
        <v>0</v>
      </c>
      <c r="M3682" s="1243">
        <f t="shared" si="707"/>
        <v>0</v>
      </c>
      <c r="N3682" s="1243">
        <v>0</v>
      </c>
      <c r="O3682" s="1243">
        <f t="shared" si="708"/>
        <v>0.02</v>
      </c>
    </row>
    <row r="3683" spans="1:15">
      <c r="A3683" s="361">
        <f t="shared" si="704"/>
        <v>18</v>
      </c>
      <c r="B3683" s="365">
        <v>375.7</v>
      </c>
      <c r="C3683" s="358" t="s">
        <v>390</v>
      </c>
      <c r="D3683" s="1243">
        <f t="shared" si="705"/>
        <v>9772813.8299999982</v>
      </c>
      <c r="E3683" s="1243">
        <v>20393.37</v>
      </c>
      <c r="F3683" s="1243">
        <v>0</v>
      </c>
      <c r="G3683" s="1243">
        <f t="shared" si="709"/>
        <v>9793207.1999999974</v>
      </c>
      <c r="H3683" s="1243"/>
      <c r="I3683" s="1243">
        <f t="shared" si="706"/>
        <v>5071884.8699999982</v>
      </c>
      <c r="J3683" s="376">
        <f t="shared" si="710"/>
        <v>2.5100000000000001E-2</v>
      </c>
      <c r="K3683" s="1243">
        <f t="shared" si="711"/>
        <v>20463</v>
      </c>
      <c r="L3683" s="1243">
        <v>0</v>
      </c>
      <c r="M3683" s="1243">
        <f t="shared" si="707"/>
        <v>0</v>
      </c>
      <c r="N3683" s="1243">
        <v>0</v>
      </c>
      <c r="O3683" s="1243">
        <f t="shared" si="708"/>
        <v>5092347.8699999982</v>
      </c>
    </row>
    <row r="3684" spans="1:15">
      <c r="A3684" s="361">
        <f t="shared" si="704"/>
        <v>19</v>
      </c>
      <c r="B3684" s="365">
        <v>375.71</v>
      </c>
      <c r="C3684" s="358" t="s">
        <v>391</v>
      </c>
      <c r="D3684" s="1243">
        <f t="shared" si="705"/>
        <v>880994.59</v>
      </c>
      <c r="E3684" s="1243">
        <v>0</v>
      </c>
      <c r="F3684" s="1243">
        <v>0</v>
      </c>
      <c r="G3684" s="1243">
        <f t="shared" si="709"/>
        <v>880994.59</v>
      </c>
      <c r="H3684" s="1243"/>
      <c r="I3684" s="1243">
        <f t="shared" si="706"/>
        <v>853833.92000000109</v>
      </c>
      <c r="J3684" s="376" t="str">
        <f t="shared" si="710"/>
        <v>Amort.</v>
      </c>
      <c r="K3684" s="1243">
        <f>$K$1290</f>
        <v>4743.54</v>
      </c>
      <c r="L3684" s="1243">
        <v>0</v>
      </c>
      <c r="M3684" s="1243">
        <f t="shared" si="707"/>
        <v>0</v>
      </c>
      <c r="N3684" s="1243">
        <v>0</v>
      </c>
      <c r="O3684" s="1243">
        <f t="shared" si="708"/>
        <v>858577.46000000113</v>
      </c>
    </row>
    <row r="3685" spans="1:15">
      <c r="A3685" s="361">
        <f t="shared" si="704"/>
        <v>20</v>
      </c>
      <c r="B3685" s="365">
        <v>375.8</v>
      </c>
      <c r="C3685" s="358" t="s">
        <v>392</v>
      </c>
      <c r="D3685" s="1243">
        <f t="shared" si="705"/>
        <v>132125.04</v>
      </c>
      <c r="E3685" s="1243">
        <v>0</v>
      </c>
      <c r="F3685" s="1243">
        <v>0</v>
      </c>
      <c r="G3685" s="1243">
        <f t="shared" si="709"/>
        <v>132125.04</v>
      </c>
      <c r="H3685" s="1243"/>
      <c r="I3685" s="1243">
        <f t="shared" si="706"/>
        <v>16404.43</v>
      </c>
      <c r="J3685" s="376">
        <f t="shared" si="710"/>
        <v>2.1100000000000001E-2</v>
      </c>
      <c r="K3685" s="1243">
        <f t="shared" ref="K3685:K3704" si="712">ROUND((G3685+D3685)/2*J3685/12,0)</f>
        <v>232</v>
      </c>
      <c r="L3685" s="1243">
        <v>0</v>
      </c>
      <c r="M3685" s="1243">
        <f t="shared" si="707"/>
        <v>0</v>
      </c>
      <c r="N3685" s="1243">
        <v>0</v>
      </c>
      <c r="O3685" s="1243">
        <f t="shared" si="708"/>
        <v>16636.43</v>
      </c>
    </row>
    <row r="3686" spans="1:15">
      <c r="A3686" s="361">
        <f t="shared" si="704"/>
        <v>21</v>
      </c>
      <c r="B3686" s="365">
        <v>376</v>
      </c>
      <c r="C3686" s="358" t="s">
        <v>1621</v>
      </c>
      <c r="D3686" s="1243">
        <f t="shared" si="705"/>
        <v>423518745.7992658</v>
      </c>
      <c r="E3686" s="1243">
        <f>'WPB-2.1.D SMRP'!E1499</f>
        <v>550752.83994312212</v>
      </c>
      <c r="F3686" s="1243">
        <f>'WPB-2.1.D SMRP'!F1499</f>
        <v>-56144.5</v>
      </c>
      <c r="G3686" s="1243">
        <f t="shared" si="709"/>
        <v>424013354.13920891</v>
      </c>
      <c r="H3686" s="1243"/>
      <c r="I3686" s="1243">
        <f t="shared" si="706"/>
        <v>90836663.726838619</v>
      </c>
      <c r="J3686" s="376">
        <f t="shared" si="710"/>
        <v>1.7999999999999999E-2</v>
      </c>
      <c r="K3686" s="1243">
        <f>'WPB-2.1.D SMRP'!K1499</f>
        <v>635648.96</v>
      </c>
      <c r="L3686" s="1243">
        <v>0</v>
      </c>
      <c r="M3686" s="1243">
        <f>F3686</f>
        <v>-56144.5</v>
      </c>
      <c r="N3686" s="1243">
        <f>'WPB-2.1.D SMRP'!N1499</f>
        <v>-23155.083547256352</v>
      </c>
      <c r="O3686" s="1243">
        <f t="shared" si="708"/>
        <v>91393013.103291363</v>
      </c>
    </row>
    <row r="3687" spans="1:15">
      <c r="A3687" s="361">
        <f t="shared" si="704"/>
        <v>22</v>
      </c>
      <c r="B3687" s="365">
        <v>378.1</v>
      </c>
      <c r="C3687" s="358" t="s">
        <v>394</v>
      </c>
      <c r="D3687" s="1243">
        <f t="shared" si="705"/>
        <v>-172291.25</v>
      </c>
      <c r="E3687" s="1243">
        <v>0</v>
      </c>
      <c r="F3687" s="1243">
        <v>0</v>
      </c>
      <c r="G3687" s="1243">
        <f t="shared" si="709"/>
        <v>-172291.25</v>
      </c>
      <c r="H3687" s="1243"/>
      <c r="I3687" s="1243">
        <f t="shared" si="706"/>
        <v>-331419.52000000008</v>
      </c>
      <c r="J3687" s="376">
        <f t="shared" si="710"/>
        <v>3.3099999999999997E-2</v>
      </c>
      <c r="K3687" s="1243">
        <f t="shared" si="712"/>
        <v>-475</v>
      </c>
      <c r="L3687" s="1243">
        <v>0</v>
      </c>
      <c r="M3687" s="1243">
        <f t="shared" si="707"/>
        <v>0</v>
      </c>
      <c r="N3687" s="1243">
        <v>0</v>
      </c>
      <c r="O3687" s="1243">
        <f t="shared" si="708"/>
        <v>-331894.52000000008</v>
      </c>
    </row>
    <row r="3688" spans="1:15">
      <c r="A3688" s="361">
        <f t="shared" si="704"/>
        <v>23</v>
      </c>
      <c r="B3688" s="365">
        <v>378.2</v>
      </c>
      <c r="C3688" s="358" t="s">
        <v>1622</v>
      </c>
      <c r="D3688" s="1243">
        <f t="shared" si="705"/>
        <v>30846698.423518125</v>
      </c>
      <c r="E3688" s="1243">
        <f>'WPB-2.1.D SMRP'!E1503</f>
        <v>217404.89217659723</v>
      </c>
      <c r="F3688" s="1243">
        <f>'WPB-2.1.D SMRP'!F1503</f>
        <v>0</v>
      </c>
      <c r="G3688" s="1243">
        <f t="shared" si="709"/>
        <v>31064103.315694723</v>
      </c>
      <c r="H3688" s="1243"/>
      <c r="I3688" s="1243">
        <f t="shared" si="706"/>
        <v>3160444.9275375218</v>
      </c>
      <c r="J3688" s="376">
        <f t="shared" si="710"/>
        <v>3.3099999999999997E-2</v>
      </c>
      <c r="K3688" s="1243">
        <f>'WPB-2.1.D SMRP'!K1503</f>
        <v>85385.61</v>
      </c>
      <c r="L3688" s="1243">
        <v>0</v>
      </c>
      <c r="M3688" s="1243">
        <f>F3688</f>
        <v>0</v>
      </c>
      <c r="N3688" s="1243">
        <f>'WPB-2.1.D SMRP'!N1503</f>
        <v>0</v>
      </c>
      <c r="O3688" s="1243">
        <f t="shared" si="708"/>
        <v>3245830.5375375217</v>
      </c>
    </row>
    <row r="3689" spans="1:15">
      <c r="A3689" s="361">
        <f t="shared" si="704"/>
        <v>24</v>
      </c>
      <c r="B3689" s="365">
        <v>378.3</v>
      </c>
      <c r="C3689" s="358" t="s">
        <v>396</v>
      </c>
      <c r="D3689" s="1243">
        <f t="shared" si="705"/>
        <v>45443.08</v>
      </c>
      <c r="E3689" s="1243">
        <v>0</v>
      </c>
      <c r="F3689" s="1243">
        <v>0</v>
      </c>
      <c r="G3689" s="1243">
        <f t="shared" si="709"/>
        <v>45443.08</v>
      </c>
      <c r="H3689" s="1243"/>
      <c r="I3689" s="1243">
        <f t="shared" si="706"/>
        <v>45308.320000000007</v>
      </c>
      <c r="J3689" s="376">
        <f t="shared" si="710"/>
        <v>3.3099999999999997E-2</v>
      </c>
      <c r="K3689" s="1243">
        <f t="shared" si="712"/>
        <v>125</v>
      </c>
      <c r="L3689" s="1243">
        <v>0</v>
      </c>
      <c r="M3689" s="1243">
        <f t="shared" si="707"/>
        <v>0</v>
      </c>
      <c r="N3689" s="1243">
        <v>0</v>
      </c>
      <c r="O3689" s="1243">
        <f t="shared" si="708"/>
        <v>45433.320000000007</v>
      </c>
    </row>
    <row r="3690" spans="1:15">
      <c r="A3690" s="361">
        <f t="shared" si="704"/>
        <v>25</v>
      </c>
      <c r="B3690" s="365">
        <v>379.1</v>
      </c>
      <c r="C3690" s="358" t="s">
        <v>397</v>
      </c>
      <c r="D3690" s="1243">
        <f t="shared" si="705"/>
        <v>1554144.06</v>
      </c>
      <c r="E3690" s="1243">
        <v>0</v>
      </c>
      <c r="F3690" s="1243">
        <v>0</v>
      </c>
      <c r="G3690" s="1243">
        <f t="shared" si="709"/>
        <v>1554144.06</v>
      </c>
      <c r="H3690" s="1243"/>
      <c r="I3690" s="1243">
        <f t="shared" si="706"/>
        <v>415313.19000000006</v>
      </c>
      <c r="J3690" s="376">
        <f t="shared" si="710"/>
        <v>2.5399999999999999E-2</v>
      </c>
      <c r="K3690" s="1243">
        <f t="shared" si="712"/>
        <v>3290</v>
      </c>
      <c r="L3690" s="1243">
        <v>0</v>
      </c>
      <c r="M3690" s="1243">
        <f t="shared" si="707"/>
        <v>0</v>
      </c>
      <c r="N3690" s="1243">
        <v>0</v>
      </c>
      <c r="O3690" s="1243">
        <f t="shared" si="708"/>
        <v>418603.19000000006</v>
      </c>
    </row>
    <row r="3691" spans="1:15">
      <c r="A3691" s="361">
        <f t="shared" si="704"/>
        <v>26</v>
      </c>
      <c r="B3691" s="365">
        <v>380</v>
      </c>
      <c r="C3691" s="358" t="s">
        <v>1623</v>
      </c>
      <c r="D3691" s="1243">
        <f t="shared" si="705"/>
        <v>207786405.9399589</v>
      </c>
      <c r="E3691" s="1243">
        <f>'WPB-2.1.D SMRP'!E1507</f>
        <v>580979.20046165958</v>
      </c>
      <c r="F3691" s="1243">
        <f>'WPB-2.1.D SMRP'!F1507</f>
        <v>-50269.973203300848</v>
      </c>
      <c r="G3691" s="1243">
        <f t="shared" si="709"/>
        <v>208317115.16721725</v>
      </c>
      <c r="H3691" s="1243"/>
      <c r="I3691" s="1243">
        <f t="shared" si="706"/>
        <v>72900900.236462623</v>
      </c>
      <c r="J3691" s="376">
        <f t="shared" si="710"/>
        <v>5.1799999999999999E-2</v>
      </c>
      <c r="K3691" s="1243">
        <f>'WPB-2.1.D SMRP'!K1507</f>
        <v>898090.33</v>
      </c>
      <c r="L3691" s="1243">
        <v>0</v>
      </c>
      <c r="M3691" s="1243">
        <f>F3691</f>
        <v>-50269.973203300848</v>
      </c>
      <c r="N3691" s="1243">
        <f>'WPB-2.1.D SMRP'!N1507</f>
        <v>-35361.5491015968</v>
      </c>
      <c r="O3691" s="1243">
        <f t="shared" si="708"/>
        <v>73713359.044157729</v>
      </c>
    </row>
    <row r="3692" spans="1:15">
      <c r="A3692" s="361">
        <f t="shared" si="704"/>
        <v>27</v>
      </c>
      <c r="B3692" s="365">
        <v>381</v>
      </c>
      <c r="C3692" s="358" t="s">
        <v>399</v>
      </c>
      <c r="D3692" s="1243">
        <f t="shared" si="705"/>
        <v>20789443.610808242</v>
      </c>
      <c r="E3692" s="1243">
        <v>24956.18</v>
      </c>
      <c r="F3692" s="1243">
        <v>-13939.78</v>
      </c>
      <c r="G3692" s="1243">
        <f t="shared" si="709"/>
        <v>20800460.010808241</v>
      </c>
      <c r="H3692" s="1243"/>
      <c r="I3692" s="1243">
        <f t="shared" si="706"/>
        <v>1939221.8899999994</v>
      </c>
      <c r="J3692" s="376">
        <f t="shared" si="710"/>
        <v>3.5799999999999998E-2</v>
      </c>
      <c r="K3692" s="1243">
        <f t="shared" si="712"/>
        <v>62038</v>
      </c>
      <c r="L3692" s="1243">
        <v>0</v>
      </c>
      <c r="M3692" s="1243">
        <f t="shared" si="707"/>
        <v>-13939.78</v>
      </c>
      <c r="N3692" s="1243">
        <v>-2468.39</v>
      </c>
      <c r="O3692" s="1243">
        <f t="shared" si="708"/>
        <v>1984851.7199999995</v>
      </c>
    </row>
    <row r="3693" spans="1:15">
      <c r="A3693" s="361">
        <f t="shared" si="704"/>
        <v>28</v>
      </c>
      <c r="B3693" s="365">
        <v>381.1</v>
      </c>
      <c r="C3693" s="358" t="s">
        <v>2366</v>
      </c>
      <c r="D3693" s="1243">
        <f t="shared" si="705"/>
        <v>9980854.4800000004</v>
      </c>
      <c r="E3693" s="1243">
        <v>0</v>
      </c>
      <c r="F3693" s="1243">
        <v>0</v>
      </c>
      <c r="G3693" s="1243">
        <f t="shared" si="709"/>
        <v>9980854.4800000004</v>
      </c>
      <c r="H3693" s="1243"/>
      <c r="I3693" s="1243">
        <f t="shared" si="706"/>
        <v>6559467.0300000031</v>
      </c>
      <c r="J3693" s="376">
        <f t="shared" si="710"/>
        <v>6.7900000000000002E-2</v>
      </c>
      <c r="K3693" s="1243">
        <f t="shared" si="712"/>
        <v>56475</v>
      </c>
      <c r="L3693" s="1243">
        <v>0</v>
      </c>
      <c r="M3693" s="1243">
        <f t="shared" si="707"/>
        <v>0</v>
      </c>
      <c r="N3693" s="1243">
        <v>0</v>
      </c>
      <c r="O3693" s="1243">
        <f t="shared" si="708"/>
        <v>6615942.0300000031</v>
      </c>
    </row>
    <row r="3694" spans="1:15">
      <c r="A3694" s="361">
        <f t="shared" si="704"/>
        <v>29</v>
      </c>
      <c r="B3694" s="365">
        <v>382</v>
      </c>
      <c r="C3694" s="358" t="s">
        <v>1624</v>
      </c>
      <c r="D3694" s="1243">
        <f t="shared" si="705"/>
        <v>10740811.241760939</v>
      </c>
      <c r="E3694" s="1243">
        <f>'WPB-2.1.D SMRP'!E1511</f>
        <v>29549.759797398845</v>
      </c>
      <c r="F3694" s="1243">
        <f>'WPB-2.1.D SMRP'!F1511</f>
        <v>-1929.7205877957258</v>
      </c>
      <c r="G3694" s="1243">
        <f t="shared" si="709"/>
        <v>10768431.280970542</v>
      </c>
      <c r="H3694" s="1243"/>
      <c r="I3694" s="1243">
        <f t="shared" si="706"/>
        <v>6166458.2430849215</v>
      </c>
      <c r="J3694" s="376">
        <f t="shared" si="710"/>
        <v>2.2800000000000001E-2</v>
      </c>
      <c r="K3694" s="1243">
        <f>'WPB-2.1.D SMRP'!K1511</f>
        <v>20433.669999999998</v>
      </c>
      <c r="L3694" s="1243">
        <v>0</v>
      </c>
      <c r="M3694" s="1243">
        <f t="shared" si="707"/>
        <v>-1929.7205877957258</v>
      </c>
      <c r="N3694" s="1243">
        <f>'WPB-2.1.D SMRP'!N1511</f>
        <v>0</v>
      </c>
      <c r="O3694" s="1243">
        <f t="shared" si="708"/>
        <v>6184962.1924971258</v>
      </c>
    </row>
    <row r="3695" spans="1:15">
      <c r="A3695" s="361">
        <f t="shared" si="704"/>
        <v>30</v>
      </c>
      <c r="B3695" s="365">
        <v>383</v>
      </c>
      <c r="C3695" s="358" t="s">
        <v>1625</v>
      </c>
      <c r="D3695" s="1243">
        <f t="shared" si="705"/>
        <v>7763447.8901472883</v>
      </c>
      <c r="E3695" s="1243">
        <f>'WPB-2.1.D SMRP'!E1515</f>
        <v>42099.110823828974</v>
      </c>
      <c r="F3695" s="1243">
        <f>'WPB-2.1.D SMRP'!F1515</f>
        <v>-770.18164690991489</v>
      </c>
      <c r="G3695" s="1243">
        <f t="shared" si="709"/>
        <v>7804776.8193242075</v>
      </c>
      <c r="H3695" s="1243"/>
      <c r="I3695" s="1243">
        <f t="shared" si="706"/>
        <v>2735134.340510888</v>
      </c>
      <c r="J3695" s="376">
        <f t="shared" si="710"/>
        <v>2.2200000000000001E-2</v>
      </c>
      <c r="K3695" s="1243">
        <f>'WPB-2.1.D SMRP'!K1515</f>
        <v>14401</v>
      </c>
      <c r="L3695" s="1243">
        <v>0</v>
      </c>
      <c r="M3695" s="1243">
        <f t="shared" si="707"/>
        <v>-770.18164690991489</v>
      </c>
      <c r="N3695" s="1243">
        <f>'WPB-2.1.D SMRP'!N1515</f>
        <v>0</v>
      </c>
      <c r="O3695" s="1243">
        <f t="shared" si="708"/>
        <v>2748765.158863978</v>
      </c>
    </row>
    <row r="3696" spans="1:15">
      <c r="A3696" s="361">
        <f t="shared" si="704"/>
        <v>31</v>
      </c>
      <c r="B3696" s="365">
        <v>384</v>
      </c>
      <c r="C3696" s="358" t="s">
        <v>402</v>
      </c>
      <c r="D3696" s="1243">
        <f t="shared" si="705"/>
        <v>2085329.5399999998</v>
      </c>
      <c r="E3696" s="1243">
        <v>14.01</v>
      </c>
      <c r="F3696" s="1243">
        <v>0</v>
      </c>
      <c r="G3696" s="1243">
        <f t="shared" si="709"/>
        <v>2085343.5499999998</v>
      </c>
      <c r="H3696" s="1243"/>
      <c r="I3696" s="1243">
        <f t="shared" si="706"/>
        <v>1776284.1399999992</v>
      </c>
      <c r="J3696" s="376">
        <f t="shared" si="710"/>
        <v>1.9900000000000001E-2</v>
      </c>
      <c r="K3696" s="1243">
        <f t="shared" si="712"/>
        <v>3458</v>
      </c>
      <c r="L3696" s="1243">
        <v>0</v>
      </c>
      <c r="M3696" s="1243">
        <f t="shared" si="707"/>
        <v>0</v>
      </c>
      <c r="N3696" s="1243">
        <v>0</v>
      </c>
      <c r="O3696" s="1243">
        <f t="shared" si="708"/>
        <v>1779742.1399999992</v>
      </c>
    </row>
    <row r="3697" spans="1:16">
      <c r="A3697" s="361">
        <f t="shared" si="704"/>
        <v>32</v>
      </c>
      <c r="B3697" s="365">
        <v>385</v>
      </c>
      <c r="C3697" s="358" t="s">
        <v>403</v>
      </c>
      <c r="D3697" s="1243">
        <f t="shared" si="705"/>
        <v>6432713.0899999989</v>
      </c>
      <c r="E3697" s="1243">
        <v>7379.42</v>
      </c>
      <c r="F3697" s="1243">
        <v>-3911</v>
      </c>
      <c r="G3697" s="1243">
        <f t="shared" si="709"/>
        <v>6436181.5099999988</v>
      </c>
      <c r="H3697" s="1243"/>
      <c r="I3697" s="1243">
        <f t="shared" si="706"/>
        <v>1004329.1299999998</v>
      </c>
      <c r="J3697" s="376">
        <f t="shared" si="710"/>
        <v>5.4699999999999999E-2</v>
      </c>
      <c r="K3697" s="1243">
        <f t="shared" si="712"/>
        <v>29330</v>
      </c>
      <c r="L3697" s="1243">
        <v>0</v>
      </c>
      <c r="M3697" s="1243">
        <f t="shared" si="707"/>
        <v>-3911</v>
      </c>
      <c r="N3697" s="1243">
        <v>-54191.78</v>
      </c>
      <c r="O3697" s="1243">
        <f t="shared" si="708"/>
        <v>975556.34999999974</v>
      </c>
    </row>
    <row r="3698" spans="1:16">
      <c r="A3698" s="361">
        <f t="shared" si="704"/>
        <v>33</v>
      </c>
      <c r="B3698" s="365">
        <v>387.2</v>
      </c>
      <c r="C3698" s="358" t="s">
        <v>404</v>
      </c>
      <c r="D3698" s="1243">
        <f t="shared" si="705"/>
        <v>0</v>
      </c>
      <c r="E3698" s="1243">
        <v>0</v>
      </c>
      <c r="F3698" s="1243">
        <v>0</v>
      </c>
      <c r="G3698" s="1243">
        <f t="shared" si="709"/>
        <v>0</v>
      </c>
      <c r="H3698" s="1243"/>
      <c r="I3698" s="1243">
        <f t="shared" si="706"/>
        <v>-59912.03</v>
      </c>
      <c r="J3698" s="376">
        <f t="shared" si="710"/>
        <v>0</v>
      </c>
      <c r="K3698" s="1243">
        <f t="shared" si="712"/>
        <v>0</v>
      </c>
      <c r="L3698" s="1243">
        <v>0</v>
      </c>
      <c r="M3698" s="1243">
        <f t="shared" si="707"/>
        <v>0</v>
      </c>
      <c r="N3698" s="1243">
        <v>0</v>
      </c>
      <c r="O3698" s="1243">
        <f t="shared" si="708"/>
        <v>-59912.03</v>
      </c>
    </row>
    <row r="3699" spans="1:16">
      <c r="A3699" s="361">
        <f t="shared" si="704"/>
        <v>34</v>
      </c>
      <c r="B3699" s="365">
        <v>387.41</v>
      </c>
      <c r="C3699" s="358" t="s">
        <v>405</v>
      </c>
      <c r="D3699" s="1243">
        <f t="shared" si="705"/>
        <v>260538.46000000008</v>
      </c>
      <c r="E3699" s="1243">
        <v>0</v>
      </c>
      <c r="F3699" s="1243">
        <v>0</v>
      </c>
      <c r="G3699" s="1243">
        <f t="shared" si="709"/>
        <v>260538.46000000008</v>
      </c>
      <c r="H3699" s="1243"/>
      <c r="I3699" s="1243">
        <f t="shared" si="706"/>
        <v>77448.970000000059</v>
      </c>
      <c r="J3699" s="376">
        <f t="shared" si="710"/>
        <v>4.9599999999999998E-2</v>
      </c>
      <c r="K3699" s="1243">
        <f t="shared" si="712"/>
        <v>1077</v>
      </c>
      <c r="L3699" s="1243">
        <v>0</v>
      </c>
      <c r="M3699" s="1243">
        <f t="shared" si="707"/>
        <v>0</v>
      </c>
      <c r="N3699" s="1243">
        <v>0</v>
      </c>
      <c r="O3699" s="1243">
        <f t="shared" si="708"/>
        <v>78525.970000000059</v>
      </c>
    </row>
    <row r="3700" spans="1:16">
      <c r="A3700" s="361">
        <f t="shared" si="704"/>
        <v>35</v>
      </c>
      <c r="B3700" s="365">
        <v>387.42</v>
      </c>
      <c r="C3700" s="358" t="s">
        <v>406</v>
      </c>
      <c r="D3700" s="1243">
        <f t="shared" si="705"/>
        <v>419367.40000000008</v>
      </c>
      <c r="E3700" s="1243">
        <v>0</v>
      </c>
      <c r="F3700" s="1243">
        <v>0</v>
      </c>
      <c r="G3700" s="1243">
        <f t="shared" si="709"/>
        <v>419367.40000000008</v>
      </c>
      <c r="H3700" s="1243"/>
      <c r="I3700" s="1243">
        <f t="shared" si="706"/>
        <v>370847.80999999976</v>
      </c>
      <c r="J3700" s="376">
        <f t="shared" si="710"/>
        <v>4.9599999999999998E-2</v>
      </c>
      <c r="K3700" s="1243">
        <f t="shared" si="712"/>
        <v>1733</v>
      </c>
      <c r="L3700" s="1243">
        <v>0</v>
      </c>
      <c r="M3700" s="1243">
        <f t="shared" si="707"/>
        <v>0</v>
      </c>
      <c r="N3700" s="1243">
        <v>0</v>
      </c>
      <c r="O3700" s="1243">
        <f t="shared" si="708"/>
        <v>372580.80999999976</v>
      </c>
    </row>
    <row r="3701" spans="1:16">
      <c r="A3701" s="361">
        <f t="shared" si="704"/>
        <v>36</v>
      </c>
      <c r="B3701" s="365">
        <v>387.44</v>
      </c>
      <c r="C3701" s="358" t="s">
        <v>407</v>
      </c>
      <c r="D3701" s="1243">
        <f t="shared" si="705"/>
        <v>124678.76000000001</v>
      </c>
      <c r="E3701" s="1243">
        <v>0</v>
      </c>
      <c r="F3701" s="1243">
        <v>0</v>
      </c>
      <c r="G3701" s="1243">
        <f t="shared" si="709"/>
        <v>124678.76000000001</v>
      </c>
      <c r="H3701" s="1243"/>
      <c r="I3701" s="1243">
        <f t="shared" si="706"/>
        <v>75569.390000000014</v>
      </c>
      <c r="J3701" s="376">
        <f t="shared" si="710"/>
        <v>4.9599999999999998E-2</v>
      </c>
      <c r="K3701" s="1243">
        <f t="shared" si="712"/>
        <v>515</v>
      </c>
      <c r="L3701" s="1243">
        <v>0</v>
      </c>
      <c r="M3701" s="1243">
        <f t="shared" si="707"/>
        <v>0</v>
      </c>
      <c r="N3701" s="1243">
        <v>0</v>
      </c>
      <c r="O3701" s="1243">
        <f t="shared" si="708"/>
        <v>76084.390000000014</v>
      </c>
    </row>
    <row r="3702" spans="1:16">
      <c r="A3702" s="361">
        <f t="shared" si="704"/>
        <v>37</v>
      </c>
      <c r="B3702" s="365">
        <v>387.45</v>
      </c>
      <c r="C3702" s="358" t="s">
        <v>408</v>
      </c>
      <c r="D3702" s="1243">
        <f t="shared" si="705"/>
        <v>6623338.1300000036</v>
      </c>
      <c r="E3702" s="1243">
        <v>121337.48</v>
      </c>
      <c r="F3702" s="1243">
        <v>0</v>
      </c>
      <c r="G3702" s="1243">
        <f t="shared" si="709"/>
        <v>6744675.6100000041</v>
      </c>
      <c r="H3702" s="1243"/>
      <c r="I3702" s="1243">
        <f t="shared" si="706"/>
        <v>-915129.58000000007</v>
      </c>
      <c r="J3702" s="376">
        <f t="shared" si="710"/>
        <v>4.9599999999999998E-2</v>
      </c>
      <c r="K3702" s="1243">
        <f t="shared" si="712"/>
        <v>27627</v>
      </c>
      <c r="L3702" s="1243">
        <v>0</v>
      </c>
      <c r="M3702" s="1243">
        <f t="shared" si="707"/>
        <v>0</v>
      </c>
      <c r="N3702" s="1243">
        <v>-24.79</v>
      </c>
      <c r="O3702" s="1243">
        <f t="shared" si="708"/>
        <v>-887527.37000000011</v>
      </c>
    </row>
    <row r="3703" spans="1:16">
      <c r="A3703" s="361">
        <f t="shared" si="704"/>
        <v>38</v>
      </c>
      <c r="B3703" s="365">
        <v>387.46</v>
      </c>
      <c r="C3703" s="358" t="s">
        <v>409</v>
      </c>
      <c r="D3703" s="1243">
        <f t="shared" si="705"/>
        <v>113644.47</v>
      </c>
      <c r="E3703" s="1243">
        <v>0</v>
      </c>
      <c r="F3703" s="1243">
        <v>0</v>
      </c>
      <c r="G3703" s="1243">
        <f t="shared" si="709"/>
        <v>113644.47</v>
      </c>
      <c r="H3703" s="1243"/>
      <c r="I3703" s="1243">
        <f t="shared" si="706"/>
        <v>121327.07</v>
      </c>
      <c r="J3703" s="376">
        <f t="shared" si="710"/>
        <v>4.9599999999999998E-2</v>
      </c>
      <c r="K3703" s="1243">
        <f t="shared" si="712"/>
        <v>470</v>
      </c>
      <c r="L3703" s="1243">
        <v>0</v>
      </c>
      <c r="M3703" s="1243">
        <f t="shared" si="707"/>
        <v>0</v>
      </c>
      <c r="N3703" s="1243">
        <v>0</v>
      </c>
      <c r="O3703" s="1243">
        <f t="shared" si="708"/>
        <v>121797.07</v>
      </c>
    </row>
    <row r="3704" spans="1:16">
      <c r="A3704" s="361">
        <f t="shared" si="704"/>
        <v>39</v>
      </c>
      <c r="B3704" s="365">
        <v>387.5</v>
      </c>
      <c r="C3704" s="358" t="s">
        <v>1075</v>
      </c>
      <c r="D3704" s="1244">
        <f t="shared" si="705"/>
        <v>238072.69</v>
      </c>
      <c r="E3704" s="1244">
        <v>0</v>
      </c>
      <c r="F3704" s="1244">
        <v>0</v>
      </c>
      <c r="G3704" s="1244">
        <f t="shared" si="709"/>
        <v>238072.69</v>
      </c>
      <c r="H3704" s="1243"/>
      <c r="I3704" s="1244">
        <f t="shared" si="706"/>
        <v>92452.47000000003</v>
      </c>
      <c r="J3704" s="376">
        <f t="shared" si="710"/>
        <v>0.13500000000000001</v>
      </c>
      <c r="K3704" s="1244">
        <f t="shared" si="712"/>
        <v>2678</v>
      </c>
      <c r="L3704" s="1244">
        <v>0</v>
      </c>
      <c r="M3704" s="1244">
        <f t="shared" si="707"/>
        <v>0</v>
      </c>
      <c r="N3704" s="1244">
        <v>0</v>
      </c>
      <c r="O3704" s="1244">
        <f t="shared" si="708"/>
        <v>95130.47000000003</v>
      </c>
    </row>
    <row r="3705" spans="1:16">
      <c r="A3705" s="361">
        <f t="shared" si="704"/>
        <v>40</v>
      </c>
      <c r="C3705" s="365" t="s">
        <v>1601</v>
      </c>
      <c r="D3705" s="1243">
        <f>SUM(D3675:D3704)</f>
        <v>751061869.88545942</v>
      </c>
      <c r="E3705" s="1243">
        <f>SUM(E3675:E3704)</f>
        <v>1770321.4432026066</v>
      </c>
      <c r="F3705" s="1243">
        <f>SUM(F3675:F3704)</f>
        <v>-133072.04543800649</v>
      </c>
      <c r="G3705" s="1243">
        <f>SUM(G3675:G3704)</f>
        <v>752699119.28322411</v>
      </c>
      <c r="H3705" s="1243"/>
      <c r="I3705" s="1243">
        <f>SUM(I3675:I3704)</f>
        <v>194580965.74443448</v>
      </c>
      <c r="J3705" s="369"/>
      <c r="K3705" s="1243">
        <f>SUM(K3675:K3704)</f>
        <v>1882538.1099999999</v>
      </c>
      <c r="L3705" s="1243">
        <f>SUM(L3675:L3704)</f>
        <v>0</v>
      </c>
      <c r="M3705" s="1243">
        <f>SUM(M3675:M3704)</f>
        <v>-133072.04543800649</v>
      </c>
      <c r="N3705" s="1243">
        <f>SUM(N3675:N3704)</f>
        <v>-115201.59264885314</v>
      </c>
      <c r="O3705" s="1243">
        <f>SUM(O3675:O3704)</f>
        <v>196215230.21634766</v>
      </c>
    </row>
    <row r="3706" spans="1:16">
      <c r="B3706" s="367"/>
      <c r="C3706" s="368"/>
      <c r="D3706" s="369"/>
      <c r="E3706" s="369"/>
      <c r="F3706" s="369"/>
      <c r="G3706" s="369"/>
      <c r="I3706" s="369"/>
      <c r="J3706" s="369"/>
      <c r="K3706" s="1243"/>
      <c r="L3706" s="1243"/>
      <c r="M3706" s="1243"/>
      <c r="N3706" s="1243"/>
      <c r="O3706" s="1243"/>
    </row>
    <row r="3707" spans="1:16">
      <c r="I3707" s="369"/>
      <c r="J3707" s="369"/>
      <c r="K3707" s="369"/>
      <c r="L3707" s="369"/>
      <c r="M3707" s="369"/>
      <c r="N3707" s="369"/>
      <c r="O3707" s="369"/>
    </row>
    <row r="3708" spans="1:16" s="291" customFormat="1">
      <c r="A3708" s="1308" t="str">
        <f>$A$1</f>
        <v>COLUMBIA GAS OF KENTUCKY, INC.</v>
      </c>
      <c r="B3708" s="1308"/>
      <c r="C3708" s="1308"/>
      <c r="D3708" s="1308"/>
      <c r="E3708" s="1308"/>
      <c r="F3708" s="1308"/>
      <c r="G3708" s="1308"/>
      <c r="H3708" s="1308"/>
      <c r="I3708" s="1308"/>
      <c r="J3708" s="1308"/>
      <c r="K3708" s="1308"/>
      <c r="L3708" s="1308"/>
      <c r="M3708" s="1308"/>
      <c r="N3708" s="1308"/>
      <c r="O3708" s="1308"/>
    </row>
    <row r="3709" spans="1:16" s="291" customFormat="1">
      <c r="A3709" s="1308" t="str">
        <f>$A$2</f>
        <v>CASE NO. 2024 - 00092</v>
      </c>
      <c r="B3709" s="1308"/>
      <c r="C3709" s="1308"/>
      <c r="D3709" s="1308"/>
      <c r="E3709" s="1308"/>
      <c r="F3709" s="1308"/>
      <c r="G3709" s="1308"/>
      <c r="H3709" s="1308"/>
      <c r="I3709" s="1308"/>
      <c r="J3709" s="1308"/>
      <c r="K3709" s="1308"/>
      <c r="L3709" s="1308"/>
      <c r="M3709" s="1308"/>
      <c r="N3709" s="1308"/>
      <c r="O3709" s="1308"/>
    </row>
    <row r="3710" spans="1:16" s="291" customFormat="1">
      <c r="A3710" s="1308" t="str">
        <f>$A$3</f>
        <v>DETAIL OF ACTUAL &amp; FORECASTED PLANT, ACCUMULATED RESERVE &amp; DEPRECIATION EXPENSE</v>
      </c>
      <c r="B3710" s="1308"/>
      <c r="C3710" s="1308"/>
      <c r="D3710" s="1308"/>
      <c r="E3710" s="1308"/>
      <c r="F3710" s="1308"/>
      <c r="G3710" s="1308"/>
      <c r="H3710" s="1308"/>
      <c r="I3710" s="1308"/>
      <c r="J3710" s="1308"/>
      <c r="K3710" s="1308"/>
      <c r="L3710" s="1308"/>
      <c r="M3710" s="1308"/>
      <c r="N3710" s="1308"/>
      <c r="O3710" s="1308"/>
      <c r="P3710" s="357"/>
    </row>
    <row r="3711" spans="1:16" s="291" customFormat="1">
      <c r="A3711" s="1308" t="str">
        <f>$A$4</f>
        <v>FROM JANUARY 01, 2023 THROUGH DECEMBER 31, 2025</v>
      </c>
      <c r="B3711" s="1308"/>
      <c r="C3711" s="1308"/>
      <c r="D3711" s="1308"/>
      <c r="E3711" s="1308"/>
      <c r="F3711" s="1308"/>
      <c r="G3711" s="1308"/>
      <c r="H3711" s="1308"/>
      <c r="I3711" s="1308"/>
      <c r="J3711" s="1308"/>
      <c r="K3711" s="1308"/>
      <c r="L3711" s="1308"/>
      <c r="M3711" s="1308"/>
      <c r="N3711" s="1308"/>
      <c r="O3711" s="1308"/>
    </row>
    <row r="3712" spans="1:16" s="291" customFormat="1">
      <c r="B3712" s="293"/>
      <c r="P3712" s="312"/>
    </row>
    <row r="3713" spans="1:16" s="291" customFormat="1">
      <c r="A3713" s="297" t="str">
        <f>$A$6</f>
        <v xml:space="preserve">DATA: _X_ BASE PERIOD _X_ FORECASTED PERIOD     </v>
      </c>
      <c r="B3713" s="293"/>
      <c r="O3713" s="312" t="str">
        <f>$O$6</f>
        <v>WPB-2.1.C</v>
      </c>
      <c r="P3713" s="312"/>
    </row>
    <row r="3714" spans="1:16" s="291" customFormat="1">
      <c r="A3714" s="297" t="str">
        <f>$A$7</f>
        <v>TYPE OF FILING:___X___ORIGINAL______UPDATED</v>
      </c>
      <c r="B3714" s="293"/>
      <c r="O3714" s="312" t="s">
        <v>2157</v>
      </c>
      <c r="P3714" s="312"/>
    </row>
    <row r="3715" spans="1:16" s="291" customFormat="1">
      <c r="A3715" s="297" t="str">
        <f>$A$8</f>
        <v>WORKPAPER REFERENCE NO(S).:</v>
      </c>
      <c r="B3715" s="293"/>
      <c r="O3715" s="312" t="str">
        <f>$O$8</f>
        <v>WITNESS: GORE</v>
      </c>
    </row>
    <row r="3716" spans="1:16">
      <c r="A3716" s="918"/>
      <c r="B3716" s="919"/>
      <c r="C3716" s="918"/>
      <c r="D3716" s="918"/>
      <c r="E3716" s="918"/>
      <c r="F3716" s="918"/>
      <c r="G3716" s="918"/>
      <c r="H3716" s="918"/>
      <c r="I3716" s="918"/>
      <c r="J3716" s="918"/>
      <c r="K3716" s="918"/>
      <c r="L3716" s="918"/>
      <c r="M3716" s="918"/>
      <c r="N3716" s="918"/>
      <c r="O3716" s="920"/>
    </row>
    <row r="3717" spans="1:16">
      <c r="D3717" s="1311" t="s">
        <v>1768</v>
      </c>
      <c r="E3717" s="1311"/>
      <c r="F3717" s="1311"/>
      <c r="G3717" s="1311"/>
      <c r="I3717" s="1311" t="s">
        <v>1769</v>
      </c>
      <c r="J3717" s="1311"/>
      <c r="K3717" s="1311"/>
      <c r="L3717" s="1311"/>
      <c r="M3717" s="1311"/>
      <c r="N3717" s="1311"/>
      <c r="O3717" s="1311"/>
    </row>
    <row r="3718" spans="1:16">
      <c r="D3718" s="360">
        <f>D3659</f>
        <v>45901</v>
      </c>
      <c r="G3718" s="360">
        <f>G3659</f>
        <v>45930</v>
      </c>
      <c r="I3718" s="360">
        <f>D3718</f>
        <v>45901</v>
      </c>
      <c r="O3718" s="360">
        <f>G3718</f>
        <v>45930</v>
      </c>
    </row>
    <row r="3719" spans="1:16">
      <c r="D3719" s="361" t="s">
        <v>1757</v>
      </c>
      <c r="G3719" s="361" t="s">
        <v>1757</v>
      </c>
      <c r="I3719" s="361" t="s">
        <v>1758</v>
      </c>
      <c r="J3719" s="361" t="s">
        <v>488</v>
      </c>
      <c r="L3719" s="361" t="s">
        <v>1758</v>
      </c>
      <c r="O3719" s="361" t="s">
        <v>1758</v>
      </c>
    </row>
    <row r="3720" spans="1:16">
      <c r="A3720" s="361" t="s">
        <v>1770</v>
      </c>
      <c r="B3720" s="361" t="s">
        <v>368</v>
      </c>
      <c r="C3720" s="361"/>
      <c r="D3720" s="361" t="s">
        <v>437</v>
      </c>
      <c r="G3720" s="361" t="s">
        <v>439</v>
      </c>
      <c r="I3720" s="361" t="s">
        <v>437</v>
      </c>
      <c r="J3720" s="361" t="s">
        <v>1771</v>
      </c>
      <c r="K3720" s="361" t="s">
        <v>1772</v>
      </c>
      <c r="L3720" s="361" t="s">
        <v>1759</v>
      </c>
      <c r="N3720" s="361" t="s">
        <v>1760</v>
      </c>
      <c r="O3720" s="361" t="s">
        <v>439</v>
      </c>
    </row>
    <row r="3721" spans="1:16">
      <c r="A3721" s="364" t="s">
        <v>316</v>
      </c>
      <c r="B3721" s="364" t="s">
        <v>316</v>
      </c>
      <c r="C3721" s="364" t="s">
        <v>451</v>
      </c>
      <c r="D3721" s="364" t="s">
        <v>441</v>
      </c>
      <c r="E3721" s="364" t="s">
        <v>442</v>
      </c>
      <c r="F3721" s="364" t="s">
        <v>443</v>
      </c>
      <c r="G3721" s="364" t="s">
        <v>441</v>
      </c>
      <c r="I3721" s="364" t="s">
        <v>441</v>
      </c>
      <c r="J3721" s="364" t="s">
        <v>1773</v>
      </c>
      <c r="K3721" s="364" t="s">
        <v>1771</v>
      </c>
      <c r="L3721" s="364" t="s">
        <v>355</v>
      </c>
      <c r="M3721" s="364" t="s">
        <v>443</v>
      </c>
      <c r="N3721" s="364" t="s">
        <v>1763</v>
      </c>
      <c r="O3721" s="364" t="s">
        <v>441</v>
      </c>
    </row>
    <row r="3722" spans="1:16">
      <c r="D3722" s="361" t="s">
        <v>532</v>
      </c>
      <c r="E3722" s="361" t="s">
        <v>541</v>
      </c>
      <c r="F3722" s="361" t="s">
        <v>542</v>
      </c>
      <c r="G3722" s="361" t="s">
        <v>1764</v>
      </c>
      <c r="I3722" s="334" t="str">
        <f>"(5)"</f>
        <v>(5)</v>
      </c>
      <c r="J3722" s="334" t="str">
        <f>"(6)"</f>
        <v>(6)</v>
      </c>
      <c r="K3722" s="334" t="str">
        <f>"(7)=((1+4)/2*6/12))"</f>
        <v>(7)=((1+4)/2*6/12))</v>
      </c>
      <c r="L3722" s="334" t="str">
        <f>"(8)"</f>
        <v>(8)</v>
      </c>
      <c r="M3722" s="334" t="str">
        <f>"(9)"</f>
        <v>(9)</v>
      </c>
      <c r="N3722" s="334" t="str">
        <f>"(10)"</f>
        <v>(10)</v>
      </c>
      <c r="O3722" s="334" t="str">
        <f>"(11=5+7+8+9+10)"</f>
        <v>(11=5+7+8+9+10)</v>
      </c>
    </row>
    <row r="3723" spans="1:16">
      <c r="D3723" s="361" t="s">
        <v>320</v>
      </c>
      <c r="E3723" s="361" t="s">
        <v>320</v>
      </c>
      <c r="F3723" s="361" t="s">
        <v>320</v>
      </c>
      <c r="G3723" s="361" t="s">
        <v>320</v>
      </c>
      <c r="I3723" s="334" t="s">
        <v>320</v>
      </c>
      <c r="J3723" s="334" t="s">
        <v>529</v>
      </c>
      <c r="K3723" s="334" t="s">
        <v>320</v>
      </c>
      <c r="L3723" s="334" t="s">
        <v>320</v>
      </c>
      <c r="M3723" s="334" t="s">
        <v>320</v>
      </c>
      <c r="N3723" s="334" t="s">
        <v>320</v>
      </c>
      <c r="O3723" s="334" t="s">
        <v>320</v>
      </c>
    </row>
    <row r="3724" spans="1:16">
      <c r="A3724" s="361">
        <v>1</v>
      </c>
      <c r="B3724" s="363" t="s">
        <v>411</v>
      </c>
      <c r="D3724" s="361"/>
      <c r="E3724" s="361"/>
      <c r="F3724" s="361"/>
      <c r="G3724" s="361"/>
      <c r="I3724" s="334"/>
      <c r="J3724" s="334"/>
      <c r="K3724" s="334"/>
      <c r="L3724" s="334"/>
      <c r="M3724" s="334"/>
      <c r="N3724" s="334"/>
      <c r="O3724" s="334"/>
    </row>
    <row r="3725" spans="1:16">
      <c r="A3725" s="361">
        <f>A3724+1</f>
        <v>2</v>
      </c>
      <c r="B3725" s="365">
        <v>391.1</v>
      </c>
      <c r="C3725" s="358" t="s">
        <v>412</v>
      </c>
      <c r="D3725" s="1243">
        <f t="shared" ref="D3725:D3738" si="713">G3611</f>
        <v>921741.33000000007</v>
      </c>
      <c r="E3725" s="1243">
        <v>0</v>
      </c>
      <c r="F3725" s="1243">
        <v>0</v>
      </c>
      <c r="G3725" s="1243">
        <f>SUM(D3725:F3725)</f>
        <v>921741.33000000007</v>
      </c>
      <c r="I3725" s="378">
        <f t="shared" ref="I3725:I3738" si="714">O3611</f>
        <v>287786.70333333331</v>
      </c>
      <c r="J3725" s="376">
        <f t="shared" ref="J3725:J3738" si="715">+J3611</f>
        <v>0.05</v>
      </c>
      <c r="K3725" s="1243">
        <f>ROUND((G3725+D3725)/2*J3725/12,0)</f>
        <v>3841</v>
      </c>
      <c r="L3725" s="1243">
        <f>+L3611</f>
        <v>4814.416666666667</v>
      </c>
      <c r="M3725" s="1243">
        <f t="shared" ref="M3725:M3738" si="716">F3725</f>
        <v>0</v>
      </c>
      <c r="N3725" s="1243">
        <v>0</v>
      </c>
      <c r="O3725" s="1243">
        <f t="shared" ref="O3725:O3738" si="717">I3725+K3725+L3725+M3725+N3725</f>
        <v>296442.12</v>
      </c>
    </row>
    <row r="3726" spans="1:16">
      <c r="A3726" s="361">
        <f t="shared" ref="A3726:A3739" si="718">A3725+1</f>
        <v>3</v>
      </c>
      <c r="B3726" s="365">
        <v>391.11</v>
      </c>
      <c r="C3726" s="358" t="s">
        <v>413</v>
      </c>
      <c r="D3726" s="1243">
        <f t="shared" si="713"/>
        <v>0</v>
      </c>
      <c r="E3726" s="1243">
        <v>0</v>
      </c>
      <c r="F3726" s="1243">
        <v>0</v>
      </c>
      <c r="G3726" s="1243">
        <f t="shared" ref="G3726:G3733" si="719">SUM(D3726:F3726)</f>
        <v>0</v>
      </c>
      <c r="I3726" s="378">
        <f t="shared" si="714"/>
        <v>-8415.4566666666688</v>
      </c>
      <c r="J3726" s="376">
        <f t="shared" si="715"/>
        <v>0</v>
      </c>
      <c r="K3726" s="1243">
        <f>ROUND((G3726+D3726)/2*J3726/12,0)</f>
        <v>0</v>
      </c>
      <c r="L3726" s="1243">
        <f t="shared" ref="L3726:L3738" si="720">+L3612</f>
        <v>525.91666666666663</v>
      </c>
      <c r="M3726" s="1243">
        <f t="shared" si="716"/>
        <v>0</v>
      </c>
      <c r="N3726" s="1243">
        <v>0</v>
      </c>
      <c r="O3726" s="1243">
        <f t="shared" si="717"/>
        <v>-7889.5400000000018</v>
      </c>
    </row>
    <row r="3727" spans="1:16">
      <c r="A3727" s="361">
        <f t="shared" si="718"/>
        <v>4</v>
      </c>
      <c r="B3727" s="365">
        <v>391.12</v>
      </c>
      <c r="C3727" s="358" t="s">
        <v>414</v>
      </c>
      <c r="D3727" s="1243">
        <f t="shared" si="713"/>
        <v>37129.580000000009</v>
      </c>
      <c r="E3727" s="1243">
        <v>0</v>
      </c>
      <c r="F3727" s="1243">
        <v>0</v>
      </c>
      <c r="G3727" s="1243">
        <f t="shared" si="719"/>
        <v>37129.580000000009</v>
      </c>
      <c r="I3727" s="378">
        <f t="shared" si="714"/>
        <v>16220.97</v>
      </c>
      <c r="J3727" s="376">
        <f t="shared" si="715"/>
        <v>0.2</v>
      </c>
      <c r="K3727" s="1243">
        <f>ROUND((G3727+D3727)/2*J3727/12,0)</f>
        <v>619</v>
      </c>
      <c r="L3727" s="1243">
        <f t="shared" si="720"/>
        <v>456.25</v>
      </c>
      <c r="M3727" s="1243">
        <f t="shared" si="716"/>
        <v>0</v>
      </c>
      <c r="N3727" s="1243">
        <v>0</v>
      </c>
      <c r="O3727" s="1243">
        <f t="shared" si="717"/>
        <v>17296.22</v>
      </c>
    </row>
    <row r="3728" spans="1:16">
      <c r="A3728" s="361">
        <f t="shared" si="718"/>
        <v>5</v>
      </c>
      <c r="B3728" s="365">
        <v>392.2</v>
      </c>
      <c r="C3728" s="358" t="s">
        <v>524</v>
      </c>
      <c r="D3728" s="1243">
        <f t="shared" si="713"/>
        <v>48924.4</v>
      </c>
      <c r="E3728" s="1243">
        <v>0</v>
      </c>
      <c r="F3728" s="1243">
        <v>0</v>
      </c>
      <c r="G3728" s="1243">
        <f t="shared" si="719"/>
        <v>48924.4</v>
      </c>
      <c r="I3728" s="378">
        <f t="shared" si="714"/>
        <v>17883.359999999961</v>
      </c>
      <c r="J3728" s="376">
        <f t="shared" si="715"/>
        <v>8.9999999999999993E-3</v>
      </c>
      <c r="K3728" s="1243">
        <f>ROUND((G3728+D3728)/2*J3728/12,0)</f>
        <v>37</v>
      </c>
      <c r="L3728" s="1243">
        <f t="shared" si="720"/>
        <v>0</v>
      </c>
      <c r="M3728" s="1243">
        <f t="shared" si="716"/>
        <v>0</v>
      </c>
      <c r="N3728" s="1243">
        <v>0</v>
      </c>
      <c r="O3728" s="1243">
        <f t="shared" si="717"/>
        <v>17920.359999999961</v>
      </c>
    </row>
    <row r="3729" spans="1:15">
      <c r="A3729" s="361">
        <f t="shared" si="718"/>
        <v>6</v>
      </c>
      <c r="B3729" s="365">
        <v>392.21</v>
      </c>
      <c r="C3729" s="358" t="s">
        <v>415</v>
      </c>
      <c r="D3729" s="1243">
        <f t="shared" si="713"/>
        <v>24462.2</v>
      </c>
      <c r="E3729" s="1243">
        <v>0</v>
      </c>
      <c r="F3729" s="1243">
        <v>0</v>
      </c>
      <c r="G3729" s="1243">
        <f t="shared" si="719"/>
        <v>24462.2</v>
      </c>
      <c r="I3729" s="378">
        <f t="shared" si="714"/>
        <v>45078.01</v>
      </c>
      <c r="J3729" s="376">
        <f t="shared" si="715"/>
        <v>8.9999999999999993E-3</v>
      </c>
      <c r="K3729" s="1243">
        <f>ROUND((G3729+D3729)/2*J3729/12,0)</f>
        <v>18</v>
      </c>
      <c r="L3729" s="1243">
        <f t="shared" si="720"/>
        <v>0</v>
      </c>
      <c r="M3729" s="1243">
        <f t="shared" si="716"/>
        <v>0</v>
      </c>
      <c r="N3729" s="1243">
        <v>0</v>
      </c>
      <c r="O3729" s="1243">
        <f t="shared" si="717"/>
        <v>45096.01</v>
      </c>
    </row>
    <row r="3730" spans="1:15">
      <c r="A3730" s="361">
        <f t="shared" si="718"/>
        <v>7</v>
      </c>
      <c r="B3730" s="365">
        <v>393</v>
      </c>
      <c r="C3730" s="358" t="s">
        <v>416</v>
      </c>
      <c r="D3730" s="1243">
        <f t="shared" si="713"/>
        <v>0</v>
      </c>
      <c r="E3730" s="1243">
        <v>0</v>
      </c>
      <c r="F3730" s="1243">
        <v>0</v>
      </c>
      <c r="G3730" s="1243">
        <f t="shared" si="719"/>
        <v>0</v>
      </c>
      <c r="I3730" s="378">
        <f t="shared" si="714"/>
        <v>0</v>
      </c>
      <c r="J3730" s="376" t="str">
        <f t="shared" si="715"/>
        <v>Amort.</v>
      </c>
      <c r="K3730" s="1243">
        <v>0</v>
      </c>
      <c r="L3730" s="1243">
        <f t="shared" si="720"/>
        <v>0</v>
      </c>
      <c r="M3730" s="1243">
        <f t="shared" si="716"/>
        <v>0</v>
      </c>
      <c r="N3730" s="1243">
        <v>0</v>
      </c>
      <c r="O3730" s="1243">
        <f t="shared" si="717"/>
        <v>0</v>
      </c>
    </row>
    <row r="3731" spans="1:15">
      <c r="A3731" s="361">
        <f t="shared" si="718"/>
        <v>8</v>
      </c>
      <c r="B3731" s="365">
        <v>394.1</v>
      </c>
      <c r="C3731" s="358" t="s">
        <v>417</v>
      </c>
      <c r="D3731" s="1243">
        <f t="shared" si="713"/>
        <v>9739</v>
      </c>
      <c r="E3731" s="1243">
        <v>0</v>
      </c>
      <c r="F3731" s="1243">
        <v>0</v>
      </c>
      <c r="G3731" s="1243">
        <f t="shared" si="719"/>
        <v>9739</v>
      </c>
      <c r="I3731" s="378">
        <f t="shared" si="714"/>
        <v>4716.0700000000006</v>
      </c>
      <c r="J3731" s="376">
        <f t="shared" si="715"/>
        <v>0.04</v>
      </c>
      <c r="K3731" s="1243">
        <f>ROUND((G3731+D3731)/2*J3731/12,0)</f>
        <v>32</v>
      </c>
      <c r="L3731" s="1243">
        <f t="shared" si="720"/>
        <v>0</v>
      </c>
      <c r="M3731" s="1243">
        <f t="shared" si="716"/>
        <v>0</v>
      </c>
      <c r="N3731" s="1243">
        <v>0</v>
      </c>
      <c r="O3731" s="1243">
        <f t="shared" si="717"/>
        <v>4748.0700000000006</v>
      </c>
    </row>
    <row r="3732" spans="1:15">
      <c r="A3732" s="361">
        <f t="shared" si="718"/>
        <v>9</v>
      </c>
      <c r="B3732" s="365">
        <v>394.11</v>
      </c>
      <c r="C3732" s="358" t="s">
        <v>418</v>
      </c>
      <c r="D3732" s="1243">
        <f t="shared" si="713"/>
        <v>0</v>
      </c>
      <c r="E3732" s="1243">
        <v>0</v>
      </c>
      <c r="F3732" s="1243">
        <v>0</v>
      </c>
      <c r="G3732" s="1243">
        <f t="shared" si="719"/>
        <v>0</v>
      </c>
      <c r="I3732" s="378">
        <f t="shared" si="714"/>
        <v>-26071.5</v>
      </c>
      <c r="J3732" s="376">
        <f t="shared" si="715"/>
        <v>0.04</v>
      </c>
      <c r="K3732" s="1243">
        <f>ROUND((G3732+D3732)/2*J3732/12,0)</f>
        <v>0</v>
      </c>
      <c r="L3732" s="1243">
        <f t="shared" si="720"/>
        <v>0</v>
      </c>
      <c r="M3732" s="1243">
        <f t="shared" si="716"/>
        <v>0</v>
      </c>
      <c r="N3732" s="1243">
        <v>0</v>
      </c>
      <c r="O3732" s="1243">
        <f t="shared" si="717"/>
        <v>-26071.5</v>
      </c>
    </row>
    <row r="3733" spans="1:15">
      <c r="A3733" s="361">
        <f t="shared" si="718"/>
        <v>10</v>
      </c>
      <c r="B3733" s="365">
        <v>394.13</v>
      </c>
      <c r="C3733" s="358" t="s">
        <v>515</v>
      </c>
      <c r="D3733" s="1243">
        <f t="shared" si="713"/>
        <v>0</v>
      </c>
      <c r="E3733" s="1243">
        <v>0</v>
      </c>
      <c r="F3733" s="1243">
        <v>0</v>
      </c>
      <c r="G3733" s="1243">
        <f t="shared" si="719"/>
        <v>0</v>
      </c>
      <c r="I3733" s="378">
        <f t="shared" si="714"/>
        <v>22157.360000000001</v>
      </c>
      <c r="J3733" s="376" t="str">
        <f t="shared" si="715"/>
        <v>Amort.</v>
      </c>
      <c r="K3733" s="1243">
        <v>0</v>
      </c>
      <c r="L3733" s="1243">
        <f t="shared" si="720"/>
        <v>-789</v>
      </c>
      <c r="M3733" s="1243">
        <f t="shared" si="716"/>
        <v>0</v>
      </c>
      <c r="N3733" s="1243">
        <v>0</v>
      </c>
      <c r="O3733" s="1243">
        <f t="shared" si="717"/>
        <v>21368.36</v>
      </c>
    </row>
    <row r="3734" spans="1:15">
      <c r="A3734" s="361">
        <f t="shared" si="718"/>
        <v>11</v>
      </c>
      <c r="B3734" s="365">
        <v>394.2</v>
      </c>
      <c r="C3734" s="358" t="s">
        <v>420</v>
      </c>
      <c r="D3734" s="1243">
        <f t="shared" si="713"/>
        <v>0</v>
      </c>
      <c r="E3734" s="1243">
        <v>0</v>
      </c>
      <c r="F3734" s="1243">
        <v>0</v>
      </c>
      <c r="G3734" s="1243">
        <f>SUM(D3734:F3734)</f>
        <v>0</v>
      </c>
      <c r="I3734" s="378">
        <f t="shared" si="714"/>
        <v>185.21</v>
      </c>
      <c r="J3734" s="376">
        <f t="shared" si="715"/>
        <v>0.04</v>
      </c>
      <c r="K3734" s="1243">
        <f>ROUND((G3734+D3734)/2*J3734/12,0)</f>
        <v>0</v>
      </c>
      <c r="L3734" s="1243">
        <f t="shared" si="720"/>
        <v>0</v>
      </c>
      <c r="M3734" s="1243">
        <f t="shared" si="716"/>
        <v>0</v>
      </c>
      <c r="N3734" s="1243">
        <v>0</v>
      </c>
      <c r="O3734" s="1243">
        <f t="shared" si="717"/>
        <v>185.21</v>
      </c>
    </row>
    <row r="3735" spans="1:15">
      <c r="A3735" s="361">
        <f t="shared" si="718"/>
        <v>12</v>
      </c>
      <c r="B3735" s="365">
        <v>394.3</v>
      </c>
      <c r="C3735" s="358" t="s">
        <v>1602</v>
      </c>
      <c r="D3735" s="1243">
        <f t="shared" si="713"/>
        <v>6512196.0700000003</v>
      </c>
      <c r="E3735" s="1243">
        <v>344284.49</v>
      </c>
      <c r="F3735" s="1243">
        <v>-80644.62</v>
      </c>
      <c r="G3735" s="1243">
        <f>SUM(D3735:F3735)</f>
        <v>6775835.9400000004</v>
      </c>
      <c r="I3735" s="378">
        <f t="shared" si="714"/>
        <v>1376217.1699999997</v>
      </c>
      <c r="J3735" s="376">
        <f t="shared" si="715"/>
        <v>0.04</v>
      </c>
      <c r="K3735" s="1243">
        <f>ROUND((G3735+D3735)/2*J3735/12,0)</f>
        <v>22147</v>
      </c>
      <c r="L3735" s="1243">
        <f t="shared" si="720"/>
        <v>0</v>
      </c>
      <c r="M3735" s="1243">
        <f t="shared" si="716"/>
        <v>-80644.62</v>
      </c>
      <c r="N3735" s="1243">
        <v>0</v>
      </c>
      <c r="O3735" s="1243">
        <f t="shared" si="717"/>
        <v>1317719.5499999998</v>
      </c>
    </row>
    <row r="3736" spans="1:15">
      <c r="A3736" s="361">
        <f t="shared" si="718"/>
        <v>13</v>
      </c>
      <c r="B3736" s="365">
        <v>395</v>
      </c>
      <c r="C3736" s="358" t="s">
        <v>422</v>
      </c>
      <c r="D3736" s="1243">
        <f t="shared" si="713"/>
        <v>0</v>
      </c>
      <c r="E3736" s="1243">
        <v>0</v>
      </c>
      <c r="F3736" s="1243">
        <v>0</v>
      </c>
      <c r="G3736" s="1243">
        <f>SUM(D3736:F3736)</f>
        <v>0</v>
      </c>
      <c r="I3736" s="378">
        <f t="shared" si="714"/>
        <v>-155.69999999999845</v>
      </c>
      <c r="J3736" s="376">
        <f t="shared" si="715"/>
        <v>0.05</v>
      </c>
      <c r="K3736" s="1243">
        <f>ROUND((G3736+D3736)/2*J3736/12,0)</f>
        <v>0</v>
      </c>
      <c r="L3736" s="1243">
        <f t="shared" si="720"/>
        <v>-2.75</v>
      </c>
      <c r="M3736" s="1243">
        <f t="shared" si="716"/>
        <v>0</v>
      </c>
      <c r="N3736" s="1243">
        <v>0</v>
      </c>
      <c r="O3736" s="1243">
        <f t="shared" si="717"/>
        <v>-158.44999999999845</v>
      </c>
    </row>
    <row r="3737" spans="1:15">
      <c r="A3737" s="361">
        <f t="shared" si="718"/>
        <v>14</v>
      </c>
      <c r="B3737" s="365">
        <v>396</v>
      </c>
      <c r="C3737" s="358" t="s">
        <v>423</v>
      </c>
      <c r="D3737" s="1243">
        <f t="shared" si="713"/>
        <v>185547</v>
      </c>
      <c r="E3737" s="1243">
        <v>0</v>
      </c>
      <c r="F3737" s="1243">
        <v>0</v>
      </c>
      <c r="G3737" s="1243">
        <f>SUM(D3737:F3737)</f>
        <v>185547</v>
      </c>
      <c r="I3737" s="378">
        <f t="shared" si="714"/>
        <v>171938.14</v>
      </c>
      <c r="J3737" s="376">
        <f t="shared" si="715"/>
        <v>0</v>
      </c>
      <c r="K3737" s="1243">
        <f>ROUND((G3737+D3737)/2*J3737/12,0)</f>
        <v>0</v>
      </c>
      <c r="L3737" s="1243">
        <f t="shared" si="720"/>
        <v>0</v>
      </c>
      <c r="M3737" s="1243">
        <f t="shared" si="716"/>
        <v>0</v>
      </c>
      <c r="N3737" s="1243">
        <v>0</v>
      </c>
      <c r="O3737" s="1243">
        <f t="shared" si="717"/>
        <v>171938.14</v>
      </c>
    </row>
    <row r="3738" spans="1:15">
      <c r="A3738" s="361">
        <f t="shared" si="718"/>
        <v>15</v>
      </c>
      <c r="B3738" s="365">
        <v>398</v>
      </c>
      <c r="C3738" s="358" t="s">
        <v>424</v>
      </c>
      <c r="D3738" s="1244">
        <f t="shared" si="713"/>
        <v>148028.20000000001</v>
      </c>
      <c r="E3738" s="1244">
        <v>0</v>
      </c>
      <c r="F3738" s="1244">
        <v>0</v>
      </c>
      <c r="G3738" s="1244">
        <f>SUM(D3738:F3738)</f>
        <v>148028.20000000001</v>
      </c>
      <c r="I3738" s="924">
        <f t="shared" si="714"/>
        <v>91866.883333333317</v>
      </c>
      <c r="J3738" s="376">
        <f t="shared" si="715"/>
        <v>6.6699999999999995E-2</v>
      </c>
      <c r="K3738" s="1244">
        <f>ROUND((G3738+D3738)/2*J3738/12,0)</f>
        <v>823</v>
      </c>
      <c r="L3738" s="1244">
        <f t="shared" si="720"/>
        <v>265.16666666666669</v>
      </c>
      <c r="M3738" s="1244">
        <f t="shared" si="716"/>
        <v>0</v>
      </c>
      <c r="N3738" s="1244">
        <v>0</v>
      </c>
      <c r="O3738" s="1244">
        <f t="shared" si="717"/>
        <v>92955.049999999988</v>
      </c>
    </row>
    <row r="3739" spans="1:15">
      <c r="A3739" s="361">
        <f t="shared" si="718"/>
        <v>16</v>
      </c>
      <c r="B3739" s="367"/>
      <c r="C3739" s="358" t="s">
        <v>425</v>
      </c>
      <c r="D3739" s="1243">
        <f>SUM(D3725:D3738)</f>
        <v>7887767.7800000003</v>
      </c>
      <c r="E3739" s="1243">
        <f>SUM(E3725:E3738)</f>
        <v>344284.49</v>
      </c>
      <c r="F3739" s="1243">
        <f>SUM(F3725:F3738)</f>
        <v>-80644.62</v>
      </c>
      <c r="G3739" s="1243">
        <f>SUM(G3725:G3738)</f>
        <v>8151407.6500000004</v>
      </c>
      <c r="I3739" s="369">
        <f>SUM(I3725:I3738)</f>
        <v>1999407.2199999997</v>
      </c>
      <c r="J3739" s="369"/>
      <c r="K3739" s="1243">
        <f>SUM(K3725:K3738)</f>
        <v>27517</v>
      </c>
      <c r="L3739" s="1243">
        <f>SUM(L3725:L3738)</f>
        <v>5270.0000000000009</v>
      </c>
      <c r="M3739" s="1243">
        <f>SUM(M3725:M3738)</f>
        <v>-80644.62</v>
      </c>
      <c r="N3739" s="1243">
        <f>SUM(N3725:N3738)</f>
        <v>0</v>
      </c>
      <c r="O3739" s="1243">
        <f>SUM(O3725:O3738)</f>
        <v>1951549.5999999999</v>
      </c>
    </row>
    <row r="3740" spans="1:15">
      <c r="A3740" s="361"/>
      <c r="I3740" s="369"/>
      <c r="J3740" s="369"/>
      <c r="K3740" s="1243"/>
      <c r="L3740" s="1243"/>
      <c r="M3740" s="1243"/>
      <c r="N3740" s="1243"/>
      <c r="O3740" s="1243"/>
    </row>
    <row r="3741" spans="1:15">
      <c r="A3741" s="361">
        <f>A3739+1</f>
        <v>17</v>
      </c>
      <c r="B3741" s="363" t="s">
        <v>1038</v>
      </c>
      <c r="C3741" s="362"/>
      <c r="I3741" s="369"/>
      <c r="J3741" s="369"/>
      <c r="K3741" s="1243"/>
      <c r="L3741" s="1243"/>
      <c r="M3741" s="1243"/>
      <c r="N3741" s="1243"/>
      <c r="O3741" s="1243"/>
    </row>
    <row r="3742" spans="1:15">
      <c r="A3742" s="361">
        <f>A3741+1</f>
        <v>18</v>
      </c>
      <c r="B3742" s="365">
        <v>378.21</v>
      </c>
      <c r="C3742" s="358" t="s">
        <v>1037</v>
      </c>
      <c r="D3742" s="1244">
        <f>G3628</f>
        <v>-777092</v>
      </c>
      <c r="E3742" s="1244">
        <v>0</v>
      </c>
      <c r="F3742" s="1244">
        <v>0</v>
      </c>
      <c r="G3742" s="1244">
        <f>SUM(D3742:F3742)</f>
        <v>-777092</v>
      </c>
      <c r="I3742" s="923">
        <f>O3628</f>
        <v>-247253.74000000037</v>
      </c>
      <c r="J3742" s="376" t="str">
        <f>$J$1690</f>
        <v>Amort.</v>
      </c>
      <c r="K3742" s="1244">
        <f>$K$1348</f>
        <v>-2144.17</v>
      </c>
      <c r="L3742" s="1244">
        <v>0</v>
      </c>
      <c r="M3742" s="1244">
        <f>F3742</f>
        <v>0</v>
      </c>
      <c r="N3742" s="1244">
        <v>0</v>
      </c>
      <c r="O3742" s="1244">
        <f>I3742+K3742+L3742+M3742+N3742</f>
        <v>-249397.91000000038</v>
      </c>
    </row>
    <row r="3743" spans="1:15">
      <c r="A3743" s="361">
        <f>A3742+1</f>
        <v>19</v>
      </c>
      <c r="B3743" s="370"/>
      <c r="C3743" s="358" t="s">
        <v>1579</v>
      </c>
      <c r="D3743" s="1243">
        <f>SUM(D3742)</f>
        <v>-777092</v>
      </c>
      <c r="E3743" s="1243">
        <f>SUM(E3742)</f>
        <v>0</v>
      </c>
      <c r="F3743" s="1243">
        <f>SUM(F3742)</f>
        <v>0</v>
      </c>
      <c r="G3743" s="1243">
        <f>SUM(G3742)</f>
        <v>-777092</v>
      </c>
      <c r="I3743" s="369">
        <f>SUM(I3742)</f>
        <v>-247253.74000000037</v>
      </c>
      <c r="J3743" s="369"/>
      <c r="K3743" s="1243">
        <f>SUM(K3742)</f>
        <v>-2144.17</v>
      </c>
      <c r="L3743" s="1243">
        <f>SUM(L3742)</f>
        <v>0</v>
      </c>
      <c r="M3743" s="1243">
        <f>SUM(M3742)</f>
        <v>0</v>
      </c>
      <c r="N3743" s="1243">
        <f>SUM(N3742)</f>
        <v>0</v>
      </c>
      <c r="O3743" s="1243">
        <f>SUM(O3742)</f>
        <v>-249397.91000000038</v>
      </c>
    </row>
    <row r="3744" spans="1:15">
      <c r="A3744" s="361"/>
      <c r="B3744" s="370"/>
      <c r="D3744" s="1243"/>
      <c r="E3744" s="1243"/>
      <c r="F3744" s="1243"/>
      <c r="G3744" s="1243"/>
      <c r="I3744" s="369"/>
      <c r="J3744" s="369"/>
      <c r="K3744" s="1243"/>
      <c r="L3744" s="1243"/>
      <c r="M3744" s="1243"/>
      <c r="N3744" s="1243"/>
      <c r="O3744" s="1243"/>
    </row>
    <row r="3745" spans="1:15">
      <c r="A3745" s="361">
        <f>A3743+1</f>
        <v>20</v>
      </c>
      <c r="B3745" s="370"/>
      <c r="C3745" s="358" t="s">
        <v>2037</v>
      </c>
      <c r="D3745" s="1243">
        <f>D3672+D3705+D3739+D3743</f>
        <v>779952381.12919116</v>
      </c>
      <c r="E3745" s="1243">
        <f>E3672+E3705+E3739+E3743</f>
        <v>2150502.6378697501</v>
      </c>
      <c r="F3745" s="1243">
        <f>F3672+F3705+F3739+F3743</f>
        <v>-358672.57543800649</v>
      </c>
      <c r="G3745" s="1243">
        <f>G3672+G3705+G3739+G3743</f>
        <v>781744211.19162297</v>
      </c>
      <c r="I3745" s="369">
        <f>I3672+I3705+I3739+I3743</f>
        <v>204813180.83199874</v>
      </c>
      <c r="J3745" s="369"/>
      <c r="K3745" s="1243">
        <f>K3672+K3705+K3739+K3743</f>
        <v>2233122.1344941002</v>
      </c>
      <c r="L3745" s="1243">
        <f>L3672+L3705+L3739+L3743</f>
        <v>5270.0000000000009</v>
      </c>
      <c r="M3745" s="1243">
        <f>M3672+M3705+M3739+M3743</f>
        <v>-358672.57543800649</v>
      </c>
      <c r="N3745" s="1243">
        <f>N3672+N3705+N3739+N3743</f>
        <v>-115201.59264885314</v>
      </c>
      <c r="O3745" s="1243">
        <f>O3672+O3705+O3739+O3743</f>
        <v>206577698.79840603</v>
      </c>
    </row>
    <row r="3746" spans="1:15">
      <c r="A3746" s="361"/>
      <c r="B3746" s="370"/>
      <c r="D3746" s="1243"/>
      <c r="E3746" s="1243"/>
      <c r="F3746" s="1243"/>
      <c r="G3746" s="1243"/>
      <c r="I3746" s="369"/>
      <c r="J3746" s="369"/>
      <c r="K3746" s="1243"/>
      <c r="L3746" s="1243"/>
      <c r="M3746" s="1243"/>
      <c r="N3746" s="1243"/>
      <c r="O3746" s="1243"/>
    </row>
    <row r="3747" spans="1:15">
      <c r="A3747" s="361">
        <f>A3745+1</f>
        <v>21</v>
      </c>
      <c r="B3747" s="370"/>
      <c r="C3747" s="358" t="s">
        <v>2038</v>
      </c>
      <c r="D3747" s="1243">
        <v>0</v>
      </c>
      <c r="E3747" s="1249">
        <v>0</v>
      </c>
      <c r="F3747" s="1249">
        <v>0</v>
      </c>
      <c r="G3747" s="1249">
        <f>SUM(D3747:F3747)</f>
        <v>0</v>
      </c>
      <c r="I3747" s="369">
        <f>O3633</f>
        <v>-6687302.71</v>
      </c>
      <c r="J3747" s="369"/>
      <c r="K3747" s="1243"/>
      <c r="L3747" s="1243"/>
      <c r="M3747" s="1243"/>
      <c r="N3747" s="1243"/>
      <c r="O3747" s="1243">
        <f>I3747+K3747+L3747+M3747+N3747</f>
        <v>-6687302.71</v>
      </c>
    </row>
    <row r="3748" spans="1:15">
      <c r="A3748" s="361"/>
      <c r="B3748" s="370"/>
      <c r="C3748" s="368"/>
      <c r="D3748" s="1243"/>
      <c r="E3748" s="1243"/>
      <c r="F3748" s="1243"/>
      <c r="G3748" s="1243"/>
      <c r="I3748" s="369"/>
      <c r="J3748" s="369"/>
      <c r="K3748" s="1243"/>
      <c r="L3748" s="1243"/>
      <c r="M3748" s="1243"/>
      <c r="N3748" s="1243"/>
      <c r="O3748" s="1243"/>
    </row>
    <row r="3749" spans="1:15">
      <c r="A3749" s="361">
        <f>A3747+1</f>
        <v>22</v>
      </c>
      <c r="C3749" s="358" t="s">
        <v>1603</v>
      </c>
      <c r="D3749" s="1247">
        <f>D3745+D3747</f>
        <v>779952381.12919116</v>
      </c>
      <c r="E3749" s="1247">
        <f t="shared" ref="E3749:O3749" si="721">E3745+E3747</f>
        <v>2150502.6378697501</v>
      </c>
      <c r="F3749" s="1247">
        <f t="shared" si="721"/>
        <v>-358672.57543800649</v>
      </c>
      <c r="G3749" s="1247">
        <f t="shared" si="721"/>
        <v>781744211.19162297</v>
      </c>
      <c r="I3749" s="379">
        <f t="shared" si="721"/>
        <v>198125878.12199873</v>
      </c>
      <c r="J3749" s="369"/>
      <c r="K3749" s="1247">
        <f t="shared" si="721"/>
        <v>2233122.1344941002</v>
      </c>
      <c r="L3749" s="1247">
        <f t="shared" si="721"/>
        <v>5270.0000000000009</v>
      </c>
      <c r="M3749" s="1247">
        <f t="shared" si="721"/>
        <v>-358672.57543800649</v>
      </c>
      <c r="N3749" s="1247">
        <f t="shared" si="721"/>
        <v>-115201.59264885314</v>
      </c>
      <c r="O3749" s="1247">
        <f t="shared" si="721"/>
        <v>199890396.08840603</v>
      </c>
    </row>
    <row r="3750" spans="1:15">
      <c r="A3750" s="361"/>
      <c r="D3750" s="1243"/>
      <c r="E3750" s="1243"/>
      <c r="F3750" s="1243"/>
      <c r="G3750" s="1243"/>
      <c r="I3750" s="369"/>
      <c r="J3750" s="369"/>
      <c r="K3750" s="1243"/>
      <c r="L3750" s="1243"/>
      <c r="M3750" s="1243"/>
      <c r="N3750" s="1243"/>
      <c r="O3750" s="1243"/>
    </row>
    <row r="3751" spans="1:15">
      <c r="A3751" s="361"/>
      <c r="D3751" s="1243"/>
      <c r="E3751" s="1243"/>
      <c r="F3751" s="1243"/>
      <c r="G3751" s="1243"/>
      <c r="I3751" s="369"/>
      <c r="J3751" s="369"/>
      <c r="K3751" s="1243"/>
      <c r="L3751" s="1243"/>
      <c r="M3751" s="1243"/>
      <c r="N3751" s="1243"/>
      <c r="O3751" s="1243"/>
    </row>
    <row r="3752" spans="1:15">
      <c r="A3752" s="361">
        <f>A3749+1</f>
        <v>23</v>
      </c>
      <c r="B3752" s="363" t="s">
        <v>1774</v>
      </c>
      <c r="D3752" s="1243"/>
      <c r="E3752" s="1243"/>
      <c r="F3752" s="1243"/>
      <c r="G3752" s="1243"/>
      <c r="J3752" s="369"/>
      <c r="K3752" s="1243"/>
      <c r="L3752" s="1243"/>
      <c r="M3752" s="1243"/>
      <c r="N3752" s="1243"/>
      <c r="O3752" s="1243"/>
    </row>
    <row r="3753" spans="1:15">
      <c r="A3753" s="361">
        <f t="shared" ref="A3753:A3758" si="722">A3752+1</f>
        <v>24</v>
      </c>
      <c r="B3753" s="365">
        <v>376</v>
      </c>
      <c r="C3753" s="358" t="s">
        <v>1775</v>
      </c>
      <c r="D3753" s="1243">
        <f>G3639</f>
        <v>63598349.400734186</v>
      </c>
      <c r="E3753" s="1243">
        <f>'WPB-2.1.D SMRP'!E1490</f>
        <v>3023718.9700568779</v>
      </c>
      <c r="F3753" s="1243">
        <f>'WPB-2.1.D SMRP'!F1490</f>
        <v>-56357.78</v>
      </c>
      <c r="G3753" s="1243">
        <f>SUM(D3753:F3753)</f>
        <v>66565710.590791062</v>
      </c>
      <c r="I3753" s="369">
        <f>O3639</f>
        <v>832697.10567250184</v>
      </c>
      <c r="J3753" s="376">
        <f>+J3639</f>
        <v>1.7999999999999999E-2</v>
      </c>
      <c r="K3753" s="1243">
        <f>'WPB-2.1.D SMRP'!K1490</f>
        <v>97623.039999999994</v>
      </c>
      <c r="L3753" s="1243">
        <v>0</v>
      </c>
      <c r="M3753" s="1243">
        <f>F3753</f>
        <v>-56357.78</v>
      </c>
      <c r="N3753" s="1243">
        <f>'WPB-2.1.D SMRP'!N1490</f>
        <v>-1415.82645274365</v>
      </c>
      <c r="O3753" s="1243">
        <f>I3753+K3753+L3753+M3753+N3753</f>
        <v>872546.53921975824</v>
      </c>
    </row>
    <row r="3754" spans="1:15">
      <c r="A3754" s="361">
        <f t="shared" si="722"/>
        <v>25</v>
      </c>
      <c r="B3754" s="365">
        <v>378.2</v>
      </c>
      <c r="C3754" s="358" t="s">
        <v>1776</v>
      </c>
      <c r="D3754" s="1243">
        <f>G3640</f>
        <v>599780.62011021946</v>
      </c>
      <c r="E3754" s="1243">
        <f>'WPB-2.1.D SMRP'!E1491</f>
        <v>0</v>
      </c>
      <c r="F3754" s="1243">
        <f>'WPB-2.1.D SMRP'!F1491</f>
        <v>0</v>
      </c>
      <c r="G3754" s="1243">
        <f>SUM(D3754:F3754)</f>
        <v>599780.62011021946</v>
      </c>
      <c r="I3754" s="369">
        <f>O3640</f>
        <v>-931582.15754116012</v>
      </c>
      <c r="J3754" s="376">
        <f>+J3640</f>
        <v>3.3099999999999997E-2</v>
      </c>
      <c r="K3754" s="1243">
        <f>'WPB-2.1.D SMRP'!K1491</f>
        <v>1654.39</v>
      </c>
      <c r="L3754" s="1243">
        <v>0</v>
      </c>
      <c r="M3754" s="1243">
        <f>F3754</f>
        <v>0</v>
      </c>
      <c r="N3754" s="1243">
        <f>'WPB-2.1.D SMRP'!N1491</f>
        <v>0</v>
      </c>
      <c r="O3754" s="1243">
        <f>I3754+K3754+L3754+M3754+N3754</f>
        <v>-929927.76754116011</v>
      </c>
    </row>
    <row r="3755" spans="1:15">
      <c r="A3755" s="361">
        <f t="shared" si="722"/>
        <v>26</v>
      </c>
      <c r="B3755" s="365">
        <v>380</v>
      </c>
      <c r="C3755" s="358" t="s">
        <v>1777</v>
      </c>
      <c r="D3755" s="1243">
        <f>G3641</f>
        <v>27165322.720041122</v>
      </c>
      <c r="E3755" s="1243">
        <f>'WPB-2.1.D SMRP'!E1492</f>
        <v>905269.81953834044</v>
      </c>
      <c r="F3755" s="1243">
        <f>'WPB-2.1.D SMRP'!F1492</f>
        <v>-228809.31679669919</v>
      </c>
      <c r="G3755" s="1243">
        <f>SUM(D3755:F3755)</f>
        <v>27841783.222782765</v>
      </c>
      <c r="I3755" s="369">
        <f>O3641</f>
        <v>-13056202.886462623</v>
      </c>
      <c r="J3755" s="376">
        <f>+J3641</f>
        <v>5.1799999999999999E-2</v>
      </c>
      <c r="K3755" s="1243">
        <f>'WPB-2.1.D SMRP'!K1492</f>
        <v>118723.67</v>
      </c>
      <c r="L3755" s="1243">
        <v>0</v>
      </c>
      <c r="M3755" s="1243">
        <f>F3755</f>
        <v>-228809.31679669919</v>
      </c>
      <c r="N3755" s="1243">
        <f>'WPB-2.1.D SMRP'!N1492</f>
        <v>-86191.540898403196</v>
      </c>
      <c r="O3755" s="1243">
        <f>I3755+K3755+L3755+M3755+N3755</f>
        <v>-13252480.074157726</v>
      </c>
    </row>
    <row r="3756" spans="1:15">
      <c r="A3756" s="361">
        <f t="shared" si="722"/>
        <v>27</v>
      </c>
      <c r="B3756" s="365">
        <v>382</v>
      </c>
      <c r="C3756" s="358" t="s">
        <v>1778</v>
      </c>
      <c r="D3756" s="1243">
        <f>G3642</f>
        <v>246088.81203294941</v>
      </c>
      <c r="E3756" s="1243">
        <f>'WPB-2.1.D SMRP'!E1493</f>
        <v>9870.2702363001463</v>
      </c>
      <c r="F3756" s="1243">
        <f>'WPB-2.1.D SMRP'!F1493</f>
        <v>-644.56915429046569</v>
      </c>
      <c r="G3756" s="1243">
        <f>SUM(D3756:F3756)</f>
        <v>255314.51311495912</v>
      </c>
      <c r="I3756" s="369">
        <f>O3642</f>
        <v>-75389.567320254806</v>
      </c>
      <c r="J3756" s="376">
        <f>+J3642</f>
        <v>2.2800000000000001E-2</v>
      </c>
      <c r="K3756" s="1243">
        <f>'WPB-2.1.D SMRP'!K1493</f>
        <v>476.33</v>
      </c>
      <c r="L3756" s="1243">
        <v>0</v>
      </c>
      <c r="M3756" s="1243">
        <f>F3756</f>
        <v>-644.56915429046569</v>
      </c>
      <c r="N3756" s="1243">
        <f>'WPB-2.1.D SMRP'!N1493</f>
        <v>0</v>
      </c>
      <c r="O3756" s="1243">
        <f>I3756+K3756+L3756+M3756+N3756</f>
        <v>-75557.806474545272</v>
      </c>
    </row>
    <row r="3757" spans="1:15">
      <c r="A3757" s="361">
        <f t="shared" si="722"/>
        <v>28</v>
      </c>
      <c r="B3757" s="365">
        <v>383</v>
      </c>
      <c r="C3757" s="358" t="s">
        <v>1779</v>
      </c>
      <c r="D3757" s="1244">
        <f>G3643</f>
        <v>177532.83592384632</v>
      </c>
      <c r="E3757" s="1244">
        <f>'WPB-2.1.D SMRP'!E1494</f>
        <v>7230.8391761710263</v>
      </c>
      <c r="F3757" s="1244">
        <f>'WPB-2.1.D SMRP'!F1494</f>
        <v>-132.28450587415054</v>
      </c>
      <c r="G3757" s="1244">
        <f>SUM(D3757:F3757)</f>
        <v>184631.39059414319</v>
      </c>
      <c r="I3757" s="923">
        <f>O3643</f>
        <v>-7163.0720052157221</v>
      </c>
      <c r="J3757" s="376">
        <f>+J3643</f>
        <v>2.2200000000000001E-2</v>
      </c>
      <c r="K3757" s="1244">
        <f>'WPB-2.1.D SMRP'!K1494</f>
        <v>335</v>
      </c>
      <c r="L3757" s="1244">
        <v>0</v>
      </c>
      <c r="M3757" s="1244">
        <f>F3757</f>
        <v>-132.28450587415054</v>
      </c>
      <c r="N3757" s="1244">
        <f>'WPB-2.1.D SMRP'!N1494</f>
        <v>0</v>
      </c>
      <c r="O3757" s="1244">
        <f>I3757+K3757+L3757+M3757+N3757</f>
        <v>-6960.3565110898726</v>
      </c>
    </row>
    <row r="3758" spans="1:15">
      <c r="A3758" s="361">
        <f t="shared" si="722"/>
        <v>29</v>
      </c>
      <c r="C3758" s="358" t="s">
        <v>1780</v>
      </c>
      <c r="D3758" s="1243">
        <f>SUM(D3753:D3757)</f>
        <v>91787074.388842329</v>
      </c>
      <c r="E3758" s="1243">
        <f>SUM(E3753:E3757)</f>
        <v>3946089.8990076897</v>
      </c>
      <c r="F3758" s="1243">
        <f>SUM(F3753:F3757)</f>
        <v>-285943.95045686385</v>
      </c>
      <c r="G3758" s="1243">
        <f>SUM(G3753:G3757)</f>
        <v>95447220.337393135</v>
      </c>
      <c r="I3758" s="369">
        <f>SUM(I3753:I3757)</f>
        <v>-13237640.577656753</v>
      </c>
      <c r="J3758" s="369"/>
      <c r="K3758" s="1243">
        <f>SUM(K3753:K3757)</f>
        <v>218812.42999999996</v>
      </c>
      <c r="L3758" s="1243">
        <f>SUM(L3753:L3757)</f>
        <v>0</v>
      </c>
      <c r="M3758" s="1243">
        <f>SUM(M3753:M3757)</f>
        <v>-285943.95045686385</v>
      </c>
      <c r="N3758" s="1243">
        <f>SUM(N3753:N3757)</f>
        <v>-87607.367351146851</v>
      </c>
      <c r="O3758" s="1243">
        <f>SUM(O3753:O3757)</f>
        <v>-13392379.465464763</v>
      </c>
    </row>
    <row r="3759" spans="1:15">
      <c r="A3759" s="361"/>
      <c r="D3759" s="1243"/>
      <c r="E3759" s="1243"/>
      <c r="F3759" s="1243"/>
      <c r="G3759" s="1243"/>
      <c r="I3759" s="369"/>
      <c r="J3759" s="369"/>
      <c r="K3759" s="1243"/>
      <c r="L3759" s="1243"/>
      <c r="M3759" s="1243"/>
      <c r="N3759" s="1243"/>
      <c r="O3759" s="1243"/>
    </row>
    <row r="3760" spans="1:15" ht="13.5" thickBot="1">
      <c r="A3760" s="361">
        <f>A3758+1</f>
        <v>30</v>
      </c>
      <c r="C3760" s="358" t="s">
        <v>447</v>
      </c>
      <c r="D3760" s="1248">
        <f>D3749+D3758</f>
        <v>871739455.5180335</v>
      </c>
      <c r="E3760" s="1248">
        <f>E3749+E3758</f>
        <v>6096592.5368774403</v>
      </c>
      <c r="F3760" s="1248">
        <f>F3749+F3758</f>
        <v>-644616.52589487028</v>
      </c>
      <c r="G3760" s="1248">
        <f>G3749+G3758</f>
        <v>877191431.52901614</v>
      </c>
      <c r="I3760" s="381">
        <f>I3749+I3758</f>
        <v>184888237.54434198</v>
      </c>
      <c r="J3760" s="369"/>
      <c r="K3760" s="1248">
        <f>K3749+K3758</f>
        <v>2451934.5644941004</v>
      </c>
      <c r="L3760" s="1248">
        <f>L3749+L3758</f>
        <v>5270.0000000000009</v>
      </c>
      <c r="M3760" s="1248">
        <f>M3749+M3758</f>
        <v>-644616.52589487028</v>
      </c>
      <c r="N3760" s="1248">
        <f>N3749+N3758</f>
        <v>-202808.95999999999</v>
      </c>
      <c r="O3760" s="1248">
        <f>O3749+O3758</f>
        <v>186498016.62294126</v>
      </c>
    </row>
    <row r="3761" spans="1:16" ht="13.5" thickTop="1"/>
    <row r="3763" spans="1:16" s="291" customFormat="1">
      <c r="A3763" s="1308" t="str">
        <f>$A$1</f>
        <v>COLUMBIA GAS OF KENTUCKY, INC.</v>
      </c>
      <c r="B3763" s="1308"/>
      <c r="C3763" s="1308"/>
      <c r="D3763" s="1308"/>
      <c r="E3763" s="1308"/>
      <c r="F3763" s="1308"/>
      <c r="G3763" s="1308"/>
      <c r="H3763" s="1308"/>
      <c r="I3763" s="1308"/>
      <c r="J3763" s="1308"/>
      <c r="K3763" s="1308"/>
      <c r="L3763" s="1308"/>
      <c r="M3763" s="1308"/>
      <c r="N3763" s="1308"/>
      <c r="O3763" s="1308"/>
    </row>
    <row r="3764" spans="1:16" s="291" customFormat="1">
      <c r="A3764" s="1308" t="str">
        <f>$A$2</f>
        <v>CASE NO. 2024 - 00092</v>
      </c>
      <c r="B3764" s="1308"/>
      <c r="C3764" s="1308"/>
      <c r="D3764" s="1308"/>
      <c r="E3764" s="1308"/>
      <c r="F3764" s="1308"/>
      <c r="G3764" s="1308"/>
      <c r="H3764" s="1308"/>
      <c r="I3764" s="1308"/>
      <c r="J3764" s="1308"/>
      <c r="K3764" s="1308"/>
      <c r="L3764" s="1308"/>
      <c r="M3764" s="1308"/>
      <c r="N3764" s="1308"/>
      <c r="O3764" s="1308"/>
    </row>
    <row r="3765" spans="1:16" s="291" customFormat="1">
      <c r="A3765" s="1308" t="str">
        <f>$A$3</f>
        <v>DETAIL OF ACTUAL &amp; FORECASTED PLANT, ACCUMULATED RESERVE &amp; DEPRECIATION EXPENSE</v>
      </c>
      <c r="B3765" s="1308"/>
      <c r="C3765" s="1308"/>
      <c r="D3765" s="1308"/>
      <c r="E3765" s="1308"/>
      <c r="F3765" s="1308"/>
      <c r="G3765" s="1308"/>
      <c r="H3765" s="1308"/>
      <c r="I3765" s="1308"/>
      <c r="J3765" s="1308"/>
      <c r="K3765" s="1308"/>
      <c r="L3765" s="1308"/>
      <c r="M3765" s="1308"/>
      <c r="N3765" s="1308"/>
      <c r="O3765" s="1308"/>
      <c r="P3765" s="357"/>
    </row>
    <row r="3766" spans="1:16" s="291" customFormat="1">
      <c r="A3766" s="1308" t="str">
        <f>$A$4</f>
        <v>FROM JANUARY 01, 2023 THROUGH DECEMBER 31, 2025</v>
      </c>
      <c r="B3766" s="1308"/>
      <c r="C3766" s="1308"/>
      <c r="D3766" s="1308"/>
      <c r="E3766" s="1308"/>
      <c r="F3766" s="1308"/>
      <c r="G3766" s="1308"/>
      <c r="H3766" s="1308"/>
      <c r="I3766" s="1308"/>
      <c r="J3766" s="1308"/>
      <c r="K3766" s="1308"/>
      <c r="L3766" s="1308"/>
      <c r="M3766" s="1308"/>
      <c r="N3766" s="1308"/>
      <c r="O3766" s="1308"/>
    </row>
    <row r="3767" spans="1:16" s="291" customFormat="1">
      <c r="B3767" s="293"/>
      <c r="P3767" s="312"/>
    </row>
    <row r="3768" spans="1:16" s="291" customFormat="1">
      <c r="A3768" s="297" t="str">
        <f>$A$6</f>
        <v xml:space="preserve">DATA: _X_ BASE PERIOD _X_ FORECASTED PERIOD     </v>
      </c>
      <c r="B3768" s="293"/>
      <c r="O3768" s="312" t="str">
        <f>$O$6</f>
        <v>WPB-2.1.C</v>
      </c>
      <c r="P3768" s="312"/>
    </row>
    <row r="3769" spans="1:16" s="291" customFormat="1">
      <c r="A3769" s="297" t="str">
        <f>$A$7</f>
        <v>TYPE OF FILING:___X___ORIGINAL______UPDATED</v>
      </c>
      <c r="B3769" s="293"/>
      <c r="O3769" s="312" t="s">
        <v>2156</v>
      </c>
      <c r="P3769" s="312"/>
    </row>
    <row r="3770" spans="1:16" s="291" customFormat="1">
      <c r="A3770" s="297" t="str">
        <f>$A$8</f>
        <v>WORKPAPER REFERENCE NO(S).:</v>
      </c>
      <c r="B3770" s="293"/>
      <c r="O3770" s="312" t="str">
        <f>$O$8</f>
        <v>WITNESS: GORE</v>
      </c>
    </row>
    <row r="3771" spans="1:16">
      <c r="A3771" s="918"/>
      <c r="B3771" s="919"/>
      <c r="C3771" s="918"/>
      <c r="D3771" s="918"/>
      <c r="E3771" s="918"/>
      <c r="F3771" s="918"/>
      <c r="G3771" s="918"/>
      <c r="H3771" s="918"/>
      <c r="I3771" s="918"/>
      <c r="J3771" s="918"/>
      <c r="K3771" s="918"/>
      <c r="L3771" s="918"/>
      <c r="M3771" s="918"/>
      <c r="N3771" s="918"/>
      <c r="O3771" s="920"/>
    </row>
    <row r="3772" spans="1:16">
      <c r="D3772" s="1311" t="s">
        <v>1768</v>
      </c>
      <c r="E3772" s="1311"/>
      <c r="F3772" s="1311"/>
      <c r="G3772" s="1311"/>
      <c r="I3772" s="1311" t="s">
        <v>1769</v>
      </c>
      <c r="J3772" s="1311"/>
      <c r="K3772" s="1311"/>
      <c r="L3772" s="1311"/>
      <c r="M3772" s="1311"/>
      <c r="N3772" s="1311"/>
      <c r="O3772" s="1311"/>
    </row>
    <row r="3773" spans="1:16">
      <c r="D3773" s="360">
        <f>G3718+1</f>
        <v>45931</v>
      </c>
      <c r="G3773" s="360">
        <f>D3773+30</f>
        <v>45961</v>
      </c>
      <c r="I3773" s="360">
        <f>D3773</f>
        <v>45931</v>
      </c>
      <c r="O3773" s="360">
        <f>G3773</f>
        <v>45961</v>
      </c>
    </row>
    <row r="3774" spans="1:16">
      <c r="D3774" s="361" t="s">
        <v>1757</v>
      </c>
      <c r="G3774" s="361" t="s">
        <v>1757</v>
      </c>
      <c r="I3774" s="361" t="s">
        <v>1758</v>
      </c>
      <c r="J3774" s="361" t="s">
        <v>488</v>
      </c>
      <c r="L3774" s="361" t="s">
        <v>1758</v>
      </c>
      <c r="O3774" s="361" t="s">
        <v>1758</v>
      </c>
    </row>
    <row r="3775" spans="1:16">
      <c r="A3775" s="361" t="s">
        <v>1770</v>
      </c>
      <c r="B3775" s="361" t="s">
        <v>368</v>
      </c>
      <c r="C3775" s="361"/>
      <c r="D3775" s="361" t="s">
        <v>437</v>
      </c>
      <c r="G3775" s="361" t="s">
        <v>439</v>
      </c>
      <c r="I3775" s="361" t="s">
        <v>437</v>
      </c>
      <c r="J3775" s="361" t="s">
        <v>1771</v>
      </c>
      <c r="K3775" s="361" t="s">
        <v>1772</v>
      </c>
      <c r="L3775" s="361" t="s">
        <v>1759</v>
      </c>
      <c r="N3775" s="361" t="s">
        <v>1760</v>
      </c>
      <c r="O3775" s="361" t="s">
        <v>439</v>
      </c>
    </row>
    <row r="3776" spans="1:16">
      <c r="A3776" s="364" t="s">
        <v>316</v>
      </c>
      <c r="B3776" s="364" t="s">
        <v>316</v>
      </c>
      <c r="C3776" s="364" t="s">
        <v>451</v>
      </c>
      <c r="D3776" s="364" t="s">
        <v>441</v>
      </c>
      <c r="E3776" s="364" t="s">
        <v>442</v>
      </c>
      <c r="F3776" s="364" t="s">
        <v>443</v>
      </c>
      <c r="G3776" s="364" t="s">
        <v>441</v>
      </c>
      <c r="I3776" s="364" t="s">
        <v>441</v>
      </c>
      <c r="J3776" s="364" t="s">
        <v>1773</v>
      </c>
      <c r="K3776" s="364" t="s">
        <v>1771</v>
      </c>
      <c r="L3776" s="364" t="s">
        <v>355</v>
      </c>
      <c r="M3776" s="364" t="s">
        <v>443</v>
      </c>
      <c r="N3776" s="364" t="s">
        <v>1763</v>
      </c>
      <c r="O3776" s="364" t="s">
        <v>441</v>
      </c>
    </row>
    <row r="3777" spans="1:15">
      <c r="D3777" s="361" t="s">
        <v>532</v>
      </c>
      <c r="E3777" s="361" t="s">
        <v>541</v>
      </c>
      <c r="F3777" s="361" t="s">
        <v>542</v>
      </c>
      <c r="G3777" s="361" t="s">
        <v>1764</v>
      </c>
      <c r="I3777" s="334" t="str">
        <f>"(5)"</f>
        <v>(5)</v>
      </c>
      <c r="J3777" s="334" t="str">
        <f>"(6)"</f>
        <v>(6)</v>
      </c>
      <c r="K3777" s="334" t="str">
        <f>"(7)=((1+4)/2*6/12))"</f>
        <v>(7)=((1+4)/2*6/12))</v>
      </c>
      <c r="L3777" s="334" t="str">
        <f>"(8)"</f>
        <v>(8)</v>
      </c>
      <c r="M3777" s="334" t="str">
        <f>"(9)"</f>
        <v>(9)</v>
      </c>
      <c r="N3777" s="334" t="str">
        <f>"(10)"</f>
        <v>(10)</v>
      </c>
      <c r="O3777" s="334" t="str">
        <f>"(11=5+7+8+9+10)"</f>
        <v>(11=5+7+8+9+10)</v>
      </c>
    </row>
    <row r="3778" spans="1:15">
      <c r="D3778" s="361" t="s">
        <v>320</v>
      </c>
      <c r="E3778" s="361" t="s">
        <v>320</v>
      </c>
      <c r="F3778" s="361" t="s">
        <v>320</v>
      </c>
      <c r="G3778" s="361" t="s">
        <v>320</v>
      </c>
      <c r="I3778" s="334" t="s">
        <v>320</v>
      </c>
      <c r="J3778" s="334" t="s">
        <v>529</v>
      </c>
      <c r="K3778" s="334" t="s">
        <v>320</v>
      </c>
      <c r="L3778" s="334" t="s">
        <v>320</v>
      </c>
      <c r="M3778" s="334" t="s">
        <v>320</v>
      </c>
      <c r="N3778" s="334" t="s">
        <v>320</v>
      </c>
      <c r="O3778" s="334" t="s">
        <v>320</v>
      </c>
    </row>
    <row r="3779" spans="1:15">
      <c r="A3779" s="361">
        <v>1</v>
      </c>
      <c r="B3779" s="362" t="s">
        <v>373</v>
      </c>
      <c r="D3779" s="361"/>
      <c r="E3779" s="361"/>
      <c r="F3779" s="361"/>
      <c r="G3779" s="361"/>
      <c r="I3779" s="334"/>
      <c r="J3779" s="334"/>
      <c r="K3779" s="334"/>
      <c r="L3779" s="334"/>
      <c r="M3779" s="334"/>
      <c r="N3779" s="334"/>
      <c r="O3779" s="334"/>
    </row>
    <row r="3780" spans="1:15">
      <c r="A3780" s="361">
        <f>A3779+1</f>
        <v>2</v>
      </c>
      <c r="B3780" s="365">
        <v>301</v>
      </c>
      <c r="C3780" s="358" t="s">
        <v>374</v>
      </c>
      <c r="D3780" s="1243">
        <f t="shared" ref="D3780:D3785" si="723">G3666</f>
        <v>521.20000000000005</v>
      </c>
      <c r="E3780" s="1243">
        <v>0</v>
      </c>
      <c r="F3780" s="1243">
        <v>0</v>
      </c>
      <c r="G3780" s="1243">
        <f t="shared" ref="G3780:G3785" si="724">SUM(D3780:F3780)</f>
        <v>521.20000000000005</v>
      </c>
      <c r="H3780" s="1243"/>
      <c r="I3780" s="1243">
        <f t="shared" ref="I3780:I3785" si="725">O3666</f>
        <v>0</v>
      </c>
      <c r="J3780" s="375" t="str">
        <f>$J$1614</f>
        <v>Amort.</v>
      </c>
      <c r="K3780" s="1243">
        <v>0</v>
      </c>
      <c r="L3780" s="1243">
        <v>0</v>
      </c>
      <c r="M3780" s="1243">
        <f t="shared" ref="M3780:M3785" si="726">F3780</f>
        <v>0</v>
      </c>
      <c r="N3780" s="1243">
        <v>0</v>
      </c>
      <c r="O3780" s="1243">
        <f t="shared" ref="O3780:O3785" si="727">I3780+K3780+L3780+M3780+N3780</f>
        <v>0</v>
      </c>
    </row>
    <row r="3781" spans="1:15">
      <c r="A3781" s="361">
        <f t="shared" ref="A3781:A3786" si="728">A3780+1</f>
        <v>3</v>
      </c>
      <c r="B3781" s="365">
        <v>303</v>
      </c>
      <c r="C3781" s="358" t="s">
        <v>375</v>
      </c>
      <c r="D3781" s="1243">
        <f t="shared" si="723"/>
        <v>81146.899999999994</v>
      </c>
      <c r="E3781" s="1243">
        <v>0</v>
      </c>
      <c r="F3781" s="1243">
        <v>0</v>
      </c>
      <c r="G3781" s="1243">
        <f t="shared" si="724"/>
        <v>81146.899999999994</v>
      </c>
      <c r="H3781" s="1243"/>
      <c r="I3781" s="1243">
        <f t="shared" si="725"/>
        <v>69104.468791666804</v>
      </c>
      <c r="J3781" s="375" t="str">
        <f>$J$1615</f>
        <v>Amort.</v>
      </c>
      <c r="K3781" s="1243">
        <f>+'WPB-2.1.E Intangibles'!N53</f>
        <v>225.41</v>
      </c>
      <c r="L3781" s="1243">
        <v>0</v>
      </c>
      <c r="M3781" s="1243">
        <f t="shared" si="726"/>
        <v>0</v>
      </c>
      <c r="N3781" s="1243">
        <v>0</v>
      </c>
      <c r="O3781" s="1243">
        <f t="shared" si="727"/>
        <v>69329.878791666808</v>
      </c>
    </row>
    <row r="3782" spans="1:15">
      <c r="A3782" s="361">
        <f t="shared" si="728"/>
        <v>4</v>
      </c>
      <c r="B3782" s="365">
        <v>303.10000000000002</v>
      </c>
      <c r="C3782" s="358" t="s">
        <v>376</v>
      </c>
      <c r="D3782" s="1243">
        <f t="shared" si="723"/>
        <v>943.27</v>
      </c>
      <c r="E3782" s="1243">
        <v>0</v>
      </c>
      <c r="F3782" s="1243">
        <v>0</v>
      </c>
      <c r="G3782" s="1243">
        <f t="shared" si="724"/>
        <v>943.27</v>
      </c>
      <c r="H3782" s="1243"/>
      <c r="I3782" s="1243">
        <f t="shared" si="725"/>
        <v>318.35000000000008</v>
      </c>
      <c r="J3782" s="375" t="str">
        <f>$J$1616</f>
        <v>Amort.</v>
      </c>
      <c r="K3782" s="1243">
        <v>0</v>
      </c>
      <c r="L3782" s="1243">
        <v>0</v>
      </c>
      <c r="M3782" s="1243">
        <f t="shared" si="726"/>
        <v>0</v>
      </c>
      <c r="N3782" s="1243">
        <v>0</v>
      </c>
      <c r="O3782" s="1243">
        <f t="shared" si="727"/>
        <v>318.35000000000008</v>
      </c>
    </row>
    <row r="3783" spans="1:15">
      <c r="A3783" s="361">
        <f t="shared" si="728"/>
        <v>5</v>
      </c>
      <c r="B3783" s="365">
        <v>303.2</v>
      </c>
      <c r="C3783" s="358" t="s">
        <v>377</v>
      </c>
      <c r="D3783" s="1243">
        <f t="shared" si="723"/>
        <v>0</v>
      </c>
      <c r="E3783" s="1243">
        <v>0</v>
      </c>
      <c r="F3783" s="1243">
        <v>0</v>
      </c>
      <c r="G3783" s="1243">
        <f t="shared" si="724"/>
        <v>0</v>
      </c>
      <c r="H3783" s="1243"/>
      <c r="I3783" s="1243">
        <f t="shared" si="725"/>
        <v>0</v>
      </c>
      <c r="J3783" s="375" t="str">
        <f>$J$1617</f>
        <v>Amort.</v>
      </c>
      <c r="K3783" s="1243">
        <v>0</v>
      </c>
      <c r="L3783" s="1243">
        <v>0</v>
      </c>
      <c r="M3783" s="1243">
        <f t="shared" si="726"/>
        <v>0</v>
      </c>
      <c r="N3783" s="1243">
        <v>0</v>
      </c>
      <c r="O3783" s="1243">
        <f t="shared" si="727"/>
        <v>0</v>
      </c>
    </row>
    <row r="3784" spans="1:15">
      <c r="A3784" s="361">
        <f t="shared" si="728"/>
        <v>6</v>
      </c>
      <c r="B3784" s="365">
        <v>303.3</v>
      </c>
      <c r="C3784" s="358" t="s">
        <v>378</v>
      </c>
      <c r="D3784" s="1243">
        <f t="shared" si="723"/>
        <v>17290080.093749009</v>
      </c>
      <c r="E3784" s="1243">
        <f>+'WPB-2.1.E Intangibles'!N26</f>
        <v>177056.34090000001</v>
      </c>
      <c r="F3784" s="1243">
        <f>-'WPB-2.1.E Intangibles'!N41</f>
        <v>-33306.92</v>
      </c>
      <c r="G3784" s="1243">
        <f t="shared" si="724"/>
        <v>17433829.514649007</v>
      </c>
      <c r="H3784" s="1243"/>
      <c r="I3784" s="1243">
        <f t="shared" si="725"/>
        <v>7112428.9675160283</v>
      </c>
      <c r="J3784" s="375" t="str">
        <f>$J$1618</f>
        <v>Amort.</v>
      </c>
      <c r="K3784" s="1243">
        <f>+'WPB-2.1.E Intangibles'!N54</f>
        <v>264410.64224555012</v>
      </c>
      <c r="L3784" s="1243">
        <v>0</v>
      </c>
      <c r="M3784" s="1243">
        <f t="shared" si="726"/>
        <v>-33306.92</v>
      </c>
      <c r="N3784" s="1243">
        <v>0</v>
      </c>
      <c r="O3784" s="1243">
        <f t="shared" si="727"/>
        <v>7343532.6897615781</v>
      </c>
    </row>
    <row r="3785" spans="1:15">
      <c r="A3785" s="361">
        <f t="shared" si="728"/>
        <v>7</v>
      </c>
      <c r="B3785" s="365">
        <v>303.99</v>
      </c>
      <c r="C3785" s="358" t="s">
        <v>1129</v>
      </c>
      <c r="D3785" s="1244">
        <f t="shared" si="723"/>
        <v>4298084.7946498785</v>
      </c>
      <c r="E3785" s="1244">
        <f>+'WPB-2.1.E Intangibles'!N30</f>
        <v>268820.70556914032</v>
      </c>
      <c r="F3785" s="1244">
        <f>-'WPB-2.1.E Intangibles'!N42</f>
        <v>-7246.56</v>
      </c>
      <c r="G3785" s="1244">
        <f t="shared" si="724"/>
        <v>4559658.9402190195</v>
      </c>
      <c r="H3785" s="1243"/>
      <c r="I3785" s="1244">
        <f t="shared" si="725"/>
        <v>1478465.1057506693</v>
      </c>
      <c r="J3785" s="375" t="str">
        <f>$J$1619</f>
        <v>Amort.</v>
      </c>
      <c r="K3785" s="1244">
        <f>+'WPB-2.1.E Intangibles'!N55</f>
        <v>63154.85541554098</v>
      </c>
      <c r="L3785" s="1244">
        <v>0</v>
      </c>
      <c r="M3785" s="1244">
        <f t="shared" si="726"/>
        <v>-7246.56</v>
      </c>
      <c r="N3785" s="1244">
        <v>0</v>
      </c>
      <c r="O3785" s="1244">
        <f t="shared" si="727"/>
        <v>1534373.4011662102</v>
      </c>
    </row>
    <row r="3786" spans="1:15">
      <c r="A3786" s="361">
        <f t="shared" si="728"/>
        <v>8</v>
      </c>
      <c r="B3786" s="367"/>
      <c r="C3786" s="358" t="s">
        <v>379</v>
      </c>
      <c r="D3786" s="1243">
        <f>SUM(D3780:D3785)</f>
        <v>21670776.25839889</v>
      </c>
      <c r="E3786" s="1243">
        <f>SUM(E3780:E3785)</f>
        <v>445877.04646914033</v>
      </c>
      <c r="F3786" s="1243">
        <f>SUM(F3780:F3785)</f>
        <v>-40553.479999999996</v>
      </c>
      <c r="G3786" s="1243">
        <f>SUM(G3780:G3785)</f>
        <v>22076099.824868027</v>
      </c>
      <c r="H3786" s="1243"/>
      <c r="I3786" s="1243">
        <f>SUM(I3780:I3785)</f>
        <v>8660316.892058365</v>
      </c>
      <c r="J3786" s="369"/>
      <c r="K3786" s="1243">
        <f>SUM(K3780:K3785)</f>
        <v>327790.90766109107</v>
      </c>
      <c r="L3786" s="1243">
        <f>SUM(L3780:L3785)</f>
        <v>0</v>
      </c>
      <c r="M3786" s="1243">
        <f>SUM(M3780:M3785)</f>
        <v>-40553.479999999996</v>
      </c>
      <c r="N3786" s="1243">
        <f>SUM(N3780:N3785)</f>
        <v>0</v>
      </c>
      <c r="O3786" s="1243">
        <f>SUM(O3780:O3785)</f>
        <v>8947554.3197194561</v>
      </c>
    </row>
    <row r="3787" spans="1:15">
      <c r="A3787" s="361"/>
      <c r="B3787" s="367"/>
      <c r="C3787" s="368"/>
      <c r="D3787" s="1243"/>
      <c r="E3787" s="1243"/>
      <c r="F3787" s="1243"/>
      <c r="G3787" s="1243"/>
      <c r="H3787" s="1243"/>
      <c r="I3787" s="1243"/>
      <c r="J3787" s="369"/>
      <c r="K3787" s="1243"/>
      <c r="L3787" s="1243"/>
      <c r="M3787" s="1243"/>
      <c r="N3787" s="1243"/>
      <c r="O3787" s="1243"/>
    </row>
    <row r="3788" spans="1:15">
      <c r="A3788" s="361">
        <f>A3786+1</f>
        <v>9</v>
      </c>
      <c r="B3788" s="362" t="s">
        <v>1600</v>
      </c>
      <c r="C3788" s="368"/>
      <c r="D3788" s="1243"/>
      <c r="E3788" s="1243"/>
      <c r="F3788" s="1243"/>
      <c r="G3788" s="1243"/>
      <c r="H3788" s="1243"/>
      <c r="I3788" s="1243"/>
      <c r="J3788" s="369"/>
      <c r="K3788" s="1243"/>
      <c r="L3788" s="1243"/>
      <c r="M3788" s="1243"/>
      <c r="N3788" s="1243"/>
      <c r="O3788" s="1243"/>
    </row>
    <row r="3789" spans="1:15">
      <c r="A3789" s="361">
        <f t="shared" ref="A3789:A3819" si="729">A3788+1</f>
        <v>10</v>
      </c>
      <c r="B3789" s="365">
        <v>374.1</v>
      </c>
      <c r="C3789" s="358" t="s">
        <v>382</v>
      </c>
      <c r="D3789" s="1243">
        <f t="shared" ref="D3789:D3818" si="730">G3675</f>
        <v>205.4</v>
      </c>
      <c r="E3789" s="1243">
        <v>0</v>
      </c>
      <c r="F3789" s="1243">
        <v>0</v>
      </c>
      <c r="G3789" s="1243">
        <f>SUM(D3789:F3789)</f>
        <v>205.4</v>
      </c>
      <c r="H3789" s="1243"/>
      <c r="I3789" s="1243">
        <f t="shared" ref="I3789:I3818" si="731">O3675</f>
        <v>0</v>
      </c>
      <c r="J3789" s="375" t="str">
        <f>$J$1623</f>
        <v>Non-Dep.</v>
      </c>
      <c r="K3789" s="1243">
        <v>0</v>
      </c>
      <c r="L3789" s="1243">
        <v>0</v>
      </c>
      <c r="M3789" s="1243">
        <f t="shared" ref="M3789:M3818" si="732">F3789</f>
        <v>0</v>
      </c>
      <c r="N3789" s="1243">
        <v>0</v>
      </c>
      <c r="O3789" s="1243">
        <f t="shared" ref="O3789:O3818" si="733">I3789+K3789+L3789+M3789+N3789</f>
        <v>0</v>
      </c>
    </row>
    <row r="3790" spans="1:15">
      <c r="A3790" s="361">
        <f t="shared" si="729"/>
        <v>11</v>
      </c>
      <c r="B3790" s="365">
        <v>374.2</v>
      </c>
      <c r="C3790" s="358" t="s">
        <v>383</v>
      </c>
      <c r="D3790" s="1243">
        <f t="shared" si="730"/>
        <v>876986.66</v>
      </c>
      <c r="E3790" s="1243">
        <v>0</v>
      </c>
      <c r="F3790" s="1243">
        <v>0</v>
      </c>
      <c r="G3790" s="1243">
        <f t="shared" ref="G3790:G3818" si="734">SUM(D3790:F3790)</f>
        <v>876986.66</v>
      </c>
      <c r="H3790" s="1243"/>
      <c r="I3790" s="1243">
        <f t="shared" si="731"/>
        <v>-522.25</v>
      </c>
      <c r="J3790" s="375" t="str">
        <f>$J$1624</f>
        <v>Non-Dep.</v>
      </c>
      <c r="K3790" s="1243">
        <v>0</v>
      </c>
      <c r="L3790" s="1243">
        <v>0</v>
      </c>
      <c r="M3790" s="1243">
        <f t="shared" si="732"/>
        <v>0</v>
      </c>
      <c r="N3790" s="1243">
        <v>0</v>
      </c>
      <c r="O3790" s="1243">
        <f t="shared" si="733"/>
        <v>-522.25</v>
      </c>
    </row>
    <row r="3791" spans="1:15">
      <c r="A3791" s="361">
        <f t="shared" si="729"/>
        <v>12</v>
      </c>
      <c r="B3791" s="365">
        <v>374.4</v>
      </c>
      <c r="C3791" s="358" t="s">
        <v>384</v>
      </c>
      <c r="D3791" s="1243">
        <f t="shared" si="730"/>
        <v>3298683.3000000007</v>
      </c>
      <c r="E3791" s="1243">
        <v>271.47000000000003</v>
      </c>
      <c r="F3791" s="1243">
        <v>0</v>
      </c>
      <c r="G3791" s="1243">
        <f t="shared" si="734"/>
        <v>3298954.7700000009</v>
      </c>
      <c r="H3791" s="1243"/>
      <c r="I3791" s="1243">
        <f t="shared" si="731"/>
        <v>421208.77</v>
      </c>
      <c r="J3791" s="376">
        <f t="shared" ref="J3791:J3818" si="735">+J3677</f>
        <v>1.3299999999999999E-2</v>
      </c>
      <c r="K3791" s="1243">
        <f t="shared" ref="K3791:K3797" si="736">ROUND((G3791+D3791)/2*J3791/12,0)</f>
        <v>3656</v>
      </c>
      <c r="L3791" s="1243">
        <v>0</v>
      </c>
      <c r="M3791" s="1243">
        <f t="shared" si="732"/>
        <v>0</v>
      </c>
      <c r="N3791" s="1243">
        <v>0</v>
      </c>
      <c r="O3791" s="1243">
        <f t="shared" si="733"/>
        <v>424864.77</v>
      </c>
    </row>
    <row r="3792" spans="1:15">
      <c r="A3792" s="361">
        <f t="shared" si="729"/>
        <v>13</v>
      </c>
      <c r="B3792" s="365">
        <v>374.5</v>
      </c>
      <c r="C3792" s="358" t="s">
        <v>385</v>
      </c>
      <c r="D3792" s="1243">
        <f t="shared" si="730"/>
        <v>2666577.16</v>
      </c>
      <c r="E3792" s="1243">
        <v>0</v>
      </c>
      <c r="F3792" s="1243">
        <v>0</v>
      </c>
      <c r="G3792" s="1243">
        <f t="shared" si="734"/>
        <v>2666577.16</v>
      </c>
      <c r="H3792" s="1243"/>
      <c r="I3792" s="1243">
        <f t="shared" si="731"/>
        <v>1207624.1900000013</v>
      </c>
      <c r="J3792" s="376">
        <f t="shared" si="735"/>
        <v>1.0999999999999999E-2</v>
      </c>
      <c r="K3792" s="1243">
        <f t="shared" si="736"/>
        <v>2444</v>
      </c>
      <c r="L3792" s="1243">
        <v>0</v>
      </c>
      <c r="M3792" s="1243">
        <f t="shared" si="732"/>
        <v>0</v>
      </c>
      <c r="N3792" s="1243">
        <v>0</v>
      </c>
      <c r="O3792" s="1243">
        <f t="shared" si="733"/>
        <v>1210068.1900000013</v>
      </c>
    </row>
    <row r="3793" spans="1:15">
      <c r="A3793" s="361">
        <f t="shared" si="729"/>
        <v>14</v>
      </c>
      <c r="B3793" s="365">
        <v>375.2</v>
      </c>
      <c r="C3793" s="358" t="s">
        <v>386</v>
      </c>
      <c r="D3793" s="1243">
        <f t="shared" si="730"/>
        <v>2124.98</v>
      </c>
      <c r="E3793" s="1243">
        <v>0</v>
      </c>
      <c r="F3793" s="1243">
        <v>0</v>
      </c>
      <c r="G3793" s="1243">
        <f t="shared" si="734"/>
        <v>2124.98</v>
      </c>
      <c r="H3793" s="1243"/>
      <c r="I3793" s="1243">
        <f t="shared" si="731"/>
        <v>2139.3000000000002</v>
      </c>
      <c r="J3793" s="376">
        <f t="shared" si="735"/>
        <v>2.3900000000000001E-2</v>
      </c>
      <c r="K3793" s="1243">
        <f t="shared" si="736"/>
        <v>4</v>
      </c>
      <c r="L3793" s="1243">
        <v>0</v>
      </c>
      <c r="M3793" s="1243">
        <f t="shared" si="732"/>
        <v>0</v>
      </c>
      <c r="N3793" s="1243">
        <v>0</v>
      </c>
      <c r="O3793" s="1243">
        <f t="shared" si="733"/>
        <v>2143.3000000000002</v>
      </c>
    </row>
    <row r="3794" spans="1:15">
      <c r="A3794" s="361">
        <f t="shared" si="729"/>
        <v>15</v>
      </c>
      <c r="B3794" s="365">
        <v>375.3</v>
      </c>
      <c r="C3794" s="358" t="s">
        <v>387</v>
      </c>
      <c r="D3794" s="1243">
        <f t="shared" si="730"/>
        <v>0</v>
      </c>
      <c r="E3794" s="1243">
        <v>0</v>
      </c>
      <c r="F3794" s="1243">
        <v>0</v>
      </c>
      <c r="G3794" s="1243">
        <f t="shared" si="734"/>
        <v>0</v>
      </c>
      <c r="H3794" s="1243"/>
      <c r="I3794" s="1243">
        <f t="shared" si="731"/>
        <v>-77.66</v>
      </c>
      <c r="J3794" s="376">
        <f t="shared" si="735"/>
        <v>2.3900000000000001E-2</v>
      </c>
      <c r="K3794" s="1243">
        <f t="shared" si="736"/>
        <v>0</v>
      </c>
      <c r="L3794" s="1243">
        <v>0</v>
      </c>
      <c r="M3794" s="1243">
        <f t="shared" si="732"/>
        <v>0</v>
      </c>
      <c r="N3794" s="1243">
        <v>0</v>
      </c>
      <c r="O3794" s="1243">
        <f t="shared" si="733"/>
        <v>-77.66</v>
      </c>
    </row>
    <row r="3795" spans="1:15">
      <c r="A3795" s="361">
        <f t="shared" si="729"/>
        <v>16</v>
      </c>
      <c r="B3795" s="365">
        <v>375.4</v>
      </c>
      <c r="C3795" s="358" t="s">
        <v>388</v>
      </c>
      <c r="D3795" s="1243">
        <f t="shared" si="730"/>
        <v>4449321.3999999994</v>
      </c>
      <c r="E3795" s="1243">
        <v>16663.28</v>
      </c>
      <c r="F3795" s="1243">
        <v>0</v>
      </c>
      <c r="G3795" s="1243">
        <f t="shared" si="734"/>
        <v>4465984.68</v>
      </c>
      <c r="H3795" s="1243"/>
      <c r="I3795" s="1243">
        <f t="shared" si="731"/>
        <v>46452.510000000169</v>
      </c>
      <c r="J3795" s="376">
        <f t="shared" si="735"/>
        <v>2.3900000000000001E-2</v>
      </c>
      <c r="K3795" s="1243">
        <f t="shared" si="736"/>
        <v>8878</v>
      </c>
      <c r="L3795" s="1243">
        <v>0</v>
      </c>
      <c r="M3795" s="1243">
        <f t="shared" si="732"/>
        <v>0</v>
      </c>
      <c r="N3795" s="1243">
        <v>-1534.43</v>
      </c>
      <c r="O3795" s="1243">
        <f t="shared" si="733"/>
        <v>53796.080000000169</v>
      </c>
    </row>
    <row r="3796" spans="1:15">
      <c r="A3796" s="361">
        <f t="shared" si="729"/>
        <v>17</v>
      </c>
      <c r="B3796" s="365">
        <v>375.6</v>
      </c>
      <c r="C3796" s="358" t="s">
        <v>389</v>
      </c>
      <c r="D3796" s="1243">
        <f t="shared" si="730"/>
        <v>0</v>
      </c>
      <c r="E3796" s="1243">
        <v>0</v>
      </c>
      <c r="F3796" s="1243">
        <v>0</v>
      </c>
      <c r="G3796" s="1243">
        <f t="shared" si="734"/>
        <v>0</v>
      </c>
      <c r="H3796" s="1243"/>
      <c r="I3796" s="1243">
        <f t="shared" si="731"/>
        <v>0.02</v>
      </c>
      <c r="J3796" s="376">
        <f t="shared" si="735"/>
        <v>2.3900000000000001E-2</v>
      </c>
      <c r="K3796" s="1243">
        <f t="shared" si="736"/>
        <v>0</v>
      </c>
      <c r="L3796" s="1243">
        <v>0</v>
      </c>
      <c r="M3796" s="1243">
        <f t="shared" si="732"/>
        <v>0</v>
      </c>
      <c r="N3796" s="1243">
        <v>0</v>
      </c>
      <c r="O3796" s="1243">
        <f t="shared" si="733"/>
        <v>0.02</v>
      </c>
    </row>
    <row r="3797" spans="1:15">
      <c r="A3797" s="361">
        <f t="shared" si="729"/>
        <v>18</v>
      </c>
      <c r="B3797" s="365">
        <v>375.7</v>
      </c>
      <c r="C3797" s="358" t="s">
        <v>390</v>
      </c>
      <c r="D3797" s="1243">
        <f t="shared" si="730"/>
        <v>9793207.1999999974</v>
      </c>
      <c r="E3797" s="1243">
        <v>9740.27</v>
      </c>
      <c r="F3797" s="1243">
        <v>0</v>
      </c>
      <c r="G3797" s="1243">
        <f t="shared" si="734"/>
        <v>9802947.4699999969</v>
      </c>
      <c r="H3797" s="1243"/>
      <c r="I3797" s="1243">
        <f t="shared" si="731"/>
        <v>5092347.8699999982</v>
      </c>
      <c r="J3797" s="376">
        <f t="shared" si="735"/>
        <v>2.5100000000000001E-2</v>
      </c>
      <c r="K3797" s="1243">
        <f t="shared" si="736"/>
        <v>20494</v>
      </c>
      <c r="L3797" s="1243">
        <v>0</v>
      </c>
      <c r="M3797" s="1243">
        <f t="shared" si="732"/>
        <v>0</v>
      </c>
      <c r="N3797" s="1243">
        <v>0</v>
      </c>
      <c r="O3797" s="1243">
        <f t="shared" si="733"/>
        <v>5112841.8699999982</v>
      </c>
    </row>
    <row r="3798" spans="1:15">
      <c r="A3798" s="361">
        <f t="shared" si="729"/>
        <v>19</v>
      </c>
      <c r="B3798" s="365">
        <v>375.71</v>
      </c>
      <c r="C3798" s="358" t="s">
        <v>391</v>
      </c>
      <c r="D3798" s="1243">
        <f t="shared" si="730"/>
        <v>880994.59</v>
      </c>
      <c r="E3798" s="1243">
        <v>0</v>
      </c>
      <c r="F3798" s="1243">
        <v>0</v>
      </c>
      <c r="G3798" s="1243">
        <f t="shared" si="734"/>
        <v>880994.59</v>
      </c>
      <c r="H3798" s="1243"/>
      <c r="I3798" s="1243">
        <f t="shared" si="731"/>
        <v>858577.46000000113</v>
      </c>
      <c r="J3798" s="376" t="str">
        <f t="shared" si="735"/>
        <v>Amort.</v>
      </c>
      <c r="K3798" s="1243">
        <f>$K$1290</f>
        <v>4743.54</v>
      </c>
      <c r="L3798" s="1243">
        <v>0</v>
      </c>
      <c r="M3798" s="1243">
        <f t="shared" si="732"/>
        <v>0</v>
      </c>
      <c r="N3798" s="1243">
        <v>0</v>
      </c>
      <c r="O3798" s="1243">
        <f t="shared" si="733"/>
        <v>863321.00000000116</v>
      </c>
    </row>
    <row r="3799" spans="1:15">
      <c r="A3799" s="361">
        <f t="shared" si="729"/>
        <v>20</v>
      </c>
      <c r="B3799" s="365">
        <v>375.8</v>
      </c>
      <c r="C3799" s="358" t="s">
        <v>392</v>
      </c>
      <c r="D3799" s="1243">
        <f t="shared" si="730"/>
        <v>132125.04</v>
      </c>
      <c r="E3799" s="1243">
        <v>0</v>
      </c>
      <c r="F3799" s="1243">
        <v>0</v>
      </c>
      <c r="G3799" s="1243">
        <f t="shared" si="734"/>
        <v>132125.04</v>
      </c>
      <c r="H3799" s="1243"/>
      <c r="I3799" s="1243">
        <f t="shared" si="731"/>
        <v>16636.43</v>
      </c>
      <c r="J3799" s="376">
        <f t="shared" si="735"/>
        <v>2.1100000000000001E-2</v>
      </c>
      <c r="K3799" s="1243">
        <f t="shared" ref="K3799:K3818" si="737">ROUND((G3799+D3799)/2*J3799/12,0)</f>
        <v>232</v>
      </c>
      <c r="L3799" s="1243">
        <v>0</v>
      </c>
      <c r="M3799" s="1243">
        <f t="shared" si="732"/>
        <v>0</v>
      </c>
      <c r="N3799" s="1243">
        <v>0</v>
      </c>
      <c r="O3799" s="1243">
        <f t="shared" si="733"/>
        <v>16868.43</v>
      </c>
    </row>
    <row r="3800" spans="1:15">
      <c r="A3800" s="361">
        <f t="shared" si="729"/>
        <v>21</v>
      </c>
      <c r="B3800" s="365">
        <v>376</v>
      </c>
      <c r="C3800" s="358" t="s">
        <v>1621</v>
      </c>
      <c r="D3800" s="1243">
        <f t="shared" si="730"/>
        <v>424013354.13920891</v>
      </c>
      <c r="E3800" s="1243">
        <f>'WPB-2.1.D SMRP'!E1545</f>
        <v>575115.02917876095</v>
      </c>
      <c r="F3800" s="1243">
        <f>'WPB-2.1.D SMRP'!F1545</f>
        <v>-58653.26</v>
      </c>
      <c r="G3800" s="1243">
        <f t="shared" si="734"/>
        <v>424529815.90838766</v>
      </c>
      <c r="H3800" s="1243"/>
      <c r="I3800" s="1243">
        <f t="shared" si="731"/>
        <v>91393013.103291363</v>
      </c>
      <c r="J3800" s="376">
        <f t="shared" si="735"/>
        <v>1.7999999999999999E-2</v>
      </c>
      <c r="K3800" s="1243">
        <f>'WPB-2.1.D SMRP'!K1545</f>
        <v>636407.13</v>
      </c>
      <c r="L3800" s="1243">
        <v>0</v>
      </c>
      <c r="M3800" s="1243">
        <f>F3800</f>
        <v>-58653.26</v>
      </c>
      <c r="N3800" s="1243">
        <f>'WPB-2.1.D SMRP'!N1545</f>
        <v>-16663.082355224669</v>
      </c>
      <c r="O3800" s="1243">
        <f t="shared" si="733"/>
        <v>91954103.890936121</v>
      </c>
    </row>
    <row r="3801" spans="1:15">
      <c r="A3801" s="361">
        <f t="shared" si="729"/>
        <v>22</v>
      </c>
      <c r="B3801" s="365">
        <v>378.1</v>
      </c>
      <c r="C3801" s="358" t="s">
        <v>394</v>
      </c>
      <c r="D3801" s="1243">
        <f t="shared" si="730"/>
        <v>-172291.25</v>
      </c>
      <c r="E3801" s="1243">
        <v>0</v>
      </c>
      <c r="F3801" s="1243">
        <v>0</v>
      </c>
      <c r="G3801" s="1243">
        <f t="shared" si="734"/>
        <v>-172291.25</v>
      </c>
      <c r="H3801" s="1243"/>
      <c r="I3801" s="1243">
        <f t="shared" si="731"/>
        <v>-331894.52000000008</v>
      </c>
      <c r="J3801" s="376">
        <f t="shared" si="735"/>
        <v>3.3099999999999997E-2</v>
      </c>
      <c r="K3801" s="1243">
        <f t="shared" si="737"/>
        <v>-475</v>
      </c>
      <c r="L3801" s="1243">
        <v>0</v>
      </c>
      <c r="M3801" s="1243">
        <f t="shared" si="732"/>
        <v>0</v>
      </c>
      <c r="N3801" s="1243">
        <v>0</v>
      </c>
      <c r="O3801" s="1243">
        <f t="shared" si="733"/>
        <v>-332369.52000000008</v>
      </c>
    </row>
    <row r="3802" spans="1:15">
      <c r="A3802" s="361">
        <f t="shared" si="729"/>
        <v>23</v>
      </c>
      <c r="B3802" s="365">
        <v>378.2</v>
      </c>
      <c r="C3802" s="358" t="s">
        <v>1622</v>
      </c>
      <c r="D3802" s="1243">
        <f t="shared" si="730"/>
        <v>31064103.315694723</v>
      </c>
      <c r="E3802" s="1243">
        <f>'WPB-2.1.D SMRP'!E1549</f>
        <v>31200.994172715116</v>
      </c>
      <c r="F3802" s="1243">
        <f>'WPB-2.1.D SMRP'!F1549</f>
        <v>-12678.341426622681</v>
      </c>
      <c r="G3802" s="1243">
        <f t="shared" si="734"/>
        <v>31082625.968440816</v>
      </c>
      <c r="H3802" s="1243"/>
      <c r="I3802" s="1243">
        <f t="shared" si="731"/>
        <v>3245830.5375375217</v>
      </c>
      <c r="J3802" s="376">
        <f t="shared" si="735"/>
        <v>3.3099999999999997E-2</v>
      </c>
      <c r="K3802" s="1243">
        <f>'WPB-2.1.D SMRP'!K1549</f>
        <v>85710.61</v>
      </c>
      <c r="L3802" s="1243">
        <v>0</v>
      </c>
      <c r="M3802" s="1243">
        <f>F3802</f>
        <v>-12678.341426622681</v>
      </c>
      <c r="N3802" s="1243">
        <f>'WPB-2.1.D SMRP'!N1549</f>
        <v>0</v>
      </c>
      <c r="O3802" s="1243">
        <f t="shared" si="733"/>
        <v>3318862.806110899</v>
      </c>
    </row>
    <row r="3803" spans="1:15">
      <c r="A3803" s="361">
        <f t="shared" si="729"/>
        <v>24</v>
      </c>
      <c r="B3803" s="365">
        <v>378.3</v>
      </c>
      <c r="C3803" s="358" t="s">
        <v>396</v>
      </c>
      <c r="D3803" s="1243">
        <f t="shared" si="730"/>
        <v>45443.08</v>
      </c>
      <c r="E3803" s="1243">
        <v>0</v>
      </c>
      <c r="F3803" s="1243">
        <v>0</v>
      </c>
      <c r="G3803" s="1243">
        <f t="shared" si="734"/>
        <v>45443.08</v>
      </c>
      <c r="H3803" s="1243"/>
      <c r="I3803" s="1243">
        <f t="shared" si="731"/>
        <v>45433.320000000007</v>
      </c>
      <c r="J3803" s="376">
        <f t="shared" si="735"/>
        <v>3.3099999999999997E-2</v>
      </c>
      <c r="K3803" s="1243">
        <f t="shared" si="737"/>
        <v>125</v>
      </c>
      <c r="L3803" s="1243">
        <v>0</v>
      </c>
      <c r="M3803" s="1243">
        <f t="shared" si="732"/>
        <v>0</v>
      </c>
      <c r="N3803" s="1243">
        <v>0</v>
      </c>
      <c r="O3803" s="1243">
        <f t="shared" si="733"/>
        <v>45558.320000000007</v>
      </c>
    </row>
    <row r="3804" spans="1:15">
      <c r="A3804" s="361">
        <f t="shared" si="729"/>
        <v>25</v>
      </c>
      <c r="B3804" s="365">
        <v>379.1</v>
      </c>
      <c r="C3804" s="358" t="s">
        <v>397</v>
      </c>
      <c r="D3804" s="1243">
        <f t="shared" si="730"/>
        <v>1554144.06</v>
      </c>
      <c r="E3804" s="1243">
        <v>0</v>
      </c>
      <c r="F3804" s="1243">
        <v>0</v>
      </c>
      <c r="G3804" s="1243">
        <f t="shared" si="734"/>
        <v>1554144.06</v>
      </c>
      <c r="H3804" s="1243"/>
      <c r="I3804" s="1243">
        <f t="shared" si="731"/>
        <v>418603.19000000006</v>
      </c>
      <c r="J3804" s="376">
        <f t="shared" si="735"/>
        <v>2.5399999999999999E-2</v>
      </c>
      <c r="K3804" s="1243">
        <f t="shared" si="737"/>
        <v>3290</v>
      </c>
      <c r="L3804" s="1243">
        <v>0</v>
      </c>
      <c r="M3804" s="1243">
        <f t="shared" si="732"/>
        <v>0</v>
      </c>
      <c r="N3804" s="1243">
        <v>0</v>
      </c>
      <c r="O3804" s="1243">
        <f t="shared" si="733"/>
        <v>421893.19000000006</v>
      </c>
    </row>
    <row r="3805" spans="1:15">
      <c r="A3805" s="361">
        <f t="shared" si="729"/>
        <v>26</v>
      </c>
      <c r="B3805" s="365">
        <v>380</v>
      </c>
      <c r="C3805" s="358" t="s">
        <v>1623</v>
      </c>
      <c r="D3805" s="1243">
        <f t="shared" si="730"/>
        <v>208317115.16721725</v>
      </c>
      <c r="E3805" s="1243">
        <f>'WPB-2.1.D SMRP'!E1553</f>
        <v>690402.43806887581</v>
      </c>
      <c r="F3805" s="1243">
        <f>'WPB-2.1.D SMRP'!F1553</f>
        <v>-49631.375615119614</v>
      </c>
      <c r="G3805" s="1243">
        <f t="shared" si="734"/>
        <v>208957886.229671</v>
      </c>
      <c r="H3805" s="1243"/>
      <c r="I3805" s="1243">
        <f t="shared" si="731"/>
        <v>73713359.044157729</v>
      </c>
      <c r="J3805" s="376">
        <f t="shared" si="735"/>
        <v>5.1799999999999999E-2</v>
      </c>
      <c r="K3805" s="1243">
        <f>'WPB-2.1.D SMRP'!K1553</f>
        <v>900618.85</v>
      </c>
      <c r="L3805" s="1243">
        <v>0</v>
      </c>
      <c r="M3805" s="1243">
        <f>F3805</f>
        <v>-49631.375615119614</v>
      </c>
      <c r="N3805" s="1243">
        <f>'WPB-2.1.D SMRP'!N1553</f>
        <v>-65723.831718202011</v>
      </c>
      <c r="O3805" s="1243">
        <f t="shared" si="733"/>
        <v>74498622.686824396</v>
      </c>
    </row>
    <row r="3806" spans="1:15">
      <c r="A3806" s="361">
        <f t="shared" si="729"/>
        <v>27</v>
      </c>
      <c r="B3806" s="365">
        <v>381</v>
      </c>
      <c r="C3806" s="358" t="s">
        <v>399</v>
      </c>
      <c r="D3806" s="1243">
        <f t="shared" si="730"/>
        <v>20800460.010808241</v>
      </c>
      <c r="E3806" s="1243">
        <v>254899.84</v>
      </c>
      <c r="F3806" s="1243">
        <v>-17524.68</v>
      </c>
      <c r="G3806" s="1243">
        <f t="shared" si="734"/>
        <v>21037835.170808241</v>
      </c>
      <c r="H3806" s="1243"/>
      <c r="I3806" s="1243">
        <f t="shared" si="731"/>
        <v>1984851.7199999995</v>
      </c>
      <c r="J3806" s="376">
        <f t="shared" si="735"/>
        <v>3.5799999999999998E-2</v>
      </c>
      <c r="K3806" s="1243">
        <f t="shared" si="737"/>
        <v>62409</v>
      </c>
      <c r="L3806" s="1243">
        <v>0</v>
      </c>
      <c r="M3806" s="1243">
        <f t="shared" si="732"/>
        <v>-17524.68</v>
      </c>
      <c r="N3806" s="1243">
        <v>-1662.81</v>
      </c>
      <c r="O3806" s="1243">
        <f t="shared" si="733"/>
        <v>2028073.2299999995</v>
      </c>
    </row>
    <row r="3807" spans="1:15">
      <c r="A3807" s="361">
        <f t="shared" si="729"/>
        <v>28</v>
      </c>
      <c r="B3807" s="365">
        <v>381.1</v>
      </c>
      <c r="C3807" s="358" t="s">
        <v>2366</v>
      </c>
      <c r="D3807" s="1243">
        <f t="shared" si="730"/>
        <v>9980854.4800000004</v>
      </c>
      <c r="E3807" s="1243">
        <v>0</v>
      </c>
      <c r="F3807" s="1243">
        <v>0</v>
      </c>
      <c r="G3807" s="1243">
        <f t="shared" si="734"/>
        <v>9980854.4800000004</v>
      </c>
      <c r="H3807" s="1243"/>
      <c r="I3807" s="1243">
        <f t="shared" si="731"/>
        <v>6615942.0300000031</v>
      </c>
      <c r="J3807" s="376">
        <f t="shared" si="735"/>
        <v>6.7900000000000002E-2</v>
      </c>
      <c r="K3807" s="1243">
        <f t="shared" si="737"/>
        <v>56475</v>
      </c>
      <c r="L3807" s="1243">
        <v>0</v>
      </c>
      <c r="M3807" s="1243">
        <f t="shared" si="732"/>
        <v>0</v>
      </c>
      <c r="N3807" s="1243">
        <v>0</v>
      </c>
      <c r="O3807" s="1243">
        <f t="shared" si="733"/>
        <v>6672417.0300000031</v>
      </c>
    </row>
    <row r="3808" spans="1:15">
      <c r="A3808" s="361">
        <f t="shared" si="729"/>
        <v>29</v>
      </c>
      <c r="B3808" s="365">
        <v>382</v>
      </c>
      <c r="C3808" s="358" t="s">
        <v>1624</v>
      </c>
      <c r="D3808" s="1243">
        <f t="shared" si="730"/>
        <v>10768431.280970542</v>
      </c>
      <c r="E3808" s="1243">
        <f>'WPB-2.1.D SMRP'!E1557</f>
        <v>34404.17836971541</v>
      </c>
      <c r="F3808" s="1243">
        <f>'WPB-2.1.D SMRP'!F1557</f>
        <v>-1778.0920648151546</v>
      </c>
      <c r="G3808" s="1243">
        <f t="shared" si="734"/>
        <v>10801057.367275443</v>
      </c>
      <c r="H3808" s="1243"/>
      <c r="I3808" s="1243">
        <f t="shared" si="731"/>
        <v>6184962.1924971258</v>
      </c>
      <c r="J3808" s="376">
        <f t="shared" si="735"/>
        <v>2.2800000000000001E-2</v>
      </c>
      <c r="K3808" s="1243">
        <f>'WPB-2.1.D SMRP'!K1557</f>
        <v>20490.55</v>
      </c>
      <c r="L3808" s="1243">
        <v>0</v>
      </c>
      <c r="M3808" s="1243">
        <f t="shared" si="732"/>
        <v>-1778.0920648151546</v>
      </c>
      <c r="N3808" s="1243">
        <f>'WPB-2.1.D SMRP'!N1557</f>
        <v>0</v>
      </c>
      <c r="O3808" s="1243">
        <f t="shared" si="733"/>
        <v>6203674.6504323101</v>
      </c>
    </row>
    <row r="3809" spans="1:16">
      <c r="A3809" s="361">
        <f t="shared" si="729"/>
        <v>30</v>
      </c>
      <c r="B3809" s="365">
        <v>383</v>
      </c>
      <c r="C3809" s="358" t="s">
        <v>1625</v>
      </c>
      <c r="D3809" s="1243">
        <f t="shared" si="730"/>
        <v>7804776.8193242075</v>
      </c>
      <c r="E3809" s="1243">
        <f>'WPB-2.1.D SMRP'!E1561</f>
        <v>37179.329063366458</v>
      </c>
      <c r="F3809" s="1243">
        <f>'WPB-2.1.D SMRP'!F1561</f>
        <v>-713.54985622812535</v>
      </c>
      <c r="G3809" s="1243">
        <f t="shared" si="734"/>
        <v>7841242.5985313458</v>
      </c>
      <c r="H3809" s="1243"/>
      <c r="I3809" s="1243">
        <f t="shared" si="731"/>
        <v>2748765.158863978</v>
      </c>
      <c r="J3809" s="376">
        <f t="shared" si="735"/>
        <v>2.2200000000000001E-2</v>
      </c>
      <c r="K3809" s="1243">
        <f>'WPB-2.1.D SMRP'!K1561</f>
        <v>14472.64</v>
      </c>
      <c r="L3809" s="1243">
        <v>0</v>
      </c>
      <c r="M3809" s="1243">
        <f t="shared" si="732"/>
        <v>-713.54985622812535</v>
      </c>
      <c r="N3809" s="1243">
        <f>'WPB-2.1.D SMRP'!N1561</f>
        <v>0</v>
      </c>
      <c r="O3809" s="1243">
        <f t="shared" si="733"/>
        <v>2762524.2490077498</v>
      </c>
    </row>
    <row r="3810" spans="1:16">
      <c r="A3810" s="361">
        <f t="shared" si="729"/>
        <v>31</v>
      </c>
      <c r="B3810" s="365">
        <v>384</v>
      </c>
      <c r="C3810" s="358" t="s">
        <v>402</v>
      </c>
      <c r="D3810" s="1243">
        <f t="shared" si="730"/>
        <v>2085343.5499999998</v>
      </c>
      <c r="E3810" s="1243">
        <v>14.01</v>
      </c>
      <c r="F3810" s="1243">
        <v>0</v>
      </c>
      <c r="G3810" s="1243">
        <f t="shared" si="734"/>
        <v>2085357.5599999998</v>
      </c>
      <c r="H3810" s="1243"/>
      <c r="I3810" s="1243">
        <f t="shared" si="731"/>
        <v>1779742.1399999992</v>
      </c>
      <c r="J3810" s="376">
        <f t="shared" si="735"/>
        <v>1.9900000000000001E-2</v>
      </c>
      <c r="K3810" s="1243">
        <f t="shared" si="737"/>
        <v>3458</v>
      </c>
      <c r="L3810" s="1243">
        <v>0</v>
      </c>
      <c r="M3810" s="1243">
        <f t="shared" si="732"/>
        <v>0</v>
      </c>
      <c r="N3810" s="1243">
        <v>0</v>
      </c>
      <c r="O3810" s="1243">
        <f t="shared" si="733"/>
        <v>1783200.1399999992</v>
      </c>
    </row>
    <row r="3811" spans="1:16">
      <c r="A3811" s="361">
        <f t="shared" si="729"/>
        <v>32</v>
      </c>
      <c r="B3811" s="365">
        <v>385</v>
      </c>
      <c r="C3811" s="358" t="s">
        <v>403</v>
      </c>
      <c r="D3811" s="1243">
        <f t="shared" si="730"/>
        <v>6436181.5099999988</v>
      </c>
      <c r="E3811" s="1243">
        <v>24766.86</v>
      </c>
      <c r="F3811" s="1243">
        <v>-26447.94</v>
      </c>
      <c r="G3811" s="1243">
        <f t="shared" si="734"/>
        <v>6434500.4299999988</v>
      </c>
      <c r="H3811" s="1243"/>
      <c r="I3811" s="1243">
        <f t="shared" si="731"/>
        <v>975556.34999999974</v>
      </c>
      <c r="J3811" s="376">
        <f t="shared" si="735"/>
        <v>5.4699999999999999E-2</v>
      </c>
      <c r="K3811" s="1243">
        <f t="shared" si="737"/>
        <v>29334</v>
      </c>
      <c r="L3811" s="1243">
        <v>0</v>
      </c>
      <c r="M3811" s="1243">
        <f t="shared" si="732"/>
        <v>-26447.94</v>
      </c>
      <c r="N3811" s="1243">
        <v>0</v>
      </c>
      <c r="O3811" s="1243">
        <f t="shared" si="733"/>
        <v>978442.4099999998</v>
      </c>
    </row>
    <row r="3812" spans="1:16">
      <c r="A3812" s="361">
        <f t="shared" si="729"/>
        <v>33</v>
      </c>
      <c r="B3812" s="365">
        <v>387.2</v>
      </c>
      <c r="C3812" s="358" t="s">
        <v>404</v>
      </c>
      <c r="D3812" s="1243">
        <f t="shared" si="730"/>
        <v>0</v>
      </c>
      <c r="E3812" s="1243">
        <v>0</v>
      </c>
      <c r="F3812" s="1243">
        <v>0</v>
      </c>
      <c r="G3812" s="1243">
        <f t="shared" si="734"/>
        <v>0</v>
      </c>
      <c r="H3812" s="1243"/>
      <c r="I3812" s="1243">
        <f t="shared" si="731"/>
        <v>-59912.03</v>
      </c>
      <c r="J3812" s="376">
        <f t="shared" si="735"/>
        <v>0</v>
      </c>
      <c r="K3812" s="1243">
        <f t="shared" si="737"/>
        <v>0</v>
      </c>
      <c r="L3812" s="1243">
        <v>0</v>
      </c>
      <c r="M3812" s="1243">
        <f t="shared" si="732"/>
        <v>0</v>
      </c>
      <c r="N3812" s="1243">
        <v>0</v>
      </c>
      <c r="O3812" s="1243">
        <f t="shared" si="733"/>
        <v>-59912.03</v>
      </c>
    </row>
    <row r="3813" spans="1:16">
      <c r="A3813" s="361">
        <f t="shared" si="729"/>
        <v>34</v>
      </c>
      <c r="B3813" s="365">
        <v>387.41</v>
      </c>
      <c r="C3813" s="358" t="s">
        <v>405</v>
      </c>
      <c r="D3813" s="1243">
        <f t="shared" si="730"/>
        <v>260538.46000000008</v>
      </c>
      <c r="E3813" s="1243">
        <v>0</v>
      </c>
      <c r="F3813" s="1243">
        <v>0</v>
      </c>
      <c r="G3813" s="1243">
        <f t="shared" si="734"/>
        <v>260538.46000000008</v>
      </c>
      <c r="H3813" s="1243"/>
      <c r="I3813" s="1243">
        <f t="shared" si="731"/>
        <v>78525.970000000059</v>
      </c>
      <c r="J3813" s="376">
        <f t="shared" si="735"/>
        <v>4.9599999999999998E-2</v>
      </c>
      <c r="K3813" s="1243">
        <f t="shared" si="737"/>
        <v>1077</v>
      </c>
      <c r="L3813" s="1243">
        <v>0</v>
      </c>
      <c r="M3813" s="1243">
        <f t="shared" si="732"/>
        <v>0</v>
      </c>
      <c r="N3813" s="1243">
        <v>0</v>
      </c>
      <c r="O3813" s="1243">
        <f t="shared" si="733"/>
        <v>79602.970000000059</v>
      </c>
    </row>
    <row r="3814" spans="1:16">
      <c r="A3814" s="361">
        <f t="shared" si="729"/>
        <v>35</v>
      </c>
      <c r="B3814" s="365">
        <v>387.42</v>
      </c>
      <c r="C3814" s="358" t="s">
        <v>406</v>
      </c>
      <c r="D3814" s="1243">
        <f t="shared" si="730"/>
        <v>419367.40000000008</v>
      </c>
      <c r="E3814" s="1243">
        <v>0</v>
      </c>
      <c r="F3814" s="1243">
        <v>0</v>
      </c>
      <c r="G3814" s="1243">
        <f t="shared" si="734"/>
        <v>419367.40000000008</v>
      </c>
      <c r="H3814" s="1243"/>
      <c r="I3814" s="1243">
        <f t="shared" si="731"/>
        <v>372580.80999999976</v>
      </c>
      <c r="J3814" s="376">
        <f t="shared" si="735"/>
        <v>4.9599999999999998E-2</v>
      </c>
      <c r="K3814" s="1243">
        <f t="shared" si="737"/>
        <v>1733</v>
      </c>
      <c r="L3814" s="1243">
        <v>0</v>
      </c>
      <c r="M3814" s="1243">
        <f t="shared" si="732"/>
        <v>0</v>
      </c>
      <c r="N3814" s="1243">
        <v>0</v>
      </c>
      <c r="O3814" s="1243">
        <f t="shared" si="733"/>
        <v>374313.80999999976</v>
      </c>
    </row>
    <row r="3815" spans="1:16">
      <c r="A3815" s="361">
        <f t="shared" si="729"/>
        <v>36</v>
      </c>
      <c r="B3815" s="365">
        <v>387.44</v>
      </c>
      <c r="C3815" s="358" t="s">
        <v>407</v>
      </c>
      <c r="D3815" s="1243">
        <f t="shared" si="730"/>
        <v>124678.76000000001</v>
      </c>
      <c r="E3815" s="1243">
        <v>0</v>
      </c>
      <c r="F3815" s="1243">
        <v>0</v>
      </c>
      <c r="G3815" s="1243">
        <f t="shared" si="734"/>
        <v>124678.76000000001</v>
      </c>
      <c r="H3815" s="1243"/>
      <c r="I3815" s="1243">
        <f t="shared" si="731"/>
        <v>76084.390000000014</v>
      </c>
      <c r="J3815" s="376">
        <f t="shared" si="735"/>
        <v>4.9599999999999998E-2</v>
      </c>
      <c r="K3815" s="1243">
        <f t="shared" si="737"/>
        <v>515</v>
      </c>
      <c r="L3815" s="1243">
        <v>0</v>
      </c>
      <c r="M3815" s="1243">
        <f t="shared" si="732"/>
        <v>0</v>
      </c>
      <c r="N3815" s="1243">
        <v>0</v>
      </c>
      <c r="O3815" s="1243">
        <f t="shared" si="733"/>
        <v>76599.390000000014</v>
      </c>
    </row>
    <row r="3816" spans="1:16">
      <c r="A3816" s="361">
        <f t="shared" si="729"/>
        <v>37</v>
      </c>
      <c r="B3816" s="365">
        <v>387.45</v>
      </c>
      <c r="C3816" s="358" t="s">
        <v>408</v>
      </c>
      <c r="D3816" s="1243">
        <f t="shared" si="730"/>
        <v>6744675.6100000041</v>
      </c>
      <c r="E3816" s="1243">
        <v>79457.7</v>
      </c>
      <c r="F3816" s="1243">
        <v>-115245.55</v>
      </c>
      <c r="G3816" s="1243">
        <f t="shared" si="734"/>
        <v>6708887.7600000044</v>
      </c>
      <c r="H3816" s="1243"/>
      <c r="I3816" s="1243">
        <f t="shared" si="731"/>
        <v>-887527.37000000011</v>
      </c>
      <c r="J3816" s="376">
        <f t="shared" si="735"/>
        <v>4.9599999999999998E-2</v>
      </c>
      <c r="K3816" s="1243">
        <f t="shared" si="737"/>
        <v>27804</v>
      </c>
      <c r="L3816" s="1243">
        <v>0</v>
      </c>
      <c r="M3816" s="1243">
        <f t="shared" si="732"/>
        <v>-115245.55</v>
      </c>
      <c r="N3816" s="1243">
        <v>0</v>
      </c>
      <c r="O3816" s="1243">
        <f t="shared" si="733"/>
        <v>-974968.92000000016</v>
      </c>
    </row>
    <row r="3817" spans="1:16">
      <c r="A3817" s="361">
        <f t="shared" si="729"/>
        <v>38</v>
      </c>
      <c r="B3817" s="365">
        <v>387.46</v>
      </c>
      <c r="C3817" s="358" t="s">
        <v>409</v>
      </c>
      <c r="D3817" s="1243">
        <f t="shared" si="730"/>
        <v>113644.47</v>
      </c>
      <c r="E3817" s="1243">
        <v>0</v>
      </c>
      <c r="F3817" s="1243">
        <v>0</v>
      </c>
      <c r="G3817" s="1243">
        <f t="shared" si="734"/>
        <v>113644.47</v>
      </c>
      <c r="H3817" s="1243"/>
      <c r="I3817" s="1243">
        <f t="shared" si="731"/>
        <v>121797.07</v>
      </c>
      <c r="J3817" s="376">
        <f t="shared" si="735"/>
        <v>4.9599999999999998E-2</v>
      </c>
      <c r="K3817" s="1243">
        <f t="shared" si="737"/>
        <v>470</v>
      </c>
      <c r="L3817" s="1243">
        <v>0</v>
      </c>
      <c r="M3817" s="1243">
        <f t="shared" si="732"/>
        <v>0</v>
      </c>
      <c r="N3817" s="1243">
        <v>0</v>
      </c>
      <c r="O3817" s="1243">
        <f t="shared" si="733"/>
        <v>122267.07</v>
      </c>
    </row>
    <row r="3818" spans="1:16">
      <c r="A3818" s="361">
        <f t="shared" si="729"/>
        <v>39</v>
      </c>
      <c r="B3818" s="365">
        <v>387.5</v>
      </c>
      <c r="C3818" s="358" t="s">
        <v>1075</v>
      </c>
      <c r="D3818" s="1244">
        <f t="shared" si="730"/>
        <v>238072.69</v>
      </c>
      <c r="E3818" s="1244">
        <v>0</v>
      </c>
      <c r="F3818" s="1244">
        <v>0</v>
      </c>
      <c r="G3818" s="1244">
        <f t="shared" si="734"/>
        <v>238072.69</v>
      </c>
      <c r="H3818" s="1243"/>
      <c r="I3818" s="1244">
        <f t="shared" si="731"/>
        <v>95130.47000000003</v>
      </c>
      <c r="J3818" s="376">
        <f t="shared" si="735"/>
        <v>0.13500000000000001</v>
      </c>
      <c r="K3818" s="1244">
        <f t="shared" si="737"/>
        <v>2678</v>
      </c>
      <c r="L3818" s="1244">
        <v>0</v>
      </c>
      <c r="M3818" s="1244">
        <f t="shared" si="732"/>
        <v>0</v>
      </c>
      <c r="N3818" s="1244">
        <v>0</v>
      </c>
      <c r="O3818" s="1244">
        <f t="shared" si="733"/>
        <v>97808.47000000003</v>
      </c>
    </row>
    <row r="3819" spans="1:16">
      <c r="A3819" s="361">
        <f t="shared" si="729"/>
        <v>40</v>
      </c>
      <c r="C3819" s="365" t="s">
        <v>2885</v>
      </c>
      <c r="D3819" s="1243">
        <f>SUM(D3789:D3818)</f>
        <v>752699119.28322411</v>
      </c>
      <c r="E3819" s="1243">
        <f>SUM(E3789:E3818)</f>
        <v>1754115.3988534338</v>
      </c>
      <c r="F3819" s="1243">
        <f>SUM(F3789:F3818)</f>
        <v>-282672.78896278556</v>
      </c>
      <c r="G3819" s="1243">
        <f>SUM(G3789:G3818)</f>
        <v>754170561.89311457</v>
      </c>
      <c r="H3819" s="1243"/>
      <c r="I3819" s="1243">
        <f>SUM(I3789:I3818)</f>
        <v>196215230.21634766</v>
      </c>
      <c r="J3819" s="369"/>
      <c r="K3819" s="1243">
        <f>SUM(K3789:K3818)</f>
        <v>1887044.3199999998</v>
      </c>
      <c r="L3819" s="1243">
        <f>SUM(L3789:L3818)</f>
        <v>0</v>
      </c>
      <c r="M3819" s="1243">
        <f>SUM(M3789:M3818)</f>
        <v>-282672.78896278556</v>
      </c>
      <c r="N3819" s="1243">
        <f>SUM(N3789:N3818)</f>
        <v>-85584.154073426675</v>
      </c>
      <c r="O3819" s="1243">
        <f>SUM(O3789:O3818)</f>
        <v>197734017.59331146</v>
      </c>
    </row>
    <row r="3820" spans="1:16">
      <c r="B3820" s="367"/>
      <c r="C3820" s="368"/>
      <c r="D3820" s="369"/>
      <c r="E3820" s="369"/>
      <c r="F3820" s="369"/>
      <c r="G3820" s="369"/>
      <c r="I3820" s="369"/>
      <c r="J3820" s="369"/>
      <c r="K3820" s="369"/>
      <c r="L3820" s="369"/>
      <c r="M3820" s="369"/>
      <c r="N3820" s="369"/>
      <c r="O3820" s="369"/>
    </row>
    <row r="3821" spans="1:16">
      <c r="I3821" s="369"/>
      <c r="J3821" s="369"/>
      <c r="K3821" s="369"/>
      <c r="L3821" s="369"/>
      <c r="M3821" s="369"/>
      <c r="N3821" s="369"/>
      <c r="O3821" s="369"/>
    </row>
    <row r="3822" spans="1:16" s="291" customFormat="1">
      <c r="A3822" s="1308" t="str">
        <f>$A$1</f>
        <v>COLUMBIA GAS OF KENTUCKY, INC.</v>
      </c>
      <c r="B3822" s="1308"/>
      <c r="C3822" s="1308"/>
      <c r="D3822" s="1308"/>
      <c r="E3822" s="1308"/>
      <c r="F3822" s="1308"/>
      <c r="G3822" s="1308"/>
      <c r="H3822" s="1308"/>
      <c r="I3822" s="1308"/>
      <c r="J3822" s="1308"/>
      <c r="K3822" s="1308"/>
      <c r="L3822" s="1308"/>
      <c r="M3822" s="1308"/>
      <c r="N3822" s="1308"/>
      <c r="O3822" s="1308"/>
    </row>
    <row r="3823" spans="1:16" s="291" customFormat="1">
      <c r="A3823" s="1308" t="str">
        <f>$A$2</f>
        <v>CASE NO. 2024 - 00092</v>
      </c>
      <c r="B3823" s="1308"/>
      <c r="C3823" s="1308"/>
      <c r="D3823" s="1308"/>
      <c r="E3823" s="1308"/>
      <c r="F3823" s="1308"/>
      <c r="G3823" s="1308"/>
      <c r="H3823" s="1308"/>
      <c r="I3823" s="1308"/>
      <c r="J3823" s="1308"/>
      <c r="K3823" s="1308"/>
      <c r="L3823" s="1308"/>
      <c r="M3823" s="1308"/>
      <c r="N3823" s="1308"/>
      <c r="O3823" s="1308"/>
    </row>
    <row r="3824" spans="1:16" s="291" customFormat="1">
      <c r="A3824" s="1308" t="str">
        <f>$A$3</f>
        <v>DETAIL OF ACTUAL &amp; FORECASTED PLANT, ACCUMULATED RESERVE &amp; DEPRECIATION EXPENSE</v>
      </c>
      <c r="B3824" s="1308"/>
      <c r="C3824" s="1308"/>
      <c r="D3824" s="1308"/>
      <c r="E3824" s="1308"/>
      <c r="F3824" s="1308"/>
      <c r="G3824" s="1308"/>
      <c r="H3824" s="1308"/>
      <c r="I3824" s="1308"/>
      <c r="J3824" s="1308"/>
      <c r="K3824" s="1308"/>
      <c r="L3824" s="1308"/>
      <c r="M3824" s="1308"/>
      <c r="N3824" s="1308"/>
      <c r="O3824" s="1308"/>
      <c r="P3824" s="357"/>
    </row>
    <row r="3825" spans="1:16" s="291" customFormat="1">
      <c r="A3825" s="1308" t="str">
        <f>$A$4</f>
        <v>FROM JANUARY 01, 2023 THROUGH DECEMBER 31, 2025</v>
      </c>
      <c r="B3825" s="1308"/>
      <c r="C3825" s="1308"/>
      <c r="D3825" s="1308"/>
      <c r="E3825" s="1308"/>
      <c r="F3825" s="1308"/>
      <c r="G3825" s="1308"/>
      <c r="H3825" s="1308"/>
      <c r="I3825" s="1308"/>
      <c r="J3825" s="1308"/>
      <c r="K3825" s="1308"/>
      <c r="L3825" s="1308"/>
      <c r="M3825" s="1308"/>
      <c r="N3825" s="1308"/>
      <c r="O3825" s="1308"/>
    </row>
    <row r="3826" spans="1:16" s="291" customFormat="1">
      <c r="B3826" s="293"/>
      <c r="P3826" s="312"/>
    </row>
    <row r="3827" spans="1:16" s="291" customFormat="1">
      <c r="A3827" s="297" t="str">
        <f>$A$6</f>
        <v xml:space="preserve">DATA: _X_ BASE PERIOD _X_ FORECASTED PERIOD     </v>
      </c>
      <c r="B3827" s="293"/>
      <c r="O3827" s="312" t="str">
        <f>$O$6</f>
        <v>WPB-2.1.C</v>
      </c>
      <c r="P3827" s="312"/>
    </row>
    <row r="3828" spans="1:16" s="291" customFormat="1">
      <c r="A3828" s="297" t="str">
        <f>$A$7</f>
        <v>TYPE OF FILING:___X___ORIGINAL______UPDATED</v>
      </c>
      <c r="B3828" s="293"/>
      <c r="O3828" s="312" t="s">
        <v>2155</v>
      </c>
      <c r="P3828" s="312"/>
    </row>
    <row r="3829" spans="1:16" s="291" customFormat="1">
      <c r="A3829" s="297" t="str">
        <f>$A$8</f>
        <v>WORKPAPER REFERENCE NO(S).:</v>
      </c>
      <c r="B3829" s="293"/>
      <c r="O3829" s="312" t="str">
        <f>$O$8</f>
        <v>WITNESS: GORE</v>
      </c>
    </row>
    <row r="3830" spans="1:16">
      <c r="A3830" s="918"/>
      <c r="B3830" s="919"/>
      <c r="C3830" s="918"/>
      <c r="D3830" s="918"/>
      <c r="E3830" s="918"/>
      <c r="F3830" s="918"/>
      <c r="G3830" s="918"/>
      <c r="H3830" s="918"/>
      <c r="I3830" s="918"/>
      <c r="J3830" s="918"/>
      <c r="K3830" s="918"/>
      <c r="L3830" s="918"/>
      <c r="M3830" s="918"/>
      <c r="N3830" s="918"/>
      <c r="O3830" s="920"/>
    </row>
    <row r="3831" spans="1:16">
      <c r="D3831" s="1311" t="s">
        <v>1768</v>
      </c>
      <c r="E3831" s="1311"/>
      <c r="F3831" s="1311"/>
      <c r="G3831" s="1311"/>
      <c r="I3831" s="1311" t="s">
        <v>1769</v>
      </c>
      <c r="J3831" s="1311"/>
      <c r="K3831" s="1311"/>
      <c r="L3831" s="1311"/>
      <c r="M3831" s="1311"/>
      <c r="N3831" s="1311"/>
      <c r="O3831" s="1311"/>
    </row>
    <row r="3832" spans="1:16">
      <c r="D3832" s="360">
        <f>D3773</f>
        <v>45931</v>
      </c>
      <c r="G3832" s="360">
        <f>G3773</f>
        <v>45961</v>
      </c>
      <c r="I3832" s="360">
        <f>D3832</f>
        <v>45931</v>
      </c>
      <c r="O3832" s="360">
        <f>G3832</f>
        <v>45961</v>
      </c>
    </row>
    <row r="3833" spans="1:16">
      <c r="D3833" s="361" t="s">
        <v>1757</v>
      </c>
      <c r="G3833" s="361" t="s">
        <v>1757</v>
      </c>
      <c r="I3833" s="361" t="s">
        <v>1758</v>
      </c>
      <c r="J3833" s="361" t="s">
        <v>488</v>
      </c>
      <c r="L3833" s="361" t="s">
        <v>1758</v>
      </c>
      <c r="O3833" s="361" t="s">
        <v>1758</v>
      </c>
    </row>
    <row r="3834" spans="1:16">
      <c r="A3834" s="361" t="s">
        <v>1770</v>
      </c>
      <c r="B3834" s="361" t="s">
        <v>368</v>
      </c>
      <c r="C3834" s="361"/>
      <c r="D3834" s="361" t="s">
        <v>437</v>
      </c>
      <c r="G3834" s="361" t="s">
        <v>439</v>
      </c>
      <c r="I3834" s="361" t="s">
        <v>437</v>
      </c>
      <c r="J3834" s="361" t="s">
        <v>1771</v>
      </c>
      <c r="K3834" s="361" t="s">
        <v>1772</v>
      </c>
      <c r="L3834" s="361" t="s">
        <v>1759</v>
      </c>
      <c r="N3834" s="361" t="s">
        <v>1760</v>
      </c>
      <c r="O3834" s="361" t="s">
        <v>439</v>
      </c>
    </row>
    <row r="3835" spans="1:16">
      <c r="A3835" s="364" t="s">
        <v>316</v>
      </c>
      <c r="B3835" s="364" t="s">
        <v>316</v>
      </c>
      <c r="C3835" s="364" t="s">
        <v>451</v>
      </c>
      <c r="D3835" s="364" t="s">
        <v>441</v>
      </c>
      <c r="E3835" s="364" t="s">
        <v>442</v>
      </c>
      <c r="F3835" s="364" t="s">
        <v>443</v>
      </c>
      <c r="G3835" s="364" t="s">
        <v>441</v>
      </c>
      <c r="I3835" s="364" t="s">
        <v>441</v>
      </c>
      <c r="J3835" s="364" t="s">
        <v>1773</v>
      </c>
      <c r="K3835" s="364" t="s">
        <v>1771</v>
      </c>
      <c r="L3835" s="364" t="s">
        <v>355</v>
      </c>
      <c r="M3835" s="364" t="s">
        <v>443</v>
      </c>
      <c r="N3835" s="364" t="s">
        <v>1763</v>
      </c>
      <c r="O3835" s="364" t="s">
        <v>441</v>
      </c>
    </row>
    <row r="3836" spans="1:16">
      <c r="D3836" s="361" t="s">
        <v>532</v>
      </c>
      <c r="E3836" s="361" t="s">
        <v>541</v>
      </c>
      <c r="F3836" s="361" t="s">
        <v>542</v>
      </c>
      <c r="G3836" s="361" t="s">
        <v>1764</v>
      </c>
      <c r="I3836" s="334" t="str">
        <f>"(5)"</f>
        <v>(5)</v>
      </c>
      <c r="J3836" s="334" t="str">
        <f>"(6)"</f>
        <v>(6)</v>
      </c>
      <c r="K3836" s="334" t="str">
        <f>"(7)=((1+4)/2*6/12))"</f>
        <v>(7)=((1+4)/2*6/12))</v>
      </c>
      <c r="L3836" s="334" t="str">
        <f>"(8)"</f>
        <v>(8)</v>
      </c>
      <c r="M3836" s="334" t="str">
        <f>"(9)"</f>
        <v>(9)</v>
      </c>
      <c r="N3836" s="334" t="str">
        <f>"(10)"</f>
        <v>(10)</v>
      </c>
      <c r="O3836" s="334" t="str">
        <f>"(11=5+7+8+9+10)"</f>
        <v>(11=5+7+8+9+10)</v>
      </c>
    </row>
    <row r="3837" spans="1:16">
      <c r="D3837" s="361" t="s">
        <v>320</v>
      </c>
      <c r="E3837" s="361" t="s">
        <v>320</v>
      </c>
      <c r="F3837" s="361" t="s">
        <v>320</v>
      </c>
      <c r="G3837" s="361" t="s">
        <v>320</v>
      </c>
      <c r="I3837" s="334" t="s">
        <v>320</v>
      </c>
      <c r="J3837" s="334" t="s">
        <v>529</v>
      </c>
      <c r="K3837" s="334" t="s">
        <v>320</v>
      </c>
      <c r="L3837" s="334" t="s">
        <v>320</v>
      </c>
      <c r="M3837" s="334" t="s">
        <v>320</v>
      </c>
      <c r="N3837" s="334" t="s">
        <v>320</v>
      </c>
      <c r="O3837" s="334" t="s">
        <v>320</v>
      </c>
    </row>
    <row r="3838" spans="1:16">
      <c r="A3838" s="361">
        <v>1</v>
      </c>
      <c r="B3838" s="363" t="s">
        <v>411</v>
      </c>
      <c r="D3838" s="361"/>
      <c r="E3838" s="361"/>
      <c r="F3838" s="361"/>
      <c r="G3838" s="361"/>
      <c r="I3838" s="334"/>
      <c r="J3838" s="334"/>
      <c r="K3838" s="334"/>
      <c r="L3838" s="334"/>
      <c r="M3838" s="334"/>
      <c r="N3838" s="334"/>
      <c r="O3838" s="334"/>
    </row>
    <row r="3839" spans="1:16">
      <c r="A3839" s="361">
        <f>A3838+1</f>
        <v>2</v>
      </c>
      <c r="B3839" s="365">
        <v>391.1</v>
      </c>
      <c r="C3839" s="358" t="s">
        <v>412</v>
      </c>
      <c r="D3839" s="1243">
        <f t="shared" ref="D3839:D3852" si="738">G3725</f>
        <v>921741.33000000007</v>
      </c>
      <c r="E3839" s="1243">
        <v>0</v>
      </c>
      <c r="F3839" s="1243">
        <v>0</v>
      </c>
      <c r="G3839" s="1243">
        <f>SUM(D3839:F3839)</f>
        <v>921741.33000000007</v>
      </c>
      <c r="H3839" s="1243"/>
      <c r="I3839" s="1245">
        <f t="shared" ref="I3839:I3852" si="739">O3725</f>
        <v>296442.12</v>
      </c>
      <c r="J3839" s="376">
        <f t="shared" ref="J3839:J3852" si="740">+J3725</f>
        <v>0.05</v>
      </c>
      <c r="K3839" s="1243">
        <f>ROUND((G3839+D3839)/2*J3839/12,0)</f>
        <v>3841</v>
      </c>
      <c r="L3839" s="1243">
        <f>+L3725</f>
        <v>4814.416666666667</v>
      </c>
      <c r="M3839" s="1243">
        <f t="shared" ref="M3839:M3852" si="741">F3839</f>
        <v>0</v>
      </c>
      <c r="N3839" s="1243">
        <v>0</v>
      </c>
      <c r="O3839" s="1243">
        <f t="shared" ref="O3839:O3852" si="742">I3839+K3839+L3839+M3839+N3839</f>
        <v>305097.53666666668</v>
      </c>
    </row>
    <row r="3840" spans="1:16">
      <c r="A3840" s="361">
        <f t="shared" ref="A3840:A3853" si="743">A3839+1</f>
        <v>3</v>
      </c>
      <c r="B3840" s="365">
        <v>391.11</v>
      </c>
      <c r="C3840" s="358" t="s">
        <v>413</v>
      </c>
      <c r="D3840" s="1243">
        <f t="shared" si="738"/>
        <v>0</v>
      </c>
      <c r="E3840" s="1243">
        <v>0</v>
      </c>
      <c r="F3840" s="1243">
        <v>0</v>
      </c>
      <c r="G3840" s="1243">
        <f t="shared" ref="G3840:G3847" si="744">SUM(D3840:F3840)</f>
        <v>0</v>
      </c>
      <c r="H3840" s="1243"/>
      <c r="I3840" s="1245">
        <f t="shared" si="739"/>
        <v>-7889.5400000000018</v>
      </c>
      <c r="J3840" s="376">
        <f t="shared" si="740"/>
        <v>0</v>
      </c>
      <c r="K3840" s="1243">
        <f>ROUND((G3840+D3840)/2*J3840/12,0)</f>
        <v>0</v>
      </c>
      <c r="L3840" s="1243">
        <f t="shared" ref="L3840:L3852" si="745">+L3726</f>
        <v>525.91666666666663</v>
      </c>
      <c r="M3840" s="1243">
        <f t="shared" si="741"/>
        <v>0</v>
      </c>
      <c r="N3840" s="1243">
        <v>0</v>
      </c>
      <c r="O3840" s="1243">
        <f t="shared" si="742"/>
        <v>-7363.6233333333348</v>
      </c>
    </row>
    <row r="3841" spans="1:15">
      <c r="A3841" s="361">
        <f t="shared" si="743"/>
        <v>4</v>
      </c>
      <c r="B3841" s="365">
        <v>391.12</v>
      </c>
      <c r="C3841" s="358" t="s">
        <v>414</v>
      </c>
      <c r="D3841" s="1243">
        <f t="shared" si="738"/>
        <v>37129.580000000009</v>
      </c>
      <c r="E3841" s="1243">
        <v>0</v>
      </c>
      <c r="F3841" s="1243">
        <v>0</v>
      </c>
      <c r="G3841" s="1243">
        <f t="shared" si="744"/>
        <v>37129.580000000009</v>
      </c>
      <c r="H3841" s="1243"/>
      <c r="I3841" s="1245">
        <f t="shared" si="739"/>
        <v>17296.22</v>
      </c>
      <c r="J3841" s="376">
        <f t="shared" si="740"/>
        <v>0.2</v>
      </c>
      <c r="K3841" s="1243">
        <f>ROUND((G3841+D3841)/2*J3841/12,0)</f>
        <v>619</v>
      </c>
      <c r="L3841" s="1243">
        <f t="shared" si="745"/>
        <v>456.25</v>
      </c>
      <c r="M3841" s="1243">
        <f t="shared" si="741"/>
        <v>0</v>
      </c>
      <c r="N3841" s="1243">
        <v>0</v>
      </c>
      <c r="O3841" s="1243">
        <f t="shared" si="742"/>
        <v>18371.47</v>
      </c>
    </row>
    <row r="3842" spans="1:15">
      <c r="A3842" s="361">
        <f t="shared" si="743"/>
        <v>5</v>
      </c>
      <c r="B3842" s="365">
        <v>392.2</v>
      </c>
      <c r="C3842" s="358" t="s">
        <v>524</v>
      </c>
      <c r="D3842" s="1243">
        <f t="shared" si="738"/>
        <v>48924.4</v>
      </c>
      <c r="E3842" s="1243">
        <v>0</v>
      </c>
      <c r="F3842" s="1243">
        <v>0</v>
      </c>
      <c r="G3842" s="1243">
        <f t="shared" si="744"/>
        <v>48924.4</v>
      </c>
      <c r="H3842" s="1243"/>
      <c r="I3842" s="1245">
        <f t="shared" si="739"/>
        <v>17920.359999999961</v>
      </c>
      <c r="J3842" s="376">
        <f t="shared" si="740"/>
        <v>8.9999999999999993E-3</v>
      </c>
      <c r="K3842" s="1243">
        <f>ROUND((G3842+D3842)/2*J3842/12,0)</f>
        <v>37</v>
      </c>
      <c r="L3842" s="1243">
        <f t="shared" si="745"/>
        <v>0</v>
      </c>
      <c r="M3842" s="1243">
        <f t="shared" si="741"/>
        <v>0</v>
      </c>
      <c r="N3842" s="1243">
        <v>0</v>
      </c>
      <c r="O3842" s="1243">
        <f t="shared" si="742"/>
        <v>17957.359999999961</v>
      </c>
    </row>
    <row r="3843" spans="1:15">
      <c r="A3843" s="361">
        <f t="shared" si="743"/>
        <v>6</v>
      </c>
      <c r="B3843" s="365">
        <v>392.21</v>
      </c>
      <c r="C3843" s="358" t="s">
        <v>415</v>
      </c>
      <c r="D3843" s="1243">
        <f t="shared" si="738"/>
        <v>24462.2</v>
      </c>
      <c r="E3843" s="1243">
        <v>0</v>
      </c>
      <c r="F3843" s="1243">
        <v>0</v>
      </c>
      <c r="G3843" s="1243">
        <f t="shared" si="744"/>
        <v>24462.2</v>
      </c>
      <c r="H3843" s="1243"/>
      <c r="I3843" s="1245">
        <f t="shared" si="739"/>
        <v>45096.01</v>
      </c>
      <c r="J3843" s="376">
        <f t="shared" si="740"/>
        <v>8.9999999999999993E-3</v>
      </c>
      <c r="K3843" s="1243">
        <f>ROUND((G3843+D3843)/2*J3843/12,0)</f>
        <v>18</v>
      </c>
      <c r="L3843" s="1243">
        <f t="shared" si="745"/>
        <v>0</v>
      </c>
      <c r="M3843" s="1243">
        <f t="shared" si="741"/>
        <v>0</v>
      </c>
      <c r="N3843" s="1243">
        <v>0</v>
      </c>
      <c r="O3843" s="1243">
        <f t="shared" si="742"/>
        <v>45114.01</v>
      </c>
    </row>
    <row r="3844" spans="1:15">
      <c r="A3844" s="361">
        <f t="shared" si="743"/>
        <v>7</v>
      </c>
      <c r="B3844" s="365">
        <v>393</v>
      </c>
      <c r="C3844" s="358" t="s">
        <v>416</v>
      </c>
      <c r="D3844" s="1243">
        <f t="shared" si="738"/>
        <v>0</v>
      </c>
      <c r="E3844" s="1243">
        <v>0</v>
      </c>
      <c r="F3844" s="1243">
        <v>0</v>
      </c>
      <c r="G3844" s="1243">
        <f t="shared" si="744"/>
        <v>0</v>
      </c>
      <c r="H3844" s="1243"/>
      <c r="I3844" s="1245">
        <f t="shared" si="739"/>
        <v>0</v>
      </c>
      <c r="J3844" s="376" t="str">
        <f t="shared" si="740"/>
        <v>Amort.</v>
      </c>
      <c r="K3844" s="1243">
        <v>0</v>
      </c>
      <c r="L3844" s="1243">
        <f t="shared" si="745"/>
        <v>0</v>
      </c>
      <c r="M3844" s="1243">
        <f t="shared" si="741"/>
        <v>0</v>
      </c>
      <c r="N3844" s="1243">
        <v>0</v>
      </c>
      <c r="O3844" s="1243">
        <f t="shared" si="742"/>
        <v>0</v>
      </c>
    </row>
    <row r="3845" spans="1:15">
      <c r="A3845" s="361">
        <f t="shared" si="743"/>
        <v>8</v>
      </c>
      <c r="B3845" s="365">
        <v>394.1</v>
      </c>
      <c r="C3845" s="358" t="s">
        <v>417</v>
      </c>
      <c r="D3845" s="1243">
        <f t="shared" si="738"/>
        <v>9739</v>
      </c>
      <c r="E3845" s="1243">
        <v>0</v>
      </c>
      <c r="F3845" s="1243">
        <v>0</v>
      </c>
      <c r="G3845" s="1243">
        <f t="shared" si="744"/>
        <v>9739</v>
      </c>
      <c r="H3845" s="1243"/>
      <c r="I3845" s="1245">
        <f t="shared" si="739"/>
        <v>4748.0700000000006</v>
      </c>
      <c r="J3845" s="376">
        <f t="shared" si="740"/>
        <v>0.04</v>
      </c>
      <c r="K3845" s="1243">
        <f>ROUND((G3845+D3845)/2*J3845/12,0)</f>
        <v>32</v>
      </c>
      <c r="L3845" s="1243">
        <f t="shared" si="745"/>
        <v>0</v>
      </c>
      <c r="M3845" s="1243">
        <f t="shared" si="741"/>
        <v>0</v>
      </c>
      <c r="N3845" s="1243">
        <v>0</v>
      </c>
      <c r="O3845" s="1243">
        <f t="shared" si="742"/>
        <v>4780.0700000000006</v>
      </c>
    </row>
    <row r="3846" spans="1:15">
      <c r="A3846" s="361">
        <f t="shared" si="743"/>
        <v>9</v>
      </c>
      <c r="B3846" s="365">
        <v>394.11</v>
      </c>
      <c r="C3846" s="358" t="s">
        <v>418</v>
      </c>
      <c r="D3846" s="1243">
        <f t="shared" si="738"/>
        <v>0</v>
      </c>
      <c r="E3846" s="1243">
        <v>0</v>
      </c>
      <c r="F3846" s="1243">
        <v>0</v>
      </c>
      <c r="G3846" s="1243">
        <f t="shared" si="744"/>
        <v>0</v>
      </c>
      <c r="H3846" s="1243"/>
      <c r="I3846" s="1245">
        <f t="shared" si="739"/>
        <v>-26071.5</v>
      </c>
      <c r="J3846" s="376">
        <f t="shared" si="740"/>
        <v>0.04</v>
      </c>
      <c r="K3846" s="1243">
        <f>ROUND((G3846+D3846)/2*J3846/12,0)</f>
        <v>0</v>
      </c>
      <c r="L3846" s="1243">
        <f t="shared" si="745"/>
        <v>0</v>
      </c>
      <c r="M3846" s="1243">
        <f t="shared" si="741"/>
        <v>0</v>
      </c>
      <c r="N3846" s="1243">
        <v>0</v>
      </c>
      <c r="O3846" s="1243">
        <f t="shared" si="742"/>
        <v>-26071.5</v>
      </c>
    </row>
    <row r="3847" spans="1:15">
      <c r="A3847" s="361">
        <f t="shared" si="743"/>
        <v>10</v>
      </c>
      <c r="B3847" s="365">
        <v>394.13</v>
      </c>
      <c r="C3847" s="358" t="s">
        <v>515</v>
      </c>
      <c r="D3847" s="1243">
        <f t="shared" si="738"/>
        <v>0</v>
      </c>
      <c r="E3847" s="1243">
        <v>0</v>
      </c>
      <c r="F3847" s="1243">
        <v>0</v>
      </c>
      <c r="G3847" s="1243">
        <f t="shared" si="744"/>
        <v>0</v>
      </c>
      <c r="H3847" s="1243"/>
      <c r="I3847" s="1245">
        <f t="shared" si="739"/>
        <v>21368.36</v>
      </c>
      <c r="J3847" s="376" t="str">
        <f t="shared" si="740"/>
        <v>Amort.</v>
      </c>
      <c r="K3847" s="1243">
        <v>0</v>
      </c>
      <c r="L3847" s="1243">
        <f t="shared" si="745"/>
        <v>-789</v>
      </c>
      <c r="M3847" s="1243">
        <f t="shared" si="741"/>
        <v>0</v>
      </c>
      <c r="N3847" s="1243">
        <v>0</v>
      </c>
      <c r="O3847" s="1243">
        <f t="shared" si="742"/>
        <v>20579.36</v>
      </c>
    </row>
    <row r="3848" spans="1:15">
      <c r="A3848" s="361">
        <f t="shared" si="743"/>
        <v>11</v>
      </c>
      <c r="B3848" s="365">
        <v>394.2</v>
      </c>
      <c r="C3848" s="358" t="s">
        <v>420</v>
      </c>
      <c r="D3848" s="1243">
        <f t="shared" si="738"/>
        <v>0</v>
      </c>
      <c r="E3848" s="1243">
        <v>0</v>
      </c>
      <c r="F3848" s="1243">
        <v>0</v>
      </c>
      <c r="G3848" s="1243">
        <f>SUM(D3848:F3848)</f>
        <v>0</v>
      </c>
      <c r="H3848" s="1243"/>
      <c r="I3848" s="1245">
        <f t="shared" si="739"/>
        <v>185.21</v>
      </c>
      <c r="J3848" s="376">
        <f t="shared" si="740"/>
        <v>0.04</v>
      </c>
      <c r="K3848" s="1243">
        <f>ROUND((G3848+D3848)/2*J3848/12,0)</f>
        <v>0</v>
      </c>
      <c r="L3848" s="1243">
        <f t="shared" si="745"/>
        <v>0</v>
      </c>
      <c r="M3848" s="1243">
        <f t="shared" si="741"/>
        <v>0</v>
      </c>
      <c r="N3848" s="1243">
        <v>0</v>
      </c>
      <c r="O3848" s="1243">
        <f t="shared" si="742"/>
        <v>185.21</v>
      </c>
    </row>
    <row r="3849" spans="1:15">
      <c r="A3849" s="361">
        <f t="shared" si="743"/>
        <v>12</v>
      </c>
      <c r="B3849" s="365">
        <v>394.3</v>
      </c>
      <c r="C3849" s="358" t="s">
        <v>1602</v>
      </c>
      <c r="D3849" s="1243">
        <f t="shared" si="738"/>
        <v>6775835.9400000004</v>
      </c>
      <c r="E3849" s="1243">
        <v>39111.040000000001</v>
      </c>
      <c r="F3849" s="1243">
        <v>-34855.599999999999</v>
      </c>
      <c r="G3849" s="1243">
        <f>SUM(D3849:F3849)</f>
        <v>6780091.3800000008</v>
      </c>
      <c r="H3849" s="1243"/>
      <c r="I3849" s="1245">
        <f t="shared" si="739"/>
        <v>1317719.5499999998</v>
      </c>
      <c r="J3849" s="376">
        <f t="shared" si="740"/>
        <v>0.04</v>
      </c>
      <c r="K3849" s="1243">
        <f>ROUND((G3849+D3849)/2*J3849/12,0)</f>
        <v>22593</v>
      </c>
      <c r="L3849" s="1243">
        <f t="shared" si="745"/>
        <v>0</v>
      </c>
      <c r="M3849" s="1243">
        <f t="shared" si="741"/>
        <v>-34855.599999999999</v>
      </c>
      <c r="N3849" s="1243">
        <v>0</v>
      </c>
      <c r="O3849" s="1243">
        <f t="shared" si="742"/>
        <v>1305456.9499999997</v>
      </c>
    </row>
    <row r="3850" spans="1:15">
      <c r="A3850" s="361">
        <f t="shared" si="743"/>
        <v>13</v>
      </c>
      <c r="B3850" s="365">
        <v>395</v>
      </c>
      <c r="C3850" s="358" t="s">
        <v>422</v>
      </c>
      <c r="D3850" s="1243">
        <f t="shared" si="738"/>
        <v>0</v>
      </c>
      <c r="E3850" s="1243">
        <v>0</v>
      </c>
      <c r="F3850" s="1243">
        <v>0</v>
      </c>
      <c r="G3850" s="1243">
        <f>SUM(D3850:F3850)</f>
        <v>0</v>
      </c>
      <c r="H3850" s="1243"/>
      <c r="I3850" s="1245">
        <f t="shared" si="739"/>
        <v>-158.44999999999845</v>
      </c>
      <c r="J3850" s="376">
        <f t="shared" si="740"/>
        <v>0.05</v>
      </c>
      <c r="K3850" s="1243">
        <f>ROUND((G3850+D3850)/2*J3850/12,0)</f>
        <v>0</v>
      </c>
      <c r="L3850" s="1243">
        <f t="shared" si="745"/>
        <v>-2.75</v>
      </c>
      <c r="M3850" s="1243">
        <f t="shared" si="741"/>
        <v>0</v>
      </c>
      <c r="N3850" s="1243">
        <v>0</v>
      </c>
      <c r="O3850" s="1243">
        <f t="shared" si="742"/>
        <v>-161.19999999999845</v>
      </c>
    </row>
    <row r="3851" spans="1:15">
      <c r="A3851" s="361">
        <f t="shared" si="743"/>
        <v>14</v>
      </c>
      <c r="B3851" s="365">
        <v>396</v>
      </c>
      <c r="C3851" s="358" t="s">
        <v>423</v>
      </c>
      <c r="D3851" s="1243">
        <f t="shared" si="738"/>
        <v>185547</v>
      </c>
      <c r="E3851" s="1243">
        <v>0</v>
      </c>
      <c r="F3851" s="1243">
        <v>0</v>
      </c>
      <c r="G3851" s="1243">
        <f>SUM(D3851:F3851)</f>
        <v>185547</v>
      </c>
      <c r="H3851" s="1243"/>
      <c r="I3851" s="1245">
        <f t="shared" si="739"/>
        <v>171938.14</v>
      </c>
      <c r="J3851" s="376">
        <f t="shared" si="740"/>
        <v>0</v>
      </c>
      <c r="K3851" s="1243">
        <f>ROUND((G3851+D3851)/2*J3851/12,0)</f>
        <v>0</v>
      </c>
      <c r="L3851" s="1243">
        <f t="shared" si="745"/>
        <v>0</v>
      </c>
      <c r="M3851" s="1243">
        <f t="shared" si="741"/>
        <v>0</v>
      </c>
      <c r="N3851" s="1243">
        <v>0</v>
      </c>
      <c r="O3851" s="1243">
        <f t="shared" si="742"/>
        <v>171938.14</v>
      </c>
    </row>
    <row r="3852" spans="1:15">
      <c r="A3852" s="361">
        <f t="shared" si="743"/>
        <v>15</v>
      </c>
      <c r="B3852" s="365">
        <v>398</v>
      </c>
      <c r="C3852" s="358" t="s">
        <v>424</v>
      </c>
      <c r="D3852" s="1244">
        <f t="shared" si="738"/>
        <v>148028.20000000001</v>
      </c>
      <c r="E3852" s="1244">
        <v>0</v>
      </c>
      <c r="F3852" s="1244">
        <v>0</v>
      </c>
      <c r="G3852" s="1244">
        <f>SUM(D3852:F3852)</f>
        <v>148028.20000000001</v>
      </c>
      <c r="H3852" s="1243"/>
      <c r="I3852" s="1246">
        <f t="shared" si="739"/>
        <v>92955.049999999988</v>
      </c>
      <c r="J3852" s="376">
        <f t="shared" si="740"/>
        <v>6.6699999999999995E-2</v>
      </c>
      <c r="K3852" s="1244">
        <f>ROUND((G3852+D3852)/2*J3852/12,0)</f>
        <v>823</v>
      </c>
      <c r="L3852" s="1244">
        <f t="shared" si="745"/>
        <v>265.16666666666669</v>
      </c>
      <c r="M3852" s="1244">
        <f t="shared" si="741"/>
        <v>0</v>
      </c>
      <c r="N3852" s="1244">
        <v>0</v>
      </c>
      <c r="O3852" s="1244">
        <f t="shared" si="742"/>
        <v>94043.21666666666</v>
      </c>
    </row>
    <row r="3853" spans="1:15">
      <c r="A3853" s="361">
        <f t="shared" si="743"/>
        <v>16</v>
      </c>
      <c r="B3853" s="367"/>
      <c r="C3853" s="358" t="s">
        <v>425</v>
      </c>
      <c r="D3853" s="1243">
        <f>SUM(D3839:D3852)</f>
        <v>8151407.6500000004</v>
      </c>
      <c r="E3853" s="1243">
        <f>SUM(E3839:E3852)</f>
        <v>39111.040000000001</v>
      </c>
      <c r="F3853" s="1243">
        <f>SUM(F3839:F3852)</f>
        <v>-34855.599999999999</v>
      </c>
      <c r="G3853" s="1243">
        <f>SUM(G3839:G3852)</f>
        <v>8155663.0900000008</v>
      </c>
      <c r="H3853" s="1243"/>
      <c r="I3853" s="1243">
        <f>SUM(I3839:I3852)</f>
        <v>1951549.5999999999</v>
      </c>
      <c r="J3853" s="369"/>
      <c r="K3853" s="1243">
        <f>SUM(K3839:K3852)</f>
        <v>27963</v>
      </c>
      <c r="L3853" s="1243">
        <f>SUM(L3839:L3852)</f>
        <v>5270.0000000000009</v>
      </c>
      <c r="M3853" s="1243">
        <f>SUM(M3839:M3852)</f>
        <v>-34855.599999999999</v>
      </c>
      <c r="N3853" s="1243">
        <f>SUM(N3839:N3852)</f>
        <v>0</v>
      </c>
      <c r="O3853" s="1243">
        <f>SUM(O3839:O3852)</f>
        <v>1949926.9999999998</v>
      </c>
    </row>
    <row r="3854" spans="1:15">
      <c r="A3854" s="361"/>
      <c r="D3854" s="1243"/>
      <c r="E3854" s="1243"/>
      <c r="F3854" s="1243"/>
      <c r="G3854" s="1243"/>
      <c r="H3854" s="1243"/>
      <c r="I3854" s="1243"/>
      <c r="J3854" s="369"/>
      <c r="K3854" s="1243"/>
      <c r="L3854" s="1243"/>
      <c r="M3854" s="1243"/>
      <c r="N3854" s="1243"/>
      <c r="O3854" s="1243"/>
    </row>
    <row r="3855" spans="1:15">
      <c r="A3855" s="361">
        <f>A3853+1</f>
        <v>17</v>
      </c>
      <c r="B3855" s="363" t="s">
        <v>1038</v>
      </c>
      <c r="D3855" s="1243"/>
      <c r="E3855" s="1243"/>
      <c r="F3855" s="1243"/>
      <c r="G3855" s="1243"/>
      <c r="H3855" s="1243"/>
      <c r="I3855" s="1243"/>
      <c r="J3855" s="369"/>
      <c r="K3855" s="1243"/>
      <c r="L3855" s="1243"/>
      <c r="M3855" s="1243"/>
      <c r="N3855" s="1243"/>
      <c r="O3855" s="1243"/>
    </row>
    <row r="3856" spans="1:15">
      <c r="A3856" s="361">
        <f>A3855+1</f>
        <v>18</v>
      </c>
      <c r="B3856" s="365">
        <v>378.21</v>
      </c>
      <c r="C3856" s="358" t="s">
        <v>1037</v>
      </c>
      <c r="D3856" s="1244">
        <f>G3742</f>
        <v>-777092</v>
      </c>
      <c r="E3856" s="1244">
        <v>0</v>
      </c>
      <c r="F3856" s="1244">
        <v>0</v>
      </c>
      <c r="G3856" s="1244">
        <f>SUM(D3856:F3856)</f>
        <v>-777092</v>
      </c>
      <c r="H3856" s="1243"/>
      <c r="I3856" s="1244">
        <f>O3742</f>
        <v>-249397.91000000038</v>
      </c>
      <c r="J3856" s="376" t="str">
        <f>$J$1690</f>
        <v>Amort.</v>
      </c>
      <c r="K3856" s="1244">
        <f>$K$1348</f>
        <v>-2144.17</v>
      </c>
      <c r="L3856" s="1244">
        <v>0</v>
      </c>
      <c r="M3856" s="1244">
        <f>F3856</f>
        <v>0</v>
      </c>
      <c r="N3856" s="1244">
        <v>0</v>
      </c>
      <c r="O3856" s="1244">
        <f>I3856+K3856+L3856+M3856+N3856</f>
        <v>-251542.08000000039</v>
      </c>
    </row>
    <row r="3857" spans="1:15">
      <c r="A3857" s="361">
        <f>A3856+1</f>
        <v>19</v>
      </c>
      <c r="B3857" s="370"/>
      <c r="C3857" s="358" t="s">
        <v>1579</v>
      </c>
      <c r="D3857" s="1243">
        <f>SUM(D3856)</f>
        <v>-777092</v>
      </c>
      <c r="E3857" s="1243">
        <f>SUM(E3856)</f>
        <v>0</v>
      </c>
      <c r="F3857" s="1243">
        <f>SUM(F3856)</f>
        <v>0</v>
      </c>
      <c r="G3857" s="1243">
        <f>SUM(G3856)</f>
        <v>-777092</v>
      </c>
      <c r="H3857" s="1243"/>
      <c r="I3857" s="1243">
        <f>SUM(I3856)</f>
        <v>-249397.91000000038</v>
      </c>
      <c r="J3857" s="369"/>
      <c r="K3857" s="1243">
        <f>SUM(K3856)</f>
        <v>-2144.17</v>
      </c>
      <c r="L3857" s="1243">
        <f>SUM(L3856)</f>
        <v>0</v>
      </c>
      <c r="M3857" s="1243">
        <f>SUM(M3856)</f>
        <v>0</v>
      </c>
      <c r="N3857" s="1243">
        <f>SUM(N3856)</f>
        <v>0</v>
      </c>
      <c r="O3857" s="1243">
        <f>SUM(O3856)</f>
        <v>-251542.08000000039</v>
      </c>
    </row>
    <row r="3858" spans="1:15">
      <c r="A3858" s="361"/>
      <c r="B3858" s="370"/>
      <c r="D3858" s="1243"/>
      <c r="E3858" s="1243"/>
      <c r="F3858" s="1243"/>
      <c r="G3858" s="1243"/>
      <c r="H3858" s="1243"/>
      <c r="I3858" s="1243"/>
      <c r="J3858" s="369"/>
      <c r="K3858" s="1243"/>
      <c r="L3858" s="1243"/>
      <c r="M3858" s="1243"/>
      <c r="N3858" s="1243"/>
      <c r="O3858" s="1243"/>
    </row>
    <row r="3859" spans="1:15">
      <c r="A3859" s="361">
        <f>A3857+1</f>
        <v>20</v>
      </c>
      <c r="B3859" s="370"/>
      <c r="C3859" s="358" t="s">
        <v>2037</v>
      </c>
      <c r="D3859" s="1243">
        <f>D3786+D3819+D3853+D3857</f>
        <v>781744211.19162297</v>
      </c>
      <c r="E3859" s="1243">
        <f>E3786+E3819+E3853+E3857</f>
        <v>2239103.4853225742</v>
      </c>
      <c r="F3859" s="1243">
        <f>F3786+F3819+F3853+F3857</f>
        <v>-358081.86896278552</v>
      </c>
      <c r="G3859" s="1243">
        <f>G3786+G3819+G3853+G3857</f>
        <v>783625232.80798268</v>
      </c>
      <c r="H3859" s="1243"/>
      <c r="I3859" s="1243">
        <f>I3786+I3819+I3853+I3857</f>
        <v>206577698.79840603</v>
      </c>
      <c r="J3859" s="369"/>
      <c r="K3859" s="1243">
        <f>K3786+K3819+K3853+K3857</f>
        <v>2240654.057661091</v>
      </c>
      <c r="L3859" s="1243">
        <f>L3786+L3819+L3853+L3857</f>
        <v>5270.0000000000009</v>
      </c>
      <c r="M3859" s="1243">
        <f>M3786+M3819+M3853+M3857</f>
        <v>-358081.86896278552</v>
      </c>
      <c r="N3859" s="1243">
        <f>N3786+N3819+N3853+N3857</f>
        <v>-85584.154073426675</v>
      </c>
      <c r="O3859" s="1243">
        <f>O3786+O3819+O3853+O3857</f>
        <v>208379956.83303091</v>
      </c>
    </row>
    <row r="3860" spans="1:15">
      <c r="A3860" s="361"/>
      <c r="B3860" s="370"/>
      <c r="D3860" s="1243"/>
      <c r="E3860" s="1243"/>
      <c r="F3860" s="1243"/>
      <c r="G3860" s="1243"/>
      <c r="H3860" s="1243"/>
      <c r="I3860" s="1243"/>
      <c r="J3860" s="369"/>
      <c r="K3860" s="1243"/>
      <c r="L3860" s="1243"/>
      <c r="M3860" s="1243"/>
      <c r="N3860" s="1243"/>
      <c r="O3860" s="1243"/>
    </row>
    <row r="3861" spans="1:15">
      <c r="A3861" s="361">
        <f>A3859+1</f>
        <v>21</v>
      </c>
      <c r="B3861" s="370"/>
      <c r="C3861" s="358" t="s">
        <v>2038</v>
      </c>
      <c r="D3861" s="1243">
        <v>0</v>
      </c>
      <c r="E3861" s="1249">
        <v>0</v>
      </c>
      <c r="F3861" s="1249">
        <v>0</v>
      </c>
      <c r="G3861" s="1249">
        <f>SUM(D3861:F3861)</f>
        <v>0</v>
      </c>
      <c r="H3861" s="1243"/>
      <c r="I3861" s="1243">
        <f>O3747</f>
        <v>-6687302.71</v>
      </c>
      <c r="J3861" s="369"/>
      <c r="K3861" s="1243"/>
      <c r="L3861" s="1243"/>
      <c r="M3861" s="1243"/>
      <c r="N3861" s="1243"/>
      <c r="O3861" s="1243">
        <f>I3861+K3861+L3861+M3861+N3861</f>
        <v>-6687302.71</v>
      </c>
    </row>
    <row r="3862" spans="1:15">
      <c r="A3862" s="361"/>
      <c r="B3862" s="370"/>
      <c r="C3862" s="368"/>
      <c r="D3862" s="1243"/>
      <c r="E3862" s="1243"/>
      <c r="F3862" s="1243"/>
      <c r="G3862" s="1243"/>
      <c r="H3862" s="1243"/>
      <c r="I3862" s="1243"/>
      <c r="J3862" s="369"/>
      <c r="K3862" s="1243"/>
      <c r="L3862" s="1243"/>
      <c r="M3862" s="1243"/>
      <c r="N3862" s="1243"/>
      <c r="O3862" s="1243"/>
    </row>
    <row r="3863" spans="1:15">
      <c r="A3863" s="361">
        <f>A3861+1</f>
        <v>22</v>
      </c>
      <c r="C3863" s="358" t="s">
        <v>1603</v>
      </c>
      <c r="D3863" s="1247">
        <f>D3859+D3861</f>
        <v>781744211.19162297</v>
      </c>
      <c r="E3863" s="1247">
        <f t="shared" ref="E3863:O3863" si="746">E3859+E3861</f>
        <v>2239103.4853225742</v>
      </c>
      <c r="F3863" s="1247">
        <f t="shared" si="746"/>
        <v>-358081.86896278552</v>
      </c>
      <c r="G3863" s="1247">
        <f t="shared" si="746"/>
        <v>783625232.80798268</v>
      </c>
      <c r="H3863" s="1243"/>
      <c r="I3863" s="1247">
        <f t="shared" si="746"/>
        <v>199890396.08840603</v>
      </c>
      <c r="J3863" s="369"/>
      <c r="K3863" s="1247">
        <f t="shared" si="746"/>
        <v>2240654.057661091</v>
      </c>
      <c r="L3863" s="1247">
        <f t="shared" si="746"/>
        <v>5270.0000000000009</v>
      </c>
      <c r="M3863" s="1247">
        <f t="shared" si="746"/>
        <v>-358081.86896278552</v>
      </c>
      <c r="N3863" s="1247">
        <f t="shared" si="746"/>
        <v>-85584.154073426675</v>
      </c>
      <c r="O3863" s="1247">
        <f t="shared" si="746"/>
        <v>201692654.1230309</v>
      </c>
    </row>
    <row r="3864" spans="1:15">
      <c r="A3864" s="361"/>
      <c r="D3864" s="1243"/>
      <c r="E3864" s="1243"/>
      <c r="F3864" s="1243"/>
      <c r="G3864" s="1243"/>
      <c r="H3864" s="1243"/>
      <c r="I3864" s="1243"/>
      <c r="J3864" s="369"/>
      <c r="K3864" s="1243"/>
      <c r="L3864" s="1243"/>
      <c r="M3864" s="1243"/>
      <c r="N3864" s="1243"/>
      <c r="O3864" s="1243"/>
    </row>
    <row r="3865" spans="1:15">
      <c r="A3865" s="361"/>
      <c r="D3865" s="1243"/>
      <c r="E3865" s="1243"/>
      <c r="F3865" s="1243"/>
      <c r="G3865" s="1243"/>
      <c r="H3865" s="1243"/>
      <c r="I3865" s="1243"/>
      <c r="J3865" s="369"/>
      <c r="K3865" s="1243"/>
      <c r="L3865" s="1243"/>
      <c r="M3865" s="1243"/>
      <c r="N3865" s="1243"/>
      <c r="O3865" s="1243"/>
    </row>
    <row r="3866" spans="1:15">
      <c r="A3866" s="361">
        <f>A3863+1</f>
        <v>23</v>
      </c>
      <c r="B3866" s="363" t="s">
        <v>1774</v>
      </c>
      <c r="D3866" s="1243"/>
      <c r="E3866" s="1243"/>
      <c r="F3866" s="1243"/>
      <c r="G3866" s="1243"/>
      <c r="H3866" s="1243"/>
      <c r="I3866" s="1243"/>
      <c r="J3866" s="369"/>
      <c r="K3866" s="1243"/>
      <c r="L3866" s="1243"/>
      <c r="M3866" s="1243"/>
      <c r="N3866" s="1243"/>
      <c r="O3866" s="1243"/>
    </row>
    <row r="3867" spans="1:15">
      <c r="A3867" s="361">
        <f t="shared" ref="A3867:A3872" si="747">A3866+1</f>
        <v>24</v>
      </c>
      <c r="B3867" s="365">
        <v>376</v>
      </c>
      <c r="C3867" s="358" t="s">
        <v>1775</v>
      </c>
      <c r="D3867" s="1243">
        <f>G3753</f>
        <v>66565710.590791062</v>
      </c>
      <c r="E3867" s="1243">
        <f>'WPB-2.1.D SMRP'!E1536</f>
        <v>3249371.7408212386</v>
      </c>
      <c r="F3867" s="1243">
        <f>'WPB-2.1.D SMRP'!F1536</f>
        <v>-19632.68</v>
      </c>
      <c r="G3867" s="1243">
        <f>SUM(D3867:F3867)</f>
        <v>69795449.651612297</v>
      </c>
      <c r="H3867" s="1243"/>
      <c r="I3867" s="1243">
        <f>O3753</f>
        <v>872546.53921975824</v>
      </c>
      <c r="J3867" s="376">
        <f>+J3753</f>
        <v>1.7999999999999999E-2</v>
      </c>
      <c r="K3867" s="1243">
        <f>'WPB-2.1.D SMRP'!K1536</f>
        <v>102270.87</v>
      </c>
      <c r="L3867" s="1243">
        <v>0</v>
      </c>
      <c r="M3867" s="1243">
        <f>F3867</f>
        <v>-19632.68</v>
      </c>
      <c r="N3867" s="1243">
        <f>'WPB-2.1.D SMRP'!N1536</f>
        <v>-25.487644775335699</v>
      </c>
      <c r="O3867" s="1243">
        <f>I3867+K3867+L3867+M3867+N3867</f>
        <v>955159.24157498288</v>
      </c>
    </row>
    <row r="3868" spans="1:15">
      <c r="A3868" s="361">
        <f t="shared" si="747"/>
        <v>25</v>
      </c>
      <c r="B3868" s="365">
        <v>378.2</v>
      </c>
      <c r="C3868" s="358" t="s">
        <v>1776</v>
      </c>
      <c r="D3868" s="1243">
        <f>G3754</f>
        <v>599780.62011021946</v>
      </c>
      <c r="E3868" s="1243">
        <f>'WPB-2.1.D SMRP'!E1537</f>
        <v>0</v>
      </c>
      <c r="F3868" s="1243">
        <f>'WPB-2.1.D SMRP'!F1537</f>
        <v>0</v>
      </c>
      <c r="G3868" s="1243">
        <f>SUM(D3868:F3868)</f>
        <v>599780.62011021946</v>
      </c>
      <c r="H3868" s="1243"/>
      <c r="I3868" s="1243">
        <f>O3754</f>
        <v>-929927.76754116011</v>
      </c>
      <c r="J3868" s="376">
        <f>+J3754</f>
        <v>3.3099999999999997E-2</v>
      </c>
      <c r="K3868" s="1243">
        <f>'WPB-2.1.D SMRP'!K1537</f>
        <v>1654.39</v>
      </c>
      <c r="L3868" s="1243">
        <v>0</v>
      </c>
      <c r="M3868" s="1243">
        <f>F3868</f>
        <v>0</v>
      </c>
      <c r="N3868" s="1243">
        <f>'WPB-2.1.D SMRP'!N1537</f>
        <v>0</v>
      </c>
      <c r="O3868" s="1243">
        <f>I3868+K3868+L3868+M3868+N3868</f>
        <v>-928273.37754116009</v>
      </c>
    </row>
    <row r="3869" spans="1:15">
      <c r="A3869" s="361">
        <f t="shared" si="747"/>
        <v>26</v>
      </c>
      <c r="B3869" s="365">
        <v>380</v>
      </c>
      <c r="C3869" s="358" t="s">
        <v>1777</v>
      </c>
      <c r="D3869" s="1243">
        <f>G3755</f>
        <v>27841783.222782765</v>
      </c>
      <c r="E3869" s="1243">
        <f>'WPB-2.1.D SMRP'!E1538</f>
        <v>990128.29193112417</v>
      </c>
      <c r="F3869" s="1243">
        <f>'WPB-2.1.D SMRP'!F1538</f>
        <v>-225902.71438488035</v>
      </c>
      <c r="G3869" s="1243">
        <f>SUM(D3869:F3869)</f>
        <v>28606008.800329007</v>
      </c>
      <c r="H3869" s="1243"/>
      <c r="I3869" s="1243">
        <f>O3755</f>
        <v>-13252480.074157726</v>
      </c>
      <c r="J3869" s="376">
        <f>+J3755</f>
        <v>5.1799999999999999E-2</v>
      </c>
      <c r="K3869" s="1243">
        <f>'WPB-2.1.D SMRP'!K1538</f>
        <v>121833.15</v>
      </c>
      <c r="L3869" s="1243">
        <v>0</v>
      </c>
      <c r="M3869" s="1243">
        <f>F3869</f>
        <v>-225902.71438488035</v>
      </c>
      <c r="N3869" s="1243">
        <f>'WPB-2.1.D SMRP'!N1538</f>
        <v>-160197.66828179799</v>
      </c>
      <c r="O3869" s="1243">
        <f>I3869+K3869+L3869+M3869+N3869</f>
        <v>-13516747.306824403</v>
      </c>
    </row>
    <row r="3870" spans="1:15">
      <c r="A3870" s="361">
        <f t="shared" si="747"/>
        <v>27</v>
      </c>
      <c r="B3870" s="365">
        <v>382</v>
      </c>
      <c r="C3870" s="358" t="s">
        <v>1778</v>
      </c>
      <c r="D3870" s="1243">
        <f>G3756</f>
        <v>255314.51311495912</v>
      </c>
      <c r="E3870" s="1243">
        <f>'WPB-2.1.D SMRP'!E1539</f>
        <v>11491.752897323218</v>
      </c>
      <c r="F3870" s="1243">
        <f>'WPB-2.1.D SMRP'!F1539</f>
        <v>-593.92188989270153</v>
      </c>
      <c r="G3870" s="1243">
        <f>SUM(D3870:F3870)</f>
        <v>266212.34412238962</v>
      </c>
      <c r="H3870" s="1243"/>
      <c r="I3870" s="1243">
        <f>O3756</f>
        <v>-75557.806474545272</v>
      </c>
      <c r="J3870" s="376">
        <f>+J3756</f>
        <v>2.2800000000000001E-2</v>
      </c>
      <c r="K3870" s="1243">
        <f>'WPB-2.1.D SMRP'!K1539</f>
        <v>495.45</v>
      </c>
      <c r="L3870" s="1243">
        <v>0</v>
      </c>
      <c r="M3870" s="1243">
        <f>F3870</f>
        <v>-593.92188989270153</v>
      </c>
      <c r="N3870" s="1243">
        <f>'WPB-2.1.D SMRP'!N1539</f>
        <v>0</v>
      </c>
      <c r="O3870" s="1243">
        <f>I3870+K3870+L3870+M3870+N3870</f>
        <v>-75656.278364437982</v>
      </c>
    </row>
    <row r="3871" spans="1:15">
      <c r="A3871" s="361">
        <f t="shared" si="747"/>
        <v>28</v>
      </c>
      <c r="B3871" s="365">
        <v>383</v>
      </c>
      <c r="C3871" s="358" t="s">
        <v>1779</v>
      </c>
      <c r="D3871" s="1244">
        <f>G3757</f>
        <v>184631.39059414319</v>
      </c>
      <c r="E3871" s="1244">
        <f>'WPB-2.1.D SMRP'!E1540</f>
        <v>6385.8309366335443</v>
      </c>
      <c r="F3871" s="1244">
        <f>'WPB-2.1.D SMRP'!F1540</f>
        <v>-122.55756875851567</v>
      </c>
      <c r="G3871" s="1244">
        <f>SUM(D3871:F3871)</f>
        <v>190894.66396201821</v>
      </c>
      <c r="H3871" s="1243"/>
      <c r="I3871" s="1244">
        <f>O3757</f>
        <v>-6960.3565110898726</v>
      </c>
      <c r="J3871" s="376">
        <f>+J3757</f>
        <v>2.2200000000000001E-2</v>
      </c>
      <c r="K3871" s="1244">
        <f>'WPB-2.1.D SMRP'!K1540</f>
        <v>347.36</v>
      </c>
      <c r="L3871" s="1244">
        <v>0</v>
      </c>
      <c r="M3871" s="1244">
        <f>F3871</f>
        <v>-122.55756875851567</v>
      </c>
      <c r="N3871" s="1244">
        <f>'WPB-2.1.D SMRP'!N1540</f>
        <v>0</v>
      </c>
      <c r="O3871" s="1244">
        <f>I3871+K3871+L3871+M3871+N3871</f>
        <v>-6735.5540798483889</v>
      </c>
    </row>
    <row r="3872" spans="1:15">
      <c r="A3872" s="361">
        <f t="shared" si="747"/>
        <v>29</v>
      </c>
      <c r="C3872" s="358" t="s">
        <v>1780</v>
      </c>
      <c r="D3872" s="1243">
        <f>SUM(D3867:D3871)</f>
        <v>95447220.337393135</v>
      </c>
      <c r="E3872" s="1243">
        <f>SUM(E3867:E3871)</f>
        <v>4257377.6165863201</v>
      </c>
      <c r="F3872" s="1243">
        <f>SUM(F3867:F3871)</f>
        <v>-246251.87384353156</v>
      </c>
      <c r="G3872" s="1243">
        <f>SUM(G3867:G3871)</f>
        <v>99458346.080135942</v>
      </c>
      <c r="H3872" s="1243"/>
      <c r="I3872" s="1243">
        <f>SUM(I3867:I3871)</f>
        <v>-13392379.465464763</v>
      </c>
      <c r="J3872" s="369"/>
      <c r="K3872" s="1243">
        <f>SUM(K3867:K3871)</f>
        <v>226601.21999999997</v>
      </c>
      <c r="L3872" s="1243">
        <f>SUM(L3867:L3871)</f>
        <v>0</v>
      </c>
      <c r="M3872" s="1243">
        <f>SUM(M3867:M3871)</f>
        <v>-246251.87384353156</v>
      </c>
      <c r="N3872" s="1243">
        <f>SUM(N3867:N3871)</f>
        <v>-160223.15592657332</v>
      </c>
      <c r="O3872" s="1243">
        <f>SUM(O3867:O3871)</f>
        <v>-13572253.275234869</v>
      </c>
    </row>
    <row r="3873" spans="1:16">
      <c r="A3873" s="361"/>
      <c r="D3873" s="1243"/>
      <c r="E3873" s="1243"/>
      <c r="F3873" s="1243"/>
      <c r="G3873" s="1243"/>
      <c r="H3873" s="1243"/>
      <c r="I3873" s="1243"/>
      <c r="J3873" s="369"/>
      <c r="K3873" s="1243"/>
      <c r="L3873" s="1243"/>
      <c r="M3873" s="1243"/>
      <c r="N3873" s="1243"/>
      <c r="O3873" s="1243"/>
    </row>
    <row r="3874" spans="1:16" ht="13.5" thickBot="1">
      <c r="A3874" s="361">
        <f>A3872+1</f>
        <v>30</v>
      </c>
      <c r="C3874" s="358" t="s">
        <v>447</v>
      </c>
      <c r="D3874" s="1248">
        <f>D3863+D3872</f>
        <v>877191431.52901614</v>
      </c>
      <c r="E3874" s="1248">
        <f>E3863+E3872</f>
        <v>6496481.1019088943</v>
      </c>
      <c r="F3874" s="1248">
        <f>F3863+F3872</f>
        <v>-604333.74280631705</v>
      </c>
      <c r="G3874" s="1248">
        <f>G3863+G3872</f>
        <v>883083578.88811862</v>
      </c>
      <c r="H3874" s="1243"/>
      <c r="I3874" s="1248">
        <f>I3863+I3872</f>
        <v>186498016.62294126</v>
      </c>
      <c r="J3874" s="369"/>
      <c r="K3874" s="1248">
        <f>K3863+K3872</f>
        <v>2467255.2776610907</v>
      </c>
      <c r="L3874" s="1248">
        <f>L3863+L3872</f>
        <v>5270.0000000000009</v>
      </c>
      <c r="M3874" s="1248">
        <f>M3863+M3872</f>
        <v>-604333.74280631705</v>
      </c>
      <c r="N3874" s="1248">
        <f>N3863+N3872</f>
        <v>-245807.31</v>
      </c>
      <c r="O3874" s="1248">
        <f>O3863+O3872</f>
        <v>188120400.84779602</v>
      </c>
    </row>
    <row r="3875" spans="1:16" ht="13.5" thickTop="1"/>
    <row r="3877" spans="1:16" s="291" customFormat="1">
      <c r="A3877" s="1308" t="str">
        <f>$A$1</f>
        <v>COLUMBIA GAS OF KENTUCKY, INC.</v>
      </c>
      <c r="B3877" s="1308"/>
      <c r="C3877" s="1308"/>
      <c r="D3877" s="1308"/>
      <c r="E3877" s="1308"/>
      <c r="F3877" s="1308"/>
      <c r="G3877" s="1308"/>
      <c r="H3877" s="1308"/>
      <c r="I3877" s="1308"/>
      <c r="J3877" s="1308"/>
      <c r="K3877" s="1308"/>
      <c r="L3877" s="1308"/>
      <c r="M3877" s="1308"/>
      <c r="N3877" s="1308"/>
      <c r="O3877" s="1308"/>
    </row>
    <row r="3878" spans="1:16" s="291" customFormat="1">
      <c r="A3878" s="1308" t="str">
        <f>$A$2</f>
        <v>CASE NO. 2024 - 00092</v>
      </c>
      <c r="B3878" s="1308"/>
      <c r="C3878" s="1308"/>
      <c r="D3878" s="1308"/>
      <c r="E3878" s="1308"/>
      <c r="F3878" s="1308"/>
      <c r="G3878" s="1308"/>
      <c r="H3878" s="1308"/>
      <c r="I3878" s="1308"/>
      <c r="J3878" s="1308"/>
      <c r="K3878" s="1308"/>
      <c r="L3878" s="1308"/>
      <c r="M3878" s="1308"/>
      <c r="N3878" s="1308"/>
      <c r="O3878" s="1308"/>
    </row>
    <row r="3879" spans="1:16" s="291" customFormat="1">
      <c r="A3879" s="1308" t="str">
        <f>$A$3</f>
        <v>DETAIL OF ACTUAL &amp; FORECASTED PLANT, ACCUMULATED RESERVE &amp; DEPRECIATION EXPENSE</v>
      </c>
      <c r="B3879" s="1308"/>
      <c r="C3879" s="1308"/>
      <c r="D3879" s="1308"/>
      <c r="E3879" s="1308"/>
      <c r="F3879" s="1308"/>
      <c r="G3879" s="1308"/>
      <c r="H3879" s="1308"/>
      <c r="I3879" s="1308"/>
      <c r="J3879" s="1308"/>
      <c r="K3879" s="1308"/>
      <c r="L3879" s="1308"/>
      <c r="M3879" s="1308"/>
      <c r="N3879" s="1308"/>
      <c r="O3879" s="1308"/>
      <c r="P3879" s="357"/>
    </row>
    <row r="3880" spans="1:16" s="291" customFormat="1">
      <c r="A3880" s="1308" t="str">
        <f>$A$4</f>
        <v>FROM JANUARY 01, 2023 THROUGH DECEMBER 31, 2025</v>
      </c>
      <c r="B3880" s="1308"/>
      <c r="C3880" s="1308"/>
      <c r="D3880" s="1308"/>
      <c r="E3880" s="1308"/>
      <c r="F3880" s="1308"/>
      <c r="G3880" s="1308"/>
      <c r="H3880" s="1308"/>
      <c r="I3880" s="1308"/>
      <c r="J3880" s="1308"/>
      <c r="K3880" s="1308"/>
      <c r="L3880" s="1308"/>
      <c r="M3880" s="1308"/>
      <c r="N3880" s="1308"/>
      <c r="O3880" s="1308"/>
    </row>
    <row r="3881" spans="1:16" s="291" customFormat="1">
      <c r="B3881" s="293"/>
      <c r="P3881" s="312"/>
    </row>
    <row r="3882" spans="1:16" s="291" customFormat="1">
      <c r="A3882" s="297" t="str">
        <f>$A$6</f>
        <v xml:space="preserve">DATA: _X_ BASE PERIOD _X_ FORECASTED PERIOD     </v>
      </c>
      <c r="B3882" s="293"/>
      <c r="O3882" s="312" t="str">
        <f>$O$6</f>
        <v>WPB-2.1.C</v>
      </c>
      <c r="P3882" s="312"/>
    </row>
    <row r="3883" spans="1:16" s="291" customFormat="1">
      <c r="A3883" s="297" t="str">
        <f>$A$7</f>
        <v>TYPE OF FILING:___X___ORIGINAL______UPDATED</v>
      </c>
      <c r="B3883" s="293"/>
      <c r="O3883" s="312" t="s">
        <v>2154</v>
      </c>
      <c r="P3883" s="312"/>
    </row>
    <row r="3884" spans="1:16" s="291" customFormat="1">
      <c r="A3884" s="297" t="str">
        <f>$A$8</f>
        <v>WORKPAPER REFERENCE NO(S).:</v>
      </c>
      <c r="B3884" s="293"/>
      <c r="O3884" s="312" t="str">
        <f>$O$8</f>
        <v>WITNESS: GORE</v>
      </c>
    </row>
    <row r="3885" spans="1:16">
      <c r="A3885" s="918"/>
      <c r="B3885" s="919"/>
      <c r="C3885" s="918"/>
      <c r="D3885" s="918"/>
      <c r="E3885" s="918"/>
      <c r="F3885" s="918"/>
      <c r="G3885" s="918"/>
      <c r="H3885" s="918"/>
      <c r="I3885" s="918"/>
      <c r="J3885" s="918"/>
      <c r="K3885" s="918"/>
      <c r="L3885" s="918"/>
      <c r="M3885" s="918"/>
      <c r="N3885" s="918"/>
      <c r="O3885" s="920"/>
    </row>
    <row r="3886" spans="1:16">
      <c r="D3886" s="1311" t="s">
        <v>1768</v>
      </c>
      <c r="E3886" s="1311"/>
      <c r="F3886" s="1311"/>
      <c r="G3886" s="1311"/>
      <c r="I3886" s="1311" t="s">
        <v>1769</v>
      </c>
      <c r="J3886" s="1311"/>
      <c r="K3886" s="1311"/>
      <c r="L3886" s="1311"/>
      <c r="M3886" s="1311"/>
      <c r="N3886" s="1311"/>
      <c r="O3886" s="1311"/>
    </row>
    <row r="3887" spans="1:16">
      <c r="D3887" s="360">
        <f>G3832+1</f>
        <v>45962</v>
      </c>
      <c r="G3887" s="360">
        <f>D3887+29</f>
        <v>45991</v>
      </c>
      <c r="I3887" s="360">
        <f>D3887</f>
        <v>45962</v>
      </c>
      <c r="O3887" s="360">
        <f>G3887</f>
        <v>45991</v>
      </c>
    </row>
    <row r="3888" spans="1:16">
      <c r="D3888" s="361" t="s">
        <v>1757</v>
      </c>
      <c r="G3888" s="361" t="s">
        <v>1757</v>
      </c>
      <c r="I3888" s="361" t="s">
        <v>1758</v>
      </c>
      <c r="J3888" s="361" t="s">
        <v>488</v>
      </c>
      <c r="L3888" s="361" t="s">
        <v>1758</v>
      </c>
      <c r="O3888" s="361" t="s">
        <v>1758</v>
      </c>
    </row>
    <row r="3889" spans="1:15">
      <c r="A3889" s="361" t="s">
        <v>1770</v>
      </c>
      <c r="B3889" s="361" t="s">
        <v>368</v>
      </c>
      <c r="C3889" s="361"/>
      <c r="D3889" s="361" t="s">
        <v>437</v>
      </c>
      <c r="G3889" s="361" t="s">
        <v>439</v>
      </c>
      <c r="I3889" s="361" t="s">
        <v>437</v>
      </c>
      <c r="J3889" s="361" t="s">
        <v>1771</v>
      </c>
      <c r="K3889" s="361" t="s">
        <v>1772</v>
      </c>
      <c r="L3889" s="361" t="s">
        <v>1759</v>
      </c>
      <c r="N3889" s="361" t="s">
        <v>1760</v>
      </c>
      <c r="O3889" s="361" t="s">
        <v>439</v>
      </c>
    </row>
    <row r="3890" spans="1:15">
      <c r="A3890" s="364" t="s">
        <v>316</v>
      </c>
      <c r="B3890" s="364" t="s">
        <v>316</v>
      </c>
      <c r="C3890" s="364" t="s">
        <v>451</v>
      </c>
      <c r="D3890" s="364" t="s">
        <v>441</v>
      </c>
      <c r="E3890" s="364" t="s">
        <v>442</v>
      </c>
      <c r="F3890" s="364" t="s">
        <v>443</v>
      </c>
      <c r="G3890" s="364" t="s">
        <v>441</v>
      </c>
      <c r="I3890" s="364" t="s">
        <v>441</v>
      </c>
      <c r="J3890" s="364" t="s">
        <v>1773</v>
      </c>
      <c r="K3890" s="364" t="s">
        <v>1771</v>
      </c>
      <c r="L3890" s="364" t="s">
        <v>355</v>
      </c>
      <c r="M3890" s="364" t="s">
        <v>443</v>
      </c>
      <c r="N3890" s="364" t="s">
        <v>1763</v>
      </c>
      <c r="O3890" s="364" t="s">
        <v>441</v>
      </c>
    </row>
    <row r="3891" spans="1:15">
      <c r="D3891" s="361" t="s">
        <v>532</v>
      </c>
      <c r="E3891" s="361" t="s">
        <v>541</v>
      </c>
      <c r="F3891" s="361" t="s">
        <v>542</v>
      </c>
      <c r="G3891" s="361" t="s">
        <v>1764</v>
      </c>
      <c r="I3891" s="334" t="str">
        <f>"(5)"</f>
        <v>(5)</v>
      </c>
      <c r="J3891" s="334" t="str">
        <f>"(6)"</f>
        <v>(6)</v>
      </c>
      <c r="K3891" s="334" t="str">
        <f>"(7)=((1+4)/2*6/12))"</f>
        <v>(7)=((1+4)/2*6/12))</v>
      </c>
      <c r="L3891" s="334" t="str">
        <f>"(8)"</f>
        <v>(8)</v>
      </c>
      <c r="M3891" s="334" t="str">
        <f>"(9)"</f>
        <v>(9)</v>
      </c>
      <c r="N3891" s="334" t="str">
        <f>"(10)"</f>
        <v>(10)</v>
      </c>
      <c r="O3891" s="334" t="str">
        <f>"(11=5+7+8+9+10)"</f>
        <v>(11=5+7+8+9+10)</v>
      </c>
    </row>
    <row r="3892" spans="1:15">
      <c r="D3892" s="361" t="s">
        <v>320</v>
      </c>
      <c r="E3892" s="361" t="s">
        <v>320</v>
      </c>
      <c r="F3892" s="361" t="s">
        <v>320</v>
      </c>
      <c r="G3892" s="361" t="s">
        <v>320</v>
      </c>
      <c r="I3892" s="334" t="s">
        <v>320</v>
      </c>
      <c r="J3892" s="334" t="s">
        <v>529</v>
      </c>
      <c r="K3892" s="334" t="s">
        <v>320</v>
      </c>
      <c r="L3892" s="334" t="s">
        <v>320</v>
      </c>
      <c r="M3892" s="334" t="s">
        <v>320</v>
      </c>
      <c r="N3892" s="334" t="s">
        <v>320</v>
      </c>
      <c r="O3892" s="334" t="s">
        <v>320</v>
      </c>
    </row>
    <row r="3893" spans="1:15">
      <c r="A3893" s="361">
        <v>1</v>
      </c>
      <c r="B3893" s="362" t="s">
        <v>373</v>
      </c>
      <c r="D3893" s="361"/>
      <c r="E3893" s="361"/>
      <c r="F3893" s="361"/>
      <c r="G3893" s="361"/>
      <c r="I3893" s="334"/>
      <c r="J3893" s="334"/>
      <c r="K3893" s="334"/>
      <c r="L3893" s="334"/>
      <c r="M3893" s="334"/>
      <c r="N3893" s="334"/>
      <c r="O3893" s="334"/>
    </row>
    <row r="3894" spans="1:15">
      <c r="A3894" s="361">
        <f>A3893+1</f>
        <v>2</v>
      </c>
      <c r="B3894" s="365">
        <v>301</v>
      </c>
      <c r="C3894" s="358" t="s">
        <v>374</v>
      </c>
      <c r="D3894" s="1243">
        <f t="shared" ref="D3894:D3899" si="748">G3780</f>
        <v>521.20000000000005</v>
      </c>
      <c r="E3894" s="1243">
        <v>0</v>
      </c>
      <c r="F3894" s="1243">
        <v>0</v>
      </c>
      <c r="G3894" s="1243">
        <f t="shared" ref="G3894:G3899" si="749">SUM(D3894:F3894)</f>
        <v>521.20000000000005</v>
      </c>
      <c r="H3894" s="1243"/>
      <c r="I3894" s="1243">
        <f t="shared" ref="I3894:I3899" si="750">O3780</f>
        <v>0</v>
      </c>
      <c r="J3894" s="375" t="str">
        <f>$J$1614</f>
        <v>Amort.</v>
      </c>
      <c r="K3894" s="1243">
        <v>0</v>
      </c>
      <c r="L3894" s="1243">
        <v>0</v>
      </c>
      <c r="M3894" s="1243">
        <f t="shared" ref="M3894:M3899" si="751">F3894</f>
        <v>0</v>
      </c>
      <c r="N3894" s="1243">
        <v>0</v>
      </c>
      <c r="O3894" s="1243">
        <f t="shared" ref="O3894:O3899" si="752">I3894+K3894+L3894+M3894+N3894</f>
        <v>0</v>
      </c>
    </row>
    <row r="3895" spans="1:15">
      <c r="A3895" s="361">
        <f t="shared" ref="A3895:A3900" si="753">A3894+1</f>
        <v>3</v>
      </c>
      <c r="B3895" s="365">
        <v>303</v>
      </c>
      <c r="C3895" s="358" t="s">
        <v>375</v>
      </c>
      <c r="D3895" s="1243">
        <f t="shared" si="748"/>
        <v>81146.899999999994</v>
      </c>
      <c r="E3895" s="1243">
        <v>0</v>
      </c>
      <c r="F3895" s="1243">
        <v>0</v>
      </c>
      <c r="G3895" s="1243">
        <f t="shared" si="749"/>
        <v>81146.899999999994</v>
      </c>
      <c r="H3895" s="1243"/>
      <c r="I3895" s="1243">
        <f t="shared" si="750"/>
        <v>69329.878791666808</v>
      </c>
      <c r="J3895" s="375" t="str">
        <f>$J$1615</f>
        <v>Amort.</v>
      </c>
      <c r="K3895" s="1243">
        <f>+'WPB-2.1.E Intangibles'!O53</f>
        <v>225.41</v>
      </c>
      <c r="L3895" s="1243">
        <v>0</v>
      </c>
      <c r="M3895" s="1243">
        <f t="shared" si="751"/>
        <v>0</v>
      </c>
      <c r="N3895" s="1243">
        <v>0</v>
      </c>
      <c r="O3895" s="1243">
        <f t="shared" si="752"/>
        <v>69555.288791666811</v>
      </c>
    </row>
    <row r="3896" spans="1:15">
      <c r="A3896" s="361">
        <f t="shared" si="753"/>
        <v>4</v>
      </c>
      <c r="B3896" s="365">
        <v>303.10000000000002</v>
      </c>
      <c r="C3896" s="358" t="s">
        <v>376</v>
      </c>
      <c r="D3896" s="1243">
        <f t="shared" si="748"/>
        <v>943.27</v>
      </c>
      <c r="E3896" s="1243">
        <v>0</v>
      </c>
      <c r="F3896" s="1243">
        <v>0</v>
      </c>
      <c r="G3896" s="1243">
        <f t="shared" si="749"/>
        <v>943.27</v>
      </c>
      <c r="H3896" s="1243"/>
      <c r="I3896" s="1243">
        <f t="shared" si="750"/>
        <v>318.35000000000008</v>
      </c>
      <c r="J3896" s="375" t="str">
        <f>$J$1616</f>
        <v>Amort.</v>
      </c>
      <c r="K3896" s="1243">
        <v>0</v>
      </c>
      <c r="L3896" s="1243">
        <v>0</v>
      </c>
      <c r="M3896" s="1243">
        <f t="shared" si="751"/>
        <v>0</v>
      </c>
      <c r="N3896" s="1243">
        <v>0</v>
      </c>
      <c r="O3896" s="1243">
        <f t="shared" si="752"/>
        <v>318.35000000000008</v>
      </c>
    </row>
    <row r="3897" spans="1:15">
      <c r="A3897" s="361">
        <f t="shared" si="753"/>
        <v>5</v>
      </c>
      <c r="B3897" s="365">
        <v>303.2</v>
      </c>
      <c r="C3897" s="358" t="s">
        <v>377</v>
      </c>
      <c r="D3897" s="1243">
        <f t="shared" si="748"/>
        <v>0</v>
      </c>
      <c r="E3897" s="1243">
        <v>0</v>
      </c>
      <c r="F3897" s="1243">
        <v>0</v>
      </c>
      <c r="G3897" s="1243">
        <f t="shared" si="749"/>
        <v>0</v>
      </c>
      <c r="H3897" s="1243"/>
      <c r="I3897" s="1243">
        <f t="shared" si="750"/>
        <v>0</v>
      </c>
      <c r="J3897" s="375" t="str">
        <f>$J$1617</f>
        <v>Amort.</v>
      </c>
      <c r="K3897" s="1243">
        <v>0</v>
      </c>
      <c r="L3897" s="1243">
        <v>0</v>
      </c>
      <c r="M3897" s="1243">
        <f t="shared" si="751"/>
        <v>0</v>
      </c>
      <c r="N3897" s="1243">
        <v>0</v>
      </c>
      <c r="O3897" s="1243">
        <f t="shared" si="752"/>
        <v>0</v>
      </c>
    </row>
    <row r="3898" spans="1:15">
      <c r="A3898" s="361">
        <f t="shared" si="753"/>
        <v>6</v>
      </c>
      <c r="B3898" s="365">
        <v>303.3</v>
      </c>
      <c r="C3898" s="358" t="s">
        <v>378</v>
      </c>
      <c r="D3898" s="1243">
        <f t="shared" si="748"/>
        <v>17433829.514649007</v>
      </c>
      <c r="E3898" s="1243">
        <f>+'WPB-2.1.E Intangibles'!O26</f>
        <v>567873</v>
      </c>
      <c r="F3898" s="1243">
        <f>-'WPB-2.1.E Intangibles'!O41</f>
        <v>-42616.780000000006</v>
      </c>
      <c r="G3898" s="1243">
        <f t="shared" si="749"/>
        <v>17959085.734649006</v>
      </c>
      <c r="H3898" s="1243"/>
      <c r="I3898" s="1243">
        <f t="shared" si="750"/>
        <v>7343532.6897615781</v>
      </c>
      <c r="J3898" s="375" t="str">
        <f>$J$1618</f>
        <v>Amort.</v>
      </c>
      <c r="K3898" s="1243">
        <f>+'WPB-2.1.E Intangibles'!O54</f>
        <v>269133.65097027231</v>
      </c>
      <c r="L3898" s="1243">
        <v>0</v>
      </c>
      <c r="M3898" s="1243">
        <f t="shared" si="751"/>
        <v>-42616.780000000006</v>
      </c>
      <c r="N3898" s="1243">
        <v>0</v>
      </c>
      <c r="O3898" s="1243">
        <f t="shared" si="752"/>
        <v>7570049.5607318506</v>
      </c>
    </row>
    <row r="3899" spans="1:15">
      <c r="A3899" s="361">
        <f t="shared" si="753"/>
        <v>7</v>
      </c>
      <c r="B3899" s="365">
        <v>303.99</v>
      </c>
      <c r="C3899" s="358" t="s">
        <v>1129</v>
      </c>
      <c r="D3899" s="1244">
        <f t="shared" si="748"/>
        <v>4559658.9402190195</v>
      </c>
      <c r="E3899" s="1244">
        <f>+'WPB-2.1.E Intangibles'!O30</f>
        <v>35832.549439146882</v>
      </c>
      <c r="F3899" s="1244">
        <f>-'WPB-2.1.E Intangibles'!O42</f>
        <v>0</v>
      </c>
      <c r="G3899" s="1244">
        <f t="shared" si="749"/>
        <v>4595491.4896581667</v>
      </c>
      <c r="H3899" s="1243"/>
      <c r="I3899" s="1244">
        <f t="shared" si="750"/>
        <v>1534373.4011662102</v>
      </c>
      <c r="J3899" s="375" t="str">
        <f>$J$1619</f>
        <v>Amort.</v>
      </c>
      <c r="K3899" s="1244">
        <f>+'WPB-2.1.E Intangibles'!O55</f>
        <v>65201.917325732844</v>
      </c>
      <c r="L3899" s="1244">
        <v>0</v>
      </c>
      <c r="M3899" s="1244">
        <f t="shared" si="751"/>
        <v>0</v>
      </c>
      <c r="N3899" s="1244">
        <v>0</v>
      </c>
      <c r="O3899" s="1244">
        <f t="shared" si="752"/>
        <v>1599575.3184919429</v>
      </c>
    </row>
    <row r="3900" spans="1:15">
      <c r="A3900" s="361">
        <f t="shared" si="753"/>
        <v>8</v>
      </c>
      <c r="B3900" s="367"/>
      <c r="C3900" s="358" t="s">
        <v>379</v>
      </c>
      <c r="D3900" s="1243">
        <f>SUM(D3894:D3899)</f>
        <v>22076099.824868027</v>
      </c>
      <c r="E3900" s="1243">
        <f>SUM(E3894:E3899)</f>
        <v>603705.54943914688</v>
      </c>
      <c r="F3900" s="1243">
        <f>SUM(F3894:F3899)</f>
        <v>-42616.780000000006</v>
      </c>
      <c r="G3900" s="1243">
        <f>SUM(G3894:G3899)</f>
        <v>22637188.594307173</v>
      </c>
      <c r="H3900" s="1243"/>
      <c r="I3900" s="1243">
        <f>SUM(I3894:I3899)</f>
        <v>8947554.3197194561</v>
      </c>
      <c r="J3900" s="369"/>
      <c r="K3900" s="1243">
        <f>SUM(K3894:K3899)</f>
        <v>334560.97829600511</v>
      </c>
      <c r="L3900" s="1243">
        <f>SUM(L3894:L3899)</f>
        <v>0</v>
      </c>
      <c r="M3900" s="1243">
        <f>SUM(M3894:M3899)</f>
        <v>-42616.780000000006</v>
      </c>
      <c r="N3900" s="1243">
        <f>SUM(N3894:N3899)</f>
        <v>0</v>
      </c>
      <c r="O3900" s="1243">
        <f>SUM(O3894:O3899)</f>
        <v>9239498.5180154592</v>
      </c>
    </row>
    <row r="3901" spans="1:15">
      <c r="A3901" s="361"/>
      <c r="B3901" s="367"/>
      <c r="C3901" s="368"/>
      <c r="D3901" s="1243"/>
      <c r="E3901" s="1243"/>
      <c r="F3901" s="1243"/>
      <c r="G3901" s="1243"/>
      <c r="H3901" s="1243"/>
      <c r="I3901" s="1243"/>
      <c r="J3901" s="369"/>
      <c r="K3901" s="1243"/>
      <c r="L3901" s="1243"/>
      <c r="M3901" s="1243"/>
      <c r="N3901" s="1243"/>
      <c r="O3901" s="1243"/>
    </row>
    <row r="3902" spans="1:15">
      <c r="A3902" s="361">
        <f>A3900+1</f>
        <v>9</v>
      </c>
      <c r="B3902" s="362" t="s">
        <v>1600</v>
      </c>
      <c r="C3902" s="368"/>
      <c r="D3902" s="1243"/>
      <c r="E3902" s="1243"/>
      <c r="F3902" s="1243"/>
      <c r="G3902" s="1243"/>
      <c r="H3902" s="1243"/>
      <c r="I3902" s="1243"/>
      <c r="J3902" s="369"/>
      <c r="K3902" s="1243"/>
      <c r="L3902" s="1243"/>
      <c r="M3902" s="1243"/>
      <c r="N3902" s="1243"/>
      <c r="O3902" s="1243"/>
    </row>
    <row r="3903" spans="1:15">
      <c r="A3903" s="361">
        <f t="shared" ref="A3903:A3933" si="754">A3902+1</f>
        <v>10</v>
      </c>
      <c r="B3903" s="365">
        <v>374.1</v>
      </c>
      <c r="C3903" s="358" t="s">
        <v>382</v>
      </c>
      <c r="D3903" s="1243">
        <f t="shared" ref="D3903:D3932" si="755">G3789</f>
        <v>205.4</v>
      </c>
      <c r="E3903" s="1243">
        <v>0</v>
      </c>
      <c r="F3903" s="1243">
        <v>0</v>
      </c>
      <c r="G3903" s="1243">
        <f>SUM(D3903:F3903)</f>
        <v>205.4</v>
      </c>
      <c r="H3903" s="1243"/>
      <c r="I3903" s="1243">
        <f t="shared" ref="I3903:I3932" si="756">O3789</f>
        <v>0</v>
      </c>
      <c r="J3903" s="375" t="str">
        <f>$J$1623</f>
        <v>Non-Dep.</v>
      </c>
      <c r="K3903" s="1243">
        <v>0</v>
      </c>
      <c r="L3903" s="1243">
        <v>0</v>
      </c>
      <c r="M3903" s="1243">
        <f t="shared" ref="M3903:M3932" si="757">F3903</f>
        <v>0</v>
      </c>
      <c r="N3903" s="1243">
        <v>0</v>
      </c>
      <c r="O3903" s="1243">
        <f t="shared" ref="O3903:O3932" si="758">I3903+K3903+L3903+M3903+N3903</f>
        <v>0</v>
      </c>
    </row>
    <row r="3904" spans="1:15">
      <c r="A3904" s="361">
        <f t="shared" si="754"/>
        <v>11</v>
      </c>
      <c r="B3904" s="365">
        <v>374.2</v>
      </c>
      <c r="C3904" s="358" t="s">
        <v>383</v>
      </c>
      <c r="D3904" s="1243">
        <f t="shared" si="755"/>
        <v>876986.66</v>
      </c>
      <c r="E3904" s="1243">
        <v>0</v>
      </c>
      <c r="F3904" s="1243">
        <v>0</v>
      </c>
      <c r="G3904" s="1243">
        <f t="shared" ref="G3904:G3932" si="759">SUM(D3904:F3904)</f>
        <v>876986.66</v>
      </c>
      <c r="H3904" s="1243"/>
      <c r="I3904" s="1243">
        <f t="shared" si="756"/>
        <v>-522.25</v>
      </c>
      <c r="J3904" s="375" t="str">
        <f>$J$1624</f>
        <v>Non-Dep.</v>
      </c>
      <c r="K3904" s="1243">
        <v>0</v>
      </c>
      <c r="L3904" s="1243">
        <v>0</v>
      </c>
      <c r="M3904" s="1243">
        <f t="shared" si="757"/>
        <v>0</v>
      </c>
      <c r="N3904" s="1243">
        <v>0</v>
      </c>
      <c r="O3904" s="1243">
        <f t="shared" si="758"/>
        <v>-522.25</v>
      </c>
    </row>
    <row r="3905" spans="1:15">
      <c r="A3905" s="361">
        <f t="shared" si="754"/>
        <v>12</v>
      </c>
      <c r="B3905" s="365">
        <v>374.4</v>
      </c>
      <c r="C3905" s="358" t="s">
        <v>384</v>
      </c>
      <c r="D3905" s="1243">
        <f t="shared" si="755"/>
        <v>3298954.7700000009</v>
      </c>
      <c r="E3905" s="1243">
        <v>166.45</v>
      </c>
      <c r="F3905" s="1243">
        <v>0</v>
      </c>
      <c r="G3905" s="1243">
        <f t="shared" si="759"/>
        <v>3299121.2200000011</v>
      </c>
      <c r="H3905" s="1243"/>
      <c r="I3905" s="1243">
        <f t="shared" si="756"/>
        <v>424864.77</v>
      </c>
      <c r="J3905" s="376">
        <f t="shared" ref="J3905:J3932" si="760">+J3791</f>
        <v>1.3299999999999999E-2</v>
      </c>
      <c r="K3905" s="1243">
        <f t="shared" ref="K3905:K3911" si="761">ROUND((G3905+D3905)/2*J3905/12,0)</f>
        <v>3656</v>
      </c>
      <c r="L3905" s="1243">
        <v>0</v>
      </c>
      <c r="M3905" s="1243">
        <f t="shared" si="757"/>
        <v>0</v>
      </c>
      <c r="N3905" s="1243">
        <v>0</v>
      </c>
      <c r="O3905" s="1243">
        <f t="shared" si="758"/>
        <v>428520.77</v>
      </c>
    </row>
    <row r="3906" spans="1:15">
      <c r="A3906" s="361">
        <f t="shared" si="754"/>
        <v>13</v>
      </c>
      <c r="B3906" s="365">
        <v>374.5</v>
      </c>
      <c r="C3906" s="358" t="s">
        <v>385</v>
      </c>
      <c r="D3906" s="1243">
        <f t="shared" si="755"/>
        <v>2666577.16</v>
      </c>
      <c r="E3906" s="1243">
        <v>0</v>
      </c>
      <c r="F3906" s="1243">
        <v>0</v>
      </c>
      <c r="G3906" s="1243">
        <f t="shared" si="759"/>
        <v>2666577.16</v>
      </c>
      <c r="H3906" s="1243"/>
      <c r="I3906" s="1243">
        <f t="shared" si="756"/>
        <v>1210068.1900000013</v>
      </c>
      <c r="J3906" s="376">
        <f t="shared" si="760"/>
        <v>1.0999999999999999E-2</v>
      </c>
      <c r="K3906" s="1243">
        <f t="shared" si="761"/>
        <v>2444</v>
      </c>
      <c r="L3906" s="1243">
        <v>0</v>
      </c>
      <c r="M3906" s="1243">
        <f t="shared" si="757"/>
        <v>0</v>
      </c>
      <c r="N3906" s="1243">
        <v>0</v>
      </c>
      <c r="O3906" s="1243">
        <f t="shared" si="758"/>
        <v>1212512.1900000013</v>
      </c>
    </row>
    <row r="3907" spans="1:15">
      <c r="A3907" s="361">
        <f t="shared" si="754"/>
        <v>14</v>
      </c>
      <c r="B3907" s="365">
        <v>375.2</v>
      </c>
      <c r="C3907" s="358" t="s">
        <v>386</v>
      </c>
      <c r="D3907" s="1243">
        <f t="shared" si="755"/>
        <v>2124.98</v>
      </c>
      <c r="E3907" s="1243">
        <v>0</v>
      </c>
      <c r="F3907" s="1243">
        <v>0</v>
      </c>
      <c r="G3907" s="1243">
        <f t="shared" si="759"/>
        <v>2124.98</v>
      </c>
      <c r="H3907" s="1243"/>
      <c r="I3907" s="1243">
        <f t="shared" si="756"/>
        <v>2143.3000000000002</v>
      </c>
      <c r="J3907" s="376">
        <f t="shared" si="760"/>
        <v>2.3900000000000001E-2</v>
      </c>
      <c r="K3907" s="1243">
        <f t="shared" si="761"/>
        <v>4</v>
      </c>
      <c r="L3907" s="1243">
        <v>0</v>
      </c>
      <c r="M3907" s="1243">
        <f t="shared" si="757"/>
        <v>0</v>
      </c>
      <c r="N3907" s="1243">
        <v>0</v>
      </c>
      <c r="O3907" s="1243">
        <f t="shared" si="758"/>
        <v>2147.3000000000002</v>
      </c>
    </row>
    <row r="3908" spans="1:15">
      <c r="A3908" s="361">
        <f t="shared" si="754"/>
        <v>15</v>
      </c>
      <c r="B3908" s="365">
        <v>375.3</v>
      </c>
      <c r="C3908" s="358" t="s">
        <v>387</v>
      </c>
      <c r="D3908" s="1243">
        <f t="shared" si="755"/>
        <v>0</v>
      </c>
      <c r="E3908" s="1243">
        <v>0</v>
      </c>
      <c r="F3908" s="1243">
        <v>0</v>
      </c>
      <c r="G3908" s="1243">
        <f t="shared" si="759"/>
        <v>0</v>
      </c>
      <c r="H3908" s="1243"/>
      <c r="I3908" s="1243">
        <f t="shared" si="756"/>
        <v>-77.66</v>
      </c>
      <c r="J3908" s="376">
        <f t="shared" si="760"/>
        <v>2.3900000000000001E-2</v>
      </c>
      <c r="K3908" s="1243">
        <f t="shared" si="761"/>
        <v>0</v>
      </c>
      <c r="L3908" s="1243">
        <v>0</v>
      </c>
      <c r="M3908" s="1243">
        <f t="shared" si="757"/>
        <v>0</v>
      </c>
      <c r="N3908" s="1243">
        <v>0</v>
      </c>
      <c r="O3908" s="1243">
        <f t="shared" si="758"/>
        <v>-77.66</v>
      </c>
    </row>
    <row r="3909" spans="1:15">
      <c r="A3909" s="361">
        <f t="shared" si="754"/>
        <v>16</v>
      </c>
      <c r="B3909" s="365">
        <v>375.4</v>
      </c>
      <c r="C3909" s="358" t="s">
        <v>388</v>
      </c>
      <c r="D3909" s="1243">
        <f t="shared" si="755"/>
        <v>4465984.68</v>
      </c>
      <c r="E3909" s="1243">
        <v>91022.27</v>
      </c>
      <c r="F3909" s="1243">
        <v>-30154.51</v>
      </c>
      <c r="G3909" s="1243">
        <f t="shared" si="759"/>
        <v>4526852.4399999995</v>
      </c>
      <c r="H3909" s="1243"/>
      <c r="I3909" s="1243">
        <f t="shared" si="756"/>
        <v>53796.080000000169</v>
      </c>
      <c r="J3909" s="376">
        <f t="shared" si="760"/>
        <v>2.3900000000000001E-2</v>
      </c>
      <c r="K3909" s="1243">
        <f t="shared" si="761"/>
        <v>8955</v>
      </c>
      <c r="L3909" s="1243">
        <v>0</v>
      </c>
      <c r="M3909" s="1243">
        <f t="shared" si="757"/>
        <v>-30154.51</v>
      </c>
      <c r="N3909" s="1243">
        <v>0</v>
      </c>
      <c r="O3909" s="1243">
        <f t="shared" si="758"/>
        <v>32596.570000000171</v>
      </c>
    </row>
    <row r="3910" spans="1:15">
      <c r="A3910" s="361">
        <f t="shared" si="754"/>
        <v>17</v>
      </c>
      <c r="B3910" s="365">
        <v>375.6</v>
      </c>
      <c r="C3910" s="358" t="s">
        <v>389</v>
      </c>
      <c r="D3910" s="1243">
        <f t="shared" si="755"/>
        <v>0</v>
      </c>
      <c r="E3910" s="1243">
        <v>0</v>
      </c>
      <c r="F3910" s="1243">
        <v>0</v>
      </c>
      <c r="G3910" s="1243">
        <f t="shared" si="759"/>
        <v>0</v>
      </c>
      <c r="H3910" s="1243"/>
      <c r="I3910" s="1243">
        <f t="shared" si="756"/>
        <v>0.02</v>
      </c>
      <c r="J3910" s="376">
        <f t="shared" si="760"/>
        <v>2.3900000000000001E-2</v>
      </c>
      <c r="K3910" s="1243">
        <f t="shared" si="761"/>
        <v>0</v>
      </c>
      <c r="L3910" s="1243">
        <v>0</v>
      </c>
      <c r="M3910" s="1243">
        <f t="shared" si="757"/>
        <v>0</v>
      </c>
      <c r="N3910" s="1243">
        <v>0</v>
      </c>
      <c r="O3910" s="1243">
        <f t="shared" si="758"/>
        <v>0.02</v>
      </c>
    </row>
    <row r="3911" spans="1:15">
      <c r="A3911" s="361">
        <f t="shared" si="754"/>
        <v>18</v>
      </c>
      <c r="B3911" s="365">
        <v>375.7</v>
      </c>
      <c r="C3911" s="358" t="s">
        <v>390</v>
      </c>
      <c r="D3911" s="1243">
        <f t="shared" si="755"/>
        <v>9802947.4699999969</v>
      </c>
      <c r="E3911" s="1243">
        <v>0</v>
      </c>
      <c r="F3911" s="1243">
        <v>-59.55</v>
      </c>
      <c r="G3911" s="1243">
        <f t="shared" si="759"/>
        <v>9802887.9199999962</v>
      </c>
      <c r="H3911" s="1243"/>
      <c r="I3911" s="1243">
        <f t="shared" si="756"/>
        <v>5112841.8699999982</v>
      </c>
      <c r="J3911" s="376">
        <f t="shared" si="760"/>
        <v>2.5100000000000001E-2</v>
      </c>
      <c r="K3911" s="1243">
        <f t="shared" si="761"/>
        <v>20504</v>
      </c>
      <c r="L3911" s="1243">
        <v>0</v>
      </c>
      <c r="M3911" s="1243">
        <f t="shared" si="757"/>
        <v>-59.55</v>
      </c>
      <c r="N3911" s="1243">
        <v>0</v>
      </c>
      <c r="O3911" s="1243">
        <f t="shared" si="758"/>
        <v>5133286.3199999984</v>
      </c>
    </row>
    <row r="3912" spans="1:15">
      <c r="A3912" s="361">
        <f t="shared" si="754"/>
        <v>19</v>
      </c>
      <c r="B3912" s="365">
        <v>375.71</v>
      </c>
      <c r="C3912" s="358" t="s">
        <v>391</v>
      </c>
      <c r="D3912" s="1243">
        <f t="shared" si="755"/>
        <v>880994.59</v>
      </c>
      <c r="E3912" s="1243">
        <v>0</v>
      </c>
      <c r="F3912" s="1243">
        <v>0</v>
      </c>
      <c r="G3912" s="1243">
        <f t="shared" si="759"/>
        <v>880994.59</v>
      </c>
      <c r="H3912" s="1243"/>
      <c r="I3912" s="1243">
        <f t="shared" si="756"/>
        <v>863321.00000000116</v>
      </c>
      <c r="J3912" s="376" t="str">
        <f t="shared" si="760"/>
        <v>Amort.</v>
      </c>
      <c r="K3912" s="1243">
        <f>$K$1290</f>
        <v>4743.54</v>
      </c>
      <c r="L3912" s="1243">
        <v>0</v>
      </c>
      <c r="M3912" s="1243">
        <f t="shared" si="757"/>
        <v>0</v>
      </c>
      <c r="N3912" s="1243">
        <v>0</v>
      </c>
      <c r="O3912" s="1243">
        <f t="shared" si="758"/>
        <v>868064.5400000012</v>
      </c>
    </row>
    <row r="3913" spans="1:15">
      <c r="A3913" s="361">
        <f t="shared" si="754"/>
        <v>20</v>
      </c>
      <c r="B3913" s="365">
        <v>375.8</v>
      </c>
      <c r="C3913" s="358" t="s">
        <v>392</v>
      </c>
      <c r="D3913" s="1243">
        <f t="shared" si="755"/>
        <v>132125.04</v>
      </c>
      <c r="E3913" s="1243">
        <v>0</v>
      </c>
      <c r="F3913" s="1243">
        <v>0</v>
      </c>
      <c r="G3913" s="1243">
        <f t="shared" si="759"/>
        <v>132125.04</v>
      </c>
      <c r="H3913" s="1243"/>
      <c r="I3913" s="1243">
        <f t="shared" si="756"/>
        <v>16868.43</v>
      </c>
      <c r="J3913" s="376">
        <f t="shared" si="760"/>
        <v>2.1100000000000001E-2</v>
      </c>
      <c r="K3913" s="1243">
        <f t="shared" ref="K3913:K3932" si="762">ROUND((G3913+D3913)/2*J3913/12,0)</f>
        <v>232</v>
      </c>
      <c r="L3913" s="1243">
        <v>0</v>
      </c>
      <c r="M3913" s="1243">
        <f t="shared" si="757"/>
        <v>0</v>
      </c>
      <c r="N3913" s="1243">
        <v>0</v>
      </c>
      <c r="O3913" s="1243">
        <f t="shared" si="758"/>
        <v>17100.43</v>
      </c>
    </row>
    <row r="3914" spans="1:15">
      <c r="A3914" s="361">
        <f t="shared" si="754"/>
        <v>21</v>
      </c>
      <c r="B3914" s="365">
        <v>376</v>
      </c>
      <c r="C3914" s="358" t="s">
        <v>1621</v>
      </c>
      <c r="D3914" s="1243">
        <f t="shared" si="755"/>
        <v>424529815.90838766</v>
      </c>
      <c r="E3914" s="1243">
        <f>'WPB-2.1.D SMRP'!E1591</f>
        <v>369721.45806788001</v>
      </c>
      <c r="F3914" s="1243">
        <f>'WPB-2.1.D SMRP'!F1591</f>
        <v>-138068.75000000003</v>
      </c>
      <c r="G3914" s="1243">
        <f t="shared" si="759"/>
        <v>424761468.61645555</v>
      </c>
      <c r="H3914" s="1243"/>
      <c r="I3914" s="1243">
        <f t="shared" si="756"/>
        <v>91954103.890936121</v>
      </c>
      <c r="J3914" s="376">
        <f t="shared" si="760"/>
        <v>1.7999999999999999E-2</v>
      </c>
      <c r="K3914" s="1243">
        <f>'WPB-2.1.D SMRP'!K1591</f>
        <v>636968.15</v>
      </c>
      <c r="L3914" s="1243">
        <v>0</v>
      </c>
      <c r="M3914" s="1243">
        <f>F3914</f>
        <v>-138068.75000000003</v>
      </c>
      <c r="N3914" s="1243">
        <f>'WPB-2.1.D SMRP'!N1591</f>
        <v>-3168.2680347663077</v>
      </c>
      <c r="O3914" s="1243">
        <f t="shared" si="758"/>
        <v>92449835.022901356</v>
      </c>
    </row>
    <row r="3915" spans="1:15">
      <c r="A3915" s="361">
        <f t="shared" si="754"/>
        <v>22</v>
      </c>
      <c r="B3915" s="365">
        <v>378.1</v>
      </c>
      <c r="C3915" s="358" t="s">
        <v>394</v>
      </c>
      <c r="D3915" s="1243">
        <f t="shared" si="755"/>
        <v>-172291.25</v>
      </c>
      <c r="E3915" s="1243">
        <v>0</v>
      </c>
      <c r="F3915" s="1243">
        <v>0</v>
      </c>
      <c r="G3915" s="1243">
        <f t="shared" si="759"/>
        <v>-172291.25</v>
      </c>
      <c r="H3915" s="1243"/>
      <c r="I3915" s="1243">
        <f t="shared" si="756"/>
        <v>-332369.52000000008</v>
      </c>
      <c r="J3915" s="376">
        <f t="shared" si="760"/>
        <v>3.3099999999999997E-2</v>
      </c>
      <c r="K3915" s="1243">
        <f t="shared" si="762"/>
        <v>-475</v>
      </c>
      <c r="L3915" s="1243">
        <v>0</v>
      </c>
      <c r="M3915" s="1243">
        <f t="shared" si="757"/>
        <v>0</v>
      </c>
      <c r="N3915" s="1243">
        <v>0</v>
      </c>
      <c r="O3915" s="1243">
        <f t="shared" si="758"/>
        <v>-332844.52000000008</v>
      </c>
    </row>
    <row r="3916" spans="1:15">
      <c r="A3916" s="361">
        <f t="shared" si="754"/>
        <v>23</v>
      </c>
      <c r="B3916" s="365">
        <v>378.2</v>
      </c>
      <c r="C3916" s="358" t="s">
        <v>1622</v>
      </c>
      <c r="D3916" s="1243">
        <f t="shared" si="755"/>
        <v>31082625.968440816</v>
      </c>
      <c r="E3916" s="1243">
        <f>'WPB-2.1.D SMRP'!E1595</f>
        <v>91657.681089981445</v>
      </c>
      <c r="F3916" s="1243">
        <f>'WPB-2.1.D SMRP'!F1595</f>
        <v>-529956.6317256277</v>
      </c>
      <c r="G3916" s="1243">
        <f t="shared" si="759"/>
        <v>30644327.01780517</v>
      </c>
      <c r="H3916" s="1243"/>
      <c r="I3916" s="1243">
        <f t="shared" si="756"/>
        <v>3318862.806110899</v>
      </c>
      <c r="J3916" s="376">
        <f t="shared" si="760"/>
        <v>3.3099999999999997E-2</v>
      </c>
      <c r="K3916" s="1243">
        <f>'WPB-2.1.D SMRP'!K1595</f>
        <v>85131.61</v>
      </c>
      <c r="L3916" s="1243">
        <v>0</v>
      </c>
      <c r="M3916" s="1243">
        <f>F3916</f>
        <v>-529956.6317256277</v>
      </c>
      <c r="N3916" s="1243">
        <f>'WPB-2.1.D SMRP'!N1595</f>
        <v>0</v>
      </c>
      <c r="O3916" s="1243">
        <f t="shared" si="758"/>
        <v>2874037.7843852714</v>
      </c>
    </row>
    <row r="3917" spans="1:15">
      <c r="A3917" s="361">
        <f t="shared" si="754"/>
        <v>24</v>
      </c>
      <c r="B3917" s="365">
        <v>378.3</v>
      </c>
      <c r="C3917" s="358" t="s">
        <v>396</v>
      </c>
      <c r="D3917" s="1243">
        <f t="shared" si="755"/>
        <v>45443.08</v>
      </c>
      <c r="E3917" s="1243">
        <v>0</v>
      </c>
      <c r="F3917" s="1243">
        <v>0</v>
      </c>
      <c r="G3917" s="1243">
        <f t="shared" si="759"/>
        <v>45443.08</v>
      </c>
      <c r="H3917" s="1243"/>
      <c r="I3917" s="1243">
        <f t="shared" si="756"/>
        <v>45558.320000000007</v>
      </c>
      <c r="J3917" s="376">
        <f t="shared" si="760"/>
        <v>3.3099999999999997E-2</v>
      </c>
      <c r="K3917" s="1243">
        <f t="shared" si="762"/>
        <v>125</v>
      </c>
      <c r="L3917" s="1243">
        <v>0</v>
      </c>
      <c r="M3917" s="1243">
        <f t="shared" si="757"/>
        <v>0</v>
      </c>
      <c r="N3917" s="1243">
        <v>0</v>
      </c>
      <c r="O3917" s="1243">
        <f t="shared" si="758"/>
        <v>45683.320000000007</v>
      </c>
    </row>
    <row r="3918" spans="1:15">
      <c r="A3918" s="361">
        <f t="shared" si="754"/>
        <v>25</v>
      </c>
      <c r="B3918" s="365">
        <v>379.1</v>
      </c>
      <c r="C3918" s="358" t="s">
        <v>397</v>
      </c>
      <c r="D3918" s="1243">
        <f t="shared" si="755"/>
        <v>1554144.06</v>
      </c>
      <c r="E3918" s="1243">
        <v>0</v>
      </c>
      <c r="F3918" s="1243">
        <v>0</v>
      </c>
      <c r="G3918" s="1243">
        <f t="shared" si="759"/>
        <v>1554144.06</v>
      </c>
      <c r="H3918" s="1243"/>
      <c r="I3918" s="1243">
        <f t="shared" si="756"/>
        <v>421893.19000000006</v>
      </c>
      <c r="J3918" s="376">
        <f t="shared" si="760"/>
        <v>2.5399999999999999E-2</v>
      </c>
      <c r="K3918" s="1243">
        <f t="shared" si="762"/>
        <v>3290</v>
      </c>
      <c r="L3918" s="1243">
        <v>0</v>
      </c>
      <c r="M3918" s="1243">
        <f t="shared" si="757"/>
        <v>0</v>
      </c>
      <c r="N3918" s="1243">
        <v>0</v>
      </c>
      <c r="O3918" s="1243">
        <f t="shared" si="758"/>
        <v>425183.19000000006</v>
      </c>
    </row>
    <row r="3919" spans="1:15">
      <c r="A3919" s="361">
        <f t="shared" si="754"/>
        <v>26</v>
      </c>
      <c r="B3919" s="365">
        <v>380</v>
      </c>
      <c r="C3919" s="358" t="s">
        <v>1623</v>
      </c>
      <c r="D3919" s="1243">
        <f t="shared" si="755"/>
        <v>208957886.229671</v>
      </c>
      <c r="E3919" s="1243">
        <f>'WPB-2.1.D SMRP'!E1599</f>
        <v>546906.92500490416</v>
      </c>
      <c r="F3919" s="1243">
        <f>'WPB-2.1.D SMRP'!F1599</f>
        <v>-66990.561299478693</v>
      </c>
      <c r="G3919" s="1243">
        <f t="shared" si="759"/>
        <v>209437802.59337643</v>
      </c>
      <c r="H3919" s="1243"/>
      <c r="I3919" s="1243">
        <f t="shared" si="756"/>
        <v>74498622.686824396</v>
      </c>
      <c r="J3919" s="376">
        <f t="shared" si="760"/>
        <v>5.1799999999999999E-2</v>
      </c>
      <c r="K3919" s="1243">
        <f>'WPB-2.1.D SMRP'!K1599</f>
        <v>903037.43999999994</v>
      </c>
      <c r="L3919" s="1243">
        <v>0</v>
      </c>
      <c r="M3919" s="1243">
        <f>F3919</f>
        <v>-66990.561299478693</v>
      </c>
      <c r="N3919" s="1243">
        <f>'WPB-2.1.D SMRP'!N1599</f>
        <v>-60440.670318327</v>
      </c>
      <c r="O3919" s="1243">
        <f t="shared" si="758"/>
        <v>75274228.8952066</v>
      </c>
    </row>
    <row r="3920" spans="1:15">
      <c r="A3920" s="361">
        <f t="shared" si="754"/>
        <v>27</v>
      </c>
      <c r="B3920" s="365">
        <v>381</v>
      </c>
      <c r="C3920" s="358" t="s">
        <v>399</v>
      </c>
      <c r="D3920" s="1243">
        <f t="shared" si="755"/>
        <v>21037835.170808241</v>
      </c>
      <c r="E3920" s="1243">
        <v>173824.43</v>
      </c>
      <c r="F3920" s="1243">
        <v>-22718.12</v>
      </c>
      <c r="G3920" s="1243">
        <f t="shared" si="759"/>
        <v>21188941.480808239</v>
      </c>
      <c r="H3920" s="1243"/>
      <c r="I3920" s="1243">
        <f t="shared" si="756"/>
        <v>2028073.2299999995</v>
      </c>
      <c r="J3920" s="376">
        <f t="shared" si="760"/>
        <v>3.5799999999999998E-2</v>
      </c>
      <c r="K3920" s="1243">
        <f t="shared" si="762"/>
        <v>62988</v>
      </c>
      <c r="L3920" s="1243">
        <v>0</v>
      </c>
      <c r="M3920" s="1243">
        <f t="shared" si="757"/>
        <v>-22718.12</v>
      </c>
      <c r="N3920" s="1243">
        <v>-1469.7</v>
      </c>
      <c r="O3920" s="1243">
        <f t="shared" si="758"/>
        <v>2066873.4099999995</v>
      </c>
    </row>
    <row r="3921" spans="1:15">
      <c r="A3921" s="361">
        <f t="shared" si="754"/>
        <v>28</v>
      </c>
      <c r="B3921" s="365">
        <v>381.1</v>
      </c>
      <c r="C3921" s="358" t="s">
        <v>2366</v>
      </c>
      <c r="D3921" s="1243">
        <f t="shared" si="755"/>
        <v>9980854.4800000004</v>
      </c>
      <c r="E3921" s="1243">
        <v>0</v>
      </c>
      <c r="F3921" s="1243">
        <v>0</v>
      </c>
      <c r="G3921" s="1243">
        <f t="shared" si="759"/>
        <v>9980854.4800000004</v>
      </c>
      <c r="H3921" s="1243"/>
      <c r="I3921" s="1243">
        <f t="shared" si="756"/>
        <v>6672417.0300000031</v>
      </c>
      <c r="J3921" s="376">
        <f t="shared" si="760"/>
        <v>6.7900000000000002E-2</v>
      </c>
      <c r="K3921" s="1243">
        <f t="shared" si="762"/>
        <v>56475</v>
      </c>
      <c r="L3921" s="1243">
        <v>0</v>
      </c>
      <c r="M3921" s="1243">
        <f t="shared" si="757"/>
        <v>0</v>
      </c>
      <c r="N3921" s="1243">
        <v>0</v>
      </c>
      <c r="O3921" s="1243">
        <f t="shared" si="758"/>
        <v>6728892.0300000031</v>
      </c>
    </row>
    <row r="3922" spans="1:15">
      <c r="A3922" s="361">
        <f t="shared" si="754"/>
        <v>29</v>
      </c>
      <c r="B3922" s="365">
        <v>382</v>
      </c>
      <c r="C3922" s="358" t="s">
        <v>1624</v>
      </c>
      <c r="D3922" s="1243">
        <f t="shared" si="755"/>
        <v>10801057.367275443</v>
      </c>
      <c r="E3922" s="1243">
        <f>'WPB-2.1.D SMRP'!E1603</f>
        <v>21026.112527279125</v>
      </c>
      <c r="F3922" s="1243">
        <f>'WPB-2.1.D SMRP'!F1603</f>
        <v>-2183.997605699924</v>
      </c>
      <c r="G3922" s="1243">
        <f t="shared" si="759"/>
        <v>10819899.482197022</v>
      </c>
      <c r="H3922" s="1243"/>
      <c r="I3922" s="1243">
        <f t="shared" si="756"/>
        <v>6203674.6504323101</v>
      </c>
      <c r="J3922" s="376">
        <f t="shared" si="760"/>
        <v>2.2800000000000001E-2</v>
      </c>
      <c r="K3922" s="1243">
        <f>'WPB-2.1.D SMRP'!K1603</f>
        <v>20540.22</v>
      </c>
      <c r="L3922" s="1243">
        <v>0</v>
      </c>
      <c r="M3922" s="1243">
        <f t="shared" si="757"/>
        <v>-2183.997605699924</v>
      </c>
      <c r="N3922" s="1243">
        <f>'WPB-2.1.D SMRP'!N1603</f>
        <v>0</v>
      </c>
      <c r="O3922" s="1243">
        <f t="shared" si="758"/>
        <v>6222030.8728266098</v>
      </c>
    </row>
    <row r="3923" spans="1:15">
      <c r="A3923" s="361">
        <f t="shared" si="754"/>
        <v>30</v>
      </c>
      <c r="B3923" s="365">
        <v>383</v>
      </c>
      <c r="C3923" s="358" t="s">
        <v>1625</v>
      </c>
      <c r="D3923" s="1243">
        <f t="shared" si="755"/>
        <v>7841242.5985313458</v>
      </c>
      <c r="E3923" s="1243">
        <f>'WPB-2.1.D SMRP'!E1607</f>
        <v>35518.551550156008</v>
      </c>
      <c r="F3923" s="1243">
        <f>'WPB-2.1.D SMRP'!F1607</f>
        <v>-1137.6629374455583</v>
      </c>
      <c r="G3923" s="1243">
        <f t="shared" si="759"/>
        <v>7875623.4871440567</v>
      </c>
      <c r="H3923" s="1243"/>
      <c r="I3923" s="1243">
        <f t="shared" si="756"/>
        <v>2762524.2490077498</v>
      </c>
      <c r="J3923" s="376">
        <f t="shared" si="760"/>
        <v>2.2200000000000001E-2</v>
      </c>
      <c r="K3923" s="1243">
        <f>'WPB-2.1.D SMRP'!K1607</f>
        <v>14538.38</v>
      </c>
      <c r="L3923" s="1243">
        <v>0</v>
      </c>
      <c r="M3923" s="1243">
        <f t="shared" si="757"/>
        <v>-1137.6629374455583</v>
      </c>
      <c r="N3923" s="1243">
        <f>'WPB-2.1.D SMRP'!N1607</f>
        <v>0</v>
      </c>
      <c r="O3923" s="1243">
        <f t="shared" si="758"/>
        <v>2775924.9660703042</v>
      </c>
    </row>
    <row r="3924" spans="1:15">
      <c r="A3924" s="361">
        <f t="shared" si="754"/>
        <v>31</v>
      </c>
      <c r="B3924" s="365">
        <v>384</v>
      </c>
      <c r="C3924" s="358" t="s">
        <v>402</v>
      </c>
      <c r="D3924" s="1243">
        <f t="shared" si="755"/>
        <v>2085357.5599999998</v>
      </c>
      <c r="E3924" s="1243">
        <v>14.01</v>
      </c>
      <c r="F3924" s="1243">
        <v>0</v>
      </c>
      <c r="G3924" s="1243">
        <f t="shared" si="759"/>
        <v>2085371.5699999998</v>
      </c>
      <c r="H3924" s="1243"/>
      <c r="I3924" s="1243">
        <f t="shared" si="756"/>
        <v>1783200.1399999992</v>
      </c>
      <c r="J3924" s="376">
        <f t="shared" si="760"/>
        <v>1.9900000000000001E-2</v>
      </c>
      <c r="K3924" s="1243">
        <f t="shared" si="762"/>
        <v>3458</v>
      </c>
      <c r="L3924" s="1243">
        <v>0</v>
      </c>
      <c r="M3924" s="1243">
        <f t="shared" si="757"/>
        <v>0</v>
      </c>
      <c r="N3924" s="1243">
        <v>0</v>
      </c>
      <c r="O3924" s="1243">
        <f t="shared" si="758"/>
        <v>1786658.1399999992</v>
      </c>
    </row>
    <row r="3925" spans="1:15">
      <c r="A3925" s="361">
        <f t="shared" si="754"/>
        <v>32</v>
      </c>
      <c r="B3925" s="365">
        <v>385</v>
      </c>
      <c r="C3925" s="358" t="s">
        <v>403</v>
      </c>
      <c r="D3925" s="1243">
        <f t="shared" si="755"/>
        <v>6434500.4299999988</v>
      </c>
      <c r="E3925" s="1243">
        <v>11435</v>
      </c>
      <c r="F3925" s="1243">
        <v>-8942.3700000000008</v>
      </c>
      <c r="G3925" s="1243">
        <f t="shared" si="759"/>
        <v>6436993.0599999987</v>
      </c>
      <c r="H3925" s="1243"/>
      <c r="I3925" s="1243">
        <f t="shared" si="756"/>
        <v>978442.4099999998</v>
      </c>
      <c r="J3925" s="376">
        <f t="shared" si="760"/>
        <v>5.4699999999999999E-2</v>
      </c>
      <c r="K3925" s="1243">
        <f t="shared" si="762"/>
        <v>29336</v>
      </c>
      <c r="L3925" s="1243">
        <v>0</v>
      </c>
      <c r="M3925" s="1243">
        <f t="shared" si="757"/>
        <v>-8942.3700000000008</v>
      </c>
      <c r="N3925" s="1243">
        <v>0</v>
      </c>
      <c r="O3925" s="1243">
        <f t="shared" si="758"/>
        <v>998836.0399999998</v>
      </c>
    </row>
    <row r="3926" spans="1:15">
      <c r="A3926" s="361">
        <f t="shared" si="754"/>
        <v>33</v>
      </c>
      <c r="B3926" s="365">
        <v>387.2</v>
      </c>
      <c r="C3926" s="358" t="s">
        <v>404</v>
      </c>
      <c r="D3926" s="1243">
        <f t="shared" si="755"/>
        <v>0</v>
      </c>
      <c r="E3926" s="1243">
        <v>0</v>
      </c>
      <c r="F3926" s="1243">
        <v>0</v>
      </c>
      <c r="G3926" s="1243">
        <f t="shared" si="759"/>
        <v>0</v>
      </c>
      <c r="H3926" s="1243"/>
      <c r="I3926" s="1243">
        <f t="shared" si="756"/>
        <v>-59912.03</v>
      </c>
      <c r="J3926" s="376">
        <f t="shared" si="760"/>
        <v>0</v>
      </c>
      <c r="K3926" s="1243">
        <f t="shared" si="762"/>
        <v>0</v>
      </c>
      <c r="L3926" s="1243">
        <v>0</v>
      </c>
      <c r="M3926" s="1243">
        <f t="shared" si="757"/>
        <v>0</v>
      </c>
      <c r="N3926" s="1243">
        <v>0</v>
      </c>
      <c r="O3926" s="1243">
        <f t="shared" si="758"/>
        <v>-59912.03</v>
      </c>
    </row>
    <row r="3927" spans="1:15">
      <c r="A3927" s="361">
        <f t="shared" si="754"/>
        <v>34</v>
      </c>
      <c r="B3927" s="365">
        <v>387.41</v>
      </c>
      <c r="C3927" s="358" t="s">
        <v>405</v>
      </c>
      <c r="D3927" s="1243">
        <f t="shared" si="755"/>
        <v>260538.46000000008</v>
      </c>
      <c r="E3927" s="1243">
        <v>0</v>
      </c>
      <c r="F3927" s="1243">
        <v>0</v>
      </c>
      <c r="G3927" s="1243">
        <f t="shared" si="759"/>
        <v>260538.46000000008</v>
      </c>
      <c r="H3927" s="1243"/>
      <c r="I3927" s="1243">
        <f t="shared" si="756"/>
        <v>79602.970000000059</v>
      </c>
      <c r="J3927" s="376">
        <f t="shared" si="760"/>
        <v>4.9599999999999998E-2</v>
      </c>
      <c r="K3927" s="1243">
        <f t="shared" si="762"/>
        <v>1077</v>
      </c>
      <c r="L3927" s="1243">
        <v>0</v>
      </c>
      <c r="M3927" s="1243">
        <f t="shared" si="757"/>
        <v>0</v>
      </c>
      <c r="N3927" s="1243">
        <v>0</v>
      </c>
      <c r="O3927" s="1243">
        <f t="shared" si="758"/>
        <v>80679.970000000059</v>
      </c>
    </row>
    <row r="3928" spans="1:15">
      <c r="A3928" s="361">
        <f t="shared" si="754"/>
        <v>35</v>
      </c>
      <c r="B3928" s="365">
        <v>387.42</v>
      </c>
      <c r="C3928" s="358" t="s">
        <v>406</v>
      </c>
      <c r="D3928" s="1243">
        <f t="shared" si="755"/>
        <v>419367.40000000008</v>
      </c>
      <c r="E3928" s="1243">
        <v>0</v>
      </c>
      <c r="F3928" s="1243">
        <v>0</v>
      </c>
      <c r="G3928" s="1243">
        <f t="shared" si="759"/>
        <v>419367.40000000008</v>
      </c>
      <c r="H3928" s="1243"/>
      <c r="I3928" s="1243">
        <f t="shared" si="756"/>
        <v>374313.80999999976</v>
      </c>
      <c r="J3928" s="376">
        <f t="shared" si="760"/>
        <v>4.9599999999999998E-2</v>
      </c>
      <c r="K3928" s="1243">
        <f t="shared" si="762"/>
        <v>1733</v>
      </c>
      <c r="L3928" s="1243">
        <v>0</v>
      </c>
      <c r="M3928" s="1243">
        <f t="shared" si="757"/>
        <v>0</v>
      </c>
      <c r="N3928" s="1243">
        <v>0</v>
      </c>
      <c r="O3928" s="1243">
        <f t="shared" si="758"/>
        <v>376046.80999999976</v>
      </c>
    </row>
    <row r="3929" spans="1:15">
      <c r="A3929" s="361">
        <f t="shared" si="754"/>
        <v>36</v>
      </c>
      <c r="B3929" s="365">
        <v>387.44</v>
      </c>
      <c r="C3929" s="358" t="s">
        <v>407</v>
      </c>
      <c r="D3929" s="1243">
        <f t="shared" si="755"/>
        <v>124678.76000000001</v>
      </c>
      <c r="E3929" s="1243">
        <v>0</v>
      </c>
      <c r="F3929" s="1243">
        <v>0</v>
      </c>
      <c r="G3929" s="1243">
        <f t="shared" si="759"/>
        <v>124678.76000000001</v>
      </c>
      <c r="H3929" s="1243"/>
      <c r="I3929" s="1243">
        <f t="shared" si="756"/>
        <v>76599.390000000014</v>
      </c>
      <c r="J3929" s="376">
        <f t="shared" si="760"/>
        <v>4.9599999999999998E-2</v>
      </c>
      <c r="K3929" s="1243">
        <f t="shared" si="762"/>
        <v>515</v>
      </c>
      <c r="L3929" s="1243">
        <v>0</v>
      </c>
      <c r="M3929" s="1243">
        <f t="shared" si="757"/>
        <v>0</v>
      </c>
      <c r="N3929" s="1243">
        <v>0</v>
      </c>
      <c r="O3929" s="1243">
        <f t="shared" si="758"/>
        <v>77114.390000000014</v>
      </c>
    </row>
    <row r="3930" spans="1:15">
      <c r="A3930" s="361">
        <f t="shared" si="754"/>
        <v>37</v>
      </c>
      <c r="B3930" s="365">
        <v>387.45</v>
      </c>
      <c r="C3930" s="358" t="s">
        <v>408</v>
      </c>
      <c r="D3930" s="1243">
        <f t="shared" si="755"/>
        <v>6708887.7600000044</v>
      </c>
      <c r="E3930" s="1243">
        <v>70347.899999999994</v>
      </c>
      <c r="F3930" s="1243">
        <v>-15629.44</v>
      </c>
      <c r="G3930" s="1243">
        <f t="shared" si="759"/>
        <v>6763606.2200000044</v>
      </c>
      <c r="H3930" s="1243"/>
      <c r="I3930" s="1243">
        <f t="shared" si="756"/>
        <v>-974968.92000000016</v>
      </c>
      <c r="J3930" s="376">
        <f t="shared" si="760"/>
        <v>4.9599999999999998E-2</v>
      </c>
      <c r="K3930" s="1243">
        <f t="shared" si="762"/>
        <v>27843</v>
      </c>
      <c r="L3930" s="1243">
        <v>0</v>
      </c>
      <c r="M3930" s="1243">
        <f t="shared" si="757"/>
        <v>-15629.44</v>
      </c>
      <c r="N3930" s="1243">
        <v>0</v>
      </c>
      <c r="O3930" s="1243">
        <f t="shared" si="758"/>
        <v>-962755.3600000001</v>
      </c>
    </row>
    <row r="3931" spans="1:15">
      <c r="A3931" s="361">
        <f t="shared" si="754"/>
        <v>38</v>
      </c>
      <c r="B3931" s="365">
        <v>387.46</v>
      </c>
      <c r="C3931" s="358" t="s">
        <v>409</v>
      </c>
      <c r="D3931" s="1243">
        <f t="shared" si="755"/>
        <v>113644.47</v>
      </c>
      <c r="E3931" s="1243">
        <v>0</v>
      </c>
      <c r="F3931" s="1243">
        <v>0</v>
      </c>
      <c r="G3931" s="1243">
        <f t="shared" si="759"/>
        <v>113644.47</v>
      </c>
      <c r="H3931" s="1243"/>
      <c r="I3931" s="1243">
        <f t="shared" si="756"/>
        <v>122267.07</v>
      </c>
      <c r="J3931" s="376">
        <f t="shared" si="760"/>
        <v>4.9599999999999998E-2</v>
      </c>
      <c r="K3931" s="1243">
        <f t="shared" si="762"/>
        <v>470</v>
      </c>
      <c r="L3931" s="1243">
        <v>0</v>
      </c>
      <c r="M3931" s="1243">
        <f t="shared" si="757"/>
        <v>0</v>
      </c>
      <c r="N3931" s="1243">
        <v>0</v>
      </c>
      <c r="O3931" s="1243">
        <f t="shared" si="758"/>
        <v>122737.07</v>
      </c>
    </row>
    <row r="3932" spans="1:15">
      <c r="A3932" s="361">
        <f t="shared" si="754"/>
        <v>39</v>
      </c>
      <c r="B3932" s="365">
        <v>387.5</v>
      </c>
      <c r="C3932" s="358" t="s">
        <v>1075</v>
      </c>
      <c r="D3932" s="1244">
        <f t="shared" si="755"/>
        <v>238072.69</v>
      </c>
      <c r="E3932" s="1244">
        <v>0</v>
      </c>
      <c r="F3932" s="1244">
        <v>0</v>
      </c>
      <c r="G3932" s="1244">
        <f t="shared" si="759"/>
        <v>238072.69</v>
      </c>
      <c r="H3932" s="1243"/>
      <c r="I3932" s="1244">
        <f t="shared" si="756"/>
        <v>97808.47000000003</v>
      </c>
      <c r="J3932" s="376">
        <f t="shared" si="760"/>
        <v>0.13500000000000001</v>
      </c>
      <c r="K3932" s="1244">
        <f t="shared" si="762"/>
        <v>2678</v>
      </c>
      <c r="L3932" s="1244">
        <v>0</v>
      </c>
      <c r="M3932" s="1244">
        <f t="shared" si="757"/>
        <v>0</v>
      </c>
      <c r="N3932" s="1244">
        <v>0</v>
      </c>
      <c r="O3932" s="1244">
        <f t="shared" si="758"/>
        <v>100486.47000000003</v>
      </c>
    </row>
    <row r="3933" spans="1:15">
      <c r="A3933" s="361">
        <f t="shared" si="754"/>
        <v>40</v>
      </c>
      <c r="C3933" s="365" t="s">
        <v>1601</v>
      </c>
      <c r="D3933" s="1243">
        <f>SUM(D3903:D3932)</f>
        <v>754170561.89311457</v>
      </c>
      <c r="E3933" s="1243">
        <f>SUM(E3903:E3932)</f>
        <v>1411640.7882402006</v>
      </c>
      <c r="F3933" s="1243">
        <f>SUM(F3903:F3932)</f>
        <v>-815841.59356825182</v>
      </c>
      <c r="G3933" s="1243">
        <f>SUM(G3903:G3932)</f>
        <v>754766361.08778667</v>
      </c>
      <c r="H3933" s="1243"/>
      <c r="I3933" s="1243">
        <f>SUM(I3903:I3932)</f>
        <v>197734017.59331146</v>
      </c>
      <c r="J3933" s="369"/>
      <c r="K3933" s="1243">
        <f>SUM(K3903:K3932)</f>
        <v>1890267.3399999999</v>
      </c>
      <c r="L3933" s="1243">
        <f>SUM(L3903:L3932)</f>
        <v>0</v>
      </c>
      <c r="M3933" s="1243">
        <f>SUM(M3903:M3932)</f>
        <v>-815841.59356825182</v>
      </c>
      <c r="N3933" s="1243">
        <f>SUM(N3903:N3932)</f>
        <v>-65078.638353093302</v>
      </c>
      <c r="O3933" s="1243">
        <f>SUM(O3903:O3932)</f>
        <v>198743364.70139006</v>
      </c>
    </row>
    <row r="3934" spans="1:15">
      <c r="B3934" s="367"/>
      <c r="C3934" s="368"/>
      <c r="D3934" s="369"/>
      <c r="E3934" s="369"/>
      <c r="F3934" s="369"/>
      <c r="G3934" s="369"/>
      <c r="I3934" s="369"/>
      <c r="J3934" s="369"/>
      <c r="K3934" s="1243"/>
      <c r="L3934" s="1243"/>
      <c r="M3934" s="1243"/>
      <c r="N3934" s="1243"/>
      <c r="O3934" s="1243"/>
    </row>
    <row r="3935" spans="1:15">
      <c r="I3935" s="369"/>
      <c r="J3935" s="369"/>
      <c r="K3935" s="369"/>
      <c r="L3935" s="369"/>
      <c r="M3935" s="369"/>
      <c r="N3935" s="369"/>
      <c r="O3935" s="369"/>
    </row>
    <row r="3936" spans="1:15" s="291" customFormat="1">
      <c r="A3936" s="1308" t="str">
        <f>$A$1</f>
        <v>COLUMBIA GAS OF KENTUCKY, INC.</v>
      </c>
      <c r="B3936" s="1308"/>
      <c r="C3936" s="1308"/>
      <c r="D3936" s="1308"/>
      <c r="E3936" s="1308"/>
      <c r="F3936" s="1308"/>
      <c r="G3936" s="1308"/>
      <c r="H3936" s="1308"/>
      <c r="I3936" s="1308"/>
      <c r="J3936" s="1308"/>
      <c r="K3936" s="1308"/>
      <c r="L3936" s="1308"/>
      <c r="M3936" s="1308"/>
      <c r="N3936" s="1308"/>
      <c r="O3936" s="1308"/>
    </row>
    <row r="3937" spans="1:16" s="291" customFormat="1">
      <c r="A3937" s="1308" t="str">
        <f>$A$2</f>
        <v>CASE NO. 2024 - 00092</v>
      </c>
      <c r="B3937" s="1308"/>
      <c r="C3937" s="1308"/>
      <c r="D3937" s="1308"/>
      <c r="E3937" s="1308"/>
      <c r="F3937" s="1308"/>
      <c r="G3937" s="1308"/>
      <c r="H3937" s="1308"/>
      <c r="I3937" s="1308"/>
      <c r="J3937" s="1308"/>
      <c r="K3937" s="1308"/>
      <c r="L3937" s="1308"/>
      <c r="M3937" s="1308"/>
      <c r="N3937" s="1308"/>
      <c r="O3937" s="1308"/>
    </row>
    <row r="3938" spans="1:16" s="291" customFormat="1">
      <c r="A3938" s="1308" t="str">
        <f>$A$3</f>
        <v>DETAIL OF ACTUAL &amp; FORECASTED PLANT, ACCUMULATED RESERVE &amp; DEPRECIATION EXPENSE</v>
      </c>
      <c r="B3938" s="1308"/>
      <c r="C3938" s="1308"/>
      <c r="D3938" s="1308"/>
      <c r="E3938" s="1308"/>
      <c r="F3938" s="1308"/>
      <c r="G3938" s="1308"/>
      <c r="H3938" s="1308"/>
      <c r="I3938" s="1308"/>
      <c r="J3938" s="1308"/>
      <c r="K3938" s="1308"/>
      <c r="L3938" s="1308"/>
      <c r="M3938" s="1308"/>
      <c r="N3938" s="1308"/>
      <c r="O3938" s="1308"/>
      <c r="P3938" s="357"/>
    </row>
    <row r="3939" spans="1:16" s="291" customFormat="1">
      <c r="A3939" s="1308" t="str">
        <f>$A$4</f>
        <v>FROM JANUARY 01, 2023 THROUGH DECEMBER 31, 2025</v>
      </c>
      <c r="B3939" s="1308"/>
      <c r="C3939" s="1308"/>
      <c r="D3939" s="1308"/>
      <c r="E3939" s="1308"/>
      <c r="F3939" s="1308"/>
      <c r="G3939" s="1308"/>
      <c r="H3939" s="1308"/>
      <c r="I3939" s="1308"/>
      <c r="J3939" s="1308"/>
      <c r="K3939" s="1308"/>
      <c r="L3939" s="1308"/>
      <c r="M3939" s="1308"/>
      <c r="N3939" s="1308"/>
      <c r="O3939" s="1308"/>
    </row>
    <row r="3940" spans="1:16" s="291" customFormat="1">
      <c r="B3940" s="293"/>
      <c r="P3940" s="312"/>
    </row>
    <row r="3941" spans="1:16" s="291" customFormat="1">
      <c r="A3941" s="297" t="str">
        <f>$A$6</f>
        <v xml:space="preserve">DATA: _X_ BASE PERIOD _X_ FORECASTED PERIOD     </v>
      </c>
      <c r="B3941" s="293"/>
      <c r="O3941" s="312" t="str">
        <f>$O$6</f>
        <v>WPB-2.1.C</v>
      </c>
      <c r="P3941" s="312"/>
    </row>
    <row r="3942" spans="1:16" s="291" customFormat="1">
      <c r="A3942" s="297" t="str">
        <f>$A$7</f>
        <v>TYPE OF FILING:___X___ORIGINAL______UPDATED</v>
      </c>
      <c r="B3942" s="293"/>
      <c r="O3942" s="312" t="s">
        <v>2153</v>
      </c>
      <c r="P3942" s="312"/>
    </row>
    <row r="3943" spans="1:16" s="291" customFormat="1">
      <c r="A3943" s="297" t="str">
        <f>$A$8</f>
        <v>WORKPAPER REFERENCE NO(S).:</v>
      </c>
      <c r="B3943" s="293"/>
      <c r="O3943" s="312" t="str">
        <f>$O$8</f>
        <v>WITNESS: GORE</v>
      </c>
    </row>
    <row r="3944" spans="1:16">
      <c r="A3944" s="918"/>
      <c r="B3944" s="919"/>
      <c r="C3944" s="918"/>
      <c r="D3944" s="918"/>
      <c r="E3944" s="918"/>
      <c r="F3944" s="918"/>
      <c r="G3944" s="918"/>
      <c r="H3944" s="918"/>
      <c r="I3944" s="918"/>
      <c r="J3944" s="918"/>
      <c r="K3944" s="918"/>
      <c r="L3944" s="918"/>
      <c r="M3944" s="918"/>
      <c r="N3944" s="918"/>
      <c r="O3944" s="920"/>
    </row>
    <row r="3945" spans="1:16">
      <c r="D3945" s="1311" t="s">
        <v>1768</v>
      </c>
      <c r="E3945" s="1311"/>
      <c r="F3945" s="1311"/>
      <c r="G3945" s="1311"/>
      <c r="I3945" s="1311" t="s">
        <v>1769</v>
      </c>
      <c r="J3945" s="1311"/>
      <c r="K3945" s="1311"/>
      <c r="L3945" s="1311"/>
      <c r="M3945" s="1311"/>
      <c r="N3945" s="1311"/>
      <c r="O3945" s="1311"/>
    </row>
    <row r="3946" spans="1:16">
      <c r="D3946" s="360">
        <f>D3887</f>
        <v>45962</v>
      </c>
      <c r="G3946" s="360">
        <f>G3887</f>
        <v>45991</v>
      </c>
      <c r="I3946" s="360">
        <f>D3946</f>
        <v>45962</v>
      </c>
      <c r="O3946" s="360">
        <f>G3946</f>
        <v>45991</v>
      </c>
    </row>
    <row r="3947" spans="1:16">
      <c r="D3947" s="361" t="s">
        <v>1757</v>
      </c>
      <c r="G3947" s="361" t="s">
        <v>1757</v>
      </c>
      <c r="I3947" s="361" t="s">
        <v>1758</v>
      </c>
      <c r="J3947" s="361" t="s">
        <v>488</v>
      </c>
      <c r="L3947" s="361" t="s">
        <v>1758</v>
      </c>
      <c r="O3947" s="361" t="s">
        <v>1758</v>
      </c>
    </row>
    <row r="3948" spans="1:16">
      <c r="A3948" s="361" t="s">
        <v>1770</v>
      </c>
      <c r="B3948" s="361" t="s">
        <v>368</v>
      </c>
      <c r="C3948" s="361"/>
      <c r="D3948" s="361" t="s">
        <v>437</v>
      </c>
      <c r="G3948" s="361" t="s">
        <v>439</v>
      </c>
      <c r="I3948" s="361" t="s">
        <v>437</v>
      </c>
      <c r="J3948" s="361" t="s">
        <v>1771</v>
      </c>
      <c r="K3948" s="361" t="s">
        <v>1772</v>
      </c>
      <c r="L3948" s="361" t="s">
        <v>1759</v>
      </c>
      <c r="N3948" s="361" t="s">
        <v>1760</v>
      </c>
      <c r="O3948" s="361" t="s">
        <v>439</v>
      </c>
    </row>
    <row r="3949" spans="1:16">
      <c r="A3949" s="364" t="s">
        <v>316</v>
      </c>
      <c r="B3949" s="364" t="s">
        <v>316</v>
      </c>
      <c r="C3949" s="364" t="s">
        <v>451</v>
      </c>
      <c r="D3949" s="364" t="s">
        <v>441</v>
      </c>
      <c r="E3949" s="364" t="s">
        <v>442</v>
      </c>
      <c r="F3949" s="364" t="s">
        <v>443</v>
      </c>
      <c r="G3949" s="364" t="s">
        <v>441</v>
      </c>
      <c r="I3949" s="364" t="s">
        <v>441</v>
      </c>
      <c r="J3949" s="364" t="s">
        <v>1773</v>
      </c>
      <c r="K3949" s="364" t="s">
        <v>1771</v>
      </c>
      <c r="L3949" s="364" t="s">
        <v>355</v>
      </c>
      <c r="M3949" s="364" t="s">
        <v>443</v>
      </c>
      <c r="N3949" s="364" t="s">
        <v>1763</v>
      </c>
      <c r="O3949" s="364" t="s">
        <v>441</v>
      </c>
    </row>
    <row r="3950" spans="1:16">
      <c r="D3950" s="361" t="s">
        <v>532</v>
      </c>
      <c r="E3950" s="361" t="s">
        <v>541</v>
      </c>
      <c r="F3950" s="361" t="s">
        <v>542</v>
      </c>
      <c r="G3950" s="361" t="s">
        <v>1764</v>
      </c>
      <c r="I3950" s="334" t="str">
        <f>"(5)"</f>
        <v>(5)</v>
      </c>
      <c r="J3950" s="334" t="str">
        <f>"(6)"</f>
        <v>(6)</v>
      </c>
      <c r="K3950" s="334" t="str">
        <f>"(7)=((1+4)/2*6/12))"</f>
        <v>(7)=((1+4)/2*6/12))</v>
      </c>
      <c r="L3950" s="334" t="str">
        <f>"(8)"</f>
        <v>(8)</v>
      </c>
      <c r="M3950" s="334" t="str">
        <f>"(9)"</f>
        <v>(9)</v>
      </c>
      <c r="N3950" s="334" t="str">
        <f>"(10)"</f>
        <v>(10)</v>
      </c>
      <c r="O3950" s="334" t="str">
        <f>"(11=5+7+8+9+10)"</f>
        <v>(11=5+7+8+9+10)</v>
      </c>
    </row>
    <row r="3951" spans="1:16">
      <c r="D3951" s="361" t="s">
        <v>320</v>
      </c>
      <c r="E3951" s="361" t="s">
        <v>320</v>
      </c>
      <c r="F3951" s="361" t="s">
        <v>320</v>
      </c>
      <c r="G3951" s="361" t="s">
        <v>320</v>
      </c>
      <c r="I3951" s="334" t="s">
        <v>320</v>
      </c>
      <c r="J3951" s="334" t="s">
        <v>529</v>
      </c>
      <c r="K3951" s="334" t="s">
        <v>320</v>
      </c>
      <c r="L3951" s="334" t="s">
        <v>320</v>
      </c>
      <c r="M3951" s="334" t="s">
        <v>320</v>
      </c>
      <c r="N3951" s="334" t="s">
        <v>320</v>
      </c>
      <c r="O3951" s="334" t="s">
        <v>320</v>
      </c>
    </row>
    <row r="3952" spans="1:16">
      <c r="A3952" s="361">
        <v>1</v>
      </c>
      <c r="B3952" s="363" t="s">
        <v>411</v>
      </c>
      <c r="D3952" s="361"/>
      <c r="E3952" s="361"/>
      <c r="F3952" s="361"/>
      <c r="G3952" s="361"/>
      <c r="I3952" s="334"/>
      <c r="J3952" s="334"/>
      <c r="K3952" s="334"/>
      <c r="L3952" s="334"/>
      <c r="M3952" s="334"/>
      <c r="N3952" s="334"/>
      <c r="O3952" s="334"/>
    </row>
    <row r="3953" spans="1:15">
      <c r="A3953" s="361">
        <f>A3952+1</f>
        <v>2</v>
      </c>
      <c r="B3953" s="365">
        <v>391.1</v>
      </c>
      <c r="C3953" s="358" t="s">
        <v>412</v>
      </c>
      <c r="D3953" s="1243">
        <f t="shared" ref="D3953:D3966" si="763">G3839</f>
        <v>921741.33000000007</v>
      </c>
      <c r="E3953" s="1243">
        <v>0</v>
      </c>
      <c r="F3953" s="1243">
        <v>0</v>
      </c>
      <c r="G3953" s="1243">
        <f>SUM(D3953:F3953)</f>
        <v>921741.33000000007</v>
      </c>
      <c r="H3953" s="1243"/>
      <c r="I3953" s="1245">
        <f t="shared" ref="I3953:I3966" si="764">O3839</f>
        <v>305097.53666666668</v>
      </c>
      <c r="J3953" s="376">
        <f t="shared" ref="J3953:J3966" si="765">+J3839</f>
        <v>0.05</v>
      </c>
      <c r="K3953" s="1243">
        <f>ROUND((G3953+D3953)/2*J3953/12,0)</f>
        <v>3841</v>
      </c>
      <c r="L3953" s="1243">
        <f>+L3839</f>
        <v>4814.416666666667</v>
      </c>
      <c r="M3953" s="1243">
        <f t="shared" ref="M3953:M3966" si="766">F3953</f>
        <v>0</v>
      </c>
      <c r="N3953" s="1243">
        <v>0</v>
      </c>
      <c r="O3953" s="1243">
        <f t="shared" ref="O3953:O3966" si="767">I3953+K3953+L3953+M3953+N3953</f>
        <v>313752.95333333337</v>
      </c>
    </row>
    <row r="3954" spans="1:15">
      <c r="A3954" s="361">
        <f t="shared" ref="A3954:A3967" si="768">A3953+1</f>
        <v>3</v>
      </c>
      <c r="B3954" s="365">
        <v>391.11</v>
      </c>
      <c r="C3954" s="358" t="s">
        <v>413</v>
      </c>
      <c r="D3954" s="1243">
        <f t="shared" si="763"/>
        <v>0</v>
      </c>
      <c r="E3954" s="1243">
        <v>0</v>
      </c>
      <c r="F3954" s="1243">
        <v>0</v>
      </c>
      <c r="G3954" s="1243">
        <f t="shared" ref="G3954:G3961" si="769">SUM(D3954:F3954)</f>
        <v>0</v>
      </c>
      <c r="H3954" s="1243"/>
      <c r="I3954" s="1245">
        <f t="shared" si="764"/>
        <v>-7363.6233333333348</v>
      </c>
      <c r="J3954" s="376">
        <f t="shared" si="765"/>
        <v>0</v>
      </c>
      <c r="K3954" s="1243">
        <f>ROUND((G3954+D3954)/2*J3954/12,0)</f>
        <v>0</v>
      </c>
      <c r="L3954" s="1243">
        <f t="shared" ref="L3954:L3966" si="770">+L3840</f>
        <v>525.91666666666663</v>
      </c>
      <c r="M3954" s="1243">
        <f t="shared" si="766"/>
        <v>0</v>
      </c>
      <c r="N3954" s="1243">
        <v>0</v>
      </c>
      <c r="O3954" s="1243">
        <f t="shared" si="767"/>
        <v>-6837.7066666666678</v>
      </c>
    </row>
    <row r="3955" spans="1:15">
      <c r="A3955" s="361">
        <f t="shared" si="768"/>
        <v>4</v>
      </c>
      <c r="B3955" s="365">
        <v>391.12</v>
      </c>
      <c r="C3955" s="358" t="s">
        <v>414</v>
      </c>
      <c r="D3955" s="1243">
        <f t="shared" si="763"/>
        <v>37129.580000000009</v>
      </c>
      <c r="E3955" s="1243">
        <v>0</v>
      </c>
      <c r="F3955" s="1243">
        <v>0</v>
      </c>
      <c r="G3955" s="1243">
        <f t="shared" si="769"/>
        <v>37129.580000000009</v>
      </c>
      <c r="H3955" s="1243"/>
      <c r="I3955" s="1245">
        <f t="shared" si="764"/>
        <v>18371.47</v>
      </c>
      <c r="J3955" s="376">
        <f t="shared" si="765"/>
        <v>0.2</v>
      </c>
      <c r="K3955" s="1243">
        <f>ROUND((G3955+D3955)/2*J3955/12,0)</f>
        <v>619</v>
      </c>
      <c r="L3955" s="1243">
        <f t="shared" si="770"/>
        <v>456.25</v>
      </c>
      <c r="M3955" s="1243">
        <f t="shared" si="766"/>
        <v>0</v>
      </c>
      <c r="N3955" s="1243">
        <v>0</v>
      </c>
      <c r="O3955" s="1243">
        <f t="shared" si="767"/>
        <v>19446.72</v>
      </c>
    </row>
    <row r="3956" spans="1:15">
      <c r="A3956" s="361">
        <f t="shared" si="768"/>
        <v>5</v>
      </c>
      <c r="B3956" s="365">
        <v>392.2</v>
      </c>
      <c r="C3956" s="358" t="s">
        <v>524</v>
      </c>
      <c r="D3956" s="1243">
        <f t="shared" si="763"/>
        <v>48924.4</v>
      </c>
      <c r="E3956" s="1243">
        <v>0</v>
      </c>
      <c r="F3956" s="1243">
        <v>0</v>
      </c>
      <c r="G3956" s="1243">
        <f t="shared" si="769"/>
        <v>48924.4</v>
      </c>
      <c r="H3956" s="1243"/>
      <c r="I3956" s="1245">
        <f t="shared" si="764"/>
        <v>17957.359999999961</v>
      </c>
      <c r="J3956" s="376">
        <f t="shared" si="765"/>
        <v>8.9999999999999993E-3</v>
      </c>
      <c r="K3956" s="1243">
        <f>ROUND((G3956+D3956)/2*J3956/12,0)</f>
        <v>37</v>
      </c>
      <c r="L3956" s="1243">
        <f t="shared" si="770"/>
        <v>0</v>
      </c>
      <c r="M3956" s="1243">
        <f t="shared" si="766"/>
        <v>0</v>
      </c>
      <c r="N3956" s="1243">
        <v>0</v>
      </c>
      <c r="O3956" s="1243">
        <f t="shared" si="767"/>
        <v>17994.359999999961</v>
      </c>
    </row>
    <row r="3957" spans="1:15">
      <c r="A3957" s="361">
        <f t="shared" si="768"/>
        <v>6</v>
      </c>
      <c r="B3957" s="365">
        <v>392.21</v>
      </c>
      <c r="C3957" s="358" t="s">
        <v>415</v>
      </c>
      <c r="D3957" s="1243">
        <f t="shared" si="763"/>
        <v>24462.2</v>
      </c>
      <c r="E3957" s="1243">
        <v>0</v>
      </c>
      <c r="F3957" s="1243">
        <v>0</v>
      </c>
      <c r="G3957" s="1243">
        <f t="shared" si="769"/>
        <v>24462.2</v>
      </c>
      <c r="H3957" s="1243"/>
      <c r="I3957" s="1245">
        <f t="shared" si="764"/>
        <v>45114.01</v>
      </c>
      <c r="J3957" s="376">
        <f t="shared" si="765"/>
        <v>8.9999999999999993E-3</v>
      </c>
      <c r="K3957" s="1243">
        <f>ROUND((G3957+D3957)/2*J3957/12,0)</f>
        <v>18</v>
      </c>
      <c r="L3957" s="1243">
        <f t="shared" si="770"/>
        <v>0</v>
      </c>
      <c r="M3957" s="1243">
        <f t="shared" si="766"/>
        <v>0</v>
      </c>
      <c r="N3957" s="1243">
        <v>0</v>
      </c>
      <c r="O3957" s="1243">
        <f t="shared" si="767"/>
        <v>45132.01</v>
      </c>
    </row>
    <row r="3958" spans="1:15">
      <c r="A3958" s="361">
        <f t="shared" si="768"/>
        <v>7</v>
      </c>
      <c r="B3958" s="365">
        <v>393</v>
      </c>
      <c r="C3958" s="358" t="s">
        <v>416</v>
      </c>
      <c r="D3958" s="1243">
        <f t="shared" si="763"/>
        <v>0</v>
      </c>
      <c r="E3958" s="1243">
        <v>0</v>
      </c>
      <c r="F3958" s="1243">
        <v>0</v>
      </c>
      <c r="G3958" s="1243">
        <f t="shared" si="769"/>
        <v>0</v>
      </c>
      <c r="H3958" s="1243"/>
      <c r="I3958" s="1245">
        <f t="shared" si="764"/>
        <v>0</v>
      </c>
      <c r="J3958" s="376" t="str">
        <f t="shared" si="765"/>
        <v>Amort.</v>
      </c>
      <c r="K3958" s="1243">
        <v>0</v>
      </c>
      <c r="L3958" s="1243">
        <f t="shared" si="770"/>
        <v>0</v>
      </c>
      <c r="M3958" s="1243">
        <f t="shared" si="766"/>
        <v>0</v>
      </c>
      <c r="N3958" s="1243">
        <v>0</v>
      </c>
      <c r="O3958" s="1243">
        <f t="shared" si="767"/>
        <v>0</v>
      </c>
    </row>
    <row r="3959" spans="1:15">
      <c r="A3959" s="361">
        <f t="shared" si="768"/>
        <v>8</v>
      </c>
      <c r="B3959" s="365">
        <v>394.1</v>
      </c>
      <c r="C3959" s="358" t="s">
        <v>417</v>
      </c>
      <c r="D3959" s="1243">
        <f t="shared" si="763"/>
        <v>9739</v>
      </c>
      <c r="E3959" s="1243">
        <v>0</v>
      </c>
      <c r="F3959" s="1243">
        <v>0</v>
      </c>
      <c r="G3959" s="1243">
        <f t="shared" si="769"/>
        <v>9739</v>
      </c>
      <c r="H3959" s="1243"/>
      <c r="I3959" s="1245">
        <f t="shared" si="764"/>
        <v>4780.0700000000006</v>
      </c>
      <c r="J3959" s="376">
        <f t="shared" si="765"/>
        <v>0.04</v>
      </c>
      <c r="K3959" s="1243">
        <f>ROUND((G3959+D3959)/2*J3959/12,0)</f>
        <v>32</v>
      </c>
      <c r="L3959" s="1243">
        <f t="shared" si="770"/>
        <v>0</v>
      </c>
      <c r="M3959" s="1243">
        <f t="shared" si="766"/>
        <v>0</v>
      </c>
      <c r="N3959" s="1243">
        <v>0</v>
      </c>
      <c r="O3959" s="1243">
        <f t="shared" si="767"/>
        <v>4812.0700000000006</v>
      </c>
    </row>
    <row r="3960" spans="1:15">
      <c r="A3960" s="361">
        <f t="shared" si="768"/>
        <v>9</v>
      </c>
      <c r="B3960" s="365">
        <v>394.11</v>
      </c>
      <c r="C3960" s="358" t="s">
        <v>418</v>
      </c>
      <c r="D3960" s="1243">
        <f t="shared" si="763"/>
        <v>0</v>
      </c>
      <c r="E3960" s="1243">
        <v>0</v>
      </c>
      <c r="F3960" s="1243">
        <v>0</v>
      </c>
      <c r="G3960" s="1243">
        <f t="shared" si="769"/>
        <v>0</v>
      </c>
      <c r="H3960" s="1243"/>
      <c r="I3960" s="1245">
        <f t="shared" si="764"/>
        <v>-26071.5</v>
      </c>
      <c r="J3960" s="376">
        <f t="shared" si="765"/>
        <v>0.04</v>
      </c>
      <c r="K3960" s="1243">
        <f>ROUND((G3960+D3960)/2*J3960/12,0)</f>
        <v>0</v>
      </c>
      <c r="L3960" s="1243">
        <f t="shared" si="770"/>
        <v>0</v>
      </c>
      <c r="M3960" s="1243">
        <f t="shared" si="766"/>
        <v>0</v>
      </c>
      <c r="N3960" s="1243">
        <v>0</v>
      </c>
      <c r="O3960" s="1243">
        <f t="shared" si="767"/>
        <v>-26071.5</v>
      </c>
    </row>
    <row r="3961" spans="1:15">
      <c r="A3961" s="361">
        <f t="shared" si="768"/>
        <v>10</v>
      </c>
      <c r="B3961" s="365">
        <v>394.13</v>
      </c>
      <c r="C3961" s="358" t="s">
        <v>515</v>
      </c>
      <c r="D3961" s="1243">
        <f t="shared" si="763"/>
        <v>0</v>
      </c>
      <c r="E3961" s="1243">
        <v>0</v>
      </c>
      <c r="F3961" s="1243">
        <v>0</v>
      </c>
      <c r="G3961" s="1243">
        <f t="shared" si="769"/>
        <v>0</v>
      </c>
      <c r="H3961" s="1243"/>
      <c r="I3961" s="1245">
        <f t="shared" si="764"/>
        <v>20579.36</v>
      </c>
      <c r="J3961" s="376" t="str">
        <f t="shared" si="765"/>
        <v>Amort.</v>
      </c>
      <c r="K3961" s="1243">
        <v>0</v>
      </c>
      <c r="L3961" s="1243">
        <f t="shared" si="770"/>
        <v>-789</v>
      </c>
      <c r="M3961" s="1243">
        <f t="shared" si="766"/>
        <v>0</v>
      </c>
      <c r="N3961" s="1243">
        <v>0</v>
      </c>
      <c r="O3961" s="1243">
        <f t="shared" si="767"/>
        <v>19790.36</v>
      </c>
    </row>
    <row r="3962" spans="1:15">
      <c r="A3962" s="361">
        <f t="shared" si="768"/>
        <v>11</v>
      </c>
      <c r="B3962" s="365">
        <v>394.2</v>
      </c>
      <c r="C3962" s="358" t="s">
        <v>420</v>
      </c>
      <c r="D3962" s="1243">
        <f t="shared" si="763"/>
        <v>0</v>
      </c>
      <c r="E3962" s="1243">
        <v>0</v>
      </c>
      <c r="F3962" s="1243">
        <v>0</v>
      </c>
      <c r="G3962" s="1243">
        <f>SUM(D3962:F3962)</f>
        <v>0</v>
      </c>
      <c r="H3962" s="1243"/>
      <c r="I3962" s="1245">
        <f t="shared" si="764"/>
        <v>185.21</v>
      </c>
      <c r="J3962" s="376">
        <f t="shared" si="765"/>
        <v>0.04</v>
      </c>
      <c r="K3962" s="1243">
        <f>ROUND((G3962+D3962)/2*J3962/12,0)</f>
        <v>0</v>
      </c>
      <c r="L3962" s="1243">
        <f t="shared" si="770"/>
        <v>0</v>
      </c>
      <c r="M3962" s="1243">
        <f t="shared" si="766"/>
        <v>0</v>
      </c>
      <c r="N3962" s="1243">
        <v>0</v>
      </c>
      <c r="O3962" s="1243">
        <f t="shared" si="767"/>
        <v>185.21</v>
      </c>
    </row>
    <row r="3963" spans="1:15">
      <c r="A3963" s="361">
        <f t="shared" si="768"/>
        <v>12</v>
      </c>
      <c r="B3963" s="365">
        <v>394.3</v>
      </c>
      <c r="C3963" s="358" t="s">
        <v>1602</v>
      </c>
      <c r="D3963" s="1243">
        <f t="shared" si="763"/>
        <v>6780091.3800000008</v>
      </c>
      <c r="E3963" s="1243">
        <v>180462.03</v>
      </c>
      <c r="F3963" s="1243">
        <v>-36438.49</v>
      </c>
      <c r="G3963" s="1243">
        <f>SUM(D3963:F3963)</f>
        <v>6924114.9200000009</v>
      </c>
      <c r="H3963" s="1243"/>
      <c r="I3963" s="1245">
        <f t="shared" si="764"/>
        <v>1305456.9499999997</v>
      </c>
      <c r="J3963" s="376">
        <f t="shared" si="765"/>
        <v>0.04</v>
      </c>
      <c r="K3963" s="1243">
        <f>ROUND((G3963+D3963)/2*J3963/12,0)</f>
        <v>22840</v>
      </c>
      <c r="L3963" s="1243">
        <f t="shared" si="770"/>
        <v>0</v>
      </c>
      <c r="M3963" s="1243">
        <f t="shared" si="766"/>
        <v>-36438.49</v>
      </c>
      <c r="N3963" s="1243">
        <v>0</v>
      </c>
      <c r="O3963" s="1243">
        <f t="shared" si="767"/>
        <v>1291858.4599999997</v>
      </c>
    </row>
    <row r="3964" spans="1:15">
      <c r="A3964" s="361">
        <f t="shared" si="768"/>
        <v>13</v>
      </c>
      <c r="B3964" s="365">
        <v>395</v>
      </c>
      <c r="C3964" s="358" t="s">
        <v>422</v>
      </c>
      <c r="D3964" s="1243">
        <f t="shared" si="763"/>
        <v>0</v>
      </c>
      <c r="E3964" s="1243">
        <v>0</v>
      </c>
      <c r="F3964" s="1243">
        <v>0</v>
      </c>
      <c r="G3964" s="1243">
        <f>SUM(D3964:F3964)</f>
        <v>0</v>
      </c>
      <c r="H3964" s="1243"/>
      <c r="I3964" s="1245">
        <f t="shared" si="764"/>
        <v>-161.19999999999845</v>
      </c>
      <c r="J3964" s="376">
        <f t="shared" si="765"/>
        <v>0.05</v>
      </c>
      <c r="K3964" s="1243">
        <f>ROUND((G3964+D3964)/2*J3964/12,0)</f>
        <v>0</v>
      </c>
      <c r="L3964" s="1243">
        <f t="shared" si="770"/>
        <v>-2.75</v>
      </c>
      <c r="M3964" s="1243">
        <f t="shared" si="766"/>
        <v>0</v>
      </c>
      <c r="N3964" s="1243">
        <v>0</v>
      </c>
      <c r="O3964" s="1243">
        <f t="shared" si="767"/>
        <v>-163.94999999999845</v>
      </c>
    </row>
    <row r="3965" spans="1:15">
      <c r="A3965" s="361">
        <f t="shared" si="768"/>
        <v>14</v>
      </c>
      <c r="B3965" s="365">
        <v>396</v>
      </c>
      <c r="C3965" s="358" t="s">
        <v>423</v>
      </c>
      <c r="D3965" s="1243">
        <f t="shared" si="763"/>
        <v>185547</v>
      </c>
      <c r="E3965" s="1243">
        <v>0</v>
      </c>
      <c r="F3965" s="1243">
        <v>0</v>
      </c>
      <c r="G3965" s="1243">
        <f>SUM(D3965:F3965)</f>
        <v>185547</v>
      </c>
      <c r="H3965" s="1243"/>
      <c r="I3965" s="1245">
        <f t="shared" si="764"/>
        <v>171938.14</v>
      </c>
      <c r="J3965" s="376">
        <f t="shared" si="765"/>
        <v>0</v>
      </c>
      <c r="K3965" s="1243">
        <f>ROUND((G3965+D3965)/2*J3965/12,0)</f>
        <v>0</v>
      </c>
      <c r="L3965" s="1243">
        <f t="shared" si="770"/>
        <v>0</v>
      </c>
      <c r="M3965" s="1243">
        <f t="shared" si="766"/>
        <v>0</v>
      </c>
      <c r="N3965" s="1243">
        <v>0</v>
      </c>
      <c r="O3965" s="1243">
        <f t="shared" si="767"/>
        <v>171938.14</v>
      </c>
    </row>
    <row r="3966" spans="1:15">
      <c r="A3966" s="361">
        <f t="shared" si="768"/>
        <v>15</v>
      </c>
      <c r="B3966" s="365">
        <v>398</v>
      </c>
      <c r="C3966" s="358" t="s">
        <v>424</v>
      </c>
      <c r="D3966" s="1244">
        <f t="shared" si="763"/>
        <v>148028.20000000001</v>
      </c>
      <c r="E3966" s="1244">
        <v>0</v>
      </c>
      <c r="F3966" s="1244">
        <v>0</v>
      </c>
      <c r="G3966" s="1244">
        <f>SUM(D3966:F3966)</f>
        <v>148028.20000000001</v>
      </c>
      <c r="H3966" s="1243"/>
      <c r="I3966" s="1246">
        <f t="shared" si="764"/>
        <v>94043.21666666666</v>
      </c>
      <c r="J3966" s="376">
        <f t="shared" si="765"/>
        <v>6.6699999999999995E-2</v>
      </c>
      <c r="K3966" s="1244">
        <f>ROUND((G3966+D3966)/2*J3966/12,0)</f>
        <v>823</v>
      </c>
      <c r="L3966" s="1244">
        <f t="shared" si="770"/>
        <v>265.16666666666669</v>
      </c>
      <c r="M3966" s="1244">
        <f t="shared" si="766"/>
        <v>0</v>
      </c>
      <c r="N3966" s="1244">
        <v>0</v>
      </c>
      <c r="O3966" s="1244">
        <f t="shared" si="767"/>
        <v>95131.383333333331</v>
      </c>
    </row>
    <row r="3967" spans="1:15">
      <c r="A3967" s="361">
        <f t="shared" si="768"/>
        <v>16</v>
      </c>
      <c r="B3967" s="367"/>
      <c r="C3967" s="358" t="s">
        <v>425</v>
      </c>
      <c r="D3967" s="1243">
        <f>SUM(D3953:D3966)</f>
        <v>8155663.0900000008</v>
      </c>
      <c r="E3967" s="1243">
        <f>SUM(E3953:E3966)</f>
        <v>180462.03</v>
      </c>
      <c r="F3967" s="1243">
        <f>SUM(F3953:F3966)</f>
        <v>-36438.49</v>
      </c>
      <c r="G3967" s="1243">
        <f>SUM(G3953:G3966)</f>
        <v>8299686.6300000008</v>
      </c>
      <c r="H3967" s="1243"/>
      <c r="I3967" s="1243">
        <f>SUM(I3953:I3966)</f>
        <v>1949926.9999999998</v>
      </c>
      <c r="J3967" s="369"/>
      <c r="K3967" s="1243">
        <f>SUM(K3953:K3966)</f>
        <v>28210</v>
      </c>
      <c r="L3967" s="1243">
        <f>SUM(L3953:L3966)</f>
        <v>5270.0000000000009</v>
      </c>
      <c r="M3967" s="1243">
        <f>SUM(M3953:M3966)</f>
        <v>-36438.49</v>
      </c>
      <c r="N3967" s="1243">
        <f>SUM(N3953:N3966)</f>
        <v>0</v>
      </c>
      <c r="O3967" s="1243">
        <f>SUM(O3953:O3966)</f>
        <v>1946968.5099999998</v>
      </c>
    </row>
    <row r="3968" spans="1:15">
      <c r="A3968" s="361"/>
      <c r="D3968" s="1243"/>
      <c r="E3968" s="1243"/>
      <c r="F3968" s="1243"/>
      <c r="G3968" s="1243"/>
      <c r="H3968" s="1243"/>
      <c r="I3968" s="1243"/>
      <c r="J3968" s="369"/>
      <c r="K3968" s="1243"/>
      <c r="L3968" s="1243"/>
      <c r="M3968" s="1243"/>
      <c r="N3968" s="1243"/>
      <c r="O3968" s="1243"/>
    </row>
    <row r="3969" spans="1:15">
      <c r="A3969" s="361">
        <f>A3967+1</f>
        <v>17</v>
      </c>
      <c r="B3969" s="363" t="s">
        <v>1038</v>
      </c>
      <c r="D3969" s="1243"/>
      <c r="E3969" s="1243"/>
      <c r="F3969" s="1243"/>
      <c r="G3969" s="1243"/>
      <c r="H3969" s="1243"/>
      <c r="I3969" s="1243"/>
      <c r="J3969" s="369"/>
      <c r="K3969" s="1243"/>
      <c r="L3969" s="1243"/>
      <c r="M3969" s="1243"/>
      <c r="N3969" s="1243"/>
      <c r="O3969" s="1243"/>
    </row>
    <row r="3970" spans="1:15">
      <c r="A3970" s="361">
        <f>A3969+1</f>
        <v>18</v>
      </c>
      <c r="B3970" s="365">
        <v>378.21</v>
      </c>
      <c r="C3970" s="358" t="s">
        <v>1037</v>
      </c>
      <c r="D3970" s="1244">
        <f>G3856</f>
        <v>-777092</v>
      </c>
      <c r="E3970" s="1244">
        <v>0</v>
      </c>
      <c r="F3970" s="1244">
        <v>0</v>
      </c>
      <c r="G3970" s="1244">
        <f>SUM(D3970:F3970)</f>
        <v>-777092</v>
      </c>
      <c r="H3970" s="1243"/>
      <c r="I3970" s="1244">
        <f>O3856</f>
        <v>-251542.08000000039</v>
      </c>
      <c r="J3970" s="376" t="str">
        <f>$J$1690</f>
        <v>Amort.</v>
      </c>
      <c r="K3970" s="1244">
        <f>$K$1348</f>
        <v>-2144.17</v>
      </c>
      <c r="L3970" s="1244">
        <v>0</v>
      </c>
      <c r="M3970" s="1244">
        <f>F3970</f>
        <v>0</v>
      </c>
      <c r="N3970" s="1244">
        <v>0</v>
      </c>
      <c r="O3970" s="1244">
        <f>I3970+K3970+L3970+M3970+N3970</f>
        <v>-253686.25000000041</v>
      </c>
    </row>
    <row r="3971" spans="1:15">
      <c r="A3971" s="361">
        <f>A3970+1</f>
        <v>19</v>
      </c>
      <c r="B3971" s="370"/>
      <c r="C3971" s="358" t="s">
        <v>1579</v>
      </c>
      <c r="D3971" s="1243">
        <f>SUM(D3970)</f>
        <v>-777092</v>
      </c>
      <c r="E3971" s="1243">
        <f>SUM(E3970)</f>
        <v>0</v>
      </c>
      <c r="F3971" s="1243">
        <f>SUM(F3970)</f>
        <v>0</v>
      </c>
      <c r="G3971" s="1243">
        <f>SUM(G3970)</f>
        <v>-777092</v>
      </c>
      <c r="H3971" s="1243"/>
      <c r="I3971" s="1243">
        <f>SUM(I3970)</f>
        <v>-251542.08000000039</v>
      </c>
      <c r="J3971" s="369"/>
      <c r="K3971" s="1243">
        <f>SUM(K3970)</f>
        <v>-2144.17</v>
      </c>
      <c r="L3971" s="1243">
        <f>SUM(L3970)</f>
        <v>0</v>
      </c>
      <c r="M3971" s="1243">
        <f>SUM(M3970)</f>
        <v>0</v>
      </c>
      <c r="N3971" s="1243">
        <f>SUM(N3970)</f>
        <v>0</v>
      </c>
      <c r="O3971" s="1243">
        <f>SUM(O3970)</f>
        <v>-253686.25000000041</v>
      </c>
    </row>
    <row r="3972" spans="1:15">
      <c r="A3972" s="361"/>
      <c r="B3972" s="370"/>
      <c r="D3972" s="1243"/>
      <c r="E3972" s="1243"/>
      <c r="F3972" s="1243"/>
      <c r="G3972" s="1243"/>
      <c r="H3972" s="1243"/>
      <c r="I3972" s="1243"/>
      <c r="J3972" s="369"/>
      <c r="K3972" s="1243"/>
      <c r="L3972" s="1243"/>
      <c r="M3972" s="1243"/>
      <c r="N3972" s="1243"/>
      <c r="O3972" s="1243"/>
    </row>
    <row r="3973" spans="1:15">
      <c r="A3973" s="361">
        <f>A3971+1</f>
        <v>20</v>
      </c>
      <c r="B3973" s="370"/>
      <c r="C3973" s="358" t="s">
        <v>2037</v>
      </c>
      <c r="D3973" s="1243">
        <f>D3900+D3933+D3967+D3971</f>
        <v>783625232.80798268</v>
      </c>
      <c r="E3973" s="1243">
        <f>E3900+E3933+E3967+E3971</f>
        <v>2195808.3676793473</v>
      </c>
      <c r="F3973" s="1243">
        <f>F3900+F3933+F3967+F3971</f>
        <v>-894896.86356825184</v>
      </c>
      <c r="G3973" s="1243">
        <f>G3900+G3933+G3967+G3971</f>
        <v>784926144.31209385</v>
      </c>
      <c r="H3973" s="1243"/>
      <c r="I3973" s="1243">
        <f>I3900+I3933+I3967+I3971</f>
        <v>208379956.83303091</v>
      </c>
      <c r="J3973" s="369"/>
      <c r="K3973" s="1243">
        <f>K3900+K3933+K3967+K3971</f>
        <v>2250894.1482960051</v>
      </c>
      <c r="L3973" s="1243">
        <f>L3900+L3933+L3967+L3971</f>
        <v>5270.0000000000009</v>
      </c>
      <c r="M3973" s="1243">
        <f>M3900+M3933+M3967+M3971</f>
        <v>-894896.86356825184</v>
      </c>
      <c r="N3973" s="1243">
        <f>N3900+N3933+N3967+N3971</f>
        <v>-65078.638353093302</v>
      </c>
      <c r="O3973" s="1243">
        <f>O3900+O3933+O3967+O3971</f>
        <v>209676145.47940552</v>
      </c>
    </row>
    <row r="3974" spans="1:15">
      <c r="A3974" s="361"/>
      <c r="B3974" s="370"/>
      <c r="D3974" s="1243"/>
      <c r="E3974" s="1243"/>
      <c r="F3974" s="1243"/>
      <c r="G3974" s="1243"/>
      <c r="H3974" s="1243"/>
      <c r="I3974" s="1243"/>
      <c r="J3974" s="369"/>
      <c r="K3974" s="1243"/>
      <c r="L3974" s="1243"/>
      <c r="M3974" s="1243"/>
      <c r="N3974" s="1243"/>
      <c r="O3974" s="1243"/>
    </row>
    <row r="3975" spans="1:15">
      <c r="A3975" s="361">
        <f>A3973+1</f>
        <v>21</v>
      </c>
      <c r="B3975" s="370"/>
      <c r="C3975" s="358" t="s">
        <v>2038</v>
      </c>
      <c r="D3975" s="1243">
        <v>0</v>
      </c>
      <c r="E3975" s="1249">
        <v>0</v>
      </c>
      <c r="F3975" s="1249">
        <v>0</v>
      </c>
      <c r="G3975" s="1249">
        <f>SUM(D3975:F3975)</f>
        <v>0</v>
      </c>
      <c r="H3975" s="1243"/>
      <c r="I3975" s="1243">
        <f>O3861</f>
        <v>-6687302.71</v>
      </c>
      <c r="J3975" s="369"/>
      <c r="K3975" s="1243"/>
      <c r="L3975" s="1243"/>
      <c r="M3975" s="1243"/>
      <c r="N3975" s="1243"/>
      <c r="O3975" s="1243">
        <f>I3975+K3975+L3975+M3975+N3975</f>
        <v>-6687302.71</v>
      </c>
    </row>
    <row r="3976" spans="1:15">
      <c r="A3976" s="361"/>
      <c r="B3976" s="370"/>
      <c r="C3976" s="368"/>
      <c r="D3976" s="1243"/>
      <c r="E3976" s="1243"/>
      <c r="F3976" s="1243"/>
      <c r="G3976" s="1243"/>
      <c r="H3976" s="1243"/>
      <c r="I3976" s="1243"/>
      <c r="J3976" s="369"/>
      <c r="K3976" s="1243"/>
      <c r="L3976" s="1243"/>
      <c r="M3976" s="1243"/>
      <c r="N3976" s="1243"/>
      <c r="O3976" s="1243"/>
    </row>
    <row r="3977" spans="1:15">
      <c r="A3977" s="361">
        <f>A3975+1</f>
        <v>22</v>
      </c>
      <c r="C3977" s="358" t="s">
        <v>1603</v>
      </c>
      <c r="D3977" s="1247">
        <f>D3973+D3975</f>
        <v>783625232.80798268</v>
      </c>
      <c r="E3977" s="1247">
        <f t="shared" ref="E3977:O3977" si="771">E3973+E3975</f>
        <v>2195808.3676793473</v>
      </c>
      <c r="F3977" s="1247">
        <f t="shared" si="771"/>
        <v>-894896.86356825184</v>
      </c>
      <c r="G3977" s="1247">
        <f t="shared" si="771"/>
        <v>784926144.31209385</v>
      </c>
      <c r="H3977" s="1243"/>
      <c r="I3977" s="1247">
        <f t="shared" si="771"/>
        <v>201692654.1230309</v>
      </c>
      <c r="J3977" s="369"/>
      <c r="K3977" s="1247">
        <f t="shared" si="771"/>
        <v>2250894.1482960051</v>
      </c>
      <c r="L3977" s="1247">
        <f t="shared" si="771"/>
        <v>5270.0000000000009</v>
      </c>
      <c r="M3977" s="1247">
        <f t="shared" si="771"/>
        <v>-894896.86356825184</v>
      </c>
      <c r="N3977" s="1247">
        <f t="shared" si="771"/>
        <v>-65078.638353093302</v>
      </c>
      <c r="O3977" s="1247">
        <f t="shared" si="771"/>
        <v>202988842.76940551</v>
      </c>
    </row>
    <row r="3978" spans="1:15">
      <c r="A3978" s="361"/>
      <c r="D3978" s="1243"/>
      <c r="E3978" s="1243"/>
      <c r="F3978" s="1243"/>
      <c r="G3978" s="1243"/>
      <c r="H3978" s="1243"/>
      <c r="I3978" s="1243"/>
      <c r="J3978" s="369"/>
      <c r="K3978" s="1243"/>
      <c r="L3978" s="1243"/>
      <c r="M3978" s="1243"/>
      <c r="N3978" s="1243"/>
      <c r="O3978" s="1243"/>
    </row>
    <row r="3979" spans="1:15">
      <c r="A3979" s="361"/>
      <c r="D3979" s="1243"/>
      <c r="E3979" s="1243"/>
      <c r="F3979" s="1243"/>
      <c r="G3979" s="1243"/>
      <c r="H3979" s="1243"/>
      <c r="I3979" s="1243"/>
      <c r="J3979" s="369"/>
      <c r="K3979" s="1243"/>
      <c r="L3979" s="1243"/>
      <c r="M3979" s="1243"/>
      <c r="N3979" s="1243"/>
      <c r="O3979" s="1243"/>
    </row>
    <row r="3980" spans="1:15">
      <c r="A3980" s="361">
        <f>A3977+1</f>
        <v>23</v>
      </c>
      <c r="B3980" s="363" t="s">
        <v>1774</v>
      </c>
      <c r="D3980" s="1243"/>
      <c r="E3980" s="1243"/>
      <c r="F3980" s="1243"/>
      <c r="G3980" s="1243"/>
      <c r="H3980" s="1243"/>
      <c r="I3980" s="1243"/>
      <c r="J3980" s="369"/>
      <c r="K3980" s="1243"/>
      <c r="L3980" s="1243"/>
      <c r="M3980" s="1243"/>
      <c r="N3980" s="1243"/>
      <c r="O3980" s="1243"/>
    </row>
    <row r="3981" spans="1:15">
      <c r="A3981" s="361">
        <f t="shared" ref="A3981:A3986" si="772">A3980+1</f>
        <v>24</v>
      </c>
      <c r="B3981" s="365">
        <v>376</v>
      </c>
      <c r="C3981" s="358" t="s">
        <v>1775</v>
      </c>
      <c r="D3981" s="1243">
        <f>G3867</f>
        <v>69795449.651612297</v>
      </c>
      <c r="E3981" s="1243">
        <f>'WPB-2.1.D SMRP'!E1582</f>
        <v>2814581.3419321198</v>
      </c>
      <c r="F3981" s="1243">
        <f>'WPB-2.1.D SMRP'!F1582</f>
        <v>-39018.879999999946</v>
      </c>
      <c r="G3981" s="1243">
        <f>SUM(D3981:F3981)</f>
        <v>72571012.113544419</v>
      </c>
      <c r="H3981" s="1243"/>
      <c r="I3981" s="1243">
        <f>O3867</f>
        <v>955159.24157498288</v>
      </c>
      <c r="J3981" s="376">
        <f>+J3867</f>
        <v>1.7999999999999999E-2</v>
      </c>
      <c r="K3981" s="1243">
        <f>'WPB-2.1.D SMRP'!K1582</f>
        <v>106774.85</v>
      </c>
      <c r="L3981" s="1243">
        <v>0</v>
      </c>
      <c r="M3981" s="1243">
        <f>F3981</f>
        <v>-39018.879999999946</v>
      </c>
      <c r="N3981" s="1243">
        <f>'WPB-2.1.D SMRP'!N1582</f>
        <v>-27.2519652336922</v>
      </c>
      <c r="O3981" s="1243">
        <f>I3981+K3981+L3981+M3981+N3981</f>
        <v>1022887.9596097494</v>
      </c>
    </row>
    <row r="3982" spans="1:15">
      <c r="A3982" s="361">
        <f t="shared" si="772"/>
        <v>25</v>
      </c>
      <c r="B3982" s="365">
        <v>378.2</v>
      </c>
      <c r="C3982" s="358" t="s">
        <v>1776</v>
      </c>
      <c r="D3982" s="1243">
        <f>G3868</f>
        <v>599780.62011021946</v>
      </c>
      <c r="E3982" s="1243">
        <f>'WPB-2.1.D SMRP'!E1583</f>
        <v>0</v>
      </c>
      <c r="F3982" s="1243">
        <f>'WPB-2.1.D SMRP'!F1583</f>
        <v>0</v>
      </c>
      <c r="G3982" s="1243">
        <f>SUM(D3982:F3982)</f>
        <v>599780.62011021946</v>
      </c>
      <c r="H3982" s="1243"/>
      <c r="I3982" s="1243">
        <f>O3868</f>
        <v>-928273.37754116009</v>
      </c>
      <c r="J3982" s="376">
        <f>+J3868</f>
        <v>3.3099999999999997E-2</v>
      </c>
      <c r="K3982" s="1243">
        <f>'WPB-2.1.D SMRP'!K1583</f>
        <v>1654.39</v>
      </c>
      <c r="L3982" s="1243">
        <v>0</v>
      </c>
      <c r="M3982" s="1243">
        <f>F3982</f>
        <v>0</v>
      </c>
      <c r="N3982" s="1243">
        <f>'WPB-2.1.D SMRP'!N1583</f>
        <v>0</v>
      </c>
      <c r="O3982" s="1243">
        <f>I3982+K3982+L3982+M3982+N3982</f>
        <v>-926618.98754116008</v>
      </c>
    </row>
    <row r="3983" spans="1:15">
      <c r="A3983" s="361">
        <f t="shared" si="772"/>
        <v>26</v>
      </c>
      <c r="B3983" s="365">
        <v>380</v>
      </c>
      <c r="C3983" s="358" t="s">
        <v>1777</v>
      </c>
      <c r="D3983" s="1243">
        <f>G3869</f>
        <v>28606008.800329007</v>
      </c>
      <c r="E3983" s="1243">
        <f>'WPB-2.1.D SMRP'!E1584</f>
        <v>717248.18499509594</v>
      </c>
      <c r="F3983" s="1243">
        <f>'WPB-2.1.D SMRP'!F1584</f>
        <v>-304914.9287005213</v>
      </c>
      <c r="G3983" s="1243">
        <f>SUM(D3983:F3983)</f>
        <v>29018342.056623582</v>
      </c>
      <c r="H3983" s="1243"/>
      <c r="I3983" s="1243">
        <f>O3869</f>
        <v>-13516747.306824403</v>
      </c>
      <c r="J3983" s="376">
        <f>+J3869</f>
        <v>5.1799999999999999E-2</v>
      </c>
      <c r="K3983" s="1243">
        <f>'WPB-2.1.D SMRP'!K1584</f>
        <v>124372.56</v>
      </c>
      <c r="L3983" s="1243">
        <v>0</v>
      </c>
      <c r="M3983" s="1243">
        <f>F3983</f>
        <v>-304914.9287005213</v>
      </c>
      <c r="N3983" s="1243">
        <f>'WPB-2.1.D SMRP'!N1584</f>
        <v>-147320.27968167301</v>
      </c>
      <c r="O3983" s="1243">
        <f>I3983+K3983+L3983+M3983+N3983</f>
        <v>-13844609.955206597</v>
      </c>
    </row>
    <row r="3984" spans="1:15">
      <c r="A3984" s="361">
        <f t="shared" si="772"/>
        <v>27</v>
      </c>
      <c r="B3984" s="365">
        <v>382</v>
      </c>
      <c r="C3984" s="358" t="s">
        <v>1778</v>
      </c>
      <c r="D3984" s="1243">
        <f>G3870</f>
        <v>266212.34412238962</v>
      </c>
      <c r="E3984" s="1243">
        <f>'WPB-2.1.D SMRP'!E1585</f>
        <v>7023.1844213288405</v>
      </c>
      <c r="F3984" s="1243">
        <f>'WPB-2.1.D SMRP'!F1585</f>
        <v>-729.50327554230375</v>
      </c>
      <c r="G3984" s="1243">
        <f>SUM(D3984:F3984)</f>
        <v>272506.02526817616</v>
      </c>
      <c r="H3984" s="1243"/>
      <c r="I3984" s="1243">
        <f>O3870</f>
        <v>-75656.278364437982</v>
      </c>
      <c r="J3984" s="376">
        <f>+J3870</f>
        <v>2.2800000000000001E-2</v>
      </c>
      <c r="K3984" s="1243">
        <f>'WPB-2.1.D SMRP'!K1585</f>
        <v>511.78</v>
      </c>
      <c r="L3984" s="1243">
        <v>0</v>
      </c>
      <c r="M3984" s="1243">
        <f>F3984</f>
        <v>-729.50327554230375</v>
      </c>
      <c r="N3984" s="1243">
        <f>'WPB-2.1.D SMRP'!N1585</f>
        <v>0</v>
      </c>
      <c r="O3984" s="1243">
        <f>I3984+K3984+L3984+M3984+N3984</f>
        <v>-75874.001639980284</v>
      </c>
    </row>
    <row r="3985" spans="1:16">
      <c r="A3985" s="361">
        <f t="shared" si="772"/>
        <v>28</v>
      </c>
      <c r="B3985" s="365">
        <v>383</v>
      </c>
      <c r="C3985" s="358" t="s">
        <v>1779</v>
      </c>
      <c r="D3985" s="1244">
        <f>G3871</f>
        <v>190894.66396201821</v>
      </c>
      <c r="E3985" s="1244">
        <f>'WPB-2.1.D SMRP'!E1586</f>
        <v>6100.5784498439889</v>
      </c>
      <c r="F3985" s="1244">
        <f>'WPB-2.1.D SMRP'!F1586</f>
        <v>-195.40218873707227</v>
      </c>
      <c r="G3985" s="1244">
        <f>SUM(D3985:F3985)</f>
        <v>196799.84022312512</v>
      </c>
      <c r="H3985" s="1243"/>
      <c r="I3985" s="1244">
        <f>O3871</f>
        <v>-6735.5540798483889</v>
      </c>
      <c r="J3985" s="376">
        <f>+J3871</f>
        <v>2.2200000000000001E-2</v>
      </c>
      <c r="K3985" s="1244">
        <f>'WPB-2.1.D SMRP'!K1586</f>
        <v>358.62</v>
      </c>
      <c r="L3985" s="1244">
        <v>0</v>
      </c>
      <c r="M3985" s="1244">
        <f>F3985</f>
        <v>-195.40218873707227</v>
      </c>
      <c r="N3985" s="1244">
        <f>'WPB-2.1.D SMRP'!N1586</f>
        <v>0</v>
      </c>
      <c r="O3985" s="1244">
        <f>I3985+K3985+L3985+M3985+N3985</f>
        <v>-6572.3362685854609</v>
      </c>
    </row>
    <row r="3986" spans="1:16">
      <c r="A3986" s="361">
        <f t="shared" si="772"/>
        <v>29</v>
      </c>
      <c r="C3986" s="358" t="s">
        <v>1780</v>
      </c>
      <c r="D3986" s="1243">
        <f>SUM(D3981:D3985)</f>
        <v>99458346.080135942</v>
      </c>
      <c r="E3986" s="1243">
        <f>SUM(E3981:E3985)</f>
        <v>3544953.2897983887</v>
      </c>
      <c r="F3986" s="1243">
        <f>SUM(F3981:F3985)</f>
        <v>-344858.71416480059</v>
      </c>
      <c r="G3986" s="1243">
        <f>SUM(G3981:G3985)</f>
        <v>102658440.65576951</v>
      </c>
      <c r="H3986" s="1243"/>
      <c r="I3986" s="1243">
        <f>SUM(I3981:I3985)</f>
        <v>-13572253.275234869</v>
      </c>
      <c r="J3986" s="369"/>
      <c r="K3986" s="1243">
        <f>SUM(K3981:K3985)</f>
        <v>233672.19999999998</v>
      </c>
      <c r="L3986" s="1243">
        <f>SUM(L3981:L3985)</f>
        <v>0</v>
      </c>
      <c r="M3986" s="1243">
        <f>SUM(M3981:M3985)</f>
        <v>-344858.71416480059</v>
      </c>
      <c r="N3986" s="1243">
        <f>SUM(N3981:N3985)</f>
        <v>-147347.53164690669</v>
      </c>
      <c r="O3986" s="1243">
        <f>SUM(O3981:O3985)</f>
        <v>-13830787.321046574</v>
      </c>
    </row>
    <row r="3987" spans="1:16">
      <c r="A3987" s="361"/>
      <c r="D3987" s="1243"/>
      <c r="E3987" s="1243"/>
      <c r="F3987" s="1243"/>
      <c r="G3987" s="1243"/>
      <c r="H3987" s="1243"/>
      <c r="I3987" s="1243"/>
      <c r="J3987" s="369"/>
      <c r="K3987" s="1243"/>
      <c r="L3987" s="1243"/>
      <c r="M3987" s="1243"/>
      <c r="N3987" s="1243"/>
      <c r="O3987" s="1243"/>
    </row>
    <row r="3988" spans="1:16" ht="13.5" thickBot="1">
      <c r="A3988" s="361">
        <f>A3986+1</f>
        <v>30</v>
      </c>
      <c r="C3988" s="358" t="s">
        <v>447</v>
      </c>
      <c r="D3988" s="1248">
        <f>D3977+D3986</f>
        <v>883083578.88811862</v>
      </c>
      <c r="E3988" s="1248">
        <f>E3977+E3986</f>
        <v>5740761.6574777365</v>
      </c>
      <c r="F3988" s="1248">
        <f>F3977+F3986</f>
        <v>-1239755.5777330524</v>
      </c>
      <c r="G3988" s="1248">
        <f>G3977+G3986</f>
        <v>887584584.96786332</v>
      </c>
      <c r="H3988" s="1243"/>
      <c r="I3988" s="1248">
        <f>I3977+I3986</f>
        <v>188120400.84779602</v>
      </c>
      <c r="J3988" s="369"/>
      <c r="K3988" s="1248">
        <f>K3977+K3986</f>
        <v>2484566.3482960053</v>
      </c>
      <c r="L3988" s="1248">
        <f>L3977+L3986</f>
        <v>5270.0000000000009</v>
      </c>
      <c r="M3988" s="1248">
        <f>M3977+M3986</f>
        <v>-1239755.5777330524</v>
      </c>
      <c r="N3988" s="1248">
        <f>N3977+N3986</f>
        <v>-212426.16999999998</v>
      </c>
      <c r="O3988" s="1248">
        <f>O3977+O3986</f>
        <v>189158055.44835895</v>
      </c>
    </row>
    <row r="3989" spans="1:16" ht="13.5" thickTop="1">
      <c r="K3989" s="1243"/>
      <c r="L3989" s="1243"/>
      <c r="M3989" s="1243"/>
      <c r="N3989" s="1243"/>
      <c r="O3989" s="1243"/>
    </row>
    <row r="3991" spans="1:16" s="291" customFormat="1">
      <c r="A3991" s="1308" t="str">
        <f>$A$1</f>
        <v>COLUMBIA GAS OF KENTUCKY, INC.</v>
      </c>
      <c r="B3991" s="1308"/>
      <c r="C3991" s="1308"/>
      <c r="D3991" s="1308"/>
      <c r="E3991" s="1308"/>
      <c r="F3991" s="1308"/>
      <c r="G3991" s="1308"/>
      <c r="H3991" s="1308"/>
      <c r="I3991" s="1308"/>
      <c r="J3991" s="1308"/>
      <c r="K3991" s="1308"/>
      <c r="L3991" s="1308"/>
      <c r="M3991" s="1308"/>
      <c r="N3991" s="1308"/>
      <c r="O3991" s="1308"/>
    </row>
    <row r="3992" spans="1:16" s="291" customFormat="1">
      <c r="A3992" s="1308" t="str">
        <f>$A$2</f>
        <v>CASE NO. 2024 - 00092</v>
      </c>
      <c r="B3992" s="1308"/>
      <c r="C3992" s="1308"/>
      <c r="D3992" s="1308"/>
      <c r="E3992" s="1308"/>
      <c r="F3992" s="1308"/>
      <c r="G3992" s="1308"/>
      <c r="H3992" s="1308"/>
      <c r="I3992" s="1308"/>
      <c r="J3992" s="1308"/>
      <c r="K3992" s="1308"/>
      <c r="L3992" s="1308"/>
      <c r="M3992" s="1308"/>
      <c r="N3992" s="1308"/>
      <c r="O3992" s="1308"/>
    </row>
    <row r="3993" spans="1:16" s="291" customFormat="1">
      <c r="A3993" s="1308" t="str">
        <f>$A$3</f>
        <v>DETAIL OF ACTUAL &amp; FORECASTED PLANT, ACCUMULATED RESERVE &amp; DEPRECIATION EXPENSE</v>
      </c>
      <c r="B3993" s="1308"/>
      <c r="C3993" s="1308"/>
      <c r="D3993" s="1308"/>
      <c r="E3993" s="1308"/>
      <c r="F3993" s="1308"/>
      <c r="G3993" s="1308"/>
      <c r="H3993" s="1308"/>
      <c r="I3993" s="1308"/>
      <c r="J3993" s="1308"/>
      <c r="K3993" s="1308"/>
      <c r="L3993" s="1308"/>
      <c r="M3993" s="1308"/>
      <c r="N3993" s="1308"/>
      <c r="O3993" s="1308"/>
      <c r="P3993" s="357"/>
    </row>
    <row r="3994" spans="1:16" s="291" customFormat="1">
      <c r="A3994" s="1308" t="str">
        <f>$A$4</f>
        <v>FROM JANUARY 01, 2023 THROUGH DECEMBER 31, 2025</v>
      </c>
      <c r="B3994" s="1308"/>
      <c r="C3994" s="1308"/>
      <c r="D3994" s="1308"/>
      <c r="E3994" s="1308"/>
      <c r="F3994" s="1308"/>
      <c r="G3994" s="1308"/>
      <c r="H3994" s="1308"/>
      <c r="I3994" s="1308"/>
      <c r="J3994" s="1308"/>
      <c r="K3994" s="1308"/>
      <c r="L3994" s="1308"/>
      <c r="M3994" s="1308"/>
      <c r="N3994" s="1308"/>
      <c r="O3994" s="1308"/>
    </row>
    <row r="3995" spans="1:16" s="291" customFormat="1">
      <c r="B3995" s="293"/>
      <c r="P3995" s="312"/>
    </row>
    <row r="3996" spans="1:16" s="291" customFormat="1">
      <c r="A3996" s="297" t="str">
        <f>$A$6</f>
        <v xml:space="preserve">DATA: _X_ BASE PERIOD _X_ FORECASTED PERIOD     </v>
      </c>
      <c r="B3996" s="293"/>
      <c r="O3996" s="312" t="str">
        <f>$O$6</f>
        <v>WPB-2.1.C</v>
      </c>
      <c r="P3996" s="312"/>
    </row>
    <row r="3997" spans="1:16" s="291" customFormat="1">
      <c r="A3997" s="297" t="str">
        <f>$A$7</f>
        <v>TYPE OF FILING:___X___ORIGINAL______UPDATED</v>
      </c>
      <c r="B3997" s="293"/>
      <c r="O3997" s="312" t="s">
        <v>2152</v>
      </c>
      <c r="P3997" s="312"/>
    </row>
    <row r="3998" spans="1:16" s="291" customFormat="1">
      <c r="A3998" s="297" t="str">
        <f>$A$8</f>
        <v>WORKPAPER REFERENCE NO(S).:</v>
      </c>
      <c r="B3998" s="293"/>
      <c r="O3998" s="312" t="str">
        <f>$O$8</f>
        <v>WITNESS: GORE</v>
      </c>
    </row>
    <row r="3999" spans="1:16">
      <c r="A3999" s="918"/>
      <c r="B3999" s="919"/>
      <c r="C3999" s="918"/>
      <c r="D3999" s="918"/>
      <c r="E3999" s="918"/>
      <c r="F3999" s="918"/>
      <c r="G3999" s="918"/>
      <c r="H3999" s="918"/>
      <c r="I3999" s="918"/>
      <c r="J3999" s="918"/>
      <c r="K3999" s="918"/>
      <c r="L3999" s="918"/>
      <c r="M3999" s="918"/>
      <c r="N3999" s="918"/>
      <c r="O3999" s="920"/>
    </row>
    <row r="4000" spans="1:16">
      <c r="D4000" s="1311" t="s">
        <v>1768</v>
      </c>
      <c r="E4000" s="1311"/>
      <c r="F4000" s="1311"/>
      <c r="G4000" s="1311"/>
      <c r="I4000" s="1311" t="s">
        <v>1769</v>
      </c>
      <c r="J4000" s="1311"/>
      <c r="K4000" s="1311"/>
      <c r="L4000" s="1311"/>
      <c r="M4000" s="1311"/>
      <c r="N4000" s="1311"/>
      <c r="O4000" s="1311"/>
    </row>
    <row r="4001" spans="1:15">
      <c r="D4001" s="360">
        <f>G3946+1</f>
        <v>45992</v>
      </c>
      <c r="G4001" s="360">
        <f>D4001+30</f>
        <v>46022</v>
      </c>
      <c r="I4001" s="360">
        <f>D4001</f>
        <v>45992</v>
      </c>
      <c r="O4001" s="360">
        <f>G4001</f>
        <v>46022</v>
      </c>
    </row>
    <row r="4002" spans="1:15">
      <c r="D4002" s="361" t="s">
        <v>1757</v>
      </c>
      <c r="G4002" s="361" t="s">
        <v>1757</v>
      </c>
      <c r="I4002" s="361" t="s">
        <v>1758</v>
      </c>
      <c r="J4002" s="361" t="s">
        <v>488</v>
      </c>
      <c r="L4002" s="361" t="s">
        <v>1758</v>
      </c>
      <c r="O4002" s="361" t="s">
        <v>1758</v>
      </c>
    </row>
    <row r="4003" spans="1:15">
      <c r="A4003" s="361" t="s">
        <v>1770</v>
      </c>
      <c r="B4003" s="361" t="s">
        <v>368</v>
      </c>
      <c r="C4003" s="361"/>
      <c r="D4003" s="361" t="s">
        <v>437</v>
      </c>
      <c r="G4003" s="361" t="s">
        <v>439</v>
      </c>
      <c r="I4003" s="361" t="s">
        <v>437</v>
      </c>
      <c r="J4003" s="361" t="s">
        <v>1771</v>
      </c>
      <c r="K4003" s="361" t="s">
        <v>1772</v>
      </c>
      <c r="L4003" s="361" t="s">
        <v>1759</v>
      </c>
      <c r="N4003" s="361" t="s">
        <v>1760</v>
      </c>
      <c r="O4003" s="361" t="s">
        <v>439</v>
      </c>
    </row>
    <row r="4004" spans="1:15">
      <c r="A4004" s="364" t="s">
        <v>316</v>
      </c>
      <c r="B4004" s="364" t="s">
        <v>316</v>
      </c>
      <c r="C4004" s="364" t="s">
        <v>451</v>
      </c>
      <c r="D4004" s="364" t="s">
        <v>441</v>
      </c>
      <c r="E4004" s="364" t="s">
        <v>442</v>
      </c>
      <c r="F4004" s="364" t="s">
        <v>443</v>
      </c>
      <c r="G4004" s="364" t="s">
        <v>441</v>
      </c>
      <c r="I4004" s="364" t="s">
        <v>441</v>
      </c>
      <c r="J4004" s="364" t="s">
        <v>1773</v>
      </c>
      <c r="K4004" s="364" t="s">
        <v>1771</v>
      </c>
      <c r="L4004" s="364" t="s">
        <v>355</v>
      </c>
      <c r="M4004" s="364" t="s">
        <v>443</v>
      </c>
      <c r="N4004" s="364" t="s">
        <v>1763</v>
      </c>
      <c r="O4004" s="364" t="s">
        <v>441</v>
      </c>
    </row>
    <row r="4005" spans="1:15">
      <c r="D4005" s="361" t="s">
        <v>532</v>
      </c>
      <c r="E4005" s="361" t="s">
        <v>541</v>
      </c>
      <c r="F4005" s="361" t="s">
        <v>542</v>
      </c>
      <c r="G4005" s="361" t="s">
        <v>1764</v>
      </c>
      <c r="I4005" s="334" t="str">
        <f>"(5)"</f>
        <v>(5)</v>
      </c>
      <c r="J4005" s="334" t="str">
        <f>"(6)"</f>
        <v>(6)</v>
      </c>
      <c r="K4005" s="334" t="str">
        <f>"(7)=((1+4)/2*6/12))"</f>
        <v>(7)=((1+4)/2*6/12))</v>
      </c>
      <c r="L4005" s="334" t="str">
        <f>"(8)"</f>
        <v>(8)</v>
      </c>
      <c r="M4005" s="334" t="str">
        <f>"(9)"</f>
        <v>(9)</v>
      </c>
      <c r="N4005" s="334" t="str">
        <f>"(10)"</f>
        <v>(10)</v>
      </c>
      <c r="O4005" s="334" t="str">
        <f>"(11=5+7+8+9+10)"</f>
        <v>(11=5+7+8+9+10)</v>
      </c>
    </row>
    <row r="4006" spans="1:15">
      <c r="D4006" s="361" t="s">
        <v>320</v>
      </c>
      <c r="E4006" s="361" t="s">
        <v>320</v>
      </c>
      <c r="F4006" s="361" t="s">
        <v>320</v>
      </c>
      <c r="G4006" s="361" t="s">
        <v>320</v>
      </c>
      <c r="I4006" s="334" t="s">
        <v>320</v>
      </c>
      <c r="J4006" s="334" t="s">
        <v>529</v>
      </c>
      <c r="K4006" s="334" t="s">
        <v>320</v>
      </c>
      <c r="L4006" s="334" t="s">
        <v>320</v>
      </c>
      <c r="M4006" s="334" t="s">
        <v>320</v>
      </c>
      <c r="N4006" s="334" t="s">
        <v>320</v>
      </c>
      <c r="O4006" s="334" t="s">
        <v>320</v>
      </c>
    </row>
    <row r="4007" spans="1:15">
      <c r="A4007" s="361">
        <v>1</v>
      </c>
      <c r="B4007" s="362" t="s">
        <v>373</v>
      </c>
      <c r="D4007" s="361"/>
      <c r="E4007" s="361"/>
      <c r="F4007" s="361"/>
      <c r="G4007" s="361"/>
      <c r="I4007" s="334"/>
      <c r="J4007" s="334"/>
      <c r="K4007" s="334"/>
      <c r="L4007" s="334"/>
      <c r="M4007" s="334"/>
      <c r="N4007" s="334"/>
      <c r="O4007" s="334"/>
    </row>
    <row r="4008" spans="1:15">
      <c r="A4008" s="361">
        <f>A4007+1</f>
        <v>2</v>
      </c>
      <c r="B4008" s="365">
        <v>301</v>
      </c>
      <c r="C4008" s="358" t="s">
        <v>374</v>
      </c>
      <c r="D4008" s="1243">
        <f t="shared" ref="D4008:D4013" si="773">G3894</f>
        <v>521.20000000000005</v>
      </c>
      <c r="E4008" s="1243">
        <v>0</v>
      </c>
      <c r="F4008" s="1243">
        <v>0</v>
      </c>
      <c r="G4008" s="1243">
        <f t="shared" ref="G4008:G4013" si="774">SUM(D4008:F4008)</f>
        <v>521.20000000000005</v>
      </c>
      <c r="H4008" s="1243"/>
      <c r="I4008" s="1243">
        <f t="shared" ref="I4008:I4013" si="775">O3894</f>
        <v>0</v>
      </c>
      <c r="J4008" s="375" t="str">
        <f>$J$1614</f>
        <v>Amort.</v>
      </c>
      <c r="K4008" s="1243">
        <v>0</v>
      </c>
      <c r="L4008" s="1243">
        <v>0</v>
      </c>
      <c r="M4008" s="1243">
        <f t="shared" ref="M4008:M4013" si="776">F4008</f>
        <v>0</v>
      </c>
      <c r="N4008" s="1243">
        <v>0</v>
      </c>
      <c r="O4008" s="1243">
        <f t="shared" ref="O4008:O4013" si="777">I4008+K4008+L4008+M4008+N4008</f>
        <v>0</v>
      </c>
    </row>
    <row r="4009" spans="1:15">
      <c r="A4009" s="361">
        <f t="shared" ref="A4009:A4014" si="778">A4008+1</f>
        <v>3</v>
      </c>
      <c r="B4009" s="365">
        <v>303</v>
      </c>
      <c r="C4009" s="358" t="s">
        <v>375</v>
      </c>
      <c r="D4009" s="1243">
        <f t="shared" si="773"/>
        <v>81146.899999999994</v>
      </c>
      <c r="E4009" s="1243">
        <v>0</v>
      </c>
      <c r="F4009" s="1243">
        <v>0</v>
      </c>
      <c r="G4009" s="1243">
        <f t="shared" si="774"/>
        <v>81146.899999999994</v>
      </c>
      <c r="H4009" s="1243"/>
      <c r="I4009" s="1243">
        <f t="shared" si="775"/>
        <v>69555.288791666811</v>
      </c>
      <c r="J4009" s="375" t="str">
        <f>$J$1615</f>
        <v>Amort.</v>
      </c>
      <c r="K4009" s="1243">
        <f>+'WPB-2.1.E Intangibles'!P53</f>
        <v>206.82</v>
      </c>
      <c r="L4009" s="1243">
        <v>0</v>
      </c>
      <c r="M4009" s="1243">
        <f t="shared" si="776"/>
        <v>0</v>
      </c>
      <c r="N4009" s="1243">
        <v>0</v>
      </c>
      <c r="O4009" s="1243">
        <f t="shared" si="777"/>
        <v>69762.108791666818</v>
      </c>
    </row>
    <row r="4010" spans="1:15">
      <c r="A4010" s="361">
        <f t="shared" si="778"/>
        <v>4</v>
      </c>
      <c r="B4010" s="365">
        <v>303.10000000000002</v>
      </c>
      <c r="C4010" s="358" t="s">
        <v>376</v>
      </c>
      <c r="D4010" s="1243">
        <f t="shared" si="773"/>
        <v>943.27</v>
      </c>
      <c r="E4010" s="1243">
        <v>0</v>
      </c>
      <c r="F4010" s="1243">
        <v>0</v>
      </c>
      <c r="G4010" s="1243">
        <f t="shared" si="774"/>
        <v>943.27</v>
      </c>
      <c r="H4010" s="1243"/>
      <c r="I4010" s="1243">
        <f t="shared" si="775"/>
        <v>318.35000000000008</v>
      </c>
      <c r="J4010" s="375" t="str">
        <f>$J$1616</f>
        <v>Amort.</v>
      </c>
      <c r="K4010" s="1243">
        <v>0</v>
      </c>
      <c r="L4010" s="1243">
        <v>0</v>
      </c>
      <c r="M4010" s="1243">
        <f t="shared" si="776"/>
        <v>0</v>
      </c>
      <c r="N4010" s="1243">
        <v>0</v>
      </c>
      <c r="O4010" s="1243">
        <f t="shared" si="777"/>
        <v>318.35000000000008</v>
      </c>
    </row>
    <row r="4011" spans="1:15">
      <c r="A4011" s="361">
        <f t="shared" si="778"/>
        <v>5</v>
      </c>
      <c r="B4011" s="365">
        <v>303.2</v>
      </c>
      <c r="C4011" s="358" t="s">
        <v>377</v>
      </c>
      <c r="D4011" s="1243">
        <f t="shared" si="773"/>
        <v>0</v>
      </c>
      <c r="E4011" s="1243">
        <v>0</v>
      </c>
      <c r="F4011" s="1243">
        <v>0</v>
      </c>
      <c r="G4011" s="1243">
        <f t="shared" si="774"/>
        <v>0</v>
      </c>
      <c r="H4011" s="1243"/>
      <c r="I4011" s="1243">
        <f t="shared" si="775"/>
        <v>0</v>
      </c>
      <c r="J4011" s="375" t="str">
        <f>$J$1617</f>
        <v>Amort.</v>
      </c>
      <c r="K4011" s="1243">
        <v>0</v>
      </c>
      <c r="L4011" s="1243">
        <v>0</v>
      </c>
      <c r="M4011" s="1243">
        <f t="shared" si="776"/>
        <v>0</v>
      </c>
      <c r="N4011" s="1243">
        <v>0</v>
      </c>
      <c r="O4011" s="1243">
        <f t="shared" si="777"/>
        <v>0</v>
      </c>
    </row>
    <row r="4012" spans="1:15">
      <c r="A4012" s="361">
        <f t="shared" si="778"/>
        <v>6</v>
      </c>
      <c r="B4012" s="365">
        <v>303.3</v>
      </c>
      <c r="C4012" s="358" t="s">
        <v>378</v>
      </c>
      <c r="D4012" s="1243">
        <f t="shared" si="773"/>
        <v>17959085.734649006</v>
      </c>
      <c r="E4012" s="1243">
        <f>+'WPB-2.1.E Intangibles'!P26</f>
        <v>190053</v>
      </c>
      <c r="F4012" s="1243">
        <f>-'WPB-2.1.E Intangibles'!P41</f>
        <v>-116937.47</v>
      </c>
      <c r="G4012" s="1243">
        <f t="shared" si="774"/>
        <v>18032201.264649007</v>
      </c>
      <c r="H4012" s="1243"/>
      <c r="I4012" s="1243">
        <f t="shared" si="775"/>
        <v>7570049.5607318506</v>
      </c>
      <c r="J4012" s="375" t="str">
        <f>$J$1618</f>
        <v>Amort.</v>
      </c>
      <c r="K4012" s="1243">
        <f>+'WPB-2.1.E Intangibles'!P54</f>
        <v>273314.32597027224</v>
      </c>
      <c r="L4012" s="1243">
        <v>0</v>
      </c>
      <c r="M4012" s="1243">
        <f t="shared" si="776"/>
        <v>-116937.47</v>
      </c>
      <c r="N4012" s="1243">
        <v>0</v>
      </c>
      <c r="O4012" s="1243">
        <f t="shared" si="777"/>
        <v>7726426.4167021234</v>
      </c>
    </row>
    <row r="4013" spans="1:15">
      <c r="A4013" s="361">
        <f t="shared" si="778"/>
        <v>7</v>
      </c>
      <c r="B4013" s="365">
        <v>303.99</v>
      </c>
      <c r="C4013" s="358" t="s">
        <v>1129</v>
      </c>
      <c r="D4013" s="1244">
        <f t="shared" si="773"/>
        <v>4595491.4896581667</v>
      </c>
      <c r="E4013" s="1244">
        <f>+'WPB-2.1.E Intangibles'!P30</f>
        <v>11992.229819786944</v>
      </c>
      <c r="F4013" s="1244">
        <f>-'WPB-2.1.E Intangibles'!P42</f>
        <v>-4442.0200000000004</v>
      </c>
      <c r="G4013" s="1244">
        <f t="shared" si="774"/>
        <v>4603041.6994779538</v>
      </c>
      <c r="H4013" s="1243"/>
      <c r="I4013" s="1244">
        <f t="shared" si="775"/>
        <v>1599575.3184919429</v>
      </c>
      <c r="J4013" s="375" t="str">
        <f>$J$1619</f>
        <v>Amort.</v>
      </c>
      <c r="K4013" s="1244">
        <f>+'WPB-2.1.E Intangibles'!P55</f>
        <v>65185.302152890625</v>
      </c>
      <c r="L4013" s="1244">
        <v>0</v>
      </c>
      <c r="M4013" s="1244">
        <f t="shared" si="776"/>
        <v>-4442.0200000000004</v>
      </c>
      <c r="N4013" s="1244">
        <v>0</v>
      </c>
      <c r="O4013" s="1244">
        <f t="shared" si="777"/>
        <v>1660318.6006448336</v>
      </c>
    </row>
    <row r="4014" spans="1:15">
      <c r="A4014" s="361">
        <f t="shared" si="778"/>
        <v>8</v>
      </c>
      <c r="B4014" s="367"/>
      <c r="C4014" s="358" t="s">
        <v>379</v>
      </c>
      <c r="D4014" s="1243">
        <f>SUM(D4008:D4013)</f>
        <v>22637188.594307173</v>
      </c>
      <c r="E4014" s="1243">
        <f>SUM(E4008:E4013)</f>
        <v>202045.22981978694</v>
      </c>
      <c r="F4014" s="1243">
        <f>SUM(F4008:F4013)</f>
        <v>-121379.49</v>
      </c>
      <c r="G4014" s="1243">
        <f>SUM(G4008:G4013)</f>
        <v>22717854.334126964</v>
      </c>
      <c r="H4014" s="1243"/>
      <c r="I4014" s="1243">
        <f>SUM(I4008:I4013)</f>
        <v>9239498.5180154592</v>
      </c>
      <c r="J4014" s="369"/>
      <c r="K4014" s="1243">
        <f>SUM(K4008:K4013)</f>
        <v>338706.44812316285</v>
      </c>
      <c r="L4014" s="1243">
        <f>SUM(L4008:L4013)</f>
        <v>0</v>
      </c>
      <c r="M4014" s="1243">
        <f>SUM(M4008:M4013)</f>
        <v>-121379.49</v>
      </c>
      <c r="N4014" s="1243">
        <f>SUM(N4008:N4013)</f>
        <v>0</v>
      </c>
      <c r="O4014" s="1243">
        <f>SUM(O4008:O4013)</f>
        <v>9456825.4761386234</v>
      </c>
    </row>
    <row r="4015" spans="1:15">
      <c r="A4015" s="361"/>
      <c r="B4015" s="367"/>
      <c r="C4015" s="368"/>
      <c r="D4015" s="1243"/>
      <c r="E4015" s="1243"/>
      <c r="F4015" s="1243"/>
      <c r="G4015" s="1243"/>
      <c r="H4015" s="1243"/>
      <c r="I4015" s="1243"/>
      <c r="J4015" s="369"/>
      <c r="K4015" s="1243"/>
      <c r="L4015" s="1243"/>
      <c r="M4015" s="1243"/>
      <c r="N4015" s="1243"/>
      <c r="O4015" s="1243"/>
    </row>
    <row r="4016" spans="1:15">
      <c r="A4016" s="361">
        <f>A4014+1</f>
        <v>9</v>
      </c>
      <c r="B4016" s="362" t="s">
        <v>1600</v>
      </c>
      <c r="C4016" s="368"/>
      <c r="D4016" s="1243"/>
      <c r="E4016" s="1243"/>
      <c r="F4016" s="1243"/>
      <c r="G4016" s="1243"/>
      <c r="H4016" s="1243"/>
      <c r="I4016" s="1243"/>
      <c r="J4016" s="369"/>
      <c r="K4016" s="1243"/>
      <c r="L4016" s="1243"/>
      <c r="M4016" s="1243"/>
      <c r="N4016" s="1243"/>
      <c r="O4016" s="1243"/>
    </row>
    <row r="4017" spans="1:15">
      <c r="A4017" s="361">
        <f t="shared" ref="A4017:A4047" si="779">A4016+1</f>
        <v>10</v>
      </c>
      <c r="B4017" s="365">
        <v>374.1</v>
      </c>
      <c r="C4017" s="358" t="s">
        <v>382</v>
      </c>
      <c r="D4017" s="1243">
        <f t="shared" ref="D4017:D4046" si="780">G3903</f>
        <v>205.4</v>
      </c>
      <c r="E4017" s="1243">
        <v>0</v>
      </c>
      <c r="F4017" s="1243">
        <v>0</v>
      </c>
      <c r="G4017" s="1243">
        <f>SUM(D4017:F4017)</f>
        <v>205.4</v>
      </c>
      <c r="H4017" s="1243"/>
      <c r="I4017" s="1243">
        <f t="shared" ref="I4017:I4046" si="781">O3903</f>
        <v>0</v>
      </c>
      <c r="J4017" s="375" t="str">
        <f>$J$1623</f>
        <v>Non-Dep.</v>
      </c>
      <c r="K4017" s="1243">
        <v>0</v>
      </c>
      <c r="L4017" s="1243">
        <v>0</v>
      </c>
      <c r="M4017" s="1243">
        <f t="shared" ref="M4017:M4046" si="782">F4017</f>
        <v>0</v>
      </c>
      <c r="N4017" s="1243">
        <v>0</v>
      </c>
      <c r="O4017" s="1243">
        <f t="shared" ref="O4017:O4046" si="783">I4017+K4017+L4017+M4017+N4017</f>
        <v>0</v>
      </c>
    </row>
    <row r="4018" spans="1:15">
      <c r="A4018" s="361">
        <f t="shared" si="779"/>
        <v>11</v>
      </c>
      <c r="B4018" s="365">
        <v>374.2</v>
      </c>
      <c r="C4018" s="358" t="s">
        <v>383</v>
      </c>
      <c r="D4018" s="1243">
        <f t="shared" si="780"/>
        <v>876986.66</v>
      </c>
      <c r="E4018" s="1243">
        <v>0</v>
      </c>
      <c r="F4018" s="1243">
        <v>0</v>
      </c>
      <c r="G4018" s="1243">
        <f t="shared" ref="G4018:G4046" si="784">SUM(D4018:F4018)</f>
        <v>876986.66</v>
      </c>
      <c r="H4018" s="1243"/>
      <c r="I4018" s="1243">
        <f t="shared" si="781"/>
        <v>-522.25</v>
      </c>
      <c r="J4018" s="375" t="str">
        <f>$J$1624</f>
        <v>Non-Dep.</v>
      </c>
      <c r="K4018" s="1243">
        <v>0</v>
      </c>
      <c r="L4018" s="1243">
        <v>0</v>
      </c>
      <c r="M4018" s="1243">
        <f t="shared" si="782"/>
        <v>0</v>
      </c>
      <c r="N4018" s="1243">
        <v>0</v>
      </c>
      <c r="O4018" s="1243">
        <f t="shared" si="783"/>
        <v>-522.25</v>
      </c>
    </row>
    <row r="4019" spans="1:15">
      <c r="A4019" s="361">
        <f t="shared" si="779"/>
        <v>12</v>
      </c>
      <c r="B4019" s="365">
        <v>374.4</v>
      </c>
      <c r="C4019" s="358" t="s">
        <v>384</v>
      </c>
      <c r="D4019" s="1243">
        <f t="shared" si="780"/>
        <v>3299121.2200000011</v>
      </c>
      <c r="E4019" s="1243">
        <v>30272.76</v>
      </c>
      <c r="F4019" s="1243">
        <v>0</v>
      </c>
      <c r="G4019" s="1243">
        <f t="shared" si="784"/>
        <v>3329393.9800000009</v>
      </c>
      <c r="H4019" s="1243"/>
      <c r="I4019" s="1243">
        <f t="shared" si="781"/>
        <v>428520.77</v>
      </c>
      <c r="J4019" s="376">
        <f t="shared" ref="J4019:J4046" si="785">+J3905</f>
        <v>1.3299999999999999E-2</v>
      </c>
      <c r="K4019" s="1243">
        <f t="shared" ref="K4019:K4025" si="786">ROUND((G4019+D4019)/2*J4019/12,0)</f>
        <v>3673</v>
      </c>
      <c r="L4019" s="1243">
        <v>0</v>
      </c>
      <c r="M4019" s="1243">
        <f t="shared" si="782"/>
        <v>0</v>
      </c>
      <c r="N4019" s="1243">
        <v>0</v>
      </c>
      <c r="O4019" s="1243">
        <f t="shared" si="783"/>
        <v>432193.77</v>
      </c>
    </row>
    <row r="4020" spans="1:15">
      <c r="A4020" s="361">
        <f t="shared" si="779"/>
        <v>13</v>
      </c>
      <c r="B4020" s="365">
        <v>374.5</v>
      </c>
      <c r="C4020" s="358" t="s">
        <v>385</v>
      </c>
      <c r="D4020" s="1243">
        <f t="shared" si="780"/>
        <v>2666577.16</v>
      </c>
      <c r="E4020" s="1243">
        <v>0</v>
      </c>
      <c r="F4020" s="1243">
        <v>0</v>
      </c>
      <c r="G4020" s="1243">
        <f t="shared" si="784"/>
        <v>2666577.16</v>
      </c>
      <c r="H4020" s="1243"/>
      <c r="I4020" s="1243">
        <f t="shared" si="781"/>
        <v>1212512.1900000013</v>
      </c>
      <c r="J4020" s="376">
        <f t="shared" si="785"/>
        <v>1.0999999999999999E-2</v>
      </c>
      <c r="K4020" s="1243">
        <f t="shared" si="786"/>
        <v>2444</v>
      </c>
      <c r="L4020" s="1243">
        <v>0</v>
      </c>
      <c r="M4020" s="1243">
        <f t="shared" si="782"/>
        <v>0</v>
      </c>
      <c r="N4020" s="1243">
        <v>0</v>
      </c>
      <c r="O4020" s="1243">
        <f t="shared" si="783"/>
        <v>1214956.1900000013</v>
      </c>
    </row>
    <row r="4021" spans="1:15">
      <c r="A4021" s="361">
        <f t="shared" si="779"/>
        <v>14</v>
      </c>
      <c r="B4021" s="365">
        <v>375.2</v>
      </c>
      <c r="C4021" s="358" t="s">
        <v>386</v>
      </c>
      <c r="D4021" s="1243">
        <f t="shared" si="780"/>
        <v>2124.98</v>
      </c>
      <c r="E4021" s="1243">
        <v>0</v>
      </c>
      <c r="F4021" s="1243">
        <v>0</v>
      </c>
      <c r="G4021" s="1243">
        <f t="shared" si="784"/>
        <v>2124.98</v>
      </c>
      <c r="H4021" s="1243"/>
      <c r="I4021" s="1243">
        <f t="shared" si="781"/>
        <v>2147.3000000000002</v>
      </c>
      <c r="J4021" s="376">
        <f t="shared" si="785"/>
        <v>2.3900000000000001E-2</v>
      </c>
      <c r="K4021" s="1243">
        <f t="shared" si="786"/>
        <v>4</v>
      </c>
      <c r="L4021" s="1243">
        <v>0</v>
      </c>
      <c r="M4021" s="1243">
        <f t="shared" si="782"/>
        <v>0</v>
      </c>
      <c r="N4021" s="1243">
        <v>0</v>
      </c>
      <c r="O4021" s="1243">
        <f t="shared" si="783"/>
        <v>2151.3000000000002</v>
      </c>
    </row>
    <row r="4022" spans="1:15">
      <c r="A4022" s="361">
        <f t="shared" si="779"/>
        <v>15</v>
      </c>
      <c r="B4022" s="365">
        <v>375.3</v>
      </c>
      <c r="C4022" s="358" t="s">
        <v>387</v>
      </c>
      <c r="D4022" s="1243">
        <f t="shared" si="780"/>
        <v>0</v>
      </c>
      <c r="E4022" s="1243">
        <v>0</v>
      </c>
      <c r="F4022" s="1243">
        <v>0</v>
      </c>
      <c r="G4022" s="1243">
        <f t="shared" si="784"/>
        <v>0</v>
      </c>
      <c r="H4022" s="1243"/>
      <c r="I4022" s="1243">
        <f t="shared" si="781"/>
        <v>-77.66</v>
      </c>
      <c r="J4022" s="376">
        <f t="shared" si="785"/>
        <v>2.3900000000000001E-2</v>
      </c>
      <c r="K4022" s="1243">
        <f t="shared" si="786"/>
        <v>0</v>
      </c>
      <c r="L4022" s="1243">
        <v>0</v>
      </c>
      <c r="M4022" s="1243">
        <f t="shared" si="782"/>
        <v>0</v>
      </c>
      <c r="N4022" s="1243">
        <v>0</v>
      </c>
      <c r="O4022" s="1243">
        <f t="shared" si="783"/>
        <v>-77.66</v>
      </c>
    </row>
    <row r="4023" spans="1:15">
      <c r="A4023" s="361">
        <f t="shared" si="779"/>
        <v>16</v>
      </c>
      <c r="B4023" s="365">
        <v>375.4</v>
      </c>
      <c r="C4023" s="358" t="s">
        <v>388</v>
      </c>
      <c r="D4023" s="1243">
        <f t="shared" si="780"/>
        <v>4526852.4399999995</v>
      </c>
      <c r="E4023" s="1243">
        <v>237305.08</v>
      </c>
      <c r="F4023" s="1243">
        <v>-179672.35</v>
      </c>
      <c r="G4023" s="1243">
        <f t="shared" si="784"/>
        <v>4584485.17</v>
      </c>
      <c r="H4023" s="1243"/>
      <c r="I4023" s="1243">
        <f t="shared" si="781"/>
        <v>32596.570000000171</v>
      </c>
      <c r="J4023" s="376">
        <f t="shared" si="785"/>
        <v>2.3900000000000001E-2</v>
      </c>
      <c r="K4023" s="1243">
        <f t="shared" si="786"/>
        <v>9073</v>
      </c>
      <c r="L4023" s="1243">
        <v>0</v>
      </c>
      <c r="M4023" s="1243">
        <f t="shared" si="782"/>
        <v>-179672.35</v>
      </c>
      <c r="N4023" s="1243">
        <v>0</v>
      </c>
      <c r="O4023" s="1243">
        <f t="shared" si="783"/>
        <v>-138002.77999999985</v>
      </c>
    </row>
    <row r="4024" spans="1:15">
      <c r="A4024" s="361">
        <f t="shared" si="779"/>
        <v>17</v>
      </c>
      <c r="B4024" s="365">
        <v>375.6</v>
      </c>
      <c r="C4024" s="358" t="s">
        <v>389</v>
      </c>
      <c r="D4024" s="1243">
        <f t="shared" si="780"/>
        <v>0</v>
      </c>
      <c r="E4024" s="1243">
        <v>0</v>
      </c>
      <c r="F4024" s="1243">
        <v>0</v>
      </c>
      <c r="G4024" s="1243">
        <f t="shared" si="784"/>
        <v>0</v>
      </c>
      <c r="H4024" s="1243"/>
      <c r="I4024" s="1243">
        <f t="shared" si="781"/>
        <v>0.02</v>
      </c>
      <c r="J4024" s="376">
        <f t="shared" si="785"/>
        <v>2.3900000000000001E-2</v>
      </c>
      <c r="K4024" s="1243">
        <f t="shared" si="786"/>
        <v>0</v>
      </c>
      <c r="L4024" s="1243">
        <v>0</v>
      </c>
      <c r="M4024" s="1243">
        <f t="shared" si="782"/>
        <v>0</v>
      </c>
      <c r="N4024" s="1243">
        <v>0</v>
      </c>
      <c r="O4024" s="1243">
        <f t="shared" si="783"/>
        <v>0.02</v>
      </c>
    </row>
    <row r="4025" spans="1:15">
      <c r="A4025" s="361">
        <f t="shared" si="779"/>
        <v>18</v>
      </c>
      <c r="B4025" s="365">
        <v>375.7</v>
      </c>
      <c r="C4025" s="358" t="s">
        <v>390</v>
      </c>
      <c r="D4025" s="1243">
        <f t="shared" si="780"/>
        <v>9802887.9199999962</v>
      </c>
      <c r="E4025" s="1243">
        <v>7438.69</v>
      </c>
      <c r="F4025" s="1243">
        <v>-941.67</v>
      </c>
      <c r="G4025" s="1243">
        <f t="shared" si="784"/>
        <v>9809384.9399999958</v>
      </c>
      <c r="H4025" s="1243"/>
      <c r="I4025" s="1243">
        <f t="shared" si="781"/>
        <v>5133286.3199999984</v>
      </c>
      <c r="J4025" s="376">
        <f t="shared" si="785"/>
        <v>2.5100000000000001E-2</v>
      </c>
      <c r="K4025" s="1243">
        <f t="shared" si="786"/>
        <v>20511</v>
      </c>
      <c r="L4025" s="1243">
        <v>0</v>
      </c>
      <c r="M4025" s="1243">
        <f t="shared" si="782"/>
        <v>-941.67</v>
      </c>
      <c r="N4025" s="1243">
        <v>0</v>
      </c>
      <c r="O4025" s="1243">
        <f t="shared" si="783"/>
        <v>5152855.6499999985</v>
      </c>
    </row>
    <row r="4026" spans="1:15">
      <c r="A4026" s="361">
        <f t="shared" si="779"/>
        <v>19</v>
      </c>
      <c r="B4026" s="365">
        <v>375.71</v>
      </c>
      <c r="C4026" s="358" t="s">
        <v>391</v>
      </c>
      <c r="D4026" s="1243">
        <f t="shared" si="780"/>
        <v>880994.59</v>
      </c>
      <c r="E4026" s="1243">
        <v>0</v>
      </c>
      <c r="F4026" s="1243">
        <v>0</v>
      </c>
      <c r="G4026" s="1243">
        <f t="shared" si="784"/>
        <v>880994.59</v>
      </c>
      <c r="H4026" s="1243"/>
      <c r="I4026" s="1243">
        <f t="shared" si="781"/>
        <v>868064.5400000012</v>
      </c>
      <c r="J4026" s="376" t="str">
        <f t="shared" si="785"/>
        <v>Amort.</v>
      </c>
      <c r="K4026" s="1243">
        <f>$K$1290</f>
        <v>4743.54</v>
      </c>
      <c r="L4026" s="1243">
        <v>0</v>
      </c>
      <c r="M4026" s="1243">
        <f t="shared" si="782"/>
        <v>0</v>
      </c>
      <c r="N4026" s="1243">
        <v>0</v>
      </c>
      <c r="O4026" s="1243">
        <f t="shared" si="783"/>
        <v>872808.08000000124</v>
      </c>
    </row>
    <row r="4027" spans="1:15">
      <c r="A4027" s="361">
        <f t="shared" si="779"/>
        <v>20</v>
      </c>
      <c r="B4027" s="365">
        <v>375.8</v>
      </c>
      <c r="C4027" s="358" t="s">
        <v>392</v>
      </c>
      <c r="D4027" s="1243">
        <f t="shared" si="780"/>
        <v>132125.04</v>
      </c>
      <c r="E4027" s="1243">
        <v>0</v>
      </c>
      <c r="F4027" s="1243">
        <v>0</v>
      </c>
      <c r="G4027" s="1243">
        <f t="shared" si="784"/>
        <v>132125.04</v>
      </c>
      <c r="H4027" s="1243"/>
      <c r="I4027" s="1243">
        <f t="shared" si="781"/>
        <v>17100.43</v>
      </c>
      <c r="J4027" s="376">
        <f t="shared" si="785"/>
        <v>2.1100000000000001E-2</v>
      </c>
      <c r="K4027" s="1243">
        <f t="shared" ref="K4027:K4046" si="787">ROUND((G4027+D4027)/2*J4027/12,0)</f>
        <v>232</v>
      </c>
      <c r="L4027" s="1243">
        <v>0</v>
      </c>
      <c r="M4027" s="1243">
        <f t="shared" si="782"/>
        <v>0</v>
      </c>
      <c r="N4027" s="1243">
        <v>0</v>
      </c>
      <c r="O4027" s="1243">
        <f t="shared" si="783"/>
        <v>17332.43</v>
      </c>
    </row>
    <row r="4028" spans="1:15">
      <c r="A4028" s="361">
        <f t="shared" si="779"/>
        <v>21</v>
      </c>
      <c r="B4028" s="365">
        <v>376</v>
      </c>
      <c r="C4028" s="358" t="s">
        <v>1621</v>
      </c>
      <c r="D4028" s="1243">
        <f t="shared" si="780"/>
        <v>424761468.61645555</v>
      </c>
      <c r="E4028" s="1243">
        <f>'WPB-2.1.D SMRP'!E1637</f>
        <v>2899295.3900380945</v>
      </c>
      <c r="F4028" s="1243">
        <f>'WPB-2.1.D SMRP'!F1637</f>
        <v>-256845.93</v>
      </c>
      <c r="G4028" s="1243">
        <f t="shared" si="784"/>
        <v>427403918.07649362</v>
      </c>
      <c r="H4028" s="1243"/>
      <c r="I4028" s="1243">
        <f t="shared" si="781"/>
        <v>92449835.022901356</v>
      </c>
      <c r="J4028" s="376">
        <f t="shared" si="785"/>
        <v>1.7999999999999999E-2</v>
      </c>
      <c r="K4028" s="1243">
        <f>'WPB-2.1.D SMRP'!K1637</f>
        <v>639124.04</v>
      </c>
      <c r="L4028" s="1243">
        <v>0</v>
      </c>
      <c r="M4028" s="1243">
        <f>F4028</f>
        <v>-256845.93</v>
      </c>
      <c r="N4028" s="1243">
        <f>'WPB-2.1.D SMRP'!N1637</f>
        <v>-12053.58</v>
      </c>
      <c r="O4028" s="1243">
        <f t="shared" si="783"/>
        <v>92820059.552901357</v>
      </c>
    </row>
    <row r="4029" spans="1:15">
      <c r="A4029" s="361">
        <f t="shared" si="779"/>
        <v>22</v>
      </c>
      <c r="B4029" s="365">
        <v>378.1</v>
      </c>
      <c r="C4029" s="358" t="s">
        <v>394</v>
      </c>
      <c r="D4029" s="1243">
        <f t="shared" si="780"/>
        <v>-172291.25</v>
      </c>
      <c r="E4029" s="1243">
        <v>0</v>
      </c>
      <c r="F4029" s="1243">
        <v>0</v>
      </c>
      <c r="G4029" s="1243">
        <f t="shared" si="784"/>
        <v>-172291.25</v>
      </c>
      <c r="H4029" s="1243"/>
      <c r="I4029" s="1243">
        <f t="shared" si="781"/>
        <v>-332844.52000000008</v>
      </c>
      <c r="J4029" s="376">
        <f t="shared" si="785"/>
        <v>3.3099999999999997E-2</v>
      </c>
      <c r="K4029" s="1243">
        <f t="shared" si="787"/>
        <v>-475</v>
      </c>
      <c r="L4029" s="1243">
        <v>0</v>
      </c>
      <c r="M4029" s="1243">
        <f t="shared" si="782"/>
        <v>0</v>
      </c>
      <c r="N4029" s="1243">
        <v>0</v>
      </c>
      <c r="O4029" s="1243">
        <f t="shared" si="783"/>
        <v>-333319.52000000008</v>
      </c>
    </row>
    <row r="4030" spans="1:15">
      <c r="A4030" s="361">
        <f t="shared" si="779"/>
        <v>23</v>
      </c>
      <c r="B4030" s="365">
        <v>378.2</v>
      </c>
      <c r="C4030" s="358" t="s">
        <v>1622</v>
      </c>
      <c r="D4030" s="1243">
        <f t="shared" si="780"/>
        <v>30644327.01780517</v>
      </c>
      <c r="E4030" s="1243">
        <f>'WPB-2.1.D SMRP'!E1641</f>
        <v>331314.88363513269</v>
      </c>
      <c r="F4030" s="1243">
        <f>'WPB-2.1.D SMRP'!F1641</f>
        <v>-28299.704542173553</v>
      </c>
      <c r="G4030" s="1243">
        <f t="shared" si="784"/>
        <v>30947342.196898129</v>
      </c>
      <c r="H4030" s="1243"/>
      <c r="I4030" s="1243">
        <f t="shared" si="781"/>
        <v>2874037.7843852714</v>
      </c>
      <c r="J4030" s="376">
        <f t="shared" si="785"/>
        <v>3.3099999999999997E-2</v>
      </c>
      <c r="K4030" s="1243">
        <f>'WPB-2.1.D SMRP'!K1641</f>
        <v>84945.61</v>
      </c>
      <c r="L4030" s="1243">
        <v>0</v>
      </c>
      <c r="M4030" s="1243">
        <f>F4030</f>
        <v>-28299.704542173553</v>
      </c>
      <c r="N4030" s="1243">
        <f>'WPB-2.1.D SMRP'!N1641</f>
        <v>-55580.422928028122</v>
      </c>
      <c r="O4030" s="1243">
        <f t="shared" si="783"/>
        <v>2875103.2669150694</v>
      </c>
    </row>
    <row r="4031" spans="1:15">
      <c r="A4031" s="361">
        <f t="shared" si="779"/>
        <v>24</v>
      </c>
      <c r="B4031" s="365">
        <v>378.3</v>
      </c>
      <c r="C4031" s="358" t="s">
        <v>396</v>
      </c>
      <c r="D4031" s="1243">
        <f t="shared" si="780"/>
        <v>45443.08</v>
      </c>
      <c r="E4031" s="1243">
        <v>0</v>
      </c>
      <c r="F4031" s="1243">
        <v>0</v>
      </c>
      <c r="G4031" s="1243">
        <f t="shared" si="784"/>
        <v>45443.08</v>
      </c>
      <c r="H4031" s="1243"/>
      <c r="I4031" s="1243">
        <f t="shared" si="781"/>
        <v>45683.320000000007</v>
      </c>
      <c r="J4031" s="376">
        <f t="shared" si="785"/>
        <v>3.3099999999999997E-2</v>
      </c>
      <c r="K4031" s="1243">
        <f t="shared" si="787"/>
        <v>125</v>
      </c>
      <c r="L4031" s="1243">
        <v>0</v>
      </c>
      <c r="M4031" s="1243">
        <f t="shared" si="782"/>
        <v>0</v>
      </c>
      <c r="N4031" s="1243">
        <v>0</v>
      </c>
      <c r="O4031" s="1243">
        <f t="shared" si="783"/>
        <v>45808.320000000007</v>
      </c>
    </row>
    <row r="4032" spans="1:15">
      <c r="A4032" s="361">
        <f t="shared" si="779"/>
        <v>25</v>
      </c>
      <c r="B4032" s="365">
        <v>379.1</v>
      </c>
      <c r="C4032" s="358" t="s">
        <v>397</v>
      </c>
      <c r="D4032" s="1243">
        <f t="shared" si="780"/>
        <v>1554144.06</v>
      </c>
      <c r="E4032" s="1243">
        <v>0</v>
      </c>
      <c r="F4032" s="1243">
        <v>0</v>
      </c>
      <c r="G4032" s="1243">
        <f t="shared" si="784"/>
        <v>1554144.06</v>
      </c>
      <c r="H4032" s="1243"/>
      <c r="I4032" s="1243">
        <f t="shared" si="781"/>
        <v>425183.19000000006</v>
      </c>
      <c r="J4032" s="376">
        <f t="shared" si="785"/>
        <v>2.5399999999999999E-2</v>
      </c>
      <c r="K4032" s="1243">
        <f t="shared" si="787"/>
        <v>3290</v>
      </c>
      <c r="L4032" s="1243">
        <v>0</v>
      </c>
      <c r="M4032" s="1243">
        <f t="shared" si="782"/>
        <v>0</v>
      </c>
      <c r="N4032" s="1243">
        <v>0</v>
      </c>
      <c r="O4032" s="1243">
        <f t="shared" si="783"/>
        <v>428473.19000000006</v>
      </c>
    </row>
    <row r="4033" spans="1:15">
      <c r="A4033" s="361">
        <f t="shared" si="779"/>
        <v>26</v>
      </c>
      <c r="B4033" s="365">
        <v>380</v>
      </c>
      <c r="C4033" s="358" t="s">
        <v>1623</v>
      </c>
      <c r="D4033" s="1243">
        <f t="shared" si="780"/>
        <v>209437802.59337643</v>
      </c>
      <c r="E4033" s="1243">
        <f>'WPB-2.1.D SMRP'!E1645</f>
        <v>655089.27145482705</v>
      </c>
      <c r="F4033" s="1243">
        <f>'WPB-2.1.D SMRP'!F1645</f>
        <v>-70377.043783457659</v>
      </c>
      <c r="G4033" s="1243">
        <f t="shared" si="784"/>
        <v>210022514.82104781</v>
      </c>
      <c r="H4033" s="1243"/>
      <c r="I4033" s="1243">
        <f t="shared" si="781"/>
        <v>75274228.8952066</v>
      </c>
      <c r="J4033" s="376">
        <f t="shared" si="785"/>
        <v>5.1799999999999999E-2</v>
      </c>
      <c r="K4033" s="1243">
        <f>'WPB-2.1.D SMRP'!K1645</f>
        <v>905334.74</v>
      </c>
      <c r="L4033" s="1243">
        <v>0</v>
      </c>
      <c r="M4033" s="1243">
        <f>F4033</f>
        <v>-70377.043783457659</v>
      </c>
      <c r="N4033" s="1243">
        <f>'WPB-2.1.D SMRP'!N1645</f>
        <v>-78993.995391930977</v>
      </c>
      <c r="O4033" s="1243">
        <f t="shared" si="783"/>
        <v>76030192.596031204</v>
      </c>
    </row>
    <row r="4034" spans="1:15">
      <c r="A4034" s="361">
        <f t="shared" si="779"/>
        <v>27</v>
      </c>
      <c r="B4034" s="365">
        <v>381</v>
      </c>
      <c r="C4034" s="358" t="s">
        <v>399</v>
      </c>
      <c r="D4034" s="1243">
        <f t="shared" si="780"/>
        <v>21188941.480808239</v>
      </c>
      <c r="E4034" s="1243">
        <v>44074.17</v>
      </c>
      <c r="F4034" s="1243">
        <v>-8747.01</v>
      </c>
      <c r="G4034" s="1243">
        <f t="shared" si="784"/>
        <v>21224268.64080824</v>
      </c>
      <c r="H4034" s="1243"/>
      <c r="I4034" s="1243">
        <f t="shared" si="781"/>
        <v>2066873.4099999995</v>
      </c>
      <c r="J4034" s="376">
        <f t="shared" si="785"/>
        <v>3.5799999999999998E-2</v>
      </c>
      <c r="K4034" s="1243">
        <f t="shared" si="787"/>
        <v>63266</v>
      </c>
      <c r="L4034" s="1243">
        <v>0</v>
      </c>
      <c r="M4034" s="1243">
        <f t="shared" si="782"/>
        <v>-8747.01</v>
      </c>
      <c r="N4034" s="1243">
        <v>-1777.09</v>
      </c>
      <c r="O4034" s="1243">
        <f t="shared" si="783"/>
        <v>2119615.3099999996</v>
      </c>
    </row>
    <row r="4035" spans="1:15">
      <c r="A4035" s="361">
        <f t="shared" si="779"/>
        <v>28</v>
      </c>
      <c r="B4035" s="365">
        <v>381.1</v>
      </c>
      <c r="C4035" s="358" t="s">
        <v>2366</v>
      </c>
      <c r="D4035" s="1243">
        <f t="shared" si="780"/>
        <v>9980854.4800000004</v>
      </c>
      <c r="E4035" s="1243">
        <v>0</v>
      </c>
      <c r="F4035" s="1243">
        <v>0</v>
      </c>
      <c r="G4035" s="1243">
        <f t="shared" si="784"/>
        <v>9980854.4800000004</v>
      </c>
      <c r="H4035" s="1243"/>
      <c r="I4035" s="1243">
        <f t="shared" si="781"/>
        <v>6728892.0300000031</v>
      </c>
      <c r="J4035" s="376">
        <f t="shared" si="785"/>
        <v>6.7900000000000002E-2</v>
      </c>
      <c r="K4035" s="1243">
        <f t="shared" si="787"/>
        <v>56475</v>
      </c>
      <c r="L4035" s="1243">
        <v>0</v>
      </c>
      <c r="M4035" s="1243">
        <f t="shared" si="782"/>
        <v>0</v>
      </c>
      <c r="N4035" s="1243">
        <v>0</v>
      </c>
      <c r="O4035" s="1243">
        <f t="shared" si="783"/>
        <v>6785367.0300000031</v>
      </c>
    </row>
    <row r="4036" spans="1:15">
      <c r="A4036" s="361">
        <f t="shared" si="779"/>
        <v>29</v>
      </c>
      <c r="B4036" s="365">
        <v>382</v>
      </c>
      <c r="C4036" s="358" t="s">
        <v>1624</v>
      </c>
      <c r="D4036" s="1243">
        <f t="shared" si="780"/>
        <v>10819899.482197022</v>
      </c>
      <c r="E4036" s="1243">
        <f>'WPB-2.1.D SMRP'!E1649</f>
        <v>29915.957292265153</v>
      </c>
      <c r="F4036" s="1243">
        <f>'WPB-2.1.D SMRP'!F1649</f>
        <v>-733.54148092365995</v>
      </c>
      <c r="G4036" s="1243">
        <f t="shared" si="784"/>
        <v>10849081.898008363</v>
      </c>
      <c r="H4036" s="1243"/>
      <c r="I4036" s="1243">
        <f t="shared" si="781"/>
        <v>6222030.8728266098</v>
      </c>
      <c r="J4036" s="376">
        <f t="shared" si="785"/>
        <v>2.2800000000000001E-2</v>
      </c>
      <c r="K4036" s="1243">
        <f>'WPB-2.1.D SMRP'!K1649</f>
        <v>20585.98</v>
      </c>
      <c r="L4036" s="1243">
        <v>0</v>
      </c>
      <c r="M4036" s="1243">
        <f t="shared" si="782"/>
        <v>-733.54148092365995</v>
      </c>
      <c r="N4036" s="1243">
        <f>'WPB-2.1.D SMRP'!N1649</f>
        <v>-139</v>
      </c>
      <c r="O4036" s="1243">
        <f t="shared" si="783"/>
        <v>6241744.3113456862</v>
      </c>
    </row>
    <row r="4037" spans="1:15">
      <c r="A4037" s="361">
        <f t="shared" si="779"/>
        <v>30</v>
      </c>
      <c r="B4037" s="365">
        <v>383</v>
      </c>
      <c r="C4037" s="358" t="s">
        <v>1625</v>
      </c>
      <c r="D4037" s="1243">
        <f t="shared" si="780"/>
        <v>7875623.4871440567</v>
      </c>
      <c r="E4037" s="1243">
        <f>'WPB-2.1.D SMRP'!E1653</f>
        <v>38966.431783037689</v>
      </c>
      <c r="F4037" s="1243">
        <f>'WPB-2.1.D SMRP'!F1653</f>
        <v>-358.77993780392245</v>
      </c>
      <c r="G4037" s="1243">
        <f t="shared" si="784"/>
        <v>7914231.1389892902</v>
      </c>
      <c r="H4037" s="1243"/>
      <c r="I4037" s="1243">
        <f t="shared" si="781"/>
        <v>2775924.9660703042</v>
      </c>
      <c r="J4037" s="376">
        <f t="shared" si="785"/>
        <v>2.2200000000000001E-2</v>
      </c>
      <c r="K4037" s="1243">
        <f>'WPB-2.1.D SMRP'!K1653</f>
        <v>14605.79</v>
      </c>
      <c r="L4037" s="1243">
        <v>0</v>
      </c>
      <c r="M4037" s="1243">
        <f t="shared" si="782"/>
        <v>-358.77993780392245</v>
      </c>
      <c r="N4037" s="1243">
        <f>'WPB-2.1.D SMRP'!N1653</f>
        <v>0</v>
      </c>
      <c r="O4037" s="1243">
        <f t="shared" si="783"/>
        <v>2790171.9761325005</v>
      </c>
    </row>
    <row r="4038" spans="1:15">
      <c r="A4038" s="361">
        <f t="shared" si="779"/>
        <v>31</v>
      </c>
      <c r="B4038" s="365">
        <v>384</v>
      </c>
      <c r="C4038" s="358" t="s">
        <v>402</v>
      </c>
      <c r="D4038" s="1243">
        <f t="shared" si="780"/>
        <v>2085371.5699999998</v>
      </c>
      <c r="E4038" s="1243">
        <v>14.01</v>
      </c>
      <c r="F4038" s="1243">
        <v>0</v>
      </c>
      <c r="G4038" s="1243">
        <f t="shared" si="784"/>
        <v>2085385.5799999998</v>
      </c>
      <c r="H4038" s="1243"/>
      <c r="I4038" s="1243">
        <f t="shared" si="781"/>
        <v>1786658.1399999992</v>
      </c>
      <c r="J4038" s="376">
        <f t="shared" si="785"/>
        <v>1.9900000000000001E-2</v>
      </c>
      <c r="K4038" s="1243">
        <f t="shared" si="787"/>
        <v>3458</v>
      </c>
      <c r="L4038" s="1243">
        <v>0</v>
      </c>
      <c r="M4038" s="1243">
        <f t="shared" si="782"/>
        <v>0</v>
      </c>
      <c r="N4038" s="1243">
        <v>0</v>
      </c>
      <c r="O4038" s="1243">
        <f t="shared" si="783"/>
        <v>1790116.1399999992</v>
      </c>
    </row>
    <row r="4039" spans="1:15">
      <c r="A4039" s="361">
        <f t="shared" si="779"/>
        <v>32</v>
      </c>
      <c r="B4039" s="365">
        <v>385</v>
      </c>
      <c r="C4039" s="358" t="s">
        <v>403</v>
      </c>
      <c r="D4039" s="1243">
        <f t="shared" si="780"/>
        <v>6436993.0599999987</v>
      </c>
      <c r="E4039" s="1243">
        <v>53319.87</v>
      </c>
      <c r="F4039" s="1243">
        <v>-4719.99</v>
      </c>
      <c r="G4039" s="1243">
        <f t="shared" si="784"/>
        <v>6485592.9399999985</v>
      </c>
      <c r="H4039" s="1243"/>
      <c r="I4039" s="1243">
        <f t="shared" si="781"/>
        <v>998836.0399999998</v>
      </c>
      <c r="J4039" s="376">
        <f t="shared" si="785"/>
        <v>5.4699999999999999E-2</v>
      </c>
      <c r="K4039" s="1243">
        <f t="shared" si="787"/>
        <v>29453</v>
      </c>
      <c r="L4039" s="1243">
        <v>0</v>
      </c>
      <c r="M4039" s="1243">
        <f t="shared" si="782"/>
        <v>-4719.99</v>
      </c>
      <c r="N4039" s="1243">
        <v>-409.26</v>
      </c>
      <c r="O4039" s="1243">
        <f t="shared" si="783"/>
        <v>1023159.7899999998</v>
      </c>
    </row>
    <row r="4040" spans="1:15">
      <c r="A4040" s="361">
        <f t="shared" si="779"/>
        <v>33</v>
      </c>
      <c r="B4040" s="365">
        <v>387.2</v>
      </c>
      <c r="C4040" s="358" t="s">
        <v>404</v>
      </c>
      <c r="D4040" s="1243">
        <f t="shared" si="780"/>
        <v>0</v>
      </c>
      <c r="E4040" s="1243">
        <v>0</v>
      </c>
      <c r="F4040" s="1243">
        <v>0</v>
      </c>
      <c r="G4040" s="1243">
        <f t="shared" si="784"/>
        <v>0</v>
      </c>
      <c r="H4040" s="1243"/>
      <c r="I4040" s="1243">
        <f t="shared" si="781"/>
        <v>-59912.03</v>
      </c>
      <c r="J4040" s="376">
        <f t="shared" si="785"/>
        <v>0</v>
      </c>
      <c r="K4040" s="1243">
        <f t="shared" si="787"/>
        <v>0</v>
      </c>
      <c r="L4040" s="1243">
        <v>0</v>
      </c>
      <c r="M4040" s="1243">
        <f t="shared" si="782"/>
        <v>0</v>
      </c>
      <c r="N4040" s="1243">
        <v>0</v>
      </c>
      <c r="O4040" s="1243">
        <f t="shared" si="783"/>
        <v>-59912.03</v>
      </c>
    </row>
    <row r="4041" spans="1:15">
      <c r="A4041" s="361">
        <f t="shared" si="779"/>
        <v>34</v>
      </c>
      <c r="B4041" s="365">
        <v>387.41</v>
      </c>
      <c r="C4041" s="358" t="s">
        <v>405</v>
      </c>
      <c r="D4041" s="1243">
        <f t="shared" si="780"/>
        <v>260538.46000000008</v>
      </c>
      <c r="E4041" s="1243">
        <v>0</v>
      </c>
      <c r="F4041" s="1243">
        <v>0</v>
      </c>
      <c r="G4041" s="1243">
        <f t="shared" si="784"/>
        <v>260538.46000000008</v>
      </c>
      <c r="H4041" s="1243"/>
      <c r="I4041" s="1243">
        <f t="shared" si="781"/>
        <v>80679.970000000059</v>
      </c>
      <c r="J4041" s="376">
        <f t="shared" si="785"/>
        <v>4.9599999999999998E-2</v>
      </c>
      <c r="K4041" s="1243">
        <f t="shared" si="787"/>
        <v>1077</v>
      </c>
      <c r="L4041" s="1243">
        <v>0</v>
      </c>
      <c r="M4041" s="1243">
        <f t="shared" si="782"/>
        <v>0</v>
      </c>
      <c r="N4041" s="1243">
        <v>0</v>
      </c>
      <c r="O4041" s="1243">
        <f t="shared" si="783"/>
        <v>81756.970000000059</v>
      </c>
    </row>
    <row r="4042" spans="1:15">
      <c r="A4042" s="361">
        <f t="shared" si="779"/>
        <v>35</v>
      </c>
      <c r="B4042" s="365">
        <v>387.42</v>
      </c>
      <c r="C4042" s="358" t="s">
        <v>406</v>
      </c>
      <c r="D4042" s="1243">
        <f t="shared" si="780"/>
        <v>419367.40000000008</v>
      </c>
      <c r="E4042" s="1243">
        <v>0</v>
      </c>
      <c r="F4042" s="1243">
        <v>0</v>
      </c>
      <c r="G4042" s="1243">
        <f t="shared" si="784"/>
        <v>419367.40000000008</v>
      </c>
      <c r="H4042" s="1243"/>
      <c r="I4042" s="1243">
        <f t="shared" si="781"/>
        <v>376046.80999999976</v>
      </c>
      <c r="J4042" s="376">
        <f t="shared" si="785"/>
        <v>4.9599999999999998E-2</v>
      </c>
      <c r="K4042" s="1243">
        <f t="shared" si="787"/>
        <v>1733</v>
      </c>
      <c r="L4042" s="1243">
        <v>0</v>
      </c>
      <c r="M4042" s="1243">
        <f t="shared" si="782"/>
        <v>0</v>
      </c>
      <c r="N4042" s="1243">
        <v>0</v>
      </c>
      <c r="O4042" s="1243">
        <f t="shared" si="783"/>
        <v>377779.80999999976</v>
      </c>
    </row>
    <row r="4043" spans="1:15">
      <c r="A4043" s="361">
        <f t="shared" si="779"/>
        <v>36</v>
      </c>
      <c r="B4043" s="365">
        <v>387.44</v>
      </c>
      <c r="C4043" s="358" t="s">
        <v>407</v>
      </c>
      <c r="D4043" s="1243">
        <f t="shared" si="780"/>
        <v>124678.76000000001</v>
      </c>
      <c r="E4043" s="1243">
        <v>0</v>
      </c>
      <c r="F4043" s="1243">
        <v>0</v>
      </c>
      <c r="G4043" s="1243">
        <f t="shared" si="784"/>
        <v>124678.76000000001</v>
      </c>
      <c r="H4043" s="1243"/>
      <c r="I4043" s="1243">
        <f t="shared" si="781"/>
        <v>77114.390000000014</v>
      </c>
      <c r="J4043" s="376">
        <f t="shared" si="785"/>
        <v>4.9599999999999998E-2</v>
      </c>
      <c r="K4043" s="1243">
        <f t="shared" si="787"/>
        <v>515</v>
      </c>
      <c r="L4043" s="1243">
        <v>0</v>
      </c>
      <c r="M4043" s="1243">
        <f t="shared" si="782"/>
        <v>0</v>
      </c>
      <c r="N4043" s="1243">
        <v>0</v>
      </c>
      <c r="O4043" s="1243">
        <f t="shared" si="783"/>
        <v>77629.390000000014</v>
      </c>
    </row>
    <row r="4044" spans="1:15">
      <c r="A4044" s="361">
        <f t="shared" si="779"/>
        <v>37</v>
      </c>
      <c r="B4044" s="365">
        <v>387.45</v>
      </c>
      <c r="C4044" s="358" t="s">
        <v>408</v>
      </c>
      <c r="D4044" s="1243">
        <f t="shared" si="780"/>
        <v>6763606.2200000044</v>
      </c>
      <c r="E4044" s="1243">
        <v>428034.08</v>
      </c>
      <c r="F4044" s="1243">
        <v>-69248.63</v>
      </c>
      <c r="G4044" s="1243">
        <f t="shared" si="784"/>
        <v>7122391.6700000046</v>
      </c>
      <c r="H4044" s="1243"/>
      <c r="I4044" s="1243">
        <f t="shared" si="781"/>
        <v>-962755.3600000001</v>
      </c>
      <c r="J4044" s="376">
        <f t="shared" si="785"/>
        <v>4.9599999999999998E-2</v>
      </c>
      <c r="K4044" s="1243">
        <f t="shared" si="787"/>
        <v>28698</v>
      </c>
      <c r="L4044" s="1243">
        <v>0</v>
      </c>
      <c r="M4044" s="1243">
        <f t="shared" si="782"/>
        <v>-69248.63</v>
      </c>
      <c r="N4044" s="1243">
        <v>0</v>
      </c>
      <c r="O4044" s="1243">
        <f t="shared" si="783"/>
        <v>-1003305.9900000001</v>
      </c>
    </row>
    <row r="4045" spans="1:15">
      <c r="A4045" s="361">
        <f t="shared" si="779"/>
        <v>38</v>
      </c>
      <c r="B4045" s="365">
        <v>387.46</v>
      </c>
      <c r="C4045" s="358" t="s">
        <v>409</v>
      </c>
      <c r="D4045" s="1243">
        <f t="shared" si="780"/>
        <v>113644.47</v>
      </c>
      <c r="E4045" s="1243">
        <v>0</v>
      </c>
      <c r="F4045" s="1243">
        <v>0</v>
      </c>
      <c r="G4045" s="1243">
        <f t="shared" si="784"/>
        <v>113644.47</v>
      </c>
      <c r="H4045" s="1243"/>
      <c r="I4045" s="1243">
        <f t="shared" si="781"/>
        <v>122737.07</v>
      </c>
      <c r="J4045" s="376">
        <f t="shared" si="785"/>
        <v>4.9599999999999998E-2</v>
      </c>
      <c r="K4045" s="1243">
        <f t="shared" si="787"/>
        <v>470</v>
      </c>
      <c r="L4045" s="1243">
        <v>0</v>
      </c>
      <c r="M4045" s="1243">
        <f t="shared" si="782"/>
        <v>0</v>
      </c>
      <c r="N4045" s="1243">
        <v>0</v>
      </c>
      <c r="O4045" s="1243">
        <f t="shared" si="783"/>
        <v>123207.07</v>
      </c>
    </row>
    <row r="4046" spans="1:15">
      <c r="A4046" s="361">
        <f t="shared" si="779"/>
        <v>39</v>
      </c>
      <c r="B4046" s="365">
        <v>387.5</v>
      </c>
      <c r="C4046" s="358" t="s">
        <v>1075</v>
      </c>
      <c r="D4046" s="1244">
        <f t="shared" si="780"/>
        <v>238072.69</v>
      </c>
      <c r="E4046" s="1244">
        <v>0</v>
      </c>
      <c r="F4046" s="1244">
        <v>0</v>
      </c>
      <c r="G4046" s="1244">
        <f t="shared" si="784"/>
        <v>238072.69</v>
      </c>
      <c r="H4046" s="1243"/>
      <c r="I4046" s="1244">
        <f t="shared" si="781"/>
        <v>100486.47000000003</v>
      </c>
      <c r="J4046" s="376">
        <f t="shared" si="785"/>
        <v>0.13500000000000001</v>
      </c>
      <c r="K4046" s="1244">
        <f t="shared" si="787"/>
        <v>2678</v>
      </c>
      <c r="L4046" s="1244">
        <v>0</v>
      </c>
      <c r="M4046" s="1244">
        <f t="shared" si="782"/>
        <v>0</v>
      </c>
      <c r="N4046" s="1244">
        <v>0</v>
      </c>
      <c r="O4046" s="1244">
        <f t="shared" si="783"/>
        <v>103164.47000000003</v>
      </c>
    </row>
    <row r="4047" spans="1:15">
      <c r="A4047" s="361">
        <f t="shared" si="779"/>
        <v>40</v>
      </c>
      <c r="C4047" s="365" t="s">
        <v>1601</v>
      </c>
      <c r="D4047" s="1243">
        <f>SUM(D4017:D4046)</f>
        <v>754766361.08778667</v>
      </c>
      <c r="E4047" s="1243">
        <f>SUM(E4017:E4046)</f>
        <v>4755040.5942033567</v>
      </c>
      <c r="F4047" s="1243">
        <f>SUM(F4017:F4046)</f>
        <v>-619944.64974435885</v>
      </c>
      <c r="G4047" s="1243">
        <f>SUM(G4017:G4046)</f>
        <v>758901457.03224564</v>
      </c>
      <c r="H4047" s="1243"/>
      <c r="I4047" s="1243">
        <f>SUM(I4017:I4046)</f>
        <v>198743364.70139006</v>
      </c>
      <c r="J4047" s="369"/>
      <c r="K4047" s="1243">
        <f>SUM(K4017:K4046)</f>
        <v>1896039.7000000002</v>
      </c>
      <c r="L4047" s="1243">
        <f>SUM(L4017:L4046)</f>
        <v>0</v>
      </c>
      <c r="M4047" s="1243">
        <f>SUM(M4017:M4046)</f>
        <v>-619944.64974435885</v>
      </c>
      <c r="N4047" s="1243">
        <f>SUM(N4017:N4046)</f>
        <v>-148953.3483199591</v>
      </c>
      <c r="O4047" s="1243">
        <f>SUM(O4017:O4046)</f>
        <v>199870506.40332577</v>
      </c>
    </row>
    <row r="4048" spans="1:15">
      <c r="B4048" s="367"/>
      <c r="C4048" s="368"/>
      <c r="D4048" s="369"/>
      <c r="E4048" s="369"/>
      <c r="F4048" s="369"/>
      <c r="G4048" s="369"/>
      <c r="I4048" s="369"/>
      <c r="J4048" s="369"/>
      <c r="K4048" s="369"/>
      <c r="L4048" s="369"/>
      <c r="M4048" s="369"/>
      <c r="N4048" s="369"/>
      <c r="O4048" s="369"/>
    </row>
    <row r="4049" spans="1:16">
      <c r="I4049" s="369"/>
      <c r="J4049" s="369"/>
      <c r="K4049" s="369"/>
      <c r="L4049" s="369"/>
      <c r="M4049" s="369"/>
      <c r="N4049" s="369"/>
      <c r="O4049" s="369"/>
    </row>
    <row r="4050" spans="1:16" s="291" customFormat="1">
      <c r="A4050" s="1308" t="str">
        <f>$A$1</f>
        <v>COLUMBIA GAS OF KENTUCKY, INC.</v>
      </c>
      <c r="B4050" s="1308"/>
      <c r="C4050" s="1308"/>
      <c r="D4050" s="1308"/>
      <c r="E4050" s="1308"/>
      <c r="F4050" s="1308"/>
      <c r="G4050" s="1308"/>
      <c r="H4050" s="1308"/>
      <c r="I4050" s="1308"/>
      <c r="J4050" s="1308"/>
      <c r="K4050" s="1308"/>
      <c r="L4050" s="1308"/>
      <c r="M4050" s="1308"/>
      <c r="N4050" s="1308"/>
      <c r="O4050" s="1308"/>
    </row>
    <row r="4051" spans="1:16" s="291" customFormat="1">
      <c r="A4051" s="1308" t="str">
        <f>$A$2</f>
        <v>CASE NO. 2024 - 00092</v>
      </c>
      <c r="B4051" s="1308"/>
      <c r="C4051" s="1308"/>
      <c r="D4051" s="1308"/>
      <c r="E4051" s="1308"/>
      <c r="F4051" s="1308"/>
      <c r="G4051" s="1308"/>
      <c r="H4051" s="1308"/>
      <c r="I4051" s="1308"/>
      <c r="J4051" s="1308"/>
      <c r="K4051" s="1308"/>
      <c r="L4051" s="1308"/>
      <c r="M4051" s="1308"/>
      <c r="N4051" s="1308"/>
      <c r="O4051" s="1308"/>
    </row>
    <row r="4052" spans="1:16" s="291" customFormat="1">
      <c r="A4052" s="1308" t="str">
        <f>$A$3</f>
        <v>DETAIL OF ACTUAL &amp; FORECASTED PLANT, ACCUMULATED RESERVE &amp; DEPRECIATION EXPENSE</v>
      </c>
      <c r="B4052" s="1308"/>
      <c r="C4052" s="1308"/>
      <c r="D4052" s="1308"/>
      <c r="E4052" s="1308"/>
      <c r="F4052" s="1308"/>
      <c r="G4052" s="1308"/>
      <c r="H4052" s="1308"/>
      <c r="I4052" s="1308"/>
      <c r="J4052" s="1308"/>
      <c r="K4052" s="1308"/>
      <c r="L4052" s="1308"/>
      <c r="M4052" s="1308"/>
      <c r="N4052" s="1308"/>
      <c r="O4052" s="1308"/>
      <c r="P4052" s="357"/>
    </row>
    <row r="4053" spans="1:16" s="291" customFormat="1">
      <c r="A4053" s="1308" t="str">
        <f>$A$4</f>
        <v>FROM JANUARY 01, 2023 THROUGH DECEMBER 31, 2025</v>
      </c>
      <c r="B4053" s="1308"/>
      <c r="C4053" s="1308"/>
      <c r="D4053" s="1308"/>
      <c r="E4053" s="1308"/>
      <c r="F4053" s="1308"/>
      <c r="G4053" s="1308"/>
      <c r="H4053" s="1308"/>
      <c r="I4053" s="1308"/>
      <c r="J4053" s="1308"/>
      <c r="K4053" s="1308"/>
      <c r="L4053" s="1308"/>
      <c r="M4053" s="1308"/>
      <c r="N4053" s="1308"/>
      <c r="O4053" s="1308"/>
    </row>
    <row r="4054" spans="1:16" s="291" customFormat="1">
      <c r="B4054" s="293"/>
      <c r="P4054" s="312"/>
    </row>
    <row r="4055" spans="1:16" s="291" customFormat="1">
      <c r="A4055" s="297" t="str">
        <f>$A$6</f>
        <v xml:space="preserve">DATA: _X_ BASE PERIOD _X_ FORECASTED PERIOD     </v>
      </c>
      <c r="B4055" s="293"/>
      <c r="O4055" s="312" t="str">
        <f>$O$6</f>
        <v>WPB-2.1.C</v>
      </c>
      <c r="P4055" s="312"/>
    </row>
    <row r="4056" spans="1:16" s="291" customFormat="1">
      <c r="A4056" s="297" t="str">
        <f>$A$7</f>
        <v>TYPE OF FILING:___X___ORIGINAL______UPDATED</v>
      </c>
      <c r="B4056" s="293"/>
      <c r="O4056" s="312" t="s">
        <v>2151</v>
      </c>
      <c r="P4056" s="312"/>
    </row>
    <row r="4057" spans="1:16" s="291" customFormat="1">
      <c r="A4057" s="297" t="str">
        <f>$A$8</f>
        <v>WORKPAPER REFERENCE NO(S).:</v>
      </c>
      <c r="B4057" s="293"/>
      <c r="O4057" s="312" t="str">
        <f>$O$8</f>
        <v>WITNESS: GORE</v>
      </c>
    </row>
    <row r="4058" spans="1:16">
      <c r="A4058" s="918"/>
      <c r="B4058" s="919"/>
      <c r="C4058" s="918"/>
      <c r="D4058" s="918"/>
      <c r="E4058" s="918"/>
      <c r="F4058" s="918"/>
      <c r="G4058" s="918"/>
      <c r="H4058" s="918"/>
      <c r="I4058" s="918"/>
      <c r="J4058" s="918"/>
      <c r="K4058" s="918"/>
      <c r="L4058" s="918"/>
      <c r="M4058" s="918"/>
      <c r="N4058" s="918"/>
      <c r="O4058" s="920"/>
    </row>
    <row r="4059" spans="1:16">
      <c r="D4059" s="1311" t="s">
        <v>1768</v>
      </c>
      <c r="E4059" s="1311"/>
      <c r="F4059" s="1311"/>
      <c r="G4059" s="1311"/>
      <c r="I4059" s="1311" t="s">
        <v>1769</v>
      </c>
      <c r="J4059" s="1311"/>
      <c r="K4059" s="1311"/>
      <c r="L4059" s="1311"/>
      <c r="M4059" s="1311"/>
      <c r="N4059" s="1311"/>
      <c r="O4059" s="1311"/>
    </row>
    <row r="4060" spans="1:16">
      <c r="D4060" s="360">
        <f>D4001</f>
        <v>45992</v>
      </c>
      <c r="G4060" s="360">
        <f>G4001</f>
        <v>46022</v>
      </c>
      <c r="I4060" s="360">
        <f>D4060</f>
        <v>45992</v>
      </c>
      <c r="O4060" s="360">
        <f>G4060</f>
        <v>46022</v>
      </c>
    </row>
    <row r="4061" spans="1:16">
      <c r="D4061" s="361" t="s">
        <v>1757</v>
      </c>
      <c r="G4061" s="361" t="s">
        <v>1757</v>
      </c>
      <c r="I4061" s="361" t="s">
        <v>1758</v>
      </c>
      <c r="J4061" s="361" t="s">
        <v>488</v>
      </c>
      <c r="L4061" s="361" t="s">
        <v>1758</v>
      </c>
      <c r="O4061" s="361" t="s">
        <v>1758</v>
      </c>
    </row>
    <row r="4062" spans="1:16">
      <c r="A4062" s="361" t="s">
        <v>1770</v>
      </c>
      <c r="B4062" s="361" t="s">
        <v>368</v>
      </c>
      <c r="C4062" s="361"/>
      <c r="D4062" s="361" t="s">
        <v>437</v>
      </c>
      <c r="G4062" s="361" t="s">
        <v>439</v>
      </c>
      <c r="I4062" s="361" t="s">
        <v>437</v>
      </c>
      <c r="J4062" s="361" t="s">
        <v>1771</v>
      </c>
      <c r="K4062" s="361" t="s">
        <v>1772</v>
      </c>
      <c r="L4062" s="361" t="s">
        <v>1759</v>
      </c>
      <c r="N4062" s="361" t="s">
        <v>1760</v>
      </c>
      <c r="O4062" s="361" t="s">
        <v>439</v>
      </c>
    </row>
    <row r="4063" spans="1:16">
      <c r="A4063" s="364" t="s">
        <v>316</v>
      </c>
      <c r="B4063" s="364" t="s">
        <v>316</v>
      </c>
      <c r="C4063" s="364" t="s">
        <v>451</v>
      </c>
      <c r="D4063" s="364" t="s">
        <v>441</v>
      </c>
      <c r="E4063" s="364" t="s">
        <v>442</v>
      </c>
      <c r="F4063" s="364" t="s">
        <v>443</v>
      </c>
      <c r="G4063" s="364" t="s">
        <v>441</v>
      </c>
      <c r="I4063" s="364" t="s">
        <v>441</v>
      </c>
      <c r="J4063" s="364" t="s">
        <v>1773</v>
      </c>
      <c r="K4063" s="364" t="s">
        <v>1771</v>
      </c>
      <c r="L4063" s="364" t="s">
        <v>355</v>
      </c>
      <c r="M4063" s="364" t="s">
        <v>443</v>
      </c>
      <c r="N4063" s="364" t="s">
        <v>1763</v>
      </c>
      <c r="O4063" s="364" t="s">
        <v>441</v>
      </c>
    </row>
    <row r="4064" spans="1:16">
      <c r="D4064" s="361" t="s">
        <v>532</v>
      </c>
      <c r="E4064" s="361" t="s">
        <v>541</v>
      </c>
      <c r="F4064" s="361" t="s">
        <v>542</v>
      </c>
      <c r="G4064" s="361" t="s">
        <v>1764</v>
      </c>
      <c r="I4064" s="334" t="str">
        <f>"(5)"</f>
        <v>(5)</v>
      </c>
      <c r="J4064" s="334" t="str">
        <f>"(6)"</f>
        <v>(6)</v>
      </c>
      <c r="K4064" s="334" t="str">
        <f>"(7)=((1+4)/2*6/12))"</f>
        <v>(7)=((1+4)/2*6/12))</v>
      </c>
      <c r="L4064" s="334" t="str">
        <f>"(8)"</f>
        <v>(8)</v>
      </c>
      <c r="M4064" s="334" t="str">
        <f>"(9)"</f>
        <v>(9)</v>
      </c>
      <c r="N4064" s="334" t="str">
        <f>"(10)"</f>
        <v>(10)</v>
      </c>
      <c r="O4064" s="334" t="str">
        <f>"(11=5+7+8+9+10)"</f>
        <v>(11=5+7+8+9+10)</v>
      </c>
    </row>
    <row r="4065" spans="1:15">
      <c r="D4065" s="361" t="s">
        <v>320</v>
      </c>
      <c r="E4065" s="361" t="s">
        <v>320</v>
      </c>
      <c r="F4065" s="361" t="s">
        <v>320</v>
      </c>
      <c r="G4065" s="361" t="s">
        <v>320</v>
      </c>
      <c r="I4065" s="334" t="s">
        <v>320</v>
      </c>
      <c r="J4065" s="334" t="s">
        <v>529</v>
      </c>
      <c r="K4065" s="334" t="s">
        <v>320</v>
      </c>
      <c r="L4065" s="334" t="s">
        <v>320</v>
      </c>
      <c r="M4065" s="334" t="s">
        <v>320</v>
      </c>
      <c r="N4065" s="334" t="s">
        <v>320</v>
      </c>
      <c r="O4065" s="334" t="s">
        <v>320</v>
      </c>
    </row>
    <row r="4066" spans="1:15">
      <c r="A4066" s="361">
        <v>1</v>
      </c>
      <c r="B4066" s="363" t="s">
        <v>411</v>
      </c>
      <c r="D4066" s="361"/>
      <c r="E4066" s="361"/>
      <c r="F4066" s="361"/>
      <c r="G4066" s="361"/>
      <c r="I4066" s="334"/>
      <c r="J4066" s="334"/>
      <c r="K4066" s="334"/>
      <c r="L4066" s="334"/>
      <c r="M4066" s="334"/>
      <c r="N4066" s="334"/>
      <c r="O4066" s="334"/>
    </row>
    <row r="4067" spans="1:15">
      <c r="A4067" s="361">
        <f>A4066+1</f>
        <v>2</v>
      </c>
      <c r="B4067" s="365">
        <v>391.1</v>
      </c>
      <c r="C4067" s="358" t="s">
        <v>412</v>
      </c>
      <c r="D4067" s="1243">
        <f t="shared" ref="D4067:D4080" si="788">G3953</f>
        <v>921741.33000000007</v>
      </c>
      <c r="E4067" s="1243">
        <v>0</v>
      </c>
      <c r="F4067" s="1243">
        <v>0</v>
      </c>
      <c r="G4067" s="1243">
        <f>SUM(D4067:F4067)</f>
        <v>921741.33000000007</v>
      </c>
      <c r="H4067" s="1243"/>
      <c r="I4067" s="1245">
        <f t="shared" ref="I4067:I4080" si="789">O3953</f>
        <v>313752.95333333337</v>
      </c>
      <c r="J4067" s="376">
        <f t="shared" ref="J4067:J4080" si="790">+J3953</f>
        <v>0.05</v>
      </c>
      <c r="K4067" s="1243">
        <f>ROUND((G4067+D4067)/2*J4067/12,0)</f>
        <v>3841</v>
      </c>
      <c r="L4067" s="1243">
        <f>+L3953</f>
        <v>4814.416666666667</v>
      </c>
      <c r="M4067" s="1243">
        <f t="shared" ref="M4067:M4080" si="791">F4067</f>
        <v>0</v>
      </c>
      <c r="N4067" s="1243">
        <v>0</v>
      </c>
      <c r="O4067" s="1243">
        <f t="shared" ref="O4067:O4080" si="792">I4067+K4067+L4067+M4067+N4067</f>
        <v>322408.37000000005</v>
      </c>
    </row>
    <row r="4068" spans="1:15">
      <c r="A4068" s="361">
        <f t="shared" ref="A4068:A4081" si="793">A4067+1</f>
        <v>3</v>
      </c>
      <c r="B4068" s="365">
        <v>391.11</v>
      </c>
      <c r="C4068" s="358" t="s">
        <v>413</v>
      </c>
      <c r="D4068" s="1243">
        <f t="shared" si="788"/>
        <v>0</v>
      </c>
      <c r="E4068" s="1243">
        <v>0</v>
      </c>
      <c r="F4068" s="1243">
        <v>0</v>
      </c>
      <c r="G4068" s="1243">
        <f t="shared" ref="G4068:G4075" si="794">SUM(D4068:F4068)</f>
        <v>0</v>
      </c>
      <c r="H4068" s="1243"/>
      <c r="I4068" s="1245">
        <f t="shared" si="789"/>
        <v>-6837.7066666666678</v>
      </c>
      <c r="J4068" s="376">
        <f t="shared" si="790"/>
        <v>0</v>
      </c>
      <c r="K4068" s="1243">
        <f>ROUND((G4068+D4068)/2*J4068/12,0)</f>
        <v>0</v>
      </c>
      <c r="L4068" s="1243">
        <f t="shared" ref="L4068:L4080" si="795">+L3954</f>
        <v>525.91666666666663</v>
      </c>
      <c r="M4068" s="1243">
        <f t="shared" si="791"/>
        <v>0</v>
      </c>
      <c r="N4068" s="1243">
        <v>0</v>
      </c>
      <c r="O4068" s="1243">
        <f t="shared" si="792"/>
        <v>-6311.7900000000009</v>
      </c>
    </row>
    <row r="4069" spans="1:15">
      <c r="A4069" s="361">
        <f t="shared" si="793"/>
        <v>4</v>
      </c>
      <c r="B4069" s="365">
        <v>391.12</v>
      </c>
      <c r="C4069" s="358" t="s">
        <v>414</v>
      </c>
      <c r="D4069" s="1243">
        <f t="shared" si="788"/>
        <v>37129.580000000009</v>
      </c>
      <c r="E4069" s="1243">
        <v>0</v>
      </c>
      <c r="F4069" s="1243">
        <v>0</v>
      </c>
      <c r="G4069" s="1243">
        <f t="shared" si="794"/>
        <v>37129.580000000009</v>
      </c>
      <c r="H4069" s="1243"/>
      <c r="I4069" s="1245">
        <f t="shared" si="789"/>
        <v>19446.72</v>
      </c>
      <c r="J4069" s="376">
        <f t="shared" si="790"/>
        <v>0.2</v>
      </c>
      <c r="K4069" s="1243">
        <f>ROUND((G4069+D4069)/2*J4069/12,0)</f>
        <v>619</v>
      </c>
      <c r="L4069" s="1243">
        <f t="shared" si="795"/>
        <v>456.25</v>
      </c>
      <c r="M4069" s="1243">
        <f t="shared" si="791"/>
        <v>0</v>
      </c>
      <c r="N4069" s="1243">
        <v>0</v>
      </c>
      <c r="O4069" s="1243">
        <f t="shared" si="792"/>
        <v>20521.97</v>
      </c>
    </row>
    <row r="4070" spans="1:15">
      <c r="A4070" s="361">
        <f t="shared" si="793"/>
        <v>5</v>
      </c>
      <c r="B4070" s="365">
        <v>392.2</v>
      </c>
      <c r="C4070" s="358" t="s">
        <v>524</v>
      </c>
      <c r="D4070" s="1243">
        <f t="shared" si="788"/>
        <v>48924.4</v>
      </c>
      <c r="E4070" s="1243">
        <v>0</v>
      </c>
      <c r="F4070" s="1243">
        <v>0</v>
      </c>
      <c r="G4070" s="1243">
        <f t="shared" si="794"/>
        <v>48924.4</v>
      </c>
      <c r="H4070" s="1243"/>
      <c r="I4070" s="1245">
        <f t="shared" si="789"/>
        <v>17994.359999999961</v>
      </c>
      <c r="J4070" s="376">
        <f t="shared" si="790"/>
        <v>8.9999999999999993E-3</v>
      </c>
      <c r="K4070" s="1243">
        <f>ROUND((G4070+D4070)/2*J4070/12,0)</f>
        <v>37</v>
      </c>
      <c r="L4070" s="1243">
        <f t="shared" si="795"/>
        <v>0</v>
      </c>
      <c r="M4070" s="1243">
        <f t="shared" si="791"/>
        <v>0</v>
      </c>
      <c r="N4070" s="1243">
        <v>0</v>
      </c>
      <c r="O4070" s="1243">
        <f t="shared" si="792"/>
        <v>18031.359999999961</v>
      </c>
    </row>
    <row r="4071" spans="1:15">
      <c r="A4071" s="361">
        <f t="shared" si="793"/>
        <v>6</v>
      </c>
      <c r="B4071" s="365">
        <v>392.21</v>
      </c>
      <c r="C4071" s="358" t="s">
        <v>415</v>
      </c>
      <c r="D4071" s="1243">
        <f t="shared" si="788"/>
        <v>24462.2</v>
      </c>
      <c r="E4071" s="1243">
        <v>0</v>
      </c>
      <c r="F4071" s="1243">
        <v>0</v>
      </c>
      <c r="G4071" s="1243">
        <f t="shared" si="794"/>
        <v>24462.2</v>
      </c>
      <c r="H4071" s="1243"/>
      <c r="I4071" s="1245">
        <f t="shared" si="789"/>
        <v>45132.01</v>
      </c>
      <c r="J4071" s="376">
        <f t="shared" si="790"/>
        <v>8.9999999999999993E-3</v>
      </c>
      <c r="K4071" s="1243">
        <f>ROUND((G4071+D4071)/2*J4071/12,0)</f>
        <v>18</v>
      </c>
      <c r="L4071" s="1243">
        <f t="shared" si="795"/>
        <v>0</v>
      </c>
      <c r="M4071" s="1243">
        <f t="shared" si="791"/>
        <v>0</v>
      </c>
      <c r="N4071" s="1243">
        <v>0</v>
      </c>
      <c r="O4071" s="1243">
        <f t="shared" si="792"/>
        <v>45150.01</v>
      </c>
    </row>
    <row r="4072" spans="1:15">
      <c r="A4072" s="361">
        <f t="shared" si="793"/>
        <v>7</v>
      </c>
      <c r="B4072" s="365">
        <v>393</v>
      </c>
      <c r="C4072" s="358" t="s">
        <v>416</v>
      </c>
      <c r="D4072" s="1243">
        <f t="shared" si="788"/>
        <v>0</v>
      </c>
      <c r="E4072" s="1243">
        <v>0</v>
      </c>
      <c r="F4072" s="1243">
        <v>0</v>
      </c>
      <c r="G4072" s="1243">
        <f t="shared" si="794"/>
        <v>0</v>
      </c>
      <c r="H4072" s="1243"/>
      <c r="I4072" s="1245">
        <f t="shared" si="789"/>
        <v>0</v>
      </c>
      <c r="J4072" s="376" t="str">
        <f t="shared" si="790"/>
        <v>Amort.</v>
      </c>
      <c r="K4072" s="1243">
        <v>0</v>
      </c>
      <c r="L4072" s="1243">
        <f t="shared" si="795"/>
        <v>0</v>
      </c>
      <c r="M4072" s="1243">
        <f t="shared" si="791"/>
        <v>0</v>
      </c>
      <c r="N4072" s="1243">
        <v>0</v>
      </c>
      <c r="O4072" s="1243">
        <f t="shared" si="792"/>
        <v>0</v>
      </c>
    </row>
    <row r="4073" spans="1:15">
      <c r="A4073" s="361">
        <f t="shared" si="793"/>
        <v>8</v>
      </c>
      <c r="B4073" s="365">
        <v>394.1</v>
      </c>
      <c r="C4073" s="358" t="s">
        <v>417</v>
      </c>
      <c r="D4073" s="1243">
        <f t="shared" si="788"/>
        <v>9739</v>
      </c>
      <c r="E4073" s="1243">
        <v>0</v>
      </c>
      <c r="F4073" s="1243">
        <v>0</v>
      </c>
      <c r="G4073" s="1243">
        <f t="shared" si="794"/>
        <v>9739</v>
      </c>
      <c r="H4073" s="1243"/>
      <c r="I4073" s="1245">
        <f t="shared" si="789"/>
        <v>4812.0700000000006</v>
      </c>
      <c r="J4073" s="376">
        <f t="shared" si="790"/>
        <v>0.04</v>
      </c>
      <c r="K4073" s="1243">
        <f>ROUND((G4073+D4073)/2*J4073/12,0)</f>
        <v>32</v>
      </c>
      <c r="L4073" s="1243">
        <f t="shared" si="795"/>
        <v>0</v>
      </c>
      <c r="M4073" s="1243">
        <f t="shared" si="791"/>
        <v>0</v>
      </c>
      <c r="N4073" s="1243">
        <v>0</v>
      </c>
      <c r="O4073" s="1243">
        <f t="shared" si="792"/>
        <v>4844.0700000000006</v>
      </c>
    </row>
    <row r="4074" spans="1:15">
      <c r="A4074" s="361">
        <f t="shared" si="793"/>
        <v>9</v>
      </c>
      <c r="B4074" s="365">
        <v>394.11</v>
      </c>
      <c r="C4074" s="358" t="s">
        <v>418</v>
      </c>
      <c r="D4074" s="1243">
        <f t="shared" si="788"/>
        <v>0</v>
      </c>
      <c r="E4074" s="1243">
        <v>0</v>
      </c>
      <c r="F4074" s="1243">
        <v>0</v>
      </c>
      <c r="G4074" s="1243">
        <f t="shared" si="794"/>
        <v>0</v>
      </c>
      <c r="H4074" s="1243"/>
      <c r="I4074" s="1245">
        <f t="shared" si="789"/>
        <v>-26071.5</v>
      </c>
      <c r="J4074" s="376">
        <f t="shared" si="790"/>
        <v>0.04</v>
      </c>
      <c r="K4074" s="1243">
        <f>ROUND((G4074+D4074)/2*J4074/12,0)</f>
        <v>0</v>
      </c>
      <c r="L4074" s="1243">
        <f t="shared" si="795"/>
        <v>0</v>
      </c>
      <c r="M4074" s="1243">
        <f t="shared" si="791"/>
        <v>0</v>
      </c>
      <c r="N4074" s="1243">
        <v>0</v>
      </c>
      <c r="O4074" s="1243">
        <f t="shared" si="792"/>
        <v>-26071.5</v>
      </c>
    </row>
    <row r="4075" spans="1:15">
      <c r="A4075" s="361">
        <f t="shared" si="793"/>
        <v>10</v>
      </c>
      <c r="B4075" s="365">
        <v>394.13</v>
      </c>
      <c r="C4075" s="358" t="s">
        <v>515</v>
      </c>
      <c r="D4075" s="1243">
        <f t="shared" si="788"/>
        <v>0</v>
      </c>
      <c r="E4075" s="1243">
        <v>0</v>
      </c>
      <c r="F4075" s="1243">
        <v>0</v>
      </c>
      <c r="G4075" s="1243">
        <f t="shared" si="794"/>
        <v>0</v>
      </c>
      <c r="H4075" s="1243"/>
      <c r="I4075" s="1245">
        <f t="shared" si="789"/>
        <v>19790.36</v>
      </c>
      <c r="J4075" s="376" t="str">
        <f t="shared" si="790"/>
        <v>Amort.</v>
      </c>
      <c r="K4075" s="1243">
        <v>0</v>
      </c>
      <c r="L4075" s="1243">
        <f t="shared" si="795"/>
        <v>-789</v>
      </c>
      <c r="M4075" s="1243">
        <f t="shared" si="791"/>
        <v>0</v>
      </c>
      <c r="N4075" s="1243">
        <v>0</v>
      </c>
      <c r="O4075" s="1243">
        <f t="shared" si="792"/>
        <v>19001.36</v>
      </c>
    </row>
    <row r="4076" spans="1:15">
      <c r="A4076" s="361">
        <f t="shared" si="793"/>
        <v>11</v>
      </c>
      <c r="B4076" s="365">
        <v>394.2</v>
      </c>
      <c r="C4076" s="358" t="s">
        <v>420</v>
      </c>
      <c r="D4076" s="1243">
        <f t="shared" si="788"/>
        <v>0</v>
      </c>
      <c r="E4076" s="1243">
        <v>0</v>
      </c>
      <c r="F4076" s="1243">
        <v>0</v>
      </c>
      <c r="G4076" s="1243">
        <f>SUM(D4076:F4076)</f>
        <v>0</v>
      </c>
      <c r="H4076" s="1243"/>
      <c r="I4076" s="1245">
        <f t="shared" si="789"/>
        <v>185.21</v>
      </c>
      <c r="J4076" s="376">
        <f t="shared" si="790"/>
        <v>0.04</v>
      </c>
      <c r="K4076" s="1243">
        <f>ROUND((G4076+D4076)/2*J4076/12,0)</f>
        <v>0</v>
      </c>
      <c r="L4076" s="1243">
        <f t="shared" si="795"/>
        <v>0</v>
      </c>
      <c r="M4076" s="1243">
        <f t="shared" si="791"/>
        <v>0</v>
      </c>
      <c r="N4076" s="1243">
        <v>0</v>
      </c>
      <c r="O4076" s="1243">
        <f t="shared" si="792"/>
        <v>185.21</v>
      </c>
    </row>
    <row r="4077" spans="1:15">
      <c r="A4077" s="361">
        <f t="shared" si="793"/>
        <v>12</v>
      </c>
      <c r="B4077" s="365">
        <v>394.3</v>
      </c>
      <c r="C4077" s="358" t="s">
        <v>1602</v>
      </c>
      <c r="D4077" s="1243">
        <f t="shared" si="788"/>
        <v>6924114.9200000009</v>
      </c>
      <c r="E4077" s="1243">
        <v>178977.93</v>
      </c>
      <c r="F4077" s="1243">
        <v>-39988.36</v>
      </c>
      <c r="G4077" s="1243">
        <f>SUM(D4077:F4077)</f>
        <v>7063104.4900000002</v>
      </c>
      <c r="H4077" s="1243"/>
      <c r="I4077" s="1245">
        <f t="shared" si="789"/>
        <v>1291858.4599999997</v>
      </c>
      <c r="J4077" s="376">
        <f t="shared" si="790"/>
        <v>0.04</v>
      </c>
      <c r="K4077" s="1243">
        <f>ROUND((G4077+D4077)/2*J4077/12,0)</f>
        <v>23312</v>
      </c>
      <c r="L4077" s="1243">
        <f t="shared" si="795"/>
        <v>0</v>
      </c>
      <c r="M4077" s="1243">
        <f t="shared" si="791"/>
        <v>-39988.36</v>
      </c>
      <c r="N4077" s="1243">
        <v>0</v>
      </c>
      <c r="O4077" s="1243">
        <f t="shared" si="792"/>
        <v>1275182.0999999996</v>
      </c>
    </row>
    <row r="4078" spans="1:15">
      <c r="A4078" s="361">
        <f t="shared" si="793"/>
        <v>13</v>
      </c>
      <c r="B4078" s="365">
        <v>395</v>
      </c>
      <c r="C4078" s="358" t="s">
        <v>422</v>
      </c>
      <c r="D4078" s="1243">
        <f t="shared" si="788"/>
        <v>0</v>
      </c>
      <c r="E4078" s="1243">
        <v>0</v>
      </c>
      <c r="F4078" s="1243">
        <v>0</v>
      </c>
      <c r="G4078" s="1243">
        <f>SUM(D4078:F4078)</f>
        <v>0</v>
      </c>
      <c r="H4078" s="1243"/>
      <c r="I4078" s="1245">
        <f t="shared" si="789"/>
        <v>-163.94999999999845</v>
      </c>
      <c r="J4078" s="376">
        <f t="shared" si="790"/>
        <v>0.05</v>
      </c>
      <c r="K4078" s="1243">
        <f>ROUND((G4078+D4078)/2*J4078/12,0)</f>
        <v>0</v>
      </c>
      <c r="L4078" s="1243">
        <f t="shared" si="795"/>
        <v>-2.75</v>
      </c>
      <c r="M4078" s="1243">
        <f t="shared" si="791"/>
        <v>0</v>
      </c>
      <c r="N4078" s="1243">
        <v>0</v>
      </c>
      <c r="O4078" s="1243">
        <f t="shared" si="792"/>
        <v>-166.69999999999845</v>
      </c>
    </row>
    <row r="4079" spans="1:15">
      <c r="A4079" s="361">
        <f t="shared" si="793"/>
        <v>14</v>
      </c>
      <c r="B4079" s="365">
        <v>396</v>
      </c>
      <c r="C4079" s="358" t="s">
        <v>423</v>
      </c>
      <c r="D4079" s="1243">
        <f t="shared" si="788"/>
        <v>185547</v>
      </c>
      <c r="E4079" s="1243">
        <v>0</v>
      </c>
      <c r="F4079" s="1243">
        <v>0</v>
      </c>
      <c r="G4079" s="1243">
        <f>SUM(D4079:F4079)</f>
        <v>185547</v>
      </c>
      <c r="H4079" s="1243"/>
      <c r="I4079" s="1245">
        <f t="shared" si="789"/>
        <v>171938.14</v>
      </c>
      <c r="J4079" s="376">
        <f t="shared" si="790"/>
        <v>0</v>
      </c>
      <c r="K4079" s="1243">
        <f>ROUND((G4079+D4079)/2*J4079/12,0)</f>
        <v>0</v>
      </c>
      <c r="L4079" s="1243">
        <f t="shared" si="795"/>
        <v>0</v>
      </c>
      <c r="M4079" s="1243">
        <f t="shared" si="791"/>
        <v>0</v>
      </c>
      <c r="N4079" s="1243">
        <v>0</v>
      </c>
      <c r="O4079" s="1243">
        <f t="shared" si="792"/>
        <v>171938.14</v>
      </c>
    </row>
    <row r="4080" spans="1:15">
      <c r="A4080" s="361">
        <f t="shared" si="793"/>
        <v>15</v>
      </c>
      <c r="B4080" s="365">
        <v>398</v>
      </c>
      <c r="C4080" s="358" t="s">
        <v>424</v>
      </c>
      <c r="D4080" s="1244">
        <f t="shared" si="788"/>
        <v>148028.20000000001</v>
      </c>
      <c r="E4080" s="1244">
        <v>0</v>
      </c>
      <c r="F4080" s="1244">
        <v>0</v>
      </c>
      <c r="G4080" s="1244">
        <f>SUM(D4080:F4080)</f>
        <v>148028.20000000001</v>
      </c>
      <c r="H4080" s="1243"/>
      <c r="I4080" s="1246">
        <f t="shared" si="789"/>
        <v>95131.383333333331</v>
      </c>
      <c r="J4080" s="376">
        <f t="shared" si="790"/>
        <v>6.6699999999999995E-2</v>
      </c>
      <c r="K4080" s="1244">
        <f>ROUND((G4080+D4080)/2*J4080/12,0)</f>
        <v>823</v>
      </c>
      <c r="L4080" s="1244">
        <f t="shared" si="795"/>
        <v>265.16666666666669</v>
      </c>
      <c r="M4080" s="1244">
        <f t="shared" si="791"/>
        <v>0</v>
      </c>
      <c r="N4080" s="1244">
        <v>0</v>
      </c>
      <c r="O4080" s="1244">
        <f t="shared" si="792"/>
        <v>96219.55</v>
      </c>
    </row>
    <row r="4081" spans="1:15">
      <c r="A4081" s="361">
        <f t="shared" si="793"/>
        <v>16</v>
      </c>
      <c r="B4081" s="367"/>
      <c r="C4081" s="358" t="s">
        <v>425</v>
      </c>
      <c r="D4081" s="1243">
        <f>SUM(D4067:D4080)</f>
        <v>8299686.6300000008</v>
      </c>
      <c r="E4081" s="1243">
        <f>SUM(E4067:E4080)</f>
        <v>178977.93</v>
      </c>
      <c r="F4081" s="1243">
        <f>SUM(F4067:F4080)</f>
        <v>-39988.36</v>
      </c>
      <c r="G4081" s="1243">
        <f>SUM(G4067:G4080)</f>
        <v>8438676.1999999993</v>
      </c>
      <c r="H4081" s="1243"/>
      <c r="I4081" s="1243">
        <f>SUM(I4067:I4080)</f>
        <v>1946968.5099999998</v>
      </c>
      <c r="J4081" s="369"/>
      <c r="K4081" s="1243">
        <f>SUM(K4067:K4080)</f>
        <v>28682</v>
      </c>
      <c r="L4081" s="1243">
        <f>SUM(L4067:L4080)</f>
        <v>5270.0000000000009</v>
      </c>
      <c r="M4081" s="1243">
        <f>SUM(M4067:M4080)</f>
        <v>-39988.36</v>
      </c>
      <c r="N4081" s="1243">
        <f>SUM(N4067:N4080)</f>
        <v>0</v>
      </c>
      <c r="O4081" s="1243">
        <f>SUM(O4067:O4080)</f>
        <v>1940932.1499999997</v>
      </c>
    </row>
    <row r="4082" spans="1:15">
      <c r="A4082" s="361"/>
      <c r="D4082" s="1243"/>
      <c r="E4082" s="1243"/>
      <c r="F4082" s="1243"/>
      <c r="G4082" s="1243"/>
      <c r="H4082" s="1243"/>
      <c r="I4082" s="1243"/>
      <c r="J4082" s="369"/>
      <c r="K4082" s="1243"/>
      <c r="L4082" s="1243"/>
      <c r="M4082" s="1243"/>
      <c r="N4082" s="1243"/>
      <c r="O4082" s="1243"/>
    </row>
    <row r="4083" spans="1:15">
      <c r="A4083" s="361">
        <f>A4081+1</f>
        <v>17</v>
      </c>
      <c r="B4083" s="363" t="s">
        <v>1038</v>
      </c>
      <c r="D4083" s="1243"/>
      <c r="E4083" s="1243"/>
      <c r="F4083" s="1243"/>
      <c r="G4083" s="1243"/>
      <c r="H4083" s="1243"/>
      <c r="I4083" s="1243"/>
      <c r="J4083" s="369"/>
      <c r="K4083" s="1243"/>
      <c r="L4083" s="1243"/>
      <c r="M4083" s="1243"/>
      <c r="N4083" s="1243"/>
      <c r="O4083" s="1243"/>
    </row>
    <row r="4084" spans="1:15">
      <c r="A4084" s="361">
        <f>A4083+1</f>
        <v>18</v>
      </c>
      <c r="B4084" s="365">
        <v>378.21</v>
      </c>
      <c r="C4084" s="358" t="s">
        <v>1037</v>
      </c>
      <c r="D4084" s="1244">
        <f>G3970</f>
        <v>-777092</v>
      </c>
      <c r="E4084" s="1244">
        <v>0</v>
      </c>
      <c r="F4084" s="1244">
        <v>0</v>
      </c>
      <c r="G4084" s="1244">
        <f>SUM(D4084:F4084)</f>
        <v>-777092</v>
      </c>
      <c r="H4084" s="1243"/>
      <c r="I4084" s="1244">
        <f>O3970</f>
        <v>-253686.25000000041</v>
      </c>
      <c r="J4084" s="376" t="str">
        <f>$J$1690</f>
        <v>Amort.</v>
      </c>
      <c r="K4084" s="1244">
        <f>$K$1348</f>
        <v>-2144.17</v>
      </c>
      <c r="L4084" s="1244">
        <v>0</v>
      </c>
      <c r="M4084" s="1244">
        <f>F4084</f>
        <v>0</v>
      </c>
      <c r="N4084" s="1244">
        <v>0</v>
      </c>
      <c r="O4084" s="1244">
        <f>I4084+K4084+L4084+M4084+N4084</f>
        <v>-255830.42000000042</v>
      </c>
    </row>
    <row r="4085" spans="1:15">
      <c r="A4085" s="361">
        <f>A4084+1</f>
        <v>19</v>
      </c>
      <c r="B4085" s="370"/>
      <c r="C4085" s="358" t="s">
        <v>1579</v>
      </c>
      <c r="D4085" s="1243">
        <f>SUM(D4084)</f>
        <v>-777092</v>
      </c>
      <c r="E4085" s="1243">
        <f>SUM(E4084)</f>
        <v>0</v>
      </c>
      <c r="F4085" s="1243">
        <f>SUM(F4084)</f>
        <v>0</v>
      </c>
      <c r="G4085" s="1243">
        <f>SUM(G4084)</f>
        <v>-777092</v>
      </c>
      <c r="H4085" s="1243"/>
      <c r="I4085" s="1243">
        <f>SUM(I4084)</f>
        <v>-253686.25000000041</v>
      </c>
      <c r="J4085" s="369"/>
      <c r="K4085" s="1243">
        <f>SUM(K4084)</f>
        <v>-2144.17</v>
      </c>
      <c r="L4085" s="1243">
        <f>SUM(L4084)</f>
        <v>0</v>
      </c>
      <c r="M4085" s="1243">
        <f>SUM(M4084)</f>
        <v>0</v>
      </c>
      <c r="N4085" s="1243">
        <f>SUM(N4084)</f>
        <v>0</v>
      </c>
      <c r="O4085" s="1243">
        <f>SUM(O4084)</f>
        <v>-255830.42000000042</v>
      </c>
    </row>
    <row r="4086" spans="1:15">
      <c r="A4086" s="361"/>
      <c r="B4086" s="370"/>
      <c r="D4086" s="1243"/>
      <c r="E4086" s="1243"/>
      <c r="F4086" s="1243"/>
      <c r="G4086" s="1243"/>
      <c r="H4086" s="1243"/>
      <c r="I4086" s="1243"/>
      <c r="J4086" s="369"/>
      <c r="K4086" s="1243"/>
      <c r="L4086" s="1243"/>
      <c r="M4086" s="1243"/>
      <c r="N4086" s="1243"/>
      <c r="O4086" s="1243"/>
    </row>
    <row r="4087" spans="1:15">
      <c r="A4087" s="361">
        <f>A4085+1</f>
        <v>20</v>
      </c>
      <c r="B4087" s="370"/>
      <c r="C4087" s="358" t="s">
        <v>2037</v>
      </c>
      <c r="D4087" s="1243">
        <f>D4014+D4047+D4081+D4085</f>
        <v>784926144.31209385</v>
      </c>
      <c r="E4087" s="1243">
        <f>E4014+E4047+E4081+E4085</f>
        <v>5136063.7540231431</v>
      </c>
      <c r="F4087" s="1243">
        <f>F4014+F4047+F4081+F4085</f>
        <v>-781312.49974435882</v>
      </c>
      <c r="G4087" s="1243">
        <f>G4014+G4047+G4081+G4085</f>
        <v>789280895.56637263</v>
      </c>
      <c r="H4087" s="1243"/>
      <c r="I4087" s="1243">
        <f>I4014+I4047+I4081+I4085</f>
        <v>209676145.47940552</v>
      </c>
      <c r="J4087" s="369"/>
      <c r="K4087" s="1243">
        <f>K4014+K4047+K4081+K4085</f>
        <v>2261283.9781231629</v>
      </c>
      <c r="L4087" s="1243">
        <f>L4014+L4047+L4081+L4085</f>
        <v>5270.0000000000009</v>
      </c>
      <c r="M4087" s="1243">
        <f>M4014+M4047+M4081+M4085</f>
        <v>-781312.49974435882</v>
      </c>
      <c r="N4087" s="1243">
        <f>N4014+N4047+N4081+N4085</f>
        <v>-148953.3483199591</v>
      </c>
      <c r="O4087" s="1243">
        <f>O4014+O4047+O4081+O4085</f>
        <v>211012433.60946441</v>
      </c>
    </row>
    <row r="4088" spans="1:15">
      <c r="A4088" s="361"/>
      <c r="B4088" s="370"/>
      <c r="D4088" s="1243"/>
      <c r="E4088" s="1243"/>
      <c r="F4088" s="1243"/>
      <c r="G4088" s="1243"/>
      <c r="H4088" s="1243"/>
      <c r="I4088" s="1243"/>
      <c r="J4088" s="369"/>
      <c r="K4088" s="1243"/>
      <c r="L4088" s="1243"/>
      <c r="M4088" s="1243"/>
      <c r="N4088" s="1243"/>
      <c r="O4088" s="1243"/>
    </row>
    <row r="4089" spans="1:15">
      <c r="A4089" s="361">
        <f>A4087+1</f>
        <v>21</v>
      </c>
      <c r="B4089" s="370"/>
      <c r="C4089" s="358" t="s">
        <v>2038</v>
      </c>
      <c r="D4089" s="1243">
        <v>0</v>
      </c>
      <c r="E4089" s="1249">
        <v>0</v>
      </c>
      <c r="F4089" s="1249">
        <v>0</v>
      </c>
      <c r="G4089" s="1249">
        <f>SUM(D4089:F4089)</f>
        <v>0</v>
      </c>
      <c r="H4089" s="1243"/>
      <c r="I4089" s="1243">
        <f>O3975</f>
        <v>-6687302.71</v>
      </c>
      <c r="J4089" s="369"/>
      <c r="K4089" s="1243"/>
      <c r="L4089" s="1243"/>
      <c r="M4089" s="1243"/>
      <c r="N4089" s="1243"/>
      <c r="O4089" s="1243">
        <f>I4089+K4089+L4089+M4089+N4089</f>
        <v>-6687302.71</v>
      </c>
    </row>
    <row r="4090" spans="1:15">
      <c r="A4090" s="361"/>
      <c r="B4090" s="370"/>
      <c r="C4090" s="368"/>
      <c r="D4090" s="1243"/>
      <c r="E4090" s="1243"/>
      <c r="F4090" s="1243"/>
      <c r="G4090" s="1243"/>
      <c r="H4090" s="1243"/>
      <c r="I4090" s="1243"/>
      <c r="J4090" s="369"/>
      <c r="K4090" s="1243"/>
      <c r="L4090" s="1243"/>
      <c r="M4090" s="1243"/>
      <c r="N4090" s="1243"/>
      <c r="O4090" s="1243"/>
    </row>
    <row r="4091" spans="1:15">
      <c r="A4091" s="361">
        <f>A4089+1</f>
        <v>22</v>
      </c>
      <c r="C4091" s="358" t="s">
        <v>1603</v>
      </c>
      <c r="D4091" s="1247">
        <f>D4087+D4089</f>
        <v>784926144.31209385</v>
      </c>
      <c r="E4091" s="1247">
        <f t="shared" ref="E4091:O4091" si="796">E4087+E4089</f>
        <v>5136063.7540231431</v>
      </c>
      <c r="F4091" s="1247">
        <f t="shared" si="796"/>
        <v>-781312.49974435882</v>
      </c>
      <c r="G4091" s="1247">
        <f t="shared" si="796"/>
        <v>789280895.56637263</v>
      </c>
      <c r="H4091" s="1243"/>
      <c r="I4091" s="1247">
        <f t="shared" si="796"/>
        <v>202988842.76940551</v>
      </c>
      <c r="J4091" s="369"/>
      <c r="K4091" s="1247">
        <f t="shared" si="796"/>
        <v>2261283.9781231629</v>
      </c>
      <c r="L4091" s="1247">
        <f t="shared" si="796"/>
        <v>5270.0000000000009</v>
      </c>
      <c r="M4091" s="1247">
        <f t="shared" si="796"/>
        <v>-781312.49974435882</v>
      </c>
      <c r="N4091" s="1247">
        <f t="shared" si="796"/>
        <v>-148953.3483199591</v>
      </c>
      <c r="O4091" s="1247">
        <f t="shared" si="796"/>
        <v>204325130.8994644</v>
      </c>
    </row>
    <row r="4092" spans="1:15">
      <c r="A4092" s="361"/>
      <c r="D4092" s="1243"/>
      <c r="E4092" s="1243"/>
      <c r="F4092" s="1243"/>
      <c r="G4092" s="1243"/>
      <c r="H4092" s="1243"/>
      <c r="I4092" s="1243"/>
      <c r="J4092" s="369"/>
      <c r="K4092" s="1243"/>
      <c r="L4092" s="1243"/>
      <c r="M4092" s="1243"/>
      <c r="N4092" s="1243"/>
      <c r="O4092" s="1243"/>
    </row>
    <row r="4093" spans="1:15">
      <c r="A4093" s="361"/>
      <c r="D4093" s="1243"/>
      <c r="E4093" s="1243"/>
      <c r="F4093" s="1243"/>
      <c r="G4093" s="1243"/>
      <c r="H4093" s="1243"/>
      <c r="I4093" s="1243"/>
      <c r="J4093" s="369"/>
      <c r="K4093" s="1243"/>
      <c r="L4093" s="1243"/>
      <c r="M4093" s="1243"/>
      <c r="N4093" s="1243"/>
      <c r="O4093" s="1243"/>
    </row>
    <row r="4094" spans="1:15">
      <c r="A4094" s="361">
        <f>A4091+1</f>
        <v>23</v>
      </c>
      <c r="B4094" s="363" t="s">
        <v>1774</v>
      </c>
      <c r="D4094" s="1243"/>
      <c r="E4094" s="1243"/>
      <c r="F4094" s="1243"/>
      <c r="G4094" s="1243"/>
      <c r="H4094" s="1243"/>
      <c r="I4094" s="1243"/>
      <c r="J4094" s="369"/>
      <c r="K4094" s="1243"/>
      <c r="L4094" s="1243"/>
      <c r="M4094" s="1243"/>
      <c r="N4094" s="1243"/>
      <c r="O4094" s="1243"/>
    </row>
    <row r="4095" spans="1:15">
      <c r="A4095" s="361">
        <f t="shared" ref="A4095:A4100" si="797">A4094+1</f>
        <v>24</v>
      </c>
      <c r="B4095" s="365">
        <v>376</v>
      </c>
      <c r="C4095" s="358" t="s">
        <v>1775</v>
      </c>
      <c r="D4095" s="1243">
        <f>G3981</f>
        <v>72571012.113544419</v>
      </c>
      <c r="E4095" s="1243">
        <f>'WPB-2.1.D SMRP'!E1628</f>
        <v>5060386.2799619054</v>
      </c>
      <c r="F4095" s="1243">
        <f>'WPB-2.1.D SMRP'!F1628</f>
        <v>-185134.41999999998</v>
      </c>
      <c r="G4095" s="1243">
        <f>SUM(D4095:F4095)</f>
        <v>77446263.973506317</v>
      </c>
      <c r="H4095" s="1243"/>
      <c r="I4095" s="1243">
        <f>O3981</f>
        <v>1022887.9596097494</v>
      </c>
      <c r="J4095" s="376">
        <f>+J3981</f>
        <v>1.7999999999999999E-2</v>
      </c>
      <c r="K4095" s="1243">
        <f>'WPB-2.1.D SMRP'!K1628</f>
        <v>112512.96000000001</v>
      </c>
      <c r="L4095" s="1243">
        <v>0</v>
      </c>
      <c r="M4095" s="1243">
        <f>F4095</f>
        <v>-185134.41999999998</v>
      </c>
      <c r="N4095" s="1243">
        <f>'WPB-2.1.D SMRP'!N1628</f>
        <v>0</v>
      </c>
      <c r="O4095" s="1243">
        <f>I4095+K4095+L4095+M4095+N4095</f>
        <v>950266.49960974953</v>
      </c>
    </row>
    <row r="4096" spans="1:15">
      <c r="A4096" s="361">
        <f t="shared" si="797"/>
        <v>25</v>
      </c>
      <c r="B4096" s="365">
        <v>378.2</v>
      </c>
      <c r="C4096" s="358" t="s">
        <v>1776</v>
      </c>
      <c r="D4096" s="1243">
        <f>G3982</f>
        <v>599780.62011021946</v>
      </c>
      <c r="E4096" s="1243">
        <f>'WPB-2.1.D SMRP'!E1629</f>
        <v>0</v>
      </c>
      <c r="F4096" s="1243">
        <f>'WPB-2.1.D SMRP'!F1629</f>
        <v>0</v>
      </c>
      <c r="G4096" s="1243">
        <f>SUM(D4096:F4096)</f>
        <v>599780.62011021946</v>
      </c>
      <c r="H4096" s="1243"/>
      <c r="I4096" s="1243">
        <f>O3982</f>
        <v>-926618.98754116008</v>
      </c>
      <c r="J4096" s="376">
        <f>+J3982</f>
        <v>3.3099999999999997E-2</v>
      </c>
      <c r="K4096" s="1243">
        <f>'WPB-2.1.D SMRP'!K1629</f>
        <v>1654.39</v>
      </c>
      <c r="L4096" s="1243">
        <v>0</v>
      </c>
      <c r="M4096" s="1243">
        <f>F4096</f>
        <v>0</v>
      </c>
      <c r="N4096" s="1243">
        <f>'WPB-2.1.D SMRP'!N1629</f>
        <v>0</v>
      </c>
      <c r="O4096" s="1243">
        <f>I4096+K4096+L4096+M4096+N4096</f>
        <v>-924964.59754116007</v>
      </c>
    </row>
    <row r="4097" spans="1:15">
      <c r="A4097" s="361">
        <f t="shared" si="797"/>
        <v>26</v>
      </c>
      <c r="B4097" s="365">
        <v>380</v>
      </c>
      <c r="C4097" s="358" t="s">
        <v>1777</v>
      </c>
      <c r="D4097" s="1243">
        <f>G3983</f>
        <v>29018342.056623582</v>
      </c>
      <c r="E4097" s="1243">
        <f>'WPB-2.1.D SMRP'!E1630</f>
        <v>628319.55854517303</v>
      </c>
      <c r="F4097" s="1243">
        <f>'WPB-2.1.D SMRP'!F1630</f>
        <v>-320328.85621654231</v>
      </c>
      <c r="G4097" s="1243">
        <f>SUM(D4097:F4097)</f>
        <v>29326332.758952212</v>
      </c>
      <c r="H4097" s="1243"/>
      <c r="I4097" s="1243">
        <f>O3983</f>
        <v>-13844609.955206597</v>
      </c>
      <c r="J4097" s="376">
        <f>+J3983</f>
        <v>5.1799999999999999E-2</v>
      </c>
      <c r="K4097" s="1243">
        <f>'WPB-2.1.D SMRP'!K1630</f>
        <v>125927.26</v>
      </c>
      <c r="L4097" s="1243">
        <v>0</v>
      </c>
      <c r="M4097" s="1243">
        <f>F4097</f>
        <v>-320328.85621654231</v>
      </c>
      <c r="N4097" s="1243">
        <f>'WPB-2.1.D SMRP'!N1630</f>
        <v>-192542.854608069</v>
      </c>
      <c r="O4097" s="1243">
        <f>I4097+K4097+L4097+M4097+N4097</f>
        <v>-14231554.406031208</v>
      </c>
    </row>
    <row r="4098" spans="1:15">
      <c r="A4098" s="361">
        <f t="shared" si="797"/>
        <v>27</v>
      </c>
      <c r="B4098" s="365">
        <v>382</v>
      </c>
      <c r="C4098" s="358" t="s">
        <v>1778</v>
      </c>
      <c r="D4098" s="1243">
        <f>G3984</f>
        <v>272506.02526817616</v>
      </c>
      <c r="E4098" s="1243">
        <f>'WPB-2.1.D SMRP'!E1631</f>
        <v>9992.588260506378</v>
      </c>
      <c r="F4098" s="1243">
        <f>'WPB-2.1.D SMRP'!F1631</f>
        <v>-245.01900170740694</v>
      </c>
      <c r="G4098" s="1243">
        <f>SUM(D4098:F4098)</f>
        <v>282253.59452697512</v>
      </c>
      <c r="H4098" s="1243"/>
      <c r="I4098" s="1243">
        <f>O3984</f>
        <v>-75874.001639980284</v>
      </c>
      <c r="J4098" s="376">
        <f>+J3984</f>
        <v>2.2800000000000001E-2</v>
      </c>
      <c r="K4098" s="1243">
        <f>'WPB-2.1.D SMRP'!K1631</f>
        <v>527.02</v>
      </c>
      <c r="L4098" s="1243">
        <v>0</v>
      </c>
      <c r="M4098" s="1243">
        <f>F4098</f>
        <v>-245.01900170740694</v>
      </c>
      <c r="N4098" s="1243">
        <f>'WPB-2.1.D SMRP'!N1631</f>
        <v>0</v>
      </c>
      <c r="O4098" s="1243">
        <f>I4098+K4098+L4098+M4098+N4098</f>
        <v>-75592.000641687686</v>
      </c>
    </row>
    <row r="4099" spans="1:15">
      <c r="A4099" s="361">
        <f t="shared" si="797"/>
        <v>28</v>
      </c>
      <c r="B4099" s="365">
        <v>383</v>
      </c>
      <c r="C4099" s="358" t="s">
        <v>1779</v>
      </c>
      <c r="D4099" s="1244">
        <f>G3985</f>
        <v>196799.84022312512</v>
      </c>
      <c r="E4099" s="1244">
        <f>'WPB-2.1.D SMRP'!E1632</f>
        <v>6692.7782169623069</v>
      </c>
      <c r="F4099" s="1244">
        <f>'WPB-2.1.D SMRP'!F1632</f>
        <v>-61.623159913471262</v>
      </c>
      <c r="G4099" s="1244">
        <f>SUM(D4099:F4099)</f>
        <v>203430.99528017396</v>
      </c>
      <c r="H4099" s="1243"/>
      <c r="I4099" s="1244">
        <f>O3985</f>
        <v>-6572.3362685854609</v>
      </c>
      <c r="J4099" s="376">
        <f>+J3985</f>
        <v>2.2200000000000001E-2</v>
      </c>
      <c r="K4099" s="1244">
        <f>'WPB-2.1.D SMRP'!K1632</f>
        <v>370.21</v>
      </c>
      <c r="L4099" s="1244">
        <v>0</v>
      </c>
      <c r="M4099" s="1244">
        <f>F4099</f>
        <v>-61.623159913471262</v>
      </c>
      <c r="N4099" s="1244">
        <f>'WPB-2.1.D SMRP'!N1632</f>
        <v>0</v>
      </c>
      <c r="O4099" s="1244">
        <f>I4099+K4099+L4099+M4099+N4099</f>
        <v>-6263.7494284989325</v>
      </c>
    </row>
    <row r="4100" spans="1:15">
      <c r="A4100" s="361">
        <f t="shared" si="797"/>
        <v>29</v>
      </c>
      <c r="C4100" s="358" t="s">
        <v>1780</v>
      </c>
      <c r="D4100" s="1243">
        <f>SUM(D4095:D4099)</f>
        <v>102658440.65576951</v>
      </c>
      <c r="E4100" s="1243">
        <f>SUM(E4095:E4099)</f>
        <v>5705391.2049845476</v>
      </c>
      <c r="F4100" s="1243">
        <f>SUM(F4095:F4099)</f>
        <v>-505769.91837816319</v>
      </c>
      <c r="G4100" s="1243">
        <f>SUM(G4095:G4099)</f>
        <v>107858061.9423759</v>
      </c>
      <c r="H4100" s="1243"/>
      <c r="I4100" s="1243">
        <f>SUM(I4095:I4099)</f>
        <v>-13830787.321046574</v>
      </c>
      <c r="J4100" s="369"/>
      <c r="K4100" s="1243">
        <f>SUM(K4095:K4099)</f>
        <v>240991.83999999997</v>
      </c>
      <c r="L4100" s="1243">
        <f>SUM(L4095:L4099)</f>
        <v>0</v>
      </c>
      <c r="M4100" s="1243">
        <f>SUM(M4095:M4099)</f>
        <v>-505769.91837816319</v>
      </c>
      <c r="N4100" s="1243">
        <f>SUM(N4095:N4099)</f>
        <v>-192542.854608069</v>
      </c>
      <c r="O4100" s="1243">
        <f>SUM(O4095:O4099)</f>
        <v>-14288108.254032806</v>
      </c>
    </row>
    <row r="4101" spans="1:15">
      <c r="A4101" s="361"/>
      <c r="D4101" s="1243"/>
      <c r="E4101" s="1243"/>
      <c r="F4101" s="1243"/>
      <c r="G4101" s="1243"/>
      <c r="H4101" s="1243"/>
      <c r="I4101" s="1243"/>
      <c r="J4101" s="369"/>
      <c r="K4101" s="1243"/>
      <c r="L4101" s="1243"/>
      <c r="M4101" s="1243"/>
      <c r="N4101" s="1243"/>
      <c r="O4101" s="1243"/>
    </row>
    <row r="4102" spans="1:15" ht="13.5" thickBot="1">
      <c r="A4102" s="361">
        <f>A4100+1</f>
        <v>30</v>
      </c>
      <c r="C4102" s="358" t="s">
        <v>447</v>
      </c>
      <c r="D4102" s="1248">
        <f>D4091+D4100</f>
        <v>887584584.96786332</v>
      </c>
      <c r="E4102" s="1248">
        <f>E4091+E4100</f>
        <v>10841454.959007692</v>
      </c>
      <c r="F4102" s="1248">
        <f>F4091+F4100</f>
        <v>-1287082.4181225221</v>
      </c>
      <c r="G4102" s="1248">
        <f>G4091+G4100</f>
        <v>897138957.50874853</v>
      </c>
      <c r="H4102" s="1243"/>
      <c r="I4102" s="1248">
        <f>I4091+I4100</f>
        <v>189158055.44835895</v>
      </c>
      <c r="J4102" s="369"/>
      <c r="K4102" s="1248">
        <f>K4091+K4100</f>
        <v>2502275.8181231627</v>
      </c>
      <c r="L4102" s="1248">
        <f>L4091+L4100</f>
        <v>5270.0000000000009</v>
      </c>
      <c r="M4102" s="1248">
        <f>M4091+M4100</f>
        <v>-1287082.4181225221</v>
      </c>
      <c r="N4102" s="1248">
        <f>N4091+N4100</f>
        <v>-341496.20292802807</v>
      </c>
      <c r="O4102" s="1248">
        <f>O4091+O4100</f>
        <v>190037022.64543158</v>
      </c>
    </row>
    <row r="4103" spans="1:15" ht="13.5" thickTop="1"/>
  </sheetData>
  <mergeCells count="432">
    <mergeCell ref="A4050:O4050"/>
    <mergeCell ref="A4051:O4051"/>
    <mergeCell ref="A4052:O4052"/>
    <mergeCell ref="A4053:O4053"/>
    <mergeCell ref="D4059:G4059"/>
    <mergeCell ref="I4059:O4059"/>
    <mergeCell ref="A3991:O3991"/>
    <mergeCell ref="A3992:O3992"/>
    <mergeCell ref="A3993:O3993"/>
    <mergeCell ref="A3994:O3994"/>
    <mergeCell ref="D4000:G4000"/>
    <mergeCell ref="I4000:O4000"/>
    <mergeCell ref="A3936:O3936"/>
    <mergeCell ref="A3937:O3937"/>
    <mergeCell ref="A3938:O3938"/>
    <mergeCell ref="A3939:O3939"/>
    <mergeCell ref="D3945:G3945"/>
    <mergeCell ref="I3945:O3945"/>
    <mergeCell ref="A3877:O3877"/>
    <mergeCell ref="A3878:O3878"/>
    <mergeCell ref="A3879:O3879"/>
    <mergeCell ref="A3880:O3880"/>
    <mergeCell ref="D3886:G3886"/>
    <mergeCell ref="I3886:O3886"/>
    <mergeCell ref="A3822:O3822"/>
    <mergeCell ref="A3823:O3823"/>
    <mergeCell ref="A3824:O3824"/>
    <mergeCell ref="A3825:O3825"/>
    <mergeCell ref="D3831:G3831"/>
    <mergeCell ref="I3831:O3831"/>
    <mergeCell ref="A3763:O3763"/>
    <mergeCell ref="A3764:O3764"/>
    <mergeCell ref="A3765:O3765"/>
    <mergeCell ref="A3766:O3766"/>
    <mergeCell ref="D3772:G3772"/>
    <mergeCell ref="I3772:O3772"/>
    <mergeCell ref="A3708:O3708"/>
    <mergeCell ref="A3709:O3709"/>
    <mergeCell ref="A3710:O3710"/>
    <mergeCell ref="A3711:O3711"/>
    <mergeCell ref="D3717:G3717"/>
    <mergeCell ref="I3717:O3717"/>
    <mergeCell ref="A3649:O3649"/>
    <mergeCell ref="A3650:O3650"/>
    <mergeCell ref="A3651:O3651"/>
    <mergeCell ref="A3652:O3652"/>
    <mergeCell ref="D3658:G3658"/>
    <mergeCell ref="I3658:O3658"/>
    <mergeCell ref="A3594:O3594"/>
    <mergeCell ref="A3595:O3595"/>
    <mergeCell ref="A3596:O3596"/>
    <mergeCell ref="A3597:O3597"/>
    <mergeCell ref="D3603:G3603"/>
    <mergeCell ref="I3603:O3603"/>
    <mergeCell ref="A3535:O3535"/>
    <mergeCell ref="A3536:O3536"/>
    <mergeCell ref="A3537:O3537"/>
    <mergeCell ref="A3538:O3538"/>
    <mergeCell ref="D3544:G3544"/>
    <mergeCell ref="I3544:O3544"/>
    <mergeCell ref="A3480:O3480"/>
    <mergeCell ref="A3481:O3481"/>
    <mergeCell ref="A3482:O3482"/>
    <mergeCell ref="A3483:O3483"/>
    <mergeCell ref="D3489:G3489"/>
    <mergeCell ref="I3489:O3489"/>
    <mergeCell ref="A3421:O3421"/>
    <mergeCell ref="A3422:O3422"/>
    <mergeCell ref="A3423:O3423"/>
    <mergeCell ref="A3424:O3424"/>
    <mergeCell ref="D3430:G3430"/>
    <mergeCell ref="I3430:O3430"/>
    <mergeCell ref="A3366:O3366"/>
    <mergeCell ref="A3367:O3367"/>
    <mergeCell ref="A3368:O3368"/>
    <mergeCell ref="A3369:O3369"/>
    <mergeCell ref="D3375:G3375"/>
    <mergeCell ref="I3375:O3375"/>
    <mergeCell ref="A3307:O3307"/>
    <mergeCell ref="A3308:O3308"/>
    <mergeCell ref="A3309:O3309"/>
    <mergeCell ref="A3310:O3310"/>
    <mergeCell ref="D3316:G3316"/>
    <mergeCell ref="I3316:O3316"/>
    <mergeCell ref="A3252:O3252"/>
    <mergeCell ref="A3253:O3253"/>
    <mergeCell ref="A3254:O3254"/>
    <mergeCell ref="A3255:O3255"/>
    <mergeCell ref="D3261:G3261"/>
    <mergeCell ref="I3261:O3261"/>
    <mergeCell ref="A3193:O3193"/>
    <mergeCell ref="A3194:O3194"/>
    <mergeCell ref="A3195:O3195"/>
    <mergeCell ref="A3196:O3196"/>
    <mergeCell ref="D3202:G3202"/>
    <mergeCell ref="I3202:O3202"/>
    <mergeCell ref="A3138:O3138"/>
    <mergeCell ref="A3139:O3139"/>
    <mergeCell ref="A3140:O3140"/>
    <mergeCell ref="A3141:O3141"/>
    <mergeCell ref="D3147:G3147"/>
    <mergeCell ref="I3147:O3147"/>
    <mergeCell ref="A3079:O3079"/>
    <mergeCell ref="A3080:O3080"/>
    <mergeCell ref="A3081:O3081"/>
    <mergeCell ref="A3082:O3082"/>
    <mergeCell ref="D3088:G3088"/>
    <mergeCell ref="I3088:O3088"/>
    <mergeCell ref="A3024:O3024"/>
    <mergeCell ref="A3025:O3025"/>
    <mergeCell ref="A3026:O3026"/>
    <mergeCell ref="A3027:O3027"/>
    <mergeCell ref="D3033:G3033"/>
    <mergeCell ref="I3033:O3033"/>
    <mergeCell ref="A2965:O2965"/>
    <mergeCell ref="A2966:O2966"/>
    <mergeCell ref="A2967:O2967"/>
    <mergeCell ref="A2968:O2968"/>
    <mergeCell ref="D2974:G2974"/>
    <mergeCell ref="I2974:O2974"/>
    <mergeCell ref="A2910:O2910"/>
    <mergeCell ref="A2911:O2911"/>
    <mergeCell ref="A2912:O2912"/>
    <mergeCell ref="A2913:O2913"/>
    <mergeCell ref="D2919:G2919"/>
    <mergeCell ref="I2919:O2919"/>
    <mergeCell ref="A2851:O2851"/>
    <mergeCell ref="A2852:O2852"/>
    <mergeCell ref="A2853:O2853"/>
    <mergeCell ref="A2854:O2854"/>
    <mergeCell ref="D2860:G2860"/>
    <mergeCell ref="I2860:O2860"/>
    <mergeCell ref="A2796:O2796"/>
    <mergeCell ref="A2797:O2797"/>
    <mergeCell ref="A2798:O2798"/>
    <mergeCell ref="A2799:O2799"/>
    <mergeCell ref="D2805:G2805"/>
    <mergeCell ref="I2805:O2805"/>
    <mergeCell ref="A2737:O2737"/>
    <mergeCell ref="A2738:O2738"/>
    <mergeCell ref="A2739:O2739"/>
    <mergeCell ref="A2740:O2740"/>
    <mergeCell ref="D2746:G2746"/>
    <mergeCell ref="I2746:O2746"/>
    <mergeCell ref="A2682:O2682"/>
    <mergeCell ref="A2683:O2683"/>
    <mergeCell ref="A2684:O2684"/>
    <mergeCell ref="A2685:O2685"/>
    <mergeCell ref="D2691:G2691"/>
    <mergeCell ref="I2691:O2691"/>
    <mergeCell ref="A2623:O2623"/>
    <mergeCell ref="A2624:O2624"/>
    <mergeCell ref="A2625:O2625"/>
    <mergeCell ref="A2626:O2626"/>
    <mergeCell ref="D2632:G2632"/>
    <mergeCell ref="I2632:O2632"/>
    <mergeCell ref="A2568:O2568"/>
    <mergeCell ref="A2569:O2569"/>
    <mergeCell ref="A2570:O2570"/>
    <mergeCell ref="A2571:O2571"/>
    <mergeCell ref="D2577:G2577"/>
    <mergeCell ref="I2577:O2577"/>
    <mergeCell ref="A2509:O2509"/>
    <mergeCell ref="A2510:O2510"/>
    <mergeCell ref="A2511:O2511"/>
    <mergeCell ref="A2512:O2512"/>
    <mergeCell ref="D2518:G2518"/>
    <mergeCell ref="I2518:O2518"/>
    <mergeCell ref="A2454:O2454"/>
    <mergeCell ref="A2455:O2455"/>
    <mergeCell ref="A2456:O2456"/>
    <mergeCell ref="A2457:O2457"/>
    <mergeCell ref="D2463:G2463"/>
    <mergeCell ref="I2463:O2463"/>
    <mergeCell ref="A2395:O2395"/>
    <mergeCell ref="A2396:O2396"/>
    <mergeCell ref="A2397:O2397"/>
    <mergeCell ref="A2398:O2398"/>
    <mergeCell ref="D2404:G2404"/>
    <mergeCell ref="I2404:O2404"/>
    <mergeCell ref="A2340:O2340"/>
    <mergeCell ref="A2341:O2341"/>
    <mergeCell ref="A2342:O2342"/>
    <mergeCell ref="A2343:O2343"/>
    <mergeCell ref="D2349:G2349"/>
    <mergeCell ref="I2349:O2349"/>
    <mergeCell ref="A2281:O2281"/>
    <mergeCell ref="A2282:O2282"/>
    <mergeCell ref="A2283:O2283"/>
    <mergeCell ref="A2284:O2284"/>
    <mergeCell ref="D2290:G2290"/>
    <mergeCell ref="I2290:O2290"/>
    <mergeCell ref="A2226:O2226"/>
    <mergeCell ref="A2227:O2227"/>
    <mergeCell ref="A2228:O2228"/>
    <mergeCell ref="A2229:O2229"/>
    <mergeCell ref="D2235:G2235"/>
    <mergeCell ref="I2235:O2235"/>
    <mergeCell ref="A2167:O2167"/>
    <mergeCell ref="A2168:O2168"/>
    <mergeCell ref="A2169:O2169"/>
    <mergeCell ref="A2170:O2170"/>
    <mergeCell ref="D2176:G2176"/>
    <mergeCell ref="I2176:O2176"/>
    <mergeCell ref="A2112:O2112"/>
    <mergeCell ref="A2113:O2113"/>
    <mergeCell ref="A2114:O2114"/>
    <mergeCell ref="A2115:O2115"/>
    <mergeCell ref="D2121:G2121"/>
    <mergeCell ref="I2121:O2121"/>
    <mergeCell ref="A2053:O2053"/>
    <mergeCell ref="A2054:O2054"/>
    <mergeCell ref="A2055:O2055"/>
    <mergeCell ref="A2056:O2056"/>
    <mergeCell ref="D2062:G2062"/>
    <mergeCell ref="I2062:O2062"/>
    <mergeCell ref="A1998:O1998"/>
    <mergeCell ref="A1999:O1999"/>
    <mergeCell ref="A2000:O2000"/>
    <mergeCell ref="A2001:O2001"/>
    <mergeCell ref="D2007:G2007"/>
    <mergeCell ref="I2007:O2007"/>
    <mergeCell ref="A1939:O1939"/>
    <mergeCell ref="A1940:O1940"/>
    <mergeCell ref="A1941:O1941"/>
    <mergeCell ref="A1942:O1942"/>
    <mergeCell ref="D1948:G1948"/>
    <mergeCell ref="I1948:O1948"/>
    <mergeCell ref="A1884:O1884"/>
    <mergeCell ref="A1885:O1885"/>
    <mergeCell ref="A1886:O1886"/>
    <mergeCell ref="A1887:O1887"/>
    <mergeCell ref="D1893:G1893"/>
    <mergeCell ref="I1893:O1893"/>
    <mergeCell ref="A1825:O1825"/>
    <mergeCell ref="A1826:O1826"/>
    <mergeCell ref="A1827:O1827"/>
    <mergeCell ref="A1828:O1828"/>
    <mergeCell ref="D1834:G1834"/>
    <mergeCell ref="I1834:O1834"/>
    <mergeCell ref="A1770:O1770"/>
    <mergeCell ref="A1771:O1771"/>
    <mergeCell ref="A1772:O1772"/>
    <mergeCell ref="A1773:O1773"/>
    <mergeCell ref="D1779:G1779"/>
    <mergeCell ref="I1779:O1779"/>
    <mergeCell ref="A1711:O1711"/>
    <mergeCell ref="A1712:O1712"/>
    <mergeCell ref="A1713:O1713"/>
    <mergeCell ref="A1714:O1714"/>
    <mergeCell ref="D1720:G1720"/>
    <mergeCell ref="I1720:O1720"/>
    <mergeCell ref="A1656:O1656"/>
    <mergeCell ref="A1657:O1657"/>
    <mergeCell ref="A1658:O1658"/>
    <mergeCell ref="A1659:O1659"/>
    <mergeCell ref="D1665:G1665"/>
    <mergeCell ref="I1665:O1665"/>
    <mergeCell ref="A1597:O1597"/>
    <mergeCell ref="A1598:O1598"/>
    <mergeCell ref="A1599:O1599"/>
    <mergeCell ref="A1600:O1600"/>
    <mergeCell ref="D1606:G1606"/>
    <mergeCell ref="I1606:O1606"/>
    <mergeCell ref="A1542:O1542"/>
    <mergeCell ref="A1543:O1543"/>
    <mergeCell ref="A1544:O1544"/>
    <mergeCell ref="A1545:O1545"/>
    <mergeCell ref="D1551:G1551"/>
    <mergeCell ref="I1551:O1551"/>
    <mergeCell ref="A1483:O1483"/>
    <mergeCell ref="A1484:O1484"/>
    <mergeCell ref="A1485:O1485"/>
    <mergeCell ref="A1486:O1486"/>
    <mergeCell ref="D1492:G1492"/>
    <mergeCell ref="I1492:O1492"/>
    <mergeCell ref="A1428:O1428"/>
    <mergeCell ref="A1429:O1429"/>
    <mergeCell ref="A1430:O1430"/>
    <mergeCell ref="A1431:O1431"/>
    <mergeCell ref="D1437:G1437"/>
    <mergeCell ref="I1437:O1437"/>
    <mergeCell ref="A1369:O1369"/>
    <mergeCell ref="A1370:O1370"/>
    <mergeCell ref="A1371:O1371"/>
    <mergeCell ref="A1372:O1372"/>
    <mergeCell ref="D1378:G1378"/>
    <mergeCell ref="I1378:O1378"/>
    <mergeCell ref="A1314:O1314"/>
    <mergeCell ref="A1315:O1315"/>
    <mergeCell ref="A1316:O1316"/>
    <mergeCell ref="A1317:O1317"/>
    <mergeCell ref="D1323:G1323"/>
    <mergeCell ref="I1323:O1323"/>
    <mergeCell ref="A1255:O1255"/>
    <mergeCell ref="A1256:O1256"/>
    <mergeCell ref="A1257:O1257"/>
    <mergeCell ref="A1258:O1258"/>
    <mergeCell ref="D1264:G1264"/>
    <mergeCell ref="I1264:O1264"/>
    <mergeCell ref="A1200:O1200"/>
    <mergeCell ref="A1201:O1201"/>
    <mergeCell ref="A1202:O1202"/>
    <mergeCell ref="A1203:O1203"/>
    <mergeCell ref="D1209:G1209"/>
    <mergeCell ref="I1209:O1209"/>
    <mergeCell ref="A1141:O1141"/>
    <mergeCell ref="A1142:O1142"/>
    <mergeCell ref="A1143:O1143"/>
    <mergeCell ref="A1144:O1144"/>
    <mergeCell ref="D1150:G1150"/>
    <mergeCell ref="I1150:O1150"/>
    <mergeCell ref="A1086:O1086"/>
    <mergeCell ref="A1087:O1087"/>
    <mergeCell ref="A1088:O1088"/>
    <mergeCell ref="A1089:O1089"/>
    <mergeCell ref="D1095:G1095"/>
    <mergeCell ref="I1095:O1095"/>
    <mergeCell ref="A1027:O1027"/>
    <mergeCell ref="A1028:O1028"/>
    <mergeCell ref="A1029:O1029"/>
    <mergeCell ref="A1030:O1030"/>
    <mergeCell ref="D1036:G1036"/>
    <mergeCell ref="I1036:O1036"/>
    <mergeCell ref="A972:O972"/>
    <mergeCell ref="A973:O973"/>
    <mergeCell ref="A974:O974"/>
    <mergeCell ref="A975:O975"/>
    <mergeCell ref="D981:G981"/>
    <mergeCell ref="I981:O981"/>
    <mergeCell ref="A913:O913"/>
    <mergeCell ref="A914:O914"/>
    <mergeCell ref="A915:O915"/>
    <mergeCell ref="A916:O916"/>
    <mergeCell ref="D922:G922"/>
    <mergeCell ref="I922:O922"/>
    <mergeCell ref="A858:O858"/>
    <mergeCell ref="A859:O859"/>
    <mergeCell ref="A860:O860"/>
    <mergeCell ref="A861:O861"/>
    <mergeCell ref="D867:G867"/>
    <mergeCell ref="I867:O867"/>
    <mergeCell ref="A799:O799"/>
    <mergeCell ref="A800:O800"/>
    <mergeCell ref="A801:O801"/>
    <mergeCell ref="A802:O802"/>
    <mergeCell ref="D808:G808"/>
    <mergeCell ref="I808:O808"/>
    <mergeCell ref="A744:O744"/>
    <mergeCell ref="A745:O745"/>
    <mergeCell ref="A746:O746"/>
    <mergeCell ref="A747:O747"/>
    <mergeCell ref="D753:G753"/>
    <mergeCell ref="I753:O753"/>
    <mergeCell ref="A685:O685"/>
    <mergeCell ref="A686:O686"/>
    <mergeCell ref="A687:O687"/>
    <mergeCell ref="A688:O688"/>
    <mergeCell ref="D694:G694"/>
    <mergeCell ref="I694:O694"/>
    <mergeCell ref="A630:O630"/>
    <mergeCell ref="A631:O631"/>
    <mergeCell ref="A632:O632"/>
    <mergeCell ref="A633:O633"/>
    <mergeCell ref="D639:G639"/>
    <mergeCell ref="I639:O639"/>
    <mergeCell ref="A571:O571"/>
    <mergeCell ref="A572:O572"/>
    <mergeCell ref="A573:O573"/>
    <mergeCell ref="A574:O574"/>
    <mergeCell ref="D580:G580"/>
    <mergeCell ref="I580:O580"/>
    <mergeCell ref="A516:O516"/>
    <mergeCell ref="A517:O517"/>
    <mergeCell ref="A518:O518"/>
    <mergeCell ref="A519:O519"/>
    <mergeCell ref="D525:G525"/>
    <mergeCell ref="I525:O525"/>
    <mergeCell ref="A457:O457"/>
    <mergeCell ref="A458:O458"/>
    <mergeCell ref="A459:O459"/>
    <mergeCell ref="A460:O460"/>
    <mergeCell ref="D466:G466"/>
    <mergeCell ref="I466:O466"/>
    <mergeCell ref="A402:O402"/>
    <mergeCell ref="A403:O403"/>
    <mergeCell ref="A404:O404"/>
    <mergeCell ref="A405:O405"/>
    <mergeCell ref="D411:G411"/>
    <mergeCell ref="I411:O411"/>
    <mergeCell ref="A343:O343"/>
    <mergeCell ref="A344:O344"/>
    <mergeCell ref="A345:O345"/>
    <mergeCell ref="A346:O346"/>
    <mergeCell ref="D352:G352"/>
    <mergeCell ref="I352:O352"/>
    <mergeCell ref="A288:O288"/>
    <mergeCell ref="A289:O289"/>
    <mergeCell ref="A290:O290"/>
    <mergeCell ref="A291:O291"/>
    <mergeCell ref="D297:G297"/>
    <mergeCell ref="I297:O297"/>
    <mergeCell ref="A229:O229"/>
    <mergeCell ref="A230:O230"/>
    <mergeCell ref="A231:O231"/>
    <mergeCell ref="A232:O232"/>
    <mergeCell ref="D238:G238"/>
    <mergeCell ref="I238:O238"/>
    <mergeCell ref="A174:O174"/>
    <mergeCell ref="A175:O175"/>
    <mergeCell ref="A176:O176"/>
    <mergeCell ref="A177:O177"/>
    <mergeCell ref="D183:G183"/>
    <mergeCell ref="I183:O183"/>
    <mergeCell ref="A115:O115"/>
    <mergeCell ref="A116:O116"/>
    <mergeCell ref="A117:O117"/>
    <mergeCell ref="A118:O118"/>
    <mergeCell ref="D124:G124"/>
    <mergeCell ref="I124:O124"/>
    <mergeCell ref="A60:O60"/>
    <mergeCell ref="A61:O61"/>
    <mergeCell ref="A62:O62"/>
    <mergeCell ref="A63:O63"/>
    <mergeCell ref="D69:G69"/>
    <mergeCell ref="I69:O69"/>
    <mergeCell ref="A1:O1"/>
    <mergeCell ref="A2:O2"/>
    <mergeCell ref="A3:O3"/>
    <mergeCell ref="A4:O4"/>
    <mergeCell ref="D10:G10"/>
    <mergeCell ref="I10:O10"/>
  </mergeCells>
  <printOptions horizontalCentered="1"/>
  <pageMargins left="0.5" right="0.5" top="0.5" bottom="0.5" header="0.3" footer="0.3"/>
  <pageSetup scale="55" fitToHeight="72" orientation="landscape" r:id="rId1"/>
  <rowBreaks count="71" manualBreakCount="71">
    <brk id="59" max="16383" man="1"/>
    <brk id="114" max="16383" man="1"/>
    <brk id="173" max="16383" man="1"/>
    <brk id="228" max="16383" man="1"/>
    <brk id="287" max="16383" man="1"/>
    <brk id="342" max="16383" man="1"/>
    <brk id="401" max="16383" man="1"/>
    <brk id="456" max="16383" man="1"/>
    <brk id="515" max="16383" man="1"/>
    <brk id="570" max="16383" man="1"/>
    <brk id="629" max="16383" man="1"/>
    <brk id="684" max="16383" man="1"/>
    <brk id="743" max="16383" man="1"/>
    <brk id="798" max="16383" man="1"/>
    <brk id="857" max="16383" man="1"/>
    <brk id="912" max="16383" man="1"/>
    <brk id="971" max="16383" man="1"/>
    <brk id="1026" max="16383" man="1"/>
    <brk id="1085" max="16383" man="1"/>
    <brk id="1140" max="16383" man="1"/>
    <brk id="1199" max="16383" man="1"/>
    <brk id="1254" max="16383" man="1"/>
    <brk id="1313" max="16383" man="1"/>
    <brk id="1368" max="16383" man="1"/>
    <brk id="1427" max="16383" man="1"/>
    <brk id="1482" max="16383" man="1"/>
    <brk id="1541" max="16383" man="1"/>
    <brk id="1596" max="16383" man="1"/>
    <brk id="1655" max="16383" man="1"/>
    <brk id="1710" max="16383" man="1"/>
    <brk id="1769" max="16383" man="1"/>
    <brk id="1824" max="16383" man="1"/>
    <brk id="1883" max="16383" man="1"/>
    <brk id="1938" max="16383" man="1"/>
    <brk id="1997" max="16383" man="1"/>
    <brk id="2052" max="16383" man="1"/>
    <brk id="2111" max="16383" man="1"/>
    <brk id="2166" max="16383" man="1"/>
    <brk id="2225" max="16383" man="1"/>
    <brk id="2280" max="16383" man="1"/>
    <brk id="2339" max="16383" man="1"/>
    <brk id="2394" max="16383" man="1"/>
    <brk id="2453" max="16383" man="1"/>
    <brk id="2508" max="16383" man="1"/>
    <brk id="2567" max="16383" man="1"/>
    <brk id="2622" max="16383" man="1"/>
    <brk id="2681" max="16383" man="1"/>
    <brk id="2736" max="16383" man="1"/>
    <brk id="2795" max="16383" man="1"/>
    <brk id="2850" max="16383" man="1"/>
    <brk id="2909" max="16383" man="1"/>
    <brk id="2964" max="16383" man="1"/>
    <brk id="3023" max="16383" man="1"/>
    <brk id="3078" max="16383" man="1"/>
    <brk id="3137" max="16383" man="1"/>
    <brk id="3192" max="16383" man="1"/>
    <brk id="3251" max="16383" man="1"/>
    <brk id="3306" max="16383" man="1"/>
    <brk id="3365" max="16383" man="1"/>
    <brk id="3420" max="16383" man="1"/>
    <brk id="3479" max="16383" man="1"/>
    <brk id="3534" max="16383" man="1"/>
    <brk id="3593" max="16383" man="1"/>
    <brk id="3648" max="16383" man="1"/>
    <brk id="3707" max="16383" man="1"/>
    <brk id="3762" max="16383" man="1"/>
    <brk id="3821" max="16383" man="1"/>
    <brk id="3876" max="16383" man="1"/>
    <brk id="3935" max="16383" man="1"/>
    <brk id="3990" max="16383" man="1"/>
    <brk id="404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654"/>
  <sheetViews>
    <sheetView topLeftCell="A1636" zoomScaleNormal="100" zoomScaleSheetLayoutView="98" workbookViewId="0">
      <selection activeCell="C1628" sqref="C1628:C1654"/>
    </sheetView>
  </sheetViews>
  <sheetFormatPr defaultColWidth="8.6640625" defaultRowHeight="12.75"/>
  <cols>
    <col min="1" max="1" width="5.6640625" style="358" customWidth="1"/>
    <col min="2" max="2" width="9.5" style="358" bestFit="1" customWidth="1"/>
    <col min="3" max="3" width="63.33203125" style="358" customWidth="1"/>
    <col min="4" max="4" width="17.6640625" style="358" customWidth="1"/>
    <col min="5" max="5" width="18.33203125" style="358" customWidth="1"/>
    <col min="6" max="6" width="17.6640625" style="358" customWidth="1"/>
    <col min="7" max="7" width="18.33203125" style="358" customWidth="1"/>
    <col min="8" max="8" width="3.33203125" style="358" customWidth="1"/>
    <col min="9" max="10" width="17.6640625" style="358" customWidth="1"/>
    <col min="11" max="11" width="20.1640625" style="358" bestFit="1" customWidth="1"/>
    <col min="12" max="13" width="17.83203125" style="358" bestFit="1" customWidth="1"/>
    <col min="14" max="14" width="16.5" style="358" bestFit="1" customWidth="1"/>
    <col min="15" max="15" width="18.5" style="358" bestFit="1" customWidth="1"/>
    <col min="16" max="17" width="8.6640625" style="358"/>
    <col min="18" max="18" width="18.6640625" style="358" bestFit="1" customWidth="1"/>
    <col min="19" max="19" width="16.6640625" style="358" bestFit="1" customWidth="1"/>
    <col min="20" max="20" width="8.6640625" style="358"/>
    <col min="21" max="21" width="30.6640625" style="358" bestFit="1" customWidth="1"/>
    <col min="22" max="22" width="14.6640625" style="358" bestFit="1" customWidth="1"/>
    <col min="23" max="16384" width="8.6640625" style="308"/>
  </cols>
  <sheetData>
    <row r="1" spans="1:15" s="291" customFormat="1">
      <c r="A1" s="1308" t="str">
        <f>'General Headers Index'!B4</f>
        <v>COLUMBIA GAS OF KENTUCKY, INC.</v>
      </c>
      <c r="B1" s="1308"/>
      <c r="C1" s="1308"/>
      <c r="D1" s="1308"/>
      <c r="E1" s="1308"/>
      <c r="F1" s="1308"/>
      <c r="G1" s="1308"/>
      <c r="H1" s="1308"/>
      <c r="I1" s="1308"/>
      <c r="J1" s="1308"/>
      <c r="K1" s="1308"/>
      <c r="L1" s="1308"/>
      <c r="M1" s="1308"/>
      <c r="N1" s="1308"/>
      <c r="O1" s="1308"/>
    </row>
    <row r="2" spans="1:15" s="291" customFormat="1">
      <c r="A2" s="1308" t="str">
        <f>'General Headers Index'!B6</f>
        <v>CASE NO. 2024 - 00092</v>
      </c>
      <c r="B2" s="1308"/>
      <c r="C2" s="1308"/>
      <c r="D2" s="1308"/>
      <c r="E2" s="1308"/>
      <c r="F2" s="1308"/>
      <c r="G2" s="1308"/>
      <c r="H2" s="1308"/>
      <c r="I2" s="1308"/>
      <c r="J2" s="1308"/>
      <c r="K2" s="1308"/>
      <c r="L2" s="1308"/>
      <c r="M2" s="1308"/>
      <c r="N2" s="1308"/>
      <c r="O2" s="1308"/>
    </row>
    <row r="3" spans="1:15" s="291" customFormat="1">
      <c r="A3" s="1308" t="s">
        <v>1784</v>
      </c>
      <c r="B3" s="1308"/>
      <c r="C3" s="1308"/>
      <c r="D3" s="1308"/>
      <c r="E3" s="1308"/>
      <c r="F3" s="1308"/>
      <c r="G3" s="1308"/>
      <c r="H3" s="1308"/>
      <c r="I3" s="1308"/>
      <c r="J3" s="1308"/>
      <c r="K3" s="1308"/>
      <c r="L3" s="1308"/>
      <c r="M3" s="1308"/>
      <c r="N3" s="1308"/>
      <c r="O3" s="1308"/>
    </row>
    <row r="4" spans="1:15" s="291" customFormat="1">
      <c r="A4" s="1309" t="str">
        <f>'General Headers Index'!B23</f>
        <v>FROM JANUARY 01, 2023 THROUGH DECEMBER 31, 2025</v>
      </c>
      <c r="B4" s="1309"/>
      <c r="C4" s="1309"/>
      <c r="D4" s="1309"/>
      <c r="E4" s="1309"/>
      <c r="F4" s="1309"/>
      <c r="G4" s="1309"/>
      <c r="H4" s="1309"/>
      <c r="I4" s="1309"/>
      <c r="J4" s="1309"/>
      <c r="K4" s="1309"/>
      <c r="L4" s="1309"/>
      <c r="M4" s="1309"/>
      <c r="N4" s="1309"/>
      <c r="O4" s="1309"/>
    </row>
    <row r="5" spans="1:15" s="291" customFormat="1">
      <c r="B5" s="293"/>
    </row>
    <row r="6" spans="1:15" s="291" customFormat="1">
      <c r="A6" s="297" t="str">
        <f>'General Headers Index'!$B$34</f>
        <v xml:space="preserve">DATA: _X_ BASE PERIOD _X_ FORECASTED PERIOD     </v>
      </c>
      <c r="B6" s="293"/>
      <c r="O6" s="312" t="s">
        <v>2461</v>
      </c>
    </row>
    <row r="7" spans="1:15" s="291" customFormat="1">
      <c r="A7" s="297" t="str">
        <f>'General Headers Index'!$B$37</f>
        <v>TYPE OF FILING:___X___ORIGINAL______UPDATED</v>
      </c>
      <c r="B7" s="293"/>
      <c r="O7" s="312" t="s">
        <v>2223</v>
      </c>
    </row>
    <row r="8" spans="1:15" s="291" customFormat="1">
      <c r="A8" s="297" t="s">
        <v>2150</v>
      </c>
      <c r="B8" s="293"/>
      <c r="O8" s="312" t="str">
        <f>"WITNESS: "&amp;'General Headers Index'!$B$42</f>
        <v>WITNESS: GORE</v>
      </c>
    </row>
    <row r="9" spans="1:15">
      <c r="A9" s="918"/>
      <c r="B9" s="918"/>
      <c r="C9" s="918"/>
      <c r="D9" s="918"/>
      <c r="E9" s="918"/>
      <c r="F9" s="918"/>
      <c r="G9" s="918"/>
      <c r="H9" s="918"/>
      <c r="I9" s="918"/>
      <c r="J9" s="918"/>
      <c r="K9" s="918"/>
      <c r="L9" s="918"/>
      <c r="M9" s="918"/>
      <c r="N9" s="918"/>
      <c r="O9" s="918"/>
    </row>
    <row r="10" spans="1:15">
      <c r="B10" s="359"/>
      <c r="D10" s="1312" t="s">
        <v>1768</v>
      </c>
      <c r="E10" s="1312"/>
      <c r="F10" s="1312"/>
      <c r="G10" s="1312"/>
      <c r="I10" s="1312" t="s">
        <v>1769</v>
      </c>
      <c r="J10" s="1312"/>
      <c r="K10" s="1312"/>
      <c r="L10" s="1312"/>
      <c r="M10" s="1312"/>
      <c r="N10" s="1312"/>
      <c r="O10" s="1312"/>
    </row>
    <row r="11" spans="1:15">
      <c r="B11" s="359"/>
      <c r="D11" s="360">
        <v>44927</v>
      </c>
      <c r="G11" s="360">
        <f>D11+30</f>
        <v>44957</v>
      </c>
      <c r="I11" s="360">
        <f>D11</f>
        <v>44927</v>
      </c>
      <c r="O11" s="360">
        <f>G11</f>
        <v>44957</v>
      </c>
    </row>
    <row r="12" spans="1:15">
      <c r="B12" s="359"/>
      <c r="D12" s="361" t="s">
        <v>1757</v>
      </c>
      <c r="G12" s="361" t="s">
        <v>1757</v>
      </c>
      <c r="I12" s="361" t="s">
        <v>1758</v>
      </c>
      <c r="J12" s="361" t="s">
        <v>488</v>
      </c>
      <c r="L12" s="361" t="s">
        <v>1758</v>
      </c>
      <c r="O12" s="361" t="s">
        <v>1758</v>
      </c>
    </row>
    <row r="13" spans="1:15">
      <c r="A13" s="361" t="s">
        <v>1770</v>
      </c>
      <c r="B13" s="361" t="s">
        <v>368</v>
      </c>
      <c r="C13" s="361"/>
      <c r="D13" s="361" t="s">
        <v>437</v>
      </c>
      <c r="G13" s="361" t="s">
        <v>439</v>
      </c>
      <c r="I13" s="361" t="s">
        <v>437</v>
      </c>
      <c r="J13" s="361" t="s">
        <v>1771</v>
      </c>
      <c r="K13" s="361" t="s">
        <v>1772</v>
      </c>
      <c r="L13" s="361" t="s">
        <v>1759</v>
      </c>
      <c r="N13" s="361" t="s">
        <v>1760</v>
      </c>
      <c r="O13" s="361" t="s">
        <v>439</v>
      </c>
    </row>
    <row r="14" spans="1:15">
      <c r="A14" s="364" t="s">
        <v>316</v>
      </c>
      <c r="B14" s="364" t="s">
        <v>316</v>
      </c>
      <c r="C14" s="364" t="s">
        <v>451</v>
      </c>
      <c r="D14" s="364" t="s">
        <v>441</v>
      </c>
      <c r="E14" s="364" t="s">
        <v>442</v>
      </c>
      <c r="F14" s="364" t="s">
        <v>443</v>
      </c>
      <c r="G14" s="364" t="s">
        <v>441</v>
      </c>
      <c r="I14" s="364" t="s">
        <v>441</v>
      </c>
      <c r="J14" s="364" t="s">
        <v>1773</v>
      </c>
      <c r="K14" s="364" t="s">
        <v>1771</v>
      </c>
      <c r="L14" s="364" t="s">
        <v>355</v>
      </c>
      <c r="M14" s="364" t="s">
        <v>443</v>
      </c>
      <c r="N14" s="364" t="s">
        <v>1763</v>
      </c>
      <c r="O14" s="364" t="s">
        <v>441</v>
      </c>
    </row>
    <row r="15" spans="1:15">
      <c r="B15" s="359"/>
      <c r="D15" s="361" t="s">
        <v>532</v>
      </c>
      <c r="E15" s="361" t="s">
        <v>541</v>
      </c>
      <c r="F15" s="361" t="s">
        <v>542</v>
      </c>
      <c r="G15" s="361" t="s">
        <v>1764</v>
      </c>
      <c r="I15" s="334" t="str">
        <f>"(5)"</f>
        <v>(5)</v>
      </c>
      <c r="J15" s="334" t="str">
        <f>"(6)"</f>
        <v>(6)</v>
      </c>
      <c r="K15" s="334" t="str">
        <f>"(7)"</f>
        <v>(7)</v>
      </c>
      <c r="L15" s="334" t="str">
        <f>"(8)"</f>
        <v>(8)</v>
      </c>
      <c r="M15" s="334" t="str">
        <f>"(9)"</f>
        <v>(9)</v>
      </c>
      <c r="N15" s="334" t="str">
        <f>"(10)"</f>
        <v>(10)</v>
      </c>
      <c r="O15" s="334" t="str">
        <f>"(11=5+7+8+9+10)"</f>
        <v>(11=5+7+8+9+10)</v>
      </c>
    </row>
    <row r="16" spans="1:15">
      <c r="B16" s="359"/>
      <c r="D16" s="361" t="s">
        <v>320</v>
      </c>
      <c r="E16" s="361" t="s">
        <v>320</v>
      </c>
      <c r="F16" s="361" t="s">
        <v>320</v>
      </c>
      <c r="G16" s="361" t="s">
        <v>320</v>
      </c>
      <c r="I16" s="334" t="s">
        <v>320</v>
      </c>
      <c r="J16" s="1250" t="s">
        <v>529</v>
      </c>
      <c r="K16" s="334" t="s">
        <v>320</v>
      </c>
      <c r="L16" s="334" t="s">
        <v>320</v>
      </c>
      <c r="M16" s="334" t="s">
        <v>320</v>
      </c>
      <c r="N16" s="334" t="s">
        <v>320</v>
      </c>
      <c r="O16" s="334" t="s">
        <v>320</v>
      </c>
    </row>
    <row r="17" spans="1:15">
      <c r="B17" s="359"/>
      <c r="D17" s="361"/>
      <c r="E17" s="361"/>
      <c r="F17" s="361"/>
      <c r="G17" s="361"/>
      <c r="I17" s="334"/>
      <c r="J17" s="334"/>
      <c r="K17" s="334"/>
      <c r="L17" s="334"/>
      <c r="M17" s="334"/>
      <c r="N17" s="334"/>
      <c r="O17" s="334"/>
    </row>
    <row r="18" spans="1:15">
      <c r="A18" s="361">
        <v>1</v>
      </c>
      <c r="B18" s="365">
        <v>376</v>
      </c>
      <c r="C18" s="358" t="s">
        <v>1775</v>
      </c>
      <c r="D18" s="369">
        <v>0</v>
      </c>
      <c r="E18" s="369">
        <v>79805.64</v>
      </c>
      <c r="F18" s="369">
        <v>0</v>
      </c>
      <c r="G18" s="369">
        <f>SUM(D18:F18)</f>
        <v>79805.64</v>
      </c>
      <c r="H18" s="369"/>
      <c r="I18" s="369">
        <v>0</v>
      </c>
      <c r="J18" s="369"/>
      <c r="K18" s="369">
        <v>57.859000000000002</v>
      </c>
      <c r="L18" s="369">
        <v>0</v>
      </c>
      <c r="M18" s="369">
        <f>F18</f>
        <v>0</v>
      </c>
      <c r="N18" s="369">
        <v>0</v>
      </c>
      <c r="O18" s="369">
        <f>I18+K18+L18+M18+N18</f>
        <v>57.859000000000002</v>
      </c>
    </row>
    <row r="19" spans="1:15">
      <c r="A19" s="361">
        <f>A18+1</f>
        <v>2</v>
      </c>
      <c r="B19" s="365">
        <v>378.2</v>
      </c>
      <c r="C19" s="358" t="s">
        <v>1776</v>
      </c>
      <c r="D19" s="369">
        <v>0</v>
      </c>
      <c r="E19" s="369">
        <v>0</v>
      </c>
      <c r="F19" s="369">
        <v>-7576.5300000000007</v>
      </c>
      <c r="G19" s="369">
        <f>SUM(D19:F19)</f>
        <v>-7576.5300000000007</v>
      </c>
      <c r="H19" s="369"/>
      <c r="I19" s="369">
        <v>0</v>
      </c>
      <c r="J19" s="369"/>
      <c r="K19" s="369">
        <v>-7.9550000000000001</v>
      </c>
      <c r="L19" s="369">
        <v>0</v>
      </c>
      <c r="M19" s="369">
        <f>F19</f>
        <v>-7576.5300000000007</v>
      </c>
      <c r="N19" s="369">
        <v>-685.86</v>
      </c>
      <c r="O19" s="369">
        <f>I19+K19+L19+M19+N19</f>
        <v>-8270.3450000000012</v>
      </c>
    </row>
    <row r="20" spans="1:15">
      <c r="A20" s="361">
        <f>A19+1</f>
        <v>3</v>
      </c>
      <c r="B20" s="365">
        <v>380</v>
      </c>
      <c r="C20" s="358" t="s">
        <v>1777</v>
      </c>
      <c r="D20" s="369">
        <v>0</v>
      </c>
      <c r="E20" s="369">
        <v>849592.64</v>
      </c>
      <c r="F20" s="369">
        <v>-277338.54684376396</v>
      </c>
      <c r="G20" s="369">
        <f>SUM(D20:F20)</f>
        <v>572254.09315623599</v>
      </c>
      <c r="H20" s="369"/>
      <c r="I20" s="369">
        <v>0</v>
      </c>
      <c r="J20" s="369"/>
      <c r="K20" s="369">
        <v>948.98800000000006</v>
      </c>
      <c r="L20" s="369">
        <v>0</v>
      </c>
      <c r="M20" s="369">
        <f>F20</f>
        <v>-277338.54684376396</v>
      </c>
      <c r="N20" s="369">
        <v>-467104.37436399999</v>
      </c>
      <c r="O20" s="369">
        <f>I20+K20+L20+M20+N20</f>
        <v>-743493.93320776394</v>
      </c>
    </row>
    <row r="21" spans="1:15">
      <c r="A21" s="361">
        <f>A20+1</f>
        <v>4</v>
      </c>
      <c r="B21" s="365">
        <v>382</v>
      </c>
      <c r="C21" s="358" t="s">
        <v>1778</v>
      </c>
      <c r="D21" s="369">
        <v>0</v>
      </c>
      <c r="E21" s="369">
        <v>1645.31</v>
      </c>
      <c r="F21" s="369">
        <v>-489.15000000000003</v>
      </c>
      <c r="G21" s="369">
        <f>SUM(D21:F21)</f>
        <v>1156.1599999999999</v>
      </c>
      <c r="H21" s="369"/>
      <c r="I21" s="369">
        <v>0</v>
      </c>
      <c r="J21" s="369"/>
      <c r="K21" s="369">
        <v>0.85299999999999998</v>
      </c>
      <c r="L21" s="369">
        <v>0</v>
      </c>
      <c r="M21" s="369">
        <f>F21</f>
        <v>-489.15000000000003</v>
      </c>
      <c r="N21" s="369">
        <v>0</v>
      </c>
      <c r="O21" s="369">
        <f>I21+K21+L21+M21+N21</f>
        <v>-488.29700000000003</v>
      </c>
    </row>
    <row r="22" spans="1:15">
      <c r="A22" s="361">
        <f>A21+1</f>
        <v>5</v>
      </c>
      <c r="B22" s="365">
        <v>383</v>
      </c>
      <c r="C22" s="358" t="s">
        <v>1779</v>
      </c>
      <c r="D22" s="923">
        <v>0</v>
      </c>
      <c r="E22" s="923">
        <v>0</v>
      </c>
      <c r="F22" s="923">
        <v>-188.66000000000003</v>
      </c>
      <c r="G22" s="923">
        <f>SUM(D22:F22)</f>
        <v>-188.66000000000003</v>
      </c>
      <c r="H22" s="369"/>
      <c r="I22" s="923">
        <v>0</v>
      </c>
      <c r="J22" s="369"/>
      <c r="K22" s="923">
        <v>-0.153</v>
      </c>
      <c r="L22" s="923">
        <v>0</v>
      </c>
      <c r="M22" s="923">
        <f>F22</f>
        <v>-188.66000000000003</v>
      </c>
      <c r="N22" s="923">
        <v>0</v>
      </c>
      <c r="O22" s="923">
        <f>I22+K22+L22+M22+N22</f>
        <v>-188.81300000000002</v>
      </c>
    </row>
    <row r="23" spans="1:15">
      <c r="A23" s="361">
        <f>A22+1</f>
        <v>6</v>
      </c>
      <c r="C23" s="358" t="s">
        <v>3077</v>
      </c>
      <c r="D23" s="369">
        <f>SUM(D18:D22)</f>
        <v>0</v>
      </c>
      <c r="E23" s="369">
        <f>SUM(E18:E22)</f>
        <v>931043.59000000008</v>
      </c>
      <c r="F23" s="369">
        <f>SUM(F18:F22)</f>
        <v>-285592.88684376399</v>
      </c>
      <c r="G23" s="369">
        <f>SUM(G18:G22)</f>
        <v>645450.70315623598</v>
      </c>
      <c r="H23" s="369"/>
      <c r="I23" s="369">
        <f t="shared" ref="I23:N23" si="0">SUM(I18:I22)</f>
        <v>0</v>
      </c>
      <c r="J23" s="369"/>
      <c r="K23" s="369">
        <f t="shared" si="0"/>
        <v>999.59199999999998</v>
      </c>
      <c r="L23" s="369">
        <f t="shared" si="0"/>
        <v>0</v>
      </c>
      <c r="M23" s="369">
        <f t="shared" si="0"/>
        <v>-285592.88684376399</v>
      </c>
      <c r="N23" s="369">
        <f t="shared" si="0"/>
        <v>-467790.23436399997</v>
      </c>
      <c r="O23" s="369">
        <f>SUM(O18:O22)</f>
        <v>-752383.52920776396</v>
      </c>
    </row>
    <row r="24" spans="1:15">
      <c r="A24" s="361"/>
      <c r="D24" s="369"/>
      <c r="E24" s="369"/>
      <c r="F24" s="369"/>
      <c r="G24" s="369"/>
      <c r="H24" s="369"/>
      <c r="I24" s="369"/>
      <c r="J24" s="369"/>
      <c r="K24" s="369"/>
      <c r="L24" s="369"/>
      <c r="M24" s="369"/>
      <c r="N24" s="369"/>
      <c r="O24" s="369"/>
    </row>
    <row r="25" spans="1:15">
      <c r="A25" s="361"/>
      <c r="D25" s="369"/>
      <c r="E25" s="369"/>
      <c r="F25" s="369"/>
      <c r="G25" s="369"/>
      <c r="H25" s="369"/>
      <c r="I25" s="369"/>
      <c r="J25" s="369"/>
      <c r="K25" s="369"/>
      <c r="L25" s="369"/>
      <c r="M25" s="369"/>
      <c r="N25" s="369"/>
      <c r="O25" s="369"/>
    </row>
    <row r="26" spans="1:15">
      <c r="A26" s="361">
        <f>A23+1</f>
        <v>7</v>
      </c>
      <c r="B26" s="365">
        <v>376</v>
      </c>
      <c r="C26" s="358" t="s">
        <v>1775</v>
      </c>
      <c r="D26" s="369">
        <f>D18</f>
        <v>0</v>
      </c>
      <c r="E26" s="369">
        <f>E18</f>
        <v>79805.64</v>
      </c>
      <c r="F26" s="369">
        <f>F18</f>
        <v>0</v>
      </c>
      <c r="G26" s="369">
        <f>SUM(D26:F26)</f>
        <v>79805.64</v>
      </c>
      <c r="H26" s="369"/>
      <c r="I26" s="369">
        <v>0</v>
      </c>
      <c r="J26" s="369"/>
      <c r="K26" s="369">
        <f>K18</f>
        <v>57.859000000000002</v>
      </c>
      <c r="L26" s="369">
        <v>0</v>
      </c>
      <c r="M26" s="369">
        <f>M18</f>
        <v>0</v>
      </c>
      <c r="N26" s="369">
        <f>N18</f>
        <v>0</v>
      </c>
      <c r="O26" s="369">
        <f>I26+K26+L26+M26+N26</f>
        <v>57.859000000000002</v>
      </c>
    </row>
    <row r="27" spans="1:15">
      <c r="A27" s="361">
        <f>A26+1</f>
        <v>8</v>
      </c>
      <c r="B27" s="365">
        <v>376</v>
      </c>
      <c r="C27" s="358" t="s">
        <v>1621</v>
      </c>
      <c r="D27" s="923">
        <f>D28-D26</f>
        <v>399913803.00999999</v>
      </c>
      <c r="E27" s="923">
        <f>E28-E26</f>
        <v>691820.97999999986</v>
      </c>
      <c r="F27" s="923">
        <f>F28-F26</f>
        <v>-7748.31</v>
      </c>
      <c r="G27" s="923">
        <f>SUM(D27:F27)</f>
        <v>400597875.68000001</v>
      </c>
      <c r="H27" s="369"/>
      <c r="I27" s="923">
        <f>I28-I26</f>
        <v>74867061.950000003</v>
      </c>
      <c r="J27" s="369"/>
      <c r="K27" s="923">
        <f>K28-K26</f>
        <v>577035.12099999993</v>
      </c>
      <c r="L27" s="923">
        <v>0</v>
      </c>
      <c r="M27" s="923">
        <f>M28-M26</f>
        <v>-7748.31</v>
      </c>
      <c r="N27" s="923">
        <f>N28-N26</f>
        <v>-30795.87</v>
      </c>
      <c r="O27" s="923">
        <f>I27+K27+L27+M27+N27</f>
        <v>75405552.891000003</v>
      </c>
    </row>
    <row r="28" spans="1:15">
      <c r="A28" s="361">
        <f>A27+1</f>
        <v>9</v>
      </c>
      <c r="B28" s="365">
        <v>376</v>
      </c>
      <c r="C28" s="358" t="s">
        <v>3078</v>
      </c>
      <c r="D28" s="369">
        <v>399913803.00999999</v>
      </c>
      <c r="E28" s="369">
        <v>771626.61999999988</v>
      </c>
      <c r="F28" s="369">
        <v>-7748.31</v>
      </c>
      <c r="G28" s="369">
        <f>SUM(G26:G27)</f>
        <v>400677681.31999999</v>
      </c>
      <c r="H28" s="369"/>
      <c r="I28" s="369">
        <v>74867061.950000003</v>
      </c>
      <c r="J28" s="369"/>
      <c r="K28" s="369">
        <v>577092.98</v>
      </c>
      <c r="L28" s="369">
        <f>SUM(L26:L27)</f>
        <v>0</v>
      </c>
      <c r="M28" s="369">
        <f>F28</f>
        <v>-7748.31</v>
      </c>
      <c r="N28" s="369">
        <v>-30795.87</v>
      </c>
      <c r="O28" s="369">
        <f>SUM(O26:O27)</f>
        <v>75405610.75</v>
      </c>
    </row>
    <row r="29" spans="1:15">
      <c r="A29" s="361"/>
      <c r="B29" s="365"/>
      <c r="D29" s="369"/>
      <c r="E29" s="369"/>
      <c r="F29" s="369"/>
      <c r="G29" s="369"/>
      <c r="H29" s="369"/>
      <c r="I29" s="369"/>
      <c r="J29" s="369"/>
      <c r="K29" s="369"/>
      <c r="L29" s="369"/>
      <c r="M29" s="369"/>
      <c r="N29" s="369"/>
      <c r="O29" s="369"/>
    </row>
    <row r="30" spans="1:15">
      <c r="A30" s="361">
        <f>A28+1</f>
        <v>10</v>
      </c>
      <c r="B30" s="365">
        <v>378.2</v>
      </c>
      <c r="C30" s="358" t="s">
        <v>1776</v>
      </c>
      <c r="D30" s="369">
        <f>D19</f>
        <v>0</v>
      </c>
      <c r="E30" s="369">
        <f>E19</f>
        <v>0</v>
      </c>
      <c r="F30" s="369">
        <f>F19</f>
        <v>-7576.5300000000007</v>
      </c>
      <c r="G30" s="369">
        <f>SUM(D30:F30)</f>
        <v>-7576.5300000000007</v>
      </c>
      <c r="H30" s="369"/>
      <c r="I30" s="369"/>
      <c r="J30" s="369"/>
      <c r="K30" s="369">
        <f>K19</f>
        <v>-7.9550000000000001</v>
      </c>
      <c r="L30" s="369">
        <v>0</v>
      </c>
      <c r="M30" s="369">
        <f>M19</f>
        <v>-7576.5300000000007</v>
      </c>
      <c r="N30" s="369">
        <f>N19</f>
        <v>-685.86</v>
      </c>
      <c r="O30" s="369">
        <f>I30+K30+L30+M30+N30</f>
        <v>-8270.3450000000012</v>
      </c>
    </row>
    <row r="31" spans="1:15">
      <c r="A31" s="361">
        <f>A30+1</f>
        <v>11</v>
      </c>
      <c r="B31" s="365">
        <v>378.2</v>
      </c>
      <c r="C31" s="358" t="s">
        <v>1622</v>
      </c>
      <c r="D31" s="923">
        <f>D32-D30</f>
        <v>24969814.460000001</v>
      </c>
      <c r="E31" s="923">
        <f>E32-E30</f>
        <v>0</v>
      </c>
      <c r="F31" s="923">
        <f>F32-F30</f>
        <v>-25273.060000000005</v>
      </c>
      <c r="G31" s="923">
        <f>SUM(D31:F31)</f>
        <v>24944541.400000002</v>
      </c>
      <c r="H31" s="369"/>
      <c r="I31" s="923">
        <f>I32-I30</f>
        <v>2842986.8200000003</v>
      </c>
      <c r="J31" s="369"/>
      <c r="K31" s="923">
        <f>K32-K30</f>
        <v>52410.075000000004</v>
      </c>
      <c r="L31" s="923">
        <v>0</v>
      </c>
      <c r="M31" s="923">
        <f>M32-M30</f>
        <v>-25273.060000000005</v>
      </c>
      <c r="N31" s="923">
        <f>N32-N30</f>
        <v>-1342.52</v>
      </c>
      <c r="O31" s="923">
        <f>I31+K31+L31+M31+N31</f>
        <v>2868781.3150000004</v>
      </c>
    </row>
    <row r="32" spans="1:15">
      <c r="A32" s="361">
        <f>A31+1</f>
        <v>12</v>
      </c>
      <c r="B32" s="365">
        <v>378.2</v>
      </c>
      <c r="C32" s="358" t="s">
        <v>3079</v>
      </c>
      <c r="D32" s="369">
        <v>24969814.460000001</v>
      </c>
      <c r="E32" s="369">
        <v>0</v>
      </c>
      <c r="F32" s="369">
        <v>-32849.590000000004</v>
      </c>
      <c r="G32" s="369">
        <f>SUM(G30:G31)</f>
        <v>24936964.870000001</v>
      </c>
      <c r="H32" s="369"/>
      <c r="I32" s="369">
        <v>2842986.8200000003</v>
      </c>
      <c r="J32" s="369"/>
      <c r="K32" s="369">
        <v>52402.12</v>
      </c>
      <c r="L32" s="369">
        <f>SUM(L30:L31)</f>
        <v>0</v>
      </c>
      <c r="M32" s="369">
        <f>F32</f>
        <v>-32849.590000000004</v>
      </c>
      <c r="N32" s="369">
        <v>-2028.38</v>
      </c>
      <c r="O32" s="369">
        <f>SUM(O30:O31)</f>
        <v>2860510.97</v>
      </c>
    </row>
    <row r="33" spans="1:15">
      <c r="A33" s="361"/>
      <c r="B33" s="365"/>
      <c r="D33" s="369"/>
      <c r="E33" s="369"/>
      <c r="F33" s="369"/>
      <c r="G33" s="369"/>
      <c r="H33" s="369"/>
      <c r="I33" s="369"/>
      <c r="J33" s="369"/>
      <c r="K33" s="369"/>
      <c r="L33" s="369"/>
      <c r="M33" s="369"/>
      <c r="N33" s="369"/>
      <c r="O33" s="369"/>
    </row>
    <row r="34" spans="1:15">
      <c r="A34" s="361">
        <f>A32+1</f>
        <v>13</v>
      </c>
      <c r="B34" s="365">
        <v>380</v>
      </c>
      <c r="C34" s="358" t="s">
        <v>1777</v>
      </c>
      <c r="D34" s="369">
        <f>D20</f>
        <v>0</v>
      </c>
      <c r="E34" s="369">
        <f>E20</f>
        <v>849592.64</v>
      </c>
      <c r="F34" s="369">
        <f>F20</f>
        <v>-277338.54684376396</v>
      </c>
      <c r="G34" s="369">
        <f>SUM(D34:F34)</f>
        <v>572254.09315623599</v>
      </c>
      <c r="H34" s="369"/>
      <c r="I34" s="369"/>
      <c r="J34" s="369"/>
      <c r="K34" s="369">
        <f>K20</f>
        <v>948.98800000000006</v>
      </c>
      <c r="L34" s="369">
        <v>0</v>
      </c>
      <c r="M34" s="369">
        <f>M20</f>
        <v>-277338.54684376396</v>
      </c>
      <c r="N34" s="369">
        <f>N20</f>
        <v>-467104.37436399999</v>
      </c>
      <c r="O34" s="369">
        <f>I34+K34+L34+M34+N34</f>
        <v>-743493.93320776394</v>
      </c>
    </row>
    <row r="35" spans="1:15">
      <c r="A35" s="361">
        <f>A34+1</f>
        <v>14</v>
      </c>
      <c r="B35" s="365">
        <v>380</v>
      </c>
      <c r="C35" s="358" t="s">
        <v>1623</v>
      </c>
      <c r="D35" s="923">
        <f>D36-D34</f>
        <v>192516615.68999997</v>
      </c>
      <c r="E35" s="923">
        <f>E36-E34</f>
        <v>815310.43000000028</v>
      </c>
      <c r="F35" s="923">
        <f>F36-F34</f>
        <v>-55161.263156236091</v>
      </c>
      <c r="G35" s="923">
        <f>SUM(D35:F35)</f>
        <v>193276764.85684374</v>
      </c>
      <c r="H35" s="369"/>
      <c r="I35" s="923">
        <f>I36-I34</f>
        <v>52138791.210000001</v>
      </c>
      <c r="J35" s="369"/>
      <c r="K35" s="923">
        <f>K36-K34</f>
        <v>620065.87199999997</v>
      </c>
      <c r="L35" s="923">
        <v>0</v>
      </c>
      <c r="M35" s="923">
        <f>M36-M34</f>
        <v>-55161.263156236091</v>
      </c>
      <c r="N35" s="923">
        <f>N36-N34</f>
        <v>-92905.665636000049</v>
      </c>
      <c r="O35" s="923">
        <f>I35+K35+L35+M35+N35</f>
        <v>52610790.153207764</v>
      </c>
    </row>
    <row r="36" spans="1:15">
      <c r="A36" s="361">
        <f>A35+1</f>
        <v>15</v>
      </c>
      <c r="B36" s="365">
        <v>380</v>
      </c>
      <c r="C36" s="358" t="s">
        <v>3080</v>
      </c>
      <c r="D36" s="369">
        <v>192516615.68999997</v>
      </c>
      <c r="E36" s="369">
        <v>1664903.0700000003</v>
      </c>
      <c r="F36" s="369">
        <v>-332499.81000000006</v>
      </c>
      <c r="G36" s="369">
        <f>SUM(G34:G35)</f>
        <v>193849018.94999999</v>
      </c>
      <c r="H36" s="369"/>
      <c r="I36" s="369">
        <v>52138791.210000001</v>
      </c>
      <c r="J36" s="369"/>
      <c r="K36" s="369">
        <v>621014.86</v>
      </c>
      <c r="L36" s="369">
        <f>SUM(L34:L35)</f>
        <v>0</v>
      </c>
      <c r="M36" s="369">
        <v>-332499.81000000006</v>
      </c>
      <c r="N36" s="369">
        <v>-560010.04</v>
      </c>
      <c r="O36" s="369">
        <f>SUM(O34:O35)</f>
        <v>51867296.219999999</v>
      </c>
    </row>
    <row r="37" spans="1:15">
      <c r="A37" s="361"/>
      <c r="B37" s="365"/>
      <c r="D37" s="369"/>
      <c r="E37" s="369"/>
      <c r="F37" s="369"/>
      <c r="G37" s="369"/>
      <c r="H37" s="369"/>
      <c r="I37" s="369"/>
      <c r="J37" s="369"/>
      <c r="K37" s="369"/>
      <c r="L37" s="369"/>
      <c r="M37" s="369"/>
      <c r="N37" s="369"/>
      <c r="O37" s="369"/>
    </row>
    <row r="38" spans="1:15">
      <c r="A38" s="361">
        <f>A36+1</f>
        <v>16</v>
      </c>
      <c r="B38" s="365">
        <v>382</v>
      </c>
      <c r="C38" s="358" t="s">
        <v>1778</v>
      </c>
      <c r="D38" s="369">
        <f>D21</f>
        <v>0</v>
      </c>
      <c r="E38" s="369">
        <f>E21</f>
        <v>1645.31</v>
      </c>
      <c r="F38" s="369">
        <f>F21</f>
        <v>-489.15000000000003</v>
      </c>
      <c r="G38" s="369">
        <f>SUM(D38:F38)</f>
        <v>1156.1599999999999</v>
      </c>
      <c r="H38" s="369"/>
      <c r="I38" s="369"/>
      <c r="J38" s="369"/>
      <c r="K38" s="369">
        <f>K21</f>
        <v>0.85299999999999998</v>
      </c>
      <c r="L38" s="369">
        <v>0</v>
      </c>
      <c r="M38" s="369">
        <f>M21</f>
        <v>-489.15000000000003</v>
      </c>
      <c r="N38" s="369">
        <f>N21</f>
        <v>0</v>
      </c>
      <c r="O38" s="369">
        <f>I38+K38+L38+M38+N38</f>
        <v>-488.29700000000003</v>
      </c>
    </row>
    <row r="39" spans="1:15">
      <c r="A39" s="361">
        <f>A38+1</f>
        <v>17</v>
      </c>
      <c r="B39" s="365">
        <v>382</v>
      </c>
      <c r="C39" s="358" t="s">
        <v>1624</v>
      </c>
      <c r="D39" s="923">
        <f>D40-D38</f>
        <v>10073731.52</v>
      </c>
      <c r="E39" s="923">
        <f>E40-E38</f>
        <v>25107.66</v>
      </c>
      <c r="F39" s="923">
        <f>F40-F38</f>
        <v>0</v>
      </c>
      <c r="G39" s="923">
        <f>SUM(D39:F39)</f>
        <v>10098839.18</v>
      </c>
      <c r="H39" s="369"/>
      <c r="I39" s="923">
        <f>I40-I38</f>
        <v>5661414.0800000001</v>
      </c>
      <c r="J39" s="369"/>
      <c r="K39" s="923">
        <f>K40-K38</f>
        <v>14877.277000000002</v>
      </c>
      <c r="L39" s="923">
        <v>0</v>
      </c>
      <c r="M39" s="923">
        <f>M40-M38</f>
        <v>0</v>
      </c>
      <c r="N39" s="923">
        <f>N40-N38</f>
        <v>0</v>
      </c>
      <c r="O39" s="923">
        <f>I39+K39+L39+M39+N39</f>
        <v>5676291.3569999998</v>
      </c>
    </row>
    <row r="40" spans="1:15">
      <c r="A40" s="361">
        <f>A39+1</f>
        <v>18</v>
      </c>
      <c r="B40" s="365">
        <v>382</v>
      </c>
      <c r="C40" s="358" t="s">
        <v>3081</v>
      </c>
      <c r="D40" s="369">
        <v>10073731.52</v>
      </c>
      <c r="E40" s="369">
        <v>26752.97</v>
      </c>
      <c r="F40" s="369">
        <v>-489.15000000000003</v>
      </c>
      <c r="G40" s="369">
        <f>SUM(G38:G39)</f>
        <v>10099995.34</v>
      </c>
      <c r="H40" s="369"/>
      <c r="I40" s="369">
        <v>5661414.0800000001</v>
      </c>
      <c r="J40" s="369"/>
      <c r="K40" s="369">
        <v>14878.130000000001</v>
      </c>
      <c r="L40" s="369">
        <f>SUM(L38:L39)</f>
        <v>0</v>
      </c>
      <c r="M40" s="369">
        <f>F40</f>
        <v>-489.15000000000003</v>
      </c>
      <c r="N40" s="369">
        <v>0</v>
      </c>
      <c r="O40" s="369">
        <f>SUM(O38:O39)</f>
        <v>5675803.0599999996</v>
      </c>
    </row>
    <row r="41" spans="1:15">
      <c r="A41" s="361"/>
      <c r="B41" s="365"/>
      <c r="D41" s="369"/>
      <c r="E41" s="369"/>
      <c r="F41" s="369"/>
      <c r="G41" s="369"/>
      <c r="H41" s="369"/>
      <c r="I41" s="369"/>
      <c r="J41" s="369"/>
      <c r="K41" s="369"/>
      <c r="L41" s="369"/>
      <c r="M41" s="369"/>
      <c r="N41" s="369"/>
      <c r="O41" s="369"/>
    </row>
    <row r="42" spans="1:15">
      <c r="A42" s="361">
        <f>A40+1</f>
        <v>19</v>
      </c>
      <c r="B42" s="365">
        <v>383</v>
      </c>
      <c r="C42" s="358" t="s">
        <v>1779</v>
      </c>
      <c r="D42" s="369">
        <f>D22</f>
        <v>0</v>
      </c>
      <c r="E42" s="369">
        <f>E22</f>
        <v>0</v>
      </c>
      <c r="F42" s="369">
        <f>F22</f>
        <v>-188.66000000000003</v>
      </c>
      <c r="G42" s="369">
        <f>SUM(D42:F42)</f>
        <v>-188.66000000000003</v>
      </c>
      <c r="H42" s="369"/>
      <c r="I42" s="369"/>
      <c r="J42" s="369"/>
      <c r="K42" s="369">
        <f>K22</f>
        <v>-0.153</v>
      </c>
      <c r="L42" s="369">
        <v>0</v>
      </c>
      <c r="M42" s="369">
        <f>M22</f>
        <v>-188.66000000000003</v>
      </c>
      <c r="N42" s="369">
        <f>N22</f>
        <v>0</v>
      </c>
      <c r="O42" s="369">
        <f>I42+K42+L42+M42+N42</f>
        <v>-188.81300000000002</v>
      </c>
    </row>
    <row r="43" spans="1:15">
      <c r="A43" s="361">
        <f>A42+1</f>
        <v>20</v>
      </c>
      <c r="B43" s="365">
        <v>383</v>
      </c>
      <c r="C43" s="358" t="s">
        <v>1625</v>
      </c>
      <c r="D43" s="923">
        <f>D44-D42</f>
        <v>7131728.5199999996</v>
      </c>
      <c r="E43" s="923">
        <f>E44-E42</f>
        <v>18412.32</v>
      </c>
      <c r="F43" s="923">
        <f>F44-F42</f>
        <v>0</v>
      </c>
      <c r="G43" s="923">
        <f>SUM(D43:F43)</f>
        <v>7150140.8399999999</v>
      </c>
      <c r="H43" s="369"/>
      <c r="I43" s="923">
        <f>I44-I42</f>
        <v>2346480.1</v>
      </c>
      <c r="J43" s="369"/>
      <c r="K43" s="923">
        <f>K44-K42</f>
        <v>11544.513000000001</v>
      </c>
      <c r="L43" s="923">
        <v>0</v>
      </c>
      <c r="M43" s="923">
        <f>M44-M42</f>
        <v>0</v>
      </c>
      <c r="N43" s="923">
        <f>N44-N42</f>
        <v>0</v>
      </c>
      <c r="O43" s="923">
        <f>I43+K43+L43+M43+N43</f>
        <v>2358024.6129999999</v>
      </c>
    </row>
    <row r="44" spans="1:15">
      <c r="A44" s="361">
        <f>A43+1</f>
        <v>21</v>
      </c>
      <c r="B44" s="365">
        <v>383</v>
      </c>
      <c r="C44" s="358" t="s">
        <v>3082</v>
      </c>
      <c r="D44" s="369">
        <v>7131728.5199999996</v>
      </c>
      <c r="E44" s="369">
        <v>18412.32</v>
      </c>
      <c r="F44" s="369">
        <v>-188.66</v>
      </c>
      <c r="G44" s="369">
        <f>SUM(G42:G43)</f>
        <v>7149952.1799999997</v>
      </c>
      <c r="H44" s="369"/>
      <c r="I44" s="369">
        <v>2346480.1</v>
      </c>
      <c r="J44" s="369"/>
      <c r="K44" s="369">
        <v>11544.36</v>
      </c>
      <c r="L44" s="369">
        <f>SUM(L42:L43)</f>
        <v>0</v>
      </c>
      <c r="M44" s="369">
        <f>F44</f>
        <v>-188.66</v>
      </c>
      <c r="N44" s="369">
        <v>0</v>
      </c>
      <c r="O44" s="369">
        <f>SUM(O42:O43)</f>
        <v>2357835.7999999998</v>
      </c>
    </row>
    <row r="45" spans="1:15">
      <c r="B45" s="365"/>
      <c r="D45" s="369"/>
      <c r="E45" s="369"/>
      <c r="F45" s="369"/>
      <c r="G45" s="369"/>
      <c r="I45" s="369"/>
      <c r="K45" s="369"/>
      <c r="L45" s="369"/>
      <c r="M45" s="369"/>
      <c r="N45" s="369"/>
      <c r="O45" s="369"/>
    </row>
    <row r="46" spans="1:15">
      <c r="B46" s="365"/>
      <c r="D46" s="369"/>
      <c r="E46" s="369"/>
      <c r="F46" s="369"/>
      <c r="G46" s="369"/>
      <c r="I46" s="369"/>
      <c r="K46" s="369"/>
      <c r="L46" s="369"/>
      <c r="M46" s="369"/>
      <c r="N46" s="369"/>
      <c r="O46" s="369"/>
    </row>
    <row r="47" spans="1:15" s="291" customFormat="1">
      <c r="A47" s="1308" t="str">
        <f>$A$1</f>
        <v>COLUMBIA GAS OF KENTUCKY, INC.</v>
      </c>
      <c r="B47" s="1308"/>
      <c r="C47" s="1308"/>
      <c r="D47" s="1308"/>
      <c r="E47" s="1308"/>
      <c r="F47" s="1308"/>
      <c r="G47" s="1308"/>
      <c r="H47" s="1308"/>
      <c r="I47" s="1308"/>
      <c r="J47" s="1308"/>
      <c r="K47" s="1308"/>
      <c r="L47" s="1308"/>
      <c r="M47" s="1308"/>
      <c r="N47" s="1308"/>
      <c r="O47" s="1308"/>
    </row>
    <row r="48" spans="1:15" s="291" customFormat="1">
      <c r="A48" s="1308" t="str">
        <f>$A$2</f>
        <v>CASE NO. 2024 - 00092</v>
      </c>
      <c r="B48" s="1308"/>
      <c r="C48" s="1308"/>
      <c r="D48" s="1308"/>
      <c r="E48" s="1308"/>
      <c r="F48" s="1308"/>
      <c r="G48" s="1308"/>
      <c r="H48" s="1308"/>
      <c r="I48" s="1308"/>
      <c r="J48" s="1308"/>
      <c r="K48" s="1308"/>
      <c r="L48" s="1308"/>
      <c r="M48" s="1308"/>
      <c r="N48" s="1308"/>
      <c r="O48" s="1308"/>
    </row>
    <row r="49" spans="1:15" s="291" customFormat="1">
      <c r="A49" s="1308" t="str">
        <f>$A$3</f>
        <v>DETAIL OF ACTUAL &amp;  FORECASTED SMRP PLANT, ACCUMULATED RESERVE &amp; DEPRECIATION EXPENSE</v>
      </c>
      <c r="B49" s="1308"/>
      <c r="C49" s="1308"/>
      <c r="D49" s="1308"/>
      <c r="E49" s="1308"/>
      <c r="F49" s="1308"/>
      <c r="G49" s="1308"/>
      <c r="H49" s="1308"/>
      <c r="I49" s="1308"/>
      <c r="J49" s="1308"/>
      <c r="K49" s="1308"/>
      <c r="L49" s="1308"/>
      <c r="M49" s="1308"/>
      <c r="N49" s="1308"/>
      <c r="O49" s="1308"/>
    </row>
    <row r="50" spans="1:15" s="291" customFormat="1">
      <c r="A50" s="1308" t="str">
        <f>$A$4</f>
        <v>FROM JANUARY 01, 2023 THROUGH DECEMBER 31, 2025</v>
      </c>
      <c r="B50" s="1308"/>
      <c r="C50" s="1308"/>
      <c r="D50" s="1308"/>
      <c r="E50" s="1308"/>
      <c r="F50" s="1308"/>
      <c r="G50" s="1308"/>
      <c r="H50" s="1308"/>
      <c r="I50" s="1308"/>
      <c r="J50" s="1308"/>
      <c r="K50" s="1308"/>
      <c r="L50" s="1308"/>
      <c r="M50" s="1308"/>
      <c r="N50" s="1308"/>
      <c r="O50" s="1308"/>
    </row>
    <row r="51" spans="1:15" s="291" customFormat="1">
      <c r="B51" s="293"/>
    </row>
    <row r="52" spans="1:15" s="291" customFormat="1">
      <c r="A52" s="297" t="str">
        <f>'General Headers Index'!$B$34</f>
        <v xml:space="preserve">DATA: _X_ BASE PERIOD _X_ FORECASTED PERIOD     </v>
      </c>
      <c r="B52" s="293"/>
      <c r="O52" s="312" t="s">
        <v>2461</v>
      </c>
    </row>
    <row r="53" spans="1:15" s="291" customFormat="1">
      <c r="A53" s="297" t="str">
        <f>'General Headers Index'!$B$37</f>
        <v>TYPE OF FILING:___X___ORIGINAL______UPDATED</v>
      </c>
      <c r="B53" s="293"/>
      <c r="O53" s="312" t="s">
        <v>2224</v>
      </c>
    </row>
    <row r="54" spans="1:15" s="291" customFormat="1">
      <c r="A54" s="297" t="s">
        <v>2150</v>
      </c>
      <c r="B54" s="293"/>
      <c r="O54" s="312" t="str">
        <f>"WITNESS: "&amp;'General Headers Index'!$B$42</f>
        <v>WITNESS: GORE</v>
      </c>
    </row>
    <row r="55" spans="1:15">
      <c r="A55" s="918"/>
      <c r="B55" s="918"/>
      <c r="C55" s="918"/>
      <c r="D55" s="918"/>
      <c r="E55" s="918"/>
      <c r="F55" s="918"/>
      <c r="G55" s="918"/>
      <c r="H55" s="918"/>
      <c r="I55" s="918"/>
      <c r="J55" s="918"/>
      <c r="K55" s="918"/>
      <c r="L55" s="918"/>
      <c r="M55" s="918"/>
      <c r="N55" s="918"/>
      <c r="O55" s="918"/>
    </row>
    <row r="56" spans="1:15">
      <c r="B56" s="359"/>
      <c r="D56" s="1312" t="s">
        <v>1768</v>
      </c>
      <c r="E56" s="1312"/>
      <c r="F56" s="1312"/>
      <c r="G56" s="1312"/>
      <c r="I56" s="1312" t="s">
        <v>1769</v>
      </c>
      <c r="J56" s="1312"/>
      <c r="K56" s="1312"/>
      <c r="L56" s="1312"/>
      <c r="M56" s="1312"/>
      <c r="N56" s="1312"/>
      <c r="O56" s="1312"/>
    </row>
    <row r="57" spans="1:15">
      <c r="B57" s="359"/>
      <c r="D57" s="360">
        <f>G11+1</f>
        <v>44958</v>
      </c>
      <c r="G57" s="360">
        <f>D57+27</f>
        <v>44985</v>
      </c>
      <c r="I57" s="360">
        <f>D57</f>
        <v>44958</v>
      </c>
      <c r="O57" s="360">
        <f>G57</f>
        <v>44985</v>
      </c>
    </row>
    <row r="58" spans="1:15">
      <c r="B58" s="359"/>
      <c r="D58" s="361" t="s">
        <v>1757</v>
      </c>
      <c r="G58" s="361" t="s">
        <v>1757</v>
      </c>
      <c r="I58" s="361" t="s">
        <v>1758</v>
      </c>
      <c r="J58" s="361" t="s">
        <v>488</v>
      </c>
      <c r="L58" s="361" t="s">
        <v>1758</v>
      </c>
      <c r="O58" s="361" t="s">
        <v>1758</v>
      </c>
    </row>
    <row r="59" spans="1:15">
      <c r="A59" s="361" t="s">
        <v>1770</v>
      </c>
      <c r="B59" s="361" t="s">
        <v>368</v>
      </c>
      <c r="C59" s="361"/>
      <c r="D59" s="361" t="s">
        <v>437</v>
      </c>
      <c r="G59" s="361" t="s">
        <v>439</v>
      </c>
      <c r="I59" s="361" t="s">
        <v>437</v>
      </c>
      <c r="J59" s="361" t="s">
        <v>1771</v>
      </c>
      <c r="K59" s="361" t="s">
        <v>1772</v>
      </c>
      <c r="L59" s="361" t="s">
        <v>1759</v>
      </c>
      <c r="N59" s="361" t="s">
        <v>1760</v>
      </c>
      <c r="O59" s="361" t="s">
        <v>439</v>
      </c>
    </row>
    <row r="60" spans="1:15">
      <c r="A60" s="364" t="s">
        <v>316</v>
      </c>
      <c r="B60" s="364" t="s">
        <v>316</v>
      </c>
      <c r="C60" s="364" t="s">
        <v>451</v>
      </c>
      <c r="D60" s="364" t="s">
        <v>441</v>
      </c>
      <c r="E60" s="364" t="s">
        <v>442</v>
      </c>
      <c r="F60" s="364" t="s">
        <v>443</v>
      </c>
      <c r="G60" s="364" t="s">
        <v>441</v>
      </c>
      <c r="I60" s="364" t="s">
        <v>441</v>
      </c>
      <c r="J60" s="364" t="s">
        <v>1773</v>
      </c>
      <c r="K60" s="364" t="s">
        <v>1771</v>
      </c>
      <c r="L60" s="364" t="s">
        <v>355</v>
      </c>
      <c r="M60" s="364" t="s">
        <v>443</v>
      </c>
      <c r="N60" s="364" t="s">
        <v>1763</v>
      </c>
      <c r="O60" s="364" t="s">
        <v>441</v>
      </c>
    </row>
    <row r="61" spans="1:15">
      <c r="B61" s="359"/>
      <c r="D61" s="361" t="s">
        <v>532</v>
      </c>
      <c r="E61" s="361" t="s">
        <v>541</v>
      </c>
      <c r="F61" s="361" t="s">
        <v>542</v>
      </c>
      <c r="G61" s="361" t="s">
        <v>1764</v>
      </c>
      <c r="I61" s="334" t="str">
        <f>"(5)"</f>
        <v>(5)</v>
      </c>
      <c r="J61" s="334" t="str">
        <f>"(6)"</f>
        <v>(6)</v>
      </c>
      <c r="K61" s="334" t="str">
        <f>"(7)"</f>
        <v>(7)</v>
      </c>
      <c r="L61" s="334" t="str">
        <f>"(8)"</f>
        <v>(8)</v>
      </c>
      <c r="M61" s="334" t="str">
        <f>"(9)"</f>
        <v>(9)</v>
      </c>
      <c r="N61" s="334" t="str">
        <f>"(10)"</f>
        <v>(10)</v>
      </c>
      <c r="O61" s="334" t="str">
        <f>"(11=5+7+8+9+10)"</f>
        <v>(11=5+7+8+9+10)</v>
      </c>
    </row>
    <row r="62" spans="1:15">
      <c r="B62" s="359"/>
      <c r="D62" s="361" t="s">
        <v>320</v>
      </c>
      <c r="E62" s="361" t="s">
        <v>320</v>
      </c>
      <c r="F62" s="361" t="s">
        <v>320</v>
      </c>
      <c r="G62" s="361" t="s">
        <v>320</v>
      </c>
      <c r="I62" s="334" t="s">
        <v>320</v>
      </c>
      <c r="J62" s="1250" t="s">
        <v>529</v>
      </c>
      <c r="K62" s="334" t="s">
        <v>320</v>
      </c>
      <c r="L62" s="334" t="s">
        <v>320</v>
      </c>
      <c r="M62" s="334" t="s">
        <v>320</v>
      </c>
      <c r="N62" s="334" t="s">
        <v>320</v>
      </c>
      <c r="O62" s="334" t="s">
        <v>320</v>
      </c>
    </row>
    <row r="63" spans="1:15">
      <c r="B63" s="359"/>
      <c r="D63" s="361"/>
      <c r="E63" s="361"/>
      <c r="F63" s="361"/>
      <c r="G63" s="361"/>
      <c r="I63" s="334"/>
      <c r="J63" s="334"/>
      <c r="K63" s="334"/>
      <c r="L63" s="334"/>
      <c r="M63" s="334"/>
      <c r="N63" s="334"/>
      <c r="O63" s="334"/>
    </row>
    <row r="64" spans="1:15">
      <c r="A64" s="361">
        <v>1</v>
      </c>
      <c r="B64" s="365">
        <v>376</v>
      </c>
      <c r="C64" s="358" t="s">
        <v>1775</v>
      </c>
      <c r="D64" s="369">
        <f>G18</f>
        <v>79805.64</v>
      </c>
      <c r="E64" s="369">
        <v>859141.8</v>
      </c>
      <c r="F64" s="369">
        <v>0</v>
      </c>
      <c r="G64" s="369">
        <f>SUM(D64:F64)</f>
        <v>938947.44000000006</v>
      </c>
      <c r="H64" s="369"/>
      <c r="I64" s="369">
        <f>O18</f>
        <v>57.859000000000002</v>
      </c>
      <c r="J64" s="369"/>
      <c r="K64" s="369">
        <v>738.87800000000004</v>
      </c>
      <c r="L64" s="369">
        <v>0</v>
      </c>
      <c r="M64" s="369">
        <f>F64</f>
        <v>0</v>
      </c>
      <c r="N64" s="369">
        <v>-9794.68</v>
      </c>
      <c r="O64" s="369">
        <f>I64+K64+L64+M64+N64</f>
        <v>-8997.9429999999993</v>
      </c>
    </row>
    <row r="65" spans="1:15">
      <c r="A65" s="361">
        <f>A64+1</f>
        <v>2</v>
      </c>
      <c r="B65" s="365">
        <v>378.2</v>
      </c>
      <c r="C65" s="358" t="s">
        <v>1776</v>
      </c>
      <c r="D65" s="369">
        <f>G19</f>
        <v>-7576.5300000000007</v>
      </c>
      <c r="E65" s="369">
        <v>0</v>
      </c>
      <c r="F65" s="369">
        <v>-6092.8</v>
      </c>
      <c r="G65" s="369">
        <f>SUM(D65:F65)</f>
        <v>-13669.330000000002</v>
      </c>
      <c r="H65" s="369"/>
      <c r="I65" s="369">
        <f>O19</f>
        <v>-8270.3450000000012</v>
      </c>
      <c r="J65" s="369"/>
      <c r="K65" s="369">
        <v>-22.396999999999998</v>
      </c>
      <c r="L65" s="369">
        <v>0</v>
      </c>
      <c r="M65" s="369">
        <f>F65</f>
        <v>-6092.8</v>
      </c>
      <c r="N65" s="369">
        <v>0</v>
      </c>
      <c r="O65" s="369">
        <f>I65+K65+L65+M65+N65</f>
        <v>-14385.542000000001</v>
      </c>
    </row>
    <row r="66" spans="1:15">
      <c r="A66" s="361">
        <f>A65+1</f>
        <v>3</v>
      </c>
      <c r="B66" s="365">
        <v>380</v>
      </c>
      <c r="C66" s="358" t="s">
        <v>1777</v>
      </c>
      <c r="D66" s="369">
        <f>G20</f>
        <v>572254.09315623599</v>
      </c>
      <c r="E66" s="369">
        <v>1027481.72</v>
      </c>
      <c r="F66" s="369">
        <v>-116568.9110269363</v>
      </c>
      <c r="G66" s="369">
        <f>SUM(D66:F66)</f>
        <v>1483166.9021292997</v>
      </c>
      <c r="H66" s="369"/>
      <c r="I66" s="369">
        <f>O20</f>
        <v>-743493.93320776394</v>
      </c>
      <c r="J66" s="369"/>
      <c r="K66" s="369">
        <v>3408.5969999999998</v>
      </c>
      <c r="L66" s="369">
        <v>0</v>
      </c>
      <c r="M66" s="369">
        <f>F66</f>
        <v>-116568.9110269363</v>
      </c>
      <c r="N66" s="369">
        <v>-83958.337339999998</v>
      </c>
      <c r="O66" s="369">
        <f>I66+K66+L66+M66+N66</f>
        <v>-940612.58457470022</v>
      </c>
    </row>
    <row r="67" spans="1:15">
      <c r="A67" s="361">
        <f>A66+1</f>
        <v>4</v>
      </c>
      <c r="B67" s="365">
        <v>382</v>
      </c>
      <c r="C67" s="358" t="s">
        <v>1778</v>
      </c>
      <c r="D67" s="369">
        <f>G21</f>
        <v>1156.1599999999999</v>
      </c>
      <c r="E67" s="369">
        <v>0</v>
      </c>
      <c r="F67" s="369">
        <v>-1574.7300000000002</v>
      </c>
      <c r="G67" s="369">
        <f>SUM(D67:F67)</f>
        <v>-418.57000000000039</v>
      </c>
      <c r="H67" s="369"/>
      <c r="I67" s="369">
        <f>O21</f>
        <v>-488.29700000000003</v>
      </c>
      <c r="J67" s="369"/>
      <c r="K67" s="369">
        <v>0.83899999999999997</v>
      </c>
      <c r="L67" s="369">
        <v>0</v>
      </c>
      <c r="M67" s="369">
        <f>F67</f>
        <v>-1574.7300000000002</v>
      </c>
      <c r="N67" s="369">
        <v>0</v>
      </c>
      <c r="O67" s="369">
        <f>I67+K67+L67+M67+N67</f>
        <v>-2062.1880000000001</v>
      </c>
    </row>
    <row r="68" spans="1:15">
      <c r="A68" s="361">
        <f>A67+1</f>
        <v>5</v>
      </c>
      <c r="B68" s="365">
        <v>383</v>
      </c>
      <c r="C68" s="358" t="s">
        <v>1779</v>
      </c>
      <c r="D68" s="923">
        <f>G22</f>
        <v>-188.66000000000003</v>
      </c>
      <c r="E68" s="923">
        <v>0</v>
      </c>
      <c r="F68" s="923">
        <v>-230.70000000000002</v>
      </c>
      <c r="G68" s="923">
        <f>SUM(D68:F68)</f>
        <v>-419.36</v>
      </c>
      <c r="H68" s="369"/>
      <c r="I68" s="923">
        <f>O22</f>
        <v>-188.81300000000002</v>
      </c>
      <c r="J68" s="369"/>
      <c r="K68" s="923">
        <v>-0.186</v>
      </c>
      <c r="L68" s="923">
        <v>0</v>
      </c>
      <c r="M68" s="923">
        <f>F68</f>
        <v>-230.70000000000002</v>
      </c>
      <c r="N68" s="923">
        <v>0</v>
      </c>
      <c r="O68" s="923">
        <f>I68+K68+L68+M68+N68</f>
        <v>-419.69900000000007</v>
      </c>
    </row>
    <row r="69" spans="1:15">
      <c r="A69" s="361">
        <f>A68+1</f>
        <v>6</v>
      </c>
      <c r="C69" s="358" t="s">
        <v>3077</v>
      </c>
      <c r="D69" s="369">
        <f>SUM(D64:D68)</f>
        <v>645450.70315623598</v>
      </c>
      <c r="E69" s="369">
        <f>SUM(E64:E68)</f>
        <v>1886623.52</v>
      </c>
      <c r="F69" s="369">
        <f>SUM(F64:F68)</f>
        <v>-124467.1410269363</v>
      </c>
      <c r="G69" s="369">
        <f>SUM(G64:G68)</f>
        <v>2407607.0821293001</v>
      </c>
      <c r="H69" s="369"/>
      <c r="I69" s="369">
        <f>SUM(I64:I68)</f>
        <v>-752383.52920776396</v>
      </c>
      <c r="J69" s="369"/>
      <c r="K69" s="369">
        <f>SUM(K64:K68)</f>
        <v>4125.7309999999998</v>
      </c>
      <c r="L69" s="369">
        <f t="shared" ref="L69" si="1">SUM(L64:L68)</f>
        <v>0</v>
      </c>
      <c r="M69" s="369">
        <f>SUM(M64:M68)</f>
        <v>-124467.1410269363</v>
      </c>
      <c r="N69" s="369">
        <f>SUM(N64:N68)</f>
        <v>-93753.017339999991</v>
      </c>
      <c r="O69" s="369">
        <f>SUM(O64:O68)</f>
        <v>-966477.95657470019</v>
      </c>
    </row>
    <row r="70" spans="1:15">
      <c r="A70" s="361"/>
      <c r="D70" s="369"/>
      <c r="E70" s="369"/>
      <c r="F70" s="369"/>
      <c r="G70" s="369"/>
      <c r="H70" s="369"/>
      <c r="I70" s="369"/>
      <c r="J70" s="369"/>
      <c r="K70" s="369"/>
      <c r="L70" s="369"/>
      <c r="M70" s="369"/>
      <c r="N70" s="369"/>
      <c r="O70" s="369"/>
    </row>
    <row r="71" spans="1:15">
      <c r="A71" s="361"/>
      <c r="D71" s="369"/>
      <c r="E71" s="369"/>
      <c r="F71" s="369"/>
      <c r="G71" s="369"/>
      <c r="H71" s="369"/>
      <c r="I71" s="369"/>
      <c r="J71" s="369"/>
      <c r="K71" s="369"/>
      <c r="L71" s="369"/>
      <c r="M71" s="369"/>
      <c r="N71" s="369"/>
      <c r="O71" s="369"/>
    </row>
    <row r="72" spans="1:15">
      <c r="A72" s="361">
        <f>A69+1</f>
        <v>7</v>
      </c>
      <c r="B72" s="365">
        <v>376</v>
      </c>
      <c r="C72" s="358" t="s">
        <v>1775</v>
      </c>
      <c r="D72" s="369">
        <f>D64</f>
        <v>79805.64</v>
      </c>
      <c r="E72" s="369">
        <f>E64</f>
        <v>859141.8</v>
      </c>
      <c r="F72" s="369">
        <f>F64</f>
        <v>0</v>
      </c>
      <c r="G72" s="369">
        <f>SUM(D72:F72)</f>
        <v>938947.44000000006</v>
      </c>
      <c r="H72" s="369"/>
      <c r="I72" s="369">
        <f>I64</f>
        <v>57.859000000000002</v>
      </c>
      <c r="J72" s="369"/>
      <c r="K72" s="369">
        <f>K64</f>
        <v>738.87800000000004</v>
      </c>
      <c r="L72" s="369">
        <v>0</v>
      </c>
      <c r="M72" s="369">
        <f>M64</f>
        <v>0</v>
      </c>
      <c r="N72" s="369">
        <f>N64</f>
        <v>-9794.68</v>
      </c>
      <c r="O72" s="369">
        <f>I72+K72+L72+M72+N72</f>
        <v>-8997.9429999999993</v>
      </c>
    </row>
    <row r="73" spans="1:15">
      <c r="A73" s="361">
        <f>A72+1</f>
        <v>8</v>
      </c>
      <c r="B73" s="365">
        <v>376</v>
      </c>
      <c r="C73" s="358" t="s">
        <v>1621</v>
      </c>
      <c r="D73" s="923">
        <f>D74-D72</f>
        <v>400597875.68000001</v>
      </c>
      <c r="E73" s="923">
        <f>E74-E72</f>
        <v>1256160.78</v>
      </c>
      <c r="F73" s="923">
        <f>F74-F72</f>
        <v>-67615.86</v>
      </c>
      <c r="G73" s="923">
        <f>SUM(D73:F73)</f>
        <v>401786420.59999996</v>
      </c>
      <c r="H73" s="369"/>
      <c r="I73" s="923">
        <f>I74-I72</f>
        <v>75405552.891000003</v>
      </c>
      <c r="J73" s="369"/>
      <c r="K73" s="923">
        <f>K74-K72</f>
        <v>578380.78200000001</v>
      </c>
      <c r="L73" s="923">
        <v>0</v>
      </c>
      <c r="M73" s="923">
        <f>M74-M72</f>
        <v>-67615.86</v>
      </c>
      <c r="N73" s="923">
        <f>N74-N72</f>
        <v>-3140.3899999999994</v>
      </c>
      <c r="O73" s="923">
        <f>I73+K73+L73+M73+N73</f>
        <v>75913177.423000008</v>
      </c>
    </row>
    <row r="74" spans="1:15">
      <c r="A74" s="361">
        <f>A73+1</f>
        <v>9</v>
      </c>
      <c r="B74" s="365">
        <v>376</v>
      </c>
      <c r="C74" s="358" t="s">
        <v>3078</v>
      </c>
      <c r="D74" s="369">
        <f>G28</f>
        <v>400677681.31999999</v>
      </c>
      <c r="E74" s="369">
        <v>2115302.58</v>
      </c>
      <c r="F74" s="369">
        <v>-67615.86</v>
      </c>
      <c r="G74" s="369">
        <f>SUM(G72:G73)</f>
        <v>402725368.03999996</v>
      </c>
      <c r="H74" s="369"/>
      <c r="I74" s="369">
        <f>O28</f>
        <v>75405610.75</v>
      </c>
      <c r="J74" s="369"/>
      <c r="K74" s="369">
        <v>579119.66</v>
      </c>
      <c r="L74" s="369">
        <f>SUM(L72:L73)</f>
        <v>0</v>
      </c>
      <c r="M74" s="369">
        <f>F74</f>
        <v>-67615.86</v>
      </c>
      <c r="N74" s="369">
        <v>-12935.07</v>
      </c>
      <c r="O74" s="369">
        <f>SUM(O72:O73)</f>
        <v>75904179.480000004</v>
      </c>
    </row>
    <row r="75" spans="1:15">
      <c r="A75" s="361"/>
      <c r="B75" s="365"/>
      <c r="D75" s="369"/>
      <c r="E75" s="369"/>
      <c r="F75" s="369"/>
      <c r="G75" s="369"/>
      <c r="H75" s="369"/>
      <c r="I75" s="369"/>
      <c r="J75" s="369"/>
      <c r="K75" s="369"/>
      <c r="L75" s="369"/>
      <c r="M75" s="369"/>
      <c r="N75" s="369"/>
      <c r="O75" s="369"/>
    </row>
    <row r="76" spans="1:15">
      <c r="A76" s="361">
        <f>A74+1</f>
        <v>10</v>
      </c>
      <c r="B76" s="365">
        <v>378.2</v>
      </c>
      <c r="C76" s="358" t="s">
        <v>1776</v>
      </c>
      <c r="D76" s="369">
        <f>D65</f>
        <v>-7576.5300000000007</v>
      </c>
      <c r="E76" s="369">
        <f>E65</f>
        <v>0</v>
      </c>
      <c r="F76" s="369">
        <f>F65</f>
        <v>-6092.8</v>
      </c>
      <c r="G76" s="369">
        <f>SUM(D76:F76)</f>
        <v>-13669.330000000002</v>
      </c>
      <c r="H76" s="369"/>
      <c r="I76" s="369">
        <f>I65</f>
        <v>-8270.3450000000012</v>
      </c>
      <c r="J76" s="369"/>
      <c r="K76" s="369">
        <f>K65</f>
        <v>-22.396999999999998</v>
      </c>
      <c r="L76" s="369">
        <v>0</v>
      </c>
      <c r="M76" s="369">
        <f>M65</f>
        <v>-6092.8</v>
      </c>
      <c r="N76" s="369">
        <f>N65</f>
        <v>0</v>
      </c>
      <c r="O76" s="369">
        <f>I76+K76+L76+M76+N76</f>
        <v>-14385.542000000001</v>
      </c>
    </row>
    <row r="77" spans="1:15">
      <c r="A77" s="361">
        <f>A76+1</f>
        <v>11</v>
      </c>
      <c r="B77" s="365">
        <v>378.2</v>
      </c>
      <c r="C77" s="358" t="s">
        <v>1622</v>
      </c>
      <c r="D77" s="923">
        <f>D78-D76</f>
        <v>24944541.400000002</v>
      </c>
      <c r="E77" s="923">
        <f>E78-E76</f>
        <v>161.93</v>
      </c>
      <c r="F77" s="923">
        <f>F78-F76</f>
        <v>0</v>
      </c>
      <c r="G77" s="923">
        <f>SUM(D77:F77)</f>
        <v>24944703.330000002</v>
      </c>
      <c r="H77" s="369"/>
      <c r="I77" s="923">
        <f>I78-I76</f>
        <v>2868781.3150000004</v>
      </c>
      <c r="J77" s="369"/>
      <c r="K77" s="923">
        <f>K78-K76</f>
        <v>52383.796999999999</v>
      </c>
      <c r="L77" s="923">
        <v>0</v>
      </c>
      <c r="M77" s="923">
        <f>M78-M76</f>
        <v>0</v>
      </c>
      <c r="N77" s="923">
        <f>N78-N76</f>
        <v>-157.47</v>
      </c>
      <c r="O77" s="923">
        <f>I77+K77+L77+M77+N77</f>
        <v>2921007.642</v>
      </c>
    </row>
    <row r="78" spans="1:15">
      <c r="A78" s="361">
        <f>A77+1</f>
        <v>12</v>
      </c>
      <c r="B78" s="365">
        <v>378.2</v>
      </c>
      <c r="C78" s="358" t="s">
        <v>3079</v>
      </c>
      <c r="D78" s="369">
        <f>G32</f>
        <v>24936964.870000001</v>
      </c>
      <c r="E78" s="369">
        <v>161.93</v>
      </c>
      <c r="F78" s="369">
        <v>-6092.8</v>
      </c>
      <c r="G78" s="369">
        <f>SUM(G76:G77)</f>
        <v>24931034.000000004</v>
      </c>
      <c r="H78" s="369"/>
      <c r="I78" s="369">
        <f>O32</f>
        <v>2860510.97</v>
      </c>
      <c r="J78" s="369"/>
      <c r="K78" s="369">
        <v>52361.4</v>
      </c>
      <c r="L78" s="369">
        <f>SUM(L76:L77)</f>
        <v>0</v>
      </c>
      <c r="M78" s="369">
        <f>F78</f>
        <v>-6092.8</v>
      </c>
      <c r="N78" s="369">
        <v>-157.47</v>
      </c>
      <c r="O78" s="369">
        <f>SUM(O76:O77)</f>
        <v>2906622.1</v>
      </c>
    </row>
    <row r="79" spans="1:15">
      <c r="A79" s="361"/>
      <c r="B79" s="365"/>
      <c r="D79" s="369"/>
      <c r="E79" s="369"/>
      <c r="F79" s="369"/>
      <c r="G79" s="369"/>
      <c r="H79" s="369"/>
      <c r="I79" s="369"/>
      <c r="J79" s="369"/>
      <c r="K79" s="369"/>
      <c r="L79" s="369"/>
      <c r="M79" s="369"/>
      <c r="N79" s="369"/>
      <c r="O79" s="369"/>
    </row>
    <row r="80" spans="1:15">
      <c r="A80" s="361">
        <f>A78+1</f>
        <v>13</v>
      </c>
      <c r="B80" s="365">
        <v>380</v>
      </c>
      <c r="C80" s="358" t="s">
        <v>1777</v>
      </c>
      <c r="D80" s="369">
        <f>D66</f>
        <v>572254.09315623599</v>
      </c>
      <c r="E80" s="369">
        <f>E66</f>
        <v>1027481.72</v>
      </c>
      <c r="F80" s="369">
        <f>F66</f>
        <v>-116568.9110269363</v>
      </c>
      <c r="G80" s="369">
        <f>SUM(D80:F80)</f>
        <v>1483166.9021292997</v>
      </c>
      <c r="H80" s="369"/>
      <c r="I80" s="369">
        <f>I66</f>
        <v>-743493.93320776394</v>
      </c>
      <c r="J80" s="369"/>
      <c r="K80" s="369">
        <f>K66</f>
        <v>3408.5969999999998</v>
      </c>
      <c r="L80" s="369">
        <v>0</v>
      </c>
      <c r="M80" s="369">
        <f>M66</f>
        <v>-116568.9110269363</v>
      </c>
      <c r="N80" s="369">
        <f>N66</f>
        <v>-83958.337339999998</v>
      </c>
      <c r="O80" s="369">
        <f>I80+K80+L80+M80+N80</f>
        <v>-940612.58457470022</v>
      </c>
    </row>
    <row r="81" spans="1:15">
      <c r="A81" s="361">
        <f>A80+1</f>
        <v>14</v>
      </c>
      <c r="B81" s="365">
        <v>380</v>
      </c>
      <c r="C81" s="358" t="s">
        <v>1623</v>
      </c>
      <c r="D81" s="923">
        <f>D82-D80</f>
        <v>193276764.85684374</v>
      </c>
      <c r="E81" s="923">
        <f>E82-E80</f>
        <v>615055.30000000005</v>
      </c>
      <c r="F81" s="923">
        <f>F82-F80</f>
        <v>-23184.978973063713</v>
      </c>
      <c r="G81" s="923">
        <f>SUM(D81:F81)</f>
        <v>193868635.17787069</v>
      </c>
      <c r="H81" s="369"/>
      <c r="I81" s="923">
        <f>I82-I80</f>
        <v>52610790.153207764</v>
      </c>
      <c r="J81" s="369"/>
      <c r="K81" s="923">
        <f>K82-K80</f>
        <v>655145.57299999997</v>
      </c>
      <c r="L81" s="923">
        <v>0</v>
      </c>
      <c r="M81" s="923">
        <f>M82-M80</f>
        <v>-23184.978973063713</v>
      </c>
      <c r="N81" s="923">
        <f>N82-N80</f>
        <v>-16699.062660000011</v>
      </c>
      <c r="O81" s="923">
        <f>I81+K81+L81+M81+N81</f>
        <v>53226051.684574701</v>
      </c>
    </row>
    <row r="82" spans="1:15">
      <c r="A82" s="361">
        <f>A81+1</f>
        <v>15</v>
      </c>
      <c r="B82" s="365">
        <v>380</v>
      </c>
      <c r="C82" s="358" t="s">
        <v>3080</v>
      </c>
      <c r="D82" s="369">
        <f>G36</f>
        <v>193849018.94999999</v>
      </c>
      <c r="E82" s="369">
        <v>1642537.02</v>
      </c>
      <c r="F82" s="369">
        <v>-139753.89000000001</v>
      </c>
      <c r="G82" s="369">
        <f>SUM(G80:G81)</f>
        <v>195351802.07999998</v>
      </c>
      <c r="H82" s="369"/>
      <c r="I82" s="369">
        <f>O36</f>
        <v>51867296.219999999</v>
      </c>
      <c r="J82" s="369"/>
      <c r="K82" s="369">
        <v>658554.16999999993</v>
      </c>
      <c r="L82" s="369">
        <f>SUM(L80:L81)</f>
        <v>0</v>
      </c>
      <c r="M82" s="369">
        <f>F82</f>
        <v>-139753.89000000001</v>
      </c>
      <c r="N82" s="369">
        <v>-100657.40000000001</v>
      </c>
      <c r="O82" s="369">
        <f>SUM(O80:O81)</f>
        <v>52285439.100000001</v>
      </c>
    </row>
    <row r="83" spans="1:15">
      <c r="A83" s="361"/>
      <c r="B83" s="365"/>
      <c r="D83" s="369"/>
      <c r="E83" s="369"/>
      <c r="F83" s="369"/>
      <c r="G83" s="369"/>
      <c r="H83" s="369"/>
      <c r="I83" s="369"/>
      <c r="J83" s="369"/>
      <c r="K83" s="369"/>
      <c r="L83" s="369"/>
      <c r="M83" s="369"/>
      <c r="N83" s="369"/>
      <c r="O83" s="369"/>
    </row>
    <row r="84" spans="1:15">
      <c r="A84" s="361">
        <f>A82+1</f>
        <v>16</v>
      </c>
      <c r="B84" s="365">
        <v>382</v>
      </c>
      <c r="C84" s="358" t="s">
        <v>1778</v>
      </c>
      <c r="D84" s="369">
        <f>D67</f>
        <v>1156.1599999999999</v>
      </c>
      <c r="E84" s="369">
        <f>E67</f>
        <v>0</v>
      </c>
      <c r="F84" s="369">
        <f>F67</f>
        <v>-1574.7300000000002</v>
      </c>
      <c r="G84" s="369">
        <f>SUM(D84:F84)</f>
        <v>-418.57000000000039</v>
      </c>
      <c r="H84" s="369"/>
      <c r="I84" s="369">
        <f>I67</f>
        <v>-488.29700000000003</v>
      </c>
      <c r="J84" s="369"/>
      <c r="K84" s="369">
        <f>K67</f>
        <v>0.83899999999999997</v>
      </c>
      <c r="L84" s="369">
        <v>0</v>
      </c>
      <c r="M84" s="369">
        <f>M67</f>
        <v>-1574.7300000000002</v>
      </c>
      <c r="N84" s="369">
        <f>N67</f>
        <v>0</v>
      </c>
      <c r="O84" s="369">
        <f>I84+K84+L84+M84+N84</f>
        <v>-2062.1880000000001</v>
      </c>
    </row>
    <row r="85" spans="1:15">
      <c r="A85" s="361">
        <f>A84+1</f>
        <v>17</v>
      </c>
      <c r="B85" s="365">
        <v>382</v>
      </c>
      <c r="C85" s="358" t="s">
        <v>1624</v>
      </c>
      <c r="D85" s="923">
        <f>D86-D84</f>
        <v>10098839.18</v>
      </c>
      <c r="E85" s="923">
        <f>E86-E84</f>
        <v>26242.959999999999</v>
      </c>
      <c r="F85" s="923">
        <f>F86-F84</f>
        <v>0</v>
      </c>
      <c r="G85" s="923">
        <f>SUM(D85:F85)</f>
        <v>10125082.140000001</v>
      </c>
      <c r="H85" s="369"/>
      <c r="I85" s="923">
        <f>I86-I84</f>
        <v>5676291.3569999998</v>
      </c>
      <c r="J85" s="369"/>
      <c r="K85" s="923">
        <f>K86-K84</f>
        <v>14914.851000000001</v>
      </c>
      <c r="L85" s="923">
        <v>0</v>
      </c>
      <c r="M85" s="923">
        <f>M86-M84</f>
        <v>0</v>
      </c>
      <c r="N85" s="923">
        <f>N86-N84</f>
        <v>0</v>
      </c>
      <c r="O85" s="923">
        <f>I85+K85+L85+M85+N85</f>
        <v>5691206.2079999996</v>
      </c>
    </row>
    <row r="86" spans="1:15">
      <c r="A86" s="361">
        <f>A85+1</f>
        <v>18</v>
      </c>
      <c r="B86" s="365">
        <v>382</v>
      </c>
      <c r="C86" s="358" t="s">
        <v>3081</v>
      </c>
      <c r="D86" s="369">
        <f>G40</f>
        <v>10099995.34</v>
      </c>
      <c r="E86" s="369">
        <v>26242.959999999999</v>
      </c>
      <c r="F86" s="369">
        <v>-1574.73</v>
      </c>
      <c r="G86" s="369">
        <f>SUM(G84:G85)</f>
        <v>10124663.57</v>
      </c>
      <c r="H86" s="369"/>
      <c r="I86" s="369">
        <f>O40</f>
        <v>5675803.0599999996</v>
      </c>
      <c r="J86" s="369"/>
      <c r="K86" s="369">
        <v>14915.69</v>
      </c>
      <c r="L86" s="369">
        <f>SUM(L84:L85)</f>
        <v>0</v>
      </c>
      <c r="M86" s="369">
        <f>F86</f>
        <v>-1574.73</v>
      </c>
      <c r="N86" s="369">
        <v>0</v>
      </c>
      <c r="O86" s="369">
        <f>SUM(O84:O85)</f>
        <v>5689144.0199999996</v>
      </c>
    </row>
    <row r="87" spans="1:15">
      <c r="A87" s="361"/>
      <c r="B87" s="365"/>
      <c r="D87" s="369"/>
      <c r="E87" s="369"/>
      <c r="F87" s="369"/>
      <c r="G87" s="369"/>
      <c r="H87" s="369"/>
      <c r="I87" s="369"/>
      <c r="J87" s="369"/>
      <c r="K87" s="369"/>
      <c r="L87" s="369"/>
      <c r="M87" s="369"/>
      <c r="N87" s="369"/>
      <c r="O87" s="369"/>
    </row>
    <row r="88" spans="1:15">
      <c r="A88" s="361">
        <f>A86+1</f>
        <v>19</v>
      </c>
      <c r="B88" s="365">
        <v>383</v>
      </c>
      <c r="C88" s="358" t="s">
        <v>1779</v>
      </c>
      <c r="D88" s="369">
        <f>D68</f>
        <v>-188.66000000000003</v>
      </c>
      <c r="E88" s="369">
        <f>E68</f>
        <v>0</v>
      </c>
      <c r="F88" s="369">
        <f>F68</f>
        <v>-230.70000000000002</v>
      </c>
      <c r="G88" s="369">
        <f>SUM(D88:F88)</f>
        <v>-419.36</v>
      </c>
      <c r="H88" s="369"/>
      <c r="I88" s="369">
        <f>I68</f>
        <v>-188.81300000000002</v>
      </c>
      <c r="J88" s="369"/>
      <c r="K88" s="369">
        <f>K68</f>
        <v>-0.186</v>
      </c>
      <c r="L88" s="369">
        <v>0</v>
      </c>
      <c r="M88" s="369">
        <f>M68</f>
        <v>-230.70000000000002</v>
      </c>
      <c r="N88" s="369">
        <f>N68</f>
        <v>0</v>
      </c>
      <c r="O88" s="369">
        <f>I88+K88+L88+M88+N88</f>
        <v>-419.69900000000007</v>
      </c>
    </row>
    <row r="89" spans="1:15">
      <c r="A89" s="361">
        <f>A88+1</f>
        <v>20</v>
      </c>
      <c r="B89" s="365">
        <v>383</v>
      </c>
      <c r="C89" s="358" t="s">
        <v>1625</v>
      </c>
      <c r="D89" s="923">
        <f>D90-D88</f>
        <v>7150140.8399999999</v>
      </c>
      <c r="E89" s="923">
        <f>E90-E88</f>
        <v>11751.6</v>
      </c>
      <c r="F89" s="923">
        <f>F90-F88</f>
        <v>0</v>
      </c>
      <c r="G89" s="923">
        <f>SUM(D89:F89)</f>
        <v>7161892.4399999995</v>
      </c>
      <c r="H89" s="369"/>
      <c r="I89" s="923">
        <f>I90-I88</f>
        <v>2358024.6129999999</v>
      </c>
      <c r="J89" s="369"/>
      <c r="K89" s="923">
        <f>K90-K88</f>
        <v>11568.585999999999</v>
      </c>
      <c r="L89" s="923">
        <v>0</v>
      </c>
      <c r="M89" s="923">
        <f>M90-M88</f>
        <v>0</v>
      </c>
      <c r="N89" s="923">
        <f>N90-N88</f>
        <v>0</v>
      </c>
      <c r="O89" s="923">
        <f>I89+K89+L89+M89+N89</f>
        <v>2369593.199</v>
      </c>
    </row>
    <row r="90" spans="1:15">
      <c r="A90" s="361">
        <f>A89+1</f>
        <v>21</v>
      </c>
      <c r="B90" s="365">
        <v>383</v>
      </c>
      <c r="C90" s="358" t="s">
        <v>3082</v>
      </c>
      <c r="D90" s="369">
        <f>G44</f>
        <v>7149952.1799999997</v>
      </c>
      <c r="E90" s="369">
        <v>11751.6</v>
      </c>
      <c r="F90" s="369">
        <v>-230.70000000000002</v>
      </c>
      <c r="G90" s="369">
        <f>SUM(G88:G89)</f>
        <v>7161473.0799999991</v>
      </c>
      <c r="H90" s="369"/>
      <c r="I90" s="369">
        <f>O44</f>
        <v>2357835.7999999998</v>
      </c>
      <c r="J90" s="369"/>
      <c r="K90" s="369">
        <v>11568.4</v>
      </c>
      <c r="L90" s="369">
        <f>SUM(L88:L89)</f>
        <v>0</v>
      </c>
      <c r="M90" s="369">
        <f>F90</f>
        <v>-230.70000000000002</v>
      </c>
      <c r="N90" s="369">
        <v>0</v>
      </c>
      <c r="O90" s="369">
        <f>SUM(O88:O89)</f>
        <v>2369173.5</v>
      </c>
    </row>
    <row r="93" spans="1:15" s="291" customFormat="1">
      <c r="A93" s="1308" t="str">
        <f>$A$1</f>
        <v>COLUMBIA GAS OF KENTUCKY, INC.</v>
      </c>
      <c r="B93" s="1308"/>
      <c r="C93" s="1308"/>
      <c r="D93" s="1308"/>
      <c r="E93" s="1308"/>
      <c r="F93" s="1308"/>
      <c r="G93" s="1308"/>
      <c r="H93" s="1308"/>
      <c r="I93" s="1308"/>
      <c r="J93" s="1308"/>
      <c r="K93" s="1308"/>
      <c r="L93" s="1308"/>
      <c r="M93" s="1308"/>
      <c r="N93" s="1308"/>
      <c r="O93" s="1308"/>
    </row>
    <row r="94" spans="1:15" s="291" customFormat="1">
      <c r="A94" s="1308" t="str">
        <f>$A$2</f>
        <v>CASE NO. 2024 - 00092</v>
      </c>
      <c r="B94" s="1308"/>
      <c r="C94" s="1308"/>
      <c r="D94" s="1308"/>
      <c r="E94" s="1308"/>
      <c r="F94" s="1308"/>
      <c r="G94" s="1308"/>
      <c r="H94" s="1308"/>
      <c r="I94" s="1308"/>
      <c r="J94" s="1308"/>
      <c r="K94" s="1308"/>
      <c r="L94" s="1308"/>
      <c r="M94" s="1308"/>
      <c r="N94" s="1308"/>
      <c r="O94" s="1308"/>
    </row>
    <row r="95" spans="1:15" s="291" customFormat="1">
      <c r="A95" s="1308" t="str">
        <f>$A$3</f>
        <v>DETAIL OF ACTUAL &amp;  FORECASTED SMRP PLANT, ACCUMULATED RESERVE &amp; DEPRECIATION EXPENSE</v>
      </c>
      <c r="B95" s="1308"/>
      <c r="C95" s="1308"/>
      <c r="D95" s="1308"/>
      <c r="E95" s="1308"/>
      <c r="F95" s="1308"/>
      <c r="G95" s="1308"/>
      <c r="H95" s="1308"/>
      <c r="I95" s="1308"/>
      <c r="J95" s="1308"/>
      <c r="K95" s="1308"/>
      <c r="L95" s="1308"/>
      <c r="M95" s="1308"/>
      <c r="N95" s="1308"/>
      <c r="O95" s="1308"/>
    </row>
    <row r="96" spans="1:15" s="291" customFormat="1">
      <c r="A96" s="1308" t="str">
        <f>$A$4</f>
        <v>FROM JANUARY 01, 2023 THROUGH DECEMBER 31, 2025</v>
      </c>
      <c r="B96" s="1308"/>
      <c r="C96" s="1308"/>
      <c r="D96" s="1308"/>
      <c r="E96" s="1308"/>
      <c r="F96" s="1308"/>
      <c r="G96" s="1308"/>
      <c r="H96" s="1308"/>
      <c r="I96" s="1308"/>
      <c r="J96" s="1308"/>
      <c r="K96" s="1308"/>
      <c r="L96" s="1308"/>
      <c r="M96" s="1308"/>
      <c r="N96" s="1308"/>
      <c r="O96" s="1308"/>
    </row>
    <row r="97" spans="1:15" s="291" customFormat="1">
      <c r="B97" s="293"/>
    </row>
    <row r="98" spans="1:15" s="291" customFormat="1">
      <c r="A98" s="297" t="str">
        <f>'General Headers Index'!$B$34</f>
        <v xml:space="preserve">DATA: _X_ BASE PERIOD _X_ FORECASTED PERIOD     </v>
      </c>
      <c r="B98" s="293"/>
      <c r="O98" s="312" t="s">
        <v>2461</v>
      </c>
    </row>
    <row r="99" spans="1:15" s="291" customFormat="1">
      <c r="A99" s="297" t="str">
        <f>'General Headers Index'!$B$37</f>
        <v>TYPE OF FILING:___X___ORIGINAL______UPDATED</v>
      </c>
      <c r="B99" s="293"/>
      <c r="O99" s="312" t="s">
        <v>2225</v>
      </c>
    </row>
    <row r="100" spans="1:15" s="291" customFormat="1">
      <c r="A100" s="297" t="s">
        <v>2150</v>
      </c>
      <c r="B100" s="293"/>
      <c r="O100" s="312" t="str">
        <f>"WITNESS: "&amp;'General Headers Index'!$B$42</f>
        <v>WITNESS: GORE</v>
      </c>
    </row>
    <row r="101" spans="1:15">
      <c r="A101" s="918"/>
      <c r="B101" s="918"/>
      <c r="C101" s="918"/>
      <c r="D101" s="918"/>
      <c r="E101" s="918"/>
      <c r="F101" s="918"/>
      <c r="G101" s="918"/>
      <c r="H101" s="918"/>
      <c r="I101" s="918"/>
      <c r="J101" s="918"/>
      <c r="K101" s="918"/>
      <c r="L101" s="918"/>
      <c r="M101" s="918"/>
      <c r="N101" s="918"/>
      <c r="O101" s="918"/>
    </row>
    <row r="102" spans="1:15">
      <c r="B102" s="359"/>
      <c r="D102" s="1312" t="s">
        <v>1768</v>
      </c>
      <c r="E102" s="1312"/>
      <c r="F102" s="1312"/>
      <c r="G102" s="1312"/>
      <c r="I102" s="1312" t="s">
        <v>1769</v>
      </c>
      <c r="J102" s="1312"/>
      <c r="K102" s="1312"/>
      <c r="L102" s="1312"/>
      <c r="M102" s="1312"/>
      <c r="N102" s="1312"/>
      <c r="O102" s="1312"/>
    </row>
    <row r="103" spans="1:15">
      <c r="B103" s="359"/>
      <c r="D103" s="360">
        <f>G57+1</f>
        <v>44986</v>
      </c>
      <c r="G103" s="360">
        <f>D103+30</f>
        <v>45016</v>
      </c>
      <c r="I103" s="360">
        <f>D103</f>
        <v>44986</v>
      </c>
      <c r="O103" s="360">
        <f>G103</f>
        <v>45016</v>
      </c>
    </row>
    <row r="104" spans="1:15">
      <c r="B104" s="359"/>
      <c r="D104" s="361" t="s">
        <v>1757</v>
      </c>
      <c r="G104" s="361" t="s">
        <v>1757</v>
      </c>
      <c r="I104" s="361" t="s">
        <v>1758</v>
      </c>
      <c r="J104" s="361" t="s">
        <v>488</v>
      </c>
      <c r="L104" s="361" t="s">
        <v>1758</v>
      </c>
      <c r="O104" s="361" t="s">
        <v>1758</v>
      </c>
    </row>
    <row r="105" spans="1:15">
      <c r="A105" s="361" t="s">
        <v>1770</v>
      </c>
      <c r="B105" s="361" t="s">
        <v>368</v>
      </c>
      <c r="C105" s="361"/>
      <c r="D105" s="361" t="s">
        <v>437</v>
      </c>
      <c r="G105" s="361" t="s">
        <v>439</v>
      </c>
      <c r="I105" s="361" t="s">
        <v>437</v>
      </c>
      <c r="J105" s="361" t="s">
        <v>1771</v>
      </c>
      <c r="K105" s="361" t="s">
        <v>1772</v>
      </c>
      <c r="L105" s="361" t="s">
        <v>1759</v>
      </c>
      <c r="N105" s="361" t="s">
        <v>1760</v>
      </c>
      <c r="O105" s="361" t="s">
        <v>439</v>
      </c>
    </row>
    <row r="106" spans="1:15">
      <c r="A106" s="364" t="s">
        <v>316</v>
      </c>
      <c r="B106" s="364" t="s">
        <v>316</v>
      </c>
      <c r="C106" s="364" t="s">
        <v>451</v>
      </c>
      <c r="D106" s="364" t="s">
        <v>441</v>
      </c>
      <c r="E106" s="364" t="s">
        <v>442</v>
      </c>
      <c r="F106" s="364" t="s">
        <v>443</v>
      </c>
      <c r="G106" s="364" t="s">
        <v>441</v>
      </c>
      <c r="I106" s="364" t="s">
        <v>441</v>
      </c>
      <c r="J106" s="364" t="s">
        <v>1773</v>
      </c>
      <c r="K106" s="364" t="s">
        <v>1771</v>
      </c>
      <c r="L106" s="364" t="s">
        <v>355</v>
      </c>
      <c r="M106" s="364" t="s">
        <v>443</v>
      </c>
      <c r="N106" s="364" t="s">
        <v>1763</v>
      </c>
      <c r="O106" s="364" t="s">
        <v>441</v>
      </c>
    </row>
    <row r="107" spans="1:15">
      <c r="B107" s="359"/>
      <c r="D107" s="361" t="s">
        <v>532</v>
      </c>
      <c r="E107" s="361" t="s">
        <v>541</v>
      </c>
      <c r="F107" s="361" t="s">
        <v>542</v>
      </c>
      <c r="G107" s="361" t="s">
        <v>1764</v>
      </c>
      <c r="I107" s="334" t="str">
        <f>"(5)"</f>
        <v>(5)</v>
      </c>
      <c r="J107" s="334" t="str">
        <f>"(6)"</f>
        <v>(6)</v>
      </c>
      <c r="K107" s="334" t="str">
        <f>"(7)"</f>
        <v>(7)</v>
      </c>
      <c r="L107" s="334" t="str">
        <f>"(8)"</f>
        <v>(8)</v>
      </c>
      <c r="M107" s="334" t="str">
        <f>"(9)"</f>
        <v>(9)</v>
      </c>
      <c r="N107" s="334" t="str">
        <f>"(10)"</f>
        <v>(10)</v>
      </c>
      <c r="O107" s="334" t="str">
        <f>"(11=5+7+8+9+10)"</f>
        <v>(11=5+7+8+9+10)</v>
      </c>
    </row>
    <row r="108" spans="1:15">
      <c r="B108" s="359"/>
      <c r="D108" s="361" t="s">
        <v>320</v>
      </c>
      <c r="E108" s="361" t="s">
        <v>320</v>
      </c>
      <c r="F108" s="361" t="s">
        <v>320</v>
      </c>
      <c r="G108" s="361" t="s">
        <v>320</v>
      </c>
      <c r="I108" s="334" t="s">
        <v>320</v>
      </c>
      <c r="J108" s="1250" t="s">
        <v>529</v>
      </c>
      <c r="K108" s="334" t="s">
        <v>320</v>
      </c>
      <c r="L108" s="334" t="s">
        <v>320</v>
      </c>
      <c r="M108" s="334" t="s">
        <v>320</v>
      </c>
      <c r="N108" s="334" t="s">
        <v>320</v>
      </c>
      <c r="O108" s="334" t="s">
        <v>320</v>
      </c>
    </row>
    <row r="109" spans="1:15">
      <c r="B109" s="359"/>
      <c r="D109" s="361"/>
      <c r="E109" s="361"/>
      <c r="F109" s="361"/>
      <c r="G109" s="361"/>
      <c r="I109" s="334"/>
      <c r="J109" s="334"/>
      <c r="K109" s="334"/>
      <c r="L109" s="334"/>
      <c r="M109" s="334"/>
      <c r="N109" s="334"/>
      <c r="O109" s="334"/>
    </row>
    <row r="110" spans="1:15">
      <c r="A110" s="361">
        <v>1</v>
      </c>
      <c r="B110" s="365">
        <v>376</v>
      </c>
      <c r="C110" s="358" t="s">
        <v>1775</v>
      </c>
      <c r="D110" s="369">
        <f>G64</f>
        <v>938947.44000000006</v>
      </c>
      <c r="E110" s="369">
        <v>3925560.5700000008</v>
      </c>
      <c r="F110" s="369">
        <v>0</v>
      </c>
      <c r="G110" s="369">
        <f>SUM(D110:F110)</f>
        <v>4864508.0100000007</v>
      </c>
      <c r="H110" s="369"/>
      <c r="I110" s="369">
        <f>O64</f>
        <v>-8997.9429999999993</v>
      </c>
      <c r="J110" s="369"/>
      <c r="K110" s="369">
        <v>4207.0309999999999</v>
      </c>
      <c r="L110" s="369">
        <v>0</v>
      </c>
      <c r="M110" s="369">
        <f>F110</f>
        <v>0</v>
      </c>
      <c r="N110" s="369">
        <v>0</v>
      </c>
      <c r="O110" s="369">
        <f>I110+K110+L110+M110+N110</f>
        <v>-4790.9119999999994</v>
      </c>
    </row>
    <row r="111" spans="1:15">
      <c r="A111" s="361">
        <f>A110+1</f>
        <v>2</v>
      </c>
      <c r="B111" s="365">
        <v>378.2</v>
      </c>
      <c r="C111" s="358" t="s">
        <v>1776</v>
      </c>
      <c r="D111" s="369">
        <f>G65</f>
        <v>-13669.330000000002</v>
      </c>
      <c r="E111" s="369">
        <v>0</v>
      </c>
      <c r="F111" s="369">
        <v>-17244.22</v>
      </c>
      <c r="G111" s="369">
        <f>SUM(D111:F111)</f>
        <v>-30913.550000000003</v>
      </c>
      <c r="H111" s="369"/>
      <c r="I111" s="369">
        <f>O65</f>
        <v>-14385.542000000001</v>
      </c>
      <c r="J111" s="369"/>
      <c r="K111" s="369">
        <v>-47.106000000000002</v>
      </c>
      <c r="L111" s="369">
        <v>0</v>
      </c>
      <c r="M111" s="369">
        <f>F111</f>
        <v>-17244.22</v>
      </c>
      <c r="N111" s="369">
        <v>-970.13</v>
      </c>
      <c r="O111" s="369">
        <f>I111+K111+L111+M111+N111</f>
        <v>-32646.998000000003</v>
      </c>
    </row>
    <row r="112" spans="1:15">
      <c r="A112" s="361">
        <f>A111+1</f>
        <v>3</v>
      </c>
      <c r="B112" s="365">
        <v>380</v>
      </c>
      <c r="C112" s="358" t="s">
        <v>1777</v>
      </c>
      <c r="D112" s="369">
        <f>G66</f>
        <v>1483166.9021292997</v>
      </c>
      <c r="E112" s="369">
        <v>1095911.02</v>
      </c>
      <c r="F112" s="369">
        <v>-192040.81348253199</v>
      </c>
      <c r="G112" s="369">
        <f>SUM(D112:F112)</f>
        <v>2387037.1086467677</v>
      </c>
      <c r="H112" s="369"/>
      <c r="I112" s="369">
        <f>O66</f>
        <v>-940612.58457470022</v>
      </c>
      <c r="J112" s="369"/>
      <c r="K112" s="369">
        <v>6417.9179999999997</v>
      </c>
      <c r="L112" s="369">
        <v>0</v>
      </c>
      <c r="M112" s="369">
        <f>F112</f>
        <v>-192040.81348253199</v>
      </c>
      <c r="N112" s="369">
        <v>-92751.653088000006</v>
      </c>
      <c r="O112" s="369">
        <f>I112+K112+L112+M112+N112</f>
        <v>-1218987.1331452322</v>
      </c>
    </row>
    <row r="113" spans="1:15">
      <c r="A113" s="361">
        <f>A112+1</f>
        <v>4</v>
      </c>
      <c r="B113" s="365">
        <v>382</v>
      </c>
      <c r="C113" s="358" t="s">
        <v>1778</v>
      </c>
      <c r="D113" s="369">
        <f>G67</f>
        <v>-418.57000000000039</v>
      </c>
      <c r="E113" s="369">
        <v>1219.19</v>
      </c>
      <c r="F113" s="369">
        <v>-2045.7900000000002</v>
      </c>
      <c r="G113" s="369">
        <f>SUM(D113:F113)</f>
        <v>-1245.1700000000005</v>
      </c>
      <c r="H113" s="369"/>
      <c r="I113" s="369">
        <f>O67</f>
        <v>-2062.1880000000001</v>
      </c>
      <c r="J113" s="369"/>
      <c r="K113" s="369">
        <v>-1.6099999999999999</v>
      </c>
      <c r="L113" s="369">
        <v>0</v>
      </c>
      <c r="M113" s="369">
        <f>F113</f>
        <v>-2045.7900000000002</v>
      </c>
      <c r="N113" s="369">
        <v>0</v>
      </c>
      <c r="O113" s="369">
        <f>I113+K113+L113+M113+N113</f>
        <v>-4109.5880000000006</v>
      </c>
    </row>
    <row r="114" spans="1:15">
      <c r="A114" s="361">
        <f>A113+1</f>
        <v>5</v>
      </c>
      <c r="B114" s="365">
        <v>383</v>
      </c>
      <c r="C114" s="358" t="s">
        <v>1779</v>
      </c>
      <c r="D114" s="923">
        <f>G68</f>
        <v>-419.36</v>
      </c>
      <c r="E114" s="923">
        <v>0</v>
      </c>
      <c r="F114" s="923">
        <v>-156.80000000000001</v>
      </c>
      <c r="G114" s="923">
        <f>SUM(D114:F114)</f>
        <v>-576.16000000000008</v>
      </c>
      <c r="H114" s="369"/>
      <c r="I114" s="923">
        <f>O68</f>
        <v>-419.69900000000007</v>
      </c>
      <c r="J114" s="369"/>
      <c r="K114" s="923">
        <v>-1.127</v>
      </c>
      <c r="L114" s="923">
        <v>0</v>
      </c>
      <c r="M114" s="923">
        <f>F114</f>
        <v>-156.80000000000001</v>
      </c>
      <c r="N114" s="923">
        <v>0</v>
      </c>
      <c r="O114" s="923">
        <f>I114+K114+L114+M114+N114</f>
        <v>-577.62600000000009</v>
      </c>
    </row>
    <row r="115" spans="1:15">
      <c r="A115" s="361">
        <f>A114+1</f>
        <v>6</v>
      </c>
      <c r="C115" s="358" t="s">
        <v>3077</v>
      </c>
      <c r="D115" s="369">
        <f>SUM(D110:D114)</f>
        <v>2407607.0821293001</v>
      </c>
      <c r="E115" s="369">
        <f>SUM(E110:E114)</f>
        <v>5022690.7800000012</v>
      </c>
      <c r="F115" s="369">
        <f>SUM(F110:F114)</f>
        <v>-211487.62348253198</v>
      </c>
      <c r="G115" s="369">
        <f>SUM(G110:G114)</f>
        <v>7218810.238646768</v>
      </c>
      <c r="H115" s="369"/>
      <c r="I115" s="369">
        <f>SUM(I110:I114)</f>
        <v>-966477.95657470019</v>
      </c>
      <c r="J115" s="369"/>
      <c r="K115" s="369">
        <f>SUM(K110:K114)</f>
        <v>10575.106</v>
      </c>
      <c r="L115" s="369">
        <f t="shared" ref="L115" si="2">SUM(L110:L114)</f>
        <v>0</v>
      </c>
      <c r="M115" s="369">
        <f>SUM(M110:M114)</f>
        <v>-211487.62348253198</v>
      </c>
      <c r="N115" s="369">
        <f>SUM(N110:N114)</f>
        <v>-93721.783088000011</v>
      </c>
      <c r="O115" s="369">
        <f>SUM(O110:O114)</f>
        <v>-1261112.2571452321</v>
      </c>
    </row>
    <row r="116" spans="1:15">
      <c r="A116" s="361"/>
      <c r="D116" s="369"/>
      <c r="E116" s="369"/>
      <c r="F116" s="369"/>
      <c r="G116" s="369"/>
      <c r="H116" s="369"/>
      <c r="I116" s="369"/>
      <c r="J116" s="369"/>
      <c r="K116" s="369"/>
      <c r="L116" s="369"/>
      <c r="M116" s="369"/>
      <c r="N116" s="369"/>
      <c r="O116" s="369"/>
    </row>
    <row r="117" spans="1:15">
      <c r="A117" s="361"/>
      <c r="D117" s="369"/>
      <c r="E117" s="369"/>
      <c r="F117" s="369"/>
      <c r="G117" s="369"/>
      <c r="H117" s="369"/>
      <c r="I117" s="369"/>
      <c r="J117" s="369"/>
      <c r="K117" s="369"/>
      <c r="L117" s="369"/>
      <c r="M117" s="369"/>
      <c r="N117" s="369"/>
      <c r="O117" s="369"/>
    </row>
    <row r="118" spans="1:15">
      <c r="A118" s="361">
        <f>A115+1</f>
        <v>7</v>
      </c>
      <c r="B118" s="365">
        <v>376</v>
      </c>
      <c r="C118" s="358" t="s">
        <v>1775</v>
      </c>
      <c r="D118" s="369">
        <f>D110</f>
        <v>938947.44000000006</v>
      </c>
      <c r="E118" s="369">
        <f>E110</f>
        <v>3925560.5700000008</v>
      </c>
      <c r="F118" s="369">
        <f>F110</f>
        <v>0</v>
      </c>
      <c r="G118" s="369">
        <f>SUM(D118:F118)</f>
        <v>4864508.0100000007</v>
      </c>
      <c r="H118" s="369"/>
      <c r="I118" s="369">
        <f>I110</f>
        <v>-8997.9429999999993</v>
      </c>
      <c r="J118" s="369"/>
      <c r="K118" s="369">
        <f>K110</f>
        <v>4207.0309999999999</v>
      </c>
      <c r="L118" s="369">
        <v>0</v>
      </c>
      <c r="M118" s="369">
        <f>M110</f>
        <v>0</v>
      </c>
      <c r="N118" s="369">
        <f>N110</f>
        <v>0</v>
      </c>
      <c r="O118" s="369">
        <f>I118+K118+L118+M118+N118</f>
        <v>-4790.9119999999994</v>
      </c>
    </row>
    <row r="119" spans="1:15">
      <c r="A119" s="361">
        <f>A118+1</f>
        <v>8</v>
      </c>
      <c r="B119" s="365">
        <v>376</v>
      </c>
      <c r="C119" s="358" t="s">
        <v>1621</v>
      </c>
      <c r="D119" s="923">
        <f>D120-D118</f>
        <v>401786420.59999996</v>
      </c>
      <c r="E119" s="923">
        <f>E120-E118</f>
        <v>302117.29999999842</v>
      </c>
      <c r="F119" s="923">
        <f>F120-F118</f>
        <v>-126444.81</v>
      </c>
      <c r="G119" s="923">
        <f>SUM(D119:F119)</f>
        <v>401962093.08999997</v>
      </c>
      <c r="H119" s="369"/>
      <c r="I119" s="923">
        <f>I120-I118</f>
        <v>75913177.423000008</v>
      </c>
      <c r="J119" s="369"/>
      <c r="K119" s="923">
        <f>K120-K118</f>
        <v>579344.96900000004</v>
      </c>
      <c r="L119" s="923">
        <v>0</v>
      </c>
      <c r="M119" s="923">
        <f>M120-M118</f>
        <v>-126444.81</v>
      </c>
      <c r="N119" s="923">
        <f>N120-N118</f>
        <v>-20820.75</v>
      </c>
      <c r="O119" s="923">
        <f>I119+K119+L119+M119+N119</f>
        <v>76345256.832000002</v>
      </c>
    </row>
    <row r="120" spans="1:15">
      <c r="A120" s="361">
        <f>A119+1</f>
        <v>9</v>
      </c>
      <c r="B120" s="365">
        <v>376</v>
      </c>
      <c r="C120" s="358" t="s">
        <v>3078</v>
      </c>
      <c r="D120" s="369">
        <f>G74</f>
        <v>402725368.03999996</v>
      </c>
      <c r="E120" s="369">
        <v>4227677.8699999992</v>
      </c>
      <c r="F120" s="369">
        <v>-126444.81</v>
      </c>
      <c r="G120" s="369">
        <f>SUM(G118:G119)</f>
        <v>406826601.09999996</v>
      </c>
      <c r="H120" s="369"/>
      <c r="I120" s="369">
        <f>O74</f>
        <v>75904179.480000004</v>
      </c>
      <c r="J120" s="369"/>
      <c r="K120" s="369">
        <v>583552</v>
      </c>
      <c r="L120" s="369">
        <f>SUM(L118:L119)</f>
        <v>0</v>
      </c>
      <c r="M120" s="369">
        <v>-126444.81</v>
      </c>
      <c r="N120" s="369">
        <v>-20820.75</v>
      </c>
      <c r="O120" s="369">
        <f>SUM(O118:O119)</f>
        <v>76340465.920000002</v>
      </c>
    </row>
    <row r="121" spans="1:15">
      <c r="A121" s="361"/>
      <c r="B121" s="365"/>
      <c r="D121" s="369"/>
      <c r="E121" s="369"/>
      <c r="F121" s="369"/>
      <c r="G121" s="369"/>
      <c r="H121" s="369"/>
      <c r="I121" s="369"/>
      <c r="J121" s="369"/>
      <c r="K121" s="369"/>
      <c r="L121" s="369"/>
      <c r="M121" s="369"/>
      <c r="N121" s="369"/>
      <c r="O121" s="369"/>
    </row>
    <row r="122" spans="1:15">
      <c r="A122" s="361">
        <f>A120+1</f>
        <v>10</v>
      </c>
      <c r="B122" s="365">
        <v>378.2</v>
      </c>
      <c r="C122" s="358" t="s">
        <v>1776</v>
      </c>
      <c r="D122" s="369">
        <f>D111</f>
        <v>-13669.330000000002</v>
      </c>
      <c r="E122" s="369">
        <f>E111</f>
        <v>0</v>
      </c>
      <c r="F122" s="369">
        <f>F111</f>
        <v>-17244.22</v>
      </c>
      <c r="G122" s="369">
        <f>SUM(D122:F122)</f>
        <v>-30913.550000000003</v>
      </c>
      <c r="H122" s="369"/>
      <c r="I122" s="369">
        <f>I111</f>
        <v>-14385.542000000001</v>
      </c>
      <c r="J122" s="369"/>
      <c r="K122" s="369">
        <f>K111</f>
        <v>-47.106000000000002</v>
      </c>
      <c r="L122" s="369">
        <v>0</v>
      </c>
      <c r="M122" s="369">
        <f>M111</f>
        <v>-17244.22</v>
      </c>
      <c r="N122" s="369">
        <f>N111</f>
        <v>-970.13</v>
      </c>
      <c r="O122" s="369">
        <f>I122+K122+L122+M122+N122</f>
        <v>-32646.998000000003</v>
      </c>
    </row>
    <row r="123" spans="1:15">
      <c r="A123" s="361">
        <f>A122+1</f>
        <v>11</v>
      </c>
      <c r="B123" s="365">
        <v>378.2</v>
      </c>
      <c r="C123" s="358" t="s">
        <v>1622</v>
      </c>
      <c r="D123" s="923">
        <f>D124-D122</f>
        <v>24944703.330000002</v>
      </c>
      <c r="E123" s="923">
        <f>E124-E122</f>
        <v>0</v>
      </c>
      <c r="F123" s="923">
        <f>F124-F122</f>
        <v>0</v>
      </c>
      <c r="G123" s="923">
        <f>SUM(D123:F123)</f>
        <v>24944703.330000002</v>
      </c>
      <c r="H123" s="369"/>
      <c r="I123" s="923">
        <f>I124-I122</f>
        <v>2921007.642</v>
      </c>
      <c r="J123" s="369"/>
      <c r="K123" s="923">
        <f>K124-K122</f>
        <v>52384.165999999997</v>
      </c>
      <c r="L123" s="923">
        <v>0</v>
      </c>
      <c r="M123" s="923">
        <f>M124-M122</f>
        <v>0</v>
      </c>
      <c r="N123" s="923">
        <f>N124-N122</f>
        <v>-698.72000000000014</v>
      </c>
      <c r="O123" s="923">
        <f>I123+K123+L123+M123+N123</f>
        <v>2972693.088</v>
      </c>
    </row>
    <row r="124" spans="1:15">
      <c r="A124" s="361">
        <f>A123+1</f>
        <v>12</v>
      </c>
      <c r="B124" s="365">
        <v>378.2</v>
      </c>
      <c r="C124" s="358" t="s">
        <v>3079</v>
      </c>
      <c r="D124" s="369">
        <f>G78</f>
        <v>24931034.000000004</v>
      </c>
      <c r="E124" s="369">
        <v>0</v>
      </c>
      <c r="F124" s="369">
        <v>-17244.22</v>
      </c>
      <c r="G124" s="369">
        <f>SUM(G122:G123)</f>
        <v>24913789.780000001</v>
      </c>
      <c r="H124" s="369"/>
      <c r="I124" s="369">
        <f>O78</f>
        <v>2906622.1</v>
      </c>
      <c r="J124" s="369"/>
      <c r="K124" s="369">
        <v>52337.06</v>
      </c>
      <c r="L124" s="369">
        <f>SUM(L122:L123)</f>
        <v>0</v>
      </c>
      <c r="M124" s="369">
        <v>-17244.22</v>
      </c>
      <c r="N124" s="369">
        <v>-1668.8500000000001</v>
      </c>
      <c r="O124" s="369">
        <f>SUM(O122:O123)</f>
        <v>2940046.09</v>
      </c>
    </row>
    <row r="125" spans="1:15">
      <c r="A125" s="361"/>
      <c r="B125" s="365"/>
      <c r="D125" s="369"/>
      <c r="E125" s="369"/>
      <c r="F125" s="369"/>
      <c r="G125" s="369"/>
      <c r="H125" s="369"/>
      <c r="I125" s="369"/>
      <c r="J125" s="369"/>
      <c r="K125" s="369"/>
      <c r="L125" s="369"/>
      <c r="M125" s="369"/>
      <c r="N125" s="369"/>
      <c r="O125" s="369"/>
    </row>
    <row r="126" spans="1:15">
      <c r="A126" s="361">
        <f>A124+1</f>
        <v>13</v>
      </c>
      <c r="B126" s="365">
        <v>380</v>
      </c>
      <c r="C126" s="358" t="s">
        <v>1777</v>
      </c>
      <c r="D126" s="369">
        <f>D112</f>
        <v>1483166.9021292997</v>
      </c>
      <c r="E126" s="369">
        <f>E112</f>
        <v>1095911.02</v>
      </c>
      <c r="F126" s="369">
        <f>F112</f>
        <v>-192040.81348253199</v>
      </c>
      <c r="G126" s="369">
        <f>SUM(D126:F126)</f>
        <v>2387037.1086467677</v>
      </c>
      <c r="H126" s="369"/>
      <c r="I126" s="369">
        <f>I112</f>
        <v>-940612.58457470022</v>
      </c>
      <c r="J126" s="369"/>
      <c r="K126" s="369">
        <f>K112</f>
        <v>6417.9179999999997</v>
      </c>
      <c r="L126" s="369">
        <v>0</v>
      </c>
      <c r="M126" s="369">
        <f>M112</f>
        <v>-192040.81348253199</v>
      </c>
      <c r="N126" s="369">
        <f>N112</f>
        <v>-92751.653088000006</v>
      </c>
      <c r="O126" s="369">
        <f>I126+K126+L126+M126+N126</f>
        <v>-1218987.1331452322</v>
      </c>
    </row>
    <row r="127" spans="1:15">
      <c r="A127" s="361">
        <f>A126+1</f>
        <v>14</v>
      </c>
      <c r="B127" s="365">
        <v>380</v>
      </c>
      <c r="C127" s="358" t="s">
        <v>1623</v>
      </c>
      <c r="D127" s="923">
        <f>D128-D126</f>
        <v>193868635.17787069</v>
      </c>
      <c r="E127" s="923">
        <f>E128-E126</f>
        <v>737895.02</v>
      </c>
      <c r="F127" s="923">
        <f>F128-F126</f>
        <v>-38195.966517468012</v>
      </c>
      <c r="G127" s="923">
        <f>SUM(D127:F127)</f>
        <v>194568334.23135322</v>
      </c>
      <c r="H127" s="369"/>
      <c r="I127" s="923">
        <f>I128-I126</f>
        <v>53226051.684574701</v>
      </c>
      <c r="J127" s="369"/>
      <c r="K127" s="923">
        <f>K128-K126</f>
        <v>629092.3820000001</v>
      </c>
      <c r="L127" s="923">
        <v>0</v>
      </c>
      <c r="M127" s="923">
        <f>M128-M126</f>
        <v>-38195.966517468012</v>
      </c>
      <c r="N127" s="923">
        <f>N128-N126</f>
        <v>-18448.026912000001</v>
      </c>
      <c r="O127" s="923">
        <f>I127+K127+L127+M127+N127</f>
        <v>53798500.073145233</v>
      </c>
    </row>
    <row r="128" spans="1:15">
      <c r="A128" s="361">
        <f>A127+1</f>
        <v>15</v>
      </c>
      <c r="B128" s="365">
        <v>380</v>
      </c>
      <c r="C128" s="358" t="s">
        <v>3080</v>
      </c>
      <c r="D128" s="369">
        <f>G82</f>
        <v>195351802.07999998</v>
      </c>
      <c r="E128" s="369">
        <v>1833806.04</v>
      </c>
      <c r="F128" s="369">
        <v>-230236.78</v>
      </c>
      <c r="G128" s="369">
        <f>SUM(G126:G127)</f>
        <v>196955371.34</v>
      </c>
      <c r="H128" s="369"/>
      <c r="I128" s="369">
        <f>O82</f>
        <v>52285439.100000001</v>
      </c>
      <c r="J128" s="369"/>
      <c r="K128" s="369">
        <v>635510.30000000005</v>
      </c>
      <c r="L128" s="369">
        <f>SUM(L126:L127)</f>
        <v>0</v>
      </c>
      <c r="M128" s="369">
        <v>-230236.78</v>
      </c>
      <c r="N128" s="369">
        <v>-111199.68000000001</v>
      </c>
      <c r="O128" s="369">
        <f>SUM(O126:O127)</f>
        <v>52579512.939999998</v>
      </c>
    </row>
    <row r="129" spans="1:15">
      <c r="A129" s="361"/>
      <c r="B129" s="365"/>
      <c r="D129" s="369"/>
      <c r="E129" s="369"/>
      <c r="F129" s="369"/>
      <c r="G129" s="369"/>
      <c r="H129" s="369"/>
      <c r="I129" s="369"/>
      <c r="J129" s="369"/>
      <c r="K129" s="369"/>
      <c r="L129" s="369"/>
      <c r="M129" s="369"/>
      <c r="N129" s="369"/>
      <c r="O129" s="369"/>
    </row>
    <row r="130" spans="1:15">
      <c r="A130" s="361">
        <f>A128+1</f>
        <v>16</v>
      </c>
      <c r="B130" s="365">
        <v>382</v>
      </c>
      <c r="C130" s="358" t="s">
        <v>1778</v>
      </c>
      <c r="D130" s="369">
        <f>D113</f>
        <v>-418.57000000000039</v>
      </c>
      <c r="E130" s="369">
        <f>E113</f>
        <v>1219.19</v>
      </c>
      <c r="F130" s="369">
        <f>F113</f>
        <v>-2045.7900000000002</v>
      </c>
      <c r="G130" s="369">
        <f>SUM(D130:F130)</f>
        <v>-1245.1700000000005</v>
      </c>
      <c r="H130" s="369"/>
      <c r="I130" s="369">
        <f>I113</f>
        <v>-2062.1880000000001</v>
      </c>
      <c r="J130" s="369"/>
      <c r="K130" s="369">
        <f>K113</f>
        <v>-1.6099999999999999</v>
      </c>
      <c r="L130" s="369">
        <v>0</v>
      </c>
      <c r="M130" s="369">
        <f>M113</f>
        <v>-2045.7900000000002</v>
      </c>
      <c r="N130" s="369">
        <f>N113</f>
        <v>0</v>
      </c>
      <c r="O130" s="369">
        <f>I130+K130+L130+M130+N130</f>
        <v>-4109.5880000000006</v>
      </c>
    </row>
    <row r="131" spans="1:15">
      <c r="A131" s="361">
        <f>A130+1</f>
        <v>17</v>
      </c>
      <c r="B131" s="365">
        <v>382</v>
      </c>
      <c r="C131" s="358" t="s">
        <v>1624</v>
      </c>
      <c r="D131" s="923">
        <f>D132-D130</f>
        <v>10125082.140000001</v>
      </c>
      <c r="E131" s="923">
        <f>E132-E130</f>
        <v>17151.140000000003</v>
      </c>
      <c r="F131" s="923">
        <f>F132-F130</f>
        <v>0</v>
      </c>
      <c r="G131" s="923">
        <f>SUM(D131:F131)</f>
        <v>10142233.280000001</v>
      </c>
      <c r="H131" s="369"/>
      <c r="I131" s="923">
        <f>I132-I130</f>
        <v>5691206.2079999996</v>
      </c>
      <c r="J131" s="369"/>
      <c r="K131" s="923">
        <f>K132-K130</f>
        <v>14947.53</v>
      </c>
      <c r="L131" s="923">
        <v>0</v>
      </c>
      <c r="M131" s="923">
        <f>M132-M130</f>
        <v>0</v>
      </c>
      <c r="N131" s="923">
        <f>N132-N130</f>
        <v>0</v>
      </c>
      <c r="O131" s="923">
        <f>I131+K131+L131+M131+N131</f>
        <v>5706153.7379999999</v>
      </c>
    </row>
    <row r="132" spans="1:15">
      <c r="A132" s="361">
        <f>A131+1</f>
        <v>18</v>
      </c>
      <c r="B132" s="365">
        <v>382</v>
      </c>
      <c r="C132" s="358" t="s">
        <v>3081</v>
      </c>
      <c r="D132" s="369">
        <f>G86</f>
        <v>10124663.57</v>
      </c>
      <c r="E132" s="369">
        <v>18370.330000000002</v>
      </c>
      <c r="F132" s="369">
        <v>-2045.79</v>
      </c>
      <c r="G132" s="369">
        <f>SUM(G130:G131)</f>
        <v>10140988.110000001</v>
      </c>
      <c r="H132" s="369"/>
      <c r="I132" s="369">
        <f>O86</f>
        <v>5689144.0199999996</v>
      </c>
      <c r="J132" s="369"/>
      <c r="K132" s="369">
        <v>14945.92</v>
      </c>
      <c r="L132" s="369">
        <f>SUM(L130:L131)</f>
        <v>0</v>
      </c>
      <c r="M132" s="369">
        <v>-2045.79</v>
      </c>
      <c r="N132" s="369">
        <v>0</v>
      </c>
      <c r="O132" s="369">
        <f>SUM(O130:O131)</f>
        <v>5702044.1499999994</v>
      </c>
    </row>
    <row r="133" spans="1:15">
      <c r="A133" s="361"/>
      <c r="B133" s="365"/>
      <c r="D133" s="369"/>
      <c r="E133" s="369"/>
      <c r="F133" s="369"/>
      <c r="G133" s="369"/>
      <c r="H133" s="369"/>
      <c r="I133" s="369"/>
      <c r="J133" s="369"/>
      <c r="K133" s="369"/>
      <c r="L133" s="369"/>
      <c r="M133" s="369"/>
      <c r="N133" s="369"/>
      <c r="O133" s="369"/>
    </row>
    <row r="134" spans="1:15">
      <c r="A134" s="361">
        <f>A132+1</f>
        <v>19</v>
      </c>
      <c r="B134" s="365">
        <v>383</v>
      </c>
      <c r="C134" s="358" t="s">
        <v>1779</v>
      </c>
      <c r="D134" s="369">
        <f>D114</f>
        <v>-419.36</v>
      </c>
      <c r="E134" s="369">
        <f>E114</f>
        <v>0</v>
      </c>
      <c r="F134" s="369">
        <f>F114</f>
        <v>-156.80000000000001</v>
      </c>
      <c r="G134" s="369">
        <f>SUM(D134:F134)</f>
        <v>-576.16000000000008</v>
      </c>
      <c r="H134" s="369"/>
      <c r="I134" s="369">
        <f>I114</f>
        <v>-419.69900000000007</v>
      </c>
      <c r="J134" s="369"/>
      <c r="K134" s="369">
        <f>K114</f>
        <v>-1.127</v>
      </c>
      <c r="L134" s="369">
        <v>0</v>
      </c>
      <c r="M134" s="369">
        <f>M114</f>
        <v>-156.80000000000001</v>
      </c>
      <c r="N134" s="369">
        <f>N114</f>
        <v>0</v>
      </c>
      <c r="O134" s="369">
        <f>I134+K134+L134+M134+N134</f>
        <v>-577.62600000000009</v>
      </c>
    </row>
    <row r="135" spans="1:15">
      <c r="A135" s="361">
        <f>A134+1</f>
        <v>20</v>
      </c>
      <c r="B135" s="365">
        <v>383</v>
      </c>
      <c r="C135" s="358" t="s">
        <v>1625</v>
      </c>
      <c r="D135" s="923">
        <f>D136-D134</f>
        <v>7161892.4399999995</v>
      </c>
      <c r="E135" s="923">
        <f>E136-E134</f>
        <v>17539.78</v>
      </c>
      <c r="F135" s="923">
        <f>F136-F134</f>
        <v>0</v>
      </c>
      <c r="G135" s="923">
        <f>SUM(D135:F135)</f>
        <v>7179432.2199999997</v>
      </c>
      <c r="H135" s="369"/>
      <c r="I135" s="923">
        <f>I136-I134</f>
        <v>2369593.199</v>
      </c>
      <c r="J135" s="369"/>
      <c r="K135" s="923">
        <f>K136-K134</f>
        <v>11592.887000000001</v>
      </c>
      <c r="L135" s="923">
        <v>0</v>
      </c>
      <c r="M135" s="923">
        <f>M136-M134</f>
        <v>0</v>
      </c>
      <c r="N135" s="923">
        <f>N136-N134</f>
        <v>0</v>
      </c>
      <c r="O135" s="923">
        <f>I135+K135+L135+M135+N135</f>
        <v>2381186.0860000001</v>
      </c>
    </row>
    <row r="136" spans="1:15">
      <c r="A136" s="361">
        <f>A135+1</f>
        <v>21</v>
      </c>
      <c r="B136" s="365">
        <v>383</v>
      </c>
      <c r="C136" s="358" t="s">
        <v>3082</v>
      </c>
      <c r="D136" s="369">
        <f>G90</f>
        <v>7161473.0799999991</v>
      </c>
      <c r="E136" s="369">
        <v>17539.78</v>
      </c>
      <c r="F136" s="369">
        <v>-156.80000000000001</v>
      </c>
      <c r="G136" s="369">
        <f>SUM(G134:G135)</f>
        <v>7178856.0599999996</v>
      </c>
      <c r="H136" s="369"/>
      <c r="I136" s="369">
        <f>O90</f>
        <v>2369173.5</v>
      </c>
      <c r="J136" s="369"/>
      <c r="K136" s="369">
        <v>11591.76</v>
      </c>
      <c r="L136" s="369">
        <f>SUM(L134:L135)</f>
        <v>0</v>
      </c>
      <c r="M136" s="369">
        <v>-156.80000000000001</v>
      </c>
      <c r="N136" s="369">
        <v>0</v>
      </c>
      <c r="O136" s="369">
        <f>SUM(O134:O135)</f>
        <v>2380608.46</v>
      </c>
    </row>
    <row r="137" spans="1:15">
      <c r="B137" s="365"/>
      <c r="D137" s="369"/>
      <c r="E137" s="369"/>
      <c r="F137" s="369"/>
      <c r="G137" s="369"/>
      <c r="I137" s="369"/>
      <c r="K137" s="369"/>
      <c r="L137" s="369"/>
      <c r="M137" s="369"/>
      <c r="N137" s="369"/>
      <c r="O137" s="369"/>
    </row>
    <row r="138" spans="1:15">
      <c r="B138" s="365"/>
      <c r="D138" s="369"/>
      <c r="E138" s="369"/>
      <c r="F138" s="369"/>
      <c r="G138" s="369"/>
      <c r="I138" s="369"/>
      <c r="K138" s="369"/>
      <c r="L138" s="369"/>
      <c r="M138" s="369"/>
      <c r="N138" s="369"/>
      <c r="O138" s="369"/>
    </row>
    <row r="139" spans="1:15" s="291" customFormat="1">
      <c r="A139" s="1308" t="str">
        <f>$A$1</f>
        <v>COLUMBIA GAS OF KENTUCKY, INC.</v>
      </c>
      <c r="B139" s="1308"/>
      <c r="C139" s="1308"/>
      <c r="D139" s="1308"/>
      <c r="E139" s="1308"/>
      <c r="F139" s="1308"/>
      <c r="G139" s="1308"/>
      <c r="H139" s="1308"/>
      <c r="I139" s="1308"/>
      <c r="J139" s="1308"/>
      <c r="K139" s="1308"/>
      <c r="L139" s="1308"/>
      <c r="M139" s="1308"/>
      <c r="N139" s="1308"/>
      <c r="O139" s="1308"/>
    </row>
    <row r="140" spans="1:15" s="291" customFormat="1">
      <c r="A140" s="1308" t="str">
        <f>$A$2</f>
        <v>CASE NO. 2024 - 00092</v>
      </c>
      <c r="B140" s="1308"/>
      <c r="C140" s="1308"/>
      <c r="D140" s="1308"/>
      <c r="E140" s="1308"/>
      <c r="F140" s="1308"/>
      <c r="G140" s="1308"/>
      <c r="H140" s="1308"/>
      <c r="I140" s="1308"/>
      <c r="J140" s="1308"/>
      <c r="K140" s="1308"/>
      <c r="L140" s="1308"/>
      <c r="M140" s="1308"/>
      <c r="N140" s="1308"/>
      <c r="O140" s="1308"/>
    </row>
    <row r="141" spans="1:15" s="291" customFormat="1">
      <c r="A141" s="1308" t="str">
        <f>$A$3</f>
        <v>DETAIL OF ACTUAL &amp;  FORECASTED SMRP PLANT, ACCUMULATED RESERVE &amp; DEPRECIATION EXPENSE</v>
      </c>
      <c r="B141" s="1308"/>
      <c r="C141" s="1308"/>
      <c r="D141" s="1308"/>
      <c r="E141" s="1308"/>
      <c r="F141" s="1308"/>
      <c r="G141" s="1308"/>
      <c r="H141" s="1308"/>
      <c r="I141" s="1308"/>
      <c r="J141" s="1308"/>
      <c r="K141" s="1308"/>
      <c r="L141" s="1308"/>
      <c r="M141" s="1308"/>
      <c r="N141" s="1308"/>
      <c r="O141" s="1308"/>
    </row>
    <row r="142" spans="1:15" s="291" customFormat="1">
      <c r="A142" s="1308" t="str">
        <f>$A$4</f>
        <v>FROM JANUARY 01, 2023 THROUGH DECEMBER 31, 2025</v>
      </c>
      <c r="B142" s="1308"/>
      <c r="C142" s="1308"/>
      <c r="D142" s="1308"/>
      <c r="E142" s="1308"/>
      <c r="F142" s="1308"/>
      <c r="G142" s="1308"/>
      <c r="H142" s="1308"/>
      <c r="I142" s="1308"/>
      <c r="J142" s="1308"/>
      <c r="K142" s="1308"/>
      <c r="L142" s="1308"/>
      <c r="M142" s="1308"/>
      <c r="N142" s="1308"/>
      <c r="O142" s="1308"/>
    </row>
    <row r="143" spans="1:15" s="291" customFormat="1">
      <c r="B143" s="293"/>
    </row>
    <row r="144" spans="1:15" s="291" customFormat="1">
      <c r="A144" s="297" t="str">
        <f>'General Headers Index'!$B$34</f>
        <v xml:space="preserve">DATA: _X_ BASE PERIOD _X_ FORECASTED PERIOD     </v>
      </c>
      <c r="B144" s="293"/>
      <c r="O144" s="312" t="s">
        <v>2461</v>
      </c>
    </row>
    <row r="145" spans="1:15" s="291" customFormat="1">
      <c r="A145" s="297" t="str">
        <f>'General Headers Index'!$B$37</f>
        <v>TYPE OF FILING:___X___ORIGINAL______UPDATED</v>
      </c>
      <c r="B145" s="293"/>
      <c r="O145" s="312" t="s">
        <v>2226</v>
      </c>
    </row>
    <row r="146" spans="1:15" s="291" customFormat="1">
      <c r="A146" s="297" t="s">
        <v>2150</v>
      </c>
      <c r="B146" s="293"/>
      <c r="O146" s="312" t="str">
        <f>"WITNESS: "&amp;'General Headers Index'!$B$42</f>
        <v>WITNESS: GORE</v>
      </c>
    </row>
    <row r="147" spans="1:15">
      <c r="A147" s="918"/>
      <c r="B147" s="918"/>
      <c r="C147" s="918"/>
      <c r="D147" s="918"/>
      <c r="E147" s="918"/>
      <c r="F147" s="918"/>
      <c r="G147" s="918"/>
      <c r="H147" s="918"/>
      <c r="I147" s="918"/>
      <c r="J147" s="918"/>
      <c r="K147" s="918"/>
      <c r="L147" s="918"/>
      <c r="M147" s="918"/>
      <c r="N147" s="918"/>
      <c r="O147" s="918"/>
    </row>
    <row r="148" spans="1:15">
      <c r="B148" s="359"/>
      <c r="D148" s="1312" t="s">
        <v>1768</v>
      </c>
      <c r="E148" s="1312"/>
      <c r="F148" s="1312"/>
      <c r="G148" s="1312"/>
      <c r="I148" s="1312" t="s">
        <v>1769</v>
      </c>
      <c r="J148" s="1312"/>
      <c r="K148" s="1312"/>
      <c r="L148" s="1312"/>
      <c r="M148" s="1312"/>
      <c r="N148" s="1312"/>
      <c r="O148" s="1312"/>
    </row>
    <row r="149" spans="1:15">
      <c r="B149" s="359"/>
      <c r="D149" s="360">
        <f>G103+1</f>
        <v>45017</v>
      </c>
      <c r="G149" s="360">
        <f>D149+29</f>
        <v>45046</v>
      </c>
      <c r="I149" s="360">
        <f>D149</f>
        <v>45017</v>
      </c>
      <c r="O149" s="360">
        <f>G149</f>
        <v>45046</v>
      </c>
    </row>
    <row r="150" spans="1:15">
      <c r="B150" s="359"/>
      <c r="D150" s="361" t="s">
        <v>1757</v>
      </c>
      <c r="G150" s="361" t="s">
        <v>1757</v>
      </c>
      <c r="I150" s="361" t="s">
        <v>1758</v>
      </c>
      <c r="J150" s="361" t="s">
        <v>488</v>
      </c>
      <c r="L150" s="361" t="s">
        <v>1758</v>
      </c>
      <c r="O150" s="361" t="s">
        <v>1758</v>
      </c>
    </row>
    <row r="151" spans="1:15">
      <c r="A151" s="361" t="s">
        <v>1770</v>
      </c>
      <c r="B151" s="361" t="s">
        <v>368</v>
      </c>
      <c r="C151" s="361"/>
      <c r="D151" s="361" t="s">
        <v>437</v>
      </c>
      <c r="G151" s="361" t="s">
        <v>439</v>
      </c>
      <c r="I151" s="361" t="s">
        <v>437</v>
      </c>
      <c r="J151" s="361" t="s">
        <v>1771</v>
      </c>
      <c r="K151" s="361" t="s">
        <v>1772</v>
      </c>
      <c r="L151" s="361" t="s">
        <v>1759</v>
      </c>
      <c r="N151" s="361" t="s">
        <v>1760</v>
      </c>
      <c r="O151" s="361" t="s">
        <v>439</v>
      </c>
    </row>
    <row r="152" spans="1:15">
      <c r="A152" s="364" t="s">
        <v>316</v>
      </c>
      <c r="B152" s="364" t="s">
        <v>316</v>
      </c>
      <c r="C152" s="364" t="s">
        <v>451</v>
      </c>
      <c r="D152" s="364" t="s">
        <v>441</v>
      </c>
      <c r="E152" s="364" t="s">
        <v>442</v>
      </c>
      <c r="F152" s="364" t="s">
        <v>443</v>
      </c>
      <c r="G152" s="364" t="s">
        <v>441</v>
      </c>
      <c r="I152" s="364" t="s">
        <v>441</v>
      </c>
      <c r="J152" s="364" t="s">
        <v>1773</v>
      </c>
      <c r="K152" s="364" t="s">
        <v>1771</v>
      </c>
      <c r="L152" s="364" t="s">
        <v>355</v>
      </c>
      <c r="M152" s="364" t="s">
        <v>443</v>
      </c>
      <c r="N152" s="364" t="s">
        <v>1763</v>
      </c>
      <c r="O152" s="364" t="s">
        <v>441</v>
      </c>
    </row>
    <row r="153" spans="1:15">
      <c r="B153" s="359"/>
      <c r="D153" s="361" t="s">
        <v>532</v>
      </c>
      <c r="E153" s="361" t="s">
        <v>541</v>
      </c>
      <c r="F153" s="361" t="s">
        <v>542</v>
      </c>
      <c r="G153" s="361" t="s">
        <v>1764</v>
      </c>
      <c r="I153" s="334" t="str">
        <f>"(5)"</f>
        <v>(5)</v>
      </c>
      <c r="J153" s="334" t="str">
        <f>"(6)"</f>
        <v>(6)</v>
      </c>
      <c r="K153" s="334" t="str">
        <f>"(7)"</f>
        <v>(7)</v>
      </c>
      <c r="L153" s="334" t="str">
        <f>"(8)"</f>
        <v>(8)</v>
      </c>
      <c r="M153" s="334" t="str">
        <f>"(9)"</f>
        <v>(9)</v>
      </c>
      <c r="N153" s="334" t="str">
        <f>"(10)"</f>
        <v>(10)</v>
      </c>
      <c r="O153" s="334" t="str">
        <f>"(11=5+7+8+9+10)"</f>
        <v>(11=5+7+8+9+10)</v>
      </c>
    </row>
    <row r="154" spans="1:15">
      <c r="B154" s="359"/>
      <c r="D154" s="361" t="s">
        <v>320</v>
      </c>
      <c r="E154" s="361" t="s">
        <v>320</v>
      </c>
      <c r="F154" s="361" t="s">
        <v>320</v>
      </c>
      <c r="G154" s="361" t="s">
        <v>320</v>
      </c>
      <c r="I154" s="334" t="s">
        <v>320</v>
      </c>
      <c r="J154" s="1250" t="s">
        <v>529</v>
      </c>
      <c r="K154" s="334" t="s">
        <v>320</v>
      </c>
      <c r="L154" s="334" t="s">
        <v>320</v>
      </c>
      <c r="M154" s="334" t="s">
        <v>320</v>
      </c>
      <c r="N154" s="334" t="s">
        <v>320</v>
      </c>
      <c r="O154" s="334" t="s">
        <v>320</v>
      </c>
    </row>
    <row r="155" spans="1:15">
      <c r="B155" s="359"/>
      <c r="D155" s="361"/>
      <c r="E155" s="361"/>
      <c r="F155" s="361"/>
      <c r="G155" s="361"/>
      <c r="I155" s="334"/>
      <c r="J155" s="334"/>
      <c r="K155" s="334"/>
      <c r="L155" s="334"/>
      <c r="M155" s="334"/>
      <c r="N155" s="334"/>
      <c r="O155" s="334"/>
    </row>
    <row r="156" spans="1:15">
      <c r="A156" s="361">
        <v>1</v>
      </c>
      <c r="B156" s="365">
        <v>376</v>
      </c>
      <c r="C156" s="358" t="s">
        <v>1775</v>
      </c>
      <c r="D156" s="369">
        <f>G110</f>
        <v>4864508.0100000007</v>
      </c>
      <c r="E156" s="369">
        <v>805780.17999999993</v>
      </c>
      <c r="F156" s="369">
        <v>0</v>
      </c>
      <c r="G156" s="369">
        <f>SUM(D156:F156)</f>
        <v>5670288.1900000004</v>
      </c>
      <c r="H156" s="369"/>
      <c r="I156" s="369">
        <f>O110</f>
        <v>-4790.9119999999994</v>
      </c>
      <c r="J156" s="369"/>
      <c r="K156" s="369">
        <v>7638.1909999999998</v>
      </c>
      <c r="L156" s="369">
        <v>0</v>
      </c>
      <c r="M156" s="369">
        <f>F156</f>
        <v>0</v>
      </c>
      <c r="N156" s="369">
        <v>-2568.83</v>
      </c>
      <c r="O156" s="369">
        <f>I156+K156+L156+M156+N156</f>
        <v>278.44900000000052</v>
      </c>
    </row>
    <row r="157" spans="1:15">
      <c r="A157" s="361">
        <f>A156+1</f>
        <v>2</v>
      </c>
      <c r="B157" s="365">
        <v>378.2</v>
      </c>
      <c r="C157" s="358" t="s">
        <v>1776</v>
      </c>
      <c r="D157" s="369">
        <f>G111</f>
        <v>-30913.550000000003</v>
      </c>
      <c r="E157" s="369">
        <v>0</v>
      </c>
      <c r="F157" s="369">
        <v>-1679.98</v>
      </c>
      <c r="G157" s="369">
        <f>SUM(D157:F157)</f>
        <v>-32593.530000000002</v>
      </c>
      <c r="H157" s="369"/>
      <c r="I157" s="369">
        <f>O111</f>
        <v>-32646.998000000003</v>
      </c>
      <c r="J157" s="369"/>
      <c r="K157" s="369">
        <v>-66.763999999999996</v>
      </c>
      <c r="L157" s="369">
        <v>0</v>
      </c>
      <c r="M157" s="369">
        <f>F157</f>
        <v>-1679.98</v>
      </c>
      <c r="N157" s="369">
        <v>-5246.21</v>
      </c>
      <c r="O157" s="369">
        <f>I157+K157+L157+M157+N157</f>
        <v>-39639.952000000005</v>
      </c>
    </row>
    <row r="158" spans="1:15">
      <c r="A158" s="361">
        <f>A157+1</f>
        <v>3</v>
      </c>
      <c r="B158" s="365">
        <v>380</v>
      </c>
      <c r="C158" s="358" t="s">
        <v>1777</v>
      </c>
      <c r="D158" s="369">
        <f>G112</f>
        <v>2387037.1086467677</v>
      </c>
      <c r="E158" s="369">
        <v>1074077.54</v>
      </c>
      <c r="F158" s="369">
        <v>-189065.28196242961</v>
      </c>
      <c r="G158" s="369">
        <f>SUM(D158:F158)</f>
        <v>3272049.3666843381</v>
      </c>
      <c r="H158" s="369"/>
      <c r="I158" s="369">
        <f>O112</f>
        <v>-1218987.1331452322</v>
      </c>
      <c r="J158" s="369"/>
      <c r="K158" s="369">
        <v>9384.6450000000004</v>
      </c>
      <c r="L158" s="369">
        <v>0</v>
      </c>
      <c r="M158" s="369">
        <f>F158</f>
        <v>-189065.28196242961</v>
      </c>
      <c r="N158" s="369">
        <v>-125279.384428</v>
      </c>
      <c r="O158" s="369">
        <f>I158+K158+L158+M158+N158</f>
        <v>-1523947.1545356619</v>
      </c>
    </row>
    <row r="159" spans="1:15">
      <c r="A159" s="361">
        <f>A158+1</f>
        <v>4</v>
      </c>
      <c r="B159" s="365">
        <v>382</v>
      </c>
      <c r="C159" s="358" t="s">
        <v>1778</v>
      </c>
      <c r="D159" s="369">
        <f>G113</f>
        <v>-1245.1700000000005</v>
      </c>
      <c r="E159" s="369">
        <v>374.88</v>
      </c>
      <c r="F159" s="369">
        <v>-5647.4500000000007</v>
      </c>
      <c r="G159" s="369">
        <f>SUM(D159:F159)</f>
        <v>-6517.7400000000016</v>
      </c>
      <c r="H159" s="369"/>
      <c r="I159" s="369">
        <f>O113</f>
        <v>-4109.5880000000006</v>
      </c>
      <c r="J159" s="369"/>
      <c r="K159" s="369">
        <v>-5.8889999999999993</v>
      </c>
      <c r="L159" s="369">
        <v>0</v>
      </c>
      <c r="M159" s="369">
        <f>F159</f>
        <v>-5647.4500000000007</v>
      </c>
      <c r="N159" s="369">
        <v>0</v>
      </c>
      <c r="O159" s="369">
        <f>I159+K159+L159+M159+N159</f>
        <v>-9762.9270000000015</v>
      </c>
    </row>
    <row r="160" spans="1:15">
      <c r="A160" s="361">
        <f>A159+1</f>
        <v>5</v>
      </c>
      <c r="B160" s="365">
        <v>383</v>
      </c>
      <c r="C160" s="358" t="s">
        <v>1779</v>
      </c>
      <c r="D160" s="923">
        <f>G114</f>
        <v>-576.16000000000008</v>
      </c>
      <c r="E160" s="923">
        <v>0</v>
      </c>
      <c r="F160" s="923">
        <v>-171.39000000000001</v>
      </c>
      <c r="G160" s="923">
        <f>SUM(D160:F160)</f>
        <v>-747.55000000000007</v>
      </c>
      <c r="H160" s="369"/>
      <c r="I160" s="923">
        <f>O114</f>
        <v>-577.62600000000009</v>
      </c>
      <c r="J160" s="369"/>
      <c r="K160" s="923">
        <v>-1.139</v>
      </c>
      <c r="L160" s="923">
        <v>0</v>
      </c>
      <c r="M160" s="923">
        <f>F160</f>
        <v>-171.39000000000001</v>
      </c>
      <c r="N160" s="923">
        <v>0</v>
      </c>
      <c r="O160" s="923">
        <f>I160+K160+L160+M160+N160</f>
        <v>-750.15500000000009</v>
      </c>
    </row>
    <row r="161" spans="1:15">
      <c r="A161" s="361">
        <f>A160+1</f>
        <v>6</v>
      </c>
      <c r="C161" s="358" t="s">
        <v>3077</v>
      </c>
      <c r="D161" s="369">
        <f>SUM(D156:D160)</f>
        <v>7218810.238646768</v>
      </c>
      <c r="E161" s="369">
        <f>SUM(E156:E160)</f>
        <v>1880232.5999999999</v>
      </c>
      <c r="F161" s="369">
        <f>SUM(F156:F160)</f>
        <v>-196564.10196242965</v>
      </c>
      <c r="G161" s="369">
        <f>SUM(G156:G160)</f>
        <v>8902478.7366843373</v>
      </c>
      <c r="H161" s="369"/>
      <c r="I161" s="369">
        <f>SUM(I156:I160)</f>
        <v>-1261112.2571452321</v>
      </c>
      <c r="J161" s="369"/>
      <c r="K161" s="369">
        <f>SUM(K156:K160)</f>
        <v>16949.044000000002</v>
      </c>
      <c r="L161" s="369">
        <f t="shared" ref="L161" si="3">SUM(L156:L160)</f>
        <v>0</v>
      </c>
      <c r="M161" s="369">
        <f>SUM(M156:M160)</f>
        <v>-196564.10196242965</v>
      </c>
      <c r="N161" s="369">
        <f>SUM(N156:N160)</f>
        <v>-133094.424428</v>
      </c>
      <c r="O161" s="369">
        <f>SUM(O156:O160)</f>
        <v>-1573821.7395356619</v>
      </c>
    </row>
    <row r="162" spans="1:15">
      <c r="A162" s="361"/>
      <c r="D162" s="369"/>
      <c r="E162" s="369"/>
      <c r="F162" s="369"/>
      <c r="G162" s="369"/>
      <c r="H162" s="369"/>
      <c r="I162" s="369"/>
      <c r="J162" s="369"/>
      <c r="K162" s="369"/>
      <c r="L162" s="369"/>
      <c r="M162" s="369"/>
      <c r="N162" s="369"/>
      <c r="O162" s="369"/>
    </row>
    <row r="163" spans="1:15">
      <c r="A163" s="361"/>
      <c r="D163" s="369"/>
      <c r="E163" s="369"/>
      <c r="F163" s="369"/>
      <c r="G163" s="369"/>
      <c r="H163" s="369"/>
      <c r="I163" s="369"/>
      <c r="J163" s="369"/>
      <c r="K163" s="369"/>
      <c r="L163" s="369"/>
      <c r="M163" s="369"/>
      <c r="N163" s="369"/>
      <c r="O163" s="369"/>
    </row>
    <row r="164" spans="1:15">
      <c r="A164" s="361">
        <f>A161+1</f>
        <v>7</v>
      </c>
      <c r="B164" s="365">
        <v>376</v>
      </c>
      <c r="C164" s="358" t="s">
        <v>1775</v>
      </c>
      <c r="D164" s="369">
        <f>D156</f>
        <v>4864508.0100000007</v>
      </c>
      <c r="E164" s="369">
        <f>E156</f>
        <v>805780.17999999993</v>
      </c>
      <c r="F164" s="369">
        <f>F156</f>
        <v>0</v>
      </c>
      <c r="G164" s="369">
        <f>SUM(D164:F164)</f>
        <v>5670288.1900000004</v>
      </c>
      <c r="H164" s="369"/>
      <c r="I164" s="369">
        <f>I156</f>
        <v>-4790.9119999999994</v>
      </c>
      <c r="J164" s="369"/>
      <c r="K164" s="369">
        <f>K156</f>
        <v>7638.1909999999998</v>
      </c>
      <c r="L164" s="369">
        <v>0</v>
      </c>
      <c r="M164" s="369">
        <f>M156</f>
        <v>0</v>
      </c>
      <c r="N164" s="369">
        <f>N156</f>
        <v>-2568.83</v>
      </c>
      <c r="O164" s="369">
        <f>I164+K164+L164+M164+N164</f>
        <v>278.44900000000052</v>
      </c>
    </row>
    <row r="165" spans="1:15">
      <c r="A165" s="361">
        <f>A164+1</f>
        <v>8</v>
      </c>
      <c r="B165" s="365">
        <v>376</v>
      </c>
      <c r="C165" s="358" t="s">
        <v>1621</v>
      </c>
      <c r="D165" s="923">
        <f>D166-D164</f>
        <v>401962093.08999997</v>
      </c>
      <c r="E165" s="923">
        <f>E166-E164</f>
        <v>281792.29000000074</v>
      </c>
      <c r="F165" s="923">
        <f>F166-F164</f>
        <v>-286844.15000000002</v>
      </c>
      <c r="G165" s="923">
        <f>SUM(D165:F165)</f>
        <v>401957041.23000002</v>
      </c>
      <c r="H165" s="369"/>
      <c r="I165" s="923">
        <f>I166-I164</f>
        <v>76345256.832000002</v>
      </c>
      <c r="J165" s="369"/>
      <c r="K165" s="923">
        <f>K166-K164</f>
        <v>579447.299</v>
      </c>
      <c r="L165" s="923">
        <v>0</v>
      </c>
      <c r="M165" s="923">
        <f>M166-M164</f>
        <v>-286844.15000000002</v>
      </c>
      <c r="N165" s="923">
        <f>N166-N164</f>
        <v>-31095.9</v>
      </c>
      <c r="O165" s="923">
        <f>I165+K165+L165+M165+N165</f>
        <v>76606764.080999985</v>
      </c>
    </row>
    <row r="166" spans="1:15">
      <c r="A166" s="361">
        <f>A165+1</f>
        <v>9</v>
      </c>
      <c r="B166" s="365">
        <v>376</v>
      </c>
      <c r="C166" s="358" t="s">
        <v>3078</v>
      </c>
      <c r="D166" s="369">
        <f>G120</f>
        <v>406826601.09999996</v>
      </c>
      <c r="E166" s="369">
        <v>1087572.4700000007</v>
      </c>
      <c r="F166" s="369">
        <v>-286844.15000000002</v>
      </c>
      <c r="G166" s="369">
        <f>SUM(G164:G165)</f>
        <v>407627329.42000002</v>
      </c>
      <c r="H166" s="369"/>
      <c r="I166" s="369">
        <f>O120</f>
        <v>76340465.920000002</v>
      </c>
      <c r="J166" s="369"/>
      <c r="K166" s="369">
        <v>587085.49</v>
      </c>
      <c r="L166" s="369">
        <f>SUM(L164:L165)</f>
        <v>0</v>
      </c>
      <c r="M166" s="369">
        <v>-286844.15000000002</v>
      </c>
      <c r="N166" s="369">
        <v>-33664.730000000003</v>
      </c>
      <c r="O166" s="369">
        <f>SUM(O164:O165)</f>
        <v>76607042.529999986</v>
      </c>
    </row>
    <row r="167" spans="1:15">
      <c r="A167" s="361"/>
      <c r="B167" s="365"/>
      <c r="D167" s="369"/>
      <c r="E167" s="369"/>
      <c r="F167" s="369"/>
      <c r="G167" s="369"/>
      <c r="H167" s="369"/>
      <c r="I167" s="369"/>
      <c r="J167" s="369"/>
      <c r="K167" s="369"/>
      <c r="L167" s="369"/>
      <c r="M167" s="369"/>
      <c r="N167" s="369"/>
      <c r="O167" s="369"/>
    </row>
    <row r="168" spans="1:15">
      <c r="A168" s="361">
        <f>A166+1</f>
        <v>10</v>
      </c>
      <c r="B168" s="365">
        <v>378.2</v>
      </c>
      <c r="C168" s="358" t="s">
        <v>1776</v>
      </c>
      <c r="D168" s="369">
        <f>D157</f>
        <v>-30913.550000000003</v>
      </c>
      <c r="E168" s="369">
        <f>E157</f>
        <v>0</v>
      </c>
      <c r="F168" s="369">
        <f>F157</f>
        <v>-1679.98</v>
      </c>
      <c r="G168" s="369">
        <f>SUM(D168:F168)</f>
        <v>-32593.530000000002</v>
      </c>
      <c r="H168" s="369"/>
      <c r="I168" s="369">
        <f>I157</f>
        <v>-32646.998000000003</v>
      </c>
      <c r="J168" s="369"/>
      <c r="K168" s="369">
        <f>K157</f>
        <v>-66.763999999999996</v>
      </c>
      <c r="L168" s="369">
        <v>0</v>
      </c>
      <c r="M168" s="369">
        <f>M157</f>
        <v>-1679.98</v>
      </c>
      <c r="N168" s="369">
        <f>N157</f>
        <v>-5246.21</v>
      </c>
      <c r="O168" s="369">
        <f>I168+K168+L168+M168+N168</f>
        <v>-39639.952000000005</v>
      </c>
    </row>
    <row r="169" spans="1:15">
      <c r="A169" s="361">
        <f>A168+1</f>
        <v>11</v>
      </c>
      <c r="B169" s="365">
        <v>378.2</v>
      </c>
      <c r="C169" s="358" t="s">
        <v>1622</v>
      </c>
      <c r="D169" s="923">
        <f>D170-D168</f>
        <v>24944703.330000002</v>
      </c>
      <c r="E169" s="923">
        <f>E170-E168</f>
        <v>0</v>
      </c>
      <c r="F169" s="923">
        <f>F170-F168</f>
        <v>-27168.59</v>
      </c>
      <c r="G169" s="923">
        <f>SUM(D169:F169)</f>
        <v>24917534.740000002</v>
      </c>
      <c r="H169" s="369"/>
      <c r="I169" s="923">
        <f>I170-I168</f>
        <v>2972693.088</v>
      </c>
      <c r="J169" s="369"/>
      <c r="K169" s="923">
        <f>K170-K168</f>
        <v>52349.984000000004</v>
      </c>
      <c r="L169" s="923">
        <v>0</v>
      </c>
      <c r="M169" s="923">
        <f>M170-M168</f>
        <v>-32357.77</v>
      </c>
      <c r="N169" s="923">
        <f>N170-N168</f>
        <v>-5074.0800000000008</v>
      </c>
      <c r="O169" s="923">
        <f>I169+K169+L169+M169+N169</f>
        <v>2987611.2220000001</v>
      </c>
    </row>
    <row r="170" spans="1:15">
      <c r="A170" s="361">
        <f>A169+1</f>
        <v>12</v>
      </c>
      <c r="B170" s="365">
        <v>378.2</v>
      </c>
      <c r="C170" s="358" t="s">
        <v>3079</v>
      </c>
      <c r="D170" s="369">
        <f>G124</f>
        <v>24913789.780000001</v>
      </c>
      <c r="E170" s="369">
        <v>0</v>
      </c>
      <c r="F170" s="369">
        <v>-28848.57</v>
      </c>
      <c r="G170" s="369">
        <f>SUM(G168:G169)</f>
        <v>24884941.210000001</v>
      </c>
      <c r="H170" s="369"/>
      <c r="I170" s="369">
        <f>O124</f>
        <v>2940046.09</v>
      </c>
      <c r="J170" s="369"/>
      <c r="K170" s="369">
        <v>52283.22</v>
      </c>
      <c r="L170" s="369">
        <f>SUM(L168:L169)</f>
        <v>0</v>
      </c>
      <c r="M170" s="369">
        <v>-34037.75</v>
      </c>
      <c r="N170" s="369">
        <v>-10320.290000000001</v>
      </c>
      <c r="O170" s="369">
        <f>SUM(O168:O169)</f>
        <v>2947971.27</v>
      </c>
    </row>
    <row r="171" spans="1:15">
      <c r="A171" s="361"/>
      <c r="B171" s="365"/>
      <c r="D171" s="369"/>
      <c r="E171" s="369"/>
      <c r="F171" s="369"/>
      <c r="G171" s="369"/>
      <c r="H171" s="369"/>
      <c r="I171" s="369"/>
      <c r="J171" s="369"/>
      <c r="K171" s="369"/>
      <c r="L171" s="369"/>
      <c r="M171" s="369"/>
      <c r="N171" s="369"/>
      <c r="O171" s="369"/>
    </row>
    <row r="172" spans="1:15">
      <c r="A172" s="361">
        <f>A170+1</f>
        <v>13</v>
      </c>
      <c r="B172" s="365">
        <v>380</v>
      </c>
      <c r="C172" s="358" t="s">
        <v>1777</v>
      </c>
      <c r="D172" s="369">
        <f>D158</f>
        <v>2387037.1086467677</v>
      </c>
      <c r="E172" s="369">
        <f>E158</f>
        <v>1074077.54</v>
      </c>
      <c r="F172" s="369">
        <f>F158</f>
        <v>-189065.28196242961</v>
      </c>
      <c r="G172" s="369">
        <f>SUM(D172:F172)</f>
        <v>3272049.3666843381</v>
      </c>
      <c r="H172" s="369"/>
      <c r="I172" s="369">
        <f>I158</f>
        <v>-1218987.1331452322</v>
      </c>
      <c r="J172" s="369"/>
      <c r="K172" s="369">
        <f>K158</f>
        <v>9384.6450000000004</v>
      </c>
      <c r="L172" s="369">
        <v>0</v>
      </c>
      <c r="M172" s="369">
        <f>M158</f>
        <v>-189065.28196242961</v>
      </c>
      <c r="N172" s="369">
        <f>N158</f>
        <v>-125279.384428</v>
      </c>
      <c r="O172" s="369">
        <f>I172+K172+L172+M172+N172</f>
        <v>-1523947.1545356619</v>
      </c>
    </row>
    <row r="173" spans="1:15">
      <c r="A173" s="361">
        <f>A172+1</f>
        <v>14</v>
      </c>
      <c r="B173" s="365">
        <v>380</v>
      </c>
      <c r="C173" s="358" t="s">
        <v>1623</v>
      </c>
      <c r="D173" s="923">
        <f>D174-D172</f>
        <v>194568334.23135322</v>
      </c>
      <c r="E173" s="923">
        <f>E174-E172</f>
        <v>795249.53</v>
      </c>
      <c r="F173" s="923">
        <f>F174-F172</f>
        <v>-37604.148037570383</v>
      </c>
      <c r="G173" s="923">
        <f>SUM(D173:F173)</f>
        <v>195325979.61331564</v>
      </c>
      <c r="H173" s="369"/>
      <c r="I173" s="923">
        <f>I174-I172</f>
        <v>53798500.073145233</v>
      </c>
      <c r="J173" s="369"/>
      <c r="K173" s="923">
        <f>K174-K172</f>
        <v>684374.85499999998</v>
      </c>
      <c r="L173" s="923">
        <v>0</v>
      </c>
      <c r="M173" s="923">
        <f>M174-M172</f>
        <v>-37604.148037570383</v>
      </c>
      <c r="N173" s="923">
        <f>N174-N172</f>
        <v>-24917.695572000011</v>
      </c>
      <c r="O173" s="923">
        <f>I173+K173+L173+M173+N173</f>
        <v>54420353.084535658</v>
      </c>
    </row>
    <row r="174" spans="1:15">
      <c r="A174" s="361">
        <f>A173+1</f>
        <v>15</v>
      </c>
      <c r="B174" s="365">
        <v>380</v>
      </c>
      <c r="C174" s="358" t="s">
        <v>3080</v>
      </c>
      <c r="D174" s="369">
        <f>G128</f>
        <v>196955371.34</v>
      </c>
      <c r="E174" s="369">
        <v>1869327.07</v>
      </c>
      <c r="F174" s="369">
        <v>-226669.43</v>
      </c>
      <c r="G174" s="369">
        <f>SUM(G172:G173)</f>
        <v>198598028.97999999</v>
      </c>
      <c r="H174" s="369"/>
      <c r="I174" s="369">
        <f>O128</f>
        <v>52579512.939999998</v>
      </c>
      <c r="J174" s="369"/>
      <c r="K174" s="369">
        <v>693759.5</v>
      </c>
      <c r="L174" s="369">
        <f>SUM(L172:L173)</f>
        <v>0</v>
      </c>
      <c r="M174" s="369">
        <v>-226669.43</v>
      </c>
      <c r="N174" s="369">
        <v>-150197.08000000002</v>
      </c>
      <c r="O174" s="369">
        <f>SUM(O172:O173)</f>
        <v>52896405.93</v>
      </c>
    </row>
    <row r="175" spans="1:15">
      <c r="A175" s="361"/>
      <c r="B175" s="365"/>
      <c r="D175" s="369"/>
      <c r="E175" s="369"/>
      <c r="F175" s="369"/>
      <c r="G175" s="369"/>
      <c r="H175" s="369"/>
      <c r="I175" s="369"/>
      <c r="J175" s="369"/>
      <c r="K175" s="369"/>
      <c r="L175" s="369"/>
      <c r="M175" s="369"/>
      <c r="N175" s="369"/>
      <c r="O175" s="369"/>
    </row>
    <row r="176" spans="1:15">
      <c r="A176" s="361">
        <f>A174+1</f>
        <v>16</v>
      </c>
      <c r="B176" s="365">
        <v>382</v>
      </c>
      <c r="C176" s="358" t="s">
        <v>1778</v>
      </c>
      <c r="D176" s="369">
        <f>D159</f>
        <v>-1245.1700000000005</v>
      </c>
      <c r="E176" s="369">
        <f>E159</f>
        <v>374.88</v>
      </c>
      <c r="F176" s="369">
        <f>F159</f>
        <v>-5647.4500000000007</v>
      </c>
      <c r="G176" s="369">
        <f>SUM(D176:F176)</f>
        <v>-6517.7400000000016</v>
      </c>
      <c r="H176" s="369"/>
      <c r="I176" s="369">
        <f>I159</f>
        <v>-4109.5880000000006</v>
      </c>
      <c r="J176" s="369"/>
      <c r="K176" s="369">
        <f>K159</f>
        <v>-5.8889999999999993</v>
      </c>
      <c r="L176" s="369">
        <v>0</v>
      </c>
      <c r="M176" s="369">
        <f>M159</f>
        <v>-5647.4500000000007</v>
      </c>
      <c r="N176" s="369">
        <f>N159</f>
        <v>0</v>
      </c>
      <c r="O176" s="369">
        <f>I176+K176+L176+M176+N176</f>
        <v>-9762.9270000000015</v>
      </c>
    </row>
    <row r="177" spans="1:15">
      <c r="A177" s="361">
        <f>A176+1</f>
        <v>17</v>
      </c>
      <c r="B177" s="365">
        <v>382</v>
      </c>
      <c r="C177" s="358" t="s">
        <v>1624</v>
      </c>
      <c r="D177" s="923">
        <f>D178-D176</f>
        <v>10142233.280000001</v>
      </c>
      <c r="E177" s="923">
        <f>E178-E176</f>
        <v>14616.35</v>
      </c>
      <c r="F177" s="923">
        <f>F178-F176</f>
        <v>0</v>
      </c>
      <c r="G177" s="923">
        <f>SUM(D177:F177)</f>
        <v>10156849.630000001</v>
      </c>
      <c r="H177" s="369"/>
      <c r="I177" s="923">
        <f>I178-I176</f>
        <v>5706153.7379999999</v>
      </c>
      <c r="J177" s="369"/>
      <c r="K177" s="923">
        <f>K178-K176</f>
        <v>14970.739</v>
      </c>
      <c r="L177" s="923">
        <v>0</v>
      </c>
      <c r="M177" s="923">
        <f>M178-M176</f>
        <v>0</v>
      </c>
      <c r="N177" s="923">
        <f>N178-N176</f>
        <v>0</v>
      </c>
      <c r="O177" s="923">
        <f>I177+K177+L177+M177+N177</f>
        <v>5721124.477</v>
      </c>
    </row>
    <row r="178" spans="1:15">
      <c r="A178" s="361">
        <f>A177+1</f>
        <v>18</v>
      </c>
      <c r="B178" s="365">
        <v>382</v>
      </c>
      <c r="C178" s="358" t="s">
        <v>3081</v>
      </c>
      <c r="D178" s="369">
        <f>G132</f>
        <v>10140988.110000001</v>
      </c>
      <c r="E178" s="369">
        <v>14991.23</v>
      </c>
      <c r="F178" s="369">
        <v>-5647.45</v>
      </c>
      <c r="G178" s="369">
        <f>SUM(G176:G177)</f>
        <v>10150331.890000001</v>
      </c>
      <c r="H178" s="369"/>
      <c r="I178" s="369">
        <f>O132</f>
        <v>5702044.1499999994</v>
      </c>
      <c r="J178" s="369"/>
      <c r="K178" s="369">
        <v>14964.85</v>
      </c>
      <c r="L178" s="369">
        <f>SUM(L176:L177)</f>
        <v>0</v>
      </c>
      <c r="M178" s="369">
        <v>-5647.45</v>
      </c>
      <c r="N178" s="369">
        <v>0</v>
      </c>
      <c r="O178" s="369">
        <f>SUM(O176:O177)</f>
        <v>5711361.5499999998</v>
      </c>
    </row>
    <row r="179" spans="1:15">
      <c r="A179" s="361"/>
      <c r="B179" s="365"/>
      <c r="D179" s="369"/>
      <c r="E179" s="369"/>
      <c r="F179" s="369"/>
      <c r="G179" s="369"/>
      <c r="H179" s="369"/>
      <c r="I179" s="369"/>
      <c r="J179" s="369"/>
      <c r="K179" s="369"/>
      <c r="L179" s="369"/>
      <c r="M179" s="369"/>
      <c r="N179" s="369"/>
      <c r="O179" s="369"/>
    </row>
    <row r="180" spans="1:15">
      <c r="A180" s="361">
        <f>A178+1</f>
        <v>19</v>
      </c>
      <c r="B180" s="365">
        <v>383</v>
      </c>
      <c r="C180" s="358" t="s">
        <v>1779</v>
      </c>
      <c r="D180" s="369">
        <f>D160</f>
        <v>-576.16000000000008</v>
      </c>
      <c r="E180" s="369">
        <f>E160</f>
        <v>0</v>
      </c>
      <c r="F180" s="369">
        <f>F160</f>
        <v>-171.39000000000001</v>
      </c>
      <c r="G180" s="369">
        <f>SUM(D180:F180)</f>
        <v>-747.55000000000007</v>
      </c>
      <c r="H180" s="369"/>
      <c r="I180" s="369">
        <f>I160</f>
        <v>-577.62600000000009</v>
      </c>
      <c r="J180" s="369"/>
      <c r="K180" s="369">
        <f>K160</f>
        <v>-1.139</v>
      </c>
      <c r="L180" s="369">
        <v>0</v>
      </c>
      <c r="M180" s="369">
        <f>M160</f>
        <v>-171.39000000000001</v>
      </c>
      <c r="N180" s="369">
        <f>N160</f>
        <v>0</v>
      </c>
      <c r="O180" s="369">
        <f>I180+K180+L180+M180+N180</f>
        <v>-750.15500000000009</v>
      </c>
    </row>
    <row r="181" spans="1:15">
      <c r="A181" s="361">
        <f>A180+1</f>
        <v>20</v>
      </c>
      <c r="B181" s="365">
        <v>383</v>
      </c>
      <c r="C181" s="358" t="s">
        <v>1625</v>
      </c>
      <c r="D181" s="923">
        <f>D182-D180</f>
        <v>7179432.2199999997</v>
      </c>
      <c r="E181" s="923">
        <f>E182-E180</f>
        <v>3370.27</v>
      </c>
      <c r="F181" s="923">
        <f>F182-F180</f>
        <v>0</v>
      </c>
      <c r="G181" s="923">
        <f>SUM(D181:F181)</f>
        <v>7182802.4899999993</v>
      </c>
      <c r="H181" s="369"/>
      <c r="I181" s="923">
        <f>I182-I180</f>
        <v>2381186.0860000001</v>
      </c>
      <c r="J181" s="369"/>
      <c r="K181" s="923">
        <f>K182-K180</f>
        <v>11609.538999999999</v>
      </c>
      <c r="L181" s="923">
        <v>0</v>
      </c>
      <c r="M181" s="923">
        <f>M182-M180</f>
        <v>0</v>
      </c>
      <c r="N181" s="923">
        <f>N182-N180</f>
        <v>0</v>
      </c>
      <c r="O181" s="923">
        <f>I181+K181+L181+M181+N181</f>
        <v>2392795.625</v>
      </c>
    </row>
    <row r="182" spans="1:15">
      <c r="A182" s="361">
        <f>A181+1</f>
        <v>21</v>
      </c>
      <c r="B182" s="365">
        <v>383</v>
      </c>
      <c r="C182" s="358" t="s">
        <v>3082</v>
      </c>
      <c r="D182" s="369">
        <f>G136</f>
        <v>7178856.0599999996</v>
      </c>
      <c r="E182" s="369">
        <v>3370.27</v>
      </c>
      <c r="F182" s="369">
        <v>-171.39000000000001</v>
      </c>
      <c r="G182" s="369">
        <f>SUM(G180:G181)</f>
        <v>7182054.9399999995</v>
      </c>
      <c r="H182" s="369"/>
      <c r="I182" s="369">
        <f>O136</f>
        <v>2380608.46</v>
      </c>
      <c r="J182" s="369"/>
      <c r="K182" s="369">
        <v>11608.4</v>
      </c>
      <c r="L182" s="369">
        <f>SUM(L180:L181)</f>
        <v>0</v>
      </c>
      <c r="M182" s="369">
        <v>-171.39000000000001</v>
      </c>
      <c r="N182" s="369">
        <v>0</v>
      </c>
      <c r="O182" s="369">
        <f>SUM(O180:O181)</f>
        <v>2392045.4700000002</v>
      </c>
    </row>
    <row r="185" spans="1:15" s="291" customFormat="1">
      <c r="A185" s="1308" t="str">
        <f>$A$1</f>
        <v>COLUMBIA GAS OF KENTUCKY, INC.</v>
      </c>
      <c r="B185" s="1308"/>
      <c r="C185" s="1308"/>
      <c r="D185" s="1308"/>
      <c r="E185" s="1308"/>
      <c r="F185" s="1308"/>
      <c r="G185" s="1308"/>
      <c r="H185" s="1308"/>
      <c r="I185" s="1308"/>
      <c r="J185" s="1308"/>
      <c r="K185" s="1308"/>
      <c r="L185" s="1308"/>
      <c r="M185" s="1308"/>
      <c r="N185" s="1308"/>
      <c r="O185" s="1308"/>
    </row>
    <row r="186" spans="1:15" s="291" customFormat="1">
      <c r="A186" s="1308" t="str">
        <f>$A$2</f>
        <v>CASE NO. 2024 - 00092</v>
      </c>
      <c r="B186" s="1308"/>
      <c r="C186" s="1308"/>
      <c r="D186" s="1308"/>
      <c r="E186" s="1308"/>
      <c r="F186" s="1308"/>
      <c r="G186" s="1308"/>
      <c r="H186" s="1308"/>
      <c r="I186" s="1308"/>
      <c r="J186" s="1308"/>
      <c r="K186" s="1308"/>
      <c r="L186" s="1308"/>
      <c r="M186" s="1308"/>
      <c r="N186" s="1308"/>
      <c r="O186" s="1308"/>
    </row>
    <row r="187" spans="1:15" s="291" customFormat="1">
      <c r="A187" s="1308" t="str">
        <f>$A$3</f>
        <v>DETAIL OF ACTUAL &amp;  FORECASTED SMRP PLANT, ACCUMULATED RESERVE &amp; DEPRECIATION EXPENSE</v>
      </c>
      <c r="B187" s="1308"/>
      <c r="C187" s="1308"/>
      <c r="D187" s="1308"/>
      <c r="E187" s="1308"/>
      <c r="F187" s="1308"/>
      <c r="G187" s="1308"/>
      <c r="H187" s="1308"/>
      <c r="I187" s="1308"/>
      <c r="J187" s="1308"/>
      <c r="K187" s="1308"/>
      <c r="L187" s="1308"/>
      <c r="M187" s="1308"/>
      <c r="N187" s="1308"/>
      <c r="O187" s="1308"/>
    </row>
    <row r="188" spans="1:15" s="291" customFormat="1">
      <c r="A188" s="1308" t="str">
        <f>$A$4</f>
        <v>FROM JANUARY 01, 2023 THROUGH DECEMBER 31, 2025</v>
      </c>
      <c r="B188" s="1308"/>
      <c r="C188" s="1308"/>
      <c r="D188" s="1308"/>
      <c r="E188" s="1308"/>
      <c r="F188" s="1308"/>
      <c r="G188" s="1308"/>
      <c r="H188" s="1308"/>
      <c r="I188" s="1308"/>
      <c r="J188" s="1308"/>
      <c r="K188" s="1308"/>
      <c r="L188" s="1308"/>
      <c r="M188" s="1308"/>
      <c r="N188" s="1308"/>
      <c r="O188" s="1308"/>
    </row>
    <row r="189" spans="1:15" s="291" customFormat="1">
      <c r="B189" s="293"/>
    </row>
    <row r="190" spans="1:15" s="291" customFormat="1">
      <c r="A190" s="297" t="str">
        <f>'General Headers Index'!$B$34</f>
        <v xml:space="preserve">DATA: _X_ BASE PERIOD _X_ FORECASTED PERIOD     </v>
      </c>
      <c r="B190" s="293"/>
      <c r="O190" s="312" t="s">
        <v>2461</v>
      </c>
    </row>
    <row r="191" spans="1:15" s="291" customFormat="1">
      <c r="A191" s="297" t="str">
        <f>'General Headers Index'!$B$37</f>
        <v>TYPE OF FILING:___X___ORIGINAL______UPDATED</v>
      </c>
      <c r="B191" s="293"/>
      <c r="O191" s="312" t="s">
        <v>2227</v>
      </c>
    </row>
    <row r="192" spans="1:15" s="291" customFormat="1">
      <c r="A192" s="297" t="s">
        <v>2150</v>
      </c>
      <c r="B192" s="293"/>
      <c r="O192" s="312" t="str">
        <f>"WITNESS: "&amp;'General Headers Index'!$B$42</f>
        <v>WITNESS: GORE</v>
      </c>
    </row>
    <row r="193" spans="1:15">
      <c r="A193" s="918"/>
      <c r="B193" s="918"/>
      <c r="C193" s="918"/>
      <c r="D193" s="918"/>
      <c r="E193" s="918"/>
      <c r="F193" s="918"/>
      <c r="G193" s="918"/>
      <c r="H193" s="918"/>
      <c r="I193" s="918"/>
      <c r="J193" s="918"/>
      <c r="K193" s="918"/>
      <c r="L193" s="918"/>
      <c r="M193" s="918"/>
      <c r="N193" s="918"/>
      <c r="O193" s="918"/>
    </row>
    <row r="194" spans="1:15">
      <c r="B194" s="359"/>
      <c r="D194" s="1312" t="s">
        <v>1768</v>
      </c>
      <c r="E194" s="1312"/>
      <c r="F194" s="1312"/>
      <c r="G194" s="1312"/>
      <c r="I194" s="1312" t="s">
        <v>1769</v>
      </c>
      <c r="J194" s="1312"/>
      <c r="K194" s="1312"/>
      <c r="L194" s="1312"/>
      <c r="M194" s="1312"/>
      <c r="N194" s="1312"/>
      <c r="O194" s="1312"/>
    </row>
    <row r="195" spans="1:15">
      <c r="B195" s="359"/>
      <c r="D195" s="360">
        <f>G149+1</f>
        <v>45047</v>
      </c>
      <c r="G195" s="360">
        <f>D195+30</f>
        <v>45077</v>
      </c>
      <c r="I195" s="360">
        <f>D195</f>
        <v>45047</v>
      </c>
      <c r="O195" s="360">
        <f>G195</f>
        <v>45077</v>
      </c>
    </row>
    <row r="196" spans="1:15">
      <c r="B196" s="359"/>
      <c r="D196" s="361" t="s">
        <v>1757</v>
      </c>
      <c r="G196" s="361" t="s">
        <v>1757</v>
      </c>
      <c r="I196" s="361" t="s">
        <v>1758</v>
      </c>
      <c r="J196" s="361" t="s">
        <v>488</v>
      </c>
      <c r="L196" s="361" t="s">
        <v>1758</v>
      </c>
      <c r="O196" s="361" t="s">
        <v>1758</v>
      </c>
    </row>
    <row r="197" spans="1:15">
      <c r="A197" s="361" t="s">
        <v>1770</v>
      </c>
      <c r="B197" s="361" t="s">
        <v>368</v>
      </c>
      <c r="C197" s="361"/>
      <c r="D197" s="361" t="s">
        <v>437</v>
      </c>
      <c r="G197" s="361" t="s">
        <v>439</v>
      </c>
      <c r="I197" s="361" t="s">
        <v>437</v>
      </c>
      <c r="J197" s="361" t="s">
        <v>1771</v>
      </c>
      <c r="K197" s="361" t="s">
        <v>1772</v>
      </c>
      <c r="L197" s="361" t="s">
        <v>1759</v>
      </c>
      <c r="N197" s="361" t="s">
        <v>1760</v>
      </c>
      <c r="O197" s="361" t="s">
        <v>439</v>
      </c>
    </row>
    <row r="198" spans="1:15">
      <c r="A198" s="364" t="s">
        <v>316</v>
      </c>
      <c r="B198" s="364" t="s">
        <v>316</v>
      </c>
      <c r="C198" s="364" t="s">
        <v>451</v>
      </c>
      <c r="D198" s="364" t="s">
        <v>441</v>
      </c>
      <c r="E198" s="364" t="s">
        <v>442</v>
      </c>
      <c r="F198" s="364" t="s">
        <v>443</v>
      </c>
      <c r="G198" s="364" t="s">
        <v>441</v>
      </c>
      <c r="I198" s="364" t="s">
        <v>441</v>
      </c>
      <c r="J198" s="364" t="s">
        <v>1773</v>
      </c>
      <c r="K198" s="364" t="s">
        <v>1771</v>
      </c>
      <c r="L198" s="364" t="s">
        <v>355</v>
      </c>
      <c r="M198" s="364" t="s">
        <v>443</v>
      </c>
      <c r="N198" s="364" t="s">
        <v>1763</v>
      </c>
      <c r="O198" s="364" t="s">
        <v>441</v>
      </c>
    </row>
    <row r="199" spans="1:15">
      <c r="B199" s="359"/>
      <c r="D199" s="361" t="s">
        <v>532</v>
      </c>
      <c r="E199" s="361" t="s">
        <v>541</v>
      </c>
      <c r="F199" s="361" t="s">
        <v>542</v>
      </c>
      <c r="G199" s="361" t="s">
        <v>1764</v>
      </c>
      <c r="I199" s="334" t="str">
        <f>"(5)"</f>
        <v>(5)</v>
      </c>
      <c r="J199" s="334" t="str">
        <f>"(6)"</f>
        <v>(6)</v>
      </c>
      <c r="K199" s="334" t="str">
        <f>"(7)"</f>
        <v>(7)</v>
      </c>
      <c r="L199" s="334" t="str">
        <f>"(8)"</f>
        <v>(8)</v>
      </c>
      <c r="M199" s="334" t="str">
        <f>"(9)"</f>
        <v>(9)</v>
      </c>
      <c r="N199" s="334" t="str">
        <f>"(10)"</f>
        <v>(10)</v>
      </c>
      <c r="O199" s="334" t="str">
        <f>"(11=5+7+8+9+10)"</f>
        <v>(11=5+7+8+9+10)</v>
      </c>
    </row>
    <row r="200" spans="1:15">
      <c r="B200" s="359"/>
      <c r="D200" s="361" t="s">
        <v>320</v>
      </c>
      <c r="E200" s="361" t="s">
        <v>320</v>
      </c>
      <c r="F200" s="361" t="s">
        <v>320</v>
      </c>
      <c r="G200" s="361" t="s">
        <v>320</v>
      </c>
      <c r="I200" s="334" t="s">
        <v>320</v>
      </c>
      <c r="J200" s="1250" t="s">
        <v>529</v>
      </c>
      <c r="K200" s="334" t="s">
        <v>320</v>
      </c>
      <c r="L200" s="334" t="s">
        <v>320</v>
      </c>
      <c r="M200" s="334" t="s">
        <v>320</v>
      </c>
      <c r="N200" s="334" t="s">
        <v>320</v>
      </c>
      <c r="O200" s="334" t="s">
        <v>320</v>
      </c>
    </row>
    <row r="201" spans="1:15">
      <c r="B201" s="359"/>
      <c r="D201" s="361"/>
      <c r="E201" s="361"/>
      <c r="F201" s="361"/>
      <c r="G201" s="361"/>
      <c r="I201" s="334"/>
      <c r="J201" s="334"/>
      <c r="K201" s="334"/>
      <c r="L201" s="334"/>
      <c r="M201" s="334"/>
      <c r="N201" s="334"/>
      <c r="O201" s="334"/>
    </row>
    <row r="202" spans="1:15">
      <c r="A202" s="361">
        <v>1</v>
      </c>
      <c r="B202" s="365">
        <v>376</v>
      </c>
      <c r="C202" s="358" t="s">
        <v>1775</v>
      </c>
      <c r="D202" s="369">
        <f>G156</f>
        <v>5670288.1900000004</v>
      </c>
      <c r="E202" s="369">
        <v>3005341.4100000006</v>
      </c>
      <c r="F202" s="369">
        <v>-14490.58</v>
      </c>
      <c r="G202" s="369">
        <f>SUM(D202:F202)</f>
        <v>8661139.0200000014</v>
      </c>
      <c r="H202" s="369"/>
      <c r="I202" s="369">
        <f>O156</f>
        <v>278.44900000000052</v>
      </c>
      <c r="J202" s="369"/>
      <c r="K202" s="369">
        <v>10390.367</v>
      </c>
      <c r="L202" s="369">
        <v>0</v>
      </c>
      <c r="M202" s="369">
        <f>F202</f>
        <v>-14490.58</v>
      </c>
      <c r="N202" s="369">
        <v>-939.63</v>
      </c>
      <c r="O202" s="369">
        <f>I202+K202+L202+M202+N202</f>
        <v>-4761.3939999999993</v>
      </c>
    </row>
    <row r="203" spans="1:15">
      <c r="A203" s="361">
        <f>A202+1</f>
        <v>2</v>
      </c>
      <c r="B203" s="365">
        <v>378.2</v>
      </c>
      <c r="C203" s="358" t="s">
        <v>1776</v>
      </c>
      <c r="D203" s="369">
        <f>G157</f>
        <v>-32593.530000000002</v>
      </c>
      <c r="E203" s="369">
        <v>0</v>
      </c>
      <c r="F203" s="369">
        <v>-9507.9599999999991</v>
      </c>
      <c r="G203" s="369">
        <f>SUM(D203:F203)</f>
        <v>-42101.490000000005</v>
      </c>
      <c r="H203" s="369"/>
      <c r="I203" s="369">
        <f>O157</f>
        <v>-39639.952000000005</v>
      </c>
      <c r="J203" s="369"/>
      <c r="K203" s="369">
        <v>-77.983000000000004</v>
      </c>
      <c r="L203" s="369">
        <v>0</v>
      </c>
      <c r="M203" s="369">
        <f>F203</f>
        <v>-9507.9599999999991</v>
      </c>
      <c r="N203" s="369">
        <v>-4099.3599999999997</v>
      </c>
      <c r="O203" s="369">
        <f>I203+K203+L203+M203+N203</f>
        <v>-53325.255000000005</v>
      </c>
    </row>
    <row r="204" spans="1:15">
      <c r="A204" s="361">
        <f>A203+1</f>
        <v>3</v>
      </c>
      <c r="B204" s="365">
        <v>380</v>
      </c>
      <c r="C204" s="358" t="s">
        <v>1777</v>
      </c>
      <c r="D204" s="369">
        <f>G158</f>
        <v>3272049.3666843381</v>
      </c>
      <c r="E204" s="369">
        <v>1261171.98</v>
      </c>
      <c r="F204" s="369">
        <v>-292187.67817744327</v>
      </c>
      <c r="G204" s="369">
        <f>SUM(D204:F204)</f>
        <v>4241033.6685068952</v>
      </c>
      <c r="H204" s="369"/>
      <c r="I204" s="369">
        <f>O158</f>
        <v>-1523947.1545356619</v>
      </c>
      <c r="J204" s="369"/>
      <c r="K204" s="369">
        <v>12458.898999999999</v>
      </c>
      <c r="L204" s="369">
        <v>0</v>
      </c>
      <c r="M204" s="369">
        <f>F204</f>
        <v>-292187.67817744327</v>
      </c>
      <c r="N204" s="369">
        <v>-136891.883107</v>
      </c>
      <c r="O204" s="369">
        <f>I204+K204+L204+M204+N204</f>
        <v>-1940567.8168201053</v>
      </c>
    </row>
    <row r="205" spans="1:15">
      <c r="A205" s="361">
        <f>A204+1</f>
        <v>4</v>
      </c>
      <c r="B205" s="365">
        <v>382</v>
      </c>
      <c r="C205" s="358" t="s">
        <v>1778</v>
      </c>
      <c r="D205" s="369">
        <f>G159</f>
        <v>-6517.7400000000016</v>
      </c>
      <c r="E205" s="369">
        <v>2800.4300000000003</v>
      </c>
      <c r="F205" s="369">
        <v>-3453.44</v>
      </c>
      <c r="G205" s="369">
        <f>SUM(D205:F205)</f>
        <v>-7170.7500000000018</v>
      </c>
      <c r="H205" s="369"/>
      <c r="I205" s="369">
        <f>O159</f>
        <v>-9762.9270000000015</v>
      </c>
      <c r="J205" s="369"/>
      <c r="K205" s="369">
        <v>-10.481999999999999</v>
      </c>
      <c r="L205" s="369">
        <v>0</v>
      </c>
      <c r="M205" s="369">
        <f>F205</f>
        <v>-3453.44</v>
      </c>
      <c r="N205" s="369">
        <v>0</v>
      </c>
      <c r="O205" s="369">
        <f>I205+K205+L205+M205+N205</f>
        <v>-13226.849000000002</v>
      </c>
    </row>
    <row r="206" spans="1:15">
      <c r="A206" s="361">
        <f>A205+1</f>
        <v>5</v>
      </c>
      <c r="B206" s="365">
        <v>383</v>
      </c>
      <c r="C206" s="358" t="s">
        <v>1779</v>
      </c>
      <c r="D206" s="923">
        <f>G160</f>
        <v>-747.55000000000007</v>
      </c>
      <c r="E206" s="923">
        <v>0</v>
      </c>
      <c r="F206" s="923">
        <v>-348.81</v>
      </c>
      <c r="G206" s="923">
        <f>SUM(D206:F206)</f>
        <v>-1096.3600000000001</v>
      </c>
      <c r="H206" s="369"/>
      <c r="I206" s="923">
        <f>O160</f>
        <v>-750.15500000000009</v>
      </c>
      <c r="J206" s="369"/>
      <c r="K206" s="923">
        <v>-1.282</v>
      </c>
      <c r="L206" s="923">
        <v>0</v>
      </c>
      <c r="M206" s="923">
        <f>F206</f>
        <v>-348.81</v>
      </c>
      <c r="N206" s="923">
        <v>0</v>
      </c>
      <c r="O206" s="923">
        <f>I206+K206+L206+M206+N206</f>
        <v>-1100.2470000000001</v>
      </c>
    </row>
    <row r="207" spans="1:15">
      <c r="A207" s="361">
        <f>A206+1</f>
        <v>6</v>
      </c>
      <c r="C207" s="358" t="s">
        <v>3077</v>
      </c>
      <c r="D207" s="369">
        <f>SUM(D202:D206)</f>
        <v>8902478.7366843373</v>
      </c>
      <c r="E207" s="369">
        <f>SUM(E202:E206)</f>
        <v>4269313.82</v>
      </c>
      <c r="F207" s="369">
        <f>SUM(F202:F206)</f>
        <v>-319988.46817744325</v>
      </c>
      <c r="G207" s="369">
        <f>SUM(G202:G206)</f>
        <v>12851804.088506896</v>
      </c>
      <c r="H207" s="369"/>
      <c r="I207" s="369">
        <f>SUM(I202:I206)</f>
        <v>-1573821.7395356619</v>
      </c>
      <c r="J207" s="369"/>
      <c r="K207" s="369">
        <f>SUM(K202:K206)</f>
        <v>22759.519</v>
      </c>
      <c r="L207" s="369">
        <f t="shared" ref="L207" si="4">SUM(L202:L206)</f>
        <v>0</v>
      </c>
      <c r="M207" s="369">
        <f>SUM(M202:M206)</f>
        <v>-319988.46817744325</v>
      </c>
      <c r="N207" s="369">
        <f>SUM(N202:N206)</f>
        <v>-141930.87310699999</v>
      </c>
      <c r="O207" s="369">
        <f>SUM(O202:O206)</f>
        <v>-2012981.5618201052</v>
      </c>
    </row>
    <row r="208" spans="1:15">
      <c r="A208" s="361"/>
      <c r="D208" s="369"/>
      <c r="E208" s="369"/>
      <c r="F208" s="369"/>
      <c r="G208" s="369"/>
      <c r="H208" s="369"/>
      <c r="I208" s="369"/>
      <c r="J208" s="369"/>
      <c r="K208" s="369"/>
      <c r="L208" s="369"/>
      <c r="M208" s="369"/>
      <c r="N208" s="369"/>
      <c r="O208" s="369"/>
    </row>
    <row r="209" spans="1:15">
      <c r="A209" s="361"/>
      <c r="D209" s="369"/>
      <c r="E209" s="369"/>
      <c r="F209" s="369"/>
      <c r="G209" s="369"/>
      <c r="H209" s="369"/>
      <c r="I209" s="369"/>
      <c r="J209" s="369"/>
      <c r="K209" s="369"/>
      <c r="L209" s="369"/>
      <c r="M209" s="369"/>
      <c r="N209" s="369"/>
      <c r="O209" s="369"/>
    </row>
    <row r="210" spans="1:15">
      <c r="A210" s="361">
        <f>A207+1</f>
        <v>7</v>
      </c>
      <c r="B210" s="365">
        <v>376</v>
      </c>
      <c r="C210" s="358" t="s">
        <v>1775</v>
      </c>
      <c r="D210" s="369">
        <f>D202</f>
        <v>5670288.1900000004</v>
      </c>
      <c r="E210" s="369">
        <f>E202</f>
        <v>3005341.4100000006</v>
      </c>
      <c r="F210" s="369">
        <f>F202</f>
        <v>-14490.58</v>
      </c>
      <c r="G210" s="369">
        <f>SUM(D210:F210)</f>
        <v>8661139.0200000014</v>
      </c>
      <c r="H210" s="369"/>
      <c r="I210" s="369">
        <f>I202</f>
        <v>278.44900000000052</v>
      </c>
      <c r="J210" s="369"/>
      <c r="K210" s="369">
        <f>K202</f>
        <v>10390.367</v>
      </c>
      <c r="L210" s="369">
        <v>0</v>
      </c>
      <c r="M210" s="369">
        <f>M202</f>
        <v>-14490.58</v>
      </c>
      <c r="N210" s="369">
        <f>N202</f>
        <v>-939.63</v>
      </c>
      <c r="O210" s="369">
        <f>I210+K210+L210+M210+N210</f>
        <v>-4761.3939999999993</v>
      </c>
    </row>
    <row r="211" spans="1:15">
      <c r="A211" s="361">
        <f>A210+1</f>
        <v>8</v>
      </c>
      <c r="B211" s="365">
        <v>376</v>
      </c>
      <c r="C211" s="358" t="s">
        <v>1621</v>
      </c>
      <c r="D211" s="923">
        <f>D212-D210</f>
        <v>401957041.23000002</v>
      </c>
      <c r="E211" s="923">
        <f>E212-E210</f>
        <v>2029115.0499999993</v>
      </c>
      <c r="F211" s="923">
        <f>F212-F210</f>
        <v>-121094.08999999998</v>
      </c>
      <c r="G211" s="923">
        <f>SUM(D211:F211)</f>
        <v>403865062.19000006</v>
      </c>
      <c r="H211" s="369"/>
      <c r="I211" s="923">
        <f>I212-I210</f>
        <v>76606764.080999985</v>
      </c>
      <c r="J211" s="369"/>
      <c r="K211" s="923">
        <f>K212-K210</f>
        <v>580803.603</v>
      </c>
      <c r="L211" s="923">
        <v>0</v>
      </c>
      <c r="M211" s="923">
        <f>M212-M210</f>
        <v>-121094.08999999998</v>
      </c>
      <c r="N211" s="923">
        <f>N212-N210</f>
        <v>-5099.91</v>
      </c>
      <c r="O211" s="923">
        <f>I211+K211+L211+M211+N211</f>
        <v>77061373.683999985</v>
      </c>
    </row>
    <row r="212" spans="1:15">
      <c r="A212" s="361">
        <f>A211+1</f>
        <v>9</v>
      </c>
      <c r="B212" s="365">
        <v>376</v>
      </c>
      <c r="C212" s="358" t="s">
        <v>3078</v>
      </c>
      <c r="D212" s="369">
        <f>G166</f>
        <v>407627329.42000002</v>
      </c>
      <c r="E212" s="369">
        <v>5034456.46</v>
      </c>
      <c r="F212" s="369">
        <v>-135584.66999999998</v>
      </c>
      <c r="G212" s="369">
        <f>SUM(G210:G211)</f>
        <v>412526201.21000004</v>
      </c>
      <c r="H212" s="369"/>
      <c r="I212" s="369">
        <f>O166</f>
        <v>76607042.529999986</v>
      </c>
      <c r="J212" s="369"/>
      <c r="K212" s="369">
        <v>591193.97</v>
      </c>
      <c r="L212" s="369">
        <f>SUM(L210:L211)</f>
        <v>0</v>
      </c>
      <c r="M212" s="369">
        <v>-135584.66999999998</v>
      </c>
      <c r="N212" s="369">
        <v>-6039.54</v>
      </c>
      <c r="O212" s="369">
        <f>SUM(O210:O211)</f>
        <v>77056612.289999992</v>
      </c>
    </row>
    <row r="213" spans="1:15">
      <c r="A213" s="361"/>
      <c r="B213" s="365"/>
      <c r="D213" s="369"/>
      <c r="E213" s="369"/>
      <c r="F213" s="369"/>
      <c r="G213" s="369"/>
      <c r="H213" s="369"/>
      <c r="I213" s="369"/>
      <c r="J213" s="369"/>
      <c r="K213" s="369"/>
      <c r="L213" s="369"/>
      <c r="M213" s="369"/>
      <c r="N213" s="369"/>
      <c r="O213" s="369"/>
    </row>
    <row r="214" spans="1:15">
      <c r="A214" s="361">
        <f>A212+1</f>
        <v>10</v>
      </c>
      <c r="B214" s="365">
        <v>378.2</v>
      </c>
      <c r="C214" s="358" t="s">
        <v>1776</v>
      </c>
      <c r="D214" s="369">
        <f>D203</f>
        <v>-32593.530000000002</v>
      </c>
      <c r="E214" s="369">
        <f>E203</f>
        <v>0</v>
      </c>
      <c r="F214" s="369">
        <f>F203</f>
        <v>-9507.9599999999991</v>
      </c>
      <c r="G214" s="369">
        <f>SUM(D214:F214)</f>
        <v>-42101.490000000005</v>
      </c>
      <c r="H214" s="369"/>
      <c r="I214" s="369">
        <f>I203</f>
        <v>-39639.952000000005</v>
      </c>
      <c r="J214" s="369"/>
      <c r="K214" s="369">
        <f>K203</f>
        <v>-77.983000000000004</v>
      </c>
      <c r="L214" s="369">
        <v>0</v>
      </c>
      <c r="M214" s="369">
        <f>M203</f>
        <v>-9507.9599999999991</v>
      </c>
      <c r="N214" s="369">
        <f>N203</f>
        <v>-4099.3599999999997</v>
      </c>
      <c r="O214" s="369">
        <f>I214+K214+L214+M214+N214</f>
        <v>-53325.255000000005</v>
      </c>
    </row>
    <row r="215" spans="1:15">
      <c r="A215" s="361">
        <f>A214+1</f>
        <v>11</v>
      </c>
      <c r="B215" s="365">
        <v>378.2</v>
      </c>
      <c r="C215" s="358" t="s">
        <v>1622</v>
      </c>
      <c r="D215" s="923">
        <f>D216-D214</f>
        <v>24917534.740000002</v>
      </c>
      <c r="E215" s="923">
        <f>E216-E214</f>
        <v>324846.16000000003</v>
      </c>
      <c r="F215" s="923">
        <f>F216-F214</f>
        <v>-949.3700000000008</v>
      </c>
      <c r="G215" s="923">
        <f>SUM(D215:F215)</f>
        <v>25241431.530000001</v>
      </c>
      <c r="H215" s="369"/>
      <c r="I215" s="923">
        <f>I216-I214</f>
        <v>2987611.2220000001</v>
      </c>
      <c r="J215" s="369"/>
      <c r="K215" s="923">
        <f>K216-K214</f>
        <v>52739.563000000002</v>
      </c>
      <c r="L215" s="923">
        <v>0</v>
      </c>
      <c r="M215" s="923">
        <f>M216-M214</f>
        <v>-949.3700000000008</v>
      </c>
      <c r="N215" s="923">
        <f>N216-N214</f>
        <v>0</v>
      </c>
      <c r="O215" s="923">
        <f>I215+K215+L215+M215+N215</f>
        <v>3039401.415</v>
      </c>
    </row>
    <row r="216" spans="1:15">
      <c r="A216" s="361">
        <f>A215+1</f>
        <v>12</v>
      </c>
      <c r="B216" s="365">
        <v>378.2</v>
      </c>
      <c r="C216" s="358" t="s">
        <v>3079</v>
      </c>
      <c r="D216" s="369">
        <f>G170</f>
        <v>24884941.210000001</v>
      </c>
      <c r="E216" s="369">
        <v>324846.16000000003</v>
      </c>
      <c r="F216" s="369">
        <v>-10457.33</v>
      </c>
      <c r="G216" s="369">
        <f>SUM(G214:G215)</f>
        <v>25199330.040000003</v>
      </c>
      <c r="H216" s="369"/>
      <c r="I216" s="369">
        <f>O170</f>
        <v>2947971.27</v>
      </c>
      <c r="J216" s="369"/>
      <c r="K216" s="369">
        <v>52661.58</v>
      </c>
      <c r="L216" s="369">
        <f>SUM(L214:L215)</f>
        <v>0</v>
      </c>
      <c r="M216" s="369">
        <v>-10457.33</v>
      </c>
      <c r="N216" s="369">
        <v>-4099.3599999999997</v>
      </c>
      <c r="O216" s="369">
        <f>SUM(O214:O215)</f>
        <v>2986076.1600000001</v>
      </c>
    </row>
    <row r="217" spans="1:15">
      <c r="A217" s="361"/>
      <c r="B217" s="365"/>
      <c r="D217" s="369"/>
      <c r="E217" s="369"/>
      <c r="F217" s="369"/>
      <c r="G217" s="369"/>
      <c r="H217" s="369"/>
      <c r="I217" s="369"/>
      <c r="J217" s="369"/>
      <c r="K217" s="369"/>
      <c r="L217" s="369"/>
      <c r="M217" s="369"/>
      <c r="N217" s="369"/>
      <c r="O217" s="369"/>
    </row>
    <row r="218" spans="1:15">
      <c r="A218" s="361">
        <f>A216+1</f>
        <v>13</v>
      </c>
      <c r="B218" s="365">
        <v>380</v>
      </c>
      <c r="C218" s="358" t="s">
        <v>1777</v>
      </c>
      <c r="D218" s="369">
        <f>D204</f>
        <v>3272049.3666843381</v>
      </c>
      <c r="E218" s="369">
        <f>E204</f>
        <v>1261171.98</v>
      </c>
      <c r="F218" s="369">
        <f>F204</f>
        <v>-292187.67817744327</v>
      </c>
      <c r="G218" s="369">
        <f>SUM(D218:F218)</f>
        <v>4241033.6685068952</v>
      </c>
      <c r="H218" s="369"/>
      <c r="I218" s="369">
        <f>I204</f>
        <v>-1523947.1545356619</v>
      </c>
      <c r="J218" s="369"/>
      <c r="K218" s="369">
        <f>K204</f>
        <v>12458.898999999999</v>
      </c>
      <c r="L218" s="369">
        <v>0</v>
      </c>
      <c r="M218" s="369">
        <f>M204</f>
        <v>-292187.67817744327</v>
      </c>
      <c r="N218" s="369">
        <f>N204</f>
        <v>-136891.883107</v>
      </c>
      <c r="O218" s="369">
        <f>I218+K218+L218+M218+N218</f>
        <v>-1940567.8168201053</v>
      </c>
    </row>
    <row r="219" spans="1:15">
      <c r="A219" s="361">
        <f>A218+1</f>
        <v>14</v>
      </c>
      <c r="B219" s="365">
        <v>380</v>
      </c>
      <c r="C219" s="358" t="s">
        <v>1623</v>
      </c>
      <c r="D219" s="923">
        <f>D220-D218</f>
        <v>195325979.61331564</v>
      </c>
      <c r="E219" s="923">
        <f>E220-E218</f>
        <v>798641.08999999985</v>
      </c>
      <c r="F219" s="923">
        <f>F220-F218</f>
        <v>-58114.681822556711</v>
      </c>
      <c r="G219" s="923">
        <f>SUM(D219:F219)</f>
        <v>196066506.02149308</v>
      </c>
      <c r="H219" s="369"/>
      <c r="I219" s="923">
        <f>I220-I218</f>
        <v>54420353.084535658</v>
      </c>
      <c r="J219" s="369"/>
      <c r="K219" s="923">
        <f>K220-K218</f>
        <v>697234.61100000003</v>
      </c>
      <c r="L219" s="923">
        <v>0</v>
      </c>
      <c r="M219" s="923">
        <f>M220-M218</f>
        <v>-58114.681822556711</v>
      </c>
      <c r="N219" s="923">
        <f>N220-N218</f>
        <v>-27227.386892999988</v>
      </c>
      <c r="O219" s="923">
        <f>I219+K219+L219+M219+N219</f>
        <v>55032245.62682011</v>
      </c>
    </row>
    <row r="220" spans="1:15">
      <c r="A220" s="361">
        <f>A219+1</f>
        <v>15</v>
      </c>
      <c r="B220" s="365">
        <v>380</v>
      </c>
      <c r="C220" s="358" t="s">
        <v>3080</v>
      </c>
      <c r="D220" s="369">
        <f>G174</f>
        <v>198598028.97999999</v>
      </c>
      <c r="E220" s="369">
        <v>2059813.0699999998</v>
      </c>
      <c r="F220" s="369">
        <v>-350302.36</v>
      </c>
      <c r="G220" s="369">
        <f>SUM(G218:G219)</f>
        <v>200307539.68999997</v>
      </c>
      <c r="H220" s="369"/>
      <c r="I220" s="369">
        <f>O174</f>
        <v>52896405.93</v>
      </c>
      <c r="J220" s="369"/>
      <c r="K220" s="369">
        <v>709693.51</v>
      </c>
      <c r="L220" s="369">
        <f>SUM(L218:L219)</f>
        <v>0</v>
      </c>
      <c r="M220" s="369">
        <v>-350302.36</v>
      </c>
      <c r="N220" s="369">
        <v>-164119.26999999999</v>
      </c>
      <c r="O220" s="369">
        <f>SUM(O218:O219)</f>
        <v>53091677.810000002</v>
      </c>
    </row>
    <row r="221" spans="1:15">
      <c r="A221" s="361"/>
      <c r="B221" s="365"/>
      <c r="D221" s="369"/>
      <c r="E221" s="369"/>
      <c r="F221" s="369"/>
      <c r="G221" s="369"/>
      <c r="H221" s="369"/>
      <c r="I221" s="369"/>
      <c r="J221" s="369"/>
      <c r="K221" s="369"/>
      <c r="L221" s="369"/>
      <c r="M221" s="369"/>
      <c r="N221" s="369"/>
      <c r="O221" s="369"/>
    </row>
    <row r="222" spans="1:15">
      <c r="A222" s="361">
        <f>A220+1</f>
        <v>16</v>
      </c>
      <c r="B222" s="365">
        <v>382</v>
      </c>
      <c r="C222" s="358" t="s">
        <v>1778</v>
      </c>
      <c r="D222" s="369">
        <f>D205</f>
        <v>-6517.7400000000016</v>
      </c>
      <c r="E222" s="369">
        <f>E205</f>
        <v>2800.4300000000003</v>
      </c>
      <c r="F222" s="369">
        <f>F205</f>
        <v>-3453.44</v>
      </c>
      <c r="G222" s="369">
        <f>SUM(D222:F222)</f>
        <v>-7170.7500000000018</v>
      </c>
      <c r="H222" s="369"/>
      <c r="I222" s="369">
        <f>I205</f>
        <v>-9762.9270000000015</v>
      </c>
      <c r="J222" s="369"/>
      <c r="K222" s="369">
        <f>K205</f>
        <v>-10.481999999999999</v>
      </c>
      <c r="L222" s="369">
        <v>0</v>
      </c>
      <c r="M222" s="369">
        <f>M205</f>
        <v>-3453.44</v>
      </c>
      <c r="N222" s="369">
        <f>N205</f>
        <v>0</v>
      </c>
      <c r="O222" s="369">
        <f>I222+K222+L222+M222+N222</f>
        <v>-13226.849000000002</v>
      </c>
    </row>
    <row r="223" spans="1:15">
      <c r="A223" s="361">
        <f>A222+1</f>
        <v>17</v>
      </c>
      <c r="B223" s="365">
        <v>382</v>
      </c>
      <c r="C223" s="358" t="s">
        <v>1624</v>
      </c>
      <c r="D223" s="923">
        <f>D224-D222</f>
        <v>10156849.630000001</v>
      </c>
      <c r="E223" s="923">
        <f>E224-E222</f>
        <v>12038.09</v>
      </c>
      <c r="F223" s="923">
        <f>F224-F222</f>
        <v>0</v>
      </c>
      <c r="G223" s="923">
        <f>SUM(D223:F223)</f>
        <v>10168887.720000001</v>
      </c>
      <c r="H223" s="369"/>
      <c r="I223" s="923">
        <f>I224-I222</f>
        <v>5721124.477</v>
      </c>
      <c r="J223" s="369"/>
      <c r="K223" s="923">
        <f>K224-K222</f>
        <v>14990.621999999999</v>
      </c>
      <c r="L223" s="923">
        <v>0</v>
      </c>
      <c r="M223" s="923">
        <f>M224-M222</f>
        <v>0</v>
      </c>
      <c r="N223" s="923">
        <f>N224-N222</f>
        <v>0</v>
      </c>
      <c r="O223" s="923">
        <f>I223+K223+L223+M223+N223</f>
        <v>5736115.0990000004</v>
      </c>
    </row>
    <row r="224" spans="1:15">
      <c r="A224" s="361">
        <f>A223+1</f>
        <v>18</v>
      </c>
      <c r="B224" s="365">
        <v>382</v>
      </c>
      <c r="C224" s="358" t="s">
        <v>3081</v>
      </c>
      <c r="D224" s="369">
        <f>G178</f>
        <v>10150331.890000001</v>
      </c>
      <c r="E224" s="369">
        <v>14838.52</v>
      </c>
      <c r="F224" s="369">
        <v>-3453.44</v>
      </c>
      <c r="G224" s="369">
        <f>SUM(G222:G223)</f>
        <v>10161716.970000001</v>
      </c>
      <c r="H224" s="369"/>
      <c r="I224" s="369">
        <f>O178</f>
        <v>5711361.5499999998</v>
      </c>
      <c r="J224" s="369"/>
      <c r="K224" s="369">
        <v>14980.14</v>
      </c>
      <c r="L224" s="369">
        <f>SUM(L222:L223)</f>
        <v>0</v>
      </c>
      <c r="M224" s="369">
        <v>-3453.44</v>
      </c>
      <c r="N224" s="369">
        <v>0</v>
      </c>
      <c r="O224" s="369">
        <f>SUM(O222:O223)</f>
        <v>5722888.25</v>
      </c>
    </row>
    <row r="225" spans="1:15">
      <c r="A225" s="361"/>
      <c r="B225" s="365"/>
      <c r="D225" s="369"/>
      <c r="E225" s="369"/>
      <c r="F225" s="369"/>
      <c r="G225" s="369"/>
      <c r="H225" s="369"/>
      <c r="I225" s="369"/>
      <c r="J225" s="369"/>
      <c r="K225" s="369"/>
      <c r="L225" s="369"/>
      <c r="M225" s="369"/>
      <c r="N225" s="369"/>
      <c r="O225" s="369"/>
    </row>
    <row r="226" spans="1:15">
      <c r="A226" s="361">
        <f>A224+1</f>
        <v>19</v>
      </c>
      <c r="B226" s="365">
        <v>383</v>
      </c>
      <c r="C226" s="358" t="s">
        <v>1779</v>
      </c>
      <c r="D226" s="369">
        <f>D206</f>
        <v>-747.55000000000007</v>
      </c>
      <c r="E226" s="369">
        <f>E206</f>
        <v>0</v>
      </c>
      <c r="F226" s="369">
        <f>F206</f>
        <v>-348.81</v>
      </c>
      <c r="G226" s="369">
        <f>SUM(D226:F226)</f>
        <v>-1096.3600000000001</v>
      </c>
      <c r="H226" s="369"/>
      <c r="I226" s="369">
        <f>I206</f>
        <v>-750.15500000000009</v>
      </c>
      <c r="J226" s="369"/>
      <c r="K226" s="369">
        <f>K206</f>
        <v>-1.282</v>
      </c>
      <c r="L226" s="369">
        <v>0</v>
      </c>
      <c r="M226" s="369">
        <f>M206</f>
        <v>-348.81</v>
      </c>
      <c r="N226" s="369">
        <f>N206</f>
        <v>0</v>
      </c>
      <c r="O226" s="369">
        <f>I226+K226+L226+M226+N226</f>
        <v>-1100.2470000000001</v>
      </c>
    </row>
    <row r="227" spans="1:15">
      <c r="A227" s="361">
        <f>A226+1</f>
        <v>20</v>
      </c>
      <c r="B227" s="365">
        <v>383</v>
      </c>
      <c r="C227" s="358" t="s">
        <v>1625</v>
      </c>
      <c r="D227" s="923">
        <f>D228-D226</f>
        <v>7182802.4899999993</v>
      </c>
      <c r="E227" s="923">
        <f>E228-E226</f>
        <v>5712.37</v>
      </c>
      <c r="F227" s="923">
        <f>F228-F226</f>
        <v>0</v>
      </c>
      <c r="G227" s="923">
        <f>SUM(D227:F227)</f>
        <v>7188514.8599999994</v>
      </c>
      <c r="H227" s="369"/>
      <c r="I227" s="923">
        <f>I228-I226</f>
        <v>2392795.625</v>
      </c>
      <c r="J227" s="369"/>
      <c r="K227" s="923">
        <f>K228-K226</f>
        <v>11616.611999999999</v>
      </c>
      <c r="L227" s="923">
        <v>0</v>
      </c>
      <c r="M227" s="923">
        <f>M228-M226</f>
        <v>0</v>
      </c>
      <c r="N227" s="923">
        <f>N228-N226</f>
        <v>0</v>
      </c>
      <c r="O227" s="923">
        <f>I227+K227+L227+M227+N227</f>
        <v>2404412.2370000002</v>
      </c>
    </row>
    <row r="228" spans="1:15">
      <c r="A228" s="361">
        <f>A227+1</f>
        <v>21</v>
      </c>
      <c r="B228" s="365">
        <v>383</v>
      </c>
      <c r="C228" s="358" t="s">
        <v>3082</v>
      </c>
      <c r="D228" s="369">
        <f>G182</f>
        <v>7182054.9399999995</v>
      </c>
      <c r="E228" s="369">
        <v>5712.37</v>
      </c>
      <c r="F228" s="369">
        <v>-348.81</v>
      </c>
      <c r="G228" s="369">
        <f>SUM(G226:G227)</f>
        <v>7187418.4999999991</v>
      </c>
      <c r="H228" s="369"/>
      <c r="I228" s="369">
        <f>O182</f>
        <v>2392045.4700000002</v>
      </c>
      <c r="J228" s="369"/>
      <c r="K228" s="369">
        <v>11615.33</v>
      </c>
      <c r="L228" s="369">
        <f>SUM(L226:L227)</f>
        <v>0</v>
      </c>
      <c r="M228" s="369">
        <v>-348.81</v>
      </c>
      <c r="N228" s="369">
        <v>0</v>
      </c>
      <c r="O228" s="369">
        <f>SUM(O226:O227)</f>
        <v>2403311.9900000002</v>
      </c>
    </row>
    <row r="229" spans="1:15">
      <c r="B229" s="365"/>
      <c r="D229" s="369"/>
      <c r="E229" s="369"/>
      <c r="F229" s="369"/>
      <c r="G229" s="369"/>
      <c r="I229" s="369"/>
      <c r="K229" s="369"/>
      <c r="L229" s="369"/>
      <c r="M229" s="369"/>
      <c r="N229" s="369"/>
      <c r="O229" s="369"/>
    </row>
    <row r="230" spans="1:15">
      <c r="B230" s="365"/>
      <c r="D230" s="369"/>
      <c r="E230" s="369"/>
      <c r="F230" s="369"/>
      <c r="G230" s="369"/>
      <c r="I230" s="369"/>
      <c r="K230" s="369"/>
      <c r="L230" s="369"/>
      <c r="M230" s="369"/>
      <c r="N230" s="369"/>
      <c r="O230" s="369"/>
    </row>
    <row r="231" spans="1:15" s="291" customFormat="1">
      <c r="A231" s="1308" t="str">
        <f>$A$1</f>
        <v>COLUMBIA GAS OF KENTUCKY, INC.</v>
      </c>
      <c r="B231" s="1308"/>
      <c r="C231" s="1308"/>
      <c r="D231" s="1308"/>
      <c r="E231" s="1308"/>
      <c r="F231" s="1308"/>
      <c r="G231" s="1308"/>
      <c r="H231" s="1308"/>
      <c r="I231" s="1308"/>
      <c r="J231" s="1308"/>
      <c r="K231" s="1308"/>
      <c r="L231" s="1308"/>
      <c r="M231" s="1308"/>
      <c r="N231" s="1308"/>
      <c r="O231" s="1308"/>
    </row>
    <row r="232" spans="1:15" s="291" customFormat="1">
      <c r="A232" s="1308" t="str">
        <f>$A$2</f>
        <v>CASE NO. 2024 - 00092</v>
      </c>
      <c r="B232" s="1308"/>
      <c r="C232" s="1308"/>
      <c r="D232" s="1308"/>
      <c r="E232" s="1308"/>
      <c r="F232" s="1308"/>
      <c r="G232" s="1308"/>
      <c r="H232" s="1308"/>
      <c r="I232" s="1308"/>
      <c r="J232" s="1308"/>
      <c r="K232" s="1308"/>
      <c r="L232" s="1308"/>
      <c r="M232" s="1308"/>
      <c r="N232" s="1308"/>
      <c r="O232" s="1308"/>
    </row>
    <row r="233" spans="1:15" s="291" customFormat="1">
      <c r="A233" s="1308" t="str">
        <f>$A$3</f>
        <v>DETAIL OF ACTUAL &amp;  FORECASTED SMRP PLANT, ACCUMULATED RESERVE &amp; DEPRECIATION EXPENSE</v>
      </c>
      <c r="B233" s="1308"/>
      <c r="C233" s="1308"/>
      <c r="D233" s="1308"/>
      <c r="E233" s="1308"/>
      <c r="F233" s="1308"/>
      <c r="G233" s="1308"/>
      <c r="H233" s="1308"/>
      <c r="I233" s="1308"/>
      <c r="J233" s="1308"/>
      <c r="K233" s="1308"/>
      <c r="L233" s="1308"/>
      <c r="M233" s="1308"/>
      <c r="N233" s="1308"/>
      <c r="O233" s="1308"/>
    </row>
    <row r="234" spans="1:15" s="291" customFormat="1">
      <c r="A234" s="1308" t="str">
        <f>$A$4</f>
        <v>FROM JANUARY 01, 2023 THROUGH DECEMBER 31, 2025</v>
      </c>
      <c r="B234" s="1308"/>
      <c r="C234" s="1308"/>
      <c r="D234" s="1308"/>
      <c r="E234" s="1308"/>
      <c r="F234" s="1308"/>
      <c r="G234" s="1308"/>
      <c r="H234" s="1308"/>
      <c r="I234" s="1308"/>
      <c r="J234" s="1308"/>
      <c r="K234" s="1308"/>
      <c r="L234" s="1308"/>
      <c r="M234" s="1308"/>
      <c r="N234" s="1308"/>
      <c r="O234" s="1308"/>
    </row>
    <row r="235" spans="1:15" s="291" customFormat="1">
      <c r="B235" s="293"/>
    </row>
    <row r="236" spans="1:15" s="291" customFormat="1">
      <c r="A236" s="297" t="str">
        <f>'General Headers Index'!$B$34</f>
        <v xml:space="preserve">DATA: _X_ BASE PERIOD _X_ FORECASTED PERIOD     </v>
      </c>
      <c r="B236" s="293"/>
      <c r="O236" s="312" t="s">
        <v>2461</v>
      </c>
    </row>
    <row r="237" spans="1:15" s="291" customFormat="1">
      <c r="A237" s="297" t="str">
        <f>'General Headers Index'!$B$37</f>
        <v>TYPE OF FILING:___X___ORIGINAL______UPDATED</v>
      </c>
      <c r="B237" s="293"/>
      <c r="O237" s="312" t="s">
        <v>2228</v>
      </c>
    </row>
    <row r="238" spans="1:15" s="291" customFormat="1">
      <c r="A238" s="297" t="s">
        <v>2150</v>
      </c>
      <c r="B238" s="293"/>
      <c r="O238" s="312" t="str">
        <f>"WITNESS: "&amp;'General Headers Index'!$B$42</f>
        <v>WITNESS: GORE</v>
      </c>
    </row>
    <row r="239" spans="1:15">
      <c r="A239" s="918"/>
      <c r="B239" s="918"/>
      <c r="C239" s="918"/>
      <c r="D239" s="918"/>
      <c r="E239" s="918"/>
      <c r="F239" s="918"/>
      <c r="G239" s="918"/>
      <c r="H239" s="918"/>
      <c r="I239" s="918"/>
      <c r="J239" s="918"/>
      <c r="K239" s="918"/>
      <c r="L239" s="918"/>
      <c r="M239" s="918"/>
      <c r="N239" s="918"/>
      <c r="O239" s="918"/>
    </row>
    <row r="240" spans="1:15">
      <c r="B240" s="359"/>
      <c r="D240" s="1312" t="s">
        <v>1768</v>
      </c>
      <c r="E240" s="1312"/>
      <c r="F240" s="1312"/>
      <c r="G240" s="1312"/>
      <c r="I240" s="1312" t="s">
        <v>1769</v>
      </c>
      <c r="J240" s="1312"/>
      <c r="K240" s="1312"/>
      <c r="L240" s="1312"/>
      <c r="M240" s="1312"/>
      <c r="N240" s="1312"/>
      <c r="O240" s="1312"/>
    </row>
    <row r="241" spans="1:15">
      <c r="B241" s="359"/>
      <c r="D241" s="360">
        <f>G195+1</f>
        <v>45078</v>
      </c>
      <c r="G241" s="360">
        <f>D241+29</f>
        <v>45107</v>
      </c>
      <c r="I241" s="360">
        <f>D241</f>
        <v>45078</v>
      </c>
      <c r="O241" s="360">
        <f>G241</f>
        <v>45107</v>
      </c>
    </row>
    <row r="242" spans="1:15">
      <c r="B242" s="359"/>
      <c r="D242" s="361" t="s">
        <v>1757</v>
      </c>
      <c r="G242" s="361" t="s">
        <v>1757</v>
      </c>
      <c r="I242" s="361" t="s">
        <v>1758</v>
      </c>
      <c r="J242" s="361" t="s">
        <v>488</v>
      </c>
      <c r="L242" s="361" t="s">
        <v>1758</v>
      </c>
      <c r="O242" s="361" t="s">
        <v>1758</v>
      </c>
    </row>
    <row r="243" spans="1:15">
      <c r="A243" s="361" t="s">
        <v>1770</v>
      </c>
      <c r="B243" s="361" t="s">
        <v>368</v>
      </c>
      <c r="C243" s="361"/>
      <c r="D243" s="361" t="s">
        <v>437</v>
      </c>
      <c r="G243" s="361" t="s">
        <v>439</v>
      </c>
      <c r="I243" s="361" t="s">
        <v>437</v>
      </c>
      <c r="J243" s="361" t="s">
        <v>1771</v>
      </c>
      <c r="K243" s="361" t="s">
        <v>1772</v>
      </c>
      <c r="L243" s="361" t="s">
        <v>1759</v>
      </c>
      <c r="N243" s="361" t="s">
        <v>1760</v>
      </c>
      <c r="O243" s="361" t="s">
        <v>439</v>
      </c>
    </row>
    <row r="244" spans="1:15">
      <c r="A244" s="364" t="s">
        <v>316</v>
      </c>
      <c r="B244" s="364" t="s">
        <v>316</v>
      </c>
      <c r="C244" s="364" t="s">
        <v>451</v>
      </c>
      <c r="D244" s="364" t="s">
        <v>441</v>
      </c>
      <c r="E244" s="364" t="s">
        <v>442</v>
      </c>
      <c r="F244" s="364" t="s">
        <v>443</v>
      </c>
      <c r="G244" s="364" t="s">
        <v>441</v>
      </c>
      <c r="I244" s="364" t="s">
        <v>441</v>
      </c>
      <c r="J244" s="364" t="s">
        <v>1773</v>
      </c>
      <c r="K244" s="364" t="s">
        <v>1771</v>
      </c>
      <c r="L244" s="364" t="s">
        <v>355</v>
      </c>
      <c r="M244" s="364" t="s">
        <v>443</v>
      </c>
      <c r="N244" s="364" t="s">
        <v>1763</v>
      </c>
      <c r="O244" s="364" t="s">
        <v>441</v>
      </c>
    </row>
    <row r="245" spans="1:15">
      <c r="B245" s="359"/>
      <c r="D245" s="361" t="s">
        <v>532</v>
      </c>
      <c r="E245" s="361" t="s">
        <v>541</v>
      </c>
      <c r="F245" s="361" t="s">
        <v>542</v>
      </c>
      <c r="G245" s="361" t="s">
        <v>1764</v>
      </c>
      <c r="I245" s="334" t="str">
        <f>"(5)"</f>
        <v>(5)</v>
      </c>
      <c r="J245" s="334" t="str">
        <f>"(6)"</f>
        <v>(6)</v>
      </c>
      <c r="K245" s="334" t="str">
        <f>"(7)"</f>
        <v>(7)</v>
      </c>
      <c r="L245" s="334" t="str">
        <f>"(8)"</f>
        <v>(8)</v>
      </c>
      <c r="M245" s="334" t="str">
        <f>"(9)"</f>
        <v>(9)</v>
      </c>
      <c r="N245" s="334" t="str">
        <f>"(10)"</f>
        <v>(10)</v>
      </c>
      <c r="O245" s="334" t="str">
        <f>"(11=5+7+8+9+10)"</f>
        <v>(11=5+7+8+9+10)</v>
      </c>
    </row>
    <row r="246" spans="1:15">
      <c r="B246" s="359"/>
      <c r="D246" s="361" t="s">
        <v>320</v>
      </c>
      <c r="E246" s="361" t="s">
        <v>320</v>
      </c>
      <c r="F246" s="361" t="s">
        <v>320</v>
      </c>
      <c r="G246" s="361" t="s">
        <v>320</v>
      </c>
      <c r="I246" s="334" t="s">
        <v>320</v>
      </c>
      <c r="J246" s="1250" t="s">
        <v>529</v>
      </c>
      <c r="K246" s="334" t="s">
        <v>320</v>
      </c>
      <c r="L246" s="334" t="s">
        <v>320</v>
      </c>
      <c r="M246" s="334" t="s">
        <v>320</v>
      </c>
      <c r="N246" s="334" t="s">
        <v>320</v>
      </c>
      <c r="O246" s="334" t="s">
        <v>320</v>
      </c>
    </row>
    <row r="247" spans="1:15">
      <c r="B247" s="359"/>
      <c r="D247" s="361"/>
      <c r="E247" s="361"/>
      <c r="F247" s="361"/>
      <c r="G247" s="361"/>
      <c r="I247" s="334"/>
      <c r="J247" s="334"/>
      <c r="K247" s="334"/>
      <c r="L247" s="334"/>
      <c r="M247" s="334"/>
      <c r="N247" s="334"/>
      <c r="O247" s="334"/>
    </row>
    <row r="248" spans="1:15">
      <c r="A248" s="361">
        <v>1</v>
      </c>
      <c r="B248" s="365">
        <v>376</v>
      </c>
      <c r="C248" s="358" t="s">
        <v>1775</v>
      </c>
      <c r="D248" s="369">
        <f>G202</f>
        <v>8661139.0200000014</v>
      </c>
      <c r="E248" s="369">
        <v>3854453.0500000007</v>
      </c>
      <c r="F248" s="369">
        <v>-207</v>
      </c>
      <c r="G248" s="369">
        <f>SUM(D248:F248)</f>
        <v>12515385.070000002</v>
      </c>
      <c r="H248" s="369"/>
      <c r="I248" s="369">
        <f>O202</f>
        <v>-4761.3939999999993</v>
      </c>
      <c r="J248" s="369"/>
      <c r="K248" s="369">
        <v>15353.328</v>
      </c>
      <c r="L248" s="369">
        <v>0</v>
      </c>
      <c r="M248" s="369">
        <f>F248</f>
        <v>-207</v>
      </c>
      <c r="N248" s="369">
        <v>0</v>
      </c>
      <c r="O248" s="369">
        <f>I248+K248+L248+M248+N248</f>
        <v>10384.934000000001</v>
      </c>
    </row>
    <row r="249" spans="1:15">
      <c r="A249" s="361">
        <f>A248+1</f>
        <v>2</v>
      </c>
      <c r="B249" s="365">
        <v>378.2</v>
      </c>
      <c r="C249" s="358" t="s">
        <v>1776</v>
      </c>
      <c r="D249" s="369">
        <f>G203</f>
        <v>-42101.490000000005</v>
      </c>
      <c r="E249" s="369">
        <v>0</v>
      </c>
      <c r="F249" s="369">
        <v>-98607.48000000001</v>
      </c>
      <c r="G249" s="369">
        <f>SUM(D249:F249)</f>
        <v>-140708.97000000003</v>
      </c>
      <c r="H249" s="369"/>
      <c r="I249" s="369">
        <f>O203</f>
        <v>-53325.255000000005</v>
      </c>
      <c r="J249" s="369"/>
      <c r="K249" s="369">
        <v>-191.53800000000001</v>
      </c>
      <c r="L249" s="369">
        <v>0</v>
      </c>
      <c r="M249" s="369">
        <f>F249</f>
        <v>-98607.48000000001</v>
      </c>
      <c r="N249" s="369">
        <v>-9703.0300000000007</v>
      </c>
      <c r="O249" s="369">
        <f>I249+K249+L249+M249+N249</f>
        <v>-161827.30300000001</v>
      </c>
    </row>
    <row r="250" spans="1:15">
      <c r="A250" s="361">
        <f>A249+1</f>
        <v>3</v>
      </c>
      <c r="B250" s="365">
        <v>380</v>
      </c>
      <c r="C250" s="358" t="s">
        <v>1777</v>
      </c>
      <c r="D250" s="369">
        <f>G204</f>
        <v>4241033.6685068952</v>
      </c>
      <c r="E250" s="369">
        <v>1124603.45</v>
      </c>
      <c r="F250" s="369">
        <v>-358664.11432266055</v>
      </c>
      <c r="G250" s="369">
        <f>SUM(D250:F250)</f>
        <v>5006973.0041842349</v>
      </c>
      <c r="H250" s="369"/>
      <c r="I250" s="369">
        <f>O204</f>
        <v>-1940567.8168201053</v>
      </c>
      <c r="J250" s="369"/>
      <c r="K250" s="369">
        <v>15336.183000000001</v>
      </c>
      <c r="L250" s="369">
        <v>0</v>
      </c>
      <c r="M250" s="369">
        <f>F250</f>
        <v>-358664.11432266055</v>
      </c>
      <c r="N250" s="369">
        <v>-133263.05598800001</v>
      </c>
      <c r="O250" s="369">
        <f>I250+K250+L250+M250+N250</f>
        <v>-2417158.8041307656</v>
      </c>
    </row>
    <row r="251" spans="1:15">
      <c r="A251" s="361">
        <f>A250+1</f>
        <v>4</v>
      </c>
      <c r="B251" s="365">
        <v>382</v>
      </c>
      <c r="C251" s="358" t="s">
        <v>1778</v>
      </c>
      <c r="D251" s="369">
        <f>G205</f>
        <v>-7170.7500000000018</v>
      </c>
      <c r="E251" s="369">
        <v>4551.3500000000004</v>
      </c>
      <c r="F251" s="369">
        <v>-3705.5099999999998</v>
      </c>
      <c r="G251" s="369">
        <f>SUM(D251:F251)</f>
        <v>-6324.9100000000017</v>
      </c>
      <c r="H251" s="369"/>
      <c r="I251" s="369">
        <f>O205</f>
        <v>-13226.849000000002</v>
      </c>
      <c r="J251" s="369"/>
      <c r="K251" s="369">
        <v>-10.375999999999999</v>
      </c>
      <c r="L251" s="369">
        <v>0</v>
      </c>
      <c r="M251" s="369">
        <f>F251</f>
        <v>-3705.5099999999998</v>
      </c>
      <c r="N251" s="369">
        <v>0</v>
      </c>
      <c r="O251" s="369">
        <f>I251+K251+L251+M251+N251</f>
        <v>-16942.735000000001</v>
      </c>
    </row>
    <row r="252" spans="1:15">
      <c r="A252" s="361">
        <f>A251+1</f>
        <v>5</v>
      </c>
      <c r="B252" s="365">
        <v>383</v>
      </c>
      <c r="C252" s="358" t="s">
        <v>1779</v>
      </c>
      <c r="D252" s="923">
        <f>G206</f>
        <v>-1096.3600000000001</v>
      </c>
      <c r="E252" s="923">
        <v>0</v>
      </c>
      <c r="F252" s="923">
        <v>-226.33</v>
      </c>
      <c r="G252" s="923">
        <f>SUM(D252:F252)</f>
        <v>-1322.69</v>
      </c>
      <c r="H252" s="369"/>
      <c r="I252" s="923">
        <f>O206</f>
        <v>-1100.2470000000001</v>
      </c>
      <c r="J252" s="369"/>
      <c r="K252" s="923">
        <v>-2.1829999999999998</v>
      </c>
      <c r="L252" s="923">
        <v>0</v>
      </c>
      <c r="M252" s="923">
        <f>F252</f>
        <v>-226.33</v>
      </c>
      <c r="N252" s="923">
        <v>0</v>
      </c>
      <c r="O252" s="923">
        <f>I252+K252+L252+M252+N252</f>
        <v>-1328.76</v>
      </c>
    </row>
    <row r="253" spans="1:15">
      <c r="A253" s="361">
        <f>A252+1</f>
        <v>6</v>
      </c>
      <c r="C253" s="358" t="s">
        <v>3077</v>
      </c>
      <c r="D253" s="369">
        <f>SUM(D248:D252)</f>
        <v>12851804.088506896</v>
      </c>
      <c r="E253" s="369">
        <f>SUM(E248:E252)</f>
        <v>4983607.8500000006</v>
      </c>
      <c r="F253" s="369">
        <f>SUM(F248:F252)</f>
        <v>-461410.43432266061</v>
      </c>
      <c r="G253" s="369">
        <f>SUM(G248:G252)</f>
        <v>17374001.504184235</v>
      </c>
      <c r="H253" s="369"/>
      <c r="I253" s="369">
        <f>SUM(I248:I252)</f>
        <v>-2012981.5618201052</v>
      </c>
      <c r="J253" s="369"/>
      <c r="K253" s="369">
        <f>SUM(K248:K252)</f>
        <v>30485.413999999997</v>
      </c>
      <c r="L253" s="369">
        <f t="shared" ref="L253" si="5">SUM(L248:L252)</f>
        <v>0</v>
      </c>
      <c r="M253" s="369">
        <f>SUM(M248:M252)</f>
        <v>-461410.43432266061</v>
      </c>
      <c r="N253" s="369">
        <f>SUM(N248:N252)</f>
        <v>-142966.08598800001</v>
      </c>
      <c r="O253" s="369">
        <f>SUM(O248:O252)</f>
        <v>-2586872.6681307652</v>
      </c>
    </row>
    <row r="254" spans="1:15">
      <c r="A254" s="361"/>
      <c r="D254" s="369"/>
      <c r="E254" s="369"/>
      <c r="F254" s="369"/>
      <c r="G254" s="369"/>
      <c r="H254" s="369"/>
      <c r="I254" s="369"/>
      <c r="J254" s="369"/>
      <c r="K254" s="369"/>
      <c r="L254" s="369"/>
      <c r="M254" s="369"/>
      <c r="N254" s="369"/>
      <c r="O254" s="369"/>
    </row>
    <row r="255" spans="1:15">
      <c r="A255" s="361"/>
      <c r="D255" s="369"/>
      <c r="E255" s="369"/>
      <c r="F255" s="369"/>
      <c r="G255" s="369"/>
      <c r="H255" s="369"/>
      <c r="I255" s="369"/>
      <c r="J255" s="369"/>
      <c r="K255" s="369"/>
      <c r="L255" s="369"/>
      <c r="M255" s="369"/>
      <c r="N255" s="369"/>
      <c r="O255" s="369"/>
    </row>
    <row r="256" spans="1:15">
      <c r="A256" s="361">
        <f>A253+1</f>
        <v>7</v>
      </c>
      <c r="B256" s="365">
        <v>376</v>
      </c>
      <c r="C256" s="358" t="s">
        <v>1775</v>
      </c>
      <c r="D256" s="369">
        <f>D248</f>
        <v>8661139.0200000014</v>
      </c>
      <c r="E256" s="369">
        <f>E248</f>
        <v>3854453.0500000007</v>
      </c>
      <c r="F256" s="369">
        <f>F248</f>
        <v>-207</v>
      </c>
      <c r="G256" s="369">
        <f>SUM(D256:F256)</f>
        <v>12515385.070000002</v>
      </c>
      <c r="H256" s="369"/>
      <c r="I256" s="369">
        <f>I248</f>
        <v>-4761.3939999999993</v>
      </c>
      <c r="J256" s="369"/>
      <c r="K256" s="369">
        <f>K248</f>
        <v>15353.328</v>
      </c>
      <c r="L256" s="369">
        <v>0</v>
      </c>
      <c r="M256" s="369">
        <f>M248</f>
        <v>-207</v>
      </c>
      <c r="N256" s="369">
        <f>N248</f>
        <v>0</v>
      </c>
      <c r="O256" s="369">
        <f>I256+K256+L256+M256+N256</f>
        <v>10384.934000000001</v>
      </c>
    </row>
    <row r="257" spans="1:15">
      <c r="A257" s="361">
        <f>A256+1</f>
        <v>8</v>
      </c>
      <c r="B257" s="365">
        <v>376</v>
      </c>
      <c r="C257" s="358" t="s">
        <v>1621</v>
      </c>
      <c r="D257" s="923">
        <f>D258-D256</f>
        <v>403865062.19000006</v>
      </c>
      <c r="E257" s="923">
        <f>E258-E256</f>
        <v>526070.57999999914</v>
      </c>
      <c r="F257" s="923">
        <f>F258-F256</f>
        <v>-140884.80000000002</v>
      </c>
      <c r="G257" s="923">
        <f>SUM(D257:F257)</f>
        <v>404250247.97000003</v>
      </c>
      <c r="H257" s="369"/>
      <c r="I257" s="923">
        <f>I258-I256</f>
        <v>77061373.683999985</v>
      </c>
      <c r="J257" s="369"/>
      <c r="K257" s="923">
        <f>K258-K256</f>
        <v>582427.82200000004</v>
      </c>
      <c r="L257" s="923">
        <v>0</v>
      </c>
      <c r="M257" s="923">
        <f>M258-M256</f>
        <v>-140884.80000000002</v>
      </c>
      <c r="N257" s="923">
        <f>N258-N256</f>
        <v>-3511.94</v>
      </c>
      <c r="O257" s="923">
        <f>I257+K257+L257+M257+N257</f>
        <v>77499404.765999988</v>
      </c>
    </row>
    <row r="258" spans="1:15">
      <c r="A258" s="361">
        <f>A257+1</f>
        <v>9</v>
      </c>
      <c r="B258" s="365">
        <v>376</v>
      </c>
      <c r="C258" s="358" t="s">
        <v>3078</v>
      </c>
      <c r="D258" s="369">
        <f>G212</f>
        <v>412526201.21000004</v>
      </c>
      <c r="E258" s="369">
        <v>4380523.63</v>
      </c>
      <c r="F258" s="369">
        <v>-141091.80000000002</v>
      </c>
      <c r="G258" s="369">
        <f>SUM(G256:G257)</f>
        <v>416765633.04000002</v>
      </c>
      <c r="H258" s="369"/>
      <c r="I258" s="369">
        <f>O212</f>
        <v>77056612.289999992</v>
      </c>
      <c r="J258" s="369"/>
      <c r="K258" s="369">
        <v>597781.15</v>
      </c>
      <c r="L258" s="369">
        <f>SUM(L256:L257)</f>
        <v>0</v>
      </c>
      <c r="M258" s="369">
        <v>-141091.80000000002</v>
      </c>
      <c r="N258" s="369">
        <v>-3511.94</v>
      </c>
      <c r="O258" s="369">
        <f>SUM(O256:O257)</f>
        <v>77509789.699999988</v>
      </c>
    </row>
    <row r="259" spans="1:15">
      <c r="A259" s="361"/>
      <c r="B259" s="365"/>
      <c r="D259" s="369"/>
      <c r="E259" s="369"/>
      <c r="F259" s="369"/>
      <c r="G259" s="369"/>
      <c r="H259" s="369"/>
      <c r="I259" s="369"/>
      <c r="J259" s="369"/>
      <c r="K259" s="369"/>
      <c r="L259" s="369"/>
      <c r="M259" s="369"/>
      <c r="N259" s="369"/>
      <c r="O259" s="369"/>
    </row>
    <row r="260" spans="1:15">
      <c r="A260" s="361">
        <f>A258+1</f>
        <v>10</v>
      </c>
      <c r="B260" s="365">
        <v>378.2</v>
      </c>
      <c r="C260" s="358" t="s">
        <v>1776</v>
      </c>
      <c r="D260" s="369">
        <f>D249</f>
        <v>-42101.490000000005</v>
      </c>
      <c r="E260" s="369">
        <f>E249</f>
        <v>0</v>
      </c>
      <c r="F260" s="369">
        <f>F249</f>
        <v>-98607.48000000001</v>
      </c>
      <c r="G260" s="369">
        <f>SUM(D260:F260)</f>
        <v>-140708.97000000003</v>
      </c>
      <c r="H260" s="369"/>
      <c r="I260" s="369">
        <f>I249</f>
        <v>-53325.255000000005</v>
      </c>
      <c r="J260" s="369"/>
      <c r="K260" s="369">
        <f>K249</f>
        <v>-191.53800000000001</v>
      </c>
      <c r="L260" s="369">
        <v>0</v>
      </c>
      <c r="M260" s="369">
        <f>M249</f>
        <v>-98607.48000000001</v>
      </c>
      <c r="N260" s="369">
        <f>N249</f>
        <v>-9703.0300000000007</v>
      </c>
      <c r="O260" s="369">
        <f>I260+K260+L260+M260+N260</f>
        <v>-161827.30300000001</v>
      </c>
    </row>
    <row r="261" spans="1:15">
      <c r="A261" s="361">
        <f>A260+1</f>
        <v>11</v>
      </c>
      <c r="B261" s="365">
        <v>378.2</v>
      </c>
      <c r="C261" s="358" t="s">
        <v>1622</v>
      </c>
      <c r="D261" s="923">
        <f>D262-D260</f>
        <v>25241431.530000001</v>
      </c>
      <c r="E261" s="923">
        <f>E262-E260</f>
        <v>10172.579999999987</v>
      </c>
      <c r="F261" s="923">
        <f>F262-F260</f>
        <v>0</v>
      </c>
      <c r="G261" s="923">
        <f>SUM(D261:F261)</f>
        <v>25251604.109999999</v>
      </c>
      <c r="H261" s="369"/>
      <c r="I261" s="923">
        <f>I262-I260</f>
        <v>3039401.415</v>
      </c>
      <c r="J261" s="369"/>
      <c r="K261" s="923">
        <f>K262-K260</f>
        <v>53174.347999999998</v>
      </c>
      <c r="L261" s="923">
        <v>0</v>
      </c>
      <c r="M261" s="923">
        <f>M262-M260</f>
        <v>0</v>
      </c>
      <c r="N261" s="923">
        <f>N262-N260</f>
        <v>0</v>
      </c>
      <c r="O261" s="923">
        <f>I261+K261+L261+M261+N261</f>
        <v>3092575.7630000003</v>
      </c>
    </row>
    <row r="262" spans="1:15">
      <c r="A262" s="361">
        <f>A261+1</f>
        <v>12</v>
      </c>
      <c r="B262" s="365">
        <v>378.2</v>
      </c>
      <c r="C262" s="358" t="s">
        <v>3079</v>
      </c>
      <c r="D262" s="369">
        <f>G216</f>
        <v>25199330.040000003</v>
      </c>
      <c r="E262" s="369">
        <v>10172.579999999987</v>
      </c>
      <c r="F262" s="369">
        <v>-98607.48</v>
      </c>
      <c r="G262" s="369">
        <f>SUM(G260:G261)</f>
        <v>25110895.140000001</v>
      </c>
      <c r="H262" s="369"/>
      <c r="I262" s="369">
        <f>O216</f>
        <v>2986076.1600000001</v>
      </c>
      <c r="J262" s="369"/>
      <c r="K262" s="369">
        <v>52982.81</v>
      </c>
      <c r="L262" s="369">
        <f>SUM(L260:L261)</f>
        <v>0</v>
      </c>
      <c r="M262" s="369">
        <v>-98607.48</v>
      </c>
      <c r="N262" s="369">
        <v>-9703.0300000000007</v>
      </c>
      <c r="O262" s="369">
        <f>SUM(O260:O261)</f>
        <v>2930748.4600000004</v>
      </c>
    </row>
    <row r="263" spans="1:15">
      <c r="A263" s="361"/>
      <c r="B263" s="365"/>
      <c r="D263" s="369"/>
      <c r="E263" s="369"/>
      <c r="F263" s="369"/>
      <c r="G263" s="369"/>
      <c r="H263" s="369"/>
      <c r="I263" s="369"/>
      <c r="J263" s="369"/>
      <c r="K263" s="369"/>
      <c r="L263" s="369"/>
      <c r="M263" s="369"/>
      <c r="N263" s="369"/>
      <c r="O263" s="369"/>
    </row>
    <row r="264" spans="1:15">
      <c r="A264" s="361">
        <f>A262+1</f>
        <v>13</v>
      </c>
      <c r="B264" s="365">
        <v>380</v>
      </c>
      <c r="C264" s="358" t="s">
        <v>1777</v>
      </c>
      <c r="D264" s="369">
        <f>D250</f>
        <v>4241033.6685068952</v>
      </c>
      <c r="E264" s="369">
        <f>E250</f>
        <v>1124603.45</v>
      </c>
      <c r="F264" s="369">
        <f>F250</f>
        <v>-358664.11432266055</v>
      </c>
      <c r="G264" s="369">
        <f>SUM(D264:F264)</f>
        <v>5006973.0041842349</v>
      </c>
      <c r="H264" s="369"/>
      <c r="I264" s="369">
        <f>I250</f>
        <v>-1940567.8168201053</v>
      </c>
      <c r="J264" s="369"/>
      <c r="K264" s="369">
        <f>K250</f>
        <v>15336.183000000001</v>
      </c>
      <c r="L264" s="369">
        <v>0</v>
      </c>
      <c r="M264" s="369">
        <f>M250</f>
        <v>-358664.11432266055</v>
      </c>
      <c r="N264" s="369">
        <f>N250</f>
        <v>-133263.05598800001</v>
      </c>
      <c r="O264" s="369">
        <f>I264+K264+L264+M264+N264</f>
        <v>-2417158.8041307656</v>
      </c>
    </row>
    <row r="265" spans="1:15">
      <c r="A265" s="361">
        <f>A264+1</f>
        <v>14</v>
      </c>
      <c r="B265" s="365">
        <v>380</v>
      </c>
      <c r="C265" s="358" t="s">
        <v>1623</v>
      </c>
      <c r="D265" s="923">
        <f>D266-D264</f>
        <v>196066506.02149308</v>
      </c>
      <c r="E265" s="923">
        <f>E266-E264</f>
        <v>749677.84000000008</v>
      </c>
      <c r="F265" s="923">
        <f>F266-F264</f>
        <v>-71336.515677339456</v>
      </c>
      <c r="G265" s="923">
        <f>SUM(D265:F265)</f>
        <v>196744847.34581575</v>
      </c>
      <c r="H265" s="369"/>
      <c r="I265" s="923">
        <f>I266-I264</f>
        <v>55032245.62682011</v>
      </c>
      <c r="J265" s="369"/>
      <c r="K265" s="923">
        <f>K266-K264</f>
        <v>681512.09700000007</v>
      </c>
      <c r="L265" s="923">
        <v>0</v>
      </c>
      <c r="M265" s="923">
        <f>M266-M264</f>
        <v>-71336.515677339456</v>
      </c>
      <c r="N265" s="923">
        <f>N266-N264</f>
        <v>-26505.624011999986</v>
      </c>
      <c r="O265" s="923">
        <f>I265+K265+L265+M265+N265</f>
        <v>55615915.584130771</v>
      </c>
    </row>
    <row r="266" spans="1:15">
      <c r="A266" s="361">
        <f>A265+1</f>
        <v>15</v>
      </c>
      <c r="B266" s="365">
        <v>380</v>
      </c>
      <c r="C266" s="358" t="s">
        <v>3080</v>
      </c>
      <c r="D266" s="369">
        <f>G220</f>
        <v>200307539.68999997</v>
      </c>
      <c r="E266" s="369">
        <v>1874281.29</v>
      </c>
      <c r="F266" s="369">
        <v>-430000.63</v>
      </c>
      <c r="G266" s="369">
        <f>SUM(G264:G265)</f>
        <v>201751820.34999999</v>
      </c>
      <c r="H266" s="369"/>
      <c r="I266" s="369">
        <f>O220</f>
        <v>53091677.810000002</v>
      </c>
      <c r="J266" s="369"/>
      <c r="K266" s="369">
        <v>696848.28</v>
      </c>
      <c r="L266" s="369">
        <f>SUM(L264:L265)</f>
        <v>0</v>
      </c>
      <c r="M266" s="369">
        <v>-430000.63</v>
      </c>
      <c r="N266" s="369">
        <v>-159768.68</v>
      </c>
      <c r="O266" s="369">
        <f>SUM(O264:O265)</f>
        <v>53198756.780000009</v>
      </c>
    </row>
    <row r="267" spans="1:15">
      <c r="A267" s="361"/>
      <c r="B267" s="365"/>
      <c r="D267" s="369"/>
      <c r="E267" s="369"/>
      <c r="F267" s="369"/>
      <c r="G267" s="369"/>
      <c r="H267" s="369"/>
      <c r="I267" s="369"/>
      <c r="J267" s="369"/>
      <c r="K267" s="369"/>
      <c r="L267" s="369"/>
      <c r="M267" s="369"/>
      <c r="N267" s="369"/>
      <c r="O267" s="369"/>
    </row>
    <row r="268" spans="1:15">
      <c r="A268" s="361">
        <f>A266+1</f>
        <v>16</v>
      </c>
      <c r="B268" s="365">
        <v>382</v>
      </c>
      <c r="C268" s="358" t="s">
        <v>1778</v>
      </c>
      <c r="D268" s="369">
        <f>D251</f>
        <v>-7170.7500000000018</v>
      </c>
      <c r="E268" s="369">
        <f>E251</f>
        <v>4551.3500000000004</v>
      </c>
      <c r="F268" s="369">
        <f>F251</f>
        <v>-3705.5099999999998</v>
      </c>
      <c r="G268" s="369">
        <f>SUM(D268:F268)</f>
        <v>-6324.9100000000017</v>
      </c>
      <c r="H268" s="369"/>
      <c r="I268" s="369">
        <f>I251</f>
        <v>-13226.849000000002</v>
      </c>
      <c r="J268" s="369"/>
      <c r="K268" s="369">
        <f>K251</f>
        <v>-10.375999999999999</v>
      </c>
      <c r="L268" s="369">
        <v>0</v>
      </c>
      <c r="M268" s="369">
        <f>M251</f>
        <v>-3705.5099999999998</v>
      </c>
      <c r="N268" s="369">
        <f>N251</f>
        <v>0</v>
      </c>
      <c r="O268" s="369">
        <f>I268+K268+L268+M268+N268</f>
        <v>-16942.735000000001</v>
      </c>
    </row>
    <row r="269" spans="1:15">
      <c r="A269" s="361">
        <f>A268+1</f>
        <v>17</v>
      </c>
      <c r="B269" s="365">
        <v>382</v>
      </c>
      <c r="C269" s="358" t="s">
        <v>1624</v>
      </c>
      <c r="D269" s="923">
        <f>D270-D268</f>
        <v>10168887.720000001</v>
      </c>
      <c r="E269" s="923">
        <f>E270-E268</f>
        <v>17686.11</v>
      </c>
      <c r="F269" s="923">
        <f>F270-F268</f>
        <v>0</v>
      </c>
      <c r="G269" s="923">
        <f>SUM(D269:F269)</f>
        <v>10186573.83</v>
      </c>
      <c r="H269" s="369"/>
      <c r="I269" s="923">
        <f>I270-I268</f>
        <v>5736115.0990000004</v>
      </c>
      <c r="J269" s="369"/>
      <c r="K269" s="923">
        <f>K270-K268</f>
        <v>15012.576000000001</v>
      </c>
      <c r="L269" s="923">
        <v>0</v>
      </c>
      <c r="M269" s="923">
        <f>M270-M268</f>
        <v>0</v>
      </c>
      <c r="N269" s="923">
        <f>N270-N268</f>
        <v>0</v>
      </c>
      <c r="O269" s="923">
        <f>I269+K269+L269+M269+N269</f>
        <v>5751127.6750000007</v>
      </c>
    </row>
    <row r="270" spans="1:15">
      <c r="A270" s="361">
        <f>A269+1</f>
        <v>18</v>
      </c>
      <c r="B270" s="365">
        <v>382</v>
      </c>
      <c r="C270" s="358" t="s">
        <v>3081</v>
      </c>
      <c r="D270" s="369">
        <f>G224</f>
        <v>10161716.970000001</v>
      </c>
      <c r="E270" s="369">
        <v>22237.46</v>
      </c>
      <c r="F270" s="369">
        <v>-3705.51</v>
      </c>
      <c r="G270" s="369">
        <f>SUM(G268:G269)</f>
        <v>10180248.92</v>
      </c>
      <c r="H270" s="369"/>
      <c r="I270" s="369">
        <f>O224</f>
        <v>5722888.25</v>
      </c>
      <c r="J270" s="369"/>
      <c r="K270" s="369">
        <v>15002.2</v>
      </c>
      <c r="L270" s="369">
        <f>SUM(L268:L269)</f>
        <v>0</v>
      </c>
      <c r="M270" s="369">
        <v>-3705.51</v>
      </c>
      <c r="N270" s="369">
        <v>0</v>
      </c>
      <c r="O270" s="369">
        <f>SUM(O268:O269)</f>
        <v>5734184.9400000004</v>
      </c>
    </row>
    <row r="271" spans="1:15">
      <c r="A271" s="361"/>
      <c r="B271" s="365"/>
      <c r="D271" s="369"/>
      <c r="E271" s="369"/>
      <c r="F271" s="369"/>
      <c r="G271" s="369"/>
      <c r="H271" s="369"/>
      <c r="I271" s="369"/>
      <c r="J271" s="369"/>
      <c r="K271" s="369"/>
      <c r="L271" s="369"/>
      <c r="M271" s="369"/>
      <c r="N271" s="369"/>
      <c r="O271" s="369"/>
    </row>
    <row r="272" spans="1:15">
      <c r="A272" s="361">
        <f>A270+1</f>
        <v>19</v>
      </c>
      <c r="B272" s="365">
        <v>383</v>
      </c>
      <c r="C272" s="358" t="s">
        <v>1779</v>
      </c>
      <c r="D272" s="369">
        <f>D252</f>
        <v>-1096.3600000000001</v>
      </c>
      <c r="E272" s="369">
        <f>E252</f>
        <v>0</v>
      </c>
      <c r="F272" s="369">
        <f>F252</f>
        <v>-226.33</v>
      </c>
      <c r="G272" s="369">
        <f>SUM(D272:F272)</f>
        <v>-1322.69</v>
      </c>
      <c r="H272" s="369"/>
      <c r="I272" s="369">
        <f>I252</f>
        <v>-1100.2470000000001</v>
      </c>
      <c r="J272" s="369"/>
      <c r="K272" s="369">
        <f>K252</f>
        <v>-2.1829999999999998</v>
      </c>
      <c r="L272" s="369">
        <v>0</v>
      </c>
      <c r="M272" s="369">
        <f>M252</f>
        <v>-226.33</v>
      </c>
      <c r="N272" s="369">
        <f>N252</f>
        <v>0</v>
      </c>
      <c r="O272" s="369">
        <f>I272+K272+L272+M272+N272</f>
        <v>-1328.76</v>
      </c>
    </row>
    <row r="273" spans="1:15">
      <c r="A273" s="361">
        <f>A272+1</f>
        <v>20</v>
      </c>
      <c r="B273" s="365">
        <v>383</v>
      </c>
      <c r="C273" s="358" t="s">
        <v>1625</v>
      </c>
      <c r="D273" s="923">
        <f>D274-D272</f>
        <v>7188514.8599999994</v>
      </c>
      <c r="E273" s="923">
        <f>E274-E272</f>
        <v>20823.150000000001</v>
      </c>
      <c r="F273" s="923">
        <f>F274-F272</f>
        <v>0</v>
      </c>
      <c r="G273" s="923">
        <f>SUM(D273:F273)</f>
        <v>7209338.0099999998</v>
      </c>
      <c r="H273" s="369"/>
      <c r="I273" s="923">
        <f>I274-I272</f>
        <v>2404412.2370000002</v>
      </c>
      <c r="J273" s="369"/>
      <c r="K273" s="923">
        <f>K274-K272</f>
        <v>11638.493</v>
      </c>
      <c r="L273" s="923">
        <v>0</v>
      </c>
      <c r="M273" s="923">
        <f>M274-M272</f>
        <v>0</v>
      </c>
      <c r="N273" s="923">
        <f>N274-N272</f>
        <v>0</v>
      </c>
      <c r="O273" s="923">
        <f>I273+K273+L273+M273+N273</f>
        <v>2416050.73</v>
      </c>
    </row>
    <row r="274" spans="1:15">
      <c r="A274" s="361">
        <f>A273+1</f>
        <v>21</v>
      </c>
      <c r="B274" s="365">
        <v>383</v>
      </c>
      <c r="C274" s="358" t="s">
        <v>3082</v>
      </c>
      <c r="D274" s="369">
        <f>G228</f>
        <v>7187418.4999999991</v>
      </c>
      <c r="E274" s="369">
        <v>20823.150000000001</v>
      </c>
      <c r="F274" s="369">
        <v>-226.33</v>
      </c>
      <c r="G274" s="369">
        <f>SUM(G272:G273)</f>
        <v>7208015.3199999994</v>
      </c>
      <c r="H274" s="369"/>
      <c r="I274" s="369">
        <f>O228</f>
        <v>2403311.9900000002</v>
      </c>
      <c r="J274" s="369"/>
      <c r="K274" s="369">
        <v>11636.31</v>
      </c>
      <c r="L274" s="369">
        <f>SUM(L272:L273)</f>
        <v>0</v>
      </c>
      <c r="M274" s="369">
        <v>-226.33</v>
      </c>
      <c r="N274" s="369">
        <v>0</v>
      </c>
      <c r="O274" s="369">
        <f>SUM(O272:O273)</f>
        <v>2414721.9700000002</v>
      </c>
    </row>
    <row r="277" spans="1:15" s="291" customFormat="1">
      <c r="A277" s="1308" t="str">
        <f>$A$1</f>
        <v>COLUMBIA GAS OF KENTUCKY, INC.</v>
      </c>
      <c r="B277" s="1308"/>
      <c r="C277" s="1308"/>
      <c r="D277" s="1308"/>
      <c r="E277" s="1308"/>
      <c r="F277" s="1308"/>
      <c r="G277" s="1308"/>
      <c r="H277" s="1308"/>
      <c r="I277" s="1308"/>
      <c r="J277" s="1308"/>
      <c r="K277" s="1308"/>
      <c r="L277" s="1308"/>
      <c r="M277" s="1308"/>
      <c r="N277" s="1308"/>
      <c r="O277" s="1308"/>
    </row>
    <row r="278" spans="1:15" s="291" customFormat="1">
      <c r="A278" s="1308" t="str">
        <f>$A$2</f>
        <v>CASE NO. 2024 - 00092</v>
      </c>
      <c r="B278" s="1308"/>
      <c r="C278" s="1308"/>
      <c r="D278" s="1308"/>
      <c r="E278" s="1308"/>
      <c r="F278" s="1308"/>
      <c r="G278" s="1308"/>
      <c r="H278" s="1308"/>
      <c r="I278" s="1308"/>
      <c r="J278" s="1308"/>
      <c r="K278" s="1308"/>
      <c r="L278" s="1308"/>
      <c r="M278" s="1308"/>
      <c r="N278" s="1308"/>
      <c r="O278" s="1308"/>
    </row>
    <row r="279" spans="1:15" s="291" customFormat="1">
      <c r="A279" s="1308" t="str">
        <f>$A$3</f>
        <v>DETAIL OF ACTUAL &amp;  FORECASTED SMRP PLANT, ACCUMULATED RESERVE &amp; DEPRECIATION EXPENSE</v>
      </c>
      <c r="B279" s="1308"/>
      <c r="C279" s="1308"/>
      <c r="D279" s="1308"/>
      <c r="E279" s="1308"/>
      <c r="F279" s="1308"/>
      <c r="G279" s="1308"/>
      <c r="H279" s="1308"/>
      <c r="I279" s="1308"/>
      <c r="J279" s="1308"/>
      <c r="K279" s="1308"/>
      <c r="L279" s="1308"/>
      <c r="M279" s="1308"/>
      <c r="N279" s="1308"/>
      <c r="O279" s="1308"/>
    </row>
    <row r="280" spans="1:15" s="291" customFormat="1">
      <c r="A280" s="1308" t="str">
        <f>$A$4</f>
        <v>FROM JANUARY 01, 2023 THROUGH DECEMBER 31, 2025</v>
      </c>
      <c r="B280" s="1308"/>
      <c r="C280" s="1308"/>
      <c r="D280" s="1308"/>
      <c r="E280" s="1308"/>
      <c r="F280" s="1308"/>
      <c r="G280" s="1308"/>
      <c r="H280" s="1308"/>
      <c r="I280" s="1308"/>
      <c r="J280" s="1308"/>
      <c r="K280" s="1308"/>
      <c r="L280" s="1308"/>
      <c r="M280" s="1308"/>
      <c r="N280" s="1308"/>
      <c r="O280" s="1308"/>
    </row>
    <row r="281" spans="1:15" s="291" customFormat="1">
      <c r="B281" s="293"/>
    </row>
    <row r="282" spans="1:15" s="291" customFormat="1">
      <c r="A282" s="297" t="str">
        <f>'General Headers Index'!$B$34</f>
        <v xml:space="preserve">DATA: _X_ BASE PERIOD _X_ FORECASTED PERIOD     </v>
      </c>
      <c r="B282" s="293"/>
      <c r="O282" s="312" t="s">
        <v>2461</v>
      </c>
    </row>
    <row r="283" spans="1:15" s="291" customFormat="1">
      <c r="A283" s="297" t="str">
        <f>'General Headers Index'!$B$37</f>
        <v>TYPE OF FILING:___X___ORIGINAL______UPDATED</v>
      </c>
      <c r="B283" s="293"/>
      <c r="O283" s="312" t="s">
        <v>2229</v>
      </c>
    </row>
    <row r="284" spans="1:15" s="291" customFormat="1">
      <c r="A284" s="297" t="s">
        <v>2150</v>
      </c>
      <c r="B284" s="293"/>
      <c r="O284" s="312" t="str">
        <f>"WITNESS: "&amp;'General Headers Index'!$B$42</f>
        <v>WITNESS: GORE</v>
      </c>
    </row>
    <row r="285" spans="1:15">
      <c r="A285" s="918"/>
      <c r="B285" s="918"/>
      <c r="C285" s="918"/>
      <c r="D285" s="918"/>
      <c r="E285" s="918"/>
      <c r="F285" s="918"/>
      <c r="G285" s="918"/>
      <c r="H285" s="918"/>
      <c r="I285" s="918"/>
      <c r="J285" s="918"/>
      <c r="K285" s="918"/>
      <c r="L285" s="918"/>
      <c r="M285" s="918"/>
      <c r="N285" s="918"/>
      <c r="O285" s="918"/>
    </row>
    <row r="286" spans="1:15">
      <c r="B286" s="359"/>
      <c r="D286" s="1312" t="s">
        <v>1768</v>
      </c>
      <c r="E286" s="1312"/>
      <c r="F286" s="1312"/>
      <c r="G286" s="1312"/>
      <c r="I286" s="1312" t="s">
        <v>1769</v>
      </c>
      <c r="J286" s="1312"/>
      <c r="K286" s="1312"/>
      <c r="L286" s="1312"/>
      <c r="M286" s="1312"/>
      <c r="N286" s="1312"/>
      <c r="O286" s="1312"/>
    </row>
    <row r="287" spans="1:15">
      <c r="B287" s="359"/>
      <c r="D287" s="360">
        <f>G241+1</f>
        <v>45108</v>
      </c>
      <c r="G287" s="360">
        <f>D287+30</f>
        <v>45138</v>
      </c>
      <c r="I287" s="360">
        <f>D287</f>
        <v>45108</v>
      </c>
      <c r="O287" s="360">
        <f>G287</f>
        <v>45138</v>
      </c>
    </row>
    <row r="288" spans="1:15">
      <c r="B288" s="359"/>
      <c r="D288" s="361" t="s">
        <v>1757</v>
      </c>
      <c r="G288" s="361" t="s">
        <v>1757</v>
      </c>
      <c r="I288" s="361" t="s">
        <v>1758</v>
      </c>
      <c r="J288" s="361" t="s">
        <v>488</v>
      </c>
      <c r="L288" s="361" t="s">
        <v>1758</v>
      </c>
      <c r="O288" s="361" t="s">
        <v>1758</v>
      </c>
    </row>
    <row r="289" spans="1:15">
      <c r="A289" s="361" t="s">
        <v>1770</v>
      </c>
      <c r="B289" s="361" t="s">
        <v>368</v>
      </c>
      <c r="C289" s="361"/>
      <c r="D289" s="361" t="s">
        <v>437</v>
      </c>
      <c r="G289" s="361" t="s">
        <v>439</v>
      </c>
      <c r="I289" s="361" t="s">
        <v>437</v>
      </c>
      <c r="J289" s="361" t="s">
        <v>1771</v>
      </c>
      <c r="K289" s="361" t="s">
        <v>1772</v>
      </c>
      <c r="L289" s="361" t="s">
        <v>1759</v>
      </c>
      <c r="N289" s="361" t="s">
        <v>1760</v>
      </c>
      <c r="O289" s="361" t="s">
        <v>439</v>
      </c>
    </row>
    <row r="290" spans="1:15">
      <c r="A290" s="364" t="s">
        <v>316</v>
      </c>
      <c r="B290" s="364" t="s">
        <v>316</v>
      </c>
      <c r="C290" s="364" t="s">
        <v>451</v>
      </c>
      <c r="D290" s="364" t="s">
        <v>441</v>
      </c>
      <c r="E290" s="364" t="s">
        <v>442</v>
      </c>
      <c r="F290" s="364" t="s">
        <v>443</v>
      </c>
      <c r="G290" s="364" t="s">
        <v>441</v>
      </c>
      <c r="I290" s="364" t="s">
        <v>441</v>
      </c>
      <c r="J290" s="364" t="s">
        <v>1773</v>
      </c>
      <c r="K290" s="364" t="s">
        <v>1771</v>
      </c>
      <c r="L290" s="364" t="s">
        <v>355</v>
      </c>
      <c r="M290" s="364" t="s">
        <v>443</v>
      </c>
      <c r="N290" s="364" t="s">
        <v>1763</v>
      </c>
      <c r="O290" s="364" t="s">
        <v>441</v>
      </c>
    </row>
    <row r="291" spans="1:15">
      <c r="B291" s="359"/>
      <c r="D291" s="361" t="s">
        <v>532</v>
      </c>
      <c r="E291" s="361" t="s">
        <v>541</v>
      </c>
      <c r="F291" s="361" t="s">
        <v>542</v>
      </c>
      <c r="G291" s="361" t="s">
        <v>1764</v>
      </c>
      <c r="I291" s="334" t="str">
        <f>"(5)"</f>
        <v>(5)</v>
      </c>
      <c r="J291" s="334" t="str">
        <f>"(6)"</f>
        <v>(6)</v>
      </c>
      <c r="K291" s="334" t="str">
        <f>"(7)"</f>
        <v>(7)</v>
      </c>
      <c r="L291" s="334" t="str">
        <f>"(8)"</f>
        <v>(8)</v>
      </c>
      <c r="M291" s="334" t="str">
        <f>"(9)"</f>
        <v>(9)</v>
      </c>
      <c r="N291" s="334" t="str">
        <f>"(10)"</f>
        <v>(10)</v>
      </c>
      <c r="O291" s="334" t="str">
        <f>"(11=5+7+8+9+10)"</f>
        <v>(11=5+7+8+9+10)</v>
      </c>
    </row>
    <row r="292" spans="1:15">
      <c r="B292" s="359"/>
      <c r="D292" s="361" t="s">
        <v>320</v>
      </c>
      <c r="E292" s="361" t="s">
        <v>320</v>
      </c>
      <c r="F292" s="361" t="s">
        <v>320</v>
      </c>
      <c r="G292" s="361" t="s">
        <v>320</v>
      </c>
      <c r="I292" s="334" t="s">
        <v>320</v>
      </c>
      <c r="J292" s="1250" t="s">
        <v>529</v>
      </c>
      <c r="K292" s="334" t="s">
        <v>320</v>
      </c>
      <c r="L292" s="334" t="s">
        <v>320</v>
      </c>
      <c r="M292" s="334" t="s">
        <v>320</v>
      </c>
      <c r="N292" s="334" t="s">
        <v>320</v>
      </c>
      <c r="O292" s="334" t="s">
        <v>320</v>
      </c>
    </row>
    <row r="293" spans="1:15">
      <c r="B293" s="359"/>
      <c r="D293" s="361"/>
      <c r="E293" s="361"/>
      <c r="F293" s="361"/>
      <c r="G293" s="361"/>
      <c r="I293" s="334"/>
      <c r="J293" s="334"/>
      <c r="K293" s="334"/>
      <c r="L293" s="334"/>
      <c r="M293" s="334"/>
      <c r="N293" s="334"/>
      <c r="O293" s="334"/>
    </row>
    <row r="294" spans="1:15">
      <c r="A294" s="361">
        <v>1</v>
      </c>
      <c r="B294" s="365">
        <v>376</v>
      </c>
      <c r="C294" s="358" t="s">
        <v>1775</v>
      </c>
      <c r="D294" s="369">
        <f>G248</f>
        <v>12515385.070000002</v>
      </c>
      <c r="E294" s="369">
        <v>3124046.71</v>
      </c>
      <c r="F294" s="369">
        <v>-64.34</v>
      </c>
      <c r="G294" s="369">
        <f>SUM(D294:F294)</f>
        <v>15639367.440000001</v>
      </c>
      <c r="H294" s="369"/>
      <c r="I294" s="369">
        <f>O248</f>
        <v>10384.934000000001</v>
      </c>
      <c r="J294" s="369"/>
      <c r="K294" s="369">
        <v>20411.886999999999</v>
      </c>
      <c r="L294" s="369">
        <v>0</v>
      </c>
      <c r="M294" s="369">
        <f>F294</f>
        <v>-64.34</v>
      </c>
      <c r="N294" s="369">
        <v>-8203.5400000000009</v>
      </c>
      <c r="O294" s="369">
        <f>I294+K294+L294+M294+N294</f>
        <v>22528.940999999999</v>
      </c>
    </row>
    <row r="295" spans="1:15">
      <c r="A295" s="361">
        <f>A294+1</f>
        <v>2</v>
      </c>
      <c r="B295" s="365">
        <v>378.2</v>
      </c>
      <c r="C295" s="358" t="s">
        <v>1776</v>
      </c>
      <c r="D295" s="369">
        <f>G249</f>
        <v>-140708.97000000003</v>
      </c>
      <c r="E295" s="369">
        <v>0</v>
      </c>
      <c r="F295" s="369">
        <v>-90900.479999999996</v>
      </c>
      <c r="G295" s="369">
        <f>SUM(D295:F295)</f>
        <v>-231609.45</v>
      </c>
      <c r="H295" s="369"/>
      <c r="I295" s="369">
        <f>O249</f>
        <v>-161827.30300000001</v>
      </c>
      <c r="J295" s="369"/>
      <c r="K295" s="369">
        <v>-390.44600000000003</v>
      </c>
      <c r="L295" s="369">
        <v>0</v>
      </c>
      <c r="M295" s="369">
        <f>F295</f>
        <v>-90900.479999999996</v>
      </c>
      <c r="N295" s="369">
        <v>-3350.24</v>
      </c>
      <c r="O295" s="369">
        <f>I295+K295+L295+M295+N295</f>
        <v>-256468.46899999998</v>
      </c>
    </row>
    <row r="296" spans="1:15">
      <c r="A296" s="361">
        <f>A295+1</f>
        <v>3</v>
      </c>
      <c r="B296" s="365">
        <v>380</v>
      </c>
      <c r="C296" s="358" t="s">
        <v>1777</v>
      </c>
      <c r="D296" s="369">
        <f>G250</f>
        <v>5006973.0041842349</v>
      </c>
      <c r="E296" s="369">
        <v>946236.83000000007</v>
      </c>
      <c r="F296" s="369">
        <v>-231124.9352651996</v>
      </c>
      <c r="G296" s="369">
        <f>SUM(D296:F296)</f>
        <v>5722084.8989190357</v>
      </c>
      <c r="H296" s="369"/>
      <c r="I296" s="369">
        <f>O250</f>
        <v>-2417158.8041307656</v>
      </c>
      <c r="J296" s="369"/>
      <c r="K296" s="369">
        <v>17791.894</v>
      </c>
      <c r="L296" s="369">
        <v>0</v>
      </c>
      <c r="M296" s="369">
        <f>F296</f>
        <v>-231124.9352651996</v>
      </c>
      <c r="N296" s="369">
        <v>-147739.33692500001</v>
      </c>
      <c r="O296" s="369">
        <f>I296+K296+L296+M296+N296</f>
        <v>-2778231.1823209655</v>
      </c>
    </row>
    <row r="297" spans="1:15">
      <c r="A297" s="361">
        <f>A296+1</f>
        <v>4</v>
      </c>
      <c r="B297" s="365">
        <v>382</v>
      </c>
      <c r="C297" s="358" t="s">
        <v>1778</v>
      </c>
      <c r="D297" s="369">
        <f>G251</f>
        <v>-6324.9100000000017</v>
      </c>
      <c r="E297" s="369">
        <v>7084.41</v>
      </c>
      <c r="F297" s="369">
        <v>-5252.36</v>
      </c>
      <c r="G297" s="369">
        <f>SUM(D297:F297)</f>
        <v>-4492.8600000000015</v>
      </c>
      <c r="H297" s="369"/>
      <c r="I297" s="369">
        <f>O251</f>
        <v>-16942.735000000001</v>
      </c>
      <c r="J297" s="369"/>
      <c r="K297" s="369">
        <v>-7.649</v>
      </c>
      <c r="L297" s="369">
        <v>0</v>
      </c>
      <c r="M297" s="369">
        <f>F297</f>
        <v>-5252.36</v>
      </c>
      <c r="N297" s="369">
        <v>0</v>
      </c>
      <c r="O297" s="369">
        <f>I297+K297+L297+M297+N297</f>
        <v>-22202.744000000002</v>
      </c>
    </row>
    <row r="298" spans="1:15">
      <c r="A298" s="361">
        <f>A297+1</f>
        <v>5</v>
      </c>
      <c r="B298" s="365">
        <v>383</v>
      </c>
      <c r="C298" s="358" t="s">
        <v>1779</v>
      </c>
      <c r="D298" s="923">
        <f>G252</f>
        <v>-1322.69</v>
      </c>
      <c r="E298" s="923">
        <v>0</v>
      </c>
      <c r="F298" s="923">
        <v>-3043.2999999999997</v>
      </c>
      <c r="G298" s="923">
        <f>SUM(D298:F298)</f>
        <v>-4365.99</v>
      </c>
      <c r="H298" s="369"/>
      <c r="I298" s="923">
        <f>O252</f>
        <v>-1328.76</v>
      </c>
      <c r="J298" s="369"/>
      <c r="K298" s="923">
        <v>-4.46</v>
      </c>
      <c r="L298" s="923">
        <v>0</v>
      </c>
      <c r="M298" s="923">
        <f>F298</f>
        <v>-3043.2999999999997</v>
      </c>
      <c r="N298" s="923">
        <v>0</v>
      </c>
      <c r="O298" s="923">
        <f>I298+K298+L298+M298+N298</f>
        <v>-4376.5199999999995</v>
      </c>
    </row>
    <row r="299" spans="1:15">
      <c r="A299" s="361">
        <f>A298+1</f>
        <v>6</v>
      </c>
      <c r="C299" s="358" t="s">
        <v>3077</v>
      </c>
      <c r="D299" s="369">
        <f>SUM(D294:D298)</f>
        <v>17374001.504184235</v>
      </c>
      <c r="E299" s="369">
        <f>SUM(E294:E298)</f>
        <v>4077367.95</v>
      </c>
      <c r="F299" s="369">
        <f>SUM(F294:F298)</f>
        <v>-330385.41526519955</v>
      </c>
      <c r="G299" s="369">
        <f>SUM(G294:G298)</f>
        <v>21120984.038919039</v>
      </c>
      <c r="H299" s="369"/>
      <c r="I299" s="369">
        <f>SUM(I294:I298)</f>
        <v>-2586872.6681307652</v>
      </c>
      <c r="J299" s="369"/>
      <c r="K299" s="369">
        <f>SUM(K294:K298)</f>
        <v>37801.226000000002</v>
      </c>
      <c r="L299" s="369">
        <f t="shared" ref="L299" si="6">SUM(L294:L298)</f>
        <v>0</v>
      </c>
      <c r="M299" s="369">
        <f>SUM(M294:M298)</f>
        <v>-330385.41526519955</v>
      </c>
      <c r="N299" s="369">
        <f>SUM(N294:N298)</f>
        <v>-159293.11692500001</v>
      </c>
      <c r="O299" s="369">
        <f>SUM(O294:O298)</f>
        <v>-3038749.9743209654</v>
      </c>
    </row>
    <row r="300" spans="1:15">
      <c r="A300" s="361"/>
      <c r="D300" s="369"/>
      <c r="E300" s="369"/>
      <c r="F300" s="369"/>
      <c r="G300" s="369"/>
      <c r="H300" s="369"/>
      <c r="I300" s="369"/>
      <c r="J300" s="369"/>
      <c r="K300" s="369"/>
      <c r="L300" s="369"/>
      <c r="M300" s="369"/>
      <c r="N300" s="369"/>
      <c r="O300" s="369"/>
    </row>
    <row r="301" spans="1:15">
      <c r="A301" s="361"/>
      <c r="D301" s="369"/>
      <c r="E301" s="369"/>
      <c r="F301" s="369"/>
      <c r="G301" s="369"/>
      <c r="H301" s="369"/>
      <c r="I301" s="369"/>
      <c r="J301" s="369"/>
      <c r="K301" s="369"/>
      <c r="L301" s="369"/>
      <c r="M301" s="369"/>
      <c r="N301" s="369"/>
      <c r="O301" s="369"/>
    </row>
    <row r="302" spans="1:15">
      <c r="A302" s="361">
        <f>A299+1</f>
        <v>7</v>
      </c>
      <c r="B302" s="365">
        <v>376</v>
      </c>
      <c r="C302" s="358" t="s">
        <v>1775</v>
      </c>
      <c r="D302" s="369">
        <f>D294</f>
        <v>12515385.070000002</v>
      </c>
      <c r="E302" s="369">
        <f>E294</f>
        <v>3124046.71</v>
      </c>
      <c r="F302" s="369">
        <f>F294</f>
        <v>-64.34</v>
      </c>
      <c r="G302" s="369">
        <f>SUM(D302:F302)</f>
        <v>15639367.440000001</v>
      </c>
      <c r="H302" s="369"/>
      <c r="I302" s="369">
        <f>I294</f>
        <v>10384.934000000001</v>
      </c>
      <c r="J302" s="369"/>
      <c r="K302" s="369">
        <f>K294</f>
        <v>20411.886999999999</v>
      </c>
      <c r="L302" s="369">
        <v>0</v>
      </c>
      <c r="M302" s="369">
        <f>M294</f>
        <v>-64.34</v>
      </c>
      <c r="N302" s="369">
        <f>N294</f>
        <v>-8203.5400000000009</v>
      </c>
      <c r="O302" s="369">
        <f>I302+K302+L302+M302+N302</f>
        <v>22528.940999999999</v>
      </c>
    </row>
    <row r="303" spans="1:15">
      <c r="A303" s="361">
        <f>A302+1</f>
        <v>8</v>
      </c>
      <c r="B303" s="365">
        <v>376</v>
      </c>
      <c r="C303" s="358" t="s">
        <v>1621</v>
      </c>
      <c r="D303" s="923">
        <f>D304-D302</f>
        <v>404250247.97000003</v>
      </c>
      <c r="E303" s="923">
        <f>E304-E302</f>
        <v>421173.50999999978</v>
      </c>
      <c r="F303" s="923">
        <f>F304-F302</f>
        <v>-149295.55000000002</v>
      </c>
      <c r="G303" s="923">
        <f>SUM(D303:F303)</f>
        <v>404522125.93000001</v>
      </c>
      <c r="H303" s="369"/>
      <c r="I303" s="923">
        <f>I304-I302</f>
        <v>77499404.765999988</v>
      </c>
      <c r="J303" s="369"/>
      <c r="K303" s="923">
        <f>K304-K302</f>
        <v>582873.03300000005</v>
      </c>
      <c r="L303" s="923">
        <v>0</v>
      </c>
      <c r="M303" s="923">
        <f>M304-M302</f>
        <v>-149295.55000000002</v>
      </c>
      <c r="N303" s="923">
        <f>N304-N302</f>
        <v>-28725</v>
      </c>
      <c r="O303" s="923">
        <f>I303+K303+L303+M303+N303</f>
        <v>77904257.248999998</v>
      </c>
    </row>
    <row r="304" spans="1:15">
      <c r="A304" s="361">
        <f>A303+1</f>
        <v>9</v>
      </c>
      <c r="B304" s="365">
        <v>376</v>
      </c>
      <c r="C304" s="358" t="s">
        <v>3078</v>
      </c>
      <c r="D304" s="369">
        <f>G258</f>
        <v>416765633.04000002</v>
      </c>
      <c r="E304" s="369">
        <v>3545220.2199999997</v>
      </c>
      <c r="F304" s="369">
        <v>-149359.89000000001</v>
      </c>
      <c r="G304" s="369">
        <f>SUM(G302:G303)</f>
        <v>420161493.37</v>
      </c>
      <c r="H304" s="369"/>
      <c r="I304" s="369">
        <f>O258</f>
        <v>77509789.699999988</v>
      </c>
      <c r="J304" s="369"/>
      <c r="K304" s="369">
        <v>603284.92000000004</v>
      </c>
      <c r="L304" s="369">
        <f>SUM(L302:L303)</f>
        <v>0</v>
      </c>
      <c r="M304" s="369">
        <v>-149359.89000000001</v>
      </c>
      <c r="N304" s="369">
        <v>-36928.54</v>
      </c>
      <c r="O304" s="369">
        <f>SUM(O302:O303)</f>
        <v>77926786.189999998</v>
      </c>
    </row>
    <row r="305" spans="1:15">
      <c r="A305" s="361"/>
      <c r="B305" s="365"/>
      <c r="D305" s="369"/>
      <c r="E305" s="369"/>
      <c r="F305" s="369"/>
      <c r="G305" s="369"/>
      <c r="H305" s="369"/>
      <c r="I305" s="369"/>
      <c r="J305" s="369"/>
      <c r="K305" s="369"/>
      <c r="L305" s="369"/>
      <c r="M305" s="369"/>
      <c r="N305" s="369"/>
      <c r="O305" s="369"/>
    </row>
    <row r="306" spans="1:15">
      <c r="A306" s="361">
        <f>A304+1</f>
        <v>10</v>
      </c>
      <c r="B306" s="365">
        <v>378.2</v>
      </c>
      <c r="C306" s="358" t="s">
        <v>1776</v>
      </c>
      <c r="D306" s="369">
        <f>D295</f>
        <v>-140708.97000000003</v>
      </c>
      <c r="E306" s="369">
        <f>E295</f>
        <v>0</v>
      </c>
      <c r="F306" s="369">
        <f>F295</f>
        <v>-90900.479999999996</v>
      </c>
      <c r="G306" s="369">
        <f>SUM(D306:F306)</f>
        <v>-231609.45</v>
      </c>
      <c r="H306" s="369"/>
      <c r="I306" s="369">
        <f>I295</f>
        <v>-161827.30300000001</v>
      </c>
      <c r="J306" s="369"/>
      <c r="K306" s="369">
        <f>K295</f>
        <v>-390.44600000000003</v>
      </c>
      <c r="L306" s="369">
        <v>0</v>
      </c>
      <c r="M306" s="369">
        <f>M295</f>
        <v>-90900.479999999996</v>
      </c>
      <c r="N306" s="369">
        <f>N295</f>
        <v>-3350.24</v>
      </c>
      <c r="O306" s="369">
        <f>I306+K306+L306+M306+N306</f>
        <v>-256468.46899999998</v>
      </c>
    </row>
    <row r="307" spans="1:15">
      <c r="A307" s="361">
        <f>A306+1</f>
        <v>11</v>
      </c>
      <c r="B307" s="365">
        <v>378.2</v>
      </c>
      <c r="C307" s="358" t="s">
        <v>1622</v>
      </c>
      <c r="D307" s="923">
        <f>D308-D306</f>
        <v>25251604.109999999</v>
      </c>
      <c r="E307" s="923">
        <f>E308-E306</f>
        <v>30584.920000000002</v>
      </c>
      <c r="F307" s="923">
        <f>F308-F306</f>
        <v>0</v>
      </c>
      <c r="G307" s="923">
        <f>SUM(D307:F307)</f>
        <v>25282189.030000001</v>
      </c>
      <c r="H307" s="369"/>
      <c r="I307" s="923">
        <f>I308-I306</f>
        <v>3092575.7630000003</v>
      </c>
      <c r="J307" s="369"/>
      <c r="K307" s="923">
        <f>K308-K306</f>
        <v>53217.076000000008</v>
      </c>
      <c r="L307" s="923">
        <v>0</v>
      </c>
      <c r="M307" s="923">
        <f>M308-M306</f>
        <v>0</v>
      </c>
      <c r="N307" s="923">
        <f>N308-N306</f>
        <v>0</v>
      </c>
      <c r="O307" s="923">
        <f>I307+K307+L307+M307+N307</f>
        <v>3145792.8390000002</v>
      </c>
    </row>
    <row r="308" spans="1:15">
      <c r="A308" s="361">
        <f>A307+1</f>
        <v>12</v>
      </c>
      <c r="B308" s="365">
        <v>378.2</v>
      </c>
      <c r="C308" s="358" t="s">
        <v>3079</v>
      </c>
      <c r="D308" s="369">
        <f>G262</f>
        <v>25110895.140000001</v>
      </c>
      <c r="E308" s="369">
        <v>30584.920000000002</v>
      </c>
      <c r="F308" s="369">
        <v>-90900.479999999996</v>
      </c>
      <c r="G308" s="369">
        <f>SUM(G306:G307)</f>
        <v>25050579.580000002</v>
      </c>
      <c r="H308" s="369"/>
      <c r="I308" s="369">
        <f>O262</f>
        <v>2930748.4600000004</v>
      </c>
      <c r="J308" s="369"/>
      <c r="K308" s="369">
        <v>52826.630000000005</v>
      </c>
      <c r="L308" s="369">
        <f>SUM(L306:L307)</f>
        <v>0</v>
      </c>
      <c r="M308" s="369">
        <v>-90900.479999999996</v>
      </c>
      <c r="N308" s="369">
        <v>-3350.2400000000002</v>
      </c>
      <c r="O308" s="369">
        <f>SUM(O306:O307)</f>
        <v>2889324.37</v>
      </c>
    </row>
    <row r="309" spans="1:15">
      <c r="A309" s="361"/>
      <c r="B309" s="365"/>
      <c r="D309" s="369"/>
      <c r="E309" s="369"/>
      <c r="F309" s="369"/>
      <c r="G309" s="369"/>
      <c r="H309" s="369"/>
      <c r="I309" s="369"/>
      <c r="J309" s="369"/>
      <c r="K309" s="369"/>
      <c r="L309" s="369"/>
      <c r="M309" s="369"/>
      <c r="N309" s="369"/>
      <c r="O309" s="369"/>
    </row>
    <row r="310" spans="1:15">
      <c r="A310" s="361">
        <f>A308+1</f>
        <v>13</v>
      </c>
      <c r="B310" s="365">
        <v>380</v>
      </c>
      <c r="C310" s="358" t="s">
        <v>1777</v>
      </c>
      <c r="D310" s="369">
        <f>D296</f>
        <v>5006973.0041842349</v>
      </c>
      <c r="E310" s="369">
        <f>E296</f>
        <v>946236.83000000007</v>
      </c>
      <c r="F310" s="369">
        <f>F296</f>
        <v>-231124.9352651996</v>
      </c>
      <c r="G310" s="369">
        <f>SUM(D310:F310)</f>
        <v>5722084.8989190357</v>
      </c>
      <c r="H310" s="369"/>
      <c r="I310" s="369">
        <f>I296</f>
        <v>-2417158.8041307656</v>
      </c>
      <c r="J310" s="369"/>
      <c r="K310" s="369">
        <f>K296</f>
        <v>17791.894</v>
      </c>
      <c r="L310" s="369">
        <v>0</v>
      </c>
      <c r="M310" s="369">
        <f>M296</f>
        <v>-231124.9352651996</v>
      </c>
      <c r="N310" s="369">
        <f>N296</f>
        <v>-147739.33692500001</v>
      </c>
      <c r="O310" s="369">
        <f>I310+K310+L310+M310+N310</f>
        <v>-2778231.1823209655</v>
      </c>
    </row>
    <row r="311" spans="1:15">
      <c r="A311" s="361">
        <f>A310+1</f>
        <v>14</v>
      </c>
      <c r="B311" s="365">
        <v>380</v>
      </c>
      <c r="C311" s="358" t="s">
        <v>1623</v>
      </c>
      <c r="D311" s="923">
        <f>D312-D310</f>
        <v>196744847.34581575</v>
      </c>
      <c r="E311" s="923">
        <f>E312-E310</f>
        <v>555059.29999999981</v>
      </c>
      <c r="F311" s="923">
        <f>F312-F310</f>
        <v>-45969.604734800378</v>
      </c>
      <c r="G311" s="923">
        <f>SUM(D311:F311)</f>
        <v>197253937.04108095</v>
      </c>
      <c r="H311" s="369"/>
      <c r="I311" s="923">
        <f>I312-I310</f>
        <v>55615915.584130771</v>
      </c>
      <c r="J311" s="369"/>
      <c r="K311" s="923">
        <f>K312-K310</f>
        <v>679616.54599999997</v>
      </c>
      <c r="L311" s="923">
        <v>0</v>
      </c>
      <c r="M311" s="923">
        <f>M312-M310</f>
        <v>-45969.604734800378</v>
      </c>
      <c r="N311" s="923">
        <f>N312-N310</f>
        <v>-29384.913074999989</v>
      </c>
      <c r="O311" s="923">
        <f>I311+K311+L311+M311+N311</f>
        <v>56220177.612320967</v>
      </c>
    </row>
    <row r="312" spans="1:15">
      <c r="A312" s="361">
        <f>A311+1</f>
        <v>15</v>
      </c>
      <c r="B312" s="365">
        <v>380</v>
      </c>
      <c r="C312" s="358" t="s">
        <v>3080</v>
      </c>
      <c r="D312" s="369">
        <f>G266</f>
        <v>201751820.34999999</v>
      </c>
      <c r="E312" s="369">
        <v>1501296.13</v>
      </c>
      <c r="F312" s="369">
        <v>-277094.53999999998</v>
      </c>
      <c r="G312" s="369">
        <f>SUM(G310:G311)</f>
        <v>202976021.94</v>
      </c>
      <c r="H312" s="369"/>
      <c r="I312" s="369">
        <f>O266</f>
        <v>53198756.780000009</v>
      </c>
      <c r="J312" s="369"/>
      <c r="K312" s="369">
        <v>697408.44</v>
      </c>
      <c r="L312" s="369">
        <f>SUM(L310:L311)</f>
        <v>0</v>
      </c>
      <c r="M312" s="369">
        <v>-277094.53999999998</v>
      </c>
      <c r="N312" s="369">
        <v>-177124.25</v>
      </c>
      <c r="O312" s="369">
        <f>SUM(O310:O311)</f>
        <v>53441946.43</v>
      </c>
    </row>
    <row r="313" spans="1:15">
      <c r="A313" s="361"/>
      <c r="B313" s="365"/>
      <c r="D313" s="369"/>
      <c r="E313" s="369"/>
      <c r="F313" s="369"/>
      <c r="G313" s="369"/>
      <c r="H313" s="369"/>
      <c r="I313" s="369"/>
      <c r="J313" s="369"/>
      <c r="K313" s="369"/>
      <c r="L313" s="369"/>
      <c r="M313" s="369"/>
      <c r="N313" s="369"/>
      <c r="O313" s="369"/>
    </row>
    <row r="314" spans="1:15">
      <c r="A314" s="361">
        <f>A312+1</f>
        <v>16</v>
      </c>
      <c r="B314" s="365">
        <v>382</v>
      </c>
      <c r="C314" s="358" t="s">
        <v>1778</v>
      </c>
      <c r="D314" s="369">
        <f>D297</f>
        <v>-6324.9100000000017</v>
      </c>
      <c r="E314" s="369">
        <f>E297</f>
        <v>7084.41</v>
      </c>
      <c r="F314" s="369">
        <f>F297</f>
        <v>-5252.36</v>
      </c>
      <c r="G314" s="369">
        <f>SUM(D314:F314)</f>
        <v>-4492.8600000000015</v>
      </c>
      <c r="H314" s="369"/>
      <c r="I314" s="369">
        <f>I297</f>
        <v>-16942.735000000001</v>
      </c>
      <c r="J314" s="369"/>
      <c r="K314" s="369">
        <f>K297</f>
        <v>-7.649</v>
      </c>
      <c r="L314" s="369">
        <v>0</v>
      </c>
      <c r="M314" s="369">
        <f>M297</f>
        <v>-5252.36</v>
      </c>
      <c r="N314" s="369">
        <f>N297</f>
        <v>0</v>
      </c>
      <c r="O314" s="369">
        <f>I314+K314+L314+M314+N314</f>
        <v>-22202.744000000002</v>
      </c>
    </row>
    <row r="315" spans="1:15">
      <c r="A315" s="361">
        <f>A314+1</f>
        <v>17</v>
      </c>
      <c r="B315" s="365">
        <v>382</v>
      </c>
      <c r="C315" s="358" t="s">
        <v>1624</v>
      </c>
      <c r="D315" s="923">
        <f>D316-D314</f>
        <v>10186573.83</v>
      </c>
      <c r="E315" s="923">
        <f>E316-E314</f>
        <v>16616.580000000002</v>
      </c>
      <c r="F315" s="923">
        <f>F316-F314</f>
        <v>0</v>
      </c>
      <c r="G315" s="923">
        <f>SUM(D315:F315)</f>
        <v>10203190.41</v>
      </c>
      <c r="H315" s="369"/>
      <c r="I315" s="923">
        <f>I316-I314</f>
        <v>5751127.6750000007</v>
      </c>
      <c r="J315" s="369"/>
      <c r="K315" s="923">
        <f>K316-K314</f>
        <v>15037.119000000001</v>
      </c>
      <c r="L315" s="923">
        <v>0</v>
      </c>
      <c r="M315" s="923">
        <f>M316-M314</f>
        <v>0</v>
      </c>
      <c r="N315" s="923">
        <f>N316-N314</f>
        <v>0</v>
      </c>
      <c r="O315" s="923">
        <f>I315+K315+L315+M315+N315</f>
        <v>5766164.7940000007</v>
      </c>
    </row>
    <row r="316" spans="1:15">
      <c r="A316" s="361">
        <f>A315+1</f>
        <v>18</v>
      </c>
      <c r="B316" s="365">
        <v>382</v>
      </c>
      <c r="C316" s="358" t="s">
        <v>3081</v>
      </c>
      <c r="D316" s="369">
        <f>G270</f>
        <v>10180248.92</v>
      </c>
      <c r="E316" s="369">
        <v>23700.99</v>
      </c>
      <c r="F316" s="369">
        <v>-5252.36</v>
      </c>
      <c r="G316" s="369">
        <f>SUM(G314:G315)</f>
        <v>10198697.550000001</v>
      </c>
      <c r="H316" s="369"/>
      <c r="I316" s="369">
        <f>O270</f>
        <v>5734184.9400000004</v>
      </c>
      <c r="J316" s="369"/>
      <c r="K316" s="369">
        <v>15029.470000000001</v>
      </c>
      <c r="L316" s="369">
        <f>SUM(L314:L315)</f>
        <v>0</v>
      </c>
      <c r="M316" s="369">
        <v>-5252.36</v>
      </c>
      <c r="N316" s="369">
        <v>0</v>
      </c>
      <c r="O316" s="369">
        <f>SUM(O314:O315)</f>
        <v>5743962.0500000007</v>
      </c>
    </row>
    <row r="317" spans="1:15">
      <c r="A317" s="361"/>
      <c r="B317" s="365"/>
      <c r="D317" s="369"/>
      <c r="E317" s="369"/>
      <c r="F317" s="369"/>
      <c r="G317" s="369"/>
      <c r="H317" s="369"/>
      <c r="I317" s="369"/>
      <c r="J317" s="369"/>
      <c r="K317" s="369"/>
      <c r="L317" s="369"/>
      <c r="M317" s="369"/>
      <c r="N317" s="369"/>
      <c r="O317" s="369"/>
    </row>
    <row r="318" spans="1:15">
      <c r="A318" s="361">
        <f>A316+1</f>
        <v>19</v>
      </c>
      <c r="B318" s="365">
        <v>383</v>
      </c>
      <c r="C318" s="358" t="s">
        <v>1779</v>
      </c>
      <c r="D318" s="369">
        <f>D298</f>
        <v>-1322.69</v>
      </c>
      <c r="E318" s="369">
        <f>E298</f>
        <v>0</v>
      </c>
      <c r="F318" s="369">
        <f>F298</f>
        <v>-3043.2999999999997</v>
      </c>
      <c r="G318" s="369">
        <f>SUM(D318:F318)</f>
        <v>-4365.99</v>
      </c>
      <c r="H318" s="369"/>
      <c r="I318" s="369">
        <f>I298</f>
        <v>-1328.76</v>
      </c>
      <c r="J318" s="369"/>
      <c r="K318" s="369">
        <f>K298</f>
        <v>-4.46</v>
      </c>
      <c r="L318" s="369">
        <v>0</v>
      </c>
      <c r="M318" s="369">
        <f>M298</f>
        <v>-3043.2999999999997</v>
      </c>
      <c r="N318" s="369">
        <f>N298</f>
        <v>0</v>
      </c>
      <c r="O318" s="369">
        <f>I318+K318+L318+M318+N318</f>
        <v>-4376.5199999999995</v>
      </c>
    </row>
    <row r="319" spans="1:15">
      <c r="A319" s="361">
        <f>A318+1</f>
        <v>20</v>
      </c>
      <c r="B319" s="365">
        <v>383</v>
      </c>
      <c r="C319" s="358" t="s">
        <v>1625</v>
      </c>
      <c r="D319" s="923">
        <f>D320-D318</f>
        <v>7209338.0099999998</v>
      </c>
      <c r="E319" s="923">
        <f>E320-E318</f>
        <v>3311.4900000000002</v>
      </c>
      <c r="F319" s="923">
        <f>F320-F318</f>
        <v>0</v>
      </c>
      <c r="G319" s="923">
        <f>SUM(D319:F319)</f>
        <v>7212649.5</v>
      </c>
      <c r="H319" s="369"/>
      <c r="I319" s="923">
        <f>I320-I318</f>
        <v>2416050.73</v>
      </c>
      <c r="J319" s="369"/>
      <c r="K319" s="923">
        <f>K320-K318</f>
        <v>11657.63</v>
      </c>
      <c r="L319" s="923">
        <v>0</v>
      </c>
      <c r="M319" s="923">
        <f>M320-M318</f>
        <v>0</v>
      </c>
      <c r="N319" s="923">
        <f>N320-N318</f>
        <v>0</v>
      </c>
      <c r="O319" s="923">
        <f>I319+K319+L319+M319+N319</f>
        <v>2427708.36</v>
      </c>
    </row>
    <row r="320" spans="1:15">
      <c r="A320" s="361">
        <f>A319+1</f>
        <v>21</v>
      </c>
      <c r="B320" s="365">
        <v>383</v>
      </c>
      <c r="C320" s="358" t="s">
        <v>3082</v>
      </c>
      <c r="D320" s="369">
        <f>G274</f>
        <v>7208015.3199999994</v>
      </c>
      <c r="E320" s="369">
        <v>3311.4900000000002</v>
      </c>
      <c r="F320" s="369">
        <v>-3043.3</v>
      </c>
      <c r="G320" s="369">
        <f>SUM(G318:G319)</f>
        <v>7208283.5099999998</v>
      </c>
      <c r="H320" s="369"/>
      <c r="I320" s="369">
        <f>O274</f>
        <v>2414721.9700000002</v>
      </c>
      <c r="J320" s="369"/>
      <c r="K320" s="369">
        <v>11653.17</v>
      </c>
      <c r="L320" s="369">
        <f>SUM(L318:L319)</f>
        <v>0</v>
      </c>
      <c r="M320" s="369">
        <v>-3043.3</v>
      </c>
      <c r="N320" s="369">
        <v>0</v>
      </c>
      <c r="O320" s="369">
        <f>SUM(O318:O319)</f>
        <v>2423331.8399999999</v>
      </c>
    </row>
    <row r="321" spans="1:15">
      <c r="B321" s="365"/>
      <c r="D321" s="369"/>
      <c r="E321" s="369"/>
      <c r="F321" s="369"/>
      <c r="G321" s="369"/>
      <c r="I321" s="369"/>
      <c r="K321" s="369"/>
      <c r="L321" s="369"/>
      <c r="M321" s="369"/>
      <c r="N321" s="369"/>
      <c r="O321" s="369"/>
    </row>
    <row r="323" spans="1:15" s="291" customFormat="1">
      <c r="A323" s="1308" t="str">
        <f>$A$1</f>
        <v>COLUMBIA GAS OF KENTUCKY, INC.</v>
      </c>
      <c r="B323" s="1308"/>
      <c r="C323" s="1308"/>
      <c r="D323" s="1308"/>
      <c r="E323" s="1308"/>
      <c r="F323" s="1308"/>
      <c r="G323" s="1308"/>
      <c r="H323" s="1308"/>
      <c r="I323" s="1308"/>
      <c r="J323" s="1308"/>
      <c r="K323" s="1308"/>
      <c r="L323" s="1308"/>
      <c r="M323" s="1308"/>
      <c r="N323" s="1308"/>
      <c r="O323" s="1308"/>
    </row>
    <row r="324" spans="1:15" s="291" customFormat="1">
      <c r="A324" s="1308" t="str">
        <f>$A$2</f>
        <v>CASE NO. 2024 - 00092</v>
      </c>
      <c r="B324" s="1308"/>
      <c r="C324" s="1308"/>
      <c r="D324" s="1308"/>
      <c r="E324" s="1308"/>
      <c r="F324" s="1308"/>
      <c r="G324" s="1308"/>
      <c r="H324" s="1308"/>
      <c r="I324" s="1308"/>
      <c r="J324" s="1308"/>
      <c r="K324" s="1308"/>
      <c r="L324" s="1308"/>
      <c r="M324" s="1308"/>
      <c r="N324" s="1308"/>
      <c r="O324" s="1308"/>
    </row>
    <row r="325" spans="1:15" s="291" customFormat="1">
      <c r="A325" s="1308" t="str">
        <f>$A$3</f>
        <v>DETAIL OF ACTUAL &amp;  FORECASTED SMRP PLANT, ACCUMULATED RESERVE &amp; DEPRECIATION EXPENSE</v>
      </c>
      <c r="B325" s="1308"/>
      <c r="C325" s="1308"/>
      <c r="D325" s="1308"/>
      <c r="E325" s="1308"/>
      <c r="F325" s="1308"/>
      <c r="G325" s="1308"/>
      <c r="H325" s="1308"/>
      <c r="I325" s="1308"/>
      <c r="J325" s="1308"/>
      <c r="K325" s="1308"/>
      <c r="L325" s="1308"/>
      <c r="M325" s="1308"/>
      <c r="N325" s="1308"/>
      <c r="O325" s="1308"/>
    </row>
    <row r="326" spans="1:15" s="291" customFormat="1">
      <c r="A326" s="1308" t="str">
        <f>$A$4</f>
        <v>FROM JANUARY 01, 2023 THROUGH DECEMBER 31, 2025</v>
      </c>
      <c r="B326" s="1308"/>
      <c r="C326" s="1308"/>
      <c r="D326" s="1308"/>
      <c r="E326" s="1308"/>
      <c r="F326" s="1308"/>
      <c r="G326" s="1308"/>
      <c r="H326" s="1308"/>
      <c r="I326" s="1308"/>
      <c r="J326" s="1308"/>
      <c r="K326" s="1308"/>
      <c r="L326" s="1308"/>
      <c r="M326" s="1308"/>
      <c r="N326" s="1308"/>
      <c r="O326" s="1308"/>
    </row>
    <row r="327" spans="1:15" s="291" customFormat="1">
      <c r="B327" s="293"/>
    </row>
    <row r="328" spans="1:15" s="291" customFormat="1">
      <c r="A328" s="297" t="str">
        <f>'General Headers Index'!$B$34</f>
        <v xml:space="preserve">DATA: _X_ BASE PERIOD _X_ FORECASTED PERIOD     </v>
      </c>
      <c r="B328" s="293"/>
      <c r="O328" s="312" t="s">
        <v>2461</v>
      </c>
    </row>
    <row r="329" spans="1:15" s="291" customFormat="1">
      <c r="A329" s="297" t="str">
        <f>'General Headers Index'!$B$37</f>
        <v>TYPE OF FILING:___X___ORIGINAL______UPDATED</v>
      </c>
      <c r="B329" s="293"/>
      <c r="O329" s="312" t="s">
        <v>2230</v>
      </c>
    </row>
    <row r="330" spans="1:15" s="291" customFormat="1">
      <c r="A330" s="297" t="s">
        <v>2150</v>
      </c>
      <c r="B330" s="293"/>
      <c r="O330" s="312" t="str">
        <f>"WITNESS: "&amp;'General Headers Index'!$B$42</f>
        <v>WITNESS: GORE</v>
      </c>
    </row>
    <row r="331" spans="1:15">
      <c r="A331" s="918"/>
      <c r="B331" s="918"/>
      <c r="C331" s="918"/>
      <c r="D331" s="918"/>
      <c r="E331" s="918"/>
      <c r="F331" s="918"/>
      <c r="G331" s="918"/>
      <c r="H331" s="918"/>
      <c r="I331" s="918"/>
      <c r="J331" s="918"/>
      <c r="K331" s="918"/>
      <c r="L331" s="918"/>
      <c r="M331" s="918"/>
      <c r="N331" s="918"/>
      <c r="O331" s="918"/>
    </row>
    <row r="332" spans="1:15">
      <c r="B332" s="359"/>
      <c r="D332" s="1312" t="s">
        <v>1768</v>
      </c>
      <c r="E332" s="1312"/>
      <c r="F332" s="1312"/>
      <c r="G332" s="1312"/>
      <c r="I332" s="1312" t="s">
        <v>1769</v>
      </c>
      <c r="J332" s="1312"/>
      <c r="K332" s="1312"/>
      <c r="L332" s="1312"/>
      <c r="M332" s="1312"/>
      <c r="N332" s="1312"/>
      <c r="O332" s="1312"/>
    </row>
    <row r="333" spans="1:15">
      <c r="B333" s="359"/>
      <c r="D333" s="360">
        <f>G287+1</f>
        <v>45139</v>
      </c>
      <c r="G333" s="360">
        <f>D333+30</f>
        <v>45169</v>
      </c>
      <c r="I333" s="360">
        <f>D333</f>
        <v>45139</v>
      </c>
      <c r="O333" s="360">
        <f>G333</f>
        <v>45169</v>
      </c>
    </row>
    <row r="334" spans="1:15">
      <c r="B334" s="359"/>
      <c r="D334" s="361" t="s">
        <v>1757</v>
      </c>
      <c r="G334" s="361" t="s">
        <v>1757</v>
      </c>
      <c r="I334" s="361" t="s">
        <v>1758</v>
      </c>
      <c r="J334" s="361" t="s">
        <v>488</v>
      </c>
      <c r="L334" s="361" t="s">
        <v>1758</v>
      </c>
      <c r="O334" s="361" t="s">
        <v>1758</v>
      </c>
    </row>
    <row r="335" spans="1:15">
      <c r="A335" s="361" t="s">
        <v>1770</v>
      </c>
      <c r="B335" s="361" t="s">
        <v>368</v>
      </c>
      <c r="C335" s="361"/>
      <c r="D335" s="361" t="s">
        <v>437</v>
      </c>
      <c r="G335" s="361" t="s">
        <v>439</v>
      </c>
      <c r="I335" s="361" t="s">
        <v>437</v>
      </c>
      <c r="J335" s="361" t="s">
        <v>1771</v>
      </c>
      <c r="K335" s="361" t="s">
        <v>1772</v>
      </c>
      <c r="L335" s="361" t="s">
        <v>1759</v>
      </c>
      <c r="N335" s="361" t="s">
        <v>1760</v>
      </c>
      <c r="O335" s="361" t="s">
        <v>439</v>
      </c>
    </row>
    <row r="336" spans="1:15">
      <c r="A336" s="364" t="s">
        <v>316</v>
      </c>
      <c r="B336" s="364" t="s">
        <v>316</v>
      </c>
      <c r="C336" s="364" t="s">
        <v>451</v>
      </c>
      <c r="D336" s="364" t="s">
        <v>441</v>
      </c>
      <c r="E336" s="364" t="s">
        <v>442</v>
      </c>
      <c r="F336" s="364" t="s">
        <v>443</v>
      </c>
      <c r="G336" s="364" t="s">
        <v>441</v>
      </c>
      <c r="I336" s="364" t="s">
        <v>441</v>
      </c>
      <c r="J336" s="364" t="s">
        <v>1773</v>
      </c>
      <c r="K336" s="364" t="s">
        <v>1771</v>
      </c>
      <c r="L336" s="364" t="s">
        <v>355</v>
      </c>
      <c r="M336" s="364" t="s">
        <v>443</v>
      </c>
      <c r="N336" s="364" t="s">
        <v>1763</v>
      </c>
      <c r="O336" s="364" t="s">
        <v>441</v>
      </c>
    </row>
    <row r="337" spans="1:15">
      <c r="B337" s="359"/>
      <c r="D337" s="361" t="s">
        <v>532</v>
      </c>
      <c r="E337" s="361" t="s">
        <v>541</v>
      </c>
      <c r="F337" s="361" t="s">
        <v>542</v>
      </c>
      <c r="G337" s="361" t="s">
        <v>1764</v>
      </c>
      <c r="I337" s="334" t="str">
        <f>"(5)"</f>
        <v>(5)</v>
      </c>
      <c r="J337" s="334" t="str">
        <f>"(6)"</f>
        <v>(6)</v>
      </c>
      <c r="K337" s="334" t="str">
        <f>"(7)"</f>
        <v>(7)</v>
      </c>
      <c r="L337" s="334" t="str">
        <f>"(8)"</f>
        <v>(8)</v>
      </c>
      <c r="M337" s="334" t="str">
        <f>"(9)"</f>
        <v>(9)</v>
      </c>
      <c r="N337" s="334" t="str">
        <f>"(10)"</f>
        <v>(10)</v>
      </c>
      <c r="O337" s="334" t="str">
        <f>"(11=5+7+8+9+10)"</f>
        <v>(11=5+7+8+9+10)</v>
      </c>
    </row>
    <row r="338" spans="1:15">
      <c r="B338" s="359"/>
      <c r="D338" s="361" t="s">
        <v>320</v>
      </c>
      <c r="E338" s="361" t="s">
        <v>320</v>
      </c>
      <c r="F338" s="361" t="s">
        <v>320</v>
      </c>
      <c r="G338" s="361" t="s">
        <v>320</v>
      </c>
      <c r="I338" s="334" t="s">
        <v>320</v>
      </c>
      <c r="J338" s="1250" t="s">
        <v>529</v>
      </c>
      <c r="K338" s="334" t="s">
        <v>320</v>
      </c>
      <c r="L338" s="334" t="s">
        <v>320</v>
      </c>
      <c r="M338" s="334" t="s">
        <v>320</v>
      </c>
      <c r="N338" s="334" t="s">
        <v>320</v>
      </c>
      <c r="O338" s="334" t="s">
        <v>320</v>
      </c>
    </row>
    <row r="339" spans="1:15">
      <c r="B339" s="359"/>
      <c r="D339" s="361"/>
      <c r="E339" s="361"/>
      <c r="F339" s="361"/>
      <c r="G339" s="361"/>
      <c r="I339" s="334"/>
      <c r="J339" s="334"/>
      <c r="K339" s="334"/>
      <c r="L339" s="334"/>
      <c r="M339" s="334"/>
      <c r="N339" s="334"/>
      <c r="O339" s="334"/>
    </row>
    <row r="340" spans="1:15">
      <c r="A340" s="361">
        <v>1</v>
      </c>
      <c r="B340" s="365">
        <v>376</v>
      </c>
      <c r="C340" s="358" t="s">
        <v>1775</v>
      </c>
      <c r="D340" s="369">
        <f>G294</f>
        <v>15639367.440000001</v>
      </c>
      <c r="E340" s="369">
        <v>1345549.6300000004</v>
      </c>
      <c r="F340" s="369">
        <v>-207</v>
      </c>
      <c r="G340" s="369">
        <f>SUM(D340:F340)</f>
        <v>16984710.07</v>
      </c>
      <c r="H340" s="369"/>
      <c r="I340" s="369">
        <f>O294</f>
        <v>22528.940999999999</v>
      </c>
      <c r="J340" s="369"/>
      <c r="K340" s="369">
        <v>23652.373</v>
      </c>
      <c r="L340" s="369">
        <v>0</v>
      </c>
      <c r="M340" s="369">
        <f>F340</f>
        <v>-207</v>
      </c>
      <c r="N340" s="369">
        <v>0</v>
      </c>
      <c r="O340" s="369">
        <f>I340+K340+L340+M340+N340</f>
        <v>45974.313999999998</v>
      </c>
    </row>
    <row r="341" spans="1:15">
      <c r="A341" s="361">
        <f>A340+1</f>
        <v>2</v>
      </c>
      <c r="B341" s="365">
        <v>378.2</v>
      </c>
      <c r="C341" s="358" t="s">
        <v>1776</v>
      </c>
      <c r="D341" s="369">
        <f>G295</f>
        <v>-231609.45</v>
      </c>
      <c r="E341" s="369">
        <v>0</v>
      </c>
      <c r="F341" s="369">
        <v>-73755.900000000009</v>
      </c>
      <c r="G341" s="369">
        <f>SUM(D341:F341)</f>
        <v>-305365.35000000003</v>
      </c>
      <c r="H341" s="369"/>
      <c r="I341" s="369">
        <f>O295</f>
        <v>-256468.46899999998</v>
      </c>
      <c r="J341" s="369"/>
      <c r="K341" s="369">
        <v>-563.44399999999996</v>
      </c>
      <c r="L341" s="369">
        <v>0</v>
      </c>
      <c r="M341" s="369">
        <f>F341</f>
        <v>-73755.900000000009</v>
      </c>
      <c r="N341" s="369">
        <v>-14666.38</v>
      </c>
      <c r="O341" s="369">
        <f>I341+K341+L341+M341+N341</f>
        <v>-345454.19299999997</v>
      </c>
    </row>
    <row r="342" spans="1:15">
      <c r="A342" s="361">
        <f>A341+1</f>
        <v>3</v>
      </c>
      <c r="B342" s="365">
        <v>380</v>
      </c>
      <c r="C342" s="358" t="s">
        <v>1777</v>
      </c>
      <c r="D342" s="369">
        <f>G296</f>
        <v>5722084.8989190357</v>
      </c>
      <c r="E342" s="369">
        <v>1262751.21</v>
      </c>
      <c r="F342" s="369">
        <v>-168870.39495231336</v>
      </c>
      <c r="G342" s="369">
        <f>SUM(D342:F342)</f>
        <v>6815965.7139667226</v>
      </c>
      <c r="H342" s="369"/>
      <c r="I342" s="369">
        <f>O296</f>
        <v>-2778231.1823209655</v>
      </c>
      <c r="J342" s="369"/>
      <c r="K342" s="369">
        <v>20792.019</v>
      </c>
      <c r="L342" s="369">
        <v>0</v>
      </c>
      <c r="M342" s="369">
        <f>F342</f>
        <v>-168870.39495231336</v>
      </c>
      <c r="N342" s="369">
        <v>-166411.49952499999</v>
      </c>
      <c r="O342" s="369">
        <f>I342+K342+L342+M342+N342</f>
        <v>-3092721.057798279</v>
      </c>
    </row>
    <row r="343" spans="1:15">
      <c r="A343" s="361">
        <f>A342+1</f>
        <v>4</v>
      </c>
      <c r="B343" s="365">
        <v>382</v>
      </c>
      <c r="C343" s="358" t="s">
        <v>1778</v>
      </c>
      <c r="D343" s="369">
        <f>G297</f>
        <v>-4492.8600000000015</v>
      </c>
      <c r="E343" s="369">
        <v>19772.759999999998</v>
      </c>
      <c r="F343" s="369">
        <v>-9322.3200000000015</v>
      </c>
      <c r="G343" s="369">
        <f>SUM(D343:F343)</f>
        <v>5957.5799999999963</v>
      </c>
      <c r="H343" s="369"/>
      <c r="I343" s="369">
        <f>O297</f>
        <v>-22202.744000000002</v>
      </c>
      <c r="J343" s="369"/>
      <c r="K343" s="369">
        <v>0.70699999999999985</v>
      </c>
      <c r="L343" s="369">
        <v>0</v>
      </c>
      <c r="M343" s="369">
        <f>F343</f>
        <v>-9322.3200000000015</v>
      </c>
      <c r="N343" s="369">
        <v>0</v>
      </c>
      <c r="O343" s="369">
        <f>I343+K343+L343+M343+N343</f>
        <v>-31524.357000000004</v>
      </c>
    </row>
    <row r="344" spans="1:15">
      <c r="A344" s="361">
        <f>A343+1</f>
        <v>5</v>
      </c>
      <c r="B344" s="365">
        <v>383</v>
      </c>
      <c r="C344" s="358" t="s">
        <v>1779</v>
      </c>
      <c r="D344" s="923">
        <f>G298</f>
        <v>-4365.99</v>
      </c>
      <c r="E344" s="923">
        <v>0</v>
      </c>
      <c r="F344" s="923">
        <v>-197.14000000000001</v>
      </c>
      <c r="G344" s="923">
        <f>SUM(D344:F344)</f>
        <v>-4563.13</v>
      </c>
      <c r="H344" s="369"/>
      <c r="I344" s="923">
        <f>O298</f>
        <v>-4376.5199999999995</v>
      </c>
      <c r="J344" s="369"/>
      <c r="K344" s="923">
        <v>-7.1589999999999998</v>
      </c>
      <c r="L344" s="923">
        <v>0</v>
      </c>
      <c r="M344" s="923">
        <f>F344</f>
        <v>-197.14000000000001</v>
      </c>
      <c r="N344" s="923">
        <v>0</v>
      </c>
      <c r="O344" s="923">
        <f>I344+K344+L344+M344+N344</f>
        <v>-4580.8189999999995</v>
      </c>
    </row>
    <row r="345" spans="1:15">
      <c r="A345" s="361">
        <f>A344+1</f>
        <v>6</v>
      </c>
      <c r="C345" s="358" t="s">
        <v>3077</v>
      </c>
      <c r="D345" s="369">
        <f>SUM(D340:D344)</f>
        <v>21120984.038919039</v>
      </c>
      <c r="E345" s="369">
        <f>SUM(E340:E344)</f>
        <v>2628073.6</v>
      </c>
      <c r="F345" s="369">
        <f>SUM(F340:F344)</f>
        <v>-252352.75495231338</v>
      </c>
      <c r="G345" s="369">
        <f>SUM(G340:G344)</f>
        <v>23496704.883966722</v>
      </c>
      <c r="H345" s="369"/>
      <c r="I345" s="369">
        <f>SUM(I340:I344)</f>
        <v>-3038749.9743209654</v>
      </c>
      <c r="J345" s="369"/>
      <c r="K345" s="369">
        <f>SUM(K340:K344)</f>
        <v>43874.496000000006</v>
      </c>
      <c r="L345" s="369">
        <f t="shared" ref="L345" si="7">SUM(L340:L344)</f>
        <v>0</v>
      </c>
      <c r="M345" s="369">
        <f>SUM(M340:M344)</f>
        <v>-252352.75495231338</v>
      </c>
      <c r="N345" s="369">
        <f>SUM(N340:N344)</f>
        <v>-181077.879525</v>
      </c>
      <c r="O345" s="369">
        <f>SUM(O340:O344)</f>
        <v>-3428306.1127982792</v>
      </c>
    </row>
    <row r="346" spans="1:15">
      <c r="A346" s="361"/>
      <c r="D346" s="369"/>
      <c r="E346" s="369"/>
      <c r="F346" s="369"/>
      <c r="G346" s="369"/>
      <c r="H346" s="369"/>
      <c r="I346" s="369"/>
      <c r="J346" s="369"/>
      <c r="K346" s="369"/>
      <c r="L346" s="369"/>
      <c r="M346" s="369"/>
      <c r="N346" s="369"/>
      <c r="O346" s="369"/>
    </row>
    <row r="347" spans="1:15">
      <c r="A347" s="361"/>
      <c r="D347" s="369"/>
      <c r="E347" s="369"/>
      <c r="F347" s="369"/>
      <c r="G347" s="369"/>
      <c r="H347" s="369"/>
      <c r="I347" s="369"/>
      <c r="J347" s="369"/>
      <c r="K347" s="369"/>
      <c r="L347" s="369"/>
      <c r="M347" s="369"/>
      <c r="N347" s="369"/>
      <c r="O347" s="369"/>
    </row>
    <row r="348" spans="1:15">
      <c r="A348" s="361">
        <f>A345+1</f>
        <v>7</v>
      </c>
      <c r="B348" s="365">
        <v>376</v>
      </c>
      <c r="C348" s="358" t="s">
        <v>1775</v>
      </c>
      <c r="D348" s="369">
        <f>D340</f>
        <v>15639367.440000001</v>
      </c>
      <c r="E348" s="369">
        <f>E340</f>
        <v>1345549.6300000004</v>
      </c>
      <c r="F348" s="369">
        <f>F340</f>
        <v>-207</v>
      </c>
      <c r="G348" s="369">
        <f>SUM(D348:F348)</f>
        <v>16984710.07</v>
      </c>
      <c r="H348" s="369"/>
      <c r="I348" s="369">
        <f>I340</f>
        <v>22528.940999999999</v>
      </c>
      <c r="J348" s="369"/>
      <c r="K348" s="369">
        <f>K340</f>
        <v>23652.373</v>
      </c>
      <c r="L348" s="369">
        <v>0</v>
      </c>
      <c r="M348" s="369">
        <f>M340</f>
        <v>-207</v>
      </c>
      <c r="N348" s="369">
        <f>N340</f>
        <v>0</v>
      </c>
      <c r="O348" s="369">
        <f>I348+K348+L348+M348+N348</f>
        <v>45974.313999999998</v>
      </c>
    </row>
    <row r="349" spans="1:15">
      <c r="A349" s="361">
        <f>A348+1</f>
        <v>8</v>
      </c>
      <c r="B349" s="365">
        <v>376</v>
      </c>
      <c r="C349" s="358" t="s">
        <v>1621</v>
      </c>
      <c r="D349" s="923">
        <f>D350-D348</f>
        <v>404522125.93000001</v>
      </c>
      <c r="E349" s="923">
        <f>E350-E348</f>
        <v>387330.83999999962</v>
      </c>
      <c r="F349" s="923">
        <f>F350-F348</f>
        <v>-18638.41</v>
      </c>
      <c r="G349" s="923">
        <f>SUM(D349:F349)</f>
        <v>404890818.35999995</v>
      </c>
      <c r="H349" s="369"/>
      <c r="I349" s="923">
        <f>I350-I348</f>
        <v>77904257.248999998</v>
      </c>
      <c r="J349" s="369"/>
      <c r="K349" s="923">
        <f>K350-K348</f>
        <v>583315.93700000003</v>
      </c>
      <c r="L349" s="923">
        <v>0</v>
      </c>
      <c r="M349" s="923">
        <f>M350-M348</f>
        <v>-18638.41</v>
      </c>
      <c r="N349" s="923">
        <f>N350-N348</f>
        <v>-8437.94</v>
      </c>
      <c r="O349" s="923">
        <f>I349+K349+L349+M349+N349</f>
        <v>78460496.83600001</v>
      </c>
    </row>
    <row r="350" spans="1:15">
      <c r="A350" s="361">
        <f>A349+1</f>
        <v>9</v>
      </c>
      <c r="B350" s="365">
        <v>376</v>
      </c>
      <c r="C350" s="358" t="s">
        <v>3078</v>
      </c>
      <c r="D350" s="369">
        <f>G304</f>
        <v>420161493.37</v>
      </c>
      <c r="E350" s="369">
        <v>1732880.47</v>
      </c>
      <c r="F350" s="369">
        <v>-18845.41</v>
      </c>
      <c r="G350" s="369">
        <f>SUM(G348:G349)</f>
        <v>421875528.42999995</v>
      </c>
      <c r="H350" s="369"/>
      <c r="I350" s="369">
        <f>O304</f>
        <v>77926786.189999998</v>
      </c>
      <c r="J350" s="369"/>
      <c r="K350" s="369">
        <v>606968.31000000006</v>
      </c>
      <c r="L350" s="369">
        <f>SUM(L348:L349)</f>
        <v>0</v>
      </c>
      <c r="M350" s="369">
        <v>-18845.41</v>
      </c>
      <c r="N350" s="369">
        <v>-8437.94</v>
      </c>
      <c r="O350" s="369">
        <f>SUM(O348:O349)</f>
        <v>78506471.150000006</v>
      </c>
    </row>
    <row r="351" spans="1:15">
      <c r="A351" s="361"/>
      <c r="B351" s="365"/>
      <c r="D351" s="369"/>
      <c r="E351" s="369"/>
      <c r="F351" s="369"/>
      <c r="G351" s="369"/>
      <c r="H351" s="369"/>
      <c r="I351" s="369"/>
      <c r="J351" s="369"/>
      <c r="K351" s="369"/>
      <c r="L351" s="369"/>
      <c r="M351" s="369"/>
      <c r="N351" s="369"/>
      <c r="O351" s="369"/>
    </row>
    <row r="352" spans="1:15">
      <c r="A352" s="361">
        <f>A350+1</f>
        <v>10</v>
      </c>
      <c r="B352" s="365">
        <v>378.2</v>
      </c>
      <c r="C352" s="358" t="s">
        <v>1776</v>
      </c>
      <c r="D352" s="369">
        <f>D341</f>
        <v>-231609.45</v>
      </c>
      <c r="E352" s="369">
        <f>E341</f>
        <v>0</v>
      </c>
      <c r="F352" s="369">
        <f>F341</f>
        <v>-73755.900000000009</v>
      </c>
      <c r="G352" s="369">
        <f>SUM(D352:F352)</f>
        <v>-305365.35000000003</v>
      </c>
      <c r="H352" s="369"/>
      <c r="I352" s="369">
        <f>I341</f>
        <v>-256468.46899999998</v>
      </c>
      <c r="J352" s="369"/>
      <c r="K352" s="369">
        <f>K341</f>
        <v>-563.44399999999996</v>
      </c>
      <c r="L352" s="369">
        <v>0</v>
      </c>
      <c r="M352" s="369">
        <f>M341</f>
        <v>-73755.900000000009</v>
      </c>
      <c r="N352" s="369">
        <f>N341</f>
        <v>-14666.38</v>
      </c>
      <c r="O352" s="369">
        <f>I352+K352+L352+M352+N352</f>
        <v>-345454.19299999997</v>
      </c>
    </row>
    <row r="353" spans="1:15">
      <c r="A353" s="361">
        <f>A352+1</f>
        <v>11</v>
      </c>
      <c r="B353" s="365">
        <v>378.2</v>
      </c>
      <c r="C353" s="358" t="s">
        <v>1622</v>
      </c>
      <c r="D353" s="923">
        <f>D354-D352</f>
        <v>25282189.030000001</v>
      </c>
      <c r="E353" s="923">
        <f>E354-E352</f>
        <v>-7189.3600000000006</v>
      </c>
      <c r="F353" s="923">
        <f>F354-F352</f>
        <v>0</v>
      </c>
      <c r="G353" s="923">
        <f>SUM(D353:F353)</f>
        <v>25274999.670000002</v>
      </c>
      <c r="H353" s="369"/>
      <c r="I353" s="923">
        <f>I354-I352</f>
        <v>3145792.8390000002</v>
      </c>
      <c r="J353" s="369"/>
      <c r="K353" s="923">
        <f>K354-K352</f>
        <v>53241.754000000001</v>
      </c>
      <c r="L353" s="923">
        <v>0</v>
      </c>
      <c r="M353" s="923">
        <f>M354-M352</f>
        <v>0</v>
      </c>
      <c r="N353" s="923">
        <f>N354-N352</f>
        <v>-1201.4100000000017</v>
      </c>
      <c r="O353" s="923">
        <f>I353+K353+L353+M353+N353</f>
        <v>3197833.1830000002</v>
      </c>
    </row>
    <row r="354" spans="1:15">
      <c r="A354" s="361">
        <f>A353+1</f>
        <v>12</v>
      </c>
      <c r="B354" s="365">
        <v>378.2</v>
      </c>
      <c r="C354" s="358" t="s">
        <v>3079</v>
      </c>
      <c r="D354" s="369">
        <f>G308</f>
        <v>25050579.580000002</v>
      </c>
      <c r="E354" s="369">
        <v>-7189.3600000000006</v>
      </c>
      <c r="F354" s="369">
        <v>-73755.900000000009</v>
      </c>
      <c r="G354" s="369">
        <f>SUM(G352:G353)</f>
        <v>24969634.32</v>
      </c>
      <c r="H354" s="369"/>
      <c r="I354" s="369">
        <f>O308</f>
        <v>2889324.37</v>
      </c>
      <c r="J354" s="369"/>
      <c r="K354" s="369">
        <v>52678.31</v>
      </c>
      <c r="L354" s="369">
        <f>SUM(L352:L353)</f>
        <v>0</v>
      </c>
      <c r="M354" s="369">
        <v>-73755.900000000009</v>
      </c>
      <c r="N354" s="369">
        <v>-15867.79</v>
      </c>
      <c r="O354" s="369">
        <f>SUM(O352:O353)</f>
        <v>2852378.99</v>
      </c>
    </row>
    <row r="355" spans="1:15">
      <c r="A355" s="361"/>
      <c r="B355" s="365"/>
      <c r="D355" s="369"/>
      <c r="E355" s="369"/>
      <c r="F355" s="369"/>
      <c r="G355" s="369"/>
      <c r="H355" s="369"/>
      <c r="I355" s="369"/>
      <c r="J355" s="369"/>
      <c r="K355" s="369"/>
      <c r="L355" s="369"/>
      <c r="M355" s="369"/>
      <c r="N355" s="369"/>
      <c r="O355" s="369"/>
    </row>
    <row r="356" spans="1:15">
      <c r="A356" s="361">
        <f>A354+1</f>
        <v>13</v>
      </c>
      <c r="B356" s="365">
        <v>380</v>
      </c>
      <c r="C356" s="358" t="s">
        <v>1777</v>
      </c>
      <c r="D356" s="369">
        <f>D342</f>
        <v>5722084.8989190357</v>
      </c>
      <c r="E356" s="369">
        <f>E342</f>
        <v>1262751.21</v>
      </c>
      <c r="F356" s="369">
        <f>F342</f>
        <v>-168870.39495231336</v>
      </c>
      <c r="G356" s="369">
        <f>SUM(D356:F356)</f>
        <v>6815965.7139667226</v>
      </c>
      <c r="H356" s="369"/>
      <c r="I356" s="369">
        <f>I342</f>
        <v>-2778231.1823209655</v>
      </c>
      <c r="J356" s="369"/>
      <c r="K356" s="369">
        <f>K342</f>
        <v>20792.019</v>
      </c>
      <c r="L356" s="369">
        <v>0</v>
      </c>
      <c r="M356" s="369">
        <f>M342</f>
        <v>-168870.39495231336</v>
      </c>
      <c r="N356" s="369">
        <f>N342</f>
        <v>-166411.49952499999</v>
      </c>
      <c r="O356" s="369">
        <f>I356+K356+L356+M356+N356</f>
        <v>-3092721.057798279</v>
      </c>
    </row>
    <row r="357" spans="1:15">
      <c r="A357" s="361">
        <f>A356+1</f>
        <v>14</v>
      </c>
      <c r="B357" s="365">
        <v>380</v>
      </c>
      <c r="C357" s="358" t="s">
        <v>1623</v>
      </c>
      <c r="D357" s="923">
        <f>D358-D356</f>
        <v>197253937.04108095</v>
      </c>
      <c r="E357" s="923">
        <f>E358-E356</f>
        <v>905408.89999999991</v>
      </c>
      <c r="F357" s="923">
        <f>F358-F356</f>
        <v>-33587.485047686641</v>
      </c>
      <c r="G357" s="923">
        <f>SUM(D357:F357)</f>
        <v>198125758.45603326</v>
      </c>
      <c r="H357" s="369"/>
      <c r="I357" s="923">
        <f>I358-I356</f>
        <v>56220177.612320967</v>
      </c>
      <c r="J357" s="369"/>
      <c r="K357" s="923">
        <f>K358-K356</f>
        <v>683452.29099999997</v>
      </c>
      <c r="L357" s="923">
        <v>0</v>
      </c>
      <c r="M357" s="923">
        <f>M358-M356</f>
        <v>-33587.485047686641</v>
      </c>
      <c r="N357" s="923">
        <f>N358-N356</f>
        <v>-33098.750475000008</v>
      </c>
      <c r="O357" s="923">
        <f>I357+K357+L357+M357+N357</f>
        <v>56836943.667798288</v>
      </c>
    </row>
    <row r="358" spans="1:15">
      <c r="A358" s="361">
        <f>A357+1</f>
        <v>15</v>
      </c>
      <c r="B358" s="365">
        <v>380</v>
      </c>
      <c r="C358" s="358" t="s">
        <v>3080</v>
      </c>
      <c r="D358" s="369">
        <f>G312</f>
        <v>202976021.94</v>
      </c>
      <c r="E358" s="369">
        <v>2168160.11</v>
      </c>
      <c r="F358" s="369">
        <v>-202457.88</v>
      </c>
      <c r="G358" s="369">
        <f>SUM(G356:G357)</f>
        <v>204941724.16999999</v>
      </c>
      <c r="H358" s="369"/>
      <c r="I358" s="369">
        <f>O312</f>
        <v>53441946.43</v>
      </c>
      <c r="J358" s="369"/>
      <c r="K358" s="369">
        <v>704244.30999999994</v>
      </c>
      <c r="L358" s="369">
        <f>SUM(L356:L357)</f>
        <v>0</v>
      </c>
      <c r="M358" s="369">
        <v>-202457.88</v>
      </c>
      <c r="N358" s="369">
        <v>-199510.25</v>
      </c>
      <c r="O358" s="369">
        <f>SUM(O356:O357)</f>
        <v>53744222.610000007</v>
      </c>
    </row>
    <row r="359" spans="1:15">
      <c r="A359" s="361"/>
      <c r="B359" s="365"/>
      <c r="D359" s="369"/>
      <c r="E359" s="369"/>
      <c r="F359" s="369"/>
      <c r="G359" s="369"/>
      <c r="H359" s="369"/>
      <c r="I359" s="369"/>
      <c r="J359" s="369"/>
      <c r="K359" s="369"/>
      <c r="L359" s="369"/>
      <c r="M359" s="369"/>
      <c r="N359" s="369"/>
      <c r="O359" s="369"/>
    </row>
    <row r="360" spans="1:15">
      <c r="A360" s="361">
        <f>A358+1</f>
        <v>16</v>
      </c>
      <c r="B360" s="365">
        <v>382</v>
      </c>
      <c r="C360" s="358" t="s">
        <v>1778</v>
      </c>
      <c r="D360" s="369">
        <f>D343</f>
        <v>-4492.8600000000015</v>
      </c>
      <c r="E360" s="369">
        <f>E343</f>
        <v>19772.759999999998</v>
      </c>
      <c r="F360" s="369">
        <f>F343</f>
        <v>-9322.3200000000015</v>
      </c>
      <c r="G360" s="369">
        <f>SUM(D360:F360)</f>
        <v>5957.5799999999963</v>
      </c>
      <c r="H360" s="369"/>
      <c r="I360" s="369">
        <f>I343</f>
        <v>-22202.744000000002</v>
      </c>
      <c r="J360" s="369"/>
      <c r="K360" s="369">
        <f>K343</f>
        <v>0.70699999999999985</v>
      </c>
      <c r="L360" s="369">
        <v>0</v>
      </c>
      <c r="M360" s="369">
        <f>M343</f>
        <v>-9322.3200000000015</v>
      </c>
      <c r="N360" s="369">
        <f>N343</f>
        <v>0</v>
      </c>
      <c r="O360" s="369">
        <f>I360+K360+L360+M360+N360</f>
        <v>-31524.357000000004</v>
      </c>
    </row>
    <row r="361" spans="1:15">
      <c r="A361" s="361">
        <f>A360+1</f>
        <v>17</v>
      </c>
      <c r="B361" s="365">
        <v>382</v>
      </c>
      <c r="C361" s="358" t="s">
        <v>1624</v>
      </c>
      <c r="D361" s="923">
        <f>D362-D360</f>
        <v>10203190.41</v>
      </c>
      <c r="E361" s="923">
        <f>E362-E360</f>
        <v>42445.180000000008</v>
      </c>
      <c r="F361" s="923">
        <f>F362-F360</f>
        <v>0</v>
      </c>
      <c r="G361" s="923">
        <f>SUM(D361:F361)</f>
        <v>10245635.59</v>
      </c>
      <c r="H361" s="369"/>
      <c r="I361" s="923">
        <f>I362-I360</f>
        <v>5766164.7940000007</v>
      </c>
      <c r="J361" s="369"/>
      <c r="K361" s="923">
        <f>K362-K360</f>
        <v>15081.383</v>
      </c>
      <c r="L361" s="923">
        <v>0</v>
      </c>
      <c r="M361" s="923">
        <f>M362-M360</f>
        <v>0</v>
      </c>
      <c r="N361" s="923">
        <f>N362-N360</f>
        <v>0</v>
      </c>
      <c r="O361" s="923">
        <f>I361+K361+L361+M361+N361</f>
        <v>5781246.1770000011</v>
      </c>
    </row>
    <row r="362" spans="1:15">
      <c r="A362" s="361">
        <f>A361+1</f>
        <v>18</v>
      </c>
      <c r="B362" s="365">
        <v>382</v>
      </c>
      <c r="C362" s="358" t="s">
        <v>3081</v>
      </c>
      <c r="D362" s="369">
        <f>G316</f>
        <v>10198697.550000001</v>
      </c>
      <c r="E362" s="369">
        <v>62217.94</v>
      </c>
      <c r="F362" s="369">
        <v>-9322.32</v>
      </c>
      <c r="G362" s="369">
        <f>SUM(G360:G361)</f>
        <v>10251593.17</v>
      </c>
      <c r="H362" s="369"/>
      <c r="I362" s="369">
        <f>O316</f>
        <v>5743962.0500000007</v>
      </c>
      <c r="J362" s="369"/>
      <c r="K362" s="369">
        <v>15082.09</v>
      </c>
      <c r="L362" s="369">
        <f>SUM(L360:L361)</f>
        <v>0</v>
      </c>
      <c r="M362" s="369">
        <v>-9322.32</v>
      </c>
      <c r="N362" s="369">
        <v>0</v>
      </c>
      <c r="O362" s="369">
        <f>SUM(O360:O361)</f>
        <v>5749721.8200000012</v>
      </c>
    </row>
    <row r="363" spans="1:15">
      <c r="A363" s="361"/>
      <c r="B363" s="365"/>
      <c r="D363" s="369"/>
      <c r="E363" s="369"/>
      <c r="F363" s="369"/>
      <c r="G363" s="369"/>
      <c r="H363" s="369"/>
      <c r="I363" s="369"/>
      <c r="J363" s="369"/>
      <c r="K363" s="369"/>
      <c r="L363" s="369"/>
      <c r="M363" s="369"/>
      <c r="N363" s="369"/>
      <c r="O363" s="369"/>
    </row>
    <row r="364" spans="1:15">
      <c r="A364" s="361">
        <f>A362+1</f>
        <v>19</v>
      </c>
      <c r="B364" s="365">
        <v>383</v>
      </c>
      <c r="C364" s="358" t="s">
        <v>1779</v>
      </c>
      <c r="D364" s="369">
        <f>D344</f>
        <v>-4365.99</v>
      </c>
      <c r="E364" s="369">
        <f>E344</f>
        <v>0</v>
      </c>
      <c r="F364" s="369">
        <f>F344</f>
        <v>-197.14000000000001</v>
      </c>
      <c r="G364" s="369">
        <f>SUM(D364:F364)</f>
        <v>-4563.13</v>
      </c>
      <c r="H364" s="369"/>
      <c r="I364" s="369">
        <f>I344</f>
        <v>-4376.5199999999995</v>
      </c>
      <c r="J364" s="369"/>
      <c r="K364" s="369">
        <f>K344</f>
        <v>-7.1589999999999998</v>
      </c>
      <c r="L364" s="369">
        <v>0</v>
      </c>
      <c r="M364" s="369">
        <f>M344</f>
        <v>-197.14000000000001</v>
      </c>
      <c r="N364" s="369">
        <f>N344</f>
        <v>0</v>
      </c>
      <c r="O364" s="369">
        <f>I364+K364+L364+M364+N364</f>
        <v>-4580.8189999999995</v>
      </c>
    </row>
    <row r="365" spans="1:15">
      <c r="A365" s="361">
        <f>A364+1</f>
        <v>20</v>
      </c>
      <c r="B365" s="365">
        <v>383</v>
      </c>
      <c r="C365" s="358" t="s">
        <v>1625</v>
      </c>
      <c r="D365" s="923">
        <f>D366-D364</f>
        <v>7212649.5</v>
      </c>
      <c r="E365" s="923">
        <f>E366-E364</f>
        <v>9621.92</v>
      </c>
      <c r="F365" s="923">
        <f>F366-F364</f>
        <v>0</v>
      </c>
      <c r="G365" s="923">
        <f>SUM(D365:F365)</f>
        <v>7222271.4199999999</v>
      </c>
      <c r="H365" s="369"/>
      <c r="I365" s="923">
        <f>I366-I364</f>
        <v>2427708.36</v>
      </c>
      <c r="J365" s="369"/>
      <c r="K365" s="923">
        <f>K366-K364</f>
        <v>11668.169</v>
      </c>
      <c r="L365" s="923">
        <v>0</v>
      </c>
      <c r="M365" s="923">
        <f>M366-M364</f>
        <v>0</v>
      </c>
      <c r="N365" s="923">
        <f>N366-N364</f>
        <v>0</v>
      </c>
      <c r="O365" s="923">
        <f>I365+K365+L365+M365+N365</f>
        <v>2439376.5290000001</v>
      </c>
    </row>
    <row r="366" spans="1:15">
      <c r="A366" s="361">
        <f>A365+1</f>
        <v>21</v>
      </c>
      <c r="B366" s="365">
        <v>383</v>
      </c>
      <c r="C366" s="358" t="s">
        <v>3082</v>
      </c>
      <c r="D366" s="369">
        <f>G320</f>
        <v>7208283.5099999998</v>
      </c>
      <c r="E366" s="369">
        <v>9621.92</v>
      </c>
      <c r="F366" s="369">
        <v>-197.14000000000001</v>
      </c>
      <c r="G366" s="369">
        <f>SUM(G364:G365)</f>
        <v>7217708.29</v>
      </c>
      <c r="H366" s="369"/>
      <c r="I366" s="369">
        <f>O320</f>
        <v>2423331.8399999999</v>
      </c>
      <c r="J366" s="369"/>
      <c r="K366" s="369">
        <v>11661.01</v>
      </c>
      <c r="L366" s="369">
        <f>SUM(L364:L365)</f>
        <v>0</v>
      </c>
      <c r="M366" s="369">
        <v>-197.14000000000001</v>
      </c>
      <c r="N366" s="369">
        <v>0</v>
      </c>
      <c r="O366" s="369">
        <f>SUM(O364:O365)</f>
        <v>2434795.71</v>
      </c>
    </row>
    <row r="367" spans="1:15">
      <c r="B367" s="365"/>
      <c r="D367" s="369"/>
      <c r="E367" s="369"/>
      <c r="F367" s="369"/>
      <c r="G367" s="369"/>
      <c r="I367" s="369"/>
      <c r="K367" s="369"/>
      <c r="L367" s="369"/>
      <c r="M367" s="369"/>
      <c r="N367" s="369"/>
      <c r="O367" s="369"/>
    </row>
    <row r="368" spans="1:15" ht="12" customHeight="1"/>
    <row r="369" spans="1:15" s="291" customFormat="1">
      <c r="A369" s="1308" t="str">
        <f>$A$1</f>
        <v>COLUMBIA GAS OF KENTUCKY, INC.</v>
      </c>
      <c r="B369" s="1308"/>
      <c r="C369" s="1308"/>
      <c r="D369" s="1308"/>
      <c r="E369" s="1308"/>
      <c r="F369" s="1308"/>
      <c r="G369" s="1308"/>
      <c r="H369" s="1308"/>
      <c r="I369" s="1308"/>
      <c r="J369" s="1308"/>
      <c r="K369" s="1308"/>
      <c r="L369" s="1308"/>
      <c r="M369" s="1308"/>
      <c r="N369" s="1308"/>
      <c r="O369" s="1308"/>
    </row>
    <row r="370" spans="1:15" s="291" customFormat="1">
      <c r="A370" s="1308" t="str">
        <f>$A$2</f>
        <v>CASE NO. 2024 - 00092</v>
      </c>
      <c r="B370" s="1308"/>
      <c r="C370" s="1308"/>
      <c r="D370" s="1308"/>
      <c r="E370" s="1308"/>
      <c r="F370" s="1308"/>
      <c r="G370" s="1308"/>
      <c r="H370" s="1308"/>
      <c r="I370" s="1308"/>
      <c r="J370" s="1308"/>
      <c r="K370" s="1308"/>
      <c r="L370" s="1308"/>
      <c r="M370" s="1308"/>
      <c r="N370" s="1308"/>
      <c r="O370" s="1308"/>
    </row>
    <row r="371" spans="1:15" s="291" customFormat="1">
      <c r="A371" s="1308" t="str">
        <f>$A$3</f>
        <v>DETAIL OF ACTUAL &amp;  FORECASTED SMRP PLANT, ACCUMULATED RESERVE &amp; DEPRECIATION EXPENSE</v>
      </c>
      <c r="B371" s="1308"/>
      <c r="C371" s="1308"/>
      <c r="D371" s="1308"/>
      <c r="E371" s="1308"/>
      <c r="F371" s="1308"/>
      <c r="G371" s="1308"/>
      <c r="H371" s="1308"/>
      <c r="I371" s="1308"/>
      <c r="J371" s="1308"/>
      <c r="K371" s="1308"/>
      <c r="L371" s="1308"/>
      <c r="M371" s="1308"/>
      <c r="N371" s="1308"/>
      <c r="O371" s="1308"/>
    </row>
    <row r="372" spans="1:15" s="291" customFormat="1">
      <c r="A372" s="1308" t="str">
        <f>$A$4</f>
        <v>FROM JANUARY 01, 2023 THROUGH DECEMBER 31, 2025</v>
      </c>
      <c r="B372" s="1308"/>
      <c r="C372" s="1308"/>
      <c r="D372" s="1308"/>
      <c r="E372" s="1308"/>
      <c r="F372" s="1308"/>
      <c r="G372" s="1308"/>
      <c r="H372" s="1308"/>
      <c r="I372" s="1308"/>
      <c r="J372" s="1308"/>
      <c r="K372" s="1308"/>
      <c r="L372" s="1308"/>
      <c r="M372" s="1308"/>
      <c r="N372" s="1308"/>
      <c r="O372" s="1308"/>
    </row>
    <row r="373" spans="1:15" s="291" customFormat="1">
      <c r="B373" s="293"/>
    </row>
    <row r="374" spans="1:15" s="291" customFormat="1">
      <c r="A374" s="297" t="str">
        <f>'General Headers Index'!$B$34</f>
        <v xml:space="preserve">DATA: _X_ BASE PERIOD _X_ FORECASTED PERIOD     </v>
      </c>
      <c r="B374" s="293"/>
      <c r="O374" s="312" t="s">
        <v>2461</v>
      </c>
    </row>
    <row r="375" spans="1:15" s="291" customFormat="1">
      <c r="A375" s="297" t="str">
        <f>'General Headers Index'!$B$37</f>
        <v>TYPE OF FILING:___X___ORIGINAL______UPDATED</v>
      </c>
      <c r="B375" s="293"/>
      <c r="O375" s="312" t="s">
        <v>2231</v>
      </c>
    </row>
    <row r="376" spans="1:15" s="291" customFormat="1">
      <c r="A376" s="297" t="s">
        <v>2150</v>
      </c>
      <c r="B376" s="293"/>
      <c r="O376" s="312" t="str">
        <f>"WITNESS: "&amp;'General Headers Index'!$B$42</f>
        <v>WITNESS: GORE</v>
      </c>
    </row>
    <row r="377" spans="1:15">
      <c r="A377" s="918"/>
      <c r="B377" s="918"/>
      <c r="C377" s="918"/>
      <c r="D377" s="918"/>
      <c r="E377" s="918"/>
      <c r="F377" s="918"/>
      <c r="G377" s="918"/>
      <c r="H377" s="918"/>
      <c r="I377" s="918"/>
      <c r="J377" s="918"/>
      <c r="K377" s="918"/>
      <c r="L377" s="918"/>
      <c r="M377" s="918"/>
      <c r="N377" s="918"/>
      <c r="O377" s="918"/>
    </row>
    <row r="378" spans="1:15">
      <c r="B378" s="359"/>
      <c r="D378" s="1312" t="s">
        <v>1768</v>
      </c>
      <c r="E378" s="1312"/>
      <c r="F378" s="1312"/>
      <c r="G378" s="1312"/>
      <c r="I378" s="1312" t="s">
        <v>1769</v>
      </c>
      <c r="J378" s="1312"/>
      <c r="K378" s="1312"/>
      <c r="L378" s="1312"/>
      <c r="M378" s="1312"/>
      <c r="N378" s="1312"/>
      <c r="O378" s="1312"/>
    </row>
    <row r="379" spans="1:15">
      <c r="B379" s="359"/>
      <c r="D379" s="360">
        <f>G333+1</f>
        <v>45170</v>
      </c>
      <c r="G379" s="360">
        <f>D379+29</f>
        <v>45199</v>
      </c>
      <c r="I379" s="360">
        <f>D379</f>
        <v>45170</v>
      </c>
      <c r="O379" s="360">
        <f>G379</f>
        <v>45199</v>
      </c>
    </row>
    <row r="380" spans="1:15">
      <c r="B380" s="359"/>
      <c r="D380" s="361" t="s">
        <v>1757</v>
      </c>
      <c r="G380" s="361" t="s">
        <v>1757</v>
      </c>
      <c r="I380" s="361" t="s">
        <v>1758</v>
      </c>
      <c r="J380" s="361" t="s">
        <v>488</v>
      </c>
      <c r="L380" s="361" t="s">
        <v>1758</v>
      </c>
      <c r="O380" s="361" t="s">
        <v>1758</v>
      </c>
    </row>
    <row r="381" spans="1:15">
      <c r="A381" s="361" t="s">
        <v>1770</v>
      </c>
      <c r="B381" s="361" t="s">
        <v>368</v>
      </c>
      <c r="C381" s="361"/>
      <c r="D381" s="361" t="s">
        <v>437</v>
      </c>
      <c r="G381" s="361" t="s">
        <v>439</v>
      </c>
      <c r="I381" s="361" t="s">
        <v>437</v>
      </c>
      <c r="J381" s="361" t="s">
        <v>1771</v>
      </c>
      <c r="K381" s="361" t="s">
        <v>1772</v>
      </c>
      <c r="L381" s="361" t="s">
        <v>1759</v>
      </c>
      <c r="N381" s="361" t="s">
        <v>1760</v>
      </c>
      <c r="O381" s="361" t="s">
        <v>439</v>
      </c>
    </row>
    <row r="382" spans="1:15">
      <c r="A382" s="364" t="s">
        <v>316</v>
      </c>
      <c r="B382" s="364" t="s">
        <v>316</v>
      </c>
      <c r="C382" s="364" t="s">
        <v>451</v>
      </c>
      <c r="D382" s="364" t="s">
        <v>441</v>
      </c>
      <c r="E382" s="364" t="s">
        <v>442</v>
      </c>
      <c r="F382" s="364" t="s">
        <v>443</v>
      </c>
      <c r="G382" s="364" t="s">
        <v>441</v>
      </c>
      <c r="I382" s="364" t="s">
        <v>441</v>
      </c>
      <c r="J382" s="364" t="s">
        <v>1773</v>
      </c>
      <c r="K382" s="364" t="s">
        <v>1771</v>
      </c>
      <c r="L382" s="364" t="s">
        <v>355</v>
      </c>
      <c r="M382" s="364" t="s">
        <v>443</v>
      </c>
      <c r="N382" s="364" t="s">
        <v>1763</v>
      </c>
      <c r="O382" s="364" t="s">
        <v>441</v>
      </c>
    </row>
    <row r="383" spans="1:15">
      <c r="B383" s="359"/>
      <c r="D383" s="361" t="s">
        <v>532</v>
      </c>
      <c r="E383" s="361" t="s">
        <v>541</v>
      </c>
      <c r="F383" s="361" t="s">
        <v>542</v>
      </c>
      <c r="G383" s="361" t="s">
        <v>1764</v>
      </c>
      <c r="I383" s="334" t="str">
        <f>"(5)"</f>
        <v>(5)</v>
      </c>
      <c r="J383" s="334" t="str">
        <f>"(6)"</f>
        <v>(6)</v>
      </c>
      <c r="K383" s="334" t="str">
        <f>"(7)"</f>
        <v>(7)</v>
      </c>
      <c r="L383" s="334" t="str">
        <f>"(8)"</f>
        <v>(8)</v>
      </c>
      <c r="M383" s="334" t="str">
        <f>"(9)"</f>
        <v>(9)</v>
      </c>
      <c r="N383" s="334" t="str">
        <f>"(10)"</f>
        <v>(10)</v>
      </c>
      <c r="O383" s="334" t="str">
        <f>"(11=5+7+8+9+10)"</f>
        <v>(11=5+7+8+9+10)</v>
      </c>
    </row>
    <row r="384" spans="1:15">
      <c r="B384" s="359"/>
      <c r="D384" s="361" t="s">
        <v>320</v>
      </c>
      <c r="E384" s="361" t="s">
        <v>320</v>
      </c>
      <c r="F384" s="361" t="s">
        <v>320</v>
      </c>
      <c r="G384" s="361" t="s">
        <v>320</v>
      </c>
      <c r="I384" s="334" t="s">
        <v>320</v>
      </c>
      <c r="J384" s="1250" t="s">
        <v>529</v>
      </c>
      <c r="K384" s="334" t="s">
        <v>320</v>
      </c>
      <c r="L384" s="334" t="s">
        <v>320</v>
      </c>
      <c r="M384" s="334" t="s">
        <v>320</v>
      </c>
      <c r="N384" s="334" t="s">
        <v>320</v>
      </c>
      <c r="O384" s="334" t="s">
        <v>320</v>
      </c>
    </row>
    <row r="385" spans="1:15">
      <c r="B385" s="359"/>
      <c r="D385" s="361"/>
      <c r="E385" s="361"/>
      <c r="F385" s="361"/>
      <c r="G385" s="361"/>
      <c r="I385" s="334"/>
      <c r="J385" s="334"/>
      <c r="K385" s="334"/>
      <c r="L385" s="334"/>
      <c r="M385" s="334"/>
      <c r="N385" s="334"/>
      <c r="O385" s="334"/>
    </row>
    <row r="386" spans="1:15">
      <c r="A386" s="361">
        <v>1</v>
      </c>
      <c r="B386" s="365">
        <v>376</v>
      </c>
      <c r="C386" s="358" t="s">
        <v>1775</v>
      </c>
      <c r="D386" s="369">
        <f>G340</f>
        <v>16984710.07</v>
      </c>
      <c r="E386" s="369">
        <v>4929452</v>
      </c>
      <c r="F386" s="369">
        <v>-175288.07</v>
      </c>
      <c r="G386" s="369">
        <f>SUM(D386:F386)</f>
        <v>21738874</v>
      </c>
      <c r="H386" s="369"/>
      <c r="I386" s="369">
        <f>O340</f>
        <v>45974.313999999998</v>
      </c>
      <c r="J386" s="369"/>
      <c r="K386" s="369">
        <v>28074.769</v>
      </c>
      <c r="L386" s="369">
        <v>0</v>
      </c>
      <c r="M386" s="369">
        <f>F386</f>
        <v>-175288.07</v>
      </c>
      <c r="N386" s="369">
        <v>0</v>
      </c>
      <c r="O386" s="369">
        <f>I386+K386+L386+M386+N386</f>
        <v>-101238.98700000001</v>
      </c>
    </row>
    <row r="387" spans="1:15">
      <c r="A387" s="361">
        <f>A386+1</f>
        <v>2</v>
      </c>
      <c r="B387" s="365">
        <v>378.2</v>
      </c>
      <c r="C387" s="358" t="s">
        <v>1776</v>
      </c>
      <c r="D387" s="369">
        <f>G341</f>
        <v>-305365.35000000003</v>
      </c>
      <c r="E387" s="369">
        <v>0</v>
      </c>
      <c r="F387" s="369">
        <v>-42418.09</v>
      </c>
      <c r="G387" s="369">
        <f>SUM(D387:F387)</f>
        <v>-347783.44000000006</v>
      </c>
      <c r="H387" s="369"/>
      <c r="I387" s="369">
        <f>O341</f>
        <v>-345454.19299999997</v>
      </c>
      <c r="J387" s="369"/>
      <c r="K387" s="369">
        <v>-685.53899999999999</v>
      </c>
      <c r="L387" s="369">
        <v>0</v>
      </c>
      <c r="M387" s="369">
        <f>F387</f>
        <v>-42418.09</v>
      </c>
      <c r="N387" s="369">
        <v>-1626.68</v>
      </c>
      <c r="O387" s="369">
        <f>I387+K387+L387+M387+N387</f>
        <v>-390184.50199999992</v>
      </c>
    </row>
    <row r="388" spans="1:15">
      <c r="A388" s="361">
        <f>A387+1</f>
        <v>3</v>
      </c>
      <c r="B388" s="365">
        <v>380</v>
      </c>
      <c r="C388" s="358" t="s">
        <v>1777</v>
      </c>
      <c r="D388" s="369">
        <f>G342</f>
        <v>6815965.7139667226</v>
      </c>
      <c r="E388" s="369">
        <v>1078244.2400000002</v>
      </c>
      <c r="F388" s="369">
        <v>-273184.83045736718</v>
      </c>
      <c r="G388" s="369">
        <f>SUM(D388:F388)</f>
        <v>7621025.1235093558</v>
      </c>
      <c r="H388" s="369"/>
      <c r="I388" s="369">
        <f>O342</f>
        <v>-3092721.057798279</v>
      </c>
      <c r="J388" s="369"/>
      <c r="K388" s="369">
        <v>23941.057000000001</v>
      </c>
      <c r="L388" s="369">
        <v>0</v>
      </c>
      <c r="M388" s="369">
        <f>F388</f>
        <v>-273184.83045736718</v>
      </c>
      <c r="N388" s="369">
        <v>-141814.28255199999</v>
      </c>
      <c r="O388" s="369">
        <f>I388+K388+L388+M388+N388</f>
        <v>-3483779.1138076461</v>
      </c>
    </row>
    <row r="389" spans="1:15">
      <c r="A389" s="361">
        <f>A388+1</f>
        <v>4</v>
      </c>
      <c r="B389" s="365">
        <v>382</v>
      </c>
      <c r="C389" s="358" t="s">
        <v>1778</v>
      </c>
      <c r="D389" s="369">
        <f>G343</f>
        <v>5957.5799999999963</v>
      </c>
      <c r="E389" s="369">
        <v>5637.8600000000006</v>
      </c>
      <c r="F389" s="369">
        <v>-4705.1100000000006</v>
      </c>
      <c r="G389" s="369">
        <f>SUM(D389:F389)</f>
        <v>6890.3299999999963</v>
      </c>
      <c r="H389" s="369"/>
      <c r="I389" s="369">
        <f>O343</f>
        <v>-31524.357000000004</v>
      </c>
      <c r="J389" s="369"/>
      <c r="K389" s="369">
        <v>9.6880000000000006</v>
      </c>
      <c r="L389" s="369">
        <v>0</v>
      </c>
      <c r="M389" s="369">
        <f>F389</f>
        <v>-4705.1100000000006</v>
      </c>
      <c r="N389" s="369">
        <v>0</v>
      </c>
      <c r="O389" s="369">
        <f>I389+K389+L389+M389+N389</f>
        <v>-36219.77900000001</v>
      </c>
    </row>
    <row r="390" spans="1:15">
      <c r="A390" s="361">
        <f>A389+1</f>
        <v>5</v>
      </c>
      <c r="B390" s="365">
        <v>383</v>
      </c>
      <c r="C390" s="358" t="s">
        <v>1779</v>
      </c>
      <c r="D390" s="923">
        <f>G344</f>
        <v>-4563.13</v>
      </c>
      <c r="E390" s="923">
        <v>0</v>
      </c>
      <c r="F390" s="923">
        <v>-575.59</v>
      </c>
      <c r="G390" s="923">
        <f>SUM(D390:F390)</f>
        <v>-5138.72</v>
      </c>
      <c r="H390" s="369"/>
      <c r="I390" s="923">
        <f>O344</f>
        <v>-4580.8189999999995</v>
      </c>
      <c r="J390" s="369"/>
      <c r="K390" s="923">
        <v>-7.4649999999999999</v>
      </c>
      <c r="L390" s="923">
        <v>0</v>
      </c>
      <c r="M390" s="923">
        <f>F390</f>
        <v>-575.59</v>
      </c>
      <c r="N390" s="923">
        <v>0</v>
      </c>
      <c r="O390" s="923">
        <f>I390+K390+L390+M390+N390</f>
        <v>-5163.8739999999998</v>
      </c>
    </row>
    <row r="391" spans="1:15">
      <c r="A391" s="361">
        <f>A390+1</f>
        <v>6</v>
      </c>
      <c r="C391" s="358" t="s">
        <v>3077</v>
      </c>
      <c r="D391" s="369">
        <f>SUM(D386:D390)</f>
        <v>23496704.883966722</v>
      </c>
      <c r="E391" s="369">
        <f>SUM(E386:E390)</f>
        <v>6013334.1000000006</v>
      </c>
      <c r="F391" s="369">
        <f>SUM(F386:F390)</f>
        <v>-496171.69045736716</v>
      </c>
      <c r="G391" s="369">
        <f>SUM(G386:G390)</f>
        <v>29013867.293509353</v>
      </c>
      <c r="H391" s="369"/>
      <c r="I391" s="369">
        <f>SUM(I386:I390)</f>
        <v>-3428306.1127982792</v>
      </c>
      <c r="J391" s="369"/>
      <c r="K391" s="369">
        <f>SUM(K386:K390)</f>
        <v>51332.51</v>
      </c>
      <c r="L391" s="369">
        <f t="shared" ref="L391" si="8">SUM(L386:L390)</f>
        <v>0</v>
      </c>
      <c r="M391" s="369">
        <f>SUM(M386:M390)</f>
        <v>-496171.69045736716</v>
      </c>
      <c r="N391" s="369">
        <f>SUM(N386:N390)</f>
        <v>-143440.96255199998</v>
      </c>
      <c r="O391" s="369">
        <f>SUM(O386:O390)</f>
        <v>-4016586.2558076461</v>
      </c>
    </row>
    <row r="392" spans="1:15">
      <c r="A392" s="361"/>
      <c r="D392" s="369"/>
      <c r="E392" s="369"/>
      <c r="F392" s="369"/>
      <c r="G392" s="369"/>
      <c r="H392" s="369"/>
      <c r="I392" s="369"/>
      <c r="J392" s="369"/>
      <c r="K392" s="369"/>
      <c r="L392" s="369"/>
      <c r="M392" s="369"/>
      <c r="N392" s="369"/>
      <c r="O392" s="369"/>
    </row>
    <row r="393" spans="1:15">
      <c r="A393" s="361"/>
      <c r="D393" s="369"/>
      <c r="E393" s="369"/>
      <c r="F393" s="369"/>
      <c r="G393" s="369"/>
      <c r="H393" s="369"/>
      <c r="I393" s="369"/>
      <c r="J393" s="369"/>
      <c r="K393" s="369"/>
      <c r="L393" s="369"/>
      <c r="M393" s="369"/>
      <c r="N393" s="369"/>
      <c r="O393" s="369"/>
    </row>
    <row r="394" spans="1:15">
      <c r="A394" s="361">
        <f>A391+1</f>
        <v>7</v>
      </c>
      <c r="B394" s="365">
        <v>376</v>
      </c>
      <c r="C394" s="358" t="s">
        <v>1775</v>
      </c>
      <c r="D394" s="369">
        <f>D386</f>
        <v>16984710.07</v>
      </c>
      <c r="E394" s="369">
        <f>E386</f>
        <v>4929452</v>
      </c>
      <c r="F394" s="369">
        <f>F386</f>
        <v>-175288.07</v>
      </c>
      <c r="G394" s="369">
        <f>SUM(D394:F394)</f>
        <v>21738874</v>
      </c>
      <c r="H394" s="369"/>
      <c r="I394" s="369">
        <f>I386</f>
        <v>45974.313999999998</v>
      </c>
      <c r="J394" s="369"/>
      <c r="K394" s="369">
        <f>K386</f>
        <v>28074.769</v>
      </c>
      <c r="L394" s="369">
        <v>0</v>
      </c>
      <c r="M394" s="369">
        <f>M386</f>
        <v>-175288.07</v>
      </c>
      <c r="N394" s="369">
        <f>N386</f>
        <v>0</v>
      </c>
      <c r="O394" s="369">
        <f>I394+K394+L394+M394+N394</f>
        <v>-101238.98700000001</v>
      </c>
    </row>
    <row r="395" spans="1:15">
      <c r="A395" s="361">
        <f>A394+1</f>
        <v>8</v>
      </c>
      <c r="B395" s="365">
        <v>376</v>
      </c>
      <c r="C395" s="358" t="s">
        <v>1621</v>
      </c>
      <c r="D395" s="923">
        <f>D396-D394</f>
        <v>404890818.35999995</v>
      </c>
      <c r="E395" s="923">
        <f>E396-E394</f>
        <v>2157734.6900000004</v>
      </c>
      <c r="F395" s="923">
        <f>F396-F394</f>
        <v>-276329.2</v>
      </c>
      <c r="G395" s="923">
        <f>SUM(D395:F395)</f>
        <v>406772223.84999996</v>
      </c>
      <c r="H395" s="369"/>
      <c r="I395" s="923">
        <f>I396-I394</f>
        <v>78460496.83600001</v>
      </c>
      <c r="J395" s="369"/>
      <c r="K395" s="923">
        <f>K396-K394</f>
        <v>584912.22100000002</v>
      </c>
      <c r="L395" s="923">
        <v>0</v>
      </c>
      <c r="M395" s="923">
        <f>M396-M394</f>
        <v>-276329.2</v>
      </c>
      <c r="N395" s="923">
        <f>N396-N394</f>
        <v>-16033.49</v>
      </c>
      <c r="O395" s="923">
        <f>I395+K395+L395+M395+N395</f>
        <v>78753046.367000014</v>
      </c>
    </row>
    <row r="396" spans="1:15">
      <c r="A396" s="361">
        <f>A395+1</f>
        <v>9</v>
      </c>
      <c r="B396" s="365">
        <v>376</v>
      </c>
      <c r="C396" s="358" t="s">
        <v>3078</v>
      </c>
      <c r="D396" s="369">
        <f>G350</f>
        <v>421875528.42999995</v>
      </c>
      <c r="E396" s="369">
        <v>7087186.6900000004</v>
      </c>
      <c r="F396" s="369">
        <v>-451617.27</v>
      </c>
      <c r="G396" s="369">
        <f>SUM(G394:G395)</f>
        <v>428511097.84999996</v>
      </c>
      <c r="H396" s="369"/>
      <c r="I396" s="369">
        <f>O350</f>
        <v>78506471.150000006</v>
      </c>
      <c r="J396" s="369"/>
      <c r="K396" s="369">
        <v>612986.99</v>
      </c>
      <c r="L396" s="369">
        <f>SUM(L394:L395)</f>
        <v>0</v>
      </c>
      <c r="M396" s="369">
        <v>-451617.27</v>
      </c>
      <c r="N396" s="369">
        <v>-16033.49</v>
      </c>
      <c r="O396" s="369">
        <f>SUM(O394:O395)</f>
        <v>78651807.38000001</v>
      </c>
    </row>
    <row r="397" spans="1:15">
      <c r="A397" s="361"/>
      <c r="B397" s="365"/>
      <c r="D397" s="369"/>
      <c r="E397" s="369"/>
      <c r="F397" s="369"/>
      <c r="G397" s="369"/>
      <c r="H397" s="369"/>
      <c r="I397" s="369"/>
      <c r="J397" s="369"/>
      <c r="K397" s="369"/>
      <c r="L397" s="369"/>
      <c r="M397" s="369"/>
      <c r="N397" s="369"/>
      <c r="O397" s="369"/>
    </row>
    <row r="398" spans="1:15">
      <c r="A398" s="361">
        <f>A396+1</f>
        <v>10</v>
      </c>
      <c r="B398" s="365">
        <v>378.2</v>
      </c>
      <c r="C398" s="358" t="s">
        <v>1776</v>
      </c>
      <c r="D398" s="369">
        <f>D387</f>
        <v>-305365.35000000003</v>
      </c>
      <c r="E398" s="369">
        <f>E387</f>
        <v>0</v>
      </c>
      <c r="F398" s="369">
        <f>F387</f>
        <v>-42418.09</v>
      </c>
      <c r="G398" s="369">
        <f>SUM(D398:F398)</f>
        <v>-347783.44000000006</v>
      </c>
      <c r="H398" s="369"/>
      <c r="I398" s="369">
        <f>I387</f>
        <v>-345454.19299999997</v>
      </c>
      <c r="J398" s="369"/>
      <c r="K398" s="369">
        <f>K387</f>
        <v>-685.53899999999999</v>
      </c>
      <c r="L398" s="369">
        <v>0</v>
      </c>
      <c r="M398" s="369">
        <f>M387</f>
        <v>-42418.09</v>
      </c>
      <c r="N398" s="369">
        <f>N387</f>
        <v>-1626.68</v>
      </c>
      <c r="O398" s="369">
        <f>I398+K398+L398+M398+N398</f>
        <v>-390184.50199999992</v>
      </c>
    </row>
    <row r="399" spans="1:15">
      <c r="A399" s="361">
        <f>A398+1</f>
        <v>11</v>
      </c>
      <c r="B399" s="365">
        <v>378.2</v>
      </c>
      <c r="C399" s="358" t="s">
        <v>1622</v>
      </c>
      <c r="D399" s="923">
        <f>D400-D398</f>
        <v>25274999.670000002</v>
      </c>
      <c r="E399" s="923">
        <f>E400-E398</f>
        <v>76624.100000000006</v>
      </c>
      <c r="F399" s="923">
        <f>F400-F398</f>
        <v>0</v>
      </c>
      <c r="G399" s="923">
        <f>SUM(D399:F399)</f>
        <v>25351623.770000003</v>
      </c>
      <c r="H399" s="369"/>
      <c r="I399" s="923">
        <f>I400-I398</f>
        <v>3197833.1830000002</v>
      </c>
      <c r="J399" s="369"/>
      <c r="K399" s="923">
        <f>K400-K398</f>
        <v>53314.778999999995</v>
      </c>
      <c r="L399" s="923">
        <v>0</v>
      </c>
      <c r="M399" s="923">
        <f>M400-M398</f>
        <v>0</v>
      </c>
      <c r="N399" s="923">
        <f>N400-N398</f>
        <v>-19.769999999999982</v>
      </c>
      <c r="O399" s="923">
        <f>I399+K399+L399+M399+N399</f>
        <v>3251128.1920000003</v>
      </c>
    </row>
    <row r="400" spans="1:15">
      <c r="A400" s="361">
        <f>A399+1</f>
        <v>12</v>
      </c>
      <c r="B400" s="365">
        <v>378.2</v>
      </c>
      <c r="C400" s="358" t="s">
        <v>3079</v>
      </c>
      <c r="D400" s="369">
        <f>G354</f>
        <v>24969634.32</v>
      </c>
      <c r="E400" s="369">
        <v>76624.100000000006</v>
      </c>
      <c r="F400" s="369">
        <v>-42418.090000000004</v>
      </c>
      <c r="G400" s="369">
        <f>SUM(G398:G399)</f>
        <v>25003840.330000002</v>
      </c>
      <c r="H400" s="369"/>
      <c r="I400" s="369">
        <f>O354</f>
        <v>2852378.99</v>
      </c>
      <c r="J400" s="369"/>
      <c r="K400" s="369">
        <v>52629.24</v>
      </c>
      <c r="L400" s="369">
        <f>SUM(L398:L399)</f>
        <v>0</v>
      </c>
      <c r="M400" s="369">
        <v>-42418.090000000004</v>
      </c>
      <c r="N400" s="369">
        <v>-1646.45</v>
      </c>
      <c r="O400" s="369">
        <f>SUM(O398:O399)</f>
        <v>2860943.6900000004</v>
      </c>
    </row>
    <row r="401" spans="1:15">
      <c r="A401" s="361"/>
      <c r="B401" s="365"/>
      <c r="D401" s="369"/>
      <c r="E401" s="369"/>
      <c r="F401" s="369"/>
      <c r="G401" s="369"/>
      <c r="H401" s="369"/>
      <c r="I401" s="369"/>
      <c r="J401" s="369"/>
      <c r="K401" s="369"/>
      <c r="L401" s="369"/>
      <c r="M401" s="369"/>
      <c r="N401" s="369"/>
      <c r="O401" s="369"/>
    </row>
    <row r="402" spans="1:15">
      <c r="A402" s="361">
        <f>A400+1</f>
        <v>13</v>
      </c>
      <c r="B402" s="365">
        <v>380</v>
      </c>
      <c r="C402" s="358" t="s">
        <v>1777</v>
      </c>
      <c r="D402" s="369">
        <f>D388</f>
        <v>6815965.7139667226</v>
      </c>
      <c r="E402" s="369">
        <f>E388</f>
        <v>1078244.2400000002</v>
      </c>
      <c r="F402" s="369">
        <f>F388</f>
        <v>-273184.83045736718</v>
      </c>
      <c r="G402" s="369">
        <f>SUM(D402:F402)</f>
        <v>7621025.1235093558</v>
      </c>
      <c r="H402" s="369"/>
      <c r="I402" s="369">
        <f>I388</f>
        <v>-3092721.057798279</v>
      </c>
      <c r="J402" s="369"/>
      <c r="K402" s="369">
        <f>K388</f>
        <v>23941.057000000001</v>
      </c>
      <c r="L402" s="369">
        <v>0</v>
      </c>
      <c r="M402" s="369">
        <f>M388</f>
        <v>-273184.83045736718</v>
      </c>
      <c r="N402" s="369">
        <f>N388</f>
        <v>-141814.28255199999</v>
      </c>
      <c r="O402" s="369">
        <f>I402+K402+L402+M402+N402</f>
        <v>-3483779.1138076461</v>
      </c>
    </row>
    <row r="403" spans="1:15">
      <c r="A403" s="361">
        <f>A402+1</f>
        <v>14</v>
      </c>
      <c r="B403" s="365">
        <v>380</v>
      </c>
      <c r="C403" s="358" t="s">
        <v>1623</v>
      </c>
      <c r="D403" s="923">
        <f>D404-D402</f>
        <v>198125758.45603326</v>
      </c>
      <c r="E403" s="923">
        <f>E404-E402</f>
        <v>920025.96999999974</v>
      </c>
      <c r="F403" s="923">
        <f>F404-F402</f>
        <v>-54335.109542632825</v>
      </c>
      <c r="G403" s="923">
        <f>SUM(D403:F403)</f>
        <v>198991449.31649062</v>
      </c>
      <c r="H403" s="369"/>
      <c r="I403" s="923">
        <f>I404-I402</f>
        <v>56836943.667798288</v>
      </c>
      <c r="J403" s="369"/>
      <c r="K403" s="923">
        <f>K404-K402</f>
        <v>677220.473</v>
      </c>
      <c r="L403" s="923">
        <v>0</v>
      </c>
      <c r="M403" s="923">
        <f>M404-M402</f>
        <v>-54335.109542632825</v>
      </c>
      <c r="N403" s="923">
        <f>N404-N402</f>
        <v>-28206.437448000011</v>
      </c>
      <c r="O403" s="923">
        <f>I403+K403+L403+M403+N403</f>
        <v>57431622.593807653</v>
      </c>
    </row>
    <row r="404" spans="1:15">
      <c r="A404" s="361">
        <f>A403+1</f>
        <v>15</v>
      </c>
      <c r="B404" s="365">
        <v>380</v>
      </c>
      <c r="C404" s="358" t="s">
        <v>3080</v>
      </c>
      <c r="D404" s="369">
        <f>G358</f>
        <v>204941724.16999999</v>
      </c>
      <c r="E404" s="369">
        <v>1998270.21</v>
      </c>
      <c r="F404" s="369">
        <v>-327519.94</v>
      </c>
      <c r="G404" s="369">
        <f>SUM(G402:G403)</f>
        <v>206612474.43999997</v>
      </c>
      <c r="H404" s="369"/>
      <c r="I404" s="369">
        <f>O358</f>
        <v>53744222.610000007</v>
      </c>
      <c r="J404" s="369"/>
      <c r="K404" s="369">
        <v>701161.53</v>
      </c>
      <c r="L404" s="369">
        <f>SUM(L402:L403)</f>
        <v>0</v>
      </c>
      <c r="M404" s="369">
        <v>-327519.94</v>
      </c>
      <c r="N404" s="369">
        <v>-170020.72</v>
      </c>
      <c r="O404" s="369">
        <f>SUM(O402:O403)</f>
        <v>53947843.480000004</v>
      </c>
    </row>
    <row r="405" spans="1:15">
      <c r="A405" s="361"/>
      <c r="B405" s="365"/>
      <c r="D405" s="369"/>
      <c r="E405" s="369"/>
      <c r="F405" s="369"/>
      <c r="G405" s="369"/>
      <c r="H405" s="369"/>
      <c r="I405" s="369"/>
      <c r="J405" s="369"/>
      <c r="K405" s="369"/>
      <c r="L405" s="369"/>
      <c r="M405" s="369"/>
      <c r="N405" s="369"/>
      <c r="O405" s="369"/>
    </row>
    <row r="406" spans="1:15">
      <c r="A406" s="361">
        <f>A404+1</f>
        <v>16</v>
      </c>
      <c r="B406" s="365">
        <v>382</v>
      </c>
      <c r="C406" s="358" t="s">
        <v>1778</v>
      </c>
      <c r="D406" s="369">
        <f>D389</f>
        <v>5957.5799999999963</v>
      </c>
      <c r="E406" s="369">
        <f>E389</f>
        <v>5637.8600000000006</v>
      </c>
      <c r="F406" s="369">
        <f>F389</f>
        <v>-4705.1100000000006</v>
      </c>
      <c r="G406" s="369">
        <f>SUM(D406:F406)</f>
        <v>6890.3299999999963</v>
      </c>
      <c r="H406" s="369"/>
      <c r="I406" s="369">
        <f>I389</f>
        <v>-31524.357000000004</v>
      </c>
      <c r="J406" s="369"/>
      <c r="K406" s="369">
        <f>K389</f>
        <v>9.6880000000000006</v>
      </c>
      <c r="L406" s="369">
        <v>0</v>
      </c>
      <c r="M406" s="369">
        <f>M389</f>
        <v>-4705.1100000000006</v>
      </c>
      <c r="N406" s="369">
        <f>N389</f>
        <v>0</v>
      </c>
      <c r="O406" s="369">
        <f>I406+K406+L406+M406+N406</f>
        <v>-36219.77900000001</v>
      </c>
    </row>
    <row r="407" spans="1:15">
      <c r="A407" s="361">
        <f>A406+1</f>
        <v>17</v>
      </c>
      <c r="B407" s="365">
        <v>382</v>
      </c>
      <c r="C407" s="358" t="s">
        <v>1624</v>
      </c>
      <c r="D407" s="923">
        <f>D408-D406</f>
        <v>10245635.59</v>
      </c>
      <c r="E407" s="923">
        <f>E408-E406</f>
        <v>57490.770000000004</v>
      </c>
      <c r="F407" s="923">
        <f>F408-F406</f>
        <v>0</v>
      </c>
      <c r="G407" s="923">
        <f>SUM(D407:F407)</f>
        <v>10303126.359999999</v>
      </c>
      <c r="H407" s="369"/>
      <c r="I407" s="923">
        <f>I408-I406</f>
        <v>5781246.1770000011</v>
      </c>
      <c r="J407" s="369"/>
      <c r="K407" s="923">
        <f>K408-K406</f>
        <v>15154.502</v>
      </c>
      <c r="L407" s="923">
        <v>0</v>
      </c>
      <c r="M407" s="923">
        <f>M408-M406</f>
        <v>0</v>
      </c>
      <c r="N407" s="923">
        <f>N408-N406</f>
        <v>0</v>
      </c>
      <c r="O407" s="923">
        <f>I407+K407+L407+M407+N407</f>
        <v>5796400.6790000014</v>
      </c>
    </row>
    <row r="408" spans="1:15">
      <c r="A408" s="361">
        <f>A407+1</f>
        <v>18</v>
      </c>
      <c r="B408" s="365">
        <v>382</v>
      </c>
      <c r="C408" s="358" t="s">
        <v>3081</v>
      </c>
      <c r="D408" s="369">
        <f>G362</f>
        <v>10251593.17</v>
      </c>
      <c r="E408" s="369">
        <v>63128.630000000005</v>
      </c>
      <c r="F408" s="369">
        <v>-4705.1099999999997</v>
      </c>
      <c r="G408" s="369">
        <f>SUM(G406:G407)</f>
        <v>10310016.689999999</v>
      </c>
      <c r="H408" s="369"/>
      <c r="I408" s="369">
        <f>O362</f>
        <v>5749721.8200000012</v>
      </c>
      <c r="J408" s="369"/>
      <c r="K408" s="369">
        <v>15164.19</v>
      </c>
      <c r="L408" s="369">
        <f>SUM(L406:L407)</f>
        <v>0</v>
      </c>
      <c r="M408" s="369">
        <v>-4705.1099999999997</v>
      </c>
      <c r="N408" s="369">
        <v>0</v>
      </c>
      <c r="O408" s="369">
        <f>SUM(O406:O407)</f>
        <v>5760180.9000000013</v>
      </c>
    </row>
    <row r="409" spans="1:15">
      <c r="A409" s="361"/>
      <c r="B409" s="365"/>
      <c r="D409" s="369"/>
      <c r="E409" s="369"/>
      <c r="F409" s="369"/>
      <c r="G409" s="369"/>
      <c r="H409" s="369"/>
      <c r="I409" s="369"/>
      <c r="J409" s="369"/>
      <c r="K409" s="369"/>
      <c r="L409" s="369"/>
      <c r="M409" s="369"/>
      <c r="N409" s="369"/>
      <c r="O409" s="369"/>
    </row>
    <row r="410" spans="1:15">
      <c r="A410" s="361">
        <f>A408+1</f>
        <v>19</v>
      </c>
      <c r="B410" s="365">
        <v>383</v>
      </c>
      <c r="C410" s="358" t="s">
        <v>1779</v>
      </c>
      <c r="D410" s="369">
        <f>D390</f>
        <v>-4563.13</v>
      </c>
      <c r="E410" s="369">
        <f>E390</f>
        <v>0</v>
      </c>
      <c r="F410" s="369">
        <f>F390</f>
        <v>-575.59</v>
      </c>
      <c r="G410" s="369">
        <f>SUM(D410:F410)</f>
        <v>-5138.72</v>
      </c>
      <c r="H410" s="369"/>
      <c r="I410" s="369">
        <f>I390</f>
        <v>-4580.8189999999995</v>
      </c>
      <c r="J410" s="369"/>
      <c r="K410" s="369">
        <f>K390</f>
        <v>-7.4649999999999999</v>
      </c>
      <c r="L410" s="369">
        <v>0</v>
      </c>
      <c r="M410" s="369">
        <f>M390</f>
        <v>-575.59</v>
      </c>
      <c r="N410" s="369">
        <f>N390</f>
        <v>0</v>
      </c>
      <c r="O410" s="369">
        <f>I410+K410+L410+M410+N410</f>
        <v>-5163.8739999999998</v>
      </c>
    </row>
    <row r="411" spans="1:15">
      <c r="A411" s="361">
        <f>A410+1</f>
        <v>20</v>
      </c>
      <c r="B411" s="365">
        <v>383</v>
      </c>
      <c r="C411" s="358" t="s">
        <v>1625</v>
      </c>
      <c r="D411" s="923">
        <f>D412-D410</f>
        <v>7222271.4199999999</v>
      </c>
      <c r="E411" s="923">
        <f>E412-E410</f>
        <v>30958.080000000002</v>
      </c>
      <c r="F411" s="923">
        <f>F412-F410</f>
        <v>0</v>
      </c>
      <c r="G411" s="923">
        <f>SUM(D411:F411)</f>
        <v>7253229.5</v>
      </c>
      <c r="H411" s="369"/>
      <c r="I411" s="923">
        <f>I412-I410</f>
        <v>2439376.5290000001</v>
      </c>
      <c r="J411" s="369"/>
      <c r="K411" s="923">
        <f>K412-K410</f>
        <v>11700.655000000001</v>
      </c>
      <c r="L411" s="923">
        <v>0</v>
      </c>
      <c r="M411" s="923">
        <f>M412-M410</f>
        <v>0</v>
      </c>
      <c r="N411" s="923">
        <f>N412-N410</f>
        <v>0</v>
      </c>
      <c r="O411" s="923">
        <f>I411+K411+L411+M411+N411</f>
        <v>2451077.1839999999</v>
      </c>
    </row>
    <row r="412" spans="1:15">
      <c r="A412" s="361">
        <f>A411+1</f>
        <v>21</v>
      </c>
      <c r="B412" s="365">
        <v>383</v>
      </c>
      <c r="C412" s="358" t="s">
        <v>3082</v>
      </c>
      <c r="D412" s="369">
        <f>G366</f>
        <v>7217708.29</v>
      </c>
      <c r="E412" s="369">
        <v>30958.080000000002</v>
      </c>
      <c r="F412" s="369">
        <v>-575.59</v>
      </c>
      <c r="G412" s="369">
        <f>SUM(G410:G411)</f>
        <v>7248090.7800000003</v>
      </c>
      <c r="H412" s="369"/>
      <c r="I412" s="369">
        <f>O366</f>
        <v>2434795.71</v>
      </c>
      <c r="J412" s="369"/>
      <c r="K412" s="369">
        <v>11693.19</v>
      </c>
      <c r="L412" s="369">
        <f>SUM(L410:L411)</f>
        <v>0</v>
      </c>
      <c r="M412" s="369">
        <v>-575.59</v>
      </c>
      <c r="N412" s="369">
        <v>0</v>
      </c>
      <c r="O412" s="369">
        <f>SUM(O410:O411)</f>
        <v>2445913.31</v>
      </c>
    </row>
    <row r="415" spans="1:15" s="291" customFormat="1">
      <c r="A415" s="1308" t="str">
        <f>$A$1</f>
        <v>COLUMBIA GAS OF KENTUCKY, INC.</v>
      </c>
      <c r="B415" s="1308"/>
      <c r="C415" s="1308"/>
      <c r="D415" s="1308"/>
      <c r="E415" s="1308"/>
      <c r="F415" s="1308"/>
      <c r="G415" s="1308"/>
      <c r="H415" s="1308"/>
      <c r="I415" s="1308"/>
      <c r="J415" s="1308"/>
      <c r="K415" s="1308"/>
      <c r="L415" s="1308"/>
      <c r="M415" s="1308"/>
      <c r="N415" s="1308"/>
      <c r="O415" s="1308"/>
    </row>
    <row r="416" spans="1:15" s="291" customFormat="1">
      <c r="A416" s="1308" t="str">
        <f>$A$2</f>
        <v>CASE NO. 2024 - 00092</v>
      </c>
      <c r="B416" s="1308"/>
      <c r="C416" s="1308"/>
      <c r="D416" s="1308"/>
      <c r="E416" s="1308"/>
      <c r="F416" s="1308"/>
      <c r="G416" s="1308"/>
      <c r="H416" s="1308"/>
      <c r="I416" s="1308"/>
      <c r="J416" s="1308"/>
      <c r="K416" s="1308"/>
      <c r="L416" s="1308"/>
      <c r="M416" s="1308"/>
      <c r="N416" s="1308"/>
      <c r="O416" s="1308"/>
    </row>
    <row r="417" spans="1:15" s="291" customFormat="1">
      <c r="A417" s="1308" t="str">
        <f>$A$3</f>
        <v>DETAIL OF ACTUAL &amp;  FORECASTED SMRP PLANT, ACCUMULATED RESERVE &amp; DEPRECIATION EXPENSE</v>
      </c>
      <c r="B417" s="1308"/>
      <c r="C417" s="1308"/>
      <c r="D417" s="1308"/>
      <c r="E417" s="1308"/>
      <c r="F417" s="1308"/>
      <c r="G417" s="1308"/>
      <c r="H417" s="1308"/>
      <c r="I417" s="1308"/>
      <c r="J417" s="1308"/>
      <c r="K417" s="1308"/>
      <c r="L417" s="1308"/>
      <c r="M417" s="1308"/>
      <c r="N417" s="1308"/>
      <c r="O417" s="1308"/>
    </row>
    <row r="418" spans="1:15" s="291" customFormat="1">
      <c r="A418" s="1308" t="str">
        <f>$A$4</f>
        <v>FROM JANUARY 01, 2023 THROUGH DECEMBER 31, 2025</v>
      </c>
      <c r="B418" s="1308"/>
      <c r="C418" s="1308"/>
      <c r="D418" s="1308"/>
      <c r="E418" s="1308"/>
      <c r="F418" s="1308"/>
      <c r="G418" s="1308"/>
      <c r="H418" s="1308"/>
      <c r="I418" s="1308"/>
      <c r="J418" s="1308"/>
      <c r="K418" s="1308"/>
      <c r="L418" s="1308"/>
      <c r="M418" s="1308"/>
      <c r="N418" s="1308"/>
      <c r="O418" s="1308"/>
    </row>
    <row r="419" spans="1:15" s="291" customFormat="1">
      <c r="B419" s="293"/>
    </row>
    <row r="420" spans="1:15" s="291" customFormat="1">
      <c r="A420" s="297" t="str">
        <f>'General Headers Index'!$B$34</f>
        <v xml:space="preserve">DATA: _X_ BASE PERIOD _X_ FORECASTED PERIOD     </v>
      </c>
      <c r="B420" s="293"/>
      <c r="O420" s="312" t="s">
        <v>2461</v>
      </c>
    </row>
    <row r="421" spans="1:15" s="291" customFormat="1">
      <c r="A421" s="297" t="str">
        <f>'General Headers Index'!$B$37</f>
        <v>TYPE OF FILING:___X___ORIGINAL______UPDATED</v>
      </c>
      <c r="B421" s="293"/>
      <c r="O421" s="312" t="s">
        <v>2232</v>
      </c>
    </row>
    <row r="422" spans="1:15" s="291" customFormat="1">
      <c r="A422" s="297" t="s">
        <v>2150</v>
      </c>
      <c r="B422" s="293"/>
      <c r="O422" s="312" t="str">
        <f>"WITNESS: "&amp;'General Headers Index'!$B$42</f>
        <v>WITNESS: GORE</v>
      </c>
    </row>
    <row r="423" spans="1:15">
      <c r="A423" s="918"/>
      <c r="B423" s="918"/>
      <c r="C423" s="918"/>
      <c r="D423" s="918"/>
      <c r="E423" s="918"/>
      <c r="F423" s="918"/>
      <c r="G423" s="918"/>
      <c r="H423" s="918"/>
      <c r="I423" s="918"/>
      <c r="J423" s="918"/>
      <c r="K423" s="918"/>
      <c r="L423" s="918"/>
      <c r="M423" s="918"/>
      <c r="N423" s="918"/>
      <c r="O423" s="918"/>
    </row>
    <row r="424" spans="1:15">
      <c r="B424" s="359"/>
      <c r="D424" s="1312" t="s">
        <v>1768</v>
      </c>
      <c r="E424" s="1312"/>
      <c r="F424" s="1312"/>
      <c r="G424" s="1312"/>
      <c r="I424" s="1312" t="s">
        <v>1769</v>
      </c>
      <c r="J424" s="1312"/>
      <c r="K424" s="1312"/>
      <c r="L424" s="1312"/>
      <c r="M424" s="1312"/>
      <c r="N424" s="1312"/>
      <c r="O424" s="1312"/>
    </row>
    <row r="425" spans="1:15">
      <c r="B425" s="359"/>
      <c r="D425" s="360">
        <f>G379+1</f>
        <v>45200</v>
      </c>
      <c r="G425" s="360">
        <f>D425+30</f>
        <v>45230</v>
      </c>
      <c r="I425" s="360">
        <f>D425</f>
        <v>45200</v>
      </c>
      <c r="O425" s="360">
        <f>G425</f>
        <v>45230</v>
      </c>
    </row>
    <row r="426" spans="1:15">
      <c r="B426" s="359"/>
      <c r="D426" s="361" t="s">
        <v>1757</v>
      </c>
      <c r="G426" s="361" t="s">
        <v>1757</v>
      </c>
      <c r="I426" s="361" t="s">
        <v>1758</v>
      </c>
      <c r="J426" s="361" t="s">
        <v>488</v>
      </c>
      <c r="L426" s="361" t="s">
        <v>1758</v>
      </c>
      <c r="O426" s="361" t="s">
        <v>1758</v>
      </c>
    </row>
    <row r="427" spans="1:15">
      <c r="A427" s="361" t="s">
        <v>1770</v>
      </c>
      <c r="B427" s="361" t="s">
        <v>368</v>
      </c>
      <c r="C427" s="361"/>
      <c r="D427" s="361" t="s">
        <v>437</v>
      </c>
      <c r="G427" s="361" t="s">
        <v>439</v>
      </c>
      <c r="I427" s="361" t="s">
        <v>437</v>
      </c>
      <c r="J427" s="361" t="s">
        <v>1771</v>
      </c>
      <c r="K427" s="361" t="s">
        <v>1772</v>
      </c>
      <c r="L427" s="361" t="s">
        <v>1759</v>
      </c>
      <c r="N427" s="361" t="s">
        <v>1760</v>
      </c>
      <c r="O427" s="361" t="s">
        <v>439</v>
      </c>
    </row>
    <row r="428" spans="1:15">
      <c r="A428" s="364" t="s">
        <v>316</v>
      </c>
      <c r="B428" s="364" t="s">
        <v>316</v>
      </c>
      <c r="C428" s="364" t="s">
        <v>451</v>
      </c>
      <c r="D428" s="364" t="s">
        <v>441</v>
      </c>
      <c r="E428" s="364" t="s">
        <v>442</v>
      </c>
      <c r="F428" s="364" t="s">
        <v>443</v>
      </c>
      <c r="G428" s="364" t="s">
        <v>441</v>
      </c>
      <c r="I428" s="364" t="s">
        <v>441</v>
      </c>
      <c r="J428" s="364" t="s">
        <v>1773</v>
      </c>
      <c r="K428" s="364" t="s">
        <v>1771</v>
      </c>
      <c r="L428" s="364" t="s">
        <v>355</v>
      </c>
      <c r="M428" s="364" t="s">
        <v>443</v>
      </c>
      <c r="N428" s="364" t="s">
        <v>1763</v>
      </c>
      <c r="O428" s="364" t="s">
        <v>441</v>
      </c>
    </row>
    <row r="429" spans="1:15">
      <c r="B429" s="359"/>
      <c r="D429" s="361" t="s">
        <v>532</v>
      </c>
      <c r="E429" s="361" t="s">
        <v>541</v>
      </c>
      <c r="F429" s="361" t="s">
        <v>542</v>
      </c>
      <c r="G429" s="361" t="s">
        <v>1764</v>
      </c>
      <c r="I429" s="334" t="str">
        <f>"(5)"</f>
        <v>(5)</v>
      </c>
      <c r="J429" s="334" t="str">
        <f>"(6)"</f>
        <v>(6)</v>
      </c>
      <c r="K429" s="334" t="str">
        <f>"(7)"</f>
        <v>(7)</v>
      </c>
      <c r="L429" s="334" t="str">
        <f>"(8)"</f>
        <v>(8)</v>
      </c>
      <c r="M429" s="334" t="str">
        <f>"(9)"</f>
        <v>(9)</v>
      </c>
      <c r="N429" s="334" t="str">
        <f>"(10)"</f>
        <v>(10)</v>
      </c>
      <c r="O429" s="334" t="str">
        <f>"(11=5+7+8+9+10)"</f>
        <v>(11=5+7+8+9+10)</v>
      </c>
    </row>
    <row r="430" spans="1:15">
      <c r="B430" s="359"/>
      <c r="D430" s="361" t="s">
        <v>320</v>
      </c>
      <c r="E430" s="361" t="s">
        <v>320</v>
      </c>
      <c r="F430" s="361" t="s">
        <v>320</v>
      </c>
      <c r="G430" s="361" t="s">
        <v>320</v>
      </c>
      <c r="I430" s="334" t="s">
        <v>320</v>
      </c>
      <c r="J430" s="1250" t="s">
        <v>529</v>
      </c>
      <c r="K430" s="334" t="s">
        <v>320</v>
      </c>
      <c r="L430" s="334" t="s">
        <v>320</v>
      </c>
      <c r="M430" s="334" t="s">
        <v>320</v>
      </c>
      <c r="N430" s="334" t="s">
        <v>320</v>
      </c>
      <c r="O430" s="334" t="s">
        <v>320</v>
      </c>
    </row>
    <row r="431" spans="1:15">
      <c r="B431" s="359"/>
      <c r="D431" s="361"/>
      <c r="E431" s="361"/>
      <c r="F431" s="361"/>
      <c r="G431" s="361"/>
      <c r="I431" s="334"/>
      <c r="J431" s="334"/>
      <c r="K431" s="334"/>
      <c r="L431" s="334"/>
      <c r="M431" s="334"/>
      <c r="N431" s="334"/>
      <c r="O431" s="334"/>
    </row>
    <row r="432" spans="1:15">
      <c r="A432" s="361">
        <v>1</v>
      </c>
      <c r="B432" s="365">
        <v>376</v>
      </c>
      <c r="C432" s="358" t="s">
        <v>1775</v>
      </c>
      <c r="D432" s="369">
        <f>G386</f>
        <v>21738874</v>
      </c>
      <c r="E432" s="369">
        <v>1282582.1600000004</v>
      </c>
      <c r="F432" s="369">
        <v>-557.34</v>
      </c>
      <c r="G432" s="369">
        <f>SUM(D432:F432)</f>
        <v>23020898.82</v>
      </c>
      <c r="H432" s="369"/>
      <c r="I432" s="369">
        <f>O386</f>
        <v>-101238.98700000001</v>
      </c>
      <c r="J432" s="369"/>
      <c r="K432" s="369">
        <v>32450.468000000001</v>
      </c>
      <c r="L432" s="369">
        <v>0</v>
      </c>
      <c r="M432" s="369">
        <f>F432</f>
        <v>-557.34</v>
      </c>
      <c r="N432" s="369">
        <v>-65.73</v>
      </c>
      <c r="O432" s="369">
        <f>I432+K432+L432+M432+N432</f>
        <v>-69411.588999999993</v>
      </c>
    </row>
    <row r="433" spans="1:15">
      <c r="A433" s="361">
        <f>A432+1</f>
        <v>2</v>
      </c>
      <c r="B433" s="365">
        <v>378.2</v>
      </c>
      <c r="C433" s="358" t="s">
        <v>1776</v>
      </c>
      <c r="D433" s="369">
        <f>G387</f>
        <v>-347783.44000000006</v>
      </c>
      <c r="E433" s="369">
        <v>0</v>
      </c>
      <c r="F433" s="369">
        <v>0</v>
      </c>
      <c r="G433" s="369">
        <f>SUM(D433:F433)</f>
        <v>-347783.44000000006</v>
      </c>
      <c r="H433" s="369"/>
      <c r="I433" s="369">
        <f>O387</f>
        <v>-390184.50199999992</v>
      </c>
      <c r="J433" s="369"/>
      <c r="K433" s="369">
        <v>-730</v>
      </c>
      <c r="L433" s="369">
        <v>0</v>
      </c>
      <c r="M433" s="369">
        <f>F433</f>
        <v>0</v>
      </c>
      <c r="N433" s="369">
        <v>0</v>
      </c>
      <c r="O433" s="369">
        <f>I433+K433+L433+M433+N433</f>
        <v>-390914.50199999992</v>
      </c>
    </row>
    <row r="434" spans="1:15">
      <c r="A434" s="361">
        <f>A433+1</f>
        <v>3</v>
      </c>
      <c r="B434" s="365">
        <v>380</v>
      </c>
      <c r="C434" s="358" t="s">
        <v>1777</v>
      </c>
      <c r="D434" s="369">
        <f>G388</f>
        <v>7621025.1235093558</v>
      </c>
      <c r="E434" s="369">
        <v>1523803.0500000003</v>
      </c>
      <c r="F434" s="369">
        <v>-178657.54023643697</v>
      </c>
      <c r="G434" s="369">
        <f>SUM(D434:F434)</f>
        <v>8966170.6332729179</v>
      </c>
      <c r="H434" s="369"/>
      <c r="I434" s="369">
        <f>O388</f>
        <v>-3483779.1138076461</v>
      </c>
      <c r="J434" s="369"/>
      <c r="K434" s="369">
        <v>27506.7</v>
      </c>
      <c r="L434" s="369">
        <v>0</v>
      </c>
      <c r="M434" s="369">
        <f>F434</f>
        <v>-178657.54023643697</v>
      </c>
      <c r="N434" s="369">
        <v>-171317.10853699999</v>
      </c>
      <c r="O434" s="369">
        <f>I434+K434+L434+M434+N434</f>
        <v>-3806247.0625810828</v>
      </c>
    </row>
    <row r="435" spans="1:15">
      <c r="A435" s="361">
        <f>A434+1</f>
        <v>4</v>
      </c>
      <c r="B435" s="365">
        <v>382</v>
      </c>
      <c r="C435" s="358" t="s">
        <v>1778</v>
      </c>
      <c r="D435" s="369">
        <f>G389</f>
        <v>6890.3299999999963</v>
      </c>
      <c r="E435" s="369">
        <v>17703.63</v>
      </c>
      <c r="F435" s="369">
        <v>-4703.41</v>
      </c>
      <c r="G435" s="369">
        <f>SUM(D435:F435)</f>
        <v>19890.55</v>
      </c>
      <c r="H435" s="369"/>
      <c r="I435" s="369">
        <f>O389</f>
        <v>-36219.77900000001</v>
      </c>
      <c r="J435" s="369"/>
      <c r="K435" s="369">
        <v>19.588000000000001</v>
      </c>
      <c r="L435" s="369">
        <v>0</v>
      </c>
      <c r="M435" s="369">
        <f>F435</f>
        <v>-4703.41</v>
      </c>
      <c r="N435" s="369">
        <v>0</v>
      </c>
      <c r="O435" s="369">
        <f>I435+K435+L435+M435+N435</f>
        <v>-40903.60100000001</v>
      </c>
    </row>
    <row r="436" spans="1:15">
      <c r="A436" s="361">
        <f>A435+1</f>
        <v>5</v>
      </c>
      <c r="B436" s="365">
        <v>383</v>
      </c>
      <c r="C436" s="358" t="s">
        <v>1779</v>
      </c>
      <c r="D436" s="923">
        <f>G390</f>
        <v>-5138.72</v>
      </c>
      <c r="E436" s="923">
        <v>0</v>
      </c>
      <c r="F436" s="923">
        <v>-562.87</v>
      </c>
      <c r="G436" s="923">
        <f>SUM(D436:F436)</f>
        <v>-5701.59</v>
      </c>
      <c r="H436" s="369"/>
      <c r="I436" s="923">
        <f>O390</f>
        <v>-5163.8739999999998</v>
      </c>
      <c r="J436" s="369"/>
      <c r="K436" s="923">
        <v>-8.4550000000000001</v>
      </c>
      <c r="L436" s="923">
        <v>0</v>
      </c>
      <c r="M436" s="923">
        <f>F436</f>
        <v>-562.87</v>
      </c>
      <c r="N436" s="923">
        <v>0</v>
      </c>
      <c r="O436" s="923">
        <f>I436+K436+L436+M436+N436</f>
        <v>-5735.1989999999996</v>
      </c>
    </row>
    <row r="437" spans="1:15">
      <c r="A437" s="361">
        <f>A436+1</f>
        <v>6</v>
      </c>
      <c r="C437" s="358" t="s">
        <v>3077</v>
      </c>
      <c r="D437" s="369">
        <f>SUM(D432:D436)</f>
        <v>29013867.293509353</v>
      </c>
      <c r="E437" s="369">
        <f>SUM(E432:E436)</f>
        <v>2824088.8400000008</v>
      </c>
      <c r="F437" s="369">
        <f>SUM(F432:F436)</f>
        <v>-184481.16023643696</v>
      </c>
      <c r="G437" s="369">
        <f>SUM(G432:G436)</f>
        <v>31653474.97327292</v>
      </c>
      <c r="H437" s="369"/>
      <c r="I437" s="369">
        <f>SUM(I432:I436)</f>
        <v>-4016586.2558076461</v>
      </c>
      <c r="J437" s="369"/>
      <c r="K437" s="369">
        <f>SUM(K432:K436)</f>
        <v>59238.301000000007</v>
      </c>
      <c r="L437" s="369">
        <f t="shared" ref="L437" si="9">SUM(L432:L436)</f>
        <v>0</v>
      </c>
      <c r="M437" s="369">
        <f>SUM(M432:M436)</f>
        <v>-184481.16023643696</v>
      </c>
      <c r="N437" s="369">
        <f>SUM(N432:N436)</f>
        <v>-171382.838537</v>
      </c>
      <c r="O437" s="369">
        <f>SUM(O432:O436)</f>
        <v>-4313211.9535810826</v>
      </c>
    </row>
    <row r="438" spans="1:15">
      <c r="A438" s="361"/>
      <c r="D438" s="369"/>
      <c r="E438" s="369"/>
      <c r="F438" s="369"/>
      <c r="G438" s="369"/>
      <c r="H438" s="369"/>
      <c r="I438" s="369"/>
      <c r="J438" s="369"/>
      <c r="K438" s="369"/>
      <c r="L438" s="369"/>
      <c r="M438" s="369"/>
      <c r="N438" s="369"/>
      <c r="O438" s="369"/>
    </row>
    <row r="439" spans="1:15">
      <c r="A439" s="361"/>
      <c r="D439" s="369"/>
      <c r="E439" s="369"/>
      <c r="F439" s="369"/>
      <c r="G439" s="369"/>
      <c r="H439" s="369"/>
      <c r="I439" s="369"/>
      <c r="J439" s="369"/>
      <c r="K439" s="369"/>
      <c r="L439" s="369"/>
      <c r="M439" s="369"/>
      <c r="N439" s="369"/>
      <c r="O439" s="369"/>
    </row>
    <row r="440" spans="1:15">
      <c r="A440" s="361">
        <f>A437+1</f>
        <v>7</v>
      </c>
      <c r="B440" s="365">
        <v>376</v>
      </c>
      <c r="C440" s="358" t="s">
        <v>1775</v>
      </c>
      <c r="D440" s="369">
        <f>D432</f>
        <v>21738874</v>
      </c>
      <c r="E440" s="369">
        <f>E432</f>
        <v>1282582.1600000004</v>
      </c>
      <c r="F440" s="369">
        <f>F432</f>
        <v>-557.34</v>
      </c>
      <c r="G440" s="369">
        <f>SUM(D440:F440)</f>
        <v>23020898.82</v>
      </c>
      <c r="H440" s="369"/>
      <c r="I440" s="369">
        <f>I432</f>
        <v>-101238.98700000001</v>
      </c>
      <c r="J440" s="369"/>
      <c r="K440" s="369">
        <f>K432</f>
        <v>32450.468000000001</v>
      </c>
      <c r="L440" s="369">
        <v>0</v>
      </c>
      <c r="M440" s="369">
        <f>M432</f>
        <v>-557.34</v>
      </c>
      <c r="N440" s="369">
        <f>N432</f>
        <v>-65.73</v>
      </c>
      <c r="O440" s="369">
        <f>I440+K440+L440+M440+N440</f>
        <v>-69411.588999999993</v>
      </c>
    </row>
    <row r="441" spans="1:15">
      <c r="A441" s="361">
        <f>A440+1</f>
        <v>8</v>
      </c>
      <c r="B441" s="365">
        <v>376</v>
      </c>
      <c r="C441" s="358" t="s">
        <v>1621</v>
      </c>
      <c r="D441" s="923">
        <f>D442-D440</f>
        <v>406772223.84999996</v>
      </c>
      <c r="E441" s="923">
        <f>E442-E440</f>
        <v>2229825.8499999996</v>
      </c>
      <c r="F441" s="923">
        <f>F442-F440</f>
        <v>-13006.550000000001</v>
      </c>
      <c r="G441" s="923">
        <f>SUM(D441:F441)</f>
        <v>408989043.14999998</v>
      </c>
      <c r="H441" s="369"/>
      <c r="I441" s="923">
        <f>I442-I440</f>
        <v>78753046.367000014</v>
      </c>
      <c r="J441" s="369"/>
      <c r="K441" s="923">
        <f>K442-K440</f>
        <v>587841.75199999998</v>
      </c>
      <c r="L441" s="923">
        <v>0</v>
      </c>
      <c r="M441" s="923">
        <f>M442-M440</f>
        <v>-13006.550000000001</v>
      </c>
      <c r="N441" s="923">
        <f>N442-N440</f>
        <v>-6932.84</v>
      </c>
      <c r="O441" s="923">
        <f>I441+K441+L441+M441+N441</f>
        <v>79320948.729000017</v>
      </c>
    </row>
    <row r="442" spans="1:15">
      <c r="A442" s="361">
        <f>A441+1</f>
        <v>9</v>
      </c>
      <c r="B442" s="365">
        <v>376</v>
      </c>
      <c r="C442" s="358" t="s">
        <v>3078</v>
      </c>
      <c r="D442" s="369">
        <f>G396</f>
        <v>428511097.84999996</v>
      </c>
      <c r="E442" s="369">
        <v>3512408.01</v>
      </c>
      <c r="F442" s="369">
        <v>-13563.890000000001</v>
      </c>
      <c r="G442" s="369">
        <f>SUM(G440:G441)</f>
        <v>432009941.96999997</v>
      </c>
      <c r="H442" s="369"/>
      <c r="I442" s="369">
        <f>O396</f>
        <v>78651807.38000001</v>
      </c>
      <c r="J442" s="369"/>
      <c r="K442" s="369">
        <v>620292.22</v>
      </c>
      <c r="L442" s="369">
        <f>SUM(L440:L441)</f>
        <v>0</v>
      </c>
      <c r="M442" s="369">
        <v>-13563.890000000001</v>
      </c>
      <c r="N442" s="369">
        <v>-6998.57</v>
      </c>
      <c r="O442" s="369">
        <f>SUM(O440:O441)</f>
        <v>79251537.140000015</v>
      </c>
    </row>
    <row r="443" spans="1:15">
      <c r="A443" s="361"/>
      <c r="B443" s="365"/>
      <c r="D443" s="369"/>
      <c r="E443" s="369"/>
      <c r="F443" s="369"/>
      <c r="G443" s="369"/>
      <c r="H443" s="369"/>
      <c r="I443" s="369"/>
      <c r="J443" s="369"/>
      <c r="K443" s="369"/>
      <c r="L443" s="369"/>
      <c r="M443" s="369"/>
      <c r="N443" s="369"/>
      <c r="O443" s="369"/>
    </row>
    <row r="444" spans="1:15">
      <c r="A444" s="361">
        <f>A442+1</f>
        <v>10</v>
      </c>
      <c r="B444" s="365">
        <v>378.2</v>
      </c>
      <c r="C444" s="358" t="s">
        <v>1776</v>
      </c>
      <c r="D444" s="369">
        <f>D433</f>
        <v>-347783.44000000006</v>
      </c>
      <c r="E444" s="369">
        <f>E433</f>
        <v>0</v>
      </c>
      <c r="F444" s="369">
        <f>F433</f>
        <v>0</v>
      </c>
      <c r="G444" s="369">
        <f>SUM(D444:F444)</f>
        <v>-347783.44000000006</v>
      </c>
      <c r="H444" s="369"/>
      <c r="I444" s="369">
        <f>I433</f>
        <v>-390184.50199999992</v>
      </c>
      <c r="J444" s="369"/>
      <c r="K444" s="369">
        <f>K433</f>
        <v>-730</v>
      </c>
      <c r="L444" s="369">
        <v>0</v>
      </c>
      <c r="M444" s="369">
        <f>M433</f>
        <v>0</v>
      </c>
      <c r="N444" s="369">
        <f>N433</f>
        <v>0</v>
      </c>
      <c r="O444" s="369">
        <f>I444+K444+L444+M444+N444</f>
        <v>-390914.50199999992</v>
      </c>
    </row>
    <row r="445" spans="1:15">
      <c r="A445" s="361">
        <f>A444+1</f>
        <v>11</v>
      </c>
      <c r="B445" s="365">
        <v>378.2</v>
      </c>
      <c r="C445" s="358" t="s">
        <v>1622</v>
      </c>
      <c r="D445" s="923">
        <f>D446-D444</f>
        <v>25351623.770000003</v>
      </c>
      <c r="E445" s="923">
        <f>E446-E444</f>
        <v>12616.79</v>
      </c>
      <c r="F445" s="923">
        <f>F446-F444</f>
        <v>0</v>
      </c>
      <c r="G445" s="923">
        <f>SUM(D445:F445)</f>
        <v>25364240.560000002</v>
      </c>
      <c r="H445" s="369"/>
      <c r="I445" s="923">
        <f>I446-I444</f>
        <v>3251128.1920000003</v>
      </c>
      <c r="J445" s="369"/>
      <c r="K445" s="923">
        <f>K446-K444</f>
        <v>53408.39</v>
      </c>
      <c r="L445" s="923">
        <v>0</v>
      </c>
      <c r="M445" s="923">
        <f>M446-M444</f>
        <v>0</v>
      </c>
      <c r="N445" s="923">
        <f>N446-N444</f>
        <v>0</v>
      </c>
      <c r="O445" s="923">
        <f>I445+K445+L445+M445+N445</f>
        <v>3304536.5820000004</v>
      </c>
    </row>
    <row r="446" spans="1:15">
      <c r="A446" s="361">
        <f>A445+1</f>
        <v>12</v>
      </c>
      <c r="B446" s="365">
        <v>378.2</v>
      </c>
      <c r="C446" s="358" t="s">
        <v>3079</v>
      </c>
      <c r="D446" s="369">
        <f>G400</f>
        <v>25003840.330000002</v>
      </c>
      <c r="E446" s="369">
        <v>12616.79</v>
      </c>
      <c r="F446" s="369">
        <v>0</v>
      </c>
      <c r="G446" s="369">
        <f>SUM(G444:G445)</f>
        <v>25016457.120000001</v>
      </c>
      <c r="H446" s="369"/>
      <c r="I446" s="369">
        <f>O400</f>
        <v>2860943.6900000004</v>
      </c>
      <c r="J446" s="369"/>
      <c r="K446" s="369">
        <v>52678.39</v>
      </c>
      <c r="L446" s="369">
        <f>SUM(L444:L445)</f>
        <v>0</v>
      </c>
      <c r="M446" s="369">
        <v>0</v>
      </c>
      <c r="N446" s="369">
        <v>0</v>
      </c>
      <c r="O446" s="369">
        <f>SUM(O444:O445)</f>
        <v>2913622.0800000005</v>
      </c>
    </row>
    <row r="447" spans="1:15">
      <c r="A447" s="361"/>
      <c r="B447" s="365"/>
      <c r="D447" s="369"/>
      <c r="E447" s="369"/>
      <c r="F447" s="369"/>
      <c r="G447" s="369"/>
      <c r="H447" s="369"/>
      <c r="I447" s="369"/>
      <c r="J447" s="369"/>
      <c r="K447" s="369"/>
      <c r="L447" s="369"/>
      <c r="M447" s="369"/>
      <c r="N447" s="369"/>
      <c r="O447" s="369"/>
    </row>
    <row r="448" spans="1:15">
      <c r="A448" s="361">
        <f>A446+1</f>
        <v>13</v>
      </c>
      <c r="B448" s="365">
        <v>380</v>
      </c>
      <c r="C448" s="358" t="s">
        <v>1777</v>
      </c>
      <c r="D448" s="369">
        <f>D434</f>
        <v>7621025.1235093558</v>
      </c>
      <c r="E448" s="369">
        <f>E434</f>
        <v>1523803.0500000003</v>
      </c>
      <c r="F448" s="369">
        <f>F434</f>
        <v>-178657.54023643697</v>
      </c>
      <c r="G448" s="369">
        <f>SUM(D448:F448)</f>
        <v>8966170.6332729179</v>
      </c>
      <c r="H448" s="369"/>
      <c r="I448" s="369">
        <f>I434</f>
        <v>-3483779.1138076461</v>
      </c>
      <c r="J448" s="369"/>
      <c r="K448" s="369">
        <f>K434</f>
        <v>27506.7</v>
      </c>
      <c r="L448" s="369">
        <v>0</v>
      </c>
      <c r="M448" s="369">
        <f>M434</f>
        <v>-178657.54023643697</v>
      </c>
      <c r="N448" s="369">
        <f>N434</f>
        <v>-171317.10853699999</v>
      </c>
      <c r="O448" s="369">
        <f>I448+K448+L448+M448+N448</f>
        <v>-3806247.0625810828</v>
      </c>
    </row>
    <row r="449" spans="1:15">
      <c r="A449" s="361">
        <f>A448+1</f>
        <v>14</v>
      </c>
      <c r="B449" s="365">
        <v>380</v>
      </c>
      <c r="C449" s="358" t="s">
        <v>1623</v>
      </c>
      <c r="D449" s="923">
        <f>D450-D448</f>
        <v>198991449.31649062</v>
      </c>
      <c r="E449" s="923">
        <f>E450-E448</f>
        <v>1189886.9599999995</v>
      </c>
      <c r="F449" s="923">
        <f>F450-F448</f>
        <v>-35534.099763563019</v>
      </c>
      <c r="G449" s="923">
        <f>SUM(D449:F449)</f>
        <v>200145802.17672706</v>
      </c>
      <c r="H449" s="369"/>
      <c r="I449" s="923">
        <f>I450-I448</f>
        <v>57431622.593807653</v>
      </c>
      <c r="J449" s="369"/>
      <c r="K449" s="923">
        <f>K450-K448</f>
        <v>660474.55000000005</v>
      </c>
      <c r="L449" s="923">
        <v>0</v>
      </c>
      <c r="M449" s="923">
        <f>M450-M448</f>
        <v>-35534.099763563019</v>
      </c>
      <c r="N449" s="923">
        <f>N450-N448</f>
        <v>-34074.461463000014</v>
      </c>
      <c r="O449" s="923">
        <f>I449+K449+L449+M449+N449</f>
        <v>58022488.582581088</v>
      </c>
    </row>
    <row r="450" spans="1:15">
      <c r="A450" s="361">
        <f>A449+1</f>
        <v>15</v>
      </c>
      <c r="B450" s="365">
        <v>380</v>
      </c>
      <c r="C450" s="358" t="s">
        <v>3080</v>
      </c>
      <c r="D450" s="369">
        <f>G404</f>
        <v>206612474.43999997</v>
      </c>
      <c r="E450" s="369">
        <v>2713690.01</v>
      </c>
      <c r="F450" s="369">
        <v>-214191.63999999998</v>
      </c>
      <c r="G450" s="369">
        <f>SUM(G448:G449)</f>
        <v>209111972.80999997</v>
      </c>
      <c r="H450" s="369"/>
      <c r="I450" s="369">
        <f>O404</f>
        <v>53947843.480000004</v>
      </c>
      <c r="J450" s="369"/>
      <c r="K450" s="369">
        <v>687981.25</v>
      </c>
      <c r="L450" s="369">
        <f>SUM(L448:L449)</f>
        <v>0</v>
      </c>
      <c r="M450" s="369">
        <v>-214191.63999999998</v>
      </c>
      <c r="N450" s="369">
        <v>-205391.57</v>
      </c>
      <c r="O450" s="369">
        <f>SUM(O448:O449)</f>
        <v>54216241.520000003</v>
      </c>
    </row>
    <row r="451" spans="1:15">
      <c r="A451" s="361"/>
      <c r="B451" s="365"/>
      <c r="D451" s="369"/>
      <c r="E451" s="369"/>
      <c r="F451" s="369"/>
      <c r="G451" s="369"/>
      <c r="H451" s="369"/>
      <c r="I451" s="369"/>
      <c r="J451" s="369"/>
      <c r="K451" s="369"/>
      <c r="L451" s="369"/>
      <c r="M451" s="369"/>
      <c r="N451" s="369"/>
      <c r="O451" s="369"/>
    </row>
    <row r="452" spans="1:15">
      <c r="A452" s="361">
        <f>A450+1</f>
        <v>16</v>
      </c>
      <c r="B452" s="365">
        <v>382</v>
      </c>
      <c r="C452" s="358" t="s">
        <v>1778</v>
      </c>
      <c r="D452" s="369">
        <f>D435</f>
        <v>6890.3299999999963</v>
      </c>
      <c r="E452" s="369">
        <f>E435</f>
        <v>17703.63</v>
      </c>
      <c r="F452" s="369">
        <f>F435</f>
        <v>-4703.41</v>
      </c>
      <c r="G452" s="369">
        <f>SUM(D452:F452)</f>
        <v>19890.55</v>
      </c>
      <c r="H452" s="369"/>
      <c r="I452" s="369">
        <f>I435</f>
        <v>-36219.77900000001</v>
      </c>
      <c r="J452" s="369"/>
      <c r="K452" s="369">
        <f>K435</f>
        <v>19.588000000000001</v>
      </c>
      <c r="L452" s="369">
        <v>0</v>
      </c>
      <c r="M452" s="369">
        <f>M435</f>
        <v>-4703.41</v>
      </c>
      <c r="N452" s="369">
        <f>N435</f>
        <v>0</v>
      </c>
      <c r="O452" s="369">
        <f>I452+K452+L452+M452+N452</f>
        <v>-40903.60100000001</v>
      </c>
    </row>
    <row r="453" spans="1:15">
      <c r="A453" s="361">
        <f>A452+1</f>
        <v>17</v>
      </c>
      <c r="B453" s="365">
        <v>382</v>
      </c>
      <c r="C453" s="358" t="s">
        <v>1624</v>
      </c>
      <c r="D453" s="923">
        <f>D454-D452</f>
        <v>10303126.359999999</v>
      </c>
      <c r="E453" s="923">
        <f>E454-E452</f>
        <v>90237.28</v>
      </c>
      <c r="F453" s="923">
        <f>F454-F452</f>
        <v>0</v>
      </c>
      <c r="G453" s="923">
        <f>SUM(D453:F453)</f>
        <v>10393363.639999999</v>
      </c>
      <c r="H453" s="369"/>
      <c r="I453" s="923">
        <f>I454-I452</f>
        <v>5796400.6790000014</v>
      </c>
      <c r="J453" s="369"/>
      <c r="K453" s="923">
        <f>K454-K452</f>
        <v>15263.832</v>
      </c>
      <c r="L453" s="923">
        <v>0</v>
      </c>
      <c r="M453" s="923">
        <f>M454-M452</f>
        <v>0</v>
      </c>
      <c r="N453" s="923">
        <f>N454-N452</f>
        <v>0</v>
      </c>
      <c r="O453" s="923">
        <f>I453+K453+L453+M453+N453</f>
        <v>5811664.5110000018</v>
      </c>
    </row>
    <row r="454" spans="1:15">
      <c r="A454" s="361">
        <f>A453+1</f>
        <v>18</v>
      </c>
      <c r="B454" s="365">
        <v>382</v>
      </c>
      <c r="C454" s="358" t="s">
        <v>3081</v>
      </c>
      <c r="D454" s="369">
        <f>G408</f>
        <v>10310016.689999999</v>
      </c>
      <c r="E454" s="369">
        <v>107940.91</v>
      </c>
      <c r="F454" s="369">
        <v>-4703.41</v>
      </c>
      <c r="G454" s="369">
        <f>SUM(G452:G453)</f>
        <v>10413254.189999999</v>
      </c>
      <c r="H454" s="369"/>
      <c r="I454" s="369">
        <f>O408</f>
        <v>5760180.9000000013</v>
      </c>
      <c r="J454" s="369"/>
      <c r="K454" s="369">
        <v>15283.42</v>
      </c>
      <c r="L454" s="369">
        <f>SUM(L452:L453)</f>
        <v>0</v>
      </c>
      <c r="M454" s="369">
        <v>-4703.41</v>
      </c>
      <c r="N454" s="369">
        <v>0</v>
      </c>
      <c r="O454" s="369">
        <f>SUM(O452:O453)</f>
        <v>5770760.910000002</v>
      </c>
    </row>
    <row r="455" spans="1:15">
      <c r="A455" s="361"/>
      <c r="B455" s="365"/>
      <c r="D455" s="369"/>
      <c r="E455" s="369"/>
      <c r="F455" s="369"/>
      <c r="G455" s="369"/>
      <c r="H455" s="369"/>
      <c r="I455" s="369"/>
      <c r="J455" s="369"/>
      <c r="K455" s="369"/>
      <c r="L455" s="369"/>
      <c r="M455" s="369"/>
      <c r="N455" s="369"/>
      <c r="O455" s="369"/>
    </row>
    <row r="456" spans="1:15">
      <c r="A456" s="361">
        <f>A454+1</f>
        <v>19</v>
      </c>
      <c r="B456" s="365">
        <v>383</v>
      </c>
      <c r="C456" s="358" t="s">
        <v>1779</v>
      </c>
      <c r="D456" s="369">
        <f>D436</f>
        <v>-5138.72</v>
      </c>
      <c r="E456" s="369">
        <f>E436</f>
        <v>0</v>
      </c>
      <c r="F456" s="369">
        <f>F436</f>
        <v>-562.87</v>
      </c>
      <c r="G456" s="369">
        <f>SUM(D456:F456)</f>
        <v>-5701.59</v>
      </c>
      <c r="H456" s="369"/>
      <c r="I456" s="369">
        <f>I436</f>
        <v>-5163.8739999999998</v>
      </c>
      <c r="J456" s="369"/>
      <c r="K456" s="369">
        <f>K436</f>
        <v>-8.4550000000000001</v>
      </c>
      <c r="L456" s="369">
        <v>0</v>
      </c>
      <c r="M456" s="369">
        <f>M436</f>
        <v>-562.87</v>
      </c>
      <c r="N456" s="369">
        <f>N436</f>
        <v>0</v>
      </c>
      <c r="O456" s="369">
        <f>I456+K456+L456+M456+N456</f>
        <v>-5735.1989999999996</v>
      </c>
    </row>
    <row r="457" spans="1:15">
      <c r="A457" s="361">
        <f>A456+1</f>
        <v>20</v>
      </c>
      <c r="B457" s="365">
        <v>383</v>
      </c>
      <c r="C457" s="358" t="s">
        <v>1625</v>
      </c>
      <c r="D457" s="923">
        <f>D458-D456</f>
        <v>7253229.5</v>
      </c>
      <c r="E457" s="923">
        <f>E458-E456</f>
        <v>26026.880000000001</v>
      </c>
      <c r="F457" s="923">
        <f>F458-F456</f>
        <v>0</v>
      </c>
      <c r="G457" s="923">
        <f>SUM(D457:F457)</f>
        <v>7279256.3799999999</v>
      </c>
      <c r="H457" s="369"/>
      <c r="I457" s="923">
        <f>I458-I456</f>
        <v>2451077.1839999999</v>
      </c>
      <c r="J457" s="369"/>
      <c r="K457" s="923">
        <f>K458-K456</f>
        <v>11746.785</v>
      </c>
      <c r="L457" s="923">
        <v>0</v>
      </c>
      <c r="M457" s="923">
        <f>M458-M456</f>
        <v>0</v>
      </c>
      <c r="N457" s="923">
        <f>N458-N456</f>
        <v>0</v>
      </c>
      <c r="O457" s="923">
        <f>I457+K457+L457+M457+N457</f>
        <v>2462823.969</v>
      </c>
    </row>
    <row r="458" spans="1:15">
      <c r="A458" s="361">
        <f>A457+1</f>
        <v>21</v>
      </c>
      <c r="B458" s="365">
        <v>383</v>
      </c>
      <c r="C458" s="358" t="s">
        <v>3082</v>
      </c>
      <c r="D458" s="369">
        <f>G412</f>
        <v>7248090.7800000003</v>
      </c>
      <c r="E458" s="369">
        <v>26026.880000000001</v>
      </c>
      <c r="F458" s="369">
        <v>-562.87</v>
      </c>
      <c r="G458" s="369">
        <f>SUM(G456:G457)</f>
        <v>7273554.79</v>
      </c>
      <c r="H458" s="369"/>
      <c r="I458" s="369">
        <f>O412</f>
        <v>2445913.31</v>
      </c>
      <c r="J458" s="369"/>
      <c r="K458" s="369">
        <v>11738.33</v>
      </c>
      <c r="L458" s="369">
        <f>SUM(L456:L457)</f>
        <v>0</v>
      </c>
      <c r="M458" s="369">
        <v>-562.87</v>
      </c>
      <c r="N458" s="369">
        <v>0</v>
      </c>
      <c r="O458" s="369">
        <f>SUM(O456:O457)</f>
        <v>2457088.77</v>
      </c>
    </row>
    <row r="461" spans="1:15" s="291" customFormat="1">
      <c r="A461" s="1308" t="str">
        <f>$A$1</f>
        <v>COLUMBIA GAS OF KENTUCKY, INC.</v>
      </c>
      <c r="B461" s="1308"/>
      <c r="C461" s="1308"/>
      <c r="D461" s="1308"/>
      <c r="E461" s="1308"/>
      <c r="F461" s="1308"/>
      <c r="G461" s="1308"/>
      <c r="H461" s="1308"/>
      <c r="I461" s="1308"/>
      <c r="J461" s="1308"/>
      <c r="K461" s="1308"/>
      <c r="L461" s="1308"/>
      <c r="M461" s="1308"/>
      <c r="N461" s="1308"/>
      <c r="O461" s="1308"/>
    </row>
    <row r="462" spans="1:15" s="291" customFormat="1">
      <c r="A462" s="1308" t="str">
        <f>$A$2</f>
        <v>CASE NO. 2024 - 00092</v>
      </c>
      <c r="B462" s="1308"/>
      <c r="C462" s="1308"/>
      <c r="D462" s="1308"/>
      <c r="E462" s="1308"/>
      <c r="F462" s="1308"/>
      <c r="G462" s="1308"/>
      <c r="H462" s="1308"/>
      <c r="I462" s="1308"/>
      <c r="J462" s="1308"/>
      <c r="K462" s="1308"/>
      <c r="L462" s="1308"/>
      <c r="M462" s="1308"/>
      <c r="N462" s="1308"/>
      <c r="O462" s="1308"/>
    </row>
    <row r="463" spans="1:15" s="291" customFormat="1">
      <c r="A463" s="1308" t="str">
        <f>$A$3</f>
        <v>DETAIL OF ACTUAL &amp;  FORECASTED SMRP PLANT, ACCUMULATED RESERVE &amp; DEPRECIATION EXPENSE</v>
      </c>
      <c r="B463" s="1308"/>
      <c r="C463" s="1308"/>
      <c r="D463" s="1308"/>
      <c r="E463" s="1308"/>
      <c r="F463" s="1308"/>
      <c r="G463" s="1308"/>
      <c r="H463" s="1308"/>
      <c r="I463" s="1308"/>
      <c r="J463" s="1308"/>
      <c r="K463" s="1308"/>
      <c r="L463" s="1308"/>
      <c r="M463" s="1308"/>
      <c r="N463" s="1308"/>
      <c r="O463" s="1308"/>
    </row>
    <row r="464" spans="1:15" s="291" customFormat="1">
      <c r="A464" s="1308" t="str">
        <f>$A$4</f>
        <v>FROM JANUARY 01, 2023 THROUGH DECEMBER 31, 2025</v>
      </c>
      <c r="B464" s="1308"/>
      <c r="C464" s="1308"/>
      <c r="D464" s="1308"/>
      <c r="E464" s="1308"/>
      <c r="F464" s="1308"/>
      <c r="G464" s="1308"/>
      <c r="H464" s="1308"/>
      <c r="I464" s="1308"/>
      <c r="J464" s="1308"/>
      <c r="K464" s="1308"/>
      <c r="L464" s="1308"/>
      <c r="M464" s="1308"/>
      <c r="N464" s="1308"/>
      <c r="O464" s="1308"/>
    </row>
    <row r="465" spans="1:15" s="291" customFormat="1">
      <c r="B465" s="293"/>
    </row>
    <row r="466" spans="1:15" s="291" customFormat="1">
      <c r="A466" s="297" t="str">
        <f>'General Headers Index'!$B$34</f>
        <v xml:space="preserve">DATA: _X_ BASE PERIOD _X_ FORECASTED PERIOD     </v>
      </c>
      <c r="B466" s="293"/>
      <c r="O466" s="312" t="s">
        <v>2461</v>
      </c>
    </row>
    <row r="467" spans="1:15" s="291" customFormat="1">
      <c r="A467" s="297" t="str">
        <f>'General Headers Index'!$B$37</f>
        <v>TYPE OF FILING:___X___ORIGINAL______UPDATED</v>
      </c>
      <c r="B467" s="293"/>
      <c r="O467" s="312" t="s">
        <v>2233</v>
      </c>
    </row>
    <row r="468" spans="1:15" s="291" customFormat="1">
      <c r="A468" s="297" t="s">
        <v>2150</v>
      </c>
      <c r="B468" s="293"/>
      <c r="O468" s="312" t="str">
        <f>"WITNESS: "&amp;'General Headers Index'!$B$42</f>
        <v>WITNESS: GORE</v>
      </c>
    </row>
    <row r="469" spans="1:15">
      <c r="A469" s="918"/>
      <c r="B469" s="918"/>
      <c r="C469" s="918"/>
      <c r="D469" s="918"/>
      <c r="E469" s="918"/>
      <c r="F469" s="918"/>
      <c r="G469" s="918"/>
      <c r="H469" s="918"/>
      <c r="I469" s="918"/>
      <c r="J469" s="918"/>
      <c r="K469" s="918"/>
      <c r="L469" s="918"/>
      <c r="M469" s="918"/>
      <c r="N469" s="918"/>
      <c r="O469" s="918"/>
    </row>
    <row r="470" spans="1:15">
      <c r="B470" s="359"/>
      <c r="D470" s="1312" t="s">
        <v>1768</v>
      </c>
      <c r="E470" s="1312"/>
      <c r="F470" s="1312"/>
      <c r="G470" s="1312"/>
      <c r="I470" s="1312" t="s">
        <v>1769</v>
      </c>
      <c r="J470" s="1312"/>
      <c r="K470" s="1312"/>
      <c r="L470" s="1312"/>
      <c r="M470" s="1312"/>
      <c r="N470" s="1312"/>
      <c r="O470" s="1312"/>
    </row>
    <row r="471" spans="1:15">
      <c r="B471" s="359"/>
      <c r="D471" s="360">
        <f>G425+1</f>
        <v>45231</v>
      </c>
      <c r="G471" s="360">
        <f>D471+29</f>
        <v>45260</v>
      </c>
      <c r="I471" s="360">
        <f>D471</f>
        <v>45231</v>
      </c>
      <c r="O471" s="360">
        <f>G471</f>
        <v>45260</v>
      </c>
    </row>
    <row r="472" spans="1:15">
      <c r="B472" s="359"/>
      <c r="D472" s="361" t="s">
        <v>1757</v>
      </c>
      <c r="G472" s="361" t="s">
        <v>1757</v>
      </c>
      <c r="I472" s="361" t="s">
        <v>1758</v>
      </c>
      <c r="J472" s="361" t="s">
        <v>488</v>
      </c>
      <c r="L472" s="361" t="s">
        <v>1758</v>
      </c>
      <c r="O472" s="361" t="s">
        <v>1758</v>
      </c>
    </row>
    <row r="473" spans="1:15">
      <c r="A473" s="361" t="s">
        <v>1770</v>
      </c>
      <c r="B473" s="361" t="s">
        <v>368</v>
      </c>
      <c r="C473" s="361"/>
      <c r="D473" s="361" t="s">
        <v>437</v>
      </c>
      <c r="G473" s="361" t="s">
        <v>439</v>
      </c>
      <c r="I473" s="361" t="s">
        <v>437</v>
      </c>
      <c r="J473" s="361" t="s">
        <v>1771</v>
      </c>
      <c r="K473" s="361" t="s">
        <v>1772</v>
      </c>
      <c r="L473" s="361" t="s">
        <v>1759</v>
      </c>
      <c r="N473" s="361" t="s">
        <v>1760</v>
      </c>
      <c r="O473" s="361" t="s">
        <v>439</v>
      </c>
    </row>
    <row r="474" spans="1:15">
      <c r="A474" s="364" t="s">
        <v>316</v>
      </c>
      <c r="B474" s="364" t="s">
        <v>316</v>
      </c>
      <c r="C474" s="364" t="s">
        <v>451</v>
      </c>
      <c r="D474" s="364" t="s">
        <v>441</v>
      </c>
      <c r="E474" s="364" t="s">
        <v>442</v>
      </c>
      <c r="F474" s="364" t="s">
        <v>443</v>
      </c>
      <c r="G474" s="364" t="s">
        <v>441</v>
      </c>
      <c r="I474" s="364" t="s">
        <v>441</v>
      </c>
      <c r="J474" s="364" t="s">
        <v>1773</v>
      </c>
      <c r="K474" s="364" t="s">
        <v>1771</v>
      </c>
      <c r="L474" s="364" t="s">
        <v>355</v>
      </c>
      <c r="M474" s="364" t="s">
        <v>443</v>
      </c>
      <c r="N474" s="364" t="s">
        <v>1763</v>
      </c>
      <c r="O474" s="364" t="s">
        <v>441</v>
      </c>
    </row>
    <row r="475" spans="1:15">
      <c r="B475" s="359"/>
      <c r="D475" s="361" t="s">
        <v>532</v>
      </c>
      <c r="E475" s="361" t="s">
        <v>541</v>
      </c>
      <c r="F475" s="361" t="s">
        <v>542</v>
      </c>
      <c r="G475" s="361" t="s">
        <v>1764</v>
      </c>
      <c r="I475" s="334" t="str">
        <f>"(5)"</f>
        <v>(5)</v>
      </c>
      <c r="J475" s="334" t="str">
        <f>"(6)"</f>
        <v>(6)</v>
      </c>
      <c r="K475" s="334" t="str">
        <f>"(7)"</f>
        <v>(7)</v>
      </c>
      <c r="L475" s="334" t="str">
        <f>"(8)"</f>
        <v>(8)</v>
      </c>
      <c r="M475" s="334" t="str">
        <f>"(9)"</f>
        <v>(9)</v>
      </c>
      <c r="N475" s="334" t="str">
        <f>"(10)"</f>
        <v>(10)</v>
      </c>
      <c r="O475" s="334" t="str">
        <f>"(11=5+7+8+9+10)"</f>
        <v>(11=5+7+8+9+10)</v>
      </c>
    </row>
    <row r="476" spans="1:15">
      <c r="B476" s="359"/>
      <c r="D476" s="361" t="s">
        <v>320</v>
      </c>
      <c r="E476" s="361" t="s">
        <v>320</v>
      </c>
      <c r="F476" s="361" t="s">
        <v>320</v>
      </c>
      <c r="G476" s="361" t="s">
        <v>320</v>
      </c>
      <c r="I476" s="334" t="s">
        <v>320</v>
      </c>
      <c r="J476" s="1250" t="s">
        <v>529</v>
      </c>
      <c r="K476" s="334" t="s">
        <v>320</v>
      </c>
      <c r="L476" s="334" t="s">
        <v>320</v>
      </c>
      <c r="M476" s="334" t="s">
        <v>320</v>
      </c>
      <c r="N476" s="334" t="s">
        <v>320</v>
      </c>
      <c r="O476" s="334" t="s">
        <v>320</v>
      </c>
    </row>
    <row r="477" spans="1:15">
      <c r="B477" s="359"/>
      <c r="D477" s="361"/>
      <c r="E477" s="361"/>
      <c r="F477" s="361"/>
      <c r="G477" s="361"/>
      <c r="I477" s="334"/>
      <c r="J477" s="334"/>
      <c r="K477" s="334"/>
      <c r="L477" s="334"/>
      <c r="M477" s="334"/>
      <c r="N477" s="334"/>
      <c r="O477" s="334"/>
    </row>
    <row r="478" spans="1:15">
      <c r="A478" s="361">
        <v>1</v>
      </c>
      <c r="B478" s="365">
        <v>376</v>
      </c>
      <c r="C478" s="358" t="s">
        <v>1775</v>
      </c>
      <c r="D478" s="369">
        <f>G432</f>
        <v>23020898.82</v>
      </c>
      <c r="E478" s="369">
        <v>3498689.6999999997</v>
      </c>
      <c r="F478" s="369">
        <v>0</v>
      </c>
      <c r="G478" s="369">
        <f>SUM(D478:F478)</f>
        <v>26519588.52</v>
      </c>
      <c r="H478" s="369"/>
      <c r="I478" s="369">
        <f>O432</f>
        <v>-69411.588999999993</v>
      </c>
      <c r="J478" s="369"/>
      <c r="K478" s="369">
        <v>35916.550000000003</v>
      </c>
      <c r="L478" s="369">
        <v>0</v>
      </c>
      <c r="M478" s="369">
        <f>F478</f>
        <v>0</v>
      </c>
      <c r="N478" s="369">
        <v>0</v>
      </c>
      <c r="O478" s="369">
        <f>I478+K478+L478+M478+N478</f>
        <v>-33495.03899999999</v>
      </c>
    </row>
    <row r="479" spans="1:15">
      <c r="A479" s="361">
        <f>A478+1</f>
        <v>2</v>
      </c>
      <c r="B479" s="365">
        <v>378.2</v>
      </c>
      <c r="C479" s="358" t="s">
        <v>1776</v>
      </c>
      <c r="D479" s="369">
        <f>G433</f>
        <v>-347783.44000000006</v>
      </c>
      <c r="E479" s="369">
        <v>0</v>
      </c>
      <c r="F479" s="369">
        <v>-507.39</v>
      </c>
      <c r="G479" s="369">
        <f>SUM(D479:F479)</f>
        <v>-348290.83000000007</v>
      </c>
      <c r="H479" s="369"/>
      <c r="I479" s="369">
        <f>O433</f>
        <v>-390914.50199999992</v>
      </c>
      <c r="J479" s="369"/>
      <c r="K479" s="369">
        <v>-730.53300000000002</v>
      </c>
      <c r="L479" s="369">
        <v>0</v>
      </c>
      <c r="M479" s="369">
        <f>F479</f>
        <v>-507.39</v>
      </c>
      <c r="N479" s="369">
        <v>-945.06</v>
      </c>
      <c r="O479" s="369">
        <f>I479+K479+L479+M479+N479</f>
        <v>-393097.48499999993</v>
      </c>
    </row>
    <row r="480" spans="1:15">
      <c r="A480" s="361">
        <f>A479+1</f>
        <v>3</v>
      </c>
      <c r="B480" s="365">
        <v>380</v>
      </c>
      <c r="C480" s="358" t="s">
        <v>1777</v>
      </c>
      <c r="D480" s="369">
        <f>G434</f>
        <v>8966170.6332729179</v>
      </c>
      <c r="E480" s="369">
        <v>861761.95000000007</v>
      </c>
      <c r="F480" s="369">
        <v>-274398.30615260021</v>
      </c>
      <c r="G480" s="369">
        <f>SUM(D480:F480)</f>
        <v>9553534.2771203164</v>
      </c>
      <c r="H480" s="369"/>
      <c r="I480" s="369">
        <f>O434</f>
        <v>-3806247.0625810828</v>
      </c>
      <c r="J480" s="369"/>
      <c r="K480" s="369">
        <v>30712.044999999998</v>
      </c>
      <c r="L480" s="369">
        <v>0</v>
      </c>
      <c r="M480" s="369">
        <f>F480</f>
        <v>-274398.30615260021</v>
      </c>
      <c r="N480" s="369">
        <v>-176170.76146000001</v>
      </c>
      <c r="O480" s="369">
        <f>I480+K480+L480+M480+N480</f>
        <v>-4226104.0851936834</v>
      </c>
    </row>
    <row r="481" spans="1:15">
      <c r="A481" s="361">
        <f>A480+1</f>
        <v>4</v>
      </c>
      <c r="B481" s="365">
        <v>382</v>
      </c>
      <c r="C481" s="358" t="s">
        <v>1778</v>
      </c>
      <c r="D481" s="369">
        <f>G435</f>
        <v>19890.55</v>
      </c>
      <c r="E481" s="369">
        <v>14238.460000000001</v>
      </c>
      <c r="F481" s="369">
        <v>-3639.67</v>
      </c>
      <c r="G481" s="369">
        <f>SUM(D481:F481)</f>
        <v>30489.340000000004</v>
      </c>
      <c r="H481" s="369"/>
      <c r="I481" s="369">
        <f>O435</f>
        <v>-40903.60100000001</v>
      </c>
      <c r="J481" s="369"/>
      <c r="K481" s="369">
        <v>36.817</v>
      </c>
      <c r="L481" s="369">
        <v>0</v>
      </c>
      <c r="M481" s="369">
        <f>F481</f>
        <v>-3639.67</v>
      </c>
      <c r="N481" s="369">
        <v>0</v>
      </c>
      <c r="O481" s="369">
        <f>I481+K481+L481+M481+N481</f>
        <v>-44506.454000000005</v>
      </c>
    </row>
    <row r="482" spans="1:15">
      <c r="A482" s="361">
        <f>A481+1</f>
        <v>5</v>
      </c>
      <c r="B482" s="365">
        <v>383</v>
      </c>
      <c r="C482" s="358" t="s">
        <v>1779</v>
      </c>
      <c r="D482" s="923">
        <f>G436</f>
        <v>-5701.59</v>
      </c>
      <c r="E482" s="923">
        <v>0</v>
      </c>
      <c r="F482" s="923">
        <v>-632.7299999999999</v>
      </c>
      <c r="G482" s="923">
        <f>SUM(D482:F482)</f>
        <v>-6334.32</v>
      </c>
      <c r="H482" s="369"/>
      <c r="I482" s="923">
        <f>O436</f>
        <v>-5735.1989999999996</v>
      </c>
      <c r="J482" s="369"/>
      <c r="K482" s="923">
        <v>-9.5109999999999992</v>
      </c>
      <c r="L482" s="923">
        <v>0</v>
      </c>
      <c r="M482" s="923">
        <f>F482</f>
        <v>-632.7299999999999</v>
      </c>
      <c r="N482" s="923">
        <v>0</v>
      </c>
      <c r="O482" s="923">
        <f>I482+K482+L482+M482+N482</f>
        <v>-6377.44</v>
      </c>
    </row>
    <row r="483" spans="1:15">
      <c r="A483" s="361">
        <f>A482+1</f>
        <v>6</v>
      </c>
      <c r="C483" s="358" t="s">
        <v>3077</v>
      </c>
      <c r="D483" s="369">
        <f>SUM(D478:D482)</f>
        <v>31653474.97327292</v>
      </c>
      <c r="E483" s="369">
        <f>SUM(E478:E482)</f>
        <v>4374690.1099999994</v>
      </c>
      <c r="F483" s="369">
        <f>SUM(F478:F482)</f>
        <v>-279178.09615260019</v>
      </c>
      <c r="G483" s="369">
        <f>SUM(G478:G482)</f>
        <v>35748986.987120315</v>
      </c>
      <c r="H483" s="369"/>
      <c r="I483" s="369">
        <f>SUM(I478:I482)</f>
        <v>-4313211.9535810826</v>
      </c>
      <c r="J483" s="369"/>
      <c r="K483" s="369">
        <f>SUM(K478:K482)</f>
        <v>65925.368000000002</v>
      </c>
      <c r="L483" s="369">
        <f t="shared" ref="L483" si="10">SUM(L478:L482)</f>
        <v>0</v>
      </c>
      <c r="M483" s="369">
        <f>SUM(M478:M482)</f>
        <v>-279178.09615260019</v>
      </c>
      <c r="N483" s="369">
        <f>SUM(N478:N482)</f>
        <v>-177115.82146000001</v>
      </c>
      <c r="O483" s="369">
        <f>SUM(O478:O482)</f>
        <v>-4703580.5031936839</v>
      </c>
    </row>
    <row r="484" spans="1:15">
      <c r="A484" s="361"/>
      <c r="D484" s="369"/>
      <c r="E484" s="369"/>
      <c r="F484" s="369"/>
      <c r="G484" s="369"/>
      <c r="H484" s="369"/>
      <c r="I484" s="369"/>
      <c r="J484" s="369"/>
      <c r="K484" s="369"/>
      <c r="L484" s="369"/>
      <c r="M484" s="369"/>
      <c r="N484" s="369"/>
      <c r="O484" s="369"/>
    </row>
    <row r="485" spans="1:15">
      <c r="A485" s="361"/>
      <c r="D485" s="369"/>
      <c r="E485" s="369"/>
      <c r="F485" s="369"/>
      <c r="G485" s="369"/>
      <c r="H485" s="369"/>
      <c r="I485" s="369"/>
      <c r="J485" s="369"/>
      <c r="K485" s="369"/>
      <c r="L485" s="369"/>
      <c r="M485" s="369"/>
      <c r="N485" s="369"/>
      <c r="O485" s="369"/>
    </row>
    <row r="486" spans="1:15">
      <c r="A486" s="361">
        <f>A483+1</f>
        <v>7</v>
      </c>
      <c r="B486" s="365">
        <v>376</v>
      </c>
      <c r="C486" s="358" t="s">
        <v>1775</v>
      </c>
      <c r="D486" s="369">
        <f>D478</f>
        <v>23020898.82</v>
      </c>
      <c r="E486" s="369">
        <f>E478</f>
        <v>3498689.6999999997</v>
      </c>
      <c r="F486" s="369">
        <f>F478</f>
        <v>0</v>
      </c>
      <c r="G486" s="369">
        <f>SUM(D486:F486)</f>
        <v>26519588.52</v>
      </c>
      <c r="H486" s="369"/>
      <c r="I486" s="369">
        <f>I478</f>
        <v>-69411.588999999993</v>
      </c>
      <c r="J486" s="369"/>
      <c r="K486" s="369">
        <f>K478</f>
        <v>35916.550000000003</v>
      </c>
      <c r="L486" s="369">
        <v>0</v>
      </c>
      <c r="M486" s="369">
        <f>M478</f>
        <v>0</v>
      </c>
      <c r="N486" s="369">
        <f>N478</f>
        <v>0</v>
      </c>
      <c r="O486" s="369">
        <f>I486+K486+L486+M486+N486</f>
        <v>-33495.03899999999</v>
      </c>
    </row>
    <row r="487" spans="1:15">
      <c r="A487" s="361">
        <f>A486+1</f>
        <v>8</v>
      </c>
      <c r="B487" s="365">
        <v>376</v>
      </c>
      <c r="C487" s="358" t="s">
        <v>1621</v>
      </c>
      <c r="D487" s="923">
        <f>D488-D486</f>
        <v>408989043.14999998</v>
      </c>
      <c r="E487" s="923">
        <f>E488-E486</f>
        <v>1324398.5500000003</v>
      </c>
      <c r="F487" s="923">
        <f>F488-F486</f>
        <v>-163335.63</v>
      </c>
      <c r="G487" s="923">
        <f>SUM(D487:F487)</f>
        <v>410150106.06999999</v>
      </c>
      <c r="H487" s="369"/>
      <c r="I487" s="923">
        <f>I488-I486</f>
        <v>79320948.729000017</v>
      </c>
      <c r="J487" s="369"/>
      <c r="K487" s="923">
        <f>K488-K486</f>
        <v>590256.64999999991</v>
      </c>
      <c r="L487" s="923">
        <v>0</v>
      </c>
      <c r="M487" s="923">
        <f>M488-M486</f>
        <v>-163335.63</v>
      </c>
      <c r="N487" s="923">
        <f>N488-N486</f>
        <v>-10097.24</v>
      </c>
      <c r="O487" s="923">
        <f>I487+K487+L487+M487+N487</f>
        <v>79737772.509000033</v>
      </c>
    </row>
    <row r="488" spans="1:15">
      <c r="A488" s="361">
        <f>A487+1</f>
        <v>9</v>
      </c>
      <c r="B488" s="365">
        <v>376</v>
      </c>
      <c r="C488" s="358" t="s">
        <v>3078</v>
      </c>
      <c r="D488" s="369">
        <f>G442</f>
        <v>432009941.96999997</v>
      </c>
      <c r="E488" s="369">
        <v>4823088.25</v>
      </c>
      <c r="F488" s="369">
        <v>-163335.63</v>
      </c>
      <c r="G488" s="369">
        <f>SUM(G486:G487)</f>
        <v>436669694.58999997</v>
      </c>
      <c r="H488" s="369"/>
      <c r="I488" s="369">
        <f>O442</f>
        <v>79251537.140000015</v>
      </c>
      <c r="J488" s="369"/>
      <c r="K488" s="369">
        <v>626173.19999999995</v>
      </c>
      <c r="L488" s="369">
        <f>SUM(L486:L487)</f>
        <v>0</v>
      </c>
      <c r="M488" s="369">
        <v>-163335.63</v>
      </c>
      <c r="N488" s="369">
        <v>-10097.24</v>
      </c>
      <c r="O488" s="369">
        <f>SUM(O486:O487)</f>
        <v>79704277.470000029</v>
      </c>
    </row>
    <row r="489" spans="1:15">
      <c r="A489" s="361"/>
      <c r="B489" s="365"/>
      <c r="D489" s="369"/>
      <c r="E489" s="369"/>
      <c r="F489" s="369"/>
      <c r="G489" s="369"/>
      <c r="H489" s="369"/>
      <c r="I489" s="369"/>
      <c r="J489" s="369"/>
      <c r="K489" s="369"/>
      <c r="L489" s="369"/>
      <c r="M489" s="369"/>
      <c r="N489" s="369"/>
      <c r="O489" s="369"/>
    </row>
    <row r="490" spans="1:15">
      <c r="A490" s="361">
        <f>A488+1</f>
        <v>10</v>
      </c>
      <c r="B490" s="365">
        <v>378.2</v>
      </c>
      <c r="C490" s="358" t="s">
        <v>1776</v>
      </c>
      <c r="D490" s="369">
        <f>D479</f>
        <v>-347783.44000000006</v>
      </c>
      <c r="E490" s="369">
        <f>E479</f>
        <v>0</v>
      </c>
      <c r="F490" s="369">
        <f>F479</f>
        <v>-507.39</v>
      </c>
      <c r="G490" s="369">
        <f>SUM(D490:F490)</f>
        <v>-348290.83000000007</v>
      </c>
      <c r="H490" s="369"/>
      <c r="I490" s="369">
        <f>I479</f>
        <v>-390914.50199999992</v>
      </c>
      <c r="J490" s="369"/>
      <c r="K490" s="369">
        <f>K479</f>
        <v>-730.53300000000002</v>
      </c>
      <c r="L490" s="369">
        <v>0</v>
      </c>
      <c r="M490" s="369">
        <f>M479</f>
        <v>-507.39</v>
      </c>
      <c r="N490" s="369">
        <f>N479</f>
        <v>-945.06</v>
      </c>
      <c r="O490" s="369">
        <f>I490+K490+L490+M490+N490</f>
        <v>-393097.48499999993</v>
      </c>
    </row>
    <row r="491" spans="1:15">
      <c r="A491" s="361">
        <f>A490+1</f>
        <v>11</v>
      </c>
      <c r="B491" s="365">
        <v>378.2</v>
      </c>
      <c r="C491" s="358" t="s">
        <v>1622</v>
      </c>
      <c r="D491" s="923">
        <f>D492-D490</f>
        <v>25364240.560000002</v>
      </c>
      <c r="E491" s="923">
        <f>E492-E490</f>
        <v>4058.4799999999814</v>
      </c>
      <c r="F491" s="923">
        <f>F492-F490</f>
        <v>-26391.760000000002</v>
      </c>
      <c r="G491" s="923">
        <f>SUM(D491:F491)</f>
        <v>25341907.280000001</v>
      </c>
      <c r="H491" s="369"/>
      <c r="I491" s="923">
        <f>I492-I490</f>
        <v>3304536.5820000004</v>
      </c>
      <c r="J491" s="369"/>
      <c r="K491" s="923">
        <f>K492-K490</f>
        <v>53398.203000000001</v>
      </c>
      <c r="L491" s="923">
        <v>0</v>
      </c>
      <c r="M491" s="923">
        <f>M492-M490</f>
        <v>-26391.760000000002</v>
      </c>
      <c r="N491" s="923">
        <f>N492-N490</f>
        <v>0</v>
      </c>
      <c r="O491" s="923">
        <f>I491+K491+L491+M491+N491</f>
        <v>3331543.0250000008</v>
      </c>
    </row>
    <row r="492" spans="1:15">
      <c r="A492" s="361">
        <f>A491+1</f>
        <v>12</v>
      </c>
      <c r="B492" s="365">
        <v>378.2</v>
      </c>
      <c r="C492" s="358" t="s">
        <v>3079</v>
      </c>
      <c r="D492" s="369">
        <f>G446</f>
        <v>25016457.120000001</v>
      </c>
      <c r="E492" s="369">
        <v>4058.4799999999814</v>
      </c>
      <c r="F492" s="369">
        <v>-26899.15</v>
      </c>
      <c r="G492" s="369">
        <f>SUM(G490:G491)</f>
        <v>24993616.450000003</v>
      </c>
      <c r="H492" s="369"/>
      <c r="I492" s="369">
        <f>O446</f>
        <v>2913622.0800000005</v>
      </c>
      <c r="J492" s="369"/>
      <c r="K492" s="369">
        <v>52667.67</v>
      </c>
      <c r="L492" s="369">
        <f>SUM(L490:L491)</f>
        <v>0</v>
      </c>
      <c r="M492" s="369">
        <v>-26899.15</v>
      </c>
      <c r="N492" s="369">
        <v>-945.06000000000006</v>
      </c>
      <c r="O492" s="369">
        <f>SUM(O490:O491)</f>
        <v>2938445.540000001</v>
      </c>
    </row>
    <row r="493" spans="1:15">
      <c r="A493" s="361"/>
      <c r="B493" s="365"/>
      <c r="D493" s="369"/>
      <c r="E493" s="369"/>
      <c r="F493" s="369"/>
      <c r="G493" s="369"/>
      <c r="H493" s="369"/>
      <c r="I493" s="369"/>
      <c r="J493" s="369"/>
      <c r="K493" s="369"/>
      <c r="L493" s="369"/>
      <c r="M493" s="369"/>
      <c r="N493" s="369"/>
      <c r="O493" s="369"/>
    </row>
    <row r="494" spans="1:15">
      <c r="A494" s="361">
        <f>A492+1</f>
        <v>13</v>
      </c>
      <c r="B494" s="365">
        <v>380</v>
      </c>
      <c r="C494" s="358" t="s">
        <v>1777</v>
      </c>
      <c r="D494" s="369">
        <f>D480</f>
        <v>8966170.6332729179</v>
      </c>
      <c r="E494" s="369">
        <f>E480</f>
        <v>861761.95000000007</v>
      </c>
      <c r="F494" s="369">
        <f>F480</f>
        <v>-274398.30615260021</v>
      </c>
      <c r="G494" s="369">
        <f>SUM(D494:F494)</f>
        <v>9553534.2771203164</v>
      </c>
      <c r="H494" s="369"/>
      <c r="I494" s="369">
        <f>I480</f>
        <v>-3806247.0625810828</v>
      </c>
      <c r="J494" s="369"/>
      <c r="K494" s="369">
        <f>K480</f>
        <v>30712.044999999998</v>
      </c>
      <c r="L494" s="369">
        <v>0</v>
      </c>
      <c r="M494" s="369">
        <f>M480</f>
        <v>-274398.30615260021</v>
      </c>
      <c r="N494" s="369">
        <f>N480</f>
        <v>-176170.76146000001</v>
      </c>
      <c r="O494" s="369">
        <f>I494+K494+L494+M494+N494</f>
        <v>-4226104.0851936834</v>
      </c>
    </row>
    <row r="495" spans="1:15">
      <c r="A495" s="361">
        <f>A494+1</f>
        <v>14</v>
      </c>
      <c r="B495" s="365">
        <v>380</v>
      </c>
      <c r="C495" s="358" t="s">
        <v>1623</v>
      </c>
      <c r="D495" s="923">
        <f>D496-D494</f>
        <v>200145802.17672706</v>
      </c>
      <c r="E495" s="923">
        <f>E496-E494</f>
        <v>821847.73999999987</v>
      </c>
      <c r="F495" s="923">
        <f>F496-F494</f>
        <v>-54576.463847399806</v>
      </c>
      <c r="G495" s="923">
        <f>SUM(D495:F495)</f>
        <v>200913073.45287967</v>
      </c>
      <c r="H495" s="369"/>
      <c r="I495" s="923">
        <f>I496-I494</f>
        <v>58022488.582581088</v>
      </c>
      <c r="J495" s="369"/>
      <c r="K495" s="923">
        <f>K496-K494</f>
        <v>677974.76500000001</v>
      </c>
      <c r="L495" s="923">
        <v>0</v>
      </c>
      <c r="M495" s="923">
        <f>M496-M494</f>
        <v>-54576.463847399806</v>
      </c>
      <c r="N495" s="923">
        <f>N496-N494</f>
        <v>-35039.838539999997</v>
      </c>
      <c r="O495" s="923">
        <f>I495+K495+L495+M495+N495</f>
        <v>58610847.045193687</v>
      </c>
    </row>
    <row r="496" spans="1:15">
      <c r="A496" s="361">
        <f>A495+1</f>
        <v>15</v>
      </c>
      <c r="B496" s="365">
        <v>380</v>
      </c>
      <c r="C496" s="358" t="s">
        <v>3080</v>
      </c>
      <c r="D496" s="369">
        <f>G450</f>
        <v>209111972.80999997</v>
      </c>
      <c r="E496" s="369">
        <v>1683609.69</v>
      </c>
      <c r="F496" s="369">
        <v>-328974.77</v>
      </c>
      <c r="G496" s="369">
        <f>SUM(G494:G495)</f>
        <v>210466607.72999999</v>
      </c>
      <c r="H496" s="369"/>
      <c r="I496" s="369">
        <f>O450</f>
        <v>54216241.520000003</v>
      </c>
      <c r="J496" s="369"/>
      <c r="K496" s="369">
        <v>708686.81</v>
      </c>
      <c r="L496" s="369">
        <f>SUM(L494:L495)</f>
        <v>0</v>
      </c>
      <c r="M496" s="369">
        <v>-328974.77</v>
      </c>
      <c r="N496" s="369">
        <v>-211210.6</v>
      </c>
      <c r="O496" s="369">
        <f>SUM(O494:O495)</f>
        <v>54384742.960000001</v>
      </c>
    </row>
    <row r="497" spans="1:15">
      <c r="A497" s="361"/>
      <c r="B497" s="365"/>
      <c r="D497" s="369"/>
      <c r="E497" s="369"/>
      <c r="F497" s="369"/>
      <c r="G497" s="369"/>
      <c r="H497" s="369"/>
      <c r="I497" s="369"/>
      <c r="J497" s="369"/>
      <c r="K497" s="369"/>
      <c r="L497" s="369"/>
      <c r="M497" s="369"/>
      <c r="N497" s="369"/>
      <c r="O497" s="369"/>
    </row>
    <row r="498" spans="1:15">
      <c r="A498" s="361">
        <f>A496+1</f>
        <v>16</v>
      </c>
      <c r="B498" s="365">
        <v>382</v>
      </c>
      <c r="C498" s="358" t="s">
        <v>1778</v>
      </c>
      <c r="D498" s="369">
        <f>D481</f>
        <v>19890.55</v>
      </c>
      <c r="E498" s="369">
        <f>E481</f>
        <v>14238.460000000001</v>
      </c>
      <c r="F498" s="369">
        <f>F481</f>
        <v>-3639.67</v>
      </c>
      <c r="G498" s="369">
        <f>SUM(D498:F498)</f>
        <v>30489.340000000004</v>
      </c>
      <c r="H498" s="369"/>
      <c r="I498" s="369">
        <f>I481</f>
        <v>-40903.60100000001</v>
      </c>
      <c r="J498" s="369"/>
      <c r="K498" s="369">
        <f>K481</f>
        <v>36.817</v>
      </c>
      <c r="L498" s="369">
        <v>0</v>
      </c>
      <c r="M498" s="369">
        <f>M481</f>
        <v>-3639.67</v>
      </c>
      <c r="N498" s="369">
        <f>N481</f>
        <v>0</v>
      </c>
      <c r="O498" s="369">
        <f>I498+K498+L498+M498+N498</f>
        <v>-44506.454000000005</v>
      </c>
    </row>
    <row r="499" spans="1:15">
      <c r="A499" s="361">
        <f>A498+1</f>
        <v>17</v>
      </c>
      <c r="B499" s="365">
        <v>382</v>
      </c>
      <c r="C499" s="358" t="s">
        <v>1624</v>
      </c>
      <c r="D499" s="923">
        <f>D500-D498</f>
        <v>10393363.639999999</v>
      </c>
      <c r="E499" s="923">
        <f>E500-E498</f>
        <v>75213.72</v>
      </c>
      <c r="F499" s="923">
        <f>F500-F498</f>
        <v>0</v>
      </c>
      <c r="G499" s="923">
        <f>SUM(D499:F499)</f>
        <v>10468577.359999999</v>
      </c>
      <c r="H499" s="369"/>
      <c r="I499" s="923">
        <f>I500-I498</f>
        <v>5811664.5110000018</v>
      </c>
      <c r="J499" s="369"/>
      <c r="K499" s="923">
        <f>K500-K498</f>
        <v>15386.023000000001</v>
      </c>
      <c r="L499" s="923">
        <v>0</v>
      </c>
      <c r="M499" s="923">
        <f>M500-M498</f>
        <v>0</v>
      </c>
      <c r="N499" s="923">
        <f>N500-N498</f>
        <v>0</v>
      </c>
      <c r="O499" s="923">
        <f>I499+K499+L499+M499+N499</f>
        <v>5827050.5340000018</v>
      </c>
    </row>
    <row r="500" spans="1:15">
      <c r="A500" s="361">
        <f>A499+1</f>
        <v>18</v>
      </c>
      <c r="B500" s="365">
        <v>382</v>
      </c>
      <c r="C500" s="358" t="s">
        <v>3081</v>
      </c>
      <c r="D500" s="369">
        <f>G454</f>
        <v>10413254.189999999</v>
      </c>
      <c r="E500" s="369">
        <v>89452.180000000008</v>
      </c>
      <c r="F500" s="369">
        <v>-3639.67</v>
      </c>
      <c r="G500" s="369">
        <f>SUM(G498:G499)</f>
        <v>10499066.699999999</v>
      </c>
      <c r="H500" s="369"/>
      <c r="I500" s="369">
        <f>O454</f>
        <v>5770760.910000002</v>
      </c>
      <c r="J500" s="369"/>
      <c r="K500" s="369">
        <v>15422.84</v>
      </c>
      <c r="L500" s="369">
        <f>SUM(L498:L499)</f>
        <v>0</v>
      </c>
      <c r="M500" s="369">
        <v>-3639.67</v>
      </c>
      <c r="N500" s="369">
        <v>0</v>
      </c>
      <c r="O500" s="369">
        <f>SUM(O498:O499)</f>
        <v>5782544.0800000019</v>
      </c>
    </row>
    <row r="501" spans="1:15">
      <c r="A501" s="361"/>
      <c r="B501" s="365"/>
      <c r="D501" s="369"/>
      <c r="E501" s="369"/>
      <c r="F501" s="369"/>
      <c r="G501" s="369"/>
      <c r="H501" s="369"/>
      <c r="I501" s="369"/>
      <c r="J501" s="369"/>
      <c r="K501" s="369"/>
      <c r="L501" s="369"/>
      <c r="M501" s="369"/>
      <c r="N501" s="369"/>
      <c r="O501" s="369"/>
    </row>
    <row r="502" spans="1:15">
      <c r="A502" s="361">
        <f>A500+1</f>
        <v>19</v>
      </c>
      <c r="B502" s="365">
        <v>383</v>
      </c>
      <c r="C502" s="358" t="s">
        <v>1779</v>
      </c>
      <c r="D502" s="369">
        <f>D482</f>
        <v>-5701.59</v>
      </c>
      <c r="E502" s="369">
        <f>E482</f>
        <v>0</v>
      </c>
      <c r="F502" s="369">
        <f>F482</f>
        <v>-632.7299999999999</v>
      </c>
      <c r="G502" s="369">
        <f>SUM(D502:F502)</f>
        <v>-6334.32</v>
      </c>
      <c r="H502" s="369"/>
      <c r="I502" s="369">
        <f>I482</f>
        <v>-5735.1989999999996</v>
      </c>
      <c r="J502" s="369"/>
      <c r="K502" s="369">
        <f>K482</f>
        <v>-9.5109999999999992</v>
      </c>
      <c r="L502" s="369">
        <v>0</v>
      </c>
      <c r="M502" s="369">
        <f>M482</f>
        <v>-632.7299999999999</v>
      </c>
      <c r="N502" s="369">
        <f>N482</f>
        <v>0</v>
      </c>
      <c r="O502" s="369">
        <f>I502+K502+L502+M502+N502</f>
        <v>-6377.44</v>
      </c>
    </row>
    <row r="503" spans="1:15">
      <c r="A503" s="361">
        <f>A502+1</f>
        <v>20</v>
      </c>
      <c r="B503" s="365">
        <v>383</v>
      </c>
      <c r="C503" s="358" t="s">
        <v>1625</v>
      </c>
      <c r="D503" s="923">
        <f>D504-D502</f>
        <v>7279256.3799999999</v>
      </c>
      <c r="E503" s="923">
        <f>E504-E502</f>
        <v>28844.350000000002</v>
      </c>
      <c r="F503" s="923">
        <f>F504-F502</f>
        <v>0</v>
      </c>
      <c r="G503" s="923">
        <f>SUM(D503:F503)</f>
        <v>7308100.7299999995</v>
      </c>
      <c r="H503" s="369"/>
      <c r="I503" s="923">
        <f>I504-I502</f>
        <v>2462823.969</v>
      </c>
      <c r="J503" s="369"/>
      <c r="K503" s="923">
        <f>K504-K502</f>
        <v>11791.221000000001</v>
      </c>
      <c r="L503" s="923">
        <v>0</v>
      </c>
      <c r="M503" s="923">
        <f>M504-M502</f>
        <v>0</v>
      </c>
      <c r="N503" s="923">
        <f>N504-N502</f>
        <v>0</v>
      </c>
      <c r="O503" s="923">
        <f>I503+K503+L503+M503+N503</f>
        <v>2474615.19</v>
      </c>
    </row>
    <row r="504" spans="1:15">
      <c r="A504" s="361">
        <f>A503+1</f>
        <v>21</v>
      </c>
      <c r="B504" s="365">
        <v>383</v>
      </c>
      <c r="C504" s="358" t="s">
        <v>3082</v>
      </c>
      <c r="D504" s="369">
        <f>G458</f>
        <v>7273554.79</v>
      </c>
      <c r="E504" s="369">
        <v>28844.350000000002</v>
      </c>
      <c r="F504" s="369">
        <v>-632.73</v>
      </c>
      <c r="G504" s="369">
        <f>SUM(G502:G503)</f>
        <v>7301766.4099999992</v>
      </c>
      <c r="H504" s="369"/>
      <c r="I504" s="369">
        <f>O458</f>
        <v>2457088.77</v>
      </c>
      <c r="J504" s="369"/>
      <c r="K504" s="369">
        <v>11781.710000000001</v>
      </c>
      <c r="L504" s="369">
        <f>SUM(L502:L503)</f>
        <v>0</v>
      </c>
      <c r="M504" s="369">
        <v>-632.73</v>
      </c>
      <c r="N504" s="369">
        <v>0</v>
      </c>
      <c r="O504" s="369">
        <f>SUM(O502:O503)</f>
        <v>2468237.75</v>
      </c>
    </row>
    <row r="507" spans="1:15" s="291" customFormat="1">
      <c r="A507" s="1308" t="str">
        <f>$A$1</f>
        <v>COLUMBIA GAS OF KENTUCKY, INC.</v>
      </c>
      <c r="B507" s="1308"/>
      <c r="C507" s="1308"/>
      <c r="D507" s="1308"/>
      <c r="E507" s="1308"/>
      <c r="F507" s="1308"/>
      <c r="G507" s="1308"/>
      <c r="H507" s="1308"/>
      <c r="I507" s="1308"/>
      <c r="J507" s="1308"/>
      <c r="K507" s="1308"/>
      <c r="L507" s="1308"/>
      <c r="M507" s="1308"/>
      <c r="N507" s="1308"/>
      <c r="O507" s="1308"/>
    </row>
    <row r="508" spans="1:15" s="291" customFormat="1">
      <c r="A508" s="1308" t="str">
        <f>$A$2</f>
        <v>CASE NO. 2024 - 00092</v>
      </c>
      <c r="B508" s="1308"/>
      <c r="C508" s="1308"/>
      <c r="D508" s="1308"/>
      <c r="E508" s="1308"/>
      <c r="F508" s="1308"/>
      <c r="G508" s="1308"/>
      <c r="H508" s="1308"/>
      <c r="I508" s="1308"/>
      <c r="J508" s="1308"/>
      <c r="K508" s="1308"/>
      <c r="L508" s="1308"/>
      <c r="M508" s="1308"/>
      <c r="N508" s="1308"/>
      <c r="O508" s="1308"/>
    </row>
    <row r="509" spans="1:15" s="291" customFormat="1">
      <c r="A509" s="1308" t="str">
        <f>$A$3</f>
        <v>DETAIL OF ACTUAL &amp;  FORECASTED SMRP PLANT, ACCUMULATED RESERVE &amp; DEPRECIATION EXPENSE</v>
      </c>
      <c r="B509" s="1308"/>
      <c r="C509" s="1308"/>
      <c r="D509" s="1308"/>
      <c r="E509" s="1308"/>
      <c r="F509" s="1308"/>
      <c r="G509" s="1308"/>
      <c r="H509" s="1308"/>
      <c r="I509" s="1308"/>
      <c r="J509" s="1308"/>
      <c r="K509" s="1308"/>
      <c r="L509" s="1308"/>
      <c r="M509" s="1308"/>
      <c r="N509" s="1308"/>
      <c r="O509" s="1308"/>
    </row>
    <row r="510" spans="1:15" s="291" customFormat="1">
      <c r="A510" s="1308" t="str">
        <f>$A$4</f>
        <v>FROM JANUARY 01, 2023 THROUGH DECEMBER 31, 2025</v>
      </c>
      <c r="B510" s="1308"/>
      <c r="C510" s="1308"/>
      <c r="D510" s="1308"/>
      <c r="E510" s="1308"/>
      <c r="F510" s="1308"/>
      <c r="G510" s="1308"/>
      <c r="H510" s="1308"/>
      <c r="I510" s="1308"/>
      <c r="J510" s="1308"/>
      <c r="K510" s="1308"/>
      <c r="L510" s="1308"/>
      <c r="M510" s="1308"/>
      <c r="N510" s="1308"/>
      <c r="O510" s="1308"/>
    </row>
    <row r="511" spans="1:15" s="291" customFormat="1">
      <c r="B511" s="293"/>
    </row>
    <row r="512" spans="1:15" s="291" customFormat="1">
      <c r="A512" s="297" t="str">
        <f>'General Headers Index'!$B$34</f>
        <v xml:space="preserve">DATA: _X_ BASE PERIOD _X_ FORECASTED PERIOD     </v>
      </c>
      <c r="B512" s="293"/>
      <c r="O512" s="312" t="s">
        <v>2461</v>
      </c>
    </row>
    <row r="513" spans="1:15" s="291" customFormat="1">
      <c r="A513" s="297" t="str">
        <f>'General Headers Index'!$B$37</f>
        <v>TYPE OF FILING:___X___ORIGINAL______UPDATED</v>
      </c>
      <c r="B513" s="293"/>
      <c r="O513" s="312" t="s">
        <v>2234</v>
      </c>
    </row>
    <row r="514" spans="1:15" s="291" customFormat="1">
      <c r="A514" s="297" t="s">
        <v>2150</v>
      </c>
      <c r="B514" s="293"/>
      <c r="O514" s="312" t="str">
        <f>"WITNESS: "&amp;'General Headers Index'!$B$42</f>
        <v>WITNESS: GORE</v>
      </c>
    </row>
    <row r="515" spans="1:15">
      <c r="A515" s="918"/>
      <c r="B515" s="918"/>
      <c r="C515" s="918"/>
      <c r="D515" s="918"/>
      <c r="E515" s="918"/>
      <c r="F515" s="918"/>
      <c r="G515" s="918"/>
      <c r="H515" s="918"/>
      <c r="I515" s="918"/>
      <c r="J515" s="918"/>
      <c r="K515" s="918"/>
      <c r="L515" s="918"/>
      <c r="M515" s="918"/>
      <c r="N515" s="918"/>
      <c r="O515" s="918"/>
    </row>
    <row r="516" spans="1:15">
      <c r="B516" s="359"/>
      <c r="D516" s="1312" t="s">
        <v>1768</v>
      </c>
      <c r="E516" s="1312"/>
      <c r="F516" s="1312"/>
      <c r="G516" s="1312"/>
      <c r="I516" s="1312" t="s">
        <v>1769</v>
      </c>
      <c r="J516" s="1312"/>
      <c r="K516" s="1312"/>
      <c r="L516" s="1312"/>
      <c r="M516" s="1312"/>
      <c r="N516" s="1312"/>
      <c r="O516" s="1312"/>
    </row>
    <row r="517" spans="1:15">
      <c r="B517" s="359"/>
      <c r="D517" s="360">
        <f>G471+1</f>
        <v>45261</v>
      </c>
      <c r="G517" s="360">
        <f>D517+30</f>
        <v>45291</v>
      </c>
      <c r="I517" s="360">
        <f>D517</f>
        <v>45261</v>
      </c>
      <c r="O517" s="360">
        <f>G517</f>
        <v>45291</v>
      </c>
    </row>
    <row r="518" spans="1:15">
      <c r="B518" s="359"/>
      <c r="D518" s="361" t="s">
        <v>1757</v>
      </c>
      <c r="G518" s="361" t="s">
        <v>1757</v>
      </c>
      <c r="I518" s="361" t="s">
        <v>1758</v>
      </c>
      <c r="J518" s="361" t="s">
        <v>488</v>
      </c>
      <c r="L518" s="361" t="s">
        <v>1758</v>
      </c>
      <c r="O518" s="361" t="s">
        <v>1758</v>
      </c>
    </row>
    <row r="519" spans="1:15">
      <c r="A519" s="361" t="s">
        <v>1770</v>
      </c>
      <c r="B519" s="361" t="s">
        <v>368</v>
      </c>
      <c r="C519" s="361"/>
      <c r="D519" s="361" t="s">
        <v>437</v>
      </c>
      <c r="G519" s="361" t="s">
        <v>439</v>
      </c>
      <c r="I519" s="361" t="s">
        <v>437</v>
      </c>
      <c r="J519" s="361" t="s">
        <v>1771</v>
      </c>
      <c r="K519" s="361" t="s">
        <v>1772</v>
      </c>
      <c r="L519" s="361" t="s">
        <v>1759</v>
      </c>
      <c r="N519" s="361" t="s">
        <v>1760</v>
      </c>
      <c r="O519" s="361" t="s">
        <v>439</v>
      </c>
    </row>
    <row r="520" spans="1:15">
      <c r="A520" s="364" t="s">
        <v>316</v>
      </c>
      <c r="B520" s="364" t="s">
        <v>316</v>
      </c>
      <c r="C520" s="364" t="s">
        <v>451</v>
      </c>
      <c r="D520" s="364" t="s">
        <v>441</v>
      </c>
      <c r="E520" s="364" t="s">
        <v>442</v>
      </c>
      <c r="F520" s="364" t="s">
        <v>443</v>
      </c>
      <c r="G520" s="364" t="s">
        <v>441</v>
      </c>
      <c r="I520" s="364" t="s">
        <v>441</v>
      </c>
      <c r="J520" s="364" t="s">
        <v>1773</v>
      </c>
      <c r="K520" s="364" t="s">
        <v>1771</v>
      </c>
      <c r="L520" s="364" t="s">
        <v>355</v>
      </c>
      <c r="M520" s="364" t="s">
        <v>443</v>
      </c>
      <c r="N520" s="364" t="s">
        <v>1763</v>
      </c>
      <c r="O520" s="364" t="s">
        <v>441</v>
      </c>
    </row>
    <row r="521" spans="1:15">
      <c r="B521" s="359"/>
      <c r="D521" s="361" t="s">
        <v>532</v>
      </c>
      <c r="E521" s="361" t="s">
        <v>541</v>
      </c>
      <c r="F521" s="361" t="s">
        <v>542</v>
      </c>
      <c r="G521" s="361" t="s">
        <v>1764</v>
      </c>
      <c r="I521" s="334" t="str">
        <f>"(5)"</f>
        <v>(5)</v>
      </c>
      <c r="J521" s="334" t="str">
        <f>"(6)"</f>
        <v>(6)</v>
      </c>
      <c r="K521" s="334" t="str">
        <f>"(7)"</f>
        <v>(7)</v>
      </c>
      <c r="L521" s="334" t="str">
        <f>"(8)"</f>
        <v>(8)</v>
      </c>
      <c r="M521" s="334" t="str">
        <f>"(9)"</f>
        <v>(9)</v>
      </c>
      <c r="N521" s="334" t="str">
        <f>"(10)"</f>
        <v>(10)</v>
      </c>
      <c r="O521" s="334" t="str">
        <f>"(11=5+7+8+9+10)"</f>
        <v>(11=5+7+8+9+10)</v>
      </c>
    </row>
    <row r="522" spans="1:15">
      <c r="B522" s="359"/>
      <c r="D522" s="361" t="s">
        <v>320</v>
      </c>
      <c r="E522" s="361" t="s">
        <v>320</v>
      </c>
      <c r="F522" s="361" t="s">
        <v>320</v>
      </c>
      <c r="G522" s="361" t="s">
        <v>320</v>
      </c>
      <c r="I522" s="334" t="s">
        <v>320</v>
      </c>
      <c r="J522" s="1250" t="s">
        <v>529</v>
      </c>
      <c r="K522" s="334" t="s">
        <v>320</v>
      </c>
      <c r="L522" s="334" t="s">
        <v>320</v>
      </c>
      <c r="M522" s="334" t="s">
        <v>320</v>
      </c>
      <c r="N522" s="334" t="s">
        <v>320</v>
      </c>
      <c r="O522" s="334" t="s">
        <v>320</v>
      </c>
    </row>
    <row r="523" spans="1:15">
      <c r="B523" s="359"/>
      <c r="D523" s="361"/>
      <c r="E523" s="361"/>
      <c r="F523" s="361"/>
      <c r="G523" s="361"/>
      <c r="I523" s="334"/>
      <c r="J523" s="334"/>
      <c r="K523" s="334"/>
      <c r="L523" s="334"/>
      <c r="M523" s="334"/>
      <c r="N523" s="334"/>
      <c r="O523" s="334"/>
    </row>
    <row r="524" spans="1:15">
      <c r="A524" s="361">
        <v>1</v>
      </c>
      <c r="B524" s="365">
        <v>376</v>
      </c>
      <c r="C524" s="358" t="s">
        <v>1775</v>
      </c>
      <c r="D524" s="369">
        <f>G478</f>
        <v>26519588.52</v>
      </c>
      <c r="E524" s="369">
        <v>4263655.3099999996</v>
      </c>
      <c r="F524" s="369">
        <v>-94799.38</v>
      </c>
      <c r="G524" s="369">
        <f>SUM(D524:F524)</f>
        <v>30688444.449999999</v>
      </c>
      <c r="H524" s="369"/>
      <c r="I524" s="369">
        <f>O478</f>
        <v>-33495.03899999999</v>
      </c>
      <c r="J524" s="369"/>
      <c r="K524" s="369">
        <v>41475.421000000002</v>
      </c>
      <c r="L524" s="369">
        <v>0</v>
      </c>
      <c r="M524" s="369">
        <f>F524</f>
        <v>-94799.38</v>
      </c>
      <c r="N524" s="369">
        <v>0</v>
      </c>
      <c r="O524" s="369">
        <f>I524+K524+L524+M524+N524</f>
        <v>-86818.997999999992</v>
      </c>
    </row>
    <row r="525" spans="1:15">
      <c r="A525" s="361">
        <f>A524+1</f>
        <v>2</v>
      </c>
      <c r="B525" s="365">
        <v>378.2</v>
      </c>
      <c r="C525" s="358" t="s">
        <v>1776</v>
      </c>
      <c r="D525" s="369">
        <f>G479</f>
        <v>-348290.83000000007</v>
      </c>
      <c r="E525" s="369">
        <v>0</v>
      </c>
      <c r="F525" s="369">
        <v>-42121.18</v>
      </c>
      <c r="G525" s="369">
        <f>SUM(D525:F525)</f>
        <v>-390412.01000000007</v>
      </c>
      <c r="H525" s="369"/>
      <c r="I525" s="369">
        <f>O479</f>
        <v>-393097.48499999993</v>
      </c>
      <c r="J525" s="369"/>
      <c r="K525" s="369">
        <v>-775.22699999999998</v>
      </c>
      <c r="L525" s="369">
        <v>0</v>
      </c>
      <c r="M525" s="369">
        <f>F525</f>
        <v>-42121.18</v>
      </c>
      <c r="N525" s="369">
        <v>-12469.08</v>
      </c>
      <c r="O525" s="369">
        <f>I525+K525+L525+M525+N525</f>
        <v>-448462.97199999995</v>
      </c>
    </row>
    <row r="526" spans="1:15">
      <c r="A526" s="361">
        <f>A525+1</f>
        <v>3</v>
      </c>
      <c r="B526" s="365">
        <v>380</v>
      </c>
      <c r="C526" s="358" t="s">
        <v>1777</v>
      </c>
      <c r="D526" s="369">
        <f>G480</f>
        <v>9553534.2771203164</v>
      </c>
      <c r="E526" s="369">
        <v>782388.46</v>
      </c>
      <c r="F526" s="369">
        <v>-240285.08654995094</v>
      </c>
      <c r="G526" s="369">
        <f>SUM(D526:F526)</f>
        <v>10095637.650570365</v>
      </c>
      <c r="H526" s="369"/>
      <c r="I526" s="369">
        <f>O480</f>
        <v>-4226104.0851936834</v>
      </c>
      <c r="J526" s="369"/>
      <c r="K526" s="369">
        <v>32584.988000000001</v>
      </c>
      <c r="L526" s="369">
        <v>0</v>
      </c>
      <c r="M526" s="369">
        <f>F526</f>
        <v>-240285.08654995094</v>
      </c>
      <c r="N526" s="369">
        <v>-133360.562278</v>
      </c>
      <c r="O526" s="369">
        <f>I526+K526+L526+M526+N526</f>
        <v>-4567164.746021634</v>
      </c>
    </row>
    <row r="527" spans="1:15">
      <c r="A527" s="361">
        <f>A526+1</f>
        <v>4</v>
      </c>
      <c r="B527" s="365">
        <v>382</v>
      </c>
      <c r="C527" s="358" t="s">
        <v>1778</v>
      </c>
      <c r="D527" s="369">
        <f>G481</f>
        <v>30489.340000000004</v>
      </c>
      <c r="E527" s="369">
        <v>10554.1</v>
      </c>
      <c r="F527" s="369">
        <v>-3691.8300000000004</v>
      </c>
      <c r="G527" s="369">
        <f>SUM(D527:F527)</f>
        <v>37351.61</v>
      </c>
      <c r="H527" s="369"/>
      <c r="I527" s="369">
        <f>O481</f>
        <v>-44506.454000000005</v>
      </c>
      <c r="J527" s="369"/>
      <c r="K527" s="369">
        <v>50.061</v>
      </c>
      <c r="L527" s="369">
        <v>0</v>
      </c>
      <c r="M527" s="369">
        <f>F527</f>
        <v>-3691.8300000000004</v>
      </c>
      <c r="N527" s="369">
        <v>0</v>
      </c>
      <c r="O527" s="369">
        <f>I527+K527+L527+M527+N527</f>
        <v>-48148.223000000005</v>
      </c>
    </row>
    <row r="528" spans="1:15">
      <c r="A528" s="361">
        <f>A527+1</f>
        <v>5</v>
      </c>
      <c r="B528" s="365">
        <v>383</v>
      </c>
      <c r="C528" s="358" t="s">
        <v>1779</v>
      </c>
      <c r="D528" s="923">
        <f>G482</f>
        <v>-6334.32</v>
      </c>
      <c r="E528" s="923">
        <v>0</v>
      </c>
      <c r="F528" s="923">
        <v>-534.66999999999996</v>
      </c>
      <c r="G528" s="923">
        <f>SUM(D528:F528)</f>
        <v>-6868.99</v>
      </c>
      <c r="H528" s="369"/>
      <c r="I528" s="923">
        <f>O482</f>
        <v>-6377.44</v>
      </c>
      <c r="J528" s="369"/>
      <c r="K528" s="923">
        <v>-10.432</v>
      </c>
      <c r="L528" s="923">
        <v>0</v>
      </c>
      <c r="M528" s="923">
        <f>F528</f>
        <v>-534.66999999999996</v>
      </c>
      <c r="N528" s="923">
        <v>0</v>
      </c>
      <c r="O528" s="923">
        <f>I528+K528+L528+M528+N528</f>
        <v>-6922.5419999999995</v>
      </c>
    </row>
    <row r="529" spans="1:15">
      <c r="A529" s="361">
        <f>A528+1</f>
        <v>6</v>
      </c>
      <c r="C529" s="358" t="s">
        <v>3077</v>
      </c>
      <c r="D529" s="369">
        <f>SUM(D524:D528)</f>
        <v>35748986.987120315</v>
      </c>
      <c r="E529" s="369">
        <f>SUM(E524:E528)</f>
        <v>5056597.8699999992</v>
      </c>
      <c r="F529" s="369">
        <f>SUM(F524:F528)</f>
        <v>-381432.14654995094</v>
      </c>
      <c r="G529" s="369">
        <f>SUM(G524:G528)</f>
        <v>40424152.710570358</v>
      </c>
      <c r="H529" s="369"/>
      <c r="I529" s="369">
        <f>SUM(I524:I528)</f>
        <v>-4703580.5031936839</v>
      </c>
      <c r="J529" s="369"/>
      <c r="K529" s="369">
        <f>SUM(K524:K528)</f>
        <v>73324.811000000002</v>
      </c>
      <c r="L529" s="369">
        <f t="shared" ref="L529" si="11">SUM(L524:L528)</f>
        <v>0</v>
      </c>
      <c r="M529" s="369">
        <f>SUM(M524:M528)</f>
        <v>-381432.14654995094</v>
      </c>
      <c r="N529" s="369">
        <f>SUM(N524:N528)</f>
        <v>-145829.64227799998</v>
      </c>
      <c r="O529" s="369">
        <f>SUM(O524:O528)</f>
        <v>-5157517.4810216343</v>
      </c>
    </row>
    <row r="530" spans="1:15">
      <c r="A530" s="361"/>
      <c r="D530" s="369"/>
      <c r="E530" s="369"/>
      <c r="F530" s="369"/>
      <c r="G530" s="369"/>
      <c r="H530" s="369"/>
      <c r="I530" s="369"/>
      <c r="J530" s="369"/>
      <c r="K530" s="369"/>
      <c r="L530" s="369"/>
      <c r="M530" s="369"/>
      <c r="N530" s="369"/>
      <c r="O530" s="369"/>
    </row>
    <row r="531" spans="1:15">
      <c r="A531" s="361"/>
      <c r="D531" s="369"/>
      <c r="E531" s="369"/>
      <c r="F531" s="369"/>
      <c r="G531" s="369"/>
      <c r="H531" s="369"/>
      <c r="I531" s="369"/>
      <c r="J531" s="369"/>
      <c r="K531" s="369"/>
      <c r="L531" s="369"/>
      <c r="M531" s="369"/>
      <c r="N531" s="369"/>
      <c r="O531" s="369"/>
    </row>
    <row r="532" spans="1:15">
      <c r="A532" s="361">
        <f>A529+1</f>
        <v>7</v>
      </c>
      <c r="B532" s="365">
        <v>376</v>
      </c>
      <c r="C532" s="358" t="s">
        <v>1775</v>
      </c>
      <c r="D532" s="369">
        <f>D524</f>
        <v>26519588.52</v>
      </c>
      <c r="E532" s="369">
        <f>E524</f>
        <v>4263655.3099999996</v>
      </c>
      <c r="F532" s="369">
        <f>F524</f>
        <v>-94799.38</v>
      </c>
      <c r="G532" s="369">
        <f>SUM(D532:F532)</f>
        <v>30688444.449999999</v>
      </c>
      <c r="H532" s="369"/>
      <c r="I532" s="369">
        <f>I524</f>
        <v>-33495.03899999999</v>
      </c>
      <c r="J532" s="369"/>
      <c r="K532" s="369">
        <f>K524</f>
        <v>41475.421000000002</v>
      </c>
      <c r="L532" s="369">
        <v>0</v>
      </c>
      <c r="M532" s="369">
        <f>M524</f>
        <v>-94799.38</v>
      </c>
      <c r="N532" s="369">
        <f>N524</f>
        <v>0</v>
      </c>
      <c r="O532" s="369">
        <f>I532+K532+L532+M532+N532</f>
        <v>-86818.997999999992</v>
      </c>
    </row>
    <row r="533" spans="1:15">
      <c r="A533" s="361">
        <f>A532+1</f>
        <v>8</v>
      </c>
      <c r="B533" s="365">
        <v>376</v>
      </c>
      <c r="C533" s="358" t="s">
        <v>1621</v>
      </c>
      <c r="D533" s="923">
        <f>D534-D532</f>
        <v>410150106.06999999</v>
      </c>
      <c r="E533" s="923">
        <f>E534-E532</f>
        <v>1791171.3500000006</v>
      </c>
      <c r="F533" s="923">
        <f>F534-F532</f>
        <v>-649699.75999999989</v>
      </c>
      <c r="G533" s="923">
        <f>SUM(D533:F533)</f>
        <v>411291577.66000003</v>
      </c>
      <c r="H533" s="369"/>
      <c r="I533" s="923">
        <f>I534-I532</f>
        <v>79737772.509000033</v>
      </c>
      <c r="J533" s="369"/>
      <c r="K533" s="923">
        <f>K534-K532</f>
        <v>591884.53899999999</v>
      </c>
      <c r="L533" s="923">
        <v>0</v>
      </c>
      <c r="M533" s="923">
        <f>M534-M532</f>
        <v>-649699.76</v>
      </c>
      <c r="N533" s="923">
        <f>N534-N532</f>
        <v>-25524.080000000002</v>
      </c>
      <c r="O533" s="923">
        <f>I533+K533+L533+M533+N533</f>
        <v>79654433.208000034</v>
      </c>
    </row>
    <row r="534" spans="1:15">
      <c r="A534" s="361">
        <f>A533+1</f>
        <v>9</v>
      </c>
      <c r="B534" s="365">
        <v>376</v>
      </c>
      <c r="C534" s="358" t="s">
        <v>3078</v>
      </c>
      <c r="D534" s="369">
        <f>G488</f>
        <v>436669694.58999997</v>
      </c>
      <c r="E534" s="369">
        <v>6054826.6600000001</v>
      </c>
      <c r="F534" s="369">
        <v>-744499.1399999999</v>
      </c>
      <c r="G534" s="369">
        <f>SUM(G532:G533)</f>
        <v>441980022.11000001</v>
      </c>
      <c r="H534" s="369"/>
      <c r="I534" s="369">
        <f>O488</f>
        <v>79704277.470000029</v>
      </c>
      <c r="J534" s="369"/>
      <c r="K534" s="369">
        <v>633359.96</v>
      </c>
      <c r="L534" s="369">
        <f>SUM(L532:L533)</f>
        <v>0</v>
      </c>
      <c r="M534" s="369">
        <v>-744499.14</v>
      </c>
      <c r="N534" s="369">
        <v>-25524.080000000002</v>
      </c>
      <c r="O534" s="369">
        <f>SUM(O532:O533)</f>
        <v>79567614.210000038</v>
      </c>
    </row>
    <row r="535" spans="1:15">
      <c r="A535" s="361"/>
      <c r="B535" s="365"/>
      <c r="D535" s="369"/>
      <c r="E535" s="369"/>
      <c r="F535" s="369"/>
      <c r="G535" s="369"/>
      <c r="H535" s="369"/>
      <c r="I535" s="369"/>
      <c r="J535" s="369"/>
      <c r="K535" s="369"/>
      <c r="L535" s="369"/>
      <c r="M535" s="369"/>
      <c r="N535" s="369"/>
      <c r="O535" s="369"/>
    </row>
    <row r="536" spans="1:15">
      <c r="A536" s="361">
        <f>A534+1</f>
        <v>10</v>
      </c>
      <c r="B536" s="365">
        <v>378.2</v>
      </c>
      <c r="C536" s="358" t="s">
        <v>1776</v>
      </c>
      <c r="D536" s="369">
        <f>D525</f>
        <v>-348290.83000000007</v>
      </c>
      <c r="E536" s="369">
        <f>E525</f>
        <v>0</v>
      </c>
      <c r="F536" s="369">
        <f>F525</f>
        <v>-42121.18</v>
      </c>
      <c r="G536" s="369">
        <f>SUM(D536:F536)</f>
        <v>-390412.01000000007</v>
      </c>
      <c r="H536" s="369"/>
      <c r="I536" s="369">
        <f>I525</f>
        <v>-393097.48499999993</v>
      </c>
      <c r="J536" s="369"/>
      <c r="K536" s="369">
        <f>K525</f>
        <v>-775.22699999999998</v>
      </c>
      <c r="L536" s="369">
        <v>0</v>
      </c>
      <c r="M536" s="369">
        <f>M525</f>
        <v>-42121.18</v>
      </c>
      <c r="N536" s="369">
        <f>N525</f>
        <v>-12469.08</v>
      </c>
      <c r="O536" s="369">
        <f>I536+K536+L536+M536+N536</f>
        <v>-448462.97199999995</v>
      </c>
    </row>
    <row r="537" spans="1:15">
      <c r="A537" s="361">
        <f>A536+1</f>
        <v>11</v>
      </c>
      <c r="B537" s="365">
        <v>378.2</v>
      </c>
      <c r="C537" s="358" t="s">
        <v>1622</v>
      </c>
      <c r="D537" s="923">
        <f>D538-D536</f>
        <v>25341907.280000001</v>
      </c>
      <c r="E537" s="923">
        <f>E538-E536</f>
        <v>-518.45000000000005</v>
      </c>
      <c r="F537" s="923">
        <f>F538-F536</f>
        <v>-167.19999999999709</v>
      </c>
      <c r="G537" s="923">
        <f>SUM(D537:F537)</f>
        <v>25341221.630000003</v>
      </c>
      <c r="H537" s="369"/>
      <c r="I537" s="923">
        <f>I538-I536</f>
        <v>3331543.0250000008</v>
      </c>
      <c r="J537" s="369"/>
      <c r="K537" s="923">
        <f>K538-K536</f>
        <v>53373.957000000002</v>
      </c>
      <c r="L537" s="923">
        <v>0</v>
      </c>
      <c r="M537" s="923">
        <f>M538-M536</f>
        <v>-167.19999999999709</v>
      </c>
      <c r="N537" s="923">
        <f>N538-N536</f>
        <v>0</v>
      </c>
      <c r="O537" s="923">
        <f>I537+K537+L537+M537+N537</f>
        <v>3384749.7820000006</v>
      </c>
    </row>
    <row r="538" spans="1:15">
      <c r="A538" s="361">
        <f>A537+1</f>
        <v>12</v>
      </c>
      <c r="B538" s="365">
        <v>378.2</v>
      </c>
      <c r="C538" s="358" t="s">
        <v>3079</v>
      </c>
      <c r="D538" s="369">
        <f>G492</f>
        <v>24993616.450000003</v>
      </c>
      <c r="E538" s="369">
        <v>-518.45000000000005</v>
      </c>
      <c r="F538" s="369">
        <v>-42288.38</v>
      </c>
      <c r="G538" s="369">
        <f>SUM(G536:G537)</f>
        <v>24950809.620000001</v>
      </c>
      <c r="H538" s="369"/>
      <c r="I538" s="369">
        <f>O492</f>
        <v>2938445.540000001</v>
      </c>
      <c r="J538" s="369"/>
      <c r="K538" s="369">
        <v>52598.73</v>
      </c>
      <c r="L538" s="369">
        <f>SUM(L536:L537)</f>
        <v>0</v>
      </c>
      <c r="M538" s="369">
        <v>-42288.38</v>
      </c>
      <c r="N538" s="369">
        <v>-12469.08</v>
      </c>
      <c r="O538" s="369">
        <f>SUM(O536:O537)</f>
        <v>2936286.8100000005</v>
      </c>
    </row>
    <row r="539" spans="1:15">
      <c r="A539" s="361"/>
      <c r="B539" s="365"/>
      <c r="D539" s="369"/>
      <c r="E539" s="369"/>
      <c r="F539" s="369"/>
      <c r="G539" s="369"/>
      <c r="H539" s="369"/>
      <c r="I539" s="369"/>
      <c r="J539" s="369"/>
      <c r="K539" s="369"/>
      <c r="L539" s="369"/>
      <c r="M539" s="369"/>
      <c r="N539" s="369"/>
      <c r="O539" s="369"/>
    </row>
    <row r="540" spans="1:15">
      <c r="A540" s="361">
        <f>A538+1</f>
        <v>13</v>
      </c>
      <c r="B540" s="365">
        <v>380</v>
      </c>
      <c r="C540" s="358" t="s">
        <v>1777</v>
      </c>
      <c r="D540" s="369">
        <f>D526</f>
        <v>9553534.2771203164</v>
      </c>
      <c r="E540" s="369">
        <f>E526</f>
        <v>782388.46</v>
      </c>
      <c r="F540" s="369">
        <f>F526</f>
        <v>-240285.08654995094</v>
      </c>
      <c r="G540" s="369">
        <f>SUM(D540:F540)</f>
        <v>10095637.650570365</v>
      </c>
      <c r="H540" s="369"/>
      <c r="I540" s="369">
        <f>I526</f>
        <v>-4226104.0851936834</v>
      </c>
      <c r="J540" s="369"/>
      <c r="K540" s="369">
        <f>K526</f>
        <v>32584.988000000001</v>
      </c>
      <c r="L540" s="369">
        <v>0</v>
      </c>
      <c r="M540" s="369">
        <f>M526</f>
        <v>-240285.08654995094</v>
      </c>
      <c r="N540" s="369">
        <f>N526</f>
        <v>-133360.562278</v>
      </c>
      <c r="O540" s="369">
        <f>I540+K540+L540+M540+N540</f>
        <v>-4567164.746021634</v>
      </c>
    </row>
    <row r="541" spans="1:15">
      <c r="A541" s="361">
        <f>A540+1</f>
        <v>14</v>
      </c>
      <c r="B541" s="365">
        <v>380</v>
      </c>
      <c r="C541" s="358" t="s">
        <v>1623</v>
      </c>
      <c r="D541" s="923">
        <f>D542-D540</f>
        <v>200913073.45287967</v>
      </c>
      <c r="E541" s="923">
        <f>E542-E540</f>
        <v>1124048.4200000002</v>
      </c>
      <c r="F541" s="923">
        <f>F542-F540</f>
        <v>-47791.513450049039</v>
      </c>
      <c r="G541" s="923">
        <f>SUM(D541:F541)</f>
        <v>201989330.3594296</v>
      </c>
      <c r="H541" s="369"/>
      <c r="I541" s="923">
        <f>I542-I540</f>
        <v>58610847.045193687</v>
      </c>
      <c r="J541" s="369"/>
      <c r="K541" s="923">
        <f>K542-K540</f>
        <v>679235.3820000001</v>
      </c>
      <c r="L541" s="923">
        <v>0</v>
      </c>
      <c r="M541" s="923">
        <f>M542-M540</f>
        <v>-47791.513450049097</v>
      </c>
      <c r="N541" s="923">
        <f>N542-N540</f>
        <v>-26525.017722000019</v>
      </c>
      <c r="O541" s="923">
        <f>I541+K541+L541+M541+N541</f>
        <v>59215765.896021634</v>
      </c>
    </row>
    <row r="542" spans="1:15">
      <c r="A542" s="361">
        <f>A541+1</f>
        <v>15</v>
      </c>
      <c r="B542" s="365">
        <v>380</v>
      </c>
      <c r="C542" s="358" t="s">
        <v>3080</v>
      </c>
      <c r="D542" s="369">
        <f>G496</f>
        <v>210466607.72999999</v>
      </c>
      <c r="E542" s="369">
        <v>1906436.8800000001</v>
      </c>
      <c r="F542" s="369">
        <v>-288076.59999999998</v>
      </c>
      <c r="G542" s="369">
        <f>SUM(G540:G541)</f>
        <v>212084968.00999996</v>
      </c>
      <c r="H542" s="369"/>
      <c r="I542" s="369">
        <f>O496</f>
        <v>54384742.960000001</v>
      </c>
      <c r="J542" s="369"/>
      <c r="K542" s="369">
        <v>711820.37000000011</v>
      </c>
      <c r="L542" s="369">
        <f>SUM(L540:L541)</f>
        <v>0</v>
      </c>
      <c r="M542" s="369">
        <v>-288076.60000000003</v>
      </c>
      <c r="N542" s="369">
        <v>-159885.58000000002</v>
      </c>
      <c r="O542" s="369">
        <f>SUM(O540:O541)</f>
        <v>54648601.149999999</v>
      </c>
    </row>
    <row r="543" spans="1:15">
      <c r="A543" s="361"/>
      <c r="B543" s="365"/>
      <c r="D543" s="369"/>
      <c r="E543" s="369"/>
      <c r="F543" s="369"/>
      <c r="G543" s="369"/>
      <c r="H543" s="369"/>
      <c r="I543" s="369"/>
      <c r="J543" s="369"/>
      <c r="K543" s="369"/>
      <c r="L543" s="369"/>
      <c r="M543" s="369"/>
      <c r="N543" s="369"/>
      <c r="O543" s="369"/>
    </row>
    <row r="544" spans="1:15">
      <c r="A544" s="361">
        <f>A542+1</f>
        <v>16</v>
      </c>
      <c r="B544" s="365">
        <v>382</v>
      </c>
      <c r="C544" s="358" t="s">
        <v>1778</v>
      </c>
      <c r="D544" s="369">
        <f>D527</f>
        <v>30489.340000000004</v>
      </c>
      <c r="E544" s="369">
        <f>E527</f>
        <v>10554.1</v>
      </c>
      <c r="F544" s="369">
        <f>F527</f>
        <v>-3691.8300000000004</v>
      </c>
      <c r="G544" s="369">
        <f>SUM(D544:F544)</f>
        <v>37351.61</v>
      </c>
      <c r="H544" s="369"/>
      <c r="I544" s="369">
        <f>I527</f>
        <v>-44506.454000000005</v>
      </c>
      <c r="J544" s="369"/>
      <c r="K544" s="369">
        <f>K527</f>
        <v>50.061</v>
      </c>
      <c r="L544" s="369">
        <v>0</v>
      </c>
      <c r="M544" s="369">
        <f>M527</f>
        <v>-3691.8300000000004</v>
      </c>
      <c r="N544" s="369">
        <f>N527</f>
        <v>0</v>
      </c>
      <c r="O544" s="369">
        <f>I544+K544+L544+M544+N544</f>
        <v>-48148.223000000005</v>
      </c>
    </row>
    <row r="545" spans="1:15">
      <c r="A545" s="361">
        <f>A544+1</f>
        <v>17</v>
      </c>
      <c r="B545" s="365">
        <v>382</v>
      </c>
      <c r="C545" s="358" t="s">
        <v>1624</v>
      </c>
      <c r="D545" s="923">
        <f>D546-D544</f>
        <v>10468577.359999999</v>
      </c>
      <c r="E545" s="923">
        <f>E546-E544</f>
        <v>96735.79</v>
      </c>
      <c r="F545" s="923">
        <f>F546-F544</f>
        <v>0</v>
      </c>
      <c r="G545" s="923">
        <f>SUM(D545:F545)</f>
        <v>10565313.149999999</v>
      </c>
      <c r="H545" s="369"/>
      <c r="I545" s="923">
        <f>I546-I544</f>
        <v>5827050.5340000018</v>
      </c>
      <c r="J545" s="369"/>
      <c r="K545" s="923">
        <f>K546-K544</f>
        <v>15512.469000000001</v>
      </c>
      <c r="L545" s="923">
        <v>0</v>
      </c>
      <c r="M545" s="923">
        <f>M546-M544</f>
        <v>0</v>
      </c>
      <c r="N545" s="923">
        <f>N546-N544</f>
        <v>0</v>
      </c>
      <c r="O545" s="923">
        <f>I545+K545+L545+M545+N545</f>
        <v>5842563.0030000014</v>
      </c>
    </row>
    <row r="546" spans="1:15">
      <c r="A546" s="361">
        <f>A545+1</f>
        <v>18</v>
      </c>
      <c r="B546" s="365">
        <v>382</v>
      </c>
      <c r="C546" s="358" t="s">
        <v>3081</v>
      </c>
      <c r="D546" s="369">
        <f>G500</f>
        <v>10499066.699999999</v>
      </c>
      <c r="E546" s="369">
        <v>107289.89</v>
      </c>
      <c r="F546" s="369">
        <v>-3691.83</v>
      </c>
      <c r="G546" s="369">
        <f>SUM(G544:G545)</f>
        <v>10602664.759999998</v>
      </c>
      <c r="H546" s="369"/>
      <c r="I546" s="369">
        <f>O500</f>
        <v>5782544.0800000019</v>
      </c>
      <c r="J546" s="369"/>
      <c r="K546" s="369">
        <v>15562.53</v>
      </c>
      <c r="L546" s="369">
        <f>SUM(L544:L545)</f>
        <v>0</v>
      </c>
      <c r="M546" s="369">
        <v>-3691.83</v>
      </c>
      <c r="N546" s="369">
        <v>0</v>
      </c>
      <c r="O546" s="369">
        <f>SUM(O544:O545)</f>
        <v>5794414.7800000012</v>
      </c>
    </row>
    <row r="547" spans="1:15">
      <c r="A547" s="361"/>
      <c r="B547" s="365"/>
      <c r="D547" s="369"/>
      <c r="E547" s="369"/>
      <c r="F547" s="369"/>
      <c r="G547" s="369"/>
      <c r="H547" s="369"/>
      <c r="I547" s="369"/>
      <c r="J547" s="369"/>
      <c r="K547" s="369"/>
      <c r="L547" s="369"/>
      <c r="M547" s="369"/>
      <c r="N547" s="369"/>
      <c r="O547" s="369"/>
    </row>
    <row r="548" spans="1:15">
      <c r="A548" s="361">
        <f>A546+1</f>
        <v>19</v>
      </c>
      <c r="B548" s="365">
        <v>383</v>
      </c>
      <c r="C548" s="358" t="s">
        <v>1779</v>
      </c>
      <c r="D548" s="369">
        <f>D528</f>
        <v>-6334.32</v>
      </c>
      <c r="E548" s="369">
        <f>E528</f>
        <v>0</v>
      </c>
      <c r="F548" s="369">
        <f>F528</f>
        <v>-534.66999999999996</v>
      </c>
      <c r="G548" s="369">
        <f>SUM(D548:F548)</f>
        <v>-6868.99</v>
      </c>
      <c r="H548" s="369"/>
      <c r="I548" s="369">
        <f>I528</f>
        <v>-6377.44</v>
      </c>
      <c r="J548" s="369"/>
      <c r="K548" s="369">
        <f>K528</f>
        <v>-10.432</v>
      </c>
      <c r="L548" s="369">
        <v>0</v>
      </c>
      <c r="M548" s="369">
        <f>M528</f>
        <v>-534.66999999999996</v>
      </c>
      <c r="N548" s="369">
        <f>N528</f>
        <v>0</v>
      </c>
      <c r="O548" s="369">
        <f>I548+K548+L548+M548+N548</f>
        <v>-6922.5419999999995</v>
      </c>
    </row>
    <row r="549" spans="1:15">
      <c r="A549" s="361">
        <f>A548+1</f>
        <v>20</v>
      </c>
      <c r="B549" s="365">
        <v>383</v>
      </c>
      <c r="C549" s="358" t="s">
        <v>1625</v>
      </c>
      <c r="D549" s="923">
        <f>D550-D548</f>
        <v>7308100.7299999995</v>
      </c>
      <c r="E549" s="923">
        <f>E550-E548</f>
        <v>26459</v>
      </c>
      <c r="F549" s="923">
        <f>F550-F548</f>
        <v>0</v>
      </c>
      <c r="G549" s="923">
        <f>SUM(D549:F549)</f>
        <v>7334559.7299999995</v>
      </c>
      <c r="H549" s="369"/>
      <c r="I549" s="923">
        <f>I550-I548</f>
        <v>2474615.19</v>
      </c>
      <c r="J549" s="369"/>
      <c r="K549" s="923">
        <f>K550-K548</f>
        <v>11835.902</v>
      </c>
      <c r="L549" s="923">
        <v>0</v>
      </c>
      <c r="M549" s="923">
        <f>M550-M548</f>
        <v>0</v>
      </c>
      <c r="N549" s="923">
        <f>N550-N548</f>
        <v>0</v>
      </c>
      <c r="O549" s="923">
        <f>I549+K549+L549+M549+N549</f>
        <v>2486451.0919999997</v>
      </c>
    </row>
    <row r="550" spans="1:15">
      <c r="A550" s="361">
        <f>A549+1</f>
        <v>21</v>
      </c>
      <c r="B550" s="365">
        <v>383</v>
      </c>
      <c r="C550" s="358" t="s">
        <v>3082</v>
      </c>
      <c r="D550" s="369">
        <f>G504</f>
        <v>7301766.4099999992</v>
      </c>
      <c r="E550" s="369">
        <v>26459</v>
      </c>
      <c r="F550" s="369">
        <v>-534.66999999999996</v>
      </c>
      <c r="G550" s="369">
        <f>SUM(G548:G549)</f>
        <v>7327690.7399999993</v>
      </c>
      <c r="H550" s="369"/>
      <c r="I550" s="369">
        <f>O504</f>
        <v>2468237.75</v>
      </c>
      <c r="J550" s="369"/>
      <c r="K550" s="369">
        <v>11825.47</v>
      </c>
      <c r="L550" s="369">
        <f>SUM(L548:L549)</f>
        <v>0</v>
      </c>
      <c r="M550" s="369">
        <v>-534.66999999999996</v>
      </c>
      <c r="N550" s="369">
        <v>0</v>
      </c>
      <c r="O550" s="369">
        <f>SUM(O548:O549)</f>
        <v>2479528.5499999998</v>
      </c>
    </row>
    <row r="553" spans="1:15" s="291" customFormat="1">
      <c r="A553" s="1308" t="str">
        <f>$A$1</f>
        <v>COLUMBIA GAS OF KENTUCKY, INC.</v>
      </c>
      <c r="B553" s="1308"/>
      <c r="C553" s="1308"/>
      <c r="D553" s="1308"/>
      <c r="E553" s="1308"/>
      <c r="F553" s="1308"/>
      <c r="G553" s="1308"/>
      <c r="H553" s="1308"/>
      <c r="I553" s="1308"/>
      <c r="J553" s="1308"/>
      <c r="K553" s="1308"/>
      <c r="L553" s="1308"/>
      <c r="M553" s="1308"/>
      <c r="N553" s="1308"/>
      <c r="O553" s="1308"/>
    </row>
    <row r="554" spans="1:15" s="291" customFormat="1">
      <c r="A554" s="1308" t="str">
        <f>$A$2</f>
        <v>CASE NO. 2024 - 00092</v>
      </c>
      <c r="B554" s="1308"/>
      <c r="C554" s="1308"/>
      <c r="D554" s="1308"/>
      <c r="E554" s="1308"/>
      <c r="F554" s="1308"/>
      <c r="G554" s="1308"/>
      <c r="H554" s="1308"/>
      <c r="I554" s="1308"/>
      <c r="J554" s="1308"/>
      <c r="K554" s="1308"/>
      <c r="L554" s="1308"/>
      <c r="M554" s="1308"/>
      <c r="N554" s="1308"/>
      <c r="O554" s="1308"/>
    </row>
    <row r="555" spans="1:15" s="291" customFormat="1">
      <c r="A555" s="1308" t="str">
        <f>$A$3</f>
        <v>DETAIL OF ACTUAL &amp;  FORECASTED SMRP PLANT, ACCUMULATED RESERVE &amp; DEPRECIATION EXPENSE</v>
      </c>
      <c r="B555" s="1308"/>
      <c r="C555" s="1308"/>
      <c r="D555" s="1308"/>
      <c r="E555" s="1308"/>
      <c r="F555" s="1308"/>
      <c r="G555" s="1308"/>
      <c r="H555" s="1308"/>
      <c r="I555" s="1308"/>
      <c r="J555" s="1308"/>
      <c r="K555" s="1308"/>
      <c r="L555" s="1308"/>
      <c r="M555" s="1308"/>
      <c r="N555" s="1308"/>
      <c r="O555" s="1308"/>
    </row>
    <row r="556" spans="1:15" s="291" customFormat="1">
      <c r="A556" s="1308" t="str">
        <f>$A$4</f>
        <v>FROM JANUARY 01, 2023 THROUGH DECEMBER 31, 2025</v>
      </c>
      <c r="B556" s="1308"/>
      <c r="C556" s="1308"/>
      <c r="D556" s="1308"/>
      <c r="E556" s="1308"/>
      <c r="F556" s="1308"/>
      <c r="G556" s="1308"/>
      <c r="H556" s="1308"/>
      <c r="I556" s="1308"/>
      <c r="J556" s="1308"/>
      <c r="K556" s="1308"/>
      <c r="L556" s="1308"/>
      <c r="M556" s="1308"/>
      <c r="N556" s="1308"/>
      <c r="O556" s="1308"/>
    </row>
    <row r="557" spans="1:15" s="291" customFormat="1">
      <c r="B557" s="293"/>
    </row>
    <row r="558" spans="1:15" s="291" customFormat="1">
      <c r="A558" s="297" t="str">
        <f>'General Headers Index'!$B$34</f>
        <v xml:space="preserve">DATA: _X_ BASE PERIOD _X_ FORECASTED PERIOD     </v>
      </c>
      <c r="B558" s="293"/>
      <c r="O558" s="312" t="s">
        <v>2461</v>
      </c>
    </row>
    <row r="559" spans="1:15" s="291" customFormat="1">
      <c r="A559" s="297" t="str">
        <f>'General Headers Index'!$B$37</f>
        <v>TYPE OF FILING:___X___ORIGINAL______UPDATED</v>
      </c>
      <c r="B559" s="293"/>
      <c r="O559" s="312" t="s">
        <v>2235</v>
      </c>
    </row>
    <row r="560" spans="1:15" s="291" customFormat="1">
      <c r="A560" s="297" t="s">
        <v>2150</v>
      </c>
      <c r="B560" s="293"/>
      <c r="O560" s="312" t="str">
        <f>"WITNESS: "&amp;'General Headers Index'!$B$42</f>
        <v>WITNESS: GORE</v>
      </c>
    </row>
    <row r="561" spans="1:15">
      <c r="A561" s="918"/>
      <c r="B561" s="918"/>
      <c r="C561" s="918"/>
      <c r="D561" s="918"/>
      <c r="E561" s="918"/>
      <c r="F561" s="918"/>
      <c r="G561" s="918"/>
      <c r="H561" s="918"/>
      <c r="I561" s="918"/>
      <c r="J561" s="918"/>
      <c r="K561" s="918"/>
      <c r="L561" s="918"/>
      <c r="M561" s="918"/>
      <c r="N561" s="918"/>
      <c r="O561" s="918"/>
    </row>
    <row r="562" spans="1:15">
      <c r="B562" s="359"/>
      <c r="D562" s="1312" t="s">
        <v>1768</v>
      </c>
      <c r="E562" s="1312"/>
      <c r="F562" s="1312"/>
      <c r="G562" s="1312"/>
      <c r="I562" s="1312" t="s">
        <v>1769</v>
      </c>
      <c r="J562" s="1312"/>
      <c r="K562" s="1312"/>
      <c r="L562" s="1312"/>
      <c r="M562" s="1312"/>
      <c r="N562" s="1312"/>
      <c r="O562" s="1312"/>
    </row>
    <row r="563" spans="1:15">
      <c r="B563" s="359"/>
      <c r="D563" s="360">
        <f>G517+1</f>
        <v>45292</v>
      </c>
      <c r="G563" s="360">
        <f>D563+30</f>
        <v>45322</v>
      </c>
      <c r="I563" s="360">
        <f>D563</f>
        <v>45292</v>
      </c>
      <c r="O563" s="360">
        <f>G563</f>
        <v>45322</v>
      </c>
    </row>
    <row r="564" spans="1:15">
      <c r="B564" s="359"/>
      <c r="D564" s="361" t="s">
        <v>1757</v>
      </c>
      <c r="G564" s="361" t="s">
        <v>1757</v>
      </c>
      <c r="I564" s="361" t="s">
        <v>1758</v>
      </c>
      <c r="J564" s="361" t="s">
        <v>488</v>
      </c>
      <c r="L564" s="361" t="s">
        <v>1758</v>
      </c>
      <c r="O564" s="361" t="s">
        <v>1758</v>
      </c>
    </row>
    <row r="565" spans="1:15">
      <c r="A565" s="361" t="s">
        <v>1770</v>
      </c>
      <c r="B565" s="361" t="s">
        <v>368</v>
      </c>
      <c r="C565" s="361"/>
      <c r="D565" s="361" t="s">
        <v>437</v>
      </c>
      <c r="G565" s="361" t="s">
        <v>439</v>
      </c>
      <c r="I565" s="361" t="s">
        <v>437</v>
      </c>
      <c r="J565" s="361" t="s">
        <v>1771</v>
      </c>
      <c r="K565" s="361" t="s">
        <v>1772</v>
      </c>
      <c r="L565" s="361" t="s">
        <v>1759</v>
      </c>
      <c r="N565" s="361" t="s">
        <v>1760</v>
      </c>
      <c r="O565" s="361" t="s">
        <v>439</v>
      </c>
    </row>
    <row r="566" spans="1:15">
      <c r="A566" s="364" t="s">
        <v>316</v>
      </c>
      <c r="B566" s="364" t="s">
        <v>316</v>
      </c>
      <c r="C566" s="364" t="s">
        <v>451</v>
      </c>
      <c r="D566" s="364" t="s">
        <v>441</v>
      </c>
      <c r="E566" s="364" t="s">
        <v>442</v>
      </c>
      <c r="F566" s="364" t="s">
        <v>443</v>
      </c>
      <c r="G566" s="364" t="s">
        <v>441</v>
      </c>
      <c r="I566" s="364" t="s">
        <v>441</v>
      </c>
      <c r="J566" s="364" t="s">
        <v>1773</v>
      </c>
      <c r="K566" s="364" t="s">
        <v>1771</v>
      </c>
      <c r="L566" s="364" t="s">
        <v>355</v>
      </c>
      <c r="M566" s="364" t="s">
        <v>443</v>
      </c>
      <c r="N566" s="364" t="s">
        <v>1763</v>
      </c>
      <c r="O566" s="364" t="s">
        <v>441</v>
      </c>
    </row>
    <row r="567" spans="1:15">
      <c r="B567" s="359"/>
      <c r="D567" s="361" t="s">
        <v>532</v>
      </c>
      <c r="E567" s="361" t="s">
        <v>541</v>
      </c>
      <c r="F567" s="361" t="s">
        <v>542</v>
      </c>
      <c r="G567" s="361" t="s">
        <v>1764</v>
      </c>
      <c r="I567" s="334" t="str">
        <f>"(5)"</f>
        <v>(5)</v>
      </c>
      <c r="J567" s="334" t="str">
        <f>"(6)"</f>
        <v>(6)</v>
      </c>
      <c r="K567" s="334" t="str">
        <f>"(7)"</f>
        <v>(7)</v>
      </c>
      <c r="L567" s="334" t="str">
        <f>"(8)"</f>
        <v>(8)</v>
      </c>
      <c r="M567" s="334" t="str">
        <f>"(9)"</f>
        <v>(9)</v>
      </c>
      <c r="N567" s="334" t="str">
        <f>"(10)"</f>
        <v>(10)</v>
      </c>
      <c r="O567" s="334" t="str">
        <f>"(11=5+7+8+9+10)"</f>
        <v>(11=5+7+8+9+10)</v>
      </c>
    </row>
    <row r="568" spans="1:15">
      <c r="B568" s="359"/>
      <c r="D568" s="361" t="s">
        <v>320</v>
      </c>
      <c r="E568" s="361" t="s">
        <v>320</v>
      </c>
      <c r="F568" s="361" t="s">
        <v>320</v>
      </c>
      <c r="G568" s="361" t="s">
        <v>320</v>
      </c>
      <c r="I568" s="334" t="s">
        <v>320</v>
      </c>
      <c r="J568" s="1250" t="s">
        <v>529</v>
      </c>
      <c r="K568" s="334" t="s">
        <v>320</v>
      </c>
      <c r="L568" s="334" t="s">
        <v>320</v>
      </c>
      <c r="M568" s="334" t="s">
        <v>320</v>
      </c>
      <c r="N568" s="334" t="s">
        <v>320</v>
      </c>
      <c r="O568" s="334" t="s">
        <v>320</v>
      </c>
    </row>
    <row r="569" spans="1:15">
      <c r="B569" s="359"/>
      <c r="D569" s="361"/>
      <c r="E569" s="361"/>
      <c r="F569" s="361"/>
      <c r="G569" s="361"/>
      <c r="I569" s="334"/>
      <c r="J569" s="334"/>
      <c r="K569" s="334"/>
      <c r="L569" s="334"/>
      <c r="M569" s="334"/>
      <c r="N569" s="334"/>
      <c r="O569" s="334"/>
    </row>
    <row r="570" spans="1:15">
      <c r="A570" s="361">
        <v>1</v>
      </c>
      <c r="B570" s="365">
        <v>376</v>
      </c>
      <c r="C570" s="358" t="s">
        <v>1775</v>
      </c>
      <c r="D570" s="369">
        <f>G524</f>
        <v>30688444.449999999</v>
      </c>
      <c r="E570" s="369">
        <v>493561.91</v>
      </c>
      <c r="F570" s="369">
        <v>0</v>
      </c>
      <c r="G570" s="369">
        <f>SUM(D570:F570)</f>
        <v>31182006.359999999</v>
      </c>
      <c r="H570" s="369"/>
      <c r="I570" s="369">
        <f>O524</f>
        <v>-86818.997999999992</v>
      </c>
      <c r="J570" s="369"/>
      <c r="K570" s="369">
        <v>44855.832000000002</v>
      </c>
      <c r="L570" s="369">
        <v>0</v>
      </c>
      <c r="M570" s="369">
        <f>F570</f>
        <v>0</v>
      </c>
      <c r="N570" s="369">
        <v>-1024.8599999999999</v>
      </c>
      <c r="O570" s="369">
        <f>I570+K570+L570+M570+N570</f>
        <v>-42988.025999999991</v>
      </c>
    </row>
    <row r="571" spans="1:15">
      <c r="A571" s="361">
        <f>A570+1</f>
        <v>2</v>
      </c>
      <c r="B571" s="365">
        <v>378.2</v>
      </c>
      <c r="C571" s="358" t="s">
        <v>1776</v>
      </c>
      <c r="D571" s="369">
        <f>G525</f>
        <v>-390412.01000000007</v>
      </c>
      <c r="E571" s="369">
        <v>0</v>
      </c>
      <c r="F571" s="369">
        <v>-164.58</v>
      </c>
      <c r="G571" s="369">
        <f>SUM(D571:F571)</f>
        <v>-390576.59000000008</v>
      </c>
      <c r="H571" s="369"/>
      <c r="I571" s="369">
        <f>O525</f>
        <v>-448462.97199999995</v>
      </c>
      <c r="J571" s="369"/>
      <c r="K571" s="369">
        <v>-820.173</v>
      </c>
      <c r="L571" s="369">
        <v>0</v>
      </c>
      <c r="M571" s="369">
        <f>F571</f>
        <v>-164.58</v>
      </c>
      <c r="N571" s="369">
        <v>0</v>
      </c>
      <c r="O571" s="369">
        <f>I571+K571+L571+M571+N571</f>
        <v>-449447.72499999998</v>
      </c>
    </row>
    <row r="572" spans="1:15">
      <c r="A572" s="361">
        <f>A571+1</f>
        <v>3</v>
      </c>
      <c r="B572" s="365">
        <v>380</v>
      </c>
      <c r="C572" s="358" t="s">
        <v>1777</v>
      </c>
      <c r="D572" s="369">
        <f>G526</f>
        <v>10095637.650570365</v>
      </c>
      <c r="E572" s="369">
        <v>528444.89</v>
      </c>
      <c r="F572" s="369">
        <v>-80627.679999999993</v>
      </c>
      <c r="G572" s="369">
        <f>SUM(D572:F572)</f>
        <v>10543454.860570366</v>
      </c>
      <c r="H572" s="369"/>
      <c r="I572" s="369">
        <f>O526</f>
        <v>-4567164.746021634</v>
      </c>
      <c r="J572" s="369"/>
      <c r="K572" s="369">
        <v>34226.629999999997</v>
      </c>
      <c r="L572" s="369">
        <v>0</v>
      </c>
      <c r="M572" s="369">
        <f>F572</f>
        <v>-80627.679999999993</v>
      </c>
      <c r="N572" s="369">
        <v>-91221.67</v>
      </c>
      <c r="O572" s="369">
        <f>I572+K572+L572+M572+N572</f>
        <v>-4704787.4660216337</v>
      </c>
    </row>
    <row r="573" spans="1:15">
      <c r="A573" s="361">
        <f>A572+1</f>
        <v>4</v>
      </c>
      <c r="B573" s="365">
        <v>382</v>
      </c>
      <c r="C573" s="358" t="s">
        <v>1778</v>
      </c>
      <c r="D573" s="369">
        <f>G527</f>
        <v>37351.61</v>
      </c>
      <c r="E573" s="369">
        <v>99666.4</v>
      </c>
      <c r="F573" s="369">
        <v>-1867.38</v>
      </c>
      <c r="G573" s="369">
        <f>SUM(D573:F573)</f>
        <v>135150.63</v>
      </c>
      <c r="H573" s="369"/>
      <c r="I573" s="369">
        <f>O527</f>
        <v>-48148.223000000005</v>
      </c>
      <c r="J573" s="369"/>
      <c r="K573" s="369">
        <v>127.127</v>
      </c>
      <c r="L573" s="369">
        <v>0</v>
      </c>
      <c r="M573" s="369">
        <f>F573</f>
        <v>-1867.38</v>
      </c>
      <c r="N573" s="369">
        <v>0</v>
      </c>
      <c r="O573" s="369">
        <f>I573+K573+L573+M573+N573</f>
        <v>-49888.476000000002</v>
      </c>
    </row>
    <row r="574" spans="1:15">
      <c r="A574" s="361">
        <f>A573+1</f>
        <v>5</v>
      </c>
      <c r="B574" s="365">
        <v>383</v>
      </c>
      <c r="C574" s="358" t="s">
        <v>1779</v>
      </c>
      <c r="D574" s="923">
        <f>G528</f>
        <v>-6868.99</v>
      </c>
      <c r="E574" s="923">
        <v>7763.63</v>
      </c>
      <c r="F574" s="923">
        <v>-270.10000000000002</v>
      </c>
      <c r="G574" s="923">
        <f>SUM(D574:F574)</f>
        <v>624.5400000000003</v>
      </c>
      <c r="H574" s="369"/>
      <c r="I574" s="923">
        <f>O528</f>
        <v>-6922.5419999999995</v>
      </c>
      <c r="J574" s="369"/>
      <c r="K574" s="923">
        <v>-4.9429999999999996</v>
      </c>
      <c r="L574" s="923">
        <v>0</v>
      </c>
      <c r="M574" s="923">
        <f>F574</f>
        <v>-270.10000000000002</v>
      </c>
      <c r="N574" s="923">
        <v>0</v>
      </c>
      <c r="O574" s="923">
        <f>I574+K574+L574+M574+N574</f>
        <v>-7197.585</v>
      </c>
    </row>
    <row r="575" spans="1:15">
      <c r="A575" s="361">
        <f>A574+1</f>
        <v>6</v>
      </c>
      <c r="C575" s="358" t="s">
        <v>3077</v>
      </c>
      <c r="D575" s="369">
        <f>SUM(D570:D574)</f>
        <v>40424152.710570358</v>
      </c>
      <c r="E575" s="369">
        <f>SUM(E570:E574)</f>
        <v>1129436.8299999998</v>
      </c>
      <c r="F575" s="369">
        <f>SUM(F570:F574)</f>
        <v>-82929.740000000005</v>
      </c>
      <c r="G575" s="369">
        <f>SUM(G570:G574)</f>
        <v>41470659.800570369</v>
      </c>
      <c r="H575" s="369"/>
      <c r="I575" s="369">
        <f>SUM(I570:I574)</f>
        <v>-5157517.4810216343</v>
      </c>
      <c r="J575" s="369"/>
      <c r="K575" s="369">
        <f>SUM(K570:K574)</f>
        <v>78384.472999999984</v>
      </c>
      <c r="L575" s="369">
        <f t="shared" ref="L575" si="12">SUM(L570:L574)</f>
        <v>0</v>
      </c>
      <c r="M575" s="369">
        <f>SUM(M570:M574)</f>
        <v>-82929.740000000005</v>
      </c>
      <c r="N575" s="369">
        <f>SUM(N570:N574)</f>
        <v>-92246.53</v>
      </c>
      <c r="O575" s="369">
        <f>SUM(O570:O574)</f>
        <v>-5254309.2780216336</v>
      </c>
    </row>
    <row r="576" spans="1:15">
      <c r="A576" s="361"/>
      <c r="D576" s="369"/>
      <c r="E576" s="369"/>
      <c r="F576" s="369"/>
      <c r="G576" s="369"/>
      <c r="H576" s="369"/>
      <c r="I576" s="369"/>
      <c r="J576" s="369"/>
      <c r="K576" s="369"/>
      <c r="L576" s="369"/>
      <c r="M576" s="369"/>
      <c r="N576" s="369"/>
      <c r="O576" s="369"/>
    </row>
    <row r="577" spans="1:18">
      <c r="A577" s="361"/>
      <c r="D577" s="369"/>
      <c r="E577" s="369"/>
      <c r="F577" s="369"/>
      <c r="G577" s="369"/>
      <c r="H577" s="369"/>
      <c r="I577" s="369"/>
      <c r="J577" s="369"/>
      <c r="K577" s="369"/>
      <c r="L577" s="369"/>
      <c r="M577" s="369"/>
      <c r="N577" s="369"/>
      <c r="O577" s="369"/>
    </row>
    <row r="578" spans="1:18">
      <c r="A578" s="361">
        <f>A575+1</f>
        <v>7</v>
      </c>
      <c r="B578" s="365">
        <v>376</v>
      </c>
      <c r="C578" s="358" t="s">
        <v>1775</v>
      </c>
      <c r="D578" s="369">
        <f>D570</f>
        <v>30688444.449999999</v>
      </c>
      <c r="E578" s="369">
        <f>E570</f>
        <v>493561.91</v>
      </c>
      <c r="F578" s="369">
        <f>F570</f>
        <v>0</v>
      </c>
      <c r="G578" s="369">
        <f>SUM(D578:F578)</f>
        <v>31182006.359999999</v>
      </c>
      <c r="H578" s="369"/>
      <c r="I578" s="369">
        <f>I570</f>
        <v>-86818.997999999992</v>
      </c>
      <c r="J578" s="369"/>
      <c r="K578" s="369">
        <f>K570</f>
        <v>44855.832000000002</v>
      </c>
      <c r="L578" s="369">
        <v>0</v>
      </c>
      <c r="M578" s="369">
        <f>M570</f>
        <v>0</v>
      </c>
      <c r="N578" s="369">
        <f>N570</f>
        <v>-1024.8599999999999</v>
      </c>
      <c r="O578" s="369">
        <f>I578+K578+L578+M578+N578</f>
        <v>-42988.025999999991</v>
      </c>
    </row>
    <row r="579" spans="1:18">
      <c r="A579" s="361">
        <f>A578+1</f>
        <v>8</v>
      </c>
      <c r="B579" s="365">
        <v>376</v>
      </c>
      <c r="C579" s="358" t="s">
        <v>1621</v>
      </c>
      <c r="D579" s="923">
        <f>D580-D578</f>
        <v>411291577.66000003</v>
      </c>
      <c r="E579" s="923">
        <f>E580-E578</f>
        <v>276955.41000000032</v>
      </c>
      <c r="F579" s="923">
        <f>F580-F578</f>
        <v>-86892.96</v>
      </c>
      <c r="G579" s="923">
        <f>SUM(D579:F579)</f>
        <v>411481640.11000007</v>
      </c>
      <c r="H579" s="369"/>
      <c r="I579" s="923">
        <f>I580-I578</f>
        <v>79654433.208000034</v>
      </c>
      <c r="J579" s="369"/>
      <c r="K579" s="923">
        <f>K580-K578</f>
        <v>592824.76800000004</v>
      </c>
      <c r="L579" s="923">
        <v>0</v>
      </c>
      <c r="M579" s="923">
        <f>M580-M578</f>
        <v>-86892.96</v>
      </c>
      <c r="N579" s="923">
        <f>N580-N578</f>
        <v>-10959.33</v>
      </c>
      <c r="O579" s="923">
        <f>I579+K579+L579+M579+N579</f>
        <v>80149405.686000049</v>
      </c>
    </row>
    <row r="580" spans="1:18">
      <c r="A580" s="361">
        <f>A579+1</f>
        <v>9</v>
      </c>
      <c r="B580" s="365">
        <v>376</v>
      </c>
      <c r="C580" s="358" t="s">
        <v>3078</v>
      </c>
      <c r="D580" s="369">
        <f>G534</f>
        <v>441980022.11000001</v>
      </c>
      <c r="E580" s="369">
        <f>+'INPUT - B Schedule PLANT'!BN26</f>
        <v>770517.3200000003</v>
      </c>
      <c r="F580" s="369">
        <f>+'INPUT - B Schedule PLANT'!BO26</f>
        <v>-86892.96</v>
      </c>
      <c r="G580" s="369">
        <f>SUM(G578:G579)</f>
        <v>442663646.47000009</v>
      </c>
      <c r="H580" s="369"/>
      <c r="I580" s="369">
        <f>O534</f>
        <v>79567614.210000038</v>
      </c>
      <c r="J580" s="369"/>
      <c r="K580" s="369">
        <v>637680.60000000009</v>
      </c>
      <c r="L580" s="369">
        <f>SUM(L578:L579)</f>
        <v>0</v>
      </c>
      <c r="M580" s="369">
        <f>+F580</f>
        <v>-86892.96</v>
      </c>
      <c r="N580" s="369">
        <v>-11984.19</v>
      </c>
      <c r="O580" s="369">
        <f>SUM(O578:O579)</f>
        <v>80106417.660000056</v>
      </c>
      <c r="R580" s="938"/>
    </row>
    <row r="581" spans="1:18">
      <c r="A581" s="361"/>
      <c r="B581" s="365"/>
      <c r="D581" s="369"/>
      <c r="E581" s="369"/>
      <c r="F581" s="369"/>
      <c r="G581" s="369"/>
      <c r="H581" s="369"/>
      <c r="I581" s="369"/>
      <c r="J581" s="369"/>
      <c r="K581" s="369"/>
      <c r="L581" s="369"/>
      <c r="M581" s="369"/>
      <c r="N581" s="369"/>
      <c r="O581" s="369"/>
      <c r="R581" s="938"/>
    </row>
    <row r="582" spans="1:18">
      <c r="A582" s="361">
        <f>A580+1</f>
        <v>10</v>
      </c>
      <c r="B582" s="365">
        <v>378.2</v>
      </c>
      <c r="C582" s="358" t="s">
        <v>1776</v>
      </c>
      <c r="D582" s="369">
        <f>D571</f>
        <v>-390412.01000000007</v>
      </c>
      <c r="E582" s="369">
        <f>E571</f>
        <v>0</v>
      </c>
      <c r="F582" s="369">
        <f>F571</f>
        <v>-164.58</v>
      </c>
      <c r="G582" s="369">
        <f>SUM(D582:F582)</f>
        <v>-390576.59000000008</v>
      </c>
      <c r="H582" s="369"/>
      <c r="I582" s="369">
        <f>I571</f>
        <v>-448462.97199999995</v>
      </c>
      <c r="J582" s="369"/>
      <c r="K582" s="369">
        <f>K571</f>
        <v>-820.173</v>
      </c>
      <c r="L582" s="369">
        <v>0</v>
      </c>
      <c r="M582" s="369">
        <f>M571</f>
        <v>-164.58</v>
      </c>
      <c r="N582" s="369">
        <f>N571</f>
        <v>0</v>
      </c>
      <c r="O582" s="369">
        <f>I582+K582+L582+M582+N582</f>
        <v>-449447.72499999998</v>
      </c>
      <c r="R582" s="938"/>
    </row>
    <row r="583" spans="1:18">
      <c r="A583" s="361">
        <f>A582+1</f>
        <v>11</v>
      </c>
      <c r="B583" s="365">
        <v>378.2</v>
      </c>
      <c r="C583" s="358" t="s">
        <v>1622</v>
      </c>
      <c r="D583" s="923">
        <f>D584-D582</f>
        <v>25341221.630000003</v>
      </c>
      <c r="E583" s="923">
        <f>E584-E582</f>
        <v>12163.02</v>
      </c>
      <c r="F583" s="923">
        <f>F584-F582</f>
        <v>0</v>
      </c>
      <c r="G583" s="923">
        <f>SUM(D583:F583)</f>
        <v>25353384.650000002</v>
      </c>
      <c r="H583" s="369"/>
      <c r="I583" s="923">
        <f>I584-I582</f>
        <v>3384749.7820000006</v>
      </c>
      <c r="J583" s="369"/>
      <c r="K583" s="923">
        <f>K584-K582</f>
        <v>53386.553000000007</v>
      </c>
      <c r="L583" s="923">
        <v>0</v>
      </c>
      <c r="M583" s="923">
        <f>M584-M582</f>
        <v>0</v>
      </c>
      <c r="N583" s="923">
        <f>N584-N582</f>
        <v>-77.89</v>
      </c>
      <c r="O583" s="923">
        <f>I583+K583+L583+M583+N583</f>
        <v>3438058.4450000003</v>
      </c>
      <c r="R583" s="938"/>
    </row>
    <row r="584" spans="1:18">
      <c r="A584" s="361">
        <f>A583+1</f>
        <v>12</v>
      </c>
      <c r="B584" s="365">
        <v>378.2</v>
      </c>
      <c r="C584" s="358" t="s">
        <v>3079</v>
      </c>
      <c r="D584" s="369">
        <f>G538</f>
        <v>24950809.620000001</v>
      </c>
      <c r="E584" s="369">
        <f>+'INPUT - B Schedule PLANT'!BN28</f>
        <v>12163.02</v>
      </c>
      <c r="F584" s="369">
        <f>+'INPUT - B Schedule PLANT'!BO28</f>
        <v>-164.58</v>
      </c>
      <c r="G584" s="369">
        <f>SUM(G582:G583)</f>
        <v>24962808.060000002</v>
      </c>
      <c r="H584" s="369"/>
      <c r="I584" s="369">
        <f>O538</f>
        <v>2936286.8100000005</v>
      </c>
      <c r="J584" s="369"/>
      <c r="K584" s="369">
        <v>52566.380000000005</v>
      </c>
      <c r="L584" s="369">
        <f>SUM(L582:L583)</f>
        <v>0</v>
      </c>
      <c r="M584" s="369">
        <f>+F584</f>
        <v>-164.58</v>
      </c>
      <c r="N584" s="369">
        <v>-77.89</v>
      </c>
      <c r="O584" s="369">
        <f>SUM(O582:O583)</f>
        <v>2988610.72</v>
      </c>
      <c r="R584" s="938"/>
    </row>
    <row r="585" spans="1:18">
      <c r="A585" s="361"/>
      <c r="B585" s="365"/>
      <c r="D585" s="369"/>
      <c r="E585" s="369"/>
      <c r="F585" s="369"/>
      <c r="G585" s="369"/>
      <c r="H585" s="369"/>
      <c r="I585" s="369"/>
      <c r="J585" s="369"/>
      <c r="K585" s="369"/>
      <c r="L585" s="369"/>
      <c r="M585" s="369"/>
      <c r="N585" s="369"/>
      <c r="O585" s="369"/>
      <c r="R585" s="938"/>
    </row>
    <row r="586" spans="1:18">
      <c r="A586" s="361">
        <f>A584+1</f>
        <v>13</v>
      </c>
      <c r="B586" s="365">
        <v>380</v>
      </c>
      <c r="C586" s="358" t="s">
        <v>1777</v>
      </c>
      <c r="D586" s="369">
        <f>D572</f>
        <v>10095637.650570365</v>
      </c>
      <c r="E586" s="369">
        <f>E572</f>
        <v>528444.89</v>
      </c>
      <c r="F586" s="369">
        <f>F572</f>
        <v>-80627.679999999993</v>
      </c>
      <c r="G586" s="369">
        <f>SUM(D586:F586)</f>
        <v>10543454.860570366</v>
      </c>
      <c r="H586" s="369"/>
      <c r="I586" s="369">
        <f>I572</f>
        <v>-4567164.746021634</v>
      </c>
      <c r="J586" s="369"/>
      <c r="K586" s="369">
        <f>K572</f>
        <v>34226.629999999997</v>
      </c>
      <c r="L586" s="369">
        <v>0</v>
      </c>
      <c r="M586" s="369">
        <f>M572</f>
        <v>-80627.679999999993</v>
      </c>
      <c r="N586" s="369">
        <f>N572</f>
        <v>-91221.67</v>
      </c>
      <c r="O586" s="369">
        <f>I586+K586+L586+M586+N586</f>
        <v>-4704787.4660216337</v>
      </c>
      <c r="R586" s="938"/>
    </row>
    <row r="587" spans="1:18">
      <c r="A587" s="361">
        <f>A586+1</f>
        <v>14</v>
      </c>
      <c r="B587" s="365">
        <v>380</v>
      </c>
      <c r="C587" s="358" t="s">
        <v>1623</v>
      </c>
      <c r="D587" s="923">
        <f>D588-D586</f>
        <v>201989330.3594296</v>
      </c>
      <c r="E587" s="923">
        <f>E588-E586</f>
        <v>815547.74000000011</v>
      </c>
      <c r="F587" s="923">
        <f>F588-F586</f>
        <v>-16036.450000000012</v>
      </c>
      <c r="G587" s="923">
        <f>SUM(D587:F587)</f>
        <v>202788841.64942962</v>
      </c>
      <c r="H587" s="369"/>
      <c r="I587" s="923">
        <f>I588-I586</f>
        <v>59215765.896021634</v>
      </c>
      <c r="J587" s="369"/>
      <c r="K587" s="923">
        <f>K588-K586</f>
        <v>704730.24</v>
      </c>
      <c r="L587" s="923">
        <v>0</v>
      </c>
      <c r="M587" s="923">
        <f>M588-M586</f>
        <v>-16036.450000000012</v>
      </c>
      <c r="N587" s="923">
        <f>N588-N586</f>
        <v>-18143.72</v>
      </c>
      <c r="O587" s="923">
        <f>I587+K587+L587+M587+N587</f>
        <v>59886315.966021635</v>
      </c>
      <c r="R587" s="938"/>
    </row>
    <row r="588" spans="1:18">
      <c r="A588" s="361">
        <f>A587+1</f>
        <v>15</v>
      </c>
      <c r="B588" s="365">
        <v>380</v>
      </c>
      <c r="C588" s="358" t="s">
        <v>3080</v>
      </c>
      <c r="D588" s="369">
        <f>G542</f>
        <v>212084968.00999996</v>
      </c>
      <c r="E588" s="369">
        <f>+'INPUT - B Schedule PLANT'!BN31</f>
        <v>1343992.6300000001</v>
      </c>
      <c r="F588" s="369">
        <f>+'INPUT - B Schedule PLANT'!BO31</f>
        <v>-96664.13</v>
      </c>
      <c r="G588" s="369">
        <f>SUM(G586:G587)</f>
        <v>213332296.50999999</v>
      </c>
      <c r="H588" s="369"/>
      <c r="I588" s="369">
        <f>O542</f>
        <v>54648601.149999999</v>
      </c>
      <c r="J588" s="369"/>
      <c r="K588" s="369">
        <v>738956.87</v>
      </c>
      <c r="L588" s="369">
        <f>SUM(L586:L587)</f>
        <v>0</v>
      </c>
      <c r="M588" s="369">
        <f>+F588</f>
        <v>-96664.13</v>
      </c>
      <c r="N588" s="369">
        <v>-109365.39</v>
      </c>
      <c r="O588" s="369">
        <f>SUM(O586:O587)</f>
        <v>55181528.5</v>
      </c>
      <c r="R588" s="938"/>
    </row>
    <row r="589" spans="1:18">
      <c r="A589" s="361"/>
      <c r="B589" s="365"/>
      <c r="D589" s="369"/>
      <c r="E589" s="369"/>
      <c r="F589" s="369"/>
      <c r="G589" s="369"/>
      <c r="H589" s="369"/>
      <c r="I589" s="369"/>
      <c r="J589" s="369"/>
      <c r="K589" s="369"/>
      <c r="L589" s="369"/>
      <c r="M589" s="369"/>
      <c r="N589" s="369"/>
      <c r="O589" s="369"/>
    </row>
    <row r="590" spans="1:18">
      <c r="A590" s="361">
        <f>A588+1</f>
        <v>16</v>
      </c>
      <c r="B590" s="365">
        <v>382</v>
      </c>
      <c r="C590" s="358" t="s">
        <v>1778</v>
      </c>
      <c r="D590" s="369">
        <f>D573</f>
        <v>37351.61</v>
      </c>
      <c r="E590" s="369">
        <f>E573</f>
        <v>99666.4</v>
      </c>
      <c r="F590" s="369">
        <f>F573</f>
        <v>-1867.38</v>
      </c>
      <c r="G590" s="369">
        <f>SUM(D590:F590)</f>
        <v>135150.63</v>
      </c>
      <c r="H590" s="369"/>
      <c r="I590" s="369">
        <f>I573</f>
        <v>-48148.223000000005</v>
      </c>
      <c r="J590" s="369"/>
      <c r="K590" s="369">
        <f>K573</f>
        <v>127.127</v>
      </c>
      <c r="L590" s="369">
        <v>0</v>
      </c>
      <c r="M590" s="369">
        <f>M573</f>
        <v>-1867.38</v>
      </c>
      <c r="N590" s="369">
        <f>N573</f>
        <v>0</v>
      </c>
      <c r="O590" s="369">
        <f>I590+K590+L590+M590+N590</f>
        <v>-49888.476000000002</v>
      </c>
    </row>
    <row r="591" spans="1:18">
      <c r="A591" s="361">
        <f>A590+1</f>
        <v>17</v>
      </c>
      <c r="B591" s="365">
        <v>382</v>
      </c>
      <c r="C591" s="358" t="s">
        <v>1624</v>
      </c>
      <c r="D591" s="923">
        <f>D592-D590</f>
        <v>10565313.149999999</v>
      </c>
      <c r="E591" s="923">
        <f>E592-E590</f>
        <v>8837.9100000000035</v>
      </c>
      <c r="F591" s="923">
        <f>F592-F590</f>
        <v>0</v>
      </c>
      <c r="G591" s="923">
        <f>SUM(D591:F591)</f>
        <v>10574151.059999999</v>
      </c>
      <c r="H591" s="369"/>
      <c r="I591" s="923">
        <f>I592-I590</f>
        <v>5842563.0030000014</v>
      </c>
      <c r="J591" s="369"/>
      <c r="K591" s="923">
        <f>K592-K590</f>
        <v>15590.453</v>
      </c>
      <c r="L591" s="923">
        <v>0</v>
      </c>
      <c r="M591" s="923">
        <f>M592-M590</f>
        <v>0</v>
      </c>
      <c r="N591" s="923">
        <f>N592-N590</f>
        <v>0</v>
      </c>
      <c r="O591" s="923">
        <f>I591+K591+L591+M591+N591</f>
        <v>5858153.4560000012</v>
      </c>
    </row>
    <row r="592" spans="1:18">
      <c r="A592" s="361">
        <f>A591+1</f>
        <v>18</v>
      </c>
      <c r="B592" s="365">
        <v>382</v>
      </c>
      <c r="C592" s="358" t="s">
        <v>3081</v>
      </c>
      <c r="D592" s="369">
        <f>G546</f>
        <v>10602664.759999998</v>
      </c>
      <c r="E592" s="369">
        <f>+'INPUT - B Schedule PLANT'!BN34</f>
        <v>108504.31</v>
      </c>
      <c r="F592" s="369">
        <f>+'INPUT - B Schedule PLANT'!BO34</f>
        <v>-1867.38</v>
      </c>
      <c r="G592" s="369">
        <f>SUM(G590:G591)</f>
        <v>10709301.689999999</v>
      </c>
      <c r="H592" s="369"/>
      <c r="I592" s="369">
        <f>O546</f>
        <v>5794414.7800000012</v>
      </c>
      <c r="J592" s="369"/>
      <c r="K592" s="369">
        <v>15717.58</v>
      </c>
      <c r="L592" s="369">
        <f>SUM(L590:L591)</f>
        <v>0</v>
      </c>
      <c r="M592" s="369">
        <f>+F592</f>
        <v>-1867.38</v>
      </c>
      <c r="N592" s="369">
        <v>0</v>
      </c>
      <c r="O592" s="369">
        <f>SUM(O590:O591)</f>
        <v>5808264.9800000014</v>
      </c>
    </row>
    <row r="593" spans="1:15">
      <c r="A593" s="361"/>
      <c r="B593" s="365"/>
      <c r="D593" s="369"/>
      <c r="E593" s="369"/>
      <c r="F593" s="369"/>
      <c r="G593" s="369"/>
      <c r="H593" s="369"/>
      <c r="I593" s="369"/>
      <c r="J593" s="369"/>
      <c r="K593" s="369"/>
      <c r="L593" s="369"/>
      <c r="M593" s="369"/>
      <c r="N593" s="369"/>
      <c r="O593" s="369"/>
    </row>
    <row r="594" spans="1:15">
      <c r="A594" s="361">
        <f>A592+1</f>
        <v>19</v>
      </c>
      <c r="B594" s="365">
        <v>383</v>
      </c>
      <c r="C594" s="358" t="s">
        <v>1779</v>
      </c>
      <c r="D594" s="369">
        <f>D574</f>
        <v>-6868.99</v>
      </c>
      <c r="E594" s="369">
        <f>E574</f>
        <v>7763.63</v>
      </c>
      <c r="F594" s="369">
        <f>F574</f>
        <v>-270.10000000000002</v>
      </c>
      <c r="G594" s="369">
        <f>SUM(D594:F594)</f>
        <v>624.5400000000003</v>
      </c>
      <c r="H594" s="369"/>
      <c r="I594" s="369">
        <f>I574</f>
        <v>-6922.5419999999995</v>
      </c>
      <c r="J594" s="369"/>
      <c r="K594" s="369">
        <f>K574</f>
        <v>-4.9429999999999996</v>
      </c>
      <c r="L594" s="369">
        <v>0</v>
      </c>
      <c r="M594" s="369">
        <f>M574</f>
        <v>-270.10000000000002</v>
      </c>
      <c r="N594" s="369">
        <f>N574</f>
        <v>0</v>
      </c>
      <c r="O594" s="369">
        <f>I594+K594+L594+M594+N594</f>
        <v>-7197.585</v>
      </c>
    </row>
    <row r="595" spans="1:15">
      <c r="A595" s="361">
        <f>A594+1</f>
        <v>20</v>
      </c>
      <c r="B595" s="365">
        <v>383</v>
      </c>
      <c r="C595" s="358" t="s">
        <v>1625</v>
      </c>
      <c r="D595" s="923">
        <f>D596-D594</f>
        <v>7334559.7299999995</v>
      </c>
      <c r="E595" s="923">
        <f>E596-E594</f>
        <v>33718.410000000003</v>
      </c>
      <c r="F595" s="923">
        <f>F596-F594</f>
        <v>0</v>
      </c>
      <c r="G595" s="923">
        <f>SUM(D595:F595)</f>
        <v>7368278.1399999997</v>
      </c>
      <c r="H595" s="369"/>
      <c r="I595" s="923">
        <f>I596-I594</f>
        <v>2486451.0919999997</v>
      </c>
      <c r="J595" s="369"/>
      <c r="K595" s="923">
        <f>K596-K594</f>
        <v>11884.682999999999</v>
      </c>
      <c r="L595" s="923">
        <v>0</v>
      </c>
      <c r="M595" s="923">
        <f>M596-M594</f>
        <v>0</v>
      </c>
      <c r="N595" s="923">
        <f>N596-N594</f>
        <v>0</v>
      </c>
      <c r="O595" s="923">
        <f>I595+K595+L595+M595+N595</f>
        <v>2498335.7749999999</v>
      </c>
    </row>
    <row r="596" spans="1:15">
      <c r="A596" s="361">
        <f>A595+1</f>
        <v>21</v>
      </c>
      <c r="B596" s="365">
        <v>383</v>
      </c>
      <c r="C596" s="358" t="s">
        <v>3082</v>
      </c>
      <c r="D596" s="369">
        <f>G550</f>
        <v>7327690.7399999993</v>
      </c>
      <c r="E596" s="369">
        <f>+'INPUT - B Schedule PLANT'!BN35</f>
        <v>41482.04</v>
      </c>
      <c r="F596" s="369">
        <f>+'INPUT - B Schedule PLANT'!BO35</f>
        <v>-270.10000000000002</v>
      </c>
      <c r="G596" s="369">
        <f>SUM(G594:G595)</f>
        <v>7368902.6799999997</v>
      </c>
      <c r="H596" s="369"/>
      <c r="I596" s="369">
        <f>O550</f>
        <v>2479528.5499999998</v>
      </c>
      <c r="J596" s="369"/>
      <c r="K596" s="369">
        <v>11879.74</v>
      </c>
      <c r="L596" s="369">
        <f>SUM(L594:L595)</f>
        <v>0</v>
      </c>
      <c r="M596" s="369">
        <f>+F596</f>
        <v>-270.10000000000002</v>
      </c>
      <c r="N596" s="369">
        <v>0</v>
      </c>
      <c r="O596" s="369">
        <f>SUM(O594:O595)</f>
        <v>2491138.19</v>
      </c>
    </row>
    <row r="599" spans="1:15" s="291" customFormat="1">
      <c r="A599" s="1308" t="str">
        <f>$A$1</f>
        <v>COLUMBIA GAS OF KENTUCKY, INC.</v>
      </c>
      <c r="B599" s="1308"/>
      <c r="C599" s="1308"/>
      <c r="D599" s="1308"/>
      <c r="E599" s="1308"/>
      <c r="F599" s="1308"/>
      <c r="G599" s="1308"/>
      <c r="H599" s="1308"/>
      <c r="I599" s="1308"/>
      <c r="J599" s="1308"/>
      <c r="K599" s="1308"/>
      <c r="L599" s="1308"/>
      <c r="M599" s="1308"/>
      <c r="N599" s="1308"/>
      <c r="O599" s="1308"/>
    </row>
    <row r="600" spans="1:15" s="291" customFormat="1">
      <c r="A600" s="1308" t="str">
        <f>$A$2</f>
        <v>CASE NO. 2024 - 00092</v>
      </c>
      <c r="B600" s="1308"/>
      <c r="C600" s="1308"/>
      <c r="D600" s="1308"/>
      <c r="E600" s="1308"/>
      <c r="F600" s="1308"/>
      <c r="G600" s="1308"/>
      <c r="H600" s="1308"/>
      <c r="I600" s="1308"/>
      <c r="J600" s="1308"/>
      <c r="K600" s="1308"/>
      <c r="L600" s="1308"/>
      <c r="M600" s="1308"/>
      <c r="N600" s="1308"/>
      <c r="O600" s="1308"/>
    </row>
    <row r="601" spans="1:15" s="291" customFormat="1">
      <c r="A601" s="1308" t="str">
        <f>$A$3</f>
        <v>DETAIL OF ACTUAL &amp;  FORECASTED SMRP PLANT, ACCUMULATED RESERVE &amp; DEPRECIATION EXPENSE</v>
      </c>
      <c r="B601" s="1308"/>
      <c r="C601" s="1308"/>
      <c r="D601" s="1308"/>
      <c r="E601" s="1308"/>
      <c r="F601" s="1308"/>
      <c r="G601" s="1308"/>
      <c r="H601" s="1308"/>
      <c r="I601" s="1308"/>
      <c r="J601" s="1308"/>
      <c r="K601" s="1308"/>
      <c r="L601" s="1308"/>
      <c r="M601" s="1308"/>
      <c r="N601" s="1308"/>
      <c r="O601" s="1308"/>
    </row>
    <row r="602" spans="1:15" s="291" customFormat="1">
      <c r="A602" s="1308" t="str">
        <f>$A$4</f>
        <v>FROM JANUARY 01, 2023 THROUGH DECEMBER 31, 2025</v>
      </c>
      <c r="B602" s="1308"/>
      <c r="C602" s="1308"/>
      <c r="D602" s="1308"/>
      <c r="E602" s="1308"/>
      <c r="F602" s="1308"/>
      <c r="G602" s="1308"/>
      <c r="H602" s="1308"/>
      <c r="I602" s="1308"/>
      <c r="J602" s="1308"/>
      <c r="K602" s="1308"/>
      <c r="L602" s="1308"/>
      <c r="M602" s="1308"/>
      <c r="N602" s="1308"/>
      <c r="O602" s="1308"/>
    </row>
    <row r="603" spans="1:15" s="291" customFormat="1">
      <c r="B603" s="293"/>
    </row>
    <row r="604" spans="1:15" s="291" customFormat="1">
      <c r="A604" s="297" t="str">
        <f>'General Headers Index'!$B$34</f>
        <v xml:space="preserve">DATA: _X_ BASE PERIOD _X_ FORECASTED PERIOD     </v>
      </c>
      <c r="B604" s="293"/>
      <c r="O604" s="312" t="s">
        <v>2461</v>
      </c>
    </row>
    <row r="605" spans="1:15" s="291" customFormat="1">
      <c r="A605" s="297" t="str">
        <f>'General Headers Index'!$B$37</f>
        <v>TYPE OF FILING:___X___ORIGINAL______UPDATED</v>
      </c>
      <c r="B605" s="293"/>
      <c r="O605" s="312" t="s">
        <v>2236</v>
      </c>
    </row>
    <row r="606" spans="1:15" s="291" customFormat="1">
      <c r="A606" s="297" t="s">
        <v>2150</v>
      </c>
      <c r="B606" s="293"/>
      <c r="O606" s="312" t="str">
        <f>"WITNESS: "&amp;'General Headers Index'!$B$42</f>
        <v>WITNESS: GORE</v>
      </c>
    </row>
    <row r="607" spans="1:15">
      <c r="A607" s="918"/>
      <c r="B607" s="918"/>
      <c r="C607" s="918"/>
      <c r="D607" s="918"/>
      <c r="E607" s="918"/>
      <c r="F607" s="918"/>
      <c r="G607" s="918"/>
      <c r="H607" s="918"/>
      <c r="I607" s="918"/>
      <c r="J607" s="918"/>
      <c r="K607" s="918"/>
      <c r="L607" s="918"/>
      <c r="M607" s="918"/>
      <c r="N607" s="918"/>
      <c r="O607" s="918"/>
    </row>
    <row r="608" spans="1:15">
      <c r="B608" s="359"/>
      <c r="D608" s="1312" t="s">
        <v>1768</v>
      </c>
      <c r="E608" s="1312"/>
      <c r="F608" s="1312"/>
      <c r="G608" s="1312"/>
      <c r="I608" s="1312" t="s">
        <v>1769</v>
      </c>
      <c r="J608" s="1312"/>
      <c r="K608" s="1312"/>
      <c r="L608" s="1312"/>
      <c r="M608" s="1312"/>
      <c r="N608" s="1312"/>
      <c r="O608" s="1312"/>
    </row>
    <row r="609" spans="1:15">
      <c r="B609" s="359"/>
      <c r="D609" s="360">
        <f>G563+1</f>
        <v>45323</v>
      </c>
      <c r="G609" s="360">
        <f>D609+28</f>
        <v>45351</v>
      </c>
      <c r="I609" s="360">
        <f>D609</f>
        <v>45323</v>
      </c>
      <c r="O609" s="360">
        <f>G609</f>
        <v>45351</v>
      </c>
    </row>
    <row r="610" spans="1:15">
      <c r="B610" s="359"/>
      <c r="D610" s="361" t="s">
        <v>1757</v>
      </c>
      <c r="G610" s="361" t="s">
        <v>1757</v>
      </c>
      <c r="I610" s="361" t="s">
        <v>1758</v>
      </c>
      <c r="J610" s="361" t="s">
        <v>488</v>
      </c>
      <c r="L610" s="361" t="s">
        <v>1758</v>
      </c>
      <c r="O610" s="361" t="s">
        <v>1758</v>
      </c>
    </row>
    <row r="611" spans="1:15">
      <c r="A611" s="361" t="s">
        <v>1770</v>
      </c>
      <c r="B611" s="361" t="s">
        <v>368</v>
      </c>
      <c r="C611" s="361"/>
      <c r="D611" s="361" t="s">
        <v>437</v>
      </c>
      <c r="G611" s="361" t="s">
        <v>439</v>
      </c>
      <c r="I611" s="361" t="s">
        <v>437</v>
      </c>
      <c r="J611" s="361" t="s">
        <v>1771</v>
      </c>
      <c r="K611" s="361" t="s">
        <v>1772</v>
      </c>
      <c r="L611" s="361" t="s">
        <v>1759</v>
      </c>
      <c r="N611" s="361" t="s">
        <v>1760</v>
      </c>
      <c r="O611" s="361" t="s">
        <v>439</v>
      </c>
    </row>
    <row r="612" spans="1:15">
      <c r="A612" s="364" t="s">
        <v>316</v>
      </c>
      <c r="B612" s="364" t="s">
        <v>316</v>
      </c>
      <c r="C612" s="364" t="s">
        <v>451</v>
      </c>
      <c r="D612" s="364" t="s">
        <v>441</v>
      </c>
      <c r="E612" s="364" t="s">
        <v>442</v>
      </c>
      <c r="F612" s="364" t="s">
        <v>443</v>
      </c>
      <c r="G612" s="364" t="s">
        <v>441</v>
      </c>
      <c r="I612" s="364" t="s">
        <v>441</v>
      </c>
      <c r="J612" s="364" t="s">
        <v>1773</v>
      </c>
      <c r="K612" s="364" t="s">
        <v>1771</v>
      </c>
      <c r="L612" s="364" t="s">
        <v>355</v>
      </c>
      <c r="M612" s="364" t="s">
        <v>443</v>
      </c>
      <c r="N612" s="364" t="s">
        <v>1763</v>
      </c>
      <c r="O612" s="364" t="s">
        <v>441</v>
      </c>
    </row>
    <row r="613" spans="1:15">
      <c r="B613" s="359"/>
      <c r="D613" s="361" t="s">
        <v>532</v>
      </c>
      <c r="E613" s="361" t="s">
        <v>541</v>
      </c>
      <c r="F613" s="361" t="s">
        <v>542</v>
      </c>
      <c r="G613" s="361" t="s">
        <v>1764</v>
      </c>
      <c r="I613" s="334" t="str">
        <f>"(5)"</f>
        <v>(5)</v>
      </c>
      <c r="J613" s="334" t="str">
        <f>"(6)"</f>
        <v>(6)</v>
      </c>
      <c r="K613" s="334" t="str">
        <f>"(7)"</f>
        <v>(7)</v>
      </c>
      <c r="L613" s="334" t="str">
        <f>"(8)"</f>
        <v>(8)</v>
      </c>
      <c r="M613" s="334" t="str">
        <f>"(9)"</f>
        <v>(9)</v>
      </c>
      <c r="N613" s="334" t="str">
        <f>"(10)"</f>
        <v>(10)</v>
      </c>
      <c r="O613" s="334" t="str">
        <f>"(11=5+7+8+9+10)"</f>
        <v>(11=5+7+8+9+10)</v>
      </c>
    </row>
    <row r="614" spans="1:15">
      <c r="B614" s="359"/>
      <c r="D614" s="361" t="s">
        <v>320</v>
      </c>
      <c r="E614" s="361" t="s">
        <v>320</v>
      </c>
      <c r="F614" s="361" t="s">
        <v>320</v>
      </c>
      <c r="G614" s="361" t="s">
        <v>320</v>
      </c>
      <c r="I614" s="334" t="s">
        <v>320</v>
      </c>
      <c r="J614" s="1250" t="s">
        <v>529</v>
      </c>
      <c r="K614" s="334" t="s">
        <v>320</v>
      </c>
      <c r="L614" s="334" t="s">
        <v>320</v>
      </c>
      <c r="M614" s="334" t="s">
        <v>320</v>
      </c>
      <c r="N614" s="334" t="s">
        <v>320</v>
      </c>
      <c r="O614" s="334" t="s">
        <v>320</v>
      </c>
    </row>
    <row r="615" spans="1:15">
      <c r="B615" s="359"/>
      <c r="D615" s="361"/>
      <c r="E615" s="361"/>
      <c r="F615" s="361"/>
      <c r="G615" s="361"/>
      <c r="I615" s="334"/>
      <c r="J615" s="334"/>
      <c r="K615" s="334"/>
      <c r="L615" s="334"/>
      <c r="M615" s="334"/>
      <c r="N615" s="334"/>
      <c r="O615" s="334"/>
    </row>
    <row r="616" spans="1:15">
      <c r="A616" s="361">
        <v>1</v>
      </c>
      <c r="B616" s="365">
        <v>376</v>
      </c>
      <c r="C616" s="358" t="s">
        <v>1775</v>
      </c>
      <c r="D616" s="369">
        <f>G570</f>
        <v>31182006.359999999</v>
      </c>
      <c r="E616" s="369">
        <v>631073.57999999996</v>
      </c>
      <c r="F616" s="369">
        <v>-56908.2</v>
      </c>
      <c r="G616" s="369">
        <f>SUM(D616:F616)</f>
        <v>31756171.739999998</v>
      </c>
      <c r="H616" s="369"/>
      <c r="I616" s="369">
        <f>O570</f>
        <v>-42988.025999999991</v>
      </c>
      <c r="J616" s="369"/>
      <c r="K616" s="369">
        <v>45630.27</v>
      </c>
      <c r="L616" s="369">
        <v>0</v>
      </c>
      <c r="M616" s="369">
        <f>F616</f>
        <v>-56908.2</v>
      </c>
      <c r="N616" s="369">
        <v>-5197.96</v>
      </c>
      <c r="O616" s="369">
        <f>I616+K616+L616+M616+N616</f>
        <v>-59463.91599999999</v>
      </c>
    </row>
    <row r="617" spans="1:15">
      <c r="A617" s="361">
        <f>A616+1</f>
        <v>2</v>
      </c>
      <c r="B617" s="365">
        <v>378.2</v>
      </c>
      <c r="C617" s="358" t="s">
        <v>1776</v>
      </c>
      <c r="D617" s="369">
        <f>G571</f>
        <v>-390576.59000000008</v>
      </c>
      <c r="E617" s="369">
        <v>26957</v>
      </c>
      <c r="F617" s="369">
        <v>-10808.47</v>
      </c>
      <c r="G617" s="369">
        <f>SUM(D617:F617)</f>
        <v>-374428.06000000006</v>
      </c>
      <c r="H617" s="369"/>
      <c r="I617" s="369">
        <f>O571</f>
        <v>-449447.72499999998</v>
      </c>
      <c r="J617" s="369"/>
      <c r="K617" s="369">
        <v>-803.04399999999998</v>
      </c>
      <c r="L617" s="369">
        <v>0</v>
      </c>
      <c r="M617" s="369">
        <f>F617</f>
        <v>-10808.47</v>
      </c>
      <c r="N617" s="369">
        <v>0</v>
      </c>
      <c r="O617" s="369">
        <f>I617+K617+L617+M617+N617</f>
        <v>-461059.23899999994</v>
      </c>
    </row>
    <row r="618" spans="1:15">
      <c r="A618" s="361">
        <f>A617+1</f>
        <v>3</v>
      </c>
      <c r="B618" s="365">
        <v>380</v>
      </c>
      <c r="C618" s="358" t="s">
        <v>1777</v>
      </c>
      <c r="D618" s="369">
        <f>G572</f>
        <v>10543454.860570366</v>
      </c>
      <c r="E618" s="369">
        <v>965406.04</v>
      </c>
      <c r="F618" s="369">
        <v>-142561.49</v>
      </c>
      <c r="G618" s="369">
        <f>SUM(D618:F618)</f>
        <v>11366299.410570366</v>
      </c>
      <c r="H618" s="369"/>
      <c r="I618" s="369">
        <f>O572</f>
        <v>-4704787.4660216337</v>
      </c>
      <c r="J618" s="369"/>
      <c r="K618" s="369">
        <v>36333.550999999999</v>
      </c>
      <c r="L618" s="369">
        <v>0</v>
      </c>
      <c r="M618" s="369">
        <f>F618</f>
        <v>-142561.49</v>
      </c>
      <c r="N618" s="369">
        <v>-91122.1</v>
      </c>
      <c r="O618" s="369">
        <f>I618+K618+L618+M618+N618</f>
        <v>-4902137.5050216336</v>
      </c>
    </row>
    <row r="619" spans="1:15">
      <c r="A619" s="361">
        <f>A618+1</f>
        <v>4</v>
      </c>
      <c r="B619" s="365">
        <v>382</v>
      </c>
      <c r="C619" s="358" t="s">
        <v>1778</v>
      </c>
      <c r="D619" s="369">
        <f>G573</f>
        <v>135150.63</v>
      </c>
      <c r="E619" s="369">
        <v>46199.51</v>
      </c>
      <c r="F619" s="369">
        <v>-2576.42</v>
      </c>
      <c r="G619" s="369">
        <f>SUM(D619:F619)</f>
        <v>178773.72</v>
      </c>
      <c r="H619" s="369"/>
      <c r="I619" s="369">
        <f>O573</f>
        <v>-49888.476000000002</v>
      </c>
      <c r="J619" s="369"/>
      <c r="K619" s="369">
        <v>231.172</v>
      </c>
      <c r="L619" s="369">
        <v>0</v>
      </c>
      <c r="M619" s="369">
        <f>F619</f>
        <v>-2576.42</v>
      </c>
      <c r="N619" s="369">
        <v>0</v>
      </c>
      <c r="O619" s="369">
        <f>I619+K619+L619+M619+N619</f>
        <v>-52233.724000000002</v>
      </c>
    </row>
    <row r="620" spans="1:15">
      <c r="A620" s="361">
        <f>A619+1</f>
        <v>5</v>
      </c>
      <c r="B620" s="365">
        <v>383</v>
      </c>
      <c r="C620" s="358" t="s">
        <v>1779</v>
      </c>
      <c r="D620" s="923">
        <f>G574</f>
        <v>624.5400000000003</v>
      </c>
      <c r="E620" s="923">
        <v>16342.16</v>
      </c>
      <c r="F620" s="923">
        <v>-489.95</v>
      </c>
      <c r="G620" s="923">
        <f>SUM(D620:F620)</f>
        <v>16476.75</v>
      </c>
      <c r="H620" s="369"/>
      <c r="I620" s="923">
        <f>O574</f>
        <v>-7197.585</v>
      </c>
      <c r="J620" s="369"/>
      <c r="K620" s="923">
        <v>13.814</v>
      </c>
      <c r="L620" s="923">
        <v>0</v>
      </c>
      <c r="M620" s="923">
        <f>F620</f>
        <v>-489.95</v>
      </c>
      <c r="N620" s="923">
        <v>0</v>
      </c>
      <c r="O620" s="923">
        <f>I620+K620+L620+M620+N620</f>
        <v>-7673.7209999999995</v>
      </c>
    </row>
    <row r="621" spans="1:15">
      <c r="A621" s="361">
        <f>A620+1</f>
        <v>6</v>
      </c>
      <c r="C621" s="358" t="s">
        <v>3077</v>
      </c>
      <c r="D621" s="369">
        <f>SUM(D616:D620)</f>
        <v>41470659.800570369</v>
      </c>
      <c r="E621" s="369">
        <f>SUM(E616:E620)</f>
        <v>1685978.29</v>
      </c>
      <c r="F621" s="369">
        <f>SUM(F616:F620)</f>
        <v>-213344.53</v>
      </c>
      <c r="G621" s="369">
        <f>SUM(G616:G620)</f>
        <v>42943293.560570367</v>
      </c>
      <c r="H621" s="369"/>
      <c r="I621" s="369">
        <f>SUM(I616:I620)</f>
        <v>-5254309.2780216336</v>
      </c>
      <c r="J621" s="369"/>
      <c r="K621" s="369">
        <f>SUM(K616:K620)</f>
        <v>81405.763000000006</v>
      </c>
      <c r="L621" s="369">
        <f t="shared" ref="L621" si="13">SUM(L616:L620)</f>
        <v>0</v>
      </c>
      <c r="M621" s="369">
        <f>SUM(M616:M620)</f>
        <v>-213344.53</v>
      </c>
      <c r="N621" s="369">
        <f>SUM(N616:N620)</f>
        <v>-96320.060000000012</v>
      </c>
      <c r="O621" s="369">
        <f>SUM(O616:O620)</f>
        <v>-5482568.1050216341</v>
      </c>
    </row>
    <row r="622" spans="1:15">
      <c r="A622" s="361"/>
      <c r="D622" s="369"/>
      <c r="E622" s="369"/>
      <c r="F622" s="369"/>
      <c r="G622" s="369"/>
      <c r="H622" s="369"/>
      <c r="I622" s="369"/>
      <c r="J622" s="369"/>
      <c r="K622" s="369"/>
      <c r="L622" s="369"/>
      <c r="M622" s="369"/>
      <c r="N622" s="369"/>
      <c r="O622" s="369"/>
    </row>
    <row r="623" spans="1:15">
      <c r="A623" s="361"/>
      <c r="D623" s="369"/>
      <c r="E623" s="369"/>
      <c r="F623" s="369"/>
      <c r="G623" s="369"/>
      <c r="H623" s="369"/>
      <c r="I623" s="369"/>
      <c r="J623" s="369"/>
      <c r="K623" s="369"/>
      <c r="L623" s="369"/>
      <c r="M623" s="369"/>
      <c r="N623" s="369"/>
      <c r="O623" s="369"/>
    </row>
    <row r="624" spans="1:15">
      <c r="A624" s="361">
        <f>A621+1</f>
        <v>7</v>
      </c>
      <c r="B624" s="365">
        <v>376</v>
      </c>
      <c r="C624" s="358" t="s">
        <v>1775</v>
      </c>
      <c r="D624" s="369">
        <f>D616</f>
        <v>31182006.359999999</v>
      </c>
      <c r="E624" s="369">
        <f>E616</f>
        <v>631073.57999999996</v>
      </c>
      <c r="F624" s="369">
        <f>F616</f>
        <v>-56908.2</v>
      </c>
      <c r="G624" s="369">
        <f>SUM(D624:F624)</f>
        <v>31756171.739999998</v>
      </c>
      <c r="H624" s="369"/>
      <c r="I624" s="369">
        <f>I616</f>
        <v>-42988.025999999991</v>
      </c>
      <c r="J624" s="369"/>
      <c r="K624" s="369">
        <f>K616</f>
        <v>45630.27</v>
      </c>
      <c r="L624" s="369">
        <v>0</v>
      </c>
      <c r="M624" s="369">
        <f>M616</f>
        <v>-56908.2</v>
      </c>
      <c r="N624" s="369">
        <f>N616</f>
        <v>-5197.96</v>
      </c>
      <c r="O624" s="369">
        <f>I624+K624+L624+M624+N624</f>
        <v>-59463.91599999999</v>
      </c>
    </row>
    <row r="625" spans="1:15">
      <c r="A625" s="361">
        <f>A624+1</f>
        <v>8</v>
      </c>
      <c r="B625" s="365">
        <v>376</v>
      </c>
      <c r="C625" s="358" t="s">
        <v>1621</v>
      </c>
      <c r="D625" s="923">
        <f>D626-D624</f>
        <v>411481640.11000007</v>
      </c>
      <c r="E625" s="923">
        <f>E626-E624</f>
        <v>620652.29999999993</v>
      </c>
      <c r="F625" s="923">
        <f>F626-F624</f>
        <v>-1764.0200000000041</v>
      </c>
      <c r="G625" s="923">
        <f>SUM(D625:F625)</f>
        <v>412100528.3900001</v>
      </c>
      <c r="H625" s="369"/>
      <c r="I625" s="923">
        <f>I626-I624</f>
        <v>80149405.686000049</v>
      </c>
      <c r="J625" s="369"/>
      <c r="K625" s="923">
        <f>K626-K624</f>
        <v>593403.1100000001</v>
      </c>
      <c r="L625" s="923">
        <v>0</v>
      </c>
      <c r="M625" s="923">
        <f>M626-M624</f>
        <v>-1764.0200000000041</v>
      </c>
      <c r="N625" s="923">
        <f>N626-N624</f>
        <v>-1927.92</v>
      </c>
      <c r="O625" s="923">
        <f>I625+K625+L625+M625+N625</f>
        <v>80739116.856000051</v>
      </c>
    </row>
    <row r="626" spans="1:15">
      <c r="A626" s="361">
        <f>A625+1</f>
        <v>9</v>
      </c>
      <c r="B626" s="365">
        <v>376</v>
      </c>
      <c r="C626" s="358" t="s">
        <v>3078</v>
      </c>
      <c r="D626" s="369">
        <f>G580</f>
        <v>442663646.47000009</v>
      </c>
      <c r="E626" s="369">
        <f>+'INPUT - B Schedule PLANT'!BS26</f>
        <v>1251725.8799999999</v>
      </c>
      <c r="F626" s="369">
        <f>+'INPUT - B Schedule PLANT'!BT26</f>
        <v>-58672.22</v>
      </c>
      <c r="G626" s="369">
        <f>SUM(G624:G625)</f>
        <v>443856700.13000011</v>
      </c>
      <c r="H626" s="369"/>
      <c r="I626" s="369">
        <f>O580</f>
        <v>80106417.660000056</v>
      </c>
      <c r="J626" s="369"/>
      <c r="K626" s="369">
        <v>639033.38000000012</v>
      </c>
      <c r="L626" s="369">
        <f>SUM(L624:L625)</f>
        <v>0</v>
      </c>
      <c r="M626" s="369">
        <f>+F626</f>
        <v>-58672.22</v>
      </c>
      <c r="N626" s="369">
        <v>-7125.88</v>
      </c>
      <c r="O626" s="369">
        <f>SUM(O624:O625)</f>
        <v>80679652.940000057</v>
      </c>
    </row>
    <row r="627" spans="1:15">
      <c r="A627" s="361"/>
      <c r="B627" s="365"/>
      <c r="D627" s="369"/>
      <c r="E627" s="369"/>
      <c r="F627" s="369"/>
      <c r="G627" s="369"/>
      <c r="H627" s="369"/>
      <c r="I627" s="369"/>
      <c r="J627" s="369"/>
      <c r="K627" s="369"/>
      <c r="L627" s="369"/>
      <c r="M627" s="369"/>
      <c r="N627" s="369"/>
      <c r="O627" s="369"/>
    </row>
    <row r="628" spans="1:15">
      <c r="A628" s="361">
        <f>A626+1</f>
        <v>10</v>
      </c>
      <c r="B628" s="365">
        <v>378.2</v>
      </c>
      <c r="C628" s="358" t="s">
        <v>1776</v>
      </c>
      <c r="D628" s="369">
        <f>D617</f>
        <v>-390576.59000000008</v>
      </c>
      <c r="E628" s="369">
        <f>E617</f>
        <v>26957</v>
      </c>
      <c r="F628" s="369">
        <f>F617</f>
        <v>-10808.47</v>
      </c>
      <c r="G628" s="369">
        <f>SUM(D628:F628)</f>
        <v>-374428.06000000006</v>
      </c>
      <c r="H628" s="369"/>
      <c r="I628" s="369">
        <f>I617</f>
        <v>-449447.72499999998</v>
      </c>
      <c r="J628" s="369"/>
      <c r="K628" s="369">
        <f>K617</f>
        <v>-803.04399999999998</v>
      </c>
      <c r="L628" s="369">
        <v>0</v>
      </c>
      <c r="M628" s="369">
        <f>M617</f>
        <v>-10808.47</v>
      </c>
      <c r="N628" s="369">
        <f>N617</f>
        <v>0</v>
      </c>
      <c r="O628" s="369">
        <f>I628+K628+L628+M628+N628</f>
        <v>-461059.23899999994</v>
      </c>
    </row>
    <row r="629" spans="1:15">
      <c r="A629" s="361">
        <f>A628+1</f>
        <v>11</v>
      </c>
      <c r="B629" s="365">
        <v>378.2</v>
      </c>
      <c r="C629" s="358" t="s">
        <v>1622</v>
      </c>
      <c r="D629" s="923">
        <f>D630-D628</f>
        <v>25353384.650000002</v>
      </c>
      <c r="E629" s="923">
        <f>E630-E628</f>
        <v>5.0399999999935972</v>
      </c>
      <c r="F629" s="923">
        <f>F630-F628</f>
        <v>-2816.5800000000017</v>
      </c>
      <c r="G629" s="923">
        <f>SUM(D629:F629)</f>
        <v>25350573.110000003</v>
      </c>
      <c r="H629" s="369"/>
      <c r="I629" s="923">
        <f>I630-I628</f>
        <v>3438058.4450000003</v>
      </c>
      <c r="J629" s="369"/>
      <c r="K629" s="923">
        <f>K630-K628</f>
        <v>53396.034</v>
      </c>
      <c r="L629" s="923">
        <v>0</v>
      </c>
      <c r="M629" s="923">
        <f>M630-M628</f>
        <v>-2816.5800000000017</v>
      </c>
      <c r="N629" s="923">
        <f>N630-N628</f>
        <v>0</v>
      </c>
      <c r="O629" s="923">
        <f>I629+K629+L629+M629+N629</f>
        <v>3488637.8990000002</v>
      </c>
    </row>
    <row r="630" spans="1:15">
      <c r="A630" s="361">
        <f>A629+1</f>
        <v>12</v>
      </c>
      <c r="B630" s="365">
        <v>378.2</v>
      </c>
      <c r="C630" s="358" t="s">
        <v>3079</v>
      </c>
      <c r="D630" s="369">
        <f>G584</f>
        <v>24962808.060000002</v>
      </c>
      <c r="E630" s="369">
        <f>+'INPUT - B Schedule PLANT'!BS28</f>
        <v>26962.039999999994</v>
      </c>
      <c r="F630" s="369">
        <f>+'INPUT - B Schedule PLANT'!BT28</f>
        <v>-13625.050000000001</v>
      </c>
      <c r="G630" s="369">
        <f>SUM(G628:G629)</f>
        <v>24976145.050000004</v>
      </c>
      <c r="H630" s="369"/>
      <c r="I630" s="369">
        <f>O584</f>
        <v>2988610.72</v>
      </c>
      <c r="J630" s="369"/>
      <c r="K630" s="369">
        <v>52592.99</v>
      </c>
      <c r="L630" s="369">
        <f>SUM(L628:L629)</f>
        <v>0</v>
      </c>
      <c r="M630" s="369">
        <f>+F630</f>
        <v>-13625.050000000001</v>
      </c>
      <c r="N630" s="369">
        <v>0</v>
      </c>
      <c r="O630" s="369">
        <f>SUM(O628:O629)</f>
        <v>3027578.66</v>
      </c>
    </row>
    <row r="631" spans="1:15">
      <c r="A631" s="361"/>
      <c r="B631" s="365"/>
      <c r="D631" s="369"/>
      <c r="E631" s="369"/>
      <c r="F631" s="369"/>
      <c r="G631" s="369"/>
      <c r="H631" s="369"/>
      <c r="I631" s="369"/>
      <c r="J631" s="369"/>
      <c r="K631" s="369"/>
      <c r="L631" s="369"/>
      <c r="M631" s="369"/>
      <c r="N631" s="369"/>
      <c r="O631" s="369"/>
    </row>
    <row r="632" spans="1:15">
      <c r="A632" s="361">
        <f>A630+1</f>
        <v>13</v>
      </c>
      <c r="B632" s="365">
        <v>380</v>
      </c>
      <c r="C632" s="358" t="s">
        <v>1777</v>
      </c>
      <c r="D632" s="369">
        <f>D618</f>
        <v>10543454.860570366</v>
      </c>
      <c r="E632" s="369">
        <f>E618</f>
        <v>965406.04</v>
      </c>
      <c r="F632" s="369">
        <f>F618</f>
        <v>-142561.49</v>
      </c>
      <c r="G632" s="369">
        <f>SUM(D632:F632)</f>
        <v>11366299.410570366</v>
      </c>
      <c r="H632" s="369"/>
      <c r="I632" s="369">
        <f>I618</f>
        <v>-4704787.4660216337</v>
      </c>
      <c r="J632" s="369"/>
      <c r="K632" s="369">
        <f>K618</f>
        <v>36333.550999999999</v>
      </c>
      <c r="L632" s="369">
        <v>0</v>
      </c>
      <c r="M632" s="369">
        <f>M618</f>
        <v>-142561.49</v>
      </c>
      <c r="N632" s="369">
        <f>N618</f>
        <v>-91122.1</v>
      </c>
      <c r="O632" s="369">
        <f>I632+K632+L632+M632+N632</f>
        <v>-4902137.5050216336</v>
      </c>
    </row>
    <row r="633" spans="1:15">
      <c r="A633" s="361">
        <f>A632+1</f>
        <v>14</v>
      </c>
      <c r="B633" s="365">
        <v>380</v>
      </c>
      <c r="C633" s="358" t="s">
        <v>1623</v>
      </c>
      <c r="D633" s="923">
        <f>D634-D632</f>
        <v>202788841.64942962</v>
      </c>
      <c r="E633" s="923">
        <f>E634-E632</f>
        <v>925342.34999999986</v>
      </c>
      <c r="F633" s="923">
        <f>F634-F632</f>
        <v>-28354.780000000028</v>
      </c>
      <c r="G633" s="923">
        <f>SUM(D633:F633)</f>
        <v>203685829.21942961</v>
      </c>
      <c r="H633" s="369"/>
      <c r="I633" s="923">
        <f>I634-I632</f>
        <v>59886315.966021635</v>
      </c>
      <c r="J633" s="369"/>
      <c r="K633" s="923">
        <f>K634-K632</f>
        <v>644224.94899999991</v>
      </c>
      <c r="L633" s="923">
        <v>0</v>
      </c>
      <c r="M633" s="923">
        <f>M634-M632</f>
        <v>-28354.780000000028</v>
      </c>
      <c r="N633" s="923">
        <f>N634-N632</f>
        <v>-18123.910000000003</v>
      </c>
      <c r="O633" s="923">
        <f>I633+K633+L633+M633+N633</f>
        <v>60484062.225021638</v>
      </c>
    </row>
    <row r="634" spans="1:15">
      <c r="A634" s="361">
        <f>A633+1</f>
        <v>15</v>
      </c>
      <c r="B634" s="365">
        <v>380</v>
      </c>
      <c r="C634" s="358" t="s">
        <v>3080</v>
      </c>
      <c r="D634" s="369">
        <f>G588</f>
        <v>213332296.50999999</v>
      </c>
      <c r="E634" s="369">
        <f>+'INPUT - B Schedule PLANT'!BS31</f>
        <v>1890748.39</v>
      </c>
      <c r="F634" s="369">
        <f>+'INPUT - B Schedule PLANT'!BT31</f>
        <v>-170916.27000000002</v>
      </c>
      <c r="G634" s="369">
        <f>SUM(G632:G633)</f>
        <v>215052128.62999997</v>
      </c>
      <c r="H634" s="369"/>
      <c r="I634" s="369">
        <f>O588</f>
        <v>55181528.5</v>
      </c>
      <c r="J634" s="369"/>
      <c r="K634" s="369">
        <v>680558.49999999988</v>
      </c>
      <c r="L634" s="369">
        <f>SUM(L632:L633)</f>
        <v>0</v>
      </c>
      <c r="M634" s="369">
        <f>+F634</f>
        <v>-170916.27000000002</v>
      </c>
      <c r="N634" s="369">
        <v>-109246.01000000001</v>
      </c>
      <c r="O634" s="369">
        <f>SUM(O632:O633)</f>
        <v>55581924.720000006</v>
      </c>
    </row>
    <row r="635" spans="1:15">
      <c r="A635" s="361"/>
      <c r="B635" s="365"/>
      <c r="D635" s="369"/>
      <c r="E635" s="369"/>
      <c r="F635" s="369"/>
      <c r="G635" s="369"/>
      <c r="H635" s="369"/>
      <c r="I635" s="369"/>
      <c r="J635" s="369"/>
      <c r="K635" s="369"/>
      <c r="L635" s="369"/>
      <c r="M635" s="369"/>
      <c r="N635" s="369"/>
      <c r="O635" s="369"/>
    </row>
    <row r="636" spans="1:15">
      <c r="A636" s="361">
        <f>A634+1</f>
        <v>16</v>
      </c>
      <c r="B636" s="365">
        <v>382</v>
      </c>
      <c r="C636" s="358" t="s">
        <v>1778</v>
      </c>
      <c r="D636" s="369">
        <f>D619</f>
        <v>135150.63</v>
      </c>
      <c r="E636" s="369">
        <f>E619</f>
        <v>46199.51</v>
      </c>
      <c r="F636" s="369">
        <f>F619</f>
        <v>-2576.42</v>
      </c>
      <c r="G636" s="369">
        <f>SUM(D636:F636)</f>
        <v>178773.72</v>
      </c>
      <c r="H636" s="369"/>
      <c r="I636" s="369">
        <f>I619</f>
        <v>-49888.476000000002</v>
      </c>
      <c r="J636" s="369"/>
      <c r="K636" s="369">
        <f>K619</f>
        <v>231.172</v>
      </c>
      <c r="L636" s="369">
        <v>0</v>
      </c>
      <c r="M636" s="369">
        <f>M619</f>
        <v>-2576.42</v>
      </c>
      <c r="N636" s="369">
        <f>N619</f>
        <v>0</v>
      </c>
      <c r="O636" s="369">
        <f>I636+K636+L636+M636+N636</f>
        <v>-52233.724000000002</v>
      </c>
    </row>
    <row r="637" spans="1:15">
      <c r="A637" s="361">
        <f>A636+1</f>
        <v>17</v>
      </c>
      <c r="B637" s="365">
        <v>382</v>
      </c>
      <c r="C637" s="358" t="s">
        <v>1624</v>
      </c>
      <c r="D637" s="923">
        <f>D638-D636</f>
        <v>10574151.059999999</v>
      </c>
      <c r="E637" s="923">
        <f>E638-E636</f>
        <v>10716</v>
      </c>
      <c r="F637" s="923">
        <f>F638-F636</f>
        <v>0</v>
      </c>
      <c r="G637" s="923">
        <f>SUM(D637:F637)</f>
        <v>10584867.059999999</v>
      </c>
      <c r="H637" s="369"/>
      <c r="I637" s="923">
        <f>I638-I636</f>
        <v>5858153.4560000012</v>
      </c>
      <c r="J637" s="369"/>
      <c r="K637" s="923">
        <f>K638-K636</f>
        <v>15605.118</v>
      </c>
      <c r="L637" s="923">
        <v>0</v>
      </c>
      <c r="M637" s="923">
        <f>M638-M636</f>
        <v>0</v>
      </c>
      <c r="N637" s="923">
        <f>N638-N636</f>
        <v>0</v>
      </c>
      <c r="O637" s="923">
        <f>I637+K637+L637+M637+N637</f>
        <v>5873758.574000001</v>
      </c>
    </row>
    <row r="638" spans="1:15">
      <c r="A638" s="361">
        <f>A637+1</f>
        <v>18</v>
      </c>
      <c r="B638" s="365">
        <v>382</v>
      </c>
      <c r="C638" s="358" t="s">
        <v>3081</v>
      </c>
      <c r="D638" s="369">
        <f>G592</f>
        <v>10709301.689999999</v>
      </c>
      <c r="E638" s="369">
        <f>+'INPUT - B Schedule PLANT'!BS34</f>
        <v>56915.51</v>
      </c>
      <c r="F638" s="369">
        <f>+'INPUT - B Schedule PLANT'!BT34</f>
        <v>-2576.42</v>
      </c>
      <c r="G638" s="369">
        <f>SUM(G636:G637)</f>
        <v>10763640.779999999</v>
      </c>
      <c r="H638" s="369"/>
      <c r="I638" s="369">
        <f>O592</f>
        <v>5808264.9800000014</v>
      </c>
      <c r="J638" s="369"/>
      <c r="K638" s="369">
        <v>15836.29</v>
      </c>
      <c r="L638" s="369">
        <f>SUM(L636:L637)</f>
        <v>0</v>
      </c>
      <c r="M638" s="369">
        <f>+F638</f>
        <v>-2576.42</v>
      </c>
      <c r="N638" s="369">
        <v>0</v>
      </c>
      <c r="O638" s="369">
        <f>SUM(O636:O637)</f>
        <v>5821524.8500000006</v>
      </c>
    </row>
    <row r="639" spans="1:15">
      <c r="A639" s="361"/>
      <c r="B639" s="365"/>
      <c r="D639" s="369"/>
      <c r="E639" s="369"/>
      <c r="F639" s="369"/>
      <c r="G639" s="369"/>
      <c r="H639" s="369"/>
      <c r="I639" s="369"/>
      <c r="J639" s="369"/>
      <c r="K639" s="369"/>
      <c r="L639" s="369"/>
      <c r="M639" s="369"/>
      <c r="N639" s="369"/>
      <c r="O639" s="369"/>
    </row>
    <row r="640" spans="1:15">
      <c r="A640" s="361">
        <f>A638+1</f>
        <v>19</v>
      </c>
      <c r="B640" s="365">
        <v>383</v>
      </c>
      <c r="C640" s="358" t="s">
        <v>1779</v>
      </c>
      <c r="D640" s="369">
        <f>D620</f>
        <v>624.5400000000003</v>
      </c>
      <c r="E640" s="369">
        <f>E620</f>
        <v>16342.16</v>
      </c>
      <c r="F640" s="369">
        <f>F620</f>
        <v>-489.95</v>
      </c>
      <c r="G640" s="369">
        <f>SUM(D640:F640)</f>
        <v>16476.75</v>
      </c>
      <c r="H640" s="369"/>
      <c r="I640" s="369">
        <f>I620</f>
        <v>-7197.585</v>
      </c>
      <c r="J640" s="369"/>
      <c r="K640" s="369">
        <f>K620</f>
        <v>13.814</v>
      </c>
      <c r="L640" s="369">
        <v>0</v>
      </c>
      <c r="M640" s="369">
        <f>M620</f>
        <v>-489.95</v>
      </c>
      <c r="N640" s="369">
        <f>N620</f>
        <v>0</v>
      </c>
      <c r="O640" s="369">
        <f>I640+K640+L640+M640+N640</f>
        <v>-7673.7209999999995</v>
      </c>
    </row>
    <row r="641" spans="1:15">
      <c r="A641" s="361">
        <f>A640+1</f>
        <v>20</v>
      </c>
      <c r="B641" s="365">
        <v>383</v>
      </c>
      <c r="C641" s="358" t="s">
        <v>1625</v>
      </c>
      <c r="D641" s="923">
        <f>D642-D640</f>
        <v>7368278.1399999997</v>
      </c>
      <c r="E641" s="923">
        <f>E642-E640</f>
        <v>18923.100000000002</v>
      </c>
      <c r="F641" s="923">
        <f>F642-F640</f>
        <v>0</v>
      </c>
      <c r="G641" s="923">
        <f>SUM(D641:F641)</f>
        <v>7387201.2399999993</v>
      </c>
      <c r="H641" s="369"/>
      <c r="I641" s="923">
        <f>I642-I640</f>
        <v>2498335.7749999999</v>
      </c>
      <c r="J641" s="369"/>
      <c r="K641" s="923">
        <f>K642-K640</f>
        <v>11927.356</v>
      </c>
      <c r="L641" s="923">
        <v>0</v>
      </c>
      <c r="M641" s="923">
        <f>M642-M640</f>
        <v>0</v>
      </c>
      <c r="N641" s="923">
        <f>N642-N640</f>
        <v>0</v>
      </c>
      <c r="O641" s="923">
        <f>I641+K641+L641+M641+N641</f>
        <v>2510263.1310000001</v>
      </c>
    </row>
    <row r="642" spans="1:15">
      <c r="A642" s="361">
        <f>A641+1</f>
        <v>21</v>
      </c>
      <c r="B642" s="365">
        <v>383</v>
      </c>
      <c r="C642" s="358" t="s">
        <v>3082</v>
      </c>
      <c r="D642" s="369">
        <f>G596</f>
        <v>7368902.6799999997</v>
      </c>
      <c r="E642" s="369">
        <f>+'INPUT - B Schedule PLANT'!BS35</f>
        <v>35265.26</v>
      </c>
      <c r="F642" s="369">
        <f>+'INPUT - B Schedule PLANT'!BT35</f>
        <v>-489.95</v>
      </c>
      <c r="G642" s="369">
        <f>SUM(G640:G641)</f>
        <v>7403677.9899999993</v>
      </c>
      <c r="H642" s="369"/>
      <c r="I642" s="369">
        <f>O596</f>
        <v>2491138.19</v>
      </c>
      <c r="J642" s="369"/>
      <c r="K642" s="369">
        <v>11941.17</v>
      </c>
      <c r="L642" s="369">
        <f>SUM(L640:L641)</f>
        <v>0</v>
      </c>
      <c r="M642" s="369">
        <f>+F642</f>
        <v>-489.95</v>
      </c>
      <c r="N642" s="369">
        <v>0</v>
      </c>
      <c r="O642" s="369">
        <f>SUM(O640:O641)</f>
        <v>2502589.41</v>
      </c>
    </row>
    <row r="644" spans="1:15" ht="12.95" customHeight="1"/>
    <row r="645" spans="1:15" s="291" customFormat="1">
      <c r="A645" s="1308" t="str">
        <f>$A$1</f>
        <v>COLUMBIA GAS OF KENTUCKY, INC.</v>
      </c>
      <c r="B645" s="1308"/>
      <c r="C645" s="1308"/>
      <c r="D645" s="1308"/>
      <c r="E645" s="1308"/>
      <c r="F645" s="1308"/>
      <c r="G645" s="1308"/>
      <c r="H645" s="1308"/>
      <c r="I645" s="1308"/>
      <c r="J645" s="1308"/>
      <c r="K645" s="1308"/>
      <c r="L645" s="1308"/>
      <c r="M645" s="1308"/>
      <c r="N645" s="1308"/>
      <c r="O645" s="1308"/>
    </row>
    <row r="646" spans="1:15" s="291" customFormat="1">
      <c r="A646" s="1308" t="str">
        <f>$A$2</f>
        <v>CASE NO. 2024 - 00092</v>
      </c>
      <c r="B646" s="1308"/>
      <c r="C646" s="1308"/>
      <c r="D646" s="1308"/>
      <c r="E646" s="1308"/>
      <c r="F646" s="1308"/>
      <c r="G646" s="1308"/>
      <c r="H646" s="1308"/>
      <c r="I646" s="1308"/>
      <c r="J646" s="1308"/>
      <c r="K646" s="1308"/>
      <c r="L646" s="1308"/>
      <c r="M646" s="1308"/>
      <c r="N646" s="1308"/>
      <c r="O646" s="1308"/>
    </row>
    <row r="647" spans="1:15" s="291" customFormat="1">
      <c r="A647" s="1308" t="str">
        <f>$A$3</f>
        <v>DETAIL OF ACTUAL &amp;  FORECASTED SMRP PLANT, ACCUMULATED RESERVE &amp; DEPRECIATION EXPENSE</v>
      </c>
      <c r="B647" s="1308"/>
      <c r="C647" s="1308"/>
      <c r="D647" s="1308"/>
      <c r="E647" s="1308"/>
      <c r="F647" s="1308"/>
      <c r="G647" s="1308"/>
      <c r="H647" s="1308"/>
      <c r="I647" s="1308"/>
      <c r="J647" s="1308"/>
      <c r="K647" s="1308"/>
      <c r="L647" s="1308"/>
      <c r="M647" s="1308"/>
      <c r="N647" s="1308"/>
      <c r="O647" s="1308"/>
    </row>
    <row r="648" spans="1:15" s="291" customFormat="1">
      <c r="A648" s="1308" t="str">
        <f>$A$4</f>
        <v>FROM JANUARY 01, 2023 THROUGH DECEMBER 31, 2025</v>
      </c>
      <c r="B648" s="1308"/>
      <c r="C648" s="1308"/>
      <c r="D648" s="1308"/>
      <c r="E648" s="1308"/>
      <c r="F648" s="1308"/>
      <c r="G648" s="1308"/>
      <c r="H648" s="1308"/>
      <c r="I648" s="1308"/>
      <c r="J648" s="1308"/>
      <c r="K648" s="1308"/>
      <c r="L648" s="1308"/>
      <c r="M648" s="1308"/>
      <c r="N648" s="1308"/>
      <c r="O648" s="1308"/>
    </row>
    <row r="649" spans="1:15" s="291" customFormat="1">
      <c r="B649" s="293"/>
    </row>
    <row r="650" spans="1:15" s="291" customFormat="1">
      <c r="A650" s="297" t="str">
        <f>'General Headers Index'!$B$34</f>
        <v xml:space="preserve">DATA: _X_ BASE PERIOD _X_ FORECASTED PERIOD     </v>
      </c>
      <c r="B650" s="293"/>
      <c r="O650" s="312" t="s">
        <v>2461</v>
      </c>
    </row>
    <row r="651" spans="1:15" s="291" customFormat="1">
      <c r="A651" s="297" t="str">
        <f>'General Headers Index'!$B$37</f>
        <v>TYPE OF FILING:___X___ORIGINAL______UPDATED</v>
      </c>
      <c r="B651" s="293"/>
      <c r="O651" s="312" t="s">
        <v>2237</v>
      </c>
    </row>
    <row r="652" spans="1:15" s="291" customFormat="1">
      <c r="A652" s="297" t="s">
        <v>2150</v>
      </c>
      <c r="B652" s="293"/>
      <c r="O652" s="312" t="str">
        <f>"WITNESS: "&amp;'General Headers Index'!$B$42</f>
        <v>WITNESS: GORE</v>
      </c>
    </row>
    <row r="653" spans="1:15">
      <c r="A653" s="918"/>
      <c r="B653" s="918"/>
      <c r="C653" s="918"/>
      <c r="D653" s="918"/>
      <c r="E653" s="918"/>
      <c r="F653" s="918"/>
      <c r="G653" s="918"/>
      <c r="H653" s="918"/>
      <c r="I653" s="918"/>
      <c r="J653" s="918"/>
      <c r="K653" s="918"/>
      <c r="L653" s="918"/>
      <c r="M653" s="918"/>
      <c r="N653" s="918"/>
      <c r="O653" s="918"/>
    </row>
    <row r="654" spans="1:15">
      <c r="B654" s="359"/>
      <c r="D654" s="1312" t="s">
        <v>1768</v>
      </c>
      <c r="E654" s="1312"/>
      <c r="F654" s="1312"/>
      <c r="G654" s="1312"/>
      <c r="I654" s="1312" t="s">
        <v>1769</v>
      </c>
      <c r="J654" s="1312"/>
      <c r="K654" s="1312"/>
      <c r="L654" s="1312"/>
      <c r="M654" s="1312"/>
      <c r="N654" s="1312"/>
      <c r="O654" s="1312"/>
    </row>
    <row r="655" spans="1:15">
      <c r="B655" s="359"/>
      <c r="D655" s="360">
        <f>G609+1</f>
        <v>45352</v>
      </c>
      <c r="G655" s="360">
        <f>D655+30</f>
        <v>45382</v>
      </c>
      <c r="I655" s="360">
        <f>D655</f>
        <v>45352</v>
      </c>
      <c r="O655" s="360">
        <f>G655</f>
        <v>45382</v>
      </c>
    </row>
    <row r="656" spans="1:15">
      <c r="B656" s="359"/>
      <c r="D656" s="361" t="s">
        <v>1757</v>
      </c>
      <c r="G656" s="361" t="s">
        <v>1757</v>
      </c>
      <c r="I656" s="361" t="s">
        <v>1758</v>
      </c>
      <c r="J656" s="361" t="s">
        <v>488</v>
      </c>
      <c r="L656" s="361" t="s">
        <v>1758</v>
      </c>
      <c r="O656" s="361" t="s">
        <v>1758</v>
      </c>
    </row>
    <row r="657" spans="1:18">
      <c r="A657" s="361" t="s">
        <v>1770</v>
      </c>
      <c r="B657" s="361" t="s">
        <v>368</v>
      </c>
      <c r="C657" s="361"/>
      <c r="D657" s="361" t="s">
        <v>437</v>
      </c>
      <c r="G657" s="361" t="s">
        <v>439</v>
      </c>
      <c r="I657" s="361" t="s">
        <v>437</v>
      </c>
      <c r="J657" s="361" t="s">
        <v>1771</v>
      </c>
      <c r="K657" s="361" t="s">
        <v>1772</v>
      </c>
      <c r="L657" s="361" t="s">
        <v>1759</v>
      </c>
      <c r="N657" s="361" t="s">
        <v>1760</v>
      </c>
      <c r="O657" s="361" t="s">
        <v>439</v>
      </c>
    </row>
    <row r="658" spans="1:18">
      <c r="A658" s="364" t="s">
        <v>316</v>
      </c>
      <c r="B658" s="364" t="s">
        <v>316</v>
      </c>
      <c r="C658" s="364" t="s">
        <v>451</v>
      </c>
      <c r="D658" s="364" t="s">
        <v>441</v>
      </c>
      <c r="E658" s="364" t="s">
        <v>442</v>
      </c>
      <c r="F658" s="364" t="s">
        <v>443</v>
      </c>
      <c r="G658" s="364" t="s">
        <v>441</v>
      </c>
      <c r="I658" s="364" t="s">
        <v>441</v>
      </c>
      <c r="J658" s="364" t="s">
        <v>1773</v>
      </c>
      <c r="K658" s="364" t="s">
        <v>1771</v>
      </c>
      <c r="L658" s="364" t="s">
        <v>355</v>
      </c>
      <c r="M658" s="364" t="s">
        <v>443</v>
      </c>
      <c r="N658" s="364" t="s">
        <v>1763</v>
      </c>
      <c r="O658" s="364" t="s">
        <v>441</v>
      </c>
    </row>
    <row r="659" spans="1:18">
      <c r="B659" s="359"/>
      <c r="D659" s="361" t="s">
        <v>532</v>
      </c>
      <c r="E659" s="361" t="s">
        <v>541</v>
      </c>
      <c r="F659" s="361" t="s">
        <v>542</v>
      </c>
      <c r="G659" s="361" t="s">
        <v>1764</v>
      </c>
      <c r="I659" s="334" t="str">
        <f>"(5)"</f>
        <v>(5)</v>
      </c>
      <c r="J659" s="334" t="str">
        <f>"(6)"</f>
        <v>(6)</v>
      </c>
      <c r="K659" s="334" t="str">
        <f>"(7)=((1+4)/2*6/12))"</f>
        <v>(7)=((1+4)/2*6/12))</v>
      </c>
      <c r="L659" s="334" t="str">
        <f>"(8)"</f>
        <v>(8)</v>
      </c>
      <c r="M659" s="334" t="str">
        <f>"(9)"</f>
        <v>(9)</v>
      </c>
      <c r="N659" s="334" t="str">
        <f>"(10)"</f>
        <v>(10)</v>
      </c>
      <c r="O659" s="334" t="str">
        <f>"(11=5+7+8+9+10)"</f>
        <v>(11=5+7+8+9+10)</v>
      </c>
    </row>
    <row r="660" spans="1:18">
      <c r="B660" s="359"/>
      <c r="D660" s="361" t="s">
        <v>320</v>
      </c>
      <c r="E660" s="361" t="s">
        <v>320</v>
      </c>
      <c r="F660" s="361" t="s">
        <v>320</v>
      </c>
      <c r="G660" s="361" t="s">
        <v>320</v>
      </c>
      <c r="I660" s="334" t="s">
        <v>320</v>
      </c>
      <c r="J660" s="1250" t="s">
        <v>529</v>
      </c>
      <c r="K660" s="334" t="s">
        <v>320</v>
      </c>
      <c r="L660" s="334" t="s">
        <v>320</v>
      </c>
      <c r="M660" s="334" t="s">
        <v>320</v>
      </c>
      <c r="N660" s="334" t="s">
        <v>320</v>
      </c>
      <c r="O660" s="334" t="s">
        <v>320</v>
      </c>
    </row>
    <row r="661" spans="1:18">
      <c r="B661" s="359"/>
      <c r="D661" s="361"/>
      <c r="E661" s="361"/>
      <c r="F661" s="361"/>
      <c r="G661" s="361"/>
      <c r="I661" s="334"/>
      <c r="J661" s="334"/>
      <c r="K661" s="334"/>
      <c r="L661" s="334"/>
      <c r="M661" s="334"/>
      <c r="N661" s="334"/>
      <c r="O661" s="334"/>
    </row>
    <row r="662" spans="1:18">
      <c r="A662" s="361">
        <v>1</v>
      </c>
      <c r="B662" s="365">
        <v>376</v>
      </c>
      <c r="C662" s="358" t="s">
        <v>1775</v>
      </c>
      <c r="D662" s="369">
        <f>G616</f>
        <v>31756171.739999998</v>
      </c>
      <c r="E662" s="369">
        <v>2429478.0099999998</v>
      </c>
      <c r="F662" s="369">
        <v>-799.82350260522298</v>
      </c>
      <c r="G662" s="369">
        <f>SUM(D662:F662)</f>
        <v>34184849.926497392</v>
      </c>
      <c r="H662" s="369"/>
      <c r="I662" s="369">
        <f>O616</f>
        <v>-59463.91599999999</v>
      </c>
      <c r="J662" s="1251">
        <f>'WPB-2.1.C Plant Detail'!J1701</f>
        <v>1.7399999999999999E-2</v>
      </c>
      <c r="K662" s="380">
        <v>47806.792000000001</v>
      </c>
      <c r="L662" s="369">
        <v>0</v>
      </c>
      <c r="M662" s="369">
        <f>F662</f>
        <v>-799.82350260522298</v>
      </c>
      <c r="N662" s="369">
        <v>-9.5400636083071486</v>
      </c>
      <c r="O662" s="369">
        <f>I662+K662+L662+M662+N662</f>
        <v>-12466.487566213518</v>
      </c>
    </row>
    <row r="663" spans="1:18">
      <c r="A663" s="361">
        <f>A662+1</f>
        <v>2</v>
      </c>
      <c r="B663" s="365">
        <v>378.2</v>
      </c>
      <c r="C663" s="358" t="s">
        <v>1776</v>
      </c>
      <c r="D663" s="369">
        <f>G617</f>
        <v>-374428.06000000006</v>
      </c>
      <c r="E663" s="369">
        <v>207785.36</v>
      </c>
      <c r="F663" s="369">
        <v>-18669.759999999998</v>
      </c>
      <c r="G663" s="369">
        <f>SUM(D663:F663)</f>
        <v>-185312.46000000008</v>
      </c>
      <c r="H663" s="369"/>
      <c r="I663" s="369">
        <f>O617</f>
        <v>-461059.23899999994</v>
      </c>
      <c r="J663" s="1251">
        <f>'WPB-2.1.C Plant Detail'!J1702</f>
        <v>2.52E-2</v>
      </c>
      <c r="K663" s="380">
        <v>-587.42899999999997</v>
      </c>
      <c r="L663" s="369">
        <v>0</v>
      </c>
      <c r="M663" s="369">
        <f>F663</f>
        <v>-18669.759999999998</v>
      </c>
      <c r="N663" s="369">
        <v>-4717.51</v>
      </c>
      <c r="O663" s="369">
        <f>I663+K663+L663+M663+N663</f>
        <v>-485033.93799999997</v>
      </c>
    </row>
    <row r="664" spans="1:18">
      <c r="A664" s="361">
        <f>A663+1</f>
        <v>3</v>
      </c>
      <c r="B664" s="365">
        <v>380</v>
      </c>
      <c r="C664" s="358" t="s">
        <v>1777</v>
      </c>
      <c r="D664" s="369">
        <f>G618</f>
        <v>11366299.410570366</v>
      </c>
      <c r="E664" s="369">
        <v>1525237.13</v>
      </c>
      <c r="F664" s="369">
        <v>-588253.96</v>
      </c>
      <c r="G664" s="369">
        <f>SUM(D664:F664)</f>
        <v>12303282.580570366</v>
      </c>
      <c r="H664" s="369"/>
      <c r="I664" s="369">
        <f>O618</f>
        <v>-4902137.5050216336</v>
      </c>
      <c r="J664" s="1251">
        <f>'WPB-2.1.C Plant Detail'!J1703</f>
        <v>3.9800000000000002E-2</v>
      </c>
      <c r="K664" s="380">
        <v>39251.83</v>
      </c>
      <c r="L664" s="369">
        <v>0</v>
      </c>
      <c r="M664" s="369">
        <f>F664</f>
        <v>-588253.96</v>
      </c>
      <c r="N664" s="369">
        <v>-536243.75</v>
      </c>
      <c r="O664" s="369">
        <f>I664+K664+L664+M664+N664</f>
        <v>-5987383.3850216335</v>
      </c>
    </row>
    <row r="665" spans="1:18">
      <c r="A665" s="361">
        <f>A664+1</f>
        <v>4</v>
      </c>
      <c r="B665" s="365">
        <v>382</v>
      </c>
      <c r="C665" s="358" t="s">
        <v>1778</v>
      </c>
      <c r="D665" s="369">
        <f>G619</f>
        <v>178773.72</v>
      </c>
      <c r="E665" s="369">
        <v>212.62</v>
      </c>
      <c r="F665" s="369">
        <v>-1895.6328350574754</v>
      </c>
      <c r="G665" s="369">
        <f>SUM(D665:F665)</f>
        <v>177090.70716494252</v>
      </c>
      <c r="H665" s="369"/>
      <c r="I665" s="369">
        <f>O619</f>
        <v>-52233.724000000002</v>
      </c>
      <c r="J665" s="1251">
        <f>'WPB-2.1.C Plant Detail'!J1704</f>
        <v>1.77E-2</v>
      </c>
      <c r="K665" s="380">
        <v>262.75900000000001</v>
      </c>
      <c r="L665" s="369">
        <v>0</v>
      </c>
      <c r="M665" s="369">
        <f>F665</f>
        <v>-1895.6328350574754</v>
      </c>
      <c r="N665" s="369">
        <v>0</v>
      </c>
      <c r="O665" s="369">
        <f>I665+K665+L665+M665+N665</f>
        <v>-53866.597835057481</v>
      </c>
    </row>
    <row r="666" spans="1:18">
      <c r="A666" s="361">
        <f>A665+1</f>
        <v>5</v>
      </c>
      <c r="B666" s="365">
        <v>383</v>
      </c>
      <c r="C666" s="358" t="s">
        <v>1779</v>
      </c>
      <c r="D666" s="923">
        <f>G620</f>
        <v>16476.75</v>
      </c>
      <c r="E666" s="923">
        <v>29826.93</v>
      </c>
      <c r="F666" s="923">
        <v>-135.42223561193455</v>
      </c>
      <c r="G666" s="923">
        <f>SUM(D666:F666)</f>
        <v>46168.257764388065</v>
      </c>
      <c r="H666" s="369"/>
      <c r="I666" s="923">
        <f>O620</f>
        <v>-7673.7209999999995</v>
      </c>
      <c r="J666" s="1251">
        <f>'WPB-2.1.C Plant Detail'!J1705</f>
        <v>1.9400000000000001E-2</v>
      </c>
      <c r="K666" s="925">
        <v>51.001000000000005</v>
      </c>
      <c r="L666" s="923">
        <v>0</v>
      </c>
      <c r="M666" s="923">
        <f>F666</f>
        <v>-135.42223561193455</v>
      </c>
      <c r="N666" s="923">
        <v>0</v>
      </c>
      <c r="O666" s="923">
        <f>I666+K666+L666+M666+N666</f>
        <v>-7758.1422356119338</v>
      </c>
    </row>
    <row r="667" spans="1:18">
      <c r="A667" s="361">
        <f>A666+1</f>
        <v>6</v>
      </c>
      <c r="C667" s="358" t="s">
        <v>3077</v>
      </c>
      <c r="D667" s="369">
        <f>SUM(D662:D666)</f>
        <v>42943293.560570367</v>
      </c>
      <c r="E667" s="369">
        <f>SUM(E662:E666)</f>
        <v>4192540.05</v>
      </c>
      <c r="F667" s="369">
        <f>SUM(F662:F666)</f>
        <v>-609754.59857327456</v>
      </c>
      <c r="G667" s="369">
        <f>SUM(G662:G666)</f>
        <v>46526079.011997096</v>
      </c>
      <c r="H667" s="369"/>
      <c r="I667" s="369">
        <f>SUM(I662:I666)</f>
        <v>-5482568.1050216341</v>
      </c>
      <c r="J667" s="369"/>
      <c r="K667" s="369">
        <f>SUM(K662:K666)</f>
        <v>86784.953000000009</v>
      </c>
      <c r="L667" s="369">
        <f t="shared" ref="L667" si="14">SUM(L662:L666)</f>
        <v>0</v>
      </c>
      <c r="M667" s="369">
        <f>SUM(M662:M666)</f>
        <v>-609754.59857327456</v>
      </c>
      <c r="N667" s="369">
        <f>SUM(N662:N666)</f>
        <v>-540970.80006360833</v>
      </c>
      <c r="O667" s="369">
        <f>SUM(O662:O666)</f>
        <v>-6546508.5506585157</v>
      </c>
    </row>
    <row r="668" spans="1:18">
      <c r="A668" s="361"/>
      <c r="D668" s="369"/>
      <c r="E668" s="369"/>
      <c r="F668" s="369"/>
      <c r="G668" s="369"/>
      <c r="H668" s="369"/>
      <c r="I668" s="369"/>
      <c r="J668" s="369"/>
      <c r="K668" s="369"/>
      <c r="L668" s="369"/>
      <c r="M668" s="369"/>
      <c r="N668" s="369"/>
      <c r="O668" s="369"/>
    </row>
    <row r="669" spans="1:18">
      <c r="A669" s="361"/>
      <c r="D669" s="369"/>
      <c r="E669" s="369"/>
      <c r="F669" s="369"/>
      <c r="G669" s="369"/>
      <c r="H669" s="369"/>
      <c r="I669" s="369"/>
      <c r="J669" s="369"/>
      <c r="K669" s="369"/>
      <c r="L669" s="369"/>
      <c r="M669" s="369"/>
      <c r="N669" s="369"/>
      <c r="O669" s="369"/>
    </row>
    <row r="670" spans="1:18">
      <c r="A670" s="361">
        <f>A667+1</f>
        <v>7</v>
      </c>
      <c r="B670" s="365">
        <v>376</v>
      </c>
      <c r="C670" s="358" t="s">
        <v>1775</v>
      </c>
      <c r="D670" s="369">
        <f>D662</f>
        <v>31756171.739999998</v>
      </c>
      <c r="E670" s="369">
        <f>E662</f>
        <v>2429478.0099999998</v>
      </c>
      <c r="F670" s="369">
        <f>F662</f>
        <v>-799.82350260522298</v>
      </c>
      <c r="G670" s="369">
        <f>SUM(D670:F670)</f>
        <v>34184849.926497392</v>
      </c>
      <c r="H670" s="369"/>
      <c r="I670" s="369">
        <f>I662</f>
        <v>-59463.91599999999</v>
      </c>
      <c r="J670" s="1251"/>
      <c r="K670" s="369">
        <f>K662</f>
        <v>47806.792000000001</v>
      </c>
      <c r="L670" s="369">
        <v>0</v>
      </c>
      <c r="M670" s="369">
        <f>M662</f>
        <v>-799.82350260522298</v>
      </c>
      <c r="N670" s="369">
        <f>N662</f>
        <v>-9.5400636083071486</v>
      </c>
      <c r="O670" s="369">
        <f>I670+K670+L670+M670+N670</f>
        <v>-12466.487566213518</v>
      </c>
    </row>
    <row r="671" spans="1:18">
      <c r="A671" s="361">
        <f>A670+1</f>
        <v>8</v>
      </c>
      <c r="B671" s="365">
        <v>376</v>
      </c>
      <c r="C671" s="358" t="s">
        <v>1621</v>
      </c>
      <c r="D671" s="923">
        <f>D672-D670</f>
        <v>412100528.3900001</v>
      </c>
      <c r="E671" s="923">
        <f>E672-E670</f>
        <v>668732.16999999993</v>
      </c>
      <c r="F671" s="923">
        <f>F672-F670</f>
        <v>-12173.216497394778</v>
      </c>
      <c r="G671" s="923">
        <f>SUM(D671:F671)</f>
        <v>412757087.3435027</v>
      </c>
      <c r="H671" s="369"/>
      <c r="I671" s="923">
        <f>I672-I670</f>
        <v>80739116.856000051</v>
      </c>
      <c r="J671" s="1251"/>
      <c r="K671" s="923">
        <f>K672-K670</f>
        <v>598022.20799999998</v>
      </c>
      <c r="L671" s="923">
        <v>0</v>
      </c>
      <c r="M671" s="923">
        <f>M672-M670</f>
        <v>-12173.216497394778</v>
      </c>
      <c r="N671" s="923">
        <f>N672-N670</f>
        <v>-58656.609936391695</v>
      </c>
      <c r="O671" s="923">
        <f>I671+K671+L671+M671+N671</f>
        <v>81266309.237566277</v>
      </c>
    </row>
    <row r="672" spans="1:18">
      <c r="A672" s="361">
        <f>A671+1</f>
        <v>9</v>
      </c>
      <c r="B672" s="365">
        <v>376</v>
      </c>
      <c r="C672" s="358" t="s">
        <v>3078</v>
      </c>
      <c r="D672" s="369">
        <f>G626</f>
        <v>443856700.13000011</v>
      </c>
      <c r="E672" s="369">
        <f>+'INPUT - B Schedule PLANT'!CE26</f>
        <v>3098210.1799999997</v>
      </c>
      <c r="F672" s="369">
        <f>+'INPUT - B Schedule PLANT'!CF26</f>
        <v>-12973.04</v>
      </c>
      <c r="G672" s="369">
        <f>SUM(G670:G671)</f>
        <v>446941937.2700001</v>
      </c>
      <c r="H672" s="369"/>
      <c r="I672" s="369">
        <f>O626</f>
        <v>80679652.940000057</v>
      </c>
      <c r="J672" s="1251">
        <f>'WPB-2.1.C Plant Detail'!J1634</f>
        <v>1.7399999999999999E-2</v>
      </c>
      <c r="K672" s="369">
        <f>ROUND((D672+G672)/2*J672/12,0)</f>
        <v>645829</v>
      </c>
      <c r="L672" s="369">
        <f>SUM(L670:L671)</f>
        <v>0</v>
      </c>
      <c r="M672" s="369">
        <f>F672</f>
        <v>-12973.04</v>
      </c>
      <c r="N672" s="369">
        <v>-58666.15</v>
      </c>
      <c r="O672" s="369">
        <f>SUM(O670:O671)</f>
        <v>81253842.75000006</v>
      </c>
      <c r="R672" s="366"/>
    </row>
    <row r="673" spans="1:18">
      <c r="A673" s="361"/>
      <c r="B673" s="365"/>
      <c r="D673" s="369"/>
      <c r="E673" s="369"/>
      <c r="F673" s="369"/>
      <c r="G673" s="369"/>
      <c r="H673" s="369"/>
      <c r="I673" s="369"/>
      <c r="J673" s="1251"/>
      <c r="K673" s="369"/>
      <c r="L673" s="369"/>
      <c r="M673" s="369"/>
      <c r="N673" s="369"/>
      <c r="O673" s="369"/>
    </row>
    <row r="674" spans="1:18">
      <c r="A674" s="361">
        <f>A672+1</f>
        <v>10</v>
      </c>
      <c r="B674" s="365">
        <v>378.2</v>
      </c>
      <c r="C674" s="358" t="s">
        <v>1776</v>
      </c>
      <c r="D674" s="369">
        <f>D663</f>
        <v>-374428.06000000006</v>
      </c>
      <c r="E674" s="369">
        <f>E663</f>
        <v>207785.36</v>
      </c>
      <c r="F674" s="369">
        <f>F663</f>
        <v>-18669.759999999998</v>
      </c>
      <c r="G674" s="369">
        <f>SUM(D674:F674)</f>
        <v>-185312.46000000008</v>
      </c>
      <c r="H674" s="369"/>
      <c r="I674" s="369">
        <f>I663</f>
        <v>-461059.23899999994</v>
      </c>
      <c r="J674" s="1251"/>
      <c r="K674" s="369">
        <f>K663</f>
        <v>-587.42899999999997</v>
      </c>
      <c r="L674" s="369">
        <v>0</v>
      </c>
      <c r="M674" s="369">
        <f>M663</f>
        <v>-18669.759999999998</v>
      </c>
      <c r="N674" s="369">
        <f>N663</f>
        <v>-4717.51</v>
      </c>
      <c r="O674" s="369">
        <f>I674+K674+L674+M674+N674</f>
        <v>-485033.93799999997</v>
      </c>
    </row>
    <row r="675" spans="1:18">
      <c r="A675" s="361">
        <f>A674+1</f>
        <v>11</v>
      </c>
      <c r="B675" s="365">
        <v>378.2</v>
      </c>
      <c r="C675" s="358" t="s">
        <v>1622</v>
      </c>
      <c r="D675" s="923">
        <f>D676-D674</f>
        <v>25350573.110000003</v>
      </c>
      <c r="E675" s="923">
        <f>E676-E674</f>
        <v>479747.57999999996</v>
      </c>
      <c r="F675" s="923">
        <f>F676-F674</f>
        <v>2816.5799999999981</v>
      </c>
      <c r="G675" s="923">
        <f>SUM(D675:F675)</f>
        <v>25833137.27</v>
      </c>
      <c r="H675" s="369"/>
      <c r="I675" s="923">
        <f>I676-I674</f>
        <v>3488637.8990000002</v>
      </c>
      <c r="J675" s="1251"/>
      <c r="K675" s="923">
        <f>K676-K674</f>
        <v>53742.428999999996</v>
      </c>
      <c r="L675" s="923">
        <v>0</v>
      </c>
      <c r="M675" s="923">
        <f>M676-M674</f>
        <v>2816.5799999999981</v>
      </c>
      <c r="N675" s="923">
        <f>N676-N674</f>
        <v>-79199.240000000005</v>
      </c>
      <c r="O675" s="923">
        <f>I675+K675+L675+M675+N675</f>
        <v>3465997.6680000001</v>
      </c>
    </row>
    <row r="676" spans="1:18">
      <c r="A676" s="361">
        <f>A675+1</f>
        <v>12</v>
      </c>
      <c r="B676" s="365">
        <v>378.2</v>
      </c>
      <c r="C676" s="358" t="s">
        <v>3079</v>
      </c>
      <c r="D676" s="369">
        <f>G630</f>
        <v>24976145.050000004</v>
      </c>
      <c r="E676" s="369">
        <f>+'INPUT - B Schedule PLANT'!CE28</f>
        <v>687532.94</v>
      </c>
      <c r="F676" s="369">
        <f>+'INPUT - B Schedule PLANT'!CF28</f>
        <v>-15853.18</v>
      </c>
      <c r="G676" s="369">
        <f>SUM(G674:G675)</f>
        <v>25647824.809999999</v>
      </c>
      <c r="H676" s="369"/>
      <c r="I676" s="369">
        <f>O630</f>
        <v>3027578.66</v>
      </c>
      <c r="J676" s="1251">
        <f>J663</f>
        <v>2.52E-2</v>
      </c>
      <c r="K676" s="369">
        <f>ROUND((D676+G676)/2*J676/12,0)</f>
        <v>53155</v>
      </c>
      <c r="L676" s="369">
        <f>SUM(L674:L675)</f>
        <v>0</v>
      </c>
      <c r="M676" s="369">
        <f>F676</f>
        <v>-15853.18</v>
      </c>
      <c r="N676" s="369">
        <v>-83916.75</v>
      </c>
      <c r="O676" s="369">
        <f>SUM(O674:O675)</f>
        <v>2980963.73</v>
      </c>
      <c r="R676" s="366"/>
    </row>
    <row r="677" spans="1:18">
      <c r="A677" s="361"/>
      <c r="B677" s="365"/>
      <c r="D677" s="369"/>
      <c r="E677" s="369"/>
      <c r="F677" s="369"/>
      <c r="G677" s="369"/>
      <c r="H677" s="369"/>
      <c r="I677" s="369"/>
      <c r="J677" s="1251"/>
      <c r="K677" s="369"/>
      <c r="L677" s="369"/>
      <c r="M677" s="369"/>
      <c r="N677" s="369"/>
      <c r="O677" s="369"/>
    </row>
    <row r="678" spans="1:18">
      <c r="A678" s="361">
        <f>A676+1</f>
        <v>13</v>
      </c>
      <c r="B678" s="365">
        <v>380</v>
      </c>
      <c r="C678" s="358" t="s">
        <v>1777</v>
      </c>
      <c r="D678" s="369">
        <f>D664</f>
        <v>11366299.410570366</v>
      </c>
      <c r="E678" s="369">
        <f>E664</f>
        <v>1525237.13</v>
      </c>
      <c r="F678" s="369">
        <f>F664</f>
        <v>-588253.96</v>
      </c>
      <c r="G678" s="369">
        <f>SUM(D678:F678)</f>
        <v>12303282.580570366</v>
      </c>
      <c r="H678" s="369"/>
      <c r="I678" s="369">
        <f>I664</f>
        <v>-4902137.5050216336</v>
      </c>
      <c r="J678" s="1251"/>
      <c r="K678" s="369">
        <f>K664</f>
        <v>39251.83</v>
      </c>
      <c r="L678" s="369">
        <v>0</v>
      </c>
      <c r="M678" s="369">
        <f>M664</f>
        <v>-588253.96</v>
      </c>
      <c r="N678" s="369">
        <f>N664</f>
        <v>-536243.75</v>
      </c>
      <c r="O678" s="369">
        <f>I678+K678+L678+M678+N678</f>
        <v>-5987383.3850216335</v>
      </c>
    </row>
    <row r="679" spans="1:18">
      <c r="A679" s="361">
        <f>A678+1</f>
        <v>14</v>
      </c>
      <c r="B679" s="365">
        <v>380</v>
      </c>
      <c r="C679" s="358" t="s">
        <v>1623</v>
      </c>
      <c r="D679" s="923">
        <f>D680-D678</f>
        <v>203685829.21942961</v>
      </c>
      <c r="E679" s="923">
        <f>E680-E678</f>
        <v>83633.600000000093</v>
      </c>
      <c r="F679" s="923">
        <f>F680-F678</f>
        <v>-86292.410000000033</v>
      </c>
      <c r="G679" s="923">
        <f>SUM(D679:F679)</f>
        <v>203683170.40942961</v>
      </c>
      <c r="H679" s="369"/>
      <c r="I679" s="923">
        <f>I680-I678</f>
        <v>60484062.225021638</v>
      </c>
      <c r="J679" s="1251"/>
      <c r="K679" s="923">
        <f>K680-K678</f>
        <v>675554.17</v>
      </c>
      <c r="L679" s="923">
        <v>0</v>
      </c>
      <c r="M679" s="923">
        <f>M680-M678</f>
        <v>-86292.410000000033</v>
      </c>
      <c r="N679" s="923">
        <f>N680-N678</f>
        <v>36267.630000000005</v>
      </c>
      <c r="O679" s="923">
        <f>I679+K679+L679+M679+N679</f>
        <v>61109591.615021646</v>
      </c>
    </row>
    <row r="680" spans="1:18">
      <c r="A680" s="361">
        <f>A679+1</f>
        <v>15</v>
      </c>
      <c r="B680" s="365">
        <v>380</v>
      </c>
      <c r="C680" s="358" t="s">
        <v>3080</v>
      </c>
      <c r="D680" s="369">
        <f>G634</f>
        <v>215052128.62999997</v>
      </c>
      <c r="E680" s="369">
        <f>+'INPUT - B Schedule PLANT'!CE31</f>
        <v>1608870.73</v>
      </c>
      <c r="F680" s="369">
        <f>+'INPUT - B Schedule PLANT'!CF31</f>
        <v>-674546.37</v>
      </c>
      <c r="G680" s="369">
        <f>SUM(G678:G679)</f>
        <v>215986452.98999998</v>
      </c>
      <c r="H680" s="369"/>
      <c r="I680" s="369">
        <f>O634</f>
        <v>55581924.720000006</v>
      </c>
      <c r="J680" s="1251">
        <f>J664</f>
        <v>3.9800000000000002E-2</v>
      </c>
      <c r="K680" s="369">
        <f>ROUND((D680+G680)/2*J680/12,0)</f>
        <v>714806</v>
      </c>
      <c r="L680" s="369">
        <f>SUM(L678:L679)</f>
        <v>0</v>
      </c>
      <c r="M680" s="369">
        <f>F680</f>
        <v>-674546.37</v>
      </c>
      <c r="N680" s="369">
        <v>-499976.12</v>
      </c>
      <c r="O680" s="369">
        <f>SUM(O678:O679)</f>
        <v>55122208.230000012</v>
      </c>
      <c r="R680" s="366"/>
    </row>
    <row r="681" spans="1:18">
      <c r="A681" s="361"/>
      <c r="B681" s="365"/>
      <c r="D681" s="369"/>
      <c r="E681" s="369"/>
      <c r="F681" s="369"/>
      <c r="G681" s="369"/>
      <c r="H681" s="369"/>
      <c r="I681" s="369"/>
      <c r="J681" s="1251"/>
      <c r="K681" s="369"/>
      <c r="L681" s="369"/>
      <c r="M681" s="369"/>
      <c r="N681" s="369"/>
      <c r="O681" s="369"/>
    </row>
    <row r="682" spans="1:18">
      <c r="A682" s="361">
        <f>A680+1</f>
        <v>16</v>
      </c>
      <c r="B682" s="365">
        <v>382</v>
      </c>
      <c r="C682" s="358" t="s">
        <v>1778</v>
      </c>
      <c r="D682" s="369">
        <f>D665</f>
        <v>178773.72</v>
      </c>
      <c r="E682" s="369">
        <f>E665</f>
        <v>212.62</v>
      </c>
      <c r="F682" s="369">
        <f>F665</f>
        <v>-1895.6328350574754</v>
      </c>
      <c r="G682" s="369">
        <f>SUM(D682:F682)</f>
        <v>177090.70716494252</v>
      </c>
      <c r="H682" s="369"/>
      <c r="I682" s="369">
        <f>I665</f>
        <v>-52233.724000000002</v>
      </c>
      <c r="J682" s="1251"/>
      <c r="K682" s="369">
        <f>K665</f>
        <v>262.75900000000001</v>
      </c>
      <c r="L682" s="369">
        <v>0</v>
      </c>
      <c r="M682" s="369">
        <f>M665</f>
        <v>-1895.6328350574754</v>
      </c>
      <c r="N682" s="369">
        <f>N665</f>
        <v>0</v>
      </c>
      <c r="O682" s="369">
        <f>I682+K682+L682+M682+N682</f>
        <v>-53866.597835057481</v>
      </c>
    </row>
    <row r="683" spans="1:18">
      <c r="A683" s="361">
        <f>A682+1</f>
        <v>17</v>
      </c>
      <c r="B683" s="365">
        <v>382</v>
      </c>
      <c r="C683" s="358" t="s">
        <v>1624</v>
      </c>
      <c r="D683" s="923">
        <f>D684-D682</f>
        <v>10584867.059999999</v>
      </c>
      <c r="E683" s="923">
        <f>E684-E682</f>
        <v>5059.4900000000007</v>
      </c>
      <c r="F683" s="923">
        <f>F684-F682</f>
        <v>44.25283505747575</v>
      </c>
      <c r="G683" s="923">
        <f>SUM(D683:F683)</f>
        <v>10589970.802835057</v>
      </c>
      <c r="H683" s="369"/>
      <c r="I683" s="923">
        <f>I684-I682</f>
        <v>5873758.574000001</v>
      </c>
      <c r="J683" s="1251"/>
      <c r="K683" s="923">
        <f>K684-K682</f>
        <v>15616.241</v>
      </c>
      <c r="L683" s="923">
        <v>0</v>
      </c>
      <c r="M683" s="923">
        <f>M684-M682</f>
        <v>44.25283505747575</v>
      </c>
      <c r="N683" s="923">
        <f>N684-N682</f>
        <v>0</v>
      </c>
      <c r="O683" s="923">
        <f>I683+K683+L683+M683+N683</f>
        <v>5889419.067835059</v>
      </c>
    </row>
    <row r="684" spans="1:18">
      <c r="A684" s="361">
        <f>A683+1</f>
        <v>18</v>
      </c>
      <c r="B684" s="365">
        <v>382</v>
      </c>
      <c r="C684" s="358" t="s">
        <v>3081</v>
      </c>
      <c r="D684" s="369">
        <f>G638</f>
        <v>10763640.779999999</v>
      </c>
      <c r="E684" s="369">
        <f>+'INPUT - B Schedule PLANT'!CE34</f>
        <v>5272.1100000000006</v>
      </c>
      <c r="F684" s="369">
        <f>+'INPUT - B Schedule PLANT'!CF34</f>
        <v>-1851.3799999999997</v>
      </c>
      <c r="G684" s="369">
        <f>SUM(G682:G683)</f>
        <v>10767061.51</v>
      </c>
      <c r="H684" s="369"/>
      <c r="I684" s="369">
        <f>O638</f>
        <v>5821524.8500000006</v>
      </c>
      <c r="J684" s="1251">
        <f>J665</f>
        <v>1.77E-2</v>
      </c>
      <c r="K684" s="369">
        <f>ROUND((D684+G684)/2*J684/12,0)</f>
        <v>15879</v>
      </c>
      <c r="L684" s="369">
        <f>SUM(L682:L683)</f>
        <v>0</v>
      </c>
      <c r="M684" s="369">
        <f>F684</f>
        <v>-1851.3799999999997</v>
      </c>
      <c r="N684" s="369">
        <v>0</v>
      </c>
      <c r="O684" s="369">
        <f>SUM(O682:O683)</f>
        <v>5835552.4700000016</v>
      </c>
    </row>
    <row r="685" spans="1:18">
      <c r="A685" s="361"/>
      <c r="B685" s="365"/>
      <c r="D685" s="369"/>
      <c r="E685" s="369"/>
      <c r="F685" s="369"/>
      <c r="G685" s="369"/>
      <c r="H685" s="369"/>
      <c r="I685" s="369"/>
      <c r="J685" s="1251"/>
      <c r="K685" s="369"/>
      <c r="L685" s="369"/>
      <c r="M685" s="369"/>
      <c r="N685" s="369"/>
      <c r="O685" s="369"/>
    </row>
    <row r="686" spans="1:18">
      <c r="A686" s="361">
        <f>A684+1</f>
        <v>19</v>
      </c>
      <c r="B686" s="365">
        <v>383</v>
      </c>
      <c r="C686" s="358" t="s">
        <v>1779</v>
      </c>
      <c r="D686" s="369">
        <f>D666</f>
        <v>16476.75</v>
      </c>
      <c r="E686" s="369">
        <f>E666</f>
        <v>29826.93</v>
      </c>
      <c r="F686" s="369">
        <f>F666</f>
        <v>-135.42223561193455</v>
      </c>
      <c r="G686" s="369">
        <f>SUM(D686:F686)</f>
        <v>46168.257764388065</v>
      </c>
      <c r="H686" s="369"/>
      <c r="I686" s="369">
        <f>I666</f>
        <v>-7673.7209999999995</v>
      </c>
      <c r="J686" s="1251"/>
      <c r="K686" s="369">
        <f>K666</f>
        <v>51.001000000000005</v>
      </c>
      <c r="L686" s="369">
        <v>0</v>
      </c>
      <c r="M686" s="369">
        <f>M666</f>
        <v>-135.42223561193455</v>
      </c>
      <c r="N686" s="369">
        <f>N666</f>
        <v>0</v>
      </c>
      <c r="O686" s="369">
        <f>I686+K686+L686+M686+N686</f>
        <v>-7758.1422356119338</v>
      </c>
    </row>
    <row r="687" spans="1:18">
      <c r="A687" s="361">
        <f>A686+1</f>
        <v>20</v>
      </c>
      <c r="B687" s="365">
        <v>383</v>
      </c>
      <c r="C687" s="358" t="s">
        <v>1625</v>
      </c>
      <c r="D687" s="923">
        <f>D688-D686</f>
        <v>7387201.2399999993</v>
      </c>
      <c r="E687" s="923">
        <f>E688-E686</f>
        <v>24580.769999999997</v>
      </c>
      <c r="F687" s="923">
        <f>F688-F686</f>
        <v>-147.11776438806541</v>
      </c>
      <c r="G687" s="923">
        <f>SUM(D687:F687)</f>
        <v>7411634.8922356106</v>
      </c>
      <c r="H687" s="369"/>
      <c r="I687" s="923">
        <f>I688-I686</f>
        <v>2510263.1310000001</v>
      </c>
      <c r="J687" s="1251"/>
      <c r="K687" s="923">
        <f>K688-K686</f>
        <v>11961.999</v>
      </c>
      <c r="L687" s="923">
        <v>0</v>
      </c>
      <c r="M687" s="923">
        <f>M688-M686</f>
        <v>-147.11776438806541</v>
      </c>
      <c r="N687" s="923">
        <f>N688-N686</f>
        <v>0</v>
      </c>
      <c r="O687" s="923">
        <f>I687+K687+L687+M687+N687</f>
        <v>2522078.0122356117</v>
      </c>
    </row>
    <row r="688" spans="1:18">
      <c r="A688" s="361">
        <f>A687+1</f>
        <v>21</v>
      </c>
      <c r="B688" s="365">
        <v>383</v>
      </c>
      <c r="C688" s="358" t="s">
        <v>3082</v>
      </c>
      <c r="D688" s="369">
        <f>G642</f>
        <v>7403677.9899999993</v>
      </c>
      <c r="E688" s="369">
        <f>+'INPUT - B Schedule PLANT'!CE35</f>
        <v>54407.7</v>
      </c>
      <c r="F688" s="369">
        <f>+'INPUT - B Schedule PLANT'!CF35</f>
        <v>-282.53999999999996</v>
      </c>
      <c r="G688" s="369">
        <f>SUM(G686:G687)</f>
        <v>7457803.1499999985</v>
      </c>
      <c r="H688" s="369"/>
      <c r="I688" s="369">
        <f>O642</f>
        <v>2502589.41</v>
      </c>
      <c r="J688" s="1251">
        <f>J666</f>
        <v>1.9400000000000001E-2</v>
      </c>
      <c r="K688" s="369">
        <f>ROUND((D688+G688)/2*J688/12,0)</f>
        <v>12013</v>
      </c>
      <c r="L688" s="369">
        <f>SUM(L686:L687)</f>
        <v>0</v>
      </c>
      <c r="M688" s="369">
        <f>F688</f>
        <v>-282.53999999999996</v>
      </c>
      <c r="N688" s="369">
        <v>0</v>
      </c>
      <c r="O688" s="369">
        <f>SUM(O686:O687)</f>
        <v>2514319.8699999996</v>
      </c>
    </row>
    <row r="691" spans="1:15" s="291" customFormat="1">
      <c r="A691" s="1308" t="str">
        <f>$A$1</f>
        <v>COLUMBIA GAS OF KENTUCKY, INC.</v>
      </c>
      <c r="B691" s="1308"/>
      <c r="C691" s="1308"/>
      <c r="D691" s="1308"/>
      <c r="E691" s="1308"/>
      <c r="F691" s="1308"/>
      <c r="G691" s="1308"/>
      <c r="H691" s="1308"/>
      <c r="I691" s="1308"/>
      <c r="J691" s="1308"/>
      <c r="K691" s="1308"/>
      <c r="L691" s="1308"/>
      <c r="M691" s="1308"/>
      <c r="N691" s="1308"/>
      <c r="O691" s="1308"/>
    </row>
    <row r="692" spans="1:15" s="291" customFormat="1">
      <c r="A692" s="1308" t="str">
        <f>$A$2</f>
        <v>CASE NO. 2024 - 00092</v>
      </c>
      <c r="B692" s="1308"/>
      <c r="C692" s="1308"/>
      <c r="D692" s="1308"/>
      <c r="E692" s="1308"/>
      <c r="F692" s="1308"/>
      <c r="G692" s="1308"/>
      <c r="H692" s="1308"/>
      <c r="I692" s="1308"/>
      <c r="J692" s="1308"/>
      <c r="K692" s="1308"/>
      <c r="L692" s="1308"/>
      <c r="M692" s="1308"/>
      <c r="N692" s="1308"/>
      <c r="O692" s="1308"/>
    </row>
    <row r="693" spans="1:15" s="291" customFormat="1">
      <c r="A693" s="1308" t="str">
        <f>$A$3</f>
        <v>DETAIL OF ACTUAL &amp;  FORECASTED SMRP PLANT, ACCUMULATED RESERVE &amp; DEPRECIATION EXPENSE</v>
      </c>
      <c r="B693" s="1308"/>
      <c r="C693" s="1308"/>
      <c r="D693" s="1308"/>
      <c r="E693" s="1308"/>
      <c r="F693" s="1308"/>
      <c r="G693" s="1308"/>
      <c r="H693" s="1308"/>
      <c r="I693" s="1308"/>
      <c r="J693" s="1308"/>
      <c r="K693" s="1308"/>
      <c r="L693" s="1308"/>
      <c r="M693" s="1308"/>
      <c r="N693" s="1308"/>
      <c r="O693" s="1308"/>
    </row>
    <row r="694" spans="1:15" s="291" customFormat="1">
      <c r="A694" s="1308" t="str">
        <f>$A$4</f>
        <v>FROM JANUARY 01, 2023 THROUGH DECEMBER 31, 2025</v>
      </c>
      <c r="B694" s="1308"/>
      <c r="C694" s="1308"/>
      <c r="D694" s="1308"/>
      <c r="E694" s="1308"/>
      <c r="F694" s="1308"/>
      <c r="G694" s="1308"/>
      <c r="H694" s="1308"/>
      <c r="I694" s="1308"/>
      <c r="J694" s="1308"/>
      <c r="K694" s="1308"/>
      <c r="L694" s="1308"/>
      <c r="M694" s="1308"/>
      <c r="N694" s="1308"/>
      <c r="O694" s="1308"/>
    </row>
    <row r="695" spans="1:15" s="291" customFormat="1">
      <c r="B695" s="293"/>
    </row>
    <row r="696" spans="1:15" s="291" customFormat="1">
      <c r="A696" s="297" t="str">
        <f>'General Headers Index'!$B$34</f>
        <v xml:space="preserve">DATA: _X_ BASE PERIOD _X_ FORECASTED PERIOD     </v>
      </c>
      <c r="B696" s="293"/>
      <c r="O696" s="312" t="s">
        <v>2461</v>
      </c>
    </row>
    <row r="697" spans="1:15" s="291" customFormat="1">
      <c r="A697" s="297" t="str">
        <f>'General Headers Index'!$B$37</f>
        <v>TYPE OF FILING:___X___ORIGINAL______UPDATED</v>
      </c>
      <c r="B697" s="293"/>
      <c r="O697" s="312" t="s">
        <v>2238</v>
      </c>
    </row>
    <row r="698" spans="1:15" s="291" customFormat="1">
      <c r="A698" s="297" t="s">
        <v>2150</v>
      </c>
      <c r="B698" s="293"/>
      <c r="O698" s="312" t="str">
        <f>"WITNESS: "&amp;'General Headers Index'!$B$42</f>
        <v>WITNESS: GORE</v>
      </c>
    </row>
    <row r="699" spans="1:15">
      <c r="A699" s="918"/>
      <c r="B699" s="918"/>
      <c r="C699" s="918"/>
      <c r="D699" s="918"/>
      <c r="E699" s="918"/>
      <c r="F699" s="918"/>
      <c r="G699" s="918"/>
      <c r="H699" s="918"/>
      <c r="I699" s="918"/>
      <c r="J699" s="918"/>
      <c r="K699" s="918"/>
      <c r="L699" s="918"/>
      <c r="M699" s="918"/>
      <c r="N699" s="918"/>
      <c r="O699" s="918"/>
    </row>
    <row r="700" spans="1:15">
      <c r="B700" s="359"/>
      <c r="D700" s="1312" t="s">
        <v>1768</v>
      </c>
      <c r="E700" s="1312"/>
      <c r="F700" s="1312"/>
      <c r="G700" s="1312"/>
      <c r="I700" s="1312" t="s">
        <v>1769</v>
      </c>
      <c r="J700" s="1312"/>
      <c r="K700" s="1312"/>
      <c r="L700" s="1312"/>
      <c r="M700" s="1312"/>
      <c r="N700" s="1312"/>
      <c r="O700" s="1312"/>
    </row>
    <row r="701" spans="1:15">
      <c r="B701" s="359"/>
      <c r="D701" s="360">
        <f>G655+1</f>
        <v>45383</v>
      </c>
      <c r="G701" s="360">
        <f>D701+29</f>
        <v>45412</v>
      </c>
      <c r="I701" s="360">
        <f>D701</f>
        <v>45383</v>
      </c>
      <c r="O701" s="360">
        <f>G701</f>
        <v>45412</v>
      </c>
    </row>
    <row r="702" spans="1:15">
      <c r="B702" s="359"/>
      <c r="D702" s="361" t="s">
        <v>1757</v>
      </c>
      <c r="G702" s="361" t="s">
        <v>1757</v>
      </c>
      <c r="I702" s="361" t="s">
        <v>1758</v>
      </c>
      <c r="J702" s="361" t="s">
        <v>488</v>
      </c>
      <c r="L702" s="361" t="s">
        <v>1758</v>
      </c>
      <c r="O702" s="361" t="s">
        <v>1758</v>
      </c>
    </row>
    <row r="703" spans="1:15">
      <c r="A703" s="361" t="s">
        <v>1770</v>
      </c>
      <c r="B703" s="361" t="s">
        <v>368</v>
      </c>
      <c r="C703" s="361"/>
      <c r="D703" s="361" t="s">
        <v>437</v>
      </c>
      <c r="G703" s="361" t="s">
        <v>439</v>
      </c>
      <c r="I703" s="361" t="s">
        <v>437</v>
      </c>
      <c r="J703" s="361" t="s">
        <v>1771</v>
      </c>
      <c r="K703" s="361" t="s">
        <v>1772</v>
      </c>
      <c r="L703" s="361" t="s">
        <v>1759</v>
      </c>
      <c r="N703" s="361" t="s">
        <v>1760</v>
      </c>
      <c r="O703" s="361" t="s">
        <v>439</v>
      </c>
    </row>
    <row r="704" spans="1:15">
      <c r="A704" s="364" t="s">
        <v>316</v>
      </c>
      <c r="B704" s="364" t="s">
        <v>316</v>
      </c>
      <c r="C704" s="364" t="s">
        <v>451</v>
      </c>
      <c r="D704" s="364" t="s">
        <v>441</v>
      </c>
      <c r="E704" s="364" t="s">
        <v>442</v>
      </c>
      <c r="F704" s="364" t="s">
        <v>443</v>
      </c>
      <c r="G704" s="364" t="s">
        <v>441</v>
      </c>
      <c r="I704" s="364" t="s">
        <v>441</v>
      </c>
      <c r="J704" s="364" t="s">
        <v>1773</v>
      </c>
      <c r="K704" s="364" t="s">
        <v>1771</v>
      </c>
      <c r="L704" s="364" t="s">
        <v>355</v>
      </c>
      <c r="M704" s="364" t="s">
        <v>443</v>
      </c>
      <c r="N704" s="364" t="s">
        <v>1763</v>
      </c>
      <c r="O704" s="364" t="s">
        <v>441</v>
      </c>
    </row>
    <row r="705" spans="1:15">
      <c r="B705" s="359"/>
      <c r="D705" s="361" t="s">
        <v>532</v>
      </c>
      <c r="E705" s="361" t="s">
        <v>541</v>
      </c>
      <c r="F705" s="361" t="s">
        <v>542</v>
      </c>
      <c r="G705" s="361" t="s">
        <v>1764</v>
      </c>
      <c r="I705" s="334" t="str">
        <f>"(5)"</f>
        <v>(5)</v>
      </c>
      <c r="J705" s="334" t="str">
        <f>"(6)"</f>
        <v>(6)</v>
      </c>
      <c r="K705" s="334" t="str">
        <f>"(7)=((1+4)/2*6/12))"</f>
        <v>(7)=((1+4)/2*6/12))</v>
      </c>
      <c r="L705" s="334" t="str">
        <f>"(8)"</f>
        <v>(8)</v>
      </c>
      <c r="M705" s="334" t="str">
        <f>"(9)"</f>
        <v>(9)</v>
      </c>
      <c r="N705" s="334" t="str">
        <f>"(10)"</f>
        <v>(10)</v>
      </c>
      <c r="O705" s="334" t="str">
        <f>"(11=5+7+8+9+10)"</f>
        <v>(11=5+7+8+9+10)</v>
      </c>
    </row>
    <row r="706" spans="1:15">
      <c r="B706" s="359"/>
      <c r="D706" s="361" t="s">
        <v>320</v>
      </c>
      <c r="E706" s="361" t="s">
        <v>320</v>
      </c>
      <c r="F706" s="361" t="s">
        <v>320</v>
      </c>
      <c r="G706" s="361" t="s">
        <v>320</v>
      </c>
      <c r="I706" s="334" t="s">
        <v>320</v>
      </c>
      <c r="J706" s="1250" t="s">
        <v>529</v>
      </c>
      <c r="K706" s="334" t="s">
        <v>320</v>
      </c>
      <c r="L706" s="334" t="s">
        <v>320</v>
      </c>
      <c r="M706" s="334" t="s">
        <v>320</v>
      </c>
      <c r="N706" s="334" t="s">
        <v>320</v>
      </c>
      <c r="O706" s="334" t="s">
        <v>320</v>
      </c>
    </row>
    <row r="707" spans="1:15">
      <c r="B707" s="359"/>
      <c r="D707" s="361"/>
      <c r="E707" s="361"/>
      <c r="F707" s="361"/>
      <c r="G707" s="361"/>
      <c r="I707" s="334"/>
      <c r="J707" s="334"/>
      <c r="K707" s="334"/>
      <c r="L707" s="334"/>
      <c r="M707" s="334"/>
      <c r="N707" s="334"/>
      <c r="O707" s="334"/>
    </row>
    <row r="708" spans="1:15">
      <c r="A708" s="361">
        <v>1</v>
      </c>
      <c r="B708" s="365">
        <v>376</v>
      </c>
      <c r="C708" s="358" t="s">
        <v>1775</v>
      </c>
      <c r="D708" s="369">
        <f>G662</f>
        <v>34184849.926497392</v>
      </c>
      <c r="E708" s="369">
        <v>1085099.0430508142</v>
      </c>
      <c r="F708" s="369">
        <v>-5865.2104164145521</v>
      </c>
      <c r="G708" s="369">
        <f>SUM(D708:F708)</f>
        <v>35264083.759131789</v>
      </c>
      <c r="H708" s="369"/>
      <c r="I708" s="369">
        <f>O662</f>
        <v>-12466.487566213518</v>
      </c>
      <c r="J708" s="1251">
        <f>$J$662</f>
        <v>1.7399999999999999E-2</v>
      </c>
      <c r="K708" s="380">
        <v>50350.445</v>
      </c>
      <c r="L708" s="369">
        <v>0</v>
      </c>
      <c r="M708" s="369">
        <f>F708</f>
        <v>-5865.2104164145521</v>
      </c>
      <c r="N708" s="369">
        <v>-1099.29</v>
      </c>
      <c r="O708" s="369">
        <f>I708+K708+L708+M708+N708</f>
        <v>30919.457017371929</v>
      </c>
    </row>
    <row r="709" spans="1:15">
      <c r="A709" s="361">
        <f>A708+1</f>
        <v>2</v>
      </c>
      <c r="B709" s="365">
        <v>378.2</v>
      </c>
      <c r="C709" s="358" t="s">
        <v>1776</v>
      </c>
      <c r="D709" s="369">
        <f>G663</f>
        <v>-185312.46000000008</v>
      </c>
      <c r="E709" s="369">
        <v>99194.37712408138</v>
      </c>
      <c r="F709" s="369">
        <v>-14286.84987086611</v>
      </c>
      <c r="G709" s="369">
        <f>SUM(D709:F709)</f>
        <v>-100404.93274678481</v>
      </c>
      <c r="H709" s="369"/>
      <c r="I709" s="369">
        <f>O663</f>
        <v>-485033.93799999997</v>
      </c>
      <c r="J709" s="1251">
        <f>$J$663</f>
        <v>2.52E-2</v>
      </c>
      <c r="K709" s="380">
        <v>-299.84699999999998</v>
      </c>
      <c r="L709" s="369">
        <v>0</v>
      </c>
      <c r="M709" s="369">
        <f>F709</f>
        <v>-14286.84987086611</v>
      </c>
      <c r="N709" s="369">
        <v>-7484.3552921169467</v>
      </c>
      <c r="O709" s="369">
        <f>I709+K709+L709+M709+N709</f>
        <v>-507104.99016298301</v>
      </c>
    </row>
    <row r="710" spans="1:15">
      <c r="A710" s="361">
        <f>A709+1</f>
        <v>3</v>
      </c>
      <c r="B710" s="365">
        <v>380</v>
      </c>
      <c r="C710" s="358" t="s">
        <v>1777</v>
      </c>
      <c r="D710" s="369">
        <f>G664</f>
        <v>12303282.580570366</v>
      </c>
      <c r="E710" s="369">
        <v>1659435.52</v>
      </c>
      <c r="F710" s="369">
        <v>-437686.54688831879</v>
      </c>
      <c r="G710" s="369">
        <f>SUM(D710:F710)</f>
        <v>13525031.553682048</v>
      </c>
      <c r="H710" s="369"/>
      <c r="I710" s="369">
        <f>O664</f>
        <v>-5987383.3850216335</v>
      </c>
      <c r="J710" s="1251">
        <f>$J$664</f>
        <v>3.9800000000000002E-2</v>
      </c>
      <c r="K710" s="380">
        <v>42832.067000000003</v>
      </c>
      <c r="L710" s="369">
        <v>0</v>
      </c>
      <c r="M710" s="369">
        <f>F710</f>
        <v>-437686.54688831879</v>
      </c>
      <c r="N710" s="369">
        <v>-153311.54999999999</v>
      </c>
      <c r="O710" s="369">
        <f>I710+K710+L710+M710+N710</f>
        <v>-6535549.4149099523</v>
      </c>
    </row>
    <row r="711" spans="1:15">
      <c r="A711" s="361">
        <f>A710+1</f>
        <v>4</v>
      </c>
      <c r="B711" s="365">
        <v>382</v>
      </c>
      <c r="C711" s="358" t="s">
        <v>1778</v>
      </c>
      <c r="D711" s="369">
        <f>G665</f>
        <v>177090.70716494252</v>
      </c>
      <c r="E711" s="369">
        <v>2709.61</v>
      </c>
      <c r="F711" s="369">
        <v>-1153.1400000000001</v>
      </c>
      <c r="G711" s="369">
        <f>SUM(D711:F711)</f>
        <v>178647.17716494249</v>
      </c>
      <c r="H711" s="369"/>
      <c r="I711" s="369">
        <f>O665</f>
        <v>-53866.597835057481</v>
      </c>
      <c r="J711" s="1251">
        <f>$J$665</f>
        <v>1.77E-2</v>
      </c>
      <c r="K711" s="380">
        <v>262.14800000000002</v>
      </c>
      <c r="L711" s="369">
        <v>0</v>
      </c>
      <c r="M711" s="369">
        <f>F711</f>
        <v>-1153.1400000000001</v>
      </c>
      <c r="N711" s="369">
        <v>0</v>
      </c>
      <c r="O711" s="369">
        <f>I711+K711+L711+M711+N711</f>
        <v>-54757.589835057479</v>
      </c>
    </row>
    <row r="712" spans="1:15">
      <c r="A712" s="361">
        <f>A711+1</f>
        <v>5</v>
      </c>
      <c r="B712" s="365">
        <v>383</v>
      </c>
      <c r="C712" s="358" t="s">
        <v>1779</v>
      </c>
      <c r="D712" s="923">
        <f>G666</f>
        <v>46168.257764388065</v>
      </c>
      <c r="E712" s="923">
        <v>10408.2463812639</v>
      </c>
      <c r="F712" s="923">
        <v>-150.10353352433253</v>
      </c>
      <c r="G712" s="923">
        <f>SUM(D712:F712)</f>
        <v>56426.400612127632</v>
      </c>
      <c r="H712" s="369"/>
      <c r="I712" s="923">
        <f>O666</f>
        <v>-7758.1422356119338</v>
      </c>
      <c r="J712" s="1251">
        <f>$J$666</f>
        <v>1.9400000000000001E-2</v>
      </c>
      <c r="K712" s="925">
        <v>83.292000000000002</v>
      </c>
      <c r="L712" s="923">
        <v>0</v>
      </c>
      <c r="M712" s="923">
        <f>F712</f>
        <v>-150.10353352433253</v>
      </c>
      <c r="N712" s="923">
        <v>0</v>
      </c>
      <c r="O712" s="923">
        <f>I712+K712+L712+M712+N712</f>
        <v>-7824.9537691362657</v>
      </c>
    </row>
    <row r="713" spans="1:15">
      <c r="A713" s="361">
        <f>A712+1</f>
        <v>6</v>
      </c>
      <c r="C713" s="358" t="s">
        <v>3077</v>
      </c>
      <c r="D713" s="369">
        <f>SUM(D708:D712)</f>
        <v>46526079.011997096</v>
      </c>
      <c r="E713" s="369">
        <f>SUM(E708:E712)</f>
        <v>2856846.7965561589</v>
      </c>
      <c r="F713" s="369">
        <f>SUM(F708:F712)</f>
        <v>-459141.85070912377</v>
      </c>
      <c r="G713" s="369">
        <f>SUM(G708:G712)</f>
        <v>48923783.957844123</v>
      </c>
      <c r="H713" s="369"/>
      <c r="I713" s="369">
        <f>SUM(I708:I712)</f>
        <v>-6546508.5506585157</v>
      </c>
      <c r="J713" s="369"/>
      <c r="K713" s="369">
        <f>SUM(K708:K712)</f>
        <v>93228.10500000001</v>
      </c>
      <c r="L713" s="369">
        <f t="shared" ref="L713" si="15">SUM(L708:L712)</f>
        <v>0</v>
      </c>
      <c r="M713" s="369">
        <f>SUM(M708:M712)</f>
        <v>-459141.85070912377</v>
      </c>
      <c r="N713" s="369">
        <f>SUM(N708:N712)</f>
        <v>-161895.19529211693</v>
      </c>
      <c r="O713" s="369">
        <f>SUM(O708:O712)</f>
        <v>-7074317.4916597567</v>
      </c>
    </row>
    <row r="714" spans="1:15">
      <c r="A714" s="361"/>
      <c r="D714" s="369"/>
      <c r="E714" s="369"/>
      <c r="F714" s="369"/>
      <c r="G714" s="369"/>
      <c r="H714" s="369"/>
      <c r="I714" s="369"/>
      <c r="J714" s="369"/>
      <c r="K714" s="369"/>
      <c r="L714" s="369"/>
      <c r="M714" s="369"/>
      <c r="N714" s="369"/>
      <c r="O714" s="369"/>
    </row>
    <row r="715" spans="1:15">
      <c r="A715" s="361"/>
      <c r="D715" s="369"/>
      <c r="E715" s="369"/>
      <c r="F715" s="369"/>
      <c r="G715" s="369"/>
      <c r="H715" s="369"/>
      <c r="I715" s="369"/>
      <c r="J715" s="369"/>
      <c r="K715" s="369"/>
      <c r="L715" s="369"/>
      <c r="M715" s="369"/>
      <c r="N715" s="369"/>
      <c r="O715" s="369"/>
    </row>
    <row r="716" spans="1:15">
      <c r="A716" s="361">
        <f>A713+1</f>
        <v>7</v>
      </c>
      <c r="B716" s="365">
        <v>376</v>
      </c>
      <c r="C716" s="358" t="s">
        <v>1775</v>
      </c>
      <c r="D716" s="369">
        <f>D708</f>
        <v>34184849.926497392</v>
      </c>
      <c r="E716" s="369">
        <f>E708</f>
        <v>1085099.0430508142</v>
      </c>
      <c r="F716" s="369">
        <f>F708</f>
        <v>-5865.2104164145521</v>
      </c>
      <c r="G716" s="369">
        <f>SUM(D716:F716)</f>
        <v>35264083.759131789</v>
      </c>
      <c r="H716" s="369"/>
      <c r="I716" s="369">
        <f>I708</f>
        <v>-12466.487566213518</v>
      </c>
      <c r="J716" s="1251"/>
      <c r="K716" s="369">
        <f>K708</f>
        <v>50350.445</v>
      </c>
      <c r="L716" s="369">
        <v>0</v>
      </c>
      <c r="M716" s="369">
        <f>M708</f>
        <v>-5865.2104164145521</v>
      </c>
      <c r="N716" s="369">
        <f>N708</f>
        <v>-1099.29</v>
      </c>
      <c r="O716" s="369">
        <f>I716+K716+L716+M716+N716</f>
        <v>30919.457017371929</v>
      </c>
    </row>
    <row r="717" spans="1:15">
      <c r="A717" s="361">
        <f>A716+1</f>
        <v>8</v>
      </c>
      <c r="B717" s="365">
        <v>376</v>
      </c>
      <c r="C717" s="358" t="s">
        <v>1621</v>
      </c>
      <c r="D717" s="923">
        <f>D718-D716</f>
        <v>412757087.3435027</v>
      </c>
      <c r="E717" s="923">
        <f>E718-E716</f>
        <v>456022.61694918573</v>
      </c>
      <c r="F717" s="923">
        <f>F718-F716</f>
        <v>-32569.119583585449</v>
      </c>
      <c r="G717" s="923">
        <f>SUM(D717:F717)</f>
        <v>413180540.84086829</v>
      </c>
      <c r="H717" s="369"/>
      <c r="I717" s="923">
        <f>I718-I716</f>
        <v>81266309.237566277</v>
      </c>
      <c r="J717" s="1251"/>
      <c r="K717" s="923">
        <f>K718-K716</f>
        <v>598804.55500000005</v>
      </c>
      <c r="L717" s="923">
        <v>0</v>
      </c>
      <c r="M717" s="923">
        <f>M718-M716</f>
        <v>-32569.119583585449</v>
      </c>
      <c r="N717" s="923">
        <f>N718-N716</f>
        <v>-23106.489999999998</v>
      </c>
      <c r="O717" s="923">
        <f>I717+K717+L717+M717+N717</f>
        <v>81809438.182982698</v>
      </c>
    </row>
    <row r="718" spans="1:15">
      <c r="A718" s="361">
        <f>A717+1</f>
        <v>9</v>
      </c>
      <c r="B718" s="365">
        <v>376</v>
      </c>
      <c r="C718" s="358" t="s">
        <v>3078</v>
      </c>
      <c r="D718" s="369">
        <f>G672</f>
        <v>446941937.2700001</v>
      </c>
      <c r="E718" s="369">
        <f>+'INPUT - B Schedule PLANT'!CJ26</f>
        <v>1541121.66</v>
      </c>
      <c r="F718" s="369">
        <f>+'INPUT - B Schedule PLANT'!CK26</f>
        <v>-38434.33</v>
      </c>
      <c r="G718" s="369">
        <f>SUM(G716:G717)</f>
        <v>448444624.60000008</v>
      </c>
      <c r="H718" s="369"/>
      <c r="I718" s="369">
        <f>O672</f>
        <v>81253842.75000006</v>
      </c>
      <c r="J718" s="1251">
        <f>$J$672</f>
        <v>1.7399999999999999E-2</v>
      </c>
      <c r="K718" s="369">
        <f>ROUND((D718+G718)/2*J718/12,0)</f>
        <v>649155</v>
      </c>
      <c r="L718" s="369">
        <f>SUM(L716:L717)</f>
        <v>0</v>
      </c>
      <c r="M718" s="369">
        <f>F718</f>
        <v>-38434.33</v>
      </c>
      <c r="N718" s="369">
        <v>-24205.78</v>
      </c>
      <c r="O718" s="369">
        <f>SUM(O716:O717)</f>
        <v>81840357.640000075</v>
      </c>
    </row>
    <row r="719" spans="1:15">
      <c r="A719" s="361"/>
      <c r="B719" s="365"/>
      <c r="D719" s="369"/>
      <c r="E719" s="369"/>
      <c r="F719" s="369"/>
      <c r="G719" s="369"/>
      <c r="H719" s="369"/>
      <c r="I719" s="369"/>
      <c r="J719" s="1251"/>
      <c r="K719" s="369"/>
      <c r="L719" s="369"/>
      <c r="M719" s="369"/>
      <c r="N719" s="369"/>
      <c r="O719" s="369"/>
    </row>
    <row r="720" spans="1:15">
      <c r="A720" s="361">
        <f>A718+1</f>
        <v>10</v>
      </c>
      <c r="B720" s="365">
        <v>378.2</v>
      </c>
      <c r="C720" s="358" t="s">
        <v>1776</v>
      </c>
      <c r="D720" s="369">
        <f>D709</f>
        <v>-185312.46000000008</v>
      </c>
      <c r="E720" s="369">
        <f>E709</f>
        <v>99194.37712408138</v>
      </c>
      <c r="F720" s="369">
        <f>F709</f>
        <v>-14286.84987086611</v>
      </c>
      <c r="G720" s="369">
        <f>SUM(D720:F720)</f>
        <v>-100404.93274678481</v>
      </c>
      <c r="H720" s="369"/>
      <c r="I720" s="369">
        <f>I709</f>
        <v>-485033.93799999997</v>
      </c>
      <c r="J720" s="1251"/>
      <c r="K720" s="369">
        <f>K709</f>
        <v>-299.84699999999998</v>
      </c>
      <c r="L720" s="369">
        <v>0</v>
      </c>
      <c r="M720" s="369">
        <f>M709</f>
        <v>-14286.84987086611</v>
      </c>
      <c r="N720" s="369">
        <f>N709</f>
        <v>-7484.3552921169467</v>
      </c>
      <c r="O720" s="369">
        <f>I720+K720+L720+M720+N720</f>
        <v>-507104.99016298301</v>
      </c>
    </row>
    <row r="721" spans="1:15">
      <c r="A721" s="361">
        <f>A720+1</f>
        <v>11</v>
      </c>
      <c r="B721" s="365">
        <v>378.2</v>
      </c>
      <c r="C721" s="358" t="s">
        <v>1622</v>
      </c>
      <c r="D721" s="923">
        <f>D722-D720</f>
        <v>25833137.27</v>
      </c>
      <c r="E721" s="923">
        <f>E722-E720</f>
        <v>207867.33287591866</v>
      </c>
      <c r="F721" s="923">
        <f>F722-F720</f>
        <v>-1.2913389036839362E-4</v>
      </c>
      <c r="G721" s="923">
        <f>SUM(D721:F721)</f>
        <v>26041004.602746785</v>
      </c>
      <c r="H721" s="369"/>
      <c r="I721" s="923">
        <f>I722-I720</f>
        <v>3465997.6680000001</v>
      </c>
      <c r="J721" s="1251"/>
      <c r="K721" s="923">
        <f>K722-K720</f>
        <v>54467.847000000002</v>
      </c>
      <c r="L721" s="923">
        <v>0</v>
      </c>
      <c r="M721" s="923">
        <f>M722-M720</f>
        <v>-1.2913389036839362E-4</v>
      </c>
      <c r="N721" s="923">
        <f>N722-N720</f>
        <v>-102492.49470788306</v>
      </c>
      <c r="O721" s="923">
        <f>I721+K721+L721+M721+N721</f>
        <v>3417973.0201629833</v>
      </c>
    </row>
    <row r="722" spans="1:15">
      <c r="A722" s="361">
        <f>A721+1</f>
        <v>12</v>
      </c>
      <c r="B722" s="365">
        <v>378.2</v>
      </c>
      <c r="C722" s="358" t="s">
        <v>3079</v>
      </c>
      <c r="D722" s="369">
        <f>G676</f>
        <v>25647824.809999999</v>
      </c>
      <c r="E722" s="369">
        <f>+'INPUT - B Schedule PLANT'!CJ28</f>
        <v>307061.71000000002</v>
      </c>
      <c r="F722" s="369">
        <f>+'INPUT - B Schedule PLANT'!CK28</f>
        <v>-14286.85</v>
      </c>
      <c r="G722" s="369">
        <f>SUM(G720:G721)</f>
        <v>25940599.669999998</v>
      </c>
      <c r="H722" s="369"/>
      <c r="I722" s="369">
        <f>O676</f>
        <v>2980963.73</v>
      </c>
      <c r="J722" s="1251">
        <f>$J$676</f>
        <v>2.52E-2</v>
      </c>
      <c r="K722" s="369">
        <f>ROUND((D722+G722)/2*J722/12,0)</f>
        <v>54168</v>
      </c>
      <c r="L722" s="369">
        <f>SUM(L720:L721)</f>
        <v>0</v>
      </c>
      <c r="M722" s="369">
        <f>F722</f>
        <v>-14286.85</v>
      </c>
      <c r="N722" s="369">
        <v>-109976.85</v>
      </c>
      <c r="O722" s="369">
        <f>SUM(O720:O721)</f>
        <v>2910868.0300000003</v>
      </c>
    </row>
    <row r="723" spans="1:15">
      <c r="A723" s="361"/>
      <c r="B723" s="365"/>
      <c r="D723" s="369"/>
      <c r="E723" s="369"/>
      <c r="F723" s="369"/>
      <c r="G723" s="369"/>
      <c r="H723" s="369"/>
      <c r="I723" s="369"/>
      <c r="J723" s="1251"/>
      <c r="K723" s="369"/>
      <c r="L723" s="369"/>
      <c r="M723" s="369"/>
      <c r="N723" s="369"/>
      <c r="O723" s="369"/>
    </row>
    <row r="724" spans="1:15">
      <c r="A724" s="361">
        <f>A722+1</f>
        <v>13</v>
      </c>
      <c r="B724" s="365">
        <v>380</v>
      </c>
      <c r="C724" s="358" t="s">
        <v>1777</v>
      </c>
      <c r="D724" s="369">
        <f>D710</f>
        <v>12303282.580570366</v>
      </c>
      <c r="E724" s="369">
        <f>E710</f>
        <v>1659435.52</v>
      </c>
      <c r="F724" s="369">
        <f>F710</f>
        <v>-437686.54688831879</v>
      </c>
      <c r="G724" s="369">
        <f>SUM(D724:F724)</f>
        <v>13525031.553682048</v>
      </c>
      <c r="H724" s="369"/>
      <c r="I724" s="369">
        <f>I710</f>
        <v>-5987383.3850216335</v>
      </c>
      <c r="J724" s="1251"/>
      <c r="K724" s="369">
        <f>K710</f>
        <v>42832.067000000003</v>
      </c>
      <c r="L724" s="369">
        <v>0</v>
      </c>
      <c r="M724" s="369">
        <f>M710</f>
        <v>-437686.54688831879</v>
      </c>
      <c r="N724" s="369">
        <f>N710</f>
        <v>-153311.54999999999</v>
      </c>
      <c r="O724" s="369">
        <f>I724+K724+L724+M724+N724</f>
        <v>-6535549.4149099523</v>
      </c>
    </row>
    <row r="725" spans="1:15">
      <c r="A725" s="361">
        <f>A724+1</f>
        <v>14</v>
      </c>
      <c r="B725" s="365">
        <v>380</v>
      </c>
      <c r="C725" s="358" t="s">
        <v>1623</v>
      </c>
      <c r="D725" s="923">
        <f>D726-D724</f>
        <v>203683170.40942961</v>
      </c>
      <c r="E725" s="923">
        <f>E726-E724</f>
        <v>107967.07000000007</v>
      </c>
      <c r="F725" s="923">
        <f>F726-F724</f>
        <v>-70489.8131116812</v>
      </c>
      <c r="G725" s="923">
        <f>SUM(D725:F725)</f>
        <v>203720647.66631791</v>
      </c>
      <c r="H725" s="369"/>
      <c r="I725" s="923">
        <f>I726-I724</f>
        <v>61109591.615021646</v>
      </c>
      <c r="J725" s="1251"/>
      <c r="K725" s="923">
        <f>K726-K724</f>
        <v>675610.93299999996</v>
      </c>
      <c r="L725" s="923">
        <v>0</v>
      </c>
      <c r="M725" s="923">
        <f>M726-M724</f>
        <v>-70489.8131116812</v>
      </c>
      <c r="N725" s="923">
        <f>N726-N724</f>
        <v>0</v>
      </c>
      <c r="O725" s="923">
        <f>I725+K725+L725+M725+N725</f>
        <v>61714712.734909967</v>
      </c>
    </row>
    <row r="726" spans="1:15">
      <c r="A726" s="361">
        <f>A725+1</f>
        <v>15</v>
      </c>
      <c r="B726" s="365">
        <v>380</v>
      </c>
      <c r="C726" s="358" t="s">
        <v>3080</v>
      </c>
      <c r="D726" s="369">
        <f>G680</f>
        <v>215986452.98999998</v>
      </c>
      <c r="E726" s="369">
        <f>+'INPUT - B Schedule PLANT'!CJ31</f>
        <v>1767402.59</v>
      </c>
      <c r="F726" s="369">
        <f>+'INPUT - B Schedule PLANT'!CK31</f>
        <v>-508176.36</v>
      </c>
      <c r="G726" s="369">
        <f>SUM(G724:G725)</f>
        <v>217245679.21999997</v>
      </c>
      <c r="H726" s="369"/>
      <c r="I726" s="369">
        <f>O680</f>
        <v>55122208.230000012</v>
      </c>
      <c r="J726" s="1251">
        <f>$J$680</f>
        <v>3.9800000000000002E-2</v>
      </c>
      <c r="K726" s="369">
        <f>ROUND((D726+G726)/2*J726/12,0)</f>
        <v>718443</v>
      </c>
      <c r="L726" s="369">
        <f>SUM(L724:L725)</f>
        <v>0</v>
      </c>
      <c r="M726" s="369">
        <f>F726</f>
        <v>-508176.36</v>
      </c>
      <c r="N726" s="369">
        <v>-153311.54999999999</v>
      </c>
      <c r="O726" s="369">
        <f>SUM(O724:O725)</f>
        <v>55179163.320000015</v>
      </c>
    </row>
    <row r="727" spans="1:15">
      <c r="A727" s="361"/>
      <c r="B727" s="365"/>
      <c r="D727" s="369"/>
      <c r="E727" s="369"/>
      <c r="F727" s="369"/>
      <c r="G727" s="369"/>
      <c r="H727" s="369"/>
      <c r="I727" s="369"/>
      <c r="J727" s="1251"/>
      <c r="K727" s="369"/>
      <c r="L727" s="369"/>
      <c r="M727" s="369"/>
      <c r="N727" s="369"/>
      <c r="O727" s="369"/>
    </row>
    <row r="728" spans="1:15">
      <c r="A728" s="361">
        <f>A726+1</f>
        <v>16</v>
      </c>
      <c r="B728" s="365">
        <v>382</v>
      </c>
      <c r="C728" s="358" t="s">
        <v>1778</v>
      </c>
      <c r="D728" s="369">
        <f>D711</f>
        <v>177090.70716494252</v>
      </c>
      <c r="E728" s="369">
        <f>E711</f>
        <v>2709.61</v>
      </c>
      <c r="F728" s="369">
        <f>F711</f>
        <v>-1153.1400000000001</v>
      </c>
      <c r="G728" s="369">
        <f>SUM(D728:F728)</f>
        <v>178647.17716494249</v>
      </c>
      <c r="H728" s="369"/>
      <c r="I728" s="369">
        <f>I711</f>
        <v>-53866.597835057481</v>
      </c>
      <c r="J728" s="1251"/>
      <c r="K728" s="369">
        <f>K711</f>
        <v>262.14800000000002</v>
      </c>
      <c r="L728" s="369">
        <v>0</v>
      </c>
      <c r="M728" s="369">
        <f>M711</f>
        <v>-1153.1400000000001</v>
      </c>
      <c r="N728" s="369">
        <f>N711</f>
        <v>0</v>
      </c>
      <c r="O728" s="369">
        <f>I728+K728+L728+M728+N728</f>
        <v>-54757.589835057479</v>
      </c>
    </row>
    <row r="729" spans="1:15">
      <c r="A729" s="361">
        <f>A728+1</f>
        <v>17</v>
      </c>
      <c r="B729" s="365">
        <v>382</v>
      </c>
      <c r="C729" s="358" t="s">
        <v>1624</v>
      </c>
      <c r="D729" s="923">
        <f>D730-D728</f>
        <v>10589970.802835057</v>
      </c>
      <c r="E729" s="923">
        <f>E730-E728</f>
        <v>149.45999999999958</v>
      </c>
      <c r="F729" s="923">
        <f>F730-F728</f>
        <v>-3304.54</v>
      </c>
      <c r="G729" s="923">
        <f>SUM(D729:F729)</f>
        <v>10586815.722835058</v>
      </c>
      <c r="H729" s="369"/>
      <c r="I729" s="923">
        <f>I730-I728</f>
        <v>5889419.067835059</v>
      </c>
      <c r="J729" s="1251"/>
      <c r="K729" s="923">
        <f>K730-K728</f>
        <v>15617.852000000001</v>
      </c>
      <c r="L729" s="923">
        <v>0</v>
      </c>
      <c r="M729" s="923">
        <f>M730-M728</f>
        <v>-3304.54</v>
      </c>
      <c r="N729" s="923">
        <f>N730-N728</f>
        <v>0</v>
      </c>
      <c r="O729" s="923">
        <f>I729+K729+L729+M729+N729</f>
        <v>5901732.3798350589</v>
      </c>
    </row>
    <row r="730" spans="1:15">
      <c r="A730" s="361">
        <f>A729+1</f>
        <v>18</v>
      </c>
      <c r="B730" s="365">
        <v>382</v>
      </c>
      <c r="C730" s="358" t="s">
        <v>3081</v>
      </c>
      <c r="D730" s="369">
        <f>G684</f>
        <v>10767061.51</v>
      </c>
      <c r="E730" s="369">
        <f>+'INPUT - B Schedule PLANT'!CJ34</f>
        <v>2859.0699999999997</v>
      </c>
      <c r="F730" s="369">
        <f>+'INPUT - B Schedule PLANT'!CK34</f>
        <v>-4457.68</v>
      </c>
      <c r="G730" s="369">
        <f>SUM(G728:G729)</f>
        <v>10765462.9</v>
      </c>
      <c r="H730" s="369"/>
      <c r="I730" s="369">
        <f>O684</f>
        <v>5835552.4700000016</v>
      </c>
      <c r="J730" s="1251">
        <f>$J$684</f>
        <v>1.77E-2</v>
      </c>
      <c r="K730" s="369">
        <f>ROUND((D730+G730)/2*J730/12,0)</f>
        <v>15880</v>
      </c>
      <c r="L730" s="369">
        <f>SUM(L728:L729)</f>
        <v>0</v>
      </c>
      <c r="M730" s="369">
        <f>F730</f>
        <v>-4457.68</v>
      </c>
      <c r="N730" s="369">
        <v>0</v>
      </c>
      <c r="O730" s="369">
        <f>SUM(O728:O729)</f>
        <v>5846974.7900000019</v>
      </c>
    </row>
    <row r="731" spans="1:15">
      <c r="A731" s="361"/>
      <c r="B731" s="365"/>
      <c r="D731" s="369"/>
      <c r="E731" s="369"/>
      <c r="F731" s="369"/>
      <c r="G731" s="369"/>
      <c r="H731" s="369"/>
      <c r="I731" s="369"/>
      <c r="J731" s="1251"/>
      <c r="K731" s="369"/>
      <c r="L731" s="369"/>
      <c r="M731" s="369"/>
      <c r="N731" s="369"/>
      <c r="O731" s="369"/>
    </row>
    <row r="732" spans="1:15">
      <c r="A732" s="361">
        <f>A730+1</f>
        <v>19</v>
      </c>
      <c r="B732" s="365">
        <v>383</v>
      </c>
      <c r="C732" s="358" t="s">
        <v>1779</v>
      </c>
      <c r="D732" s="369">
        <f>D712</f>
        <v>46168.257764388065</v>
      </c>
      <c r="E732" s="369">
        <f>E712</f>
        <v>10408.2463812639</v>
      </c>
      <c r="F732" s="369">
        <f>F712</f>
        <v>-150.10353352433253</v>
      </c>
      <c r="G732" s="369">
        <f>SUM(D732:F732)</f>
        <v>56426.400612127632</v>
      </c>
      <c r="H732" s="369"/>
      <c r="I732" s="369">
        <f>I712</f>
        <v>-7758.1422356119338</v>
      </c>
      <c r="J732" s="1251"/>
      <c r="K732" s="369">
        <f>K712</f>
        <v>83.292000000000002</v>
      </c>
      <c r="L732" s="369">
        <v>0</v>
      </c>
      <c r="M732" s="369">
        <f>M712</f>
        <v>-150.10353352433253</v>
      </c>
      <c r="N732" s="369">
        <f>N712</f>
        <v>0</v>
      </c>
      <c r="O732" s="369">
        <f>I732+K732+L732+M732+N732</f>
        <v>-7824.9537691362657</v>
      </c>
    </row>
    <row r="733" spans="1:15">
      <c r="A733" s="361">
        <f>A732+1</f>
        <v>20</v>
      </c>
      <c r="B733" s="365">
        <v>383</v>
      </c>
      <c r="C733" s="358" t="s">
        <v>1625</v>
      </c>
      <c r="D733" s="923">
        <f>D734-D732</f>
        <v>7411634.8922356106</v>
      </c>
      <c r="E733" s="923">
        <f>E734-E732</f>
        <v>14902.793618736101</v>
      </c>
      <c r="F733" s="923">
        <f>F734-F732</f>
        <v>-215.43646647566749</v>
      </c>
      <c r="G733" s="923">
        <f>SUM(D733:F733)</f>
        <v>7426322.2493878705</v>
      </c>
      <c r="H733" s="369"/>
      <c r="I733" s="923">
        <f>I734-I732</f>
        <v>2522078.0122356117</v>
      </c>
      <c r="J733" s="1251"/>
      <c r="K733" s="923">
        <f>K734-K732</f>
        <v>11993.708000000001</v>
      </c>
      <c r="L733" s="923">
        <v>0</v>
      </c>
      <c r="M733" s="923">
        <f>M734-M732</f>
        <v>-215.43646647566749</v>
      </c>
      <c r="N733" s="923">
        <f>N734-N732</f>
        <v>0</v>
      </c>
      <c r="O733" s="923">
        <f>I733+K733+L733+M733+N733</f>
        <v>2533856.2837691363</v>
      </c>
    </row>
    <row r="734" spans="1:15">
      <c r="A734" s="361">
        <f>A733+1</f>
        <v>21</v>
      </c>
      <c r="B734" s="365">
        <v>383</v>
      </c>
      <c r="C734" s="358" t="s">
        <v>3082</v>
      </c>
      <c r="D734" s="369">
        <f>G688</f>
        <v>7457803.1499999985</v>
      </c>
      <c r="E734" s="369">
        <f>+'INPUT - B Schedule PLANT'!CJ35</f>
        <v>25311.040000000001</v>
      </c>
      <c r="F734" s="369">
        <f>+'INPUT - B Schedule PLANT'!CK35</f>
        <v>-365.54</v>
      </c>
      <c r="G734" s="369">
        <f>SUM(G732:G733)</f>
        <v>7482748.6499999985</v>
      </c>
      <c r="H734" s="369"/>
      <c r="I734" s="369">
        <f>O688</f>
        <v>2514319.8699999996</v>
      </c>
      <c r="J734" s="1251">
        <f>$J$688</f>
        <v>1.9400000000000001E-2</v>
      </c>
      <c r="K734" s="369">
        <f>ROUND((D734+G734)/2*J734/12,0)</f>
        <v>12077</v>
      </c>
      <c r="L734" s="369">
        <f>SUM(L732:L733)</f>
        <v>0</v>
      </c>
      <c r="M734" s="369">
        <f>F734</f>
        <v>-365.54</v>
      </c>
      <c r="N734" s="369">
        <v>0</v>
      </c>
      <c r="O734" s="369">
        <f>SUM(O732:O733)</f>
        <v>2526031.33</v>
      </c>
    </row>
    <row r="737" spans="1:15" s="291" customFormat="1">
      <c r="A737" s="1308" t="str">
        <f>$A$1</f>
        <v>COLUMBIA GAS OF KENTUCKY, INC.</v>
      </c>
      <c r="B737" s="1308"/>
      <c r="C737" s="1308"/>
      <c r="D737" s="1308"/>
      <c r="E737" s="1308"/>
      <c r="F737" s="1308"/>
      <c r="G737" s="1308"/>
      <c r="H737" s="1308"/>
      <c r="I737" s="1308"/>
      <c r="J737" s="1308"/>
      <c r="K737" s="1308"/>
      <c r="L737" s="1308"/>
      <c r="M737" s="1308"/>
      <c r="N737" s="1308"/>
      <c r="O737" s="1308"/>
    </row>
    <row r="738" spans="1:15" s="291" customFormat="1">
      <c r="A738" s="1308" t="str">
        <f>$A$2</f>
        <v>CASE NO. 2024 - 00092</v>
      </c>
      <c r="B738" s="1308"/>
      <c r="C738" s="1308"/>
      <c r="D738" s="1308"/>
      <c r="E738" s="1308"/>
      <c r="F738" s="1308"/>
      <c r="G738" s="1308"/>
      <c r="H738" s="1308"/>
      <c r="I738" s="1308"/>
      <c r="J738" s="1308"/>
      <c r="K738" s="1308"/>
      <c r="L738" s="1308"/>
      <c r="M738" s="1308"/>
      <c r="N738" s="1308"/>
      <c r="O738" s="1308"/>
    </row>
    <row r="739" spans="1:15" s="291" customFormat="1">
      <c r="A739" s="1308" t="str">
        <f>$A$3</f>
        <v>DETAIL OF ACTUAL &amp;  FORECASTED SMRP PLANT, ACCUMULATED RESERVE &amp; DEPRECIATION EXPENSE</v>
      </c>
      <c r="B739" s="1308"/>
      <c r="C739" s="1308"/>
      <c r="D739" s="1308"/>
      <c r="E739" s="1308"/>
      <c r="F739" s="1308"/>
      <c r="G739" s="1308"/>
      <c r="H739" s="1308"/>
      <c r="I739" s="1308"/>
      <c r="J739" s="1308"/>
      <c r="K739" s="1308"/>
      <c r="L739" s="1308"/>
      <c r="M739" s="1308"/>
      <c r="N739" s="1308"/>
      <c r="O739" s="1308"/>
    </row>
    <row r="740" spans="1:15" s="291" customFormat="1">
      <c r="A740" s="1308" t="str">
        <f>$A$4</f>
        <v>FROM JANUARY 01, 2023 THROUGH DECEMBER 31, 2025</v>
      </c>
      <c r="B740" s="1308"/>
      <c r="C740" s="1308"/>
      <c r="D740" s="1308"/>
      <c r="E740" s="1308"/>
      <c r="F740" s="1308"/>
      <c r="G740" s="1308"/>
      <c r="H740" s="1308"/>
      <c r="I740" s="1308"/>
      <c r="J740" s="1308"/>
      <c r="K740" s="1308"/>
      <c r="L740" s="1308"/>
      <c r="M740" s="1308"/>
      <c r="N740" s="1308"/>
      <c r="O740" s="1308"/>
    </row>
    <row r="741" spans="1:15" s="291" customFormat="1">
      <c r="B741" s="293"/>
    </row>
    <row r="742" spans="1:15" s="291" customFormat="1">
      <c r="A742" s="297" t="str">
        <f>'General Headers Index'!$B$34</f>
        <v xml:space="preserve">DATA: _X_ BASE PERIOD _X_ FORECASTED PERIOD     </v>
      </c>
      <c r="B742" s="293"/>
      <c r="O742" s="312" t="s">
        <v>2461</v>
      </c>
    </row>
    <row r="743" spans="1:15" s="291" customFormat="1">
      <c r="A743" s="297" t="str">
        <f>'General Headers Index'!$B$37</f>
        <v>TYPE OF FILING:___X___ORIGINAL______UPDATED</v>
      </c>
      <c r="B743" s="293"/>
      <c r="O743" s="312" t="s">
        <v>2239</v>
      </c>
    </row>
    <row r="744" spans="1:15" s="291" customFormat="1">
      <c r="A744" s="297" t="s">
        <v>2150</v>
      </c>
      <c r="B744" s="293"/>
      <c r="O744" s="312" t="str">
        <f>"WITNESS: "&amp;'General Headers Index'!$B$42</f>
        <v>WITNESS: GORE</v>
      </c>
    </row>
    <row r="745" spans="1:15">
      <c r="A745" s="918"/>
      <c r="B745" s="918"/>
      <c r="C745" s="918"/>
      <c r="D745" s="918"/>
      <c r="E745" s="918"/>
      <c r="F745" s="918"/>
      <c r="G745" s="918"/>
      <c r="H745" s="918"/>
      <c r="I745" s="918"/>
      <c r="J745" s="918"/>
      <c r="K745" s="918"/>
      <c r="L745" s="918"/>
      <c r="M745" s="918"/>
      <c r="N745" s="918"/>
      <c r="O745" s="918"/>
    </row>
    <row r="746" spans="1:15">
      <c r="B746" s="359"/>
      <c r="D746" s="1312" t="s">
        <v>1768</v>
      </c>
      <c r="E746" s="1312"/>
      <c r="F746" s="1312"/>
      <c r="G746" s="1312"/>
      <c r="I746" s="1312" t="s">
        <v>1769</v>
      </c>
      <c r="J746" s="1312"/>
      <c r="K746" s="1312"/>
      <c r="L746" s="1312"/>
      <c r="M746" s="1312"/>
      <c r="N746" s="1312"/>
      <c r="O746" s="1312"/>
    </row>
    <row r="747" spans="1:15">
      <c r="B747" s="359"/>
      <c r="D747" s="360">
        <f>G701+1</f>
        <v>45413</v>
      </c>
      <c r="G747" s="360">
        <f>D747+30</f>
        <v>45443</v>
      </c>
      <c r="I747" s="360">
        <f>D747</f>
        <v>45413</v>
      </c>
      <c r="O747" s="360">
        <f>G747</f>
        <v>45443</v>
      </c>
    </row>
    <row r="748" spans="1:15">
      <c r="B748" s="359"/>
      <c r="D748" s="361" t="s">
        <v>1757</v>
      </c>
      <c r="G748" s="361" t="s">
        <v>1757</v>
      </c>
      <c r="I748" s="361" t="s">
        <v>1758</v>
      </c>
      <c r="J748" s="361" t="s">
        <v>488</v>
      </c>
      <c r="L748" s="361" t="s">
        <v>1758</v>
      </c>
      <c r="O748" s="361" t="s">
        <v>1758</v>
      </c>
    </row>
    <row r="749" spans="1:15">
      <c r="A749" s="361" t="s">
        <v>1770</v>
      </c>
      <c r="B749" s="361" t="s">
        <v>368</v>
      </c>
      <c r="C749" s="361"/>
      <c r="D749" s="361" t="s">
        <v>437</v>
      </c>
      <c r="G749" s="361" t="s">
        <v>439</v>
      </c>
      <c r="I749" s="361" t="s">
        <v>437</v>
      </c>
      <c r="J749" s="361" t="s">
        <v>1771</v>
      </c>
      <c r="K749" s="361" t="s">
        <v>1772</v>
      </c>
      <c r="L749" s="361" t="s">
        <v>1759</v>
      </c>
      <c r="N749" s="361" t="s">
        <v>1760</v>
      </c>
      <c r="O749" s="361" t="s">
        <v>439</v>
      </c>
    </row>
    <row r="750" spans="1:15">
      <c r="A750" s="364" t="s">
        <v>316</v>
      </c>
      <c r="B750" s="364" t="s">
        <v>316</v>
      </c>
      <c r="C750" s="364" t="s">
        <v>451</v>
      </c>
      <c r="D750" s="364" t="s">
        <v>441</v>
      </c>
      <c r="E750" s="364" t="s">
        <v>442</v>
      </c>
      <c r="F750" s="364" t="s">
        <v>443</v>
      </c>
      <c r="G750" s="364" t="s">
        <v>441</v>
      </c>
      <c r="I750" s="364" t="s">
        <v>441</v>
      </c>
      <c r="J750" s="364" t="s">
        <v>1773</v>
      </c>
      <c r="K750" s="364" t="s">
        <v>1771</v>
      </c>
      <c r="L750" s="364" t="s">
        <v>355</v>
      </c>
      <c r="M750" s="364" t="s">
        <v>443</v>
      </c>
      <c r="N750" s="364" t="s">
        <v>1763</v>
      </c>
      <c r="O750" s="364" t="s">
        <v>441</v>
      </c>
    </row>
    <row r="751" spans="1:15">
      <c r="B751" s="359"/>
      <c r="D751" s="361" t="s">
        <v>532</v>
      </c>
      <c r="E751" s="361" t="s">
        <v>541</v>
      </c>
      <c r="F751" s="361" t="s">
        <v>542</v>
      </c>
      <c r="G751" s="361" t="s">
        <v>1764</v>
      </c>
      <c r="I751" s="334" t="str">
        <f>"(5)"</f>
        <v>(5)</v>
      </c>
      <c r="J751" s="334" t="str">
        <f>"(6)"</f>
        <v>(6)</v>
      </c>
      <c r="K751" s="334" t="str">
        <f>"(7)=((1+4)/2*6/12))"</f>
        <v>(7)=((1+4)/2*6/12))</v>
      </c>
      <c r="L751" s="334" t="str">
        <f>"(8)"</f>
        <v>(8)</v>
      </c>
      <c r="M751" s="334" t="str">
        <f>"(9)"</f>
        <v>(9)</v>
      </c>
      <c r="N751" s="334" t="str">
        <f>"(10)"</f>
        <v>(10)</v>
      </c>
      <c r="O751" s="334" t="str">
        <f>"(11=5+7+8+9+10)"</f>
        <v>(11=5+7+8+9+10)</v>
      </c>
    </row>
    <row r="752" spans="1:15">
      <c r="B752" s="359"/>
      <c r="D752" s="361" t="s">
        <v>320</v>
      </c>
      <c r="E752" s="361" t="s">
        <v>320</v>
      </c>
      <c r="F752" s="361" t="s">
        <v>320</v>
      </c>
      <c r="G752" s="361" t="s">
        <v>320</v>
      </c>
      <c r="I752" s="334" t="s">
        <v>320</v>
      </c>
      <c r="J752" s="1250" t="s">
        <v>529</v>
      </c>
      <c r="K752" s="334" t="s">
        <v>320</v>
      </c>
      <c r="L752" s="334" t="s">
        <v>320</v>
      </c>
      <c r="M752" s="334" t="s">
        <v>320</v>
      </c>
      <c r="N752" s="334" t="s">
        <v>320</v>
      </c>
      <c r="O752" s="334" t="s">
        <v>320</v>
      </c>
    </row>
    <row r="753" spans="1:15">
      <c r="B753" s="359"/>
      <c r="D753" s="361"/>
      <c r="E753" s="361"/>
      <c r="F753" s="361"/>
      <c r="G753" s="361"/>
      <c r="I753" s="334"/>
      <c r="J753" s="334"/>
      <c r="K753" s="334"/>
      <c r="L753" s="334"/>
      <c r="M753" s="334"/>
      <c r="N753" s="334"/>
      <c r="O753" s="334"/>
    </row>
    <row r="754" spans="1:15">
      <c r="A754" s="361">
        <v>1</v>
      </c>
      <c r="B754" s="365">
        <v>376</v>
      </c>
      <c r="C754" s="358" t="s">
        <v>1775</v>
      </c>
      <c r="D754" s="369">
        <f>G708</f>
        <v>35264083.759131789</v>
      </c>
      <c r="E754" s="369">
        <v>1715794.2553764428</v>
      </c>
      <c r="F754" s="369">
        <v>-8774.2712834546182</v>
      </c>
      <c r="G754" s="369">
        <f>SUM(D754:F754)</f>
        <v>36971103.743224777</v>
      </c>
      <c r="H754" s="369"/>
      <c r="I754" s="369">
        <f>O708</f>
        <v>30919.457017371929</v>
      </c>
      <c r="J754" s="1251">
        <f>$J$662</f>
        <v>1.7399999999999999E-2</v>
      </c>
      <c r="K754" s="380">
        <v>52370.589</v>
      </c>
      <c r="L754" s="369">
        <v>0</v>
      </c>
      <c r="M754" s="369">
        <f>F754</f>
        <v>-8774.2712834546182</v>
      </c>
      <c r="N754" s="369">
        <v>-381.61472832156863</v>
      </c>
      <c r="O754" s="369">
        <f>I754+K754+L754+M754+N754</f>
        <v>74134.160005595753</v>
      </c>
    </row>
    <row r="755" spans="1:15">
      <c r="A755" s="361">
        <f>A754+1</f>
        <v>2</v>
      </c>
      <c r="B755" s="365">
        <v>378.2</v>
      </c>
      <c r="C755" s="358" t="s">
        <v>1776</v>
      </c>
      <c r="D755" s="369">
        <f>G709</f>
        <v>-100404.93274678481</v>
      </c>
      <c r="E755" s="369">
        <v>372549.15617829165</v>
      </c>
      <c r="F755" s="369">
        <v>-21330.138679792384</v>
      </c>
      <c r="G755" s="369">
        <f>SUM(D755:F755)</f>
        <v>250814.08475171446</v>
      </c>
      <c r="H755" s="369"/>
      <c r="I755" s="369">
        <f>O709</f>
        <v>-507104.99016298301</v>
      </c>
      <c r="J755" s="1251">
        <f>$J$663</f>
        <v>2.52E-2</v>
      </c>
      <c r="K755" s="380">
        <v>157.77999999999997</v>
      </c>
      <c r="L755" s="369">
        <v>0</v>
      </c>
      <c r="M755" s="369">
        <f>F755</f>
        <v>-21330.138679792384</v>
      </c>
      <c r="N755" s="369">
        <v>-2964.3256306984981</v>
      </c>
      <c r="O755" s="369">
        <f>I755+K755+L755+M755+N755</f>
        <v>-531241.6744734738</v>
      </c>
    </row>
    <row r="756" spans="1:15">
      <c r="A756" s="361">
        <f>A755+1</f>
        <v>3</v>
      </c>
      <c r="B756" s="365">
        <v>380</v>
      </c>
      <c r="C756" s="358" t="s">
        <v>1777</v>
      </c>
      <c r="D756" s="369">
        <f>G710</f>
        <v>13525031.553682048</v>
      </c>
      <c r="E756" s="369">
        <v>1791521.11</v>
      </c>
      <c r="F756" s="369">
        <v>-444461.42472238117</v>
      </c>
      <c r="G756" s="369">
        <f>SUM(D756:F756)</f>
        <v>14872091.238959666</v>
      </c>
      <c r="H756" s="369"/>
      <c r="I756" s="369">
        <f>O710</f>
        <v>-6535549.4149099523</v>
      </c>
      <c r="J756" s="1251">
        <f>$J$664</f>
        <v>3.9800000000000002E-2</v>
      </c>
      <c r="K756" s="380">
        <v>47091.873999999996</v>
      </c>
      <c r="L756" s="369">
        <v>0</v>
      </c>
      <c r="M756" s="369">
        <f>F756</f>
        <v>-444461.42472238117</v>
      </c>
      <c r="N756" s="369">
        <v>-205134.47447921877</v>
      </c>
      <c r="O756" s="369">
        <f>I756+K756+L756+M756+N756</f>
        <v>-7138053.4401115524</v>
      </c>
    </row>
    <row r="757" spans="1:15">
      <c r="A757" s="361">
        <f>A756+1</f>
        <v>4</v>
      </c>
      <c r="B757" s="365">
        <v>382</v>
      </c>
      <c r="C757" s="358" t="s">
        <v>1778</v>
      </c>
      <c r="D757" s="369">
        <f>G711</f>
        <v>178647.17716494249</v>
      </c>
      <c r="E757" s="369">
        <v>2537.27</v>
      </c>
      <c r="F757" s="369">
        <v>-2789.4988054685391</v>
      </c>
      <c r="G757" s="369">
        <f>SUM(D757:F757)</f>
        <v>178394.94835947393</v>
      </c>
      <c r="H757" s="369"/>
      <c r="I757" s="369">
        <f>O711</f>
        <v>-54757.589835057479</v>
      </c>
      <c r="J757" s="1251">
        <f>$J$665</f>
        <v>1.77E-2</v>
      </c>
      <c r="K757" s="380">
        <v>263.81400000000002</v>
      </c>
      <c r="L757" s="369">
        <v>0</v>
      </c>
      <c r="M757" s="369">
        <f>F757</f>
        <v>-2789.4988054685391</v>
      </c>
      <c r="N757" s="369">
        <v>0</v>
      </c>
      <c r="O757" s="369">
        <f>I757+K757+L757+M757+N757</f>
        <v>-57283.274640526019</v>
      </c>
    </row>
    <row r="758" spans="1:15">
      <c r="A758" s="361">
        <f>A757+1</f>
        <v>5</v>
      </c>
      <c r="B758" s="365">
        <v>383</v>
      </c>
      <c r="C758" s="358" t="s">
        <v>1779</v>
      </c>
      <c r="D758" s="923">
        <f>G712</f>
        <v>56426.400612127632</v>
      </c>
      <c r="E758" s="923">
        <v>5930.7625181521398</v>
      </c>
      <c r="F758" s="923">
        <v>-252.63437805489215</v>
      </c>
      <c r="G758" s="923">
        <f>SUM(D758:F758)</f>
        <v>62104.528752224884</v>
      </c>
      <c r="H758" s="369"/>
      <c r="I758" s="923">
        <f>O712</f>
        <v>-7824.9537691362657</v>
      </c>
      <c r="J758" s="1251">
        <f>$J$666</f>
        <v>1.9400000000000001E-2</v>
      </c>
      <c r="K758" s="925">
        <v>95.59</v>
      </c>
      <c r="L758" s="923">
        <v>0</v>
      </c>
      <c r="M758" s="923">
        <f>F758</f>
        <v>-252.63437805489215</v>
      </c>
      <c r="N758" s="923">
        <v>0</v>
      </c>
      <c r="O758" s="923">
        <f>I758+K758+L758+M758+N758</f>
        <v>-7981.9981471911578</v>
      </c>
    </row>
    <row r="759" spans="1:15">
      <c r="A759" s="361">
        <f>A758+1</f>
        <v>6</v>
      </c>
      <c r="C759" s="358" t="s">
        <v>3077</v>
      </c>
      <c r="D759" s="369">
        <f>SUM(D754:D758)</f>
        <v>48923783.957844123</v>
      </c>
      <c r="E759" s="369">
        <f>SUM(E754:E758)</f>
        <v>3888332.5540728867</v>
      </c>
      <c r="F759" s="369">
        <f>SUM(F754:F758)</f>
        <v>-477607.96786915162</v>
      </c>
      <c r="G759" s="369">
        <f>SUM(G754:G758)</f>
        <v>52334508.544047862</v>
      </c>
      <c r="H759" s="369"/>
      <c r="I759" s="369">
        <f>SUM(I754:I758)</f>
        <v>-7074317.4916597567</v>
      </c>
      <c r="J759" s="369"/>
      <c r="K759" s="369">
        <f>SUM(K754:K758)</f>
        <v>99979.646999999983</v>
      </c>
      <c r="L759" s="369">
        <f t="shared" ref="L759" si="16">SUM(L754:L758)</f>
        <v>0</v>
      </c>
      <c r="M759" s="369">
        <f>SUM(M754:M758)</f>
        <v>-477607.96786915162</v>
      </c>
      <c r="N759" s="369">
        <f>SUM(N754:N758)</f>
        <v>-208480.41483823882</v>
      </c>
      <c r="O759" s="369">
        <f>SUM(O754:O758)</f>
        <v>-7660426.2273671478</v>
      </c>
    </row>
    <row r="760" spans="1:15">
      <c r="A760" s="361"/>
      <c r="D760" s="369"/>
      <c r="E760" s="369"/>
      <c r="F760" s="369"/>
      <c r="G760" s="369"/>
      <c r="H760" s="369"/>
      <c r="I760" s="369"/>
      <c r="J760" s="369"/>
      <c r="K760" s="369"/>
      <c r="L760" s="369"/>
      <c r="M760" s="369"/>
      <c r="N760" s="369"/>
      <c r="O760" s="369"/>
    </row>
    <row r="761" spans="1:15">
      <c r="A761" s="361"/>
      <c r="D761" s="369"/>
      <c r="E761" s="369"/>
      <c r="F761" s="369"/>
      <c r="G761" s="369"/>
      <c r="H761" s="369"/>
      <c r="I761" s="369"/>
      <c r="J761" s="369"/>
      <c r="K761" s="369"/>
      <c r="L761" s="369"/>
      <c r="M761" s="369"/>
      <c r="N761" s="369"/>
      <c r="O761" s="369"/>
    </row>
    <row r="762" spans="1:15">
      <c r="A762" s="361">
        <f>A759+1</f>
        <v>7</v>
      </c>
      <c r="B762" s="365">
        <v>376</v>
      </c>
      <c r="C762" s="358" t="s">
        <v>1775</v>
      </c>
      <c r="D762" s="369">
        <f>D754</f>
        <v>35264083.759131789</v>
      </c>
      <c r="E762" s="369">
        <f>E754</f>
        <v>1715794.2553764428</v>
      </c>
      <c r="F762" s="369">
        <f>F754</f>
        <v>-8774.2712834546182</v>
      </c>
      <c r="G762" s="369">
        <f>SUM(D762:F762)</f>
        <v>36971103.743224777</v>
      </c>
      <c r="H762" s="369"/>
      <c r="I762" s="369">
        <f>I754</f>
        <v>30919.457017371929</v>
      </c>
      <c r="J762" s="1251"/>
      <c r="K762" s="369">
        <f>K754</f>
        <v>52370.589</v>
      </c>
      <c r="L762" s="369">
        <v>0</v>
      </c>
      <c r="M762" s="369">
        <f>M754</f>
        <v>-8774.2712834546182</v>
      </c>
      <c r="N762" s="369">
        <f>N754</f>
        <v>-381.61472832156863</v>
      </c>
      <c r="O762" s="369">
        <f>I762+K762+L762+M762+N762</f>
        <v>74134.160005595753</v>
      </c>
    </row>
    <row r="763" spans="1:15">
      <c r="A763" s="361">
        <f>A762+1</f>
        <v>8</v>
      </c>
      <c r="B763" s="365">
        <v>376</v>
      </c>
      <c r="C763" s="358" t="s">
        <v>1621</v>
      </c>
      <c r="D763" s="923">
        <f>D764-D762</f>
        <v>413180540.84086829</v>
      </c>
      <c r="E763" s="923">
        <f>E764-E762</f>
        <v>802954.81462355703</v>
      </c>
      <c r="F763" s="923">
        <f>F764-F762</f>
        <v>-33844.338716545382</v>
      </c>
      <c r="G763" s="923">
        <f>SUM(D763:F763)</f>
        <v>413949651.31677526</v>
      </c>
      <c r="H763" s="369"/>
      <c r="I763" s="923">
        <f>I764-I762</f>
        <v>81809438.182982698</v>
      </c>
      <c r="J763" s="1251"/>
      <c r="K763" s="923">
        <f>K764-K762</f>
        <v>599669.41099999996</v>
      </c>
      <c r="L763" s="923">
        <v>0</v>
      </c>
      <c r="M763" s="923">
        <f>M764-M762</f>
        <v>-33844.338716545382</v>
      </c>
      <c r="N763" s="923">
        <f>N764-N762</f>
        <v>-4920.3052716784314</v>
      </c>
      <c r="O763" s="923">
        <f>I763+K763+L763+M763+N763</f>
        <v>82370342.94999446</v>
      </c>
    </row>
    <row r="764" spans="1:15">
      <c r="A764" s="361">
        <f>A763+1</f>
        <v>9</v>
      </c>
      <c r="B764" s="365">
        <v>376</v>
      </c>
      <c r="C764" s="358" t="s">
        <v>3078</v>
      </c>
      <c r="D764" s="369">
        <f>G718</f>
        <v>448444624.60000008</v>
      </c>
      <c r="E764" s="369">
        <f>+'INPUT - B Schedule PLANT'!CO26</f>
        <v>2518749.0699999998</v>
      </c>
      <c r="F764" s="369">
        <f>+'INPUT - B Schedule PLANT'!CP26</f>
        <v>-42618.61</v>
      </c>
      <c r="G764" s="369">
        <f>SUM(G762:G763)</f>
        <v>450920755.06000006</v>
      </c>
      <c r="H764" s="369"/>
      <c r="I764" s="369">
        <f>O718</f>
        <v>81840357.640000075</v>
      </c>
      <c r="J764" s="1251">
        <f>$J$672</f>
        <v>1.7399999999999999E-2</v>
      </c>
      <c r="K764" s="369">
        <f>ROUND((D764+G764)/2*J764/12,0)</f>
        <v>652040</v>
      </c>
      <c r="L764" s="369">
        <f>SUM(L762:L763)</f>
        <v>0</v>
      </c>
      <c r="M764" s="369">
        <f>F764</f>
        <v>-42618.61</v>
      </c>
      <c r="N764" s="369">
        <v>-5301.92</v>
      </c>
      <c r="O764" s="369">
        <f>SUM(O762:O763)</f>
        <v>82444477.110000059</v>
      </c>
    </row>
    <row r="765" spans="1:15">
      <c r="A765" s="361"/>
      <c r="B765" s="365"/>
      <c r="D765" s="369"/>
      <c r="E765" s="369"/>
      <c r="F765" s="369"/>
      <c r="G765" s="369"/>
      <c r="H765" s="369"/>
      <c r="I765" s="369"/>
      <c r="J765" s="1251"/>
      <c r="K765" s="369"/>
      <c r="L765" s="369"/>
      <c r="M765" s="369"/>
      <c r="N765" s="369"/>
      <c r="O765" s="369"/>
    </row>
    <row r="766" spans="1:15">
      <c r="A766" s="361">
        <f>A764+1</f>
        <v>10</v>
      </c>
      <c r="B766" s="365">
        <v>378.2</v>
      </c>
      <c r="C766" s="358" t="s">
        <v>1776</v>
      </c>
      <c r="D766" s="369">
        <f>D755</f>
        <v>-100404.93274678481</v>
      </c>
      <c r="E766" s="369">
        <f>E755</f>
        <v>372549.15617829165</v>
      </c>
      <c r="F766" s="369">
        <f>F755</f>
        <v>-21330.138679792384</v>
      </c>
      <c r="G766" s="369">
        <f>SUM(D766:F766)</f>
        <v>250814.08475171446</v>
      </c>
      <c r="H766" s="369"/>
      <c r="I766" s="369">
        <f>I755</f>
        <v>-507104.99016298301</v>
      </c>
      <c r="J766" s="1251"/>
      <c r="K766" s="369">
        <f>K755</f>
        <v>157.77999999999997</v>
      </c>
      <c r="L766" s="369">
        <v>0</v>
      </c>
      <c r="M766" s="369">
        <f>M755</f>
        <v>-21330.138679792384</v>
      </c>
      <c r="N766" s="369">
        <f>N755</f>
        <v>-2964.3256306984981</v>
      </c>
      <c r="O766" s="369">
        <f>I766+K766+L766+M766+N766</f>
        <v>-531241.6744734738</v>
      </c>
    </row>
    <row r="767" spans="1:15">
      <c r="A767" s="361">
        <f>A766+1</f>
        <v>11</v>
      </c>
      <c r="B767" s="365">
        <v>378.2</v>
      </c>
      <c r="C767" s="358" t="s">
        <v>1622</v>
      </c>
      <c r="D767" s="923">
        <f>D768-D766</f>
        <v>26041004.602746785</v>
      </c>
      <c r="E767" s="923">
        <f>E768-E766</f>
        <v>739207.28382170829</v>
      </c>
      <c r="F767" s="923">
        <f>F768-F766</f>
        <v>-1.3202076152083464E-3</v>
      </c>
      <c r="G767" s="923">
        <f>SUM(D767:F767)</f>
        <v>26780211.885248285</v>
      </c>
      <c r="H767" s="369"/>
      <c r="I767" s="923">
        <f>I768-I766</f>
        <v>3417973.0201629833</v>
      </c>
      <c r="J767" s="1251"/>
      <c r="K767" s="923">
        <f>K768-K766</f>
        <v>55462.22</v>
      </c>
      <c r="L767" s="923">
        <v>0</v>
      </c>
      <c r="M767" s="923">
        <f>M768-M766</f>
        <v>-1.3202076152083464E-3</v>
      </c>
      <c r="N767" s="923">
        <f>N768-N766</f>
        <v>-10602.894369301501</v>
      </c>
      <c r="O767" s="923">
        <f>I767+K767+L767+M767+N767</f>
        <v>3462832.3444734747</v>
      </c>
    </row>
    <row r="768" spans="1:15">
      <c r="A768" s="361">
        <f>A767+1</f>
        <v>12</v>
      </c>
      <c r="B768" s="365">
        <v>378.2</v>
      </c>
      <c r="C768" s="358" t="s">
        <v>3079</v>
      </c>
      <c r="D768" s="369">
        <f>G722</f>
        <v>25940599.669999998</v>
      </c>
      <c r="E768" s="369">
        <f>+'INPUT - B Schedule PLANT'!CO28</f>
        <v>1111756.44</v>
      </c>
      <c r="F768" s="369">
        <f>+'INPUT - B Schedule PLANT'!CP28</f>
        <v>-21330.14</v>
      </c>
      <c r="G768" s="369">
        <f>SUM(G766:G767)</f>
        <v>27031025.969999999</v>
      </c>
      <c r="H768" s="369"/>
      <c r="I768" s="369">
        <f>O722</f>
        <v>2910868.0300000003</v>
      </c>
      <c r="J768" s="1251">
        <f>$J$676</f>
        <v>2.52E-2</v>
      </c>
      <c r="K768" s="369">
        <f>ROUND((D768+G768)/2*J768/12,0)</f>
        <v>55620</v>
      </c>
      <c r="L768" s="369">
        <f>SUM(L766:L767)</f>
        <v>0</v>
      </c>
      <c r="M768" s="369">
        <f>F768</f>
        <v>-21330.14</v>
      </c>
      <c r="N768" s="369">
        <v>-13567.22</v>
      </c>
      <c r="O768" s="369">
        <f>SUM(O766:O767)</f>
        <v>2931590.6700000009</v>
      </c>
    </row>
    <row r="769" spans="1:15">
      <c r="A769" s="361"/>
      <c r="B769" s="365"/>
      <c r="D769" s="369"/>
      <c r="E769" s="369"/>
      <c r="F769" s="369"/>
      <c r="G769" s="369"/>
      <c r="H769" s="369"/>
      <c r="I769" s="369"/>
      <c r="J769" s="1251"/>
      <c r="K769" s="369"/>
      <c r="L769" s="369"/>
      <c r="M769" s="369"/>
      <c r="N769" s="369"/>
      <c r="O769" s="369"/>
    </row>
    <row r="770" spans="1:15">
      <c r="A770" s="361">
        <f>A768+1</f>
        <v>13</v>
      </c>
      <c r="B770" s="365">
        <v>380</v>
      </c>
      <c r="C770" s="358" t="s">
        <v>1777</v>
      </c>
      <c r="D770" s="369">
        <f>D756</f>
        <v>13525031.553682048</v>
      </c>
      <c r="E770" s="369">
        <f>E756</f>
        <v>1791521.11</v>
      </c>
      <c r="F770" s="369">
        <f>F756</f>
        <v>-444461.42472238117</v>
      </c>
      <c r="G770" s="369">
        <f>SUM(D770:F770)</f>
        <v>14872091.238959666</v>
      </c>
      <c r="H770" s="369"/>
      <c r="I770" s="369">
        <f>I756</f>
        <v>-6535549.4149099523</v>
      </c>
      <c r="J770" s="1251"/>
      <c r="K770" s="369">
        <f>K756</f>
        <v>47091.873999999996</v>
      </c>
      <c r="L770" s="369">
        <v>0</v>
      </c>
      <c r="M770" s="369">
        <f>M756</f>
        <v>-444461.42472238117</v>
      </c>
      <c r="N770" s="369">
        <f>N756</f>
        <v>-205134.47447921877</v>
      </c>
      <c r="O770" s="369">
        <f>I770+K770+L770+M770+N770</f>
        <v>-7138053.4401115524</v>
      </c>
    </row>
    <row r="771" spans="1:15">
      <c r="A771" s="361">
        <f>A770+1</f>
        <v>14</v>
      </c>
      <c r="B771" s="365">
        <v>380</v>
      </c>
      <c r="C771" s="358" t="s">
        <v>1623</v>
      </c>
      <c r="D771" s="923">
        <f>D772-D770</f>
        <v>203720647.66631791</v>
      </c>
      <c r="E771" s="923">
        <f>E772-E770</f>
        <v>126759.5</v>
      </c>
      <c r="F771" s="923">
        <f>F772-F770</f>
        <v>-71580.905277618847</v>
      </c>
      <c r="G771" s="923">
        <f>SUM(D771:F771)</f>
        <v>203775826.2610403</v>
      </c>
      <c r="H771" s="369"/>
      <c r="I771" s="923">
        <f>I772-I770</f>
        <v>61714712.734909967</v>
      </c>
      <c r="J771" s="1251"/>
      <c r="K771" s="923">
        <f>K772-K770</f>
        <v>675765.12600000005</v>
      </c>
      <c r="L771" s="923">
        <v>0</v>
      </c>
      <c r="M771" s="923">
        <f>M772-M770</f>
        <v>-71580.905277618847</v>
      </c>
      <c r="N771" s="923">
        <f>N772-N770</f>
        <v>4.4792187691200525E-3</v>
      </c>
      <c r="O771" s="923">
        <f>I771+K771+L771+M771+N771</f>
        <v>62318896.960111573</v>
      </c>
    </row>
    <row r="772" spans="1:15">
      <c r="A772" s="361">
        <f>A771+1</f>
        <v>15</v>
      </c>
      <c r="B772" s="365">
        <v>380</v>
      </c>
      <c r="C772" s="358" t="s">
        <v>3080</v>
      </c>
      <c r="D772" s="369">
        <f>G726</f>
        <v>217245679.21999997</v>
      </c>
      <c r="E772" s="369">
        <f>+'INPUT - B Schedule PLANT'!CO31</f>
        <v>1918280.61</v>
      </c>
      <c r="F772" s="369">
        <f>+'INPUT - B Schedule PLANT'!CP31</f>
        <v>-516042.33</v>
      </c>
      <c r="G772" s="369">
        <f>SUM(G770:G771)</f>
        <v>218647917.49999997</v>
      </c>
      <c r="H772" s="369"/>
      <c r="I772" s="369">
        <f>O726</f>
        <v>55179163.320000015</v>
      </c>
      <c r="J772" s="1251">
        <f>$J$680</f>
        <v>3.9800000000000002E-2</v>
      </c>
      <c r="K772" s="369">
        <f>ROUND((D772+G772)/2*J772/12,0)</f>
        <v>722857</v>
      </c>
      <c r="L772" s="369">
        <f>SUM(L770:L771)</f>
        <v>0</v>
      </c>
      <c r="M772" s="369">
        <f>F772</f>
        <v>-516042.33</v>
      </c>
      <c r="N772" s="369">
        <v>-205134.47</v>
      </c>
      <c r="O772" s="369">
        <f>SUM(O770:O771)</f>
        <v>55180843.520000018</v>
      </c>
    </row>
    <row r="773" spans="1:15">
      <c r="A773" s="361"/>
      <c r="B773" s="365"/>
      <c r="D773" s="369"/>
      <c r="E773" s="369"/>
      <c r="F773" s="369"/>
      <c r="G773" s="369"/>
      <c r="H773" s="369"/>
      <c r="I773" s="369"/>
      <c r="J773" s="1251"/>
      <c r="K773" s="369"/>
      <c r="L773" s="369"/>
      <c r="M773" s="369"/>
      <c r="N773" s="369"/>
      <c r="O773" s="369"/>
    </row>
    <row r="774" spans="1:15">
      <c r="A774" s="361">
        <f>A772+1</f>
        <v>16</v>
      </c>
      <c r="B774" s="365">
        <v>382</v>
      </c>
      <c r="C774" s="358" t="s">
        <v>1778</v>
      </c>
      <c r="D774" s="369">
        <f>D757</f>
        <v>178647.17716494249</v>
      </c>
      <c r="E774" s="369">
        <f>E757</f>
        <v>2537.27</v>
      </c>
      <c r="F774" s="369">
        <f>F757</f>
        <v>-2789.4988054685391</v>
      </c>
      <c r="G774" s="369">
        <f>SUM(D774:F774)</f>
        <v>178394.94835947393</v>
      </c>
      <c r="H774" s="369"/>
      <c r="I774" s="369">
        <f>I757</f>
        <v>-54757.589835057479</v>
      </c>
      <c r="J774" s="1251"/>
      <c r="K774" s="369">
        <f>K757</f>
        <v>263.81400000000002</v>
      </c>
      <c r="L774" s="369">
        <v>0</v>
      </c>
      <c r="M774" s="369">
        <f>M757</f>
        <v>-2789.4988054685391</v>
      </c>
      <c r="N774" s="369">
        <f>N757</f>
        <v>0</v>
      </c>
      <c r="O774" s="369">
        <f>I774+K774+L774+M774+N774</f>
        <v>-57283.274640526019</v>
      </c>
    </row>
    <row r="775" spans="1:15">
      <c r="A775" s="361">
        <f>A774+1</f>
        <v>17</v>
      </c>
      <c r="B775" s="365">
        <v>382</v>
      </c>
      <c r="C775" s="358" t="s">
        <v>1624</v>
      </c>
      <c r="D775" s="923">
        <f>D776-D774</f>
        <v>10586815.722835058</v>
      </c>
      <c r="E775" s="923">
        <f>E776-E774</f>
        <v>74.500000000000455</v>
      </c>
      <c r="F775" s="923">
        <f>F776-F774</f>
        <v>-1213.8111945314608</v>
      </c>
      <c r="G775" s="923">
        <f>SUM(D775:F775)</f>
        <v>10585676.411640527</v>
      </c>
      <c r="H775" s="369"/>
      <c r="I775" s="923">
        <f>I776-I774</f>
        <v>5901732.3798350589</v>
      </c>
      <c r="J775" s="1251"/>
      <c r="K775" s="923">
        <f>K776-K774</f>
        <v>15614.186</v>
      </c>
      <c r="L775" s="923">
        <v>0</v>
      </c>
      <c r="M775" s="923">
        <f>M776-M774</f>
        <v>-1213.8111945314608</v>
      </c>
      <c r="N775" s="923">
        <f>N776-N774</f>
        <v>0</v>
      </c>
      <c r="O775" s="923">
        <f>I775+K775+L775+M775+N775</f>
        <v>5916132.7546405271</v>
      </c>
    </row>
    <row r="776" spans="1:15">
      <c r="A776" s="361">
        <f>A775+1</f>
        <v>18</v>
      </c>
      <c r="B776" s="365">
        <v>382</v>
      </c>
      <c r="C776" s="358" t="s">
        <v>3081</v>
      </c>
      <c r="D776" s="369">
        <f>G730</f>
        <v>10765462.9</v>
      </c>
      <c r="E776" s="369">
        <f>+'INPUT - B Schedule PLANT'!CO34</f>
        <v>2611.7700000000004</v>
      </c>
      <c r="F776" s="369">
        <f>+'INPUT - B Schedule PLANT'!CP34</f>
        <v>-4003.31</v>
      </c>
      <c r="G776" s="369">
        <f>SUM(G774:G775)</f>
        <v>10764071.360000001</v>
      </c>
      <c r="H776" s="369"/>
      <c r="I776" s="369">
        <f>O730</f>
        <v>5846974.7900000019</v>
      </c>
      <c r="J776" s="1251">
        <f>$J$684</f>
        <v>1.77E-2</v>
      </c>
      <c r="K776" s="369">
        <f>ROUND((D776+G776)/2*J776/12,0)</f>
        <v>15878</v>
      </c>
      <c r="L776" s="369">
        <f>SUM(L774:L775)</f>
        <v>0</v>
      </c>
      <c r="M776" s="369">
        <f>F776</f>
        <v>-4003.31</v>
      </c>
      <c r="N776" s="369">
        <v>0</v>
      </c>
      <c r="O776" s="369">
        <f>SUM(O774:O775)</f>
        <v>5858849.4800000014</v>
      </c>
    </row>
    <row r="777" spans="1:15">
      <c r="A777" s="361"/>
      <c r="B777" s="365"/>
      <c r="D777" s="369"/>
      <c r="E777" s="369"/>
      <c r="F777" s="369"/>
      <c r="G777" s="369"/>
      <c r="H777" s="369"/>
      <c r="I777" s="369"/>
      <c r="J777" s="1251"/>
      <c r="K777" s="369"/>
      <c r="L777" s="369"/>
      <c r="M777" s="369"/>
      <c r="N777" s="369"/>
      <c r="O777" s="369"/>
    </row>
    <row r="778" spans="1:15">
      <c r="A778" s="361">
        <f>A776+1</f>
        <v>19</v>
      </c>
      <c r="B778" s="365">
        <v>383</v>
      </c>
      <c r="C778" s="358" t="s">
        <v>1779</v>
      </c>
      <c r="D778" s="369">
        <f>D758</f>
        <v>56426.400612127632</v>
      </c>
      <c r="E778" s="369">
        <f>E758</f>
        <v>5930.7625181521398</v>
      </c>
      <c r="F778" s="369">
        <f>F758</f>
        <v>-252.63437805489215</v>
      </c>
      <c r="G778" s="369">
        <f>SUM(D778:F778)</f>
        <v>62104.528752224884</v>
      </c>
      <c r="H778" s="369"/>
      <c r="I778" s="369">
        <f>I758</f>
        <v>-7824.9537691362657</v>
      </c>
      <c r="J778" s="1251"/>
      <c r="K778" s="369">
        <f>K758</f>
        <v>95.59</v>
      </c>
      <c r="L778" s="369">
        <v>0</v>
      </c>
      <c r="M778" s="369">
        <f>M758</f>
        <v>-252.63437805489215</v>
      </c>
      <c r="N778" s="369">
        <f>N758</f>
        <v>0</v>
      </c>
      <c r="O778" s="369">
        <f>I778+K778+L778+M778+N778</f>
        <v>-7981.9981471911578</v>
      </c>
    </row>
    <row r="779" spans="1:15">
      <c r="A779" s="361">
        <f>A778+1</f>
        <v>20</v>
      </c>
      <c r="B779" s="365">
        <v>383</v>
      </c>
      <c r="C779" s="358" t="s">
        <v>1625</v>
      </c>
      <c r="D779" s="923">
        <f>D780-D778</f>
        <v>7426322.2493878705</v>
      </c>
      <c r="E779" s="923">
        <f>E780-E778</f>
        <v>8491.8174818478601</v>
      </c>
      <c r="F779" s="923">
        <f>F780-F778</f>
        <v>-362.58562194510785</v>
      </c>
      <c r="G779" s="923">
        <f>SUM(D779:F779)</f>
        <v>7434451.4812477725</v>
      </c>
      <c r="H779" s="369"/>
      <c r="I779" s="923">
        <f>I780-I778</f>
        <v>2533856.2837691363</v>
      </c>
      <c r="J779" s="1251"/>
      <c r="K779" s="923">
        <f>K780-K778</f>
        <v>12012.41</v>
      </c>
      <c r="L779" s="923">
        <v>0</v>
      </c>
      <c r="M779" s="923">
        <f>M780-M778</f>
        <v>-362.58562194510785</v>
      </c>
      <c r="N779" s="923">
        <f>N780-N778</f>
        <v>0</v>
      </c>
      <c r="O779" s="923">
        <f>I779+K779+L779+M779+N779</f>
        <v>2545506.1081471913</v>
      </c>
    </row>
    <row r="780" spans="1:15">
      <c r="A780" s="361">
        <f>A779+1</f>
        <v>21</v>
      </c>
      <c r="B780" s="365">
        <v>383</v>
      </c>
      <c r="C780" s="358" t="s">
        <v>3082</v>
      </c>
      <c r="D780" s="369">
        <f>G734</f>
        <v>7482748.6499999985</v>
      </c>
      <c r="E780" s="369">
        <f>+'INPUT - B Schedule PLANT'!CO35</f>
        <v>14422.58</v>
      </c>
      <c r="F780" s="369">
        <f>+'INPUT - B Schedule PLANT'!CP35</f>
        <v>-615.22</v>
      </c>
      <c r="G780" s="369">
        <f>SUM(G778:G779)</f>
        <v>7496556.009999997</v>
      </c>
      <c r="H780" s="369"/>
      <c r="I780" s="369">
        <f>O734</f>
        <v>2526031.33</v>
      </c>
      <c r="J780" s="1251">
        <f>$J$688</f>
        <v>1.9400000000000001E-2</v>
      </c>
      <c r="K780" s="369">
        <f>ROUND((D780+G780)/2*J780/12,0)</f>
        <v>12108</v>
      </c>
      <c r="L780" s="369">
        <f>SUM(L778:L779)</f>
        <v>0</v>
      </c>
      <c r="M780" s="369">
        <f>F780</f>
        <v>-615.22</v>
      </c>
      <c r="N780" s="369">
        <v>0</v>
      </c>
      <c r="O780" s="369">
        <f>SUM(O778:O779)</f>
        <v>2537524.1100000003</v>
      </c>
    </row>
    <row r="783" spans="1:15" s="291" customFormat="1">
      <c r="A783" s="1308" t="str">
        <f>$A$1</f>
        <v>COLUMBIA GAS OF KENTUCKY, INC.</v>
      </c>
      <c r="B783" s="1308"/>
      <c r="C783" s="1308"/>
      <c r="D783" s="1308"/>
      <c r="E783" s="1308"/>
      <c r="F783" s="1308"/>
      <c r="G783" s="1308"/>
      <c r="H783" s="1308"/>
      <c r="I783" s="1308"/>
      <c r="J783" s="1308"/>
      <c r="K783" s="1308"/>
      <c r="L783" s="1308"/>
      <c r="M783" s="1308"/>
      <c r="N783" s="1308"/>
      <c r="O783" s="1308"/>
    </row>
    <row r="784" spans="1:15" s="291" customFormat="1">
      <c r="A784" s="1308" t="str">
        <f>$A$2</f>
        <v>CASE NO. 2024 - 00092</v>
      </c>
      <c r="B784" s="1308"/>
      <c r="C784" s="1308"/>
      <c r="D784" s="1308"/>
      <c r="E784" s="1308"/>
      <c r="F784" s="1308"/>
      <c r="G784" s="1308"/>
      <c r="H784" s="1308"/>
      <c r="I784" s="1308"/>
      <c r="J784" s="1308"/>
      <c r="K784" s="1308"/>
      <c r="L784" s="1308"/>
      <c r="M784" s="1308"/>
      <c r="N784" s="1308"/>
      <c r="O784" s="1308"/>
    </row>
    <row r="785" spans="1:15" s="291" customFormat="1">
      <c r="A785" s="1308" t="str">
        <f>$A$3</f>
        <v>DETAIL OF ACTUAL &amp;  FORECASTED SMRP PLANT, ACCUMULATED RESERVE &amp; DEPRECIATION EXPENSE</v>
      </c>
      <c r="B785" s="1308"/>
      <c r="C785" s="1308"/>
      <c r="D785" s="1308"/>
      <c r="E785" s="1308"/>
      <c r="F785" s="1308"/>
      <c r="G785" s="1308"/>
      <c r="H785" s="1308"/>
      <c r="I785" s="1308"/>
      <c r="J785" s="1308"/>
      <c r="K785" s="1308"/>
      <c r="L785" s="1308"/>
      <c r="M785" s="1308"/>
      <c r="N785" s="1308"/>
      <c r="O785" s="1308"/>
    </row>
    <row r="786" spans="1:15" s="291" customFormat="1">
      <c r="A786" s="1308" t="str">
        <f>$A$4</f>
        <v>FROM JANUARY 01, 2023 THROUGH DECEMBER 31, 2025</v>
      </c>
      <c r="B786" s="1308"/>
      <c r="C786" s="1308"/>
      <c r="D786" s="1308"/>
      <c r="E786" s="1308"/>
      <c r="F786" s="1308"/>
      <c r="G786" s="1308"/>
      <c r="H786" s="1308"/>
      <c r="I786" s="1308"/>
      <c r="J786" s="1308"/>
      <c r="K786" s="1308"/>
      <c r="L786" s="1308"/>
      <c r="M786" s="1308"/>
      <c r="N786" s="1308"/>
      <c r="O786" s="1308"/>
    </row>
    <row r="787" spans="1:15" s="291" customFormat="1">
      <c r="B787" s="293"/>
    </row>
    <row r="788" spans="1:15" s="291" customFormat="1">
      <c r="A788" s="297" t="str">
        <f>'General Headers Index'!$B$34</f>
        <v xml:space="preserve">DATA: _X_ BASE PERIOD _X_ FORECASTED PERIOD     </v>
      </c>
      <c r="B788" s="293"/>
      <c r="O788" s="312" t="s">
        <v>2461</v>
      </c>
    </row>
    <row r="789" spans="1:15" s="291" customFormat="1">
      <c r="A789" s="297" t="str">
        <f>'General Headers Index'!$B$37</f>
        <v>TYPE OF FILING:___X___ORIGINAL______UPDATED</v>
      </c>
      <c r="B789" s="293"/>
      <c r="O789" s="312" t="s">
        <v>2240</v>
      </c>
    </row>
    <row r="790" spans="1:15" s="291" customFormat="1">
      <c r="A790" s="297" t="s">
        <v>2150</v>
      </c>
      <c r="B790" s="293"/>
      <c r="O790" s="312" t="str">
        <f>"WITNESS: "&amp;'General Headers Index'!$B$42</f>
        <v>WITNESS: GORE</v>
      </c>
    </row>
    <row r="791" spans="1:15">
      <c r="A791" s="918"/>
      <c r="B791" s="918"/>
      <c r="C791" s="918"/>
      <c r="D791" s="918"/>
      <c r="E791" s="918"/>
      <c r="F791" s="918"/>
      <c r="G791" s="918"/>
      <c r="H791" s="918"/>
      <c r="I791" s="918"/>
      <c r="J791" s="918"/>
      <c r="K791" s="918"/>
      <c r="L791" s="918"/>
      <c r="M791" s="918"/>
      <c r="N791" s="918"/>
      <c r="O791" s="918"/>
    </row>
    <row r="792" spans="1:15">
      <c r="B792" s="359"/>
      <c r="D792" s="1312" t="s">
        <v>1768</v>
      </c>
      <c r="E792" s="1312"/>
      <c r="F792" s="1312"/>
      <c r="G792" s="1312"/>
      <c r="I792" s="1312" t="s">
        <v>1769</v>
      </c>
      <c r="J792" s="1312"/>
      <c r="K792" s="1312"/>
      <c r="L792" s="1312"/>
      <c r="M792" s="1312"/>
      <c r="N792" s="1312"/>
      <c r="O792" s="1312"/>
    </row>
    <row r="793" spans="1:15">
      <c r="B793" s="359"/>
      <c r="D793" s="360">
        <f>G747+1</f>
        <v>45444</v>
      </c>
      <c r="G793" s="360">
        <f>D793+29</f>
        <v>45473</v>
      </c>
      <c r="I793" s="360">
        <f>D793</f>
        <v>45444</v>
      </c>
      <c r="O793" s="360">
        <f>G793</f>
        <v>45473</v>
      </c>
    </row>
    <row r="794" spans="1:15">
      <c r="B794" s="359"/>
      <c r="D794" s="361" t="s">
        <v>1757</v>
      </c>
      <c r="G794" s="361" t="s">
        <v>1757</v>
      </c>
      <c r="I794" s="361" t="s">
        <v>1758</v>
      </c>
      <c r="J794" s="361" t="s">
        <v>488</v>
      </c>
      <c r="L794" s="361" t="s">
        <v>1758</v>
      </c>
      <c r="O794" s="361" t="s">
        <v>1758</v>
      </c>
    </row>
    <row r="795" spans="1:15">
      <c r="A795" s="361" t="s">
        <v>1770</v>
      </c>
      <c r="B795" s="361" t="s">
        <v>368</v>
      </c>
      <c r="C795" s="361"/>
      <c r="D795" s="361" t="s">
        <v>437</v>
      </c>
      <c r="G795" s="361" t="s">
        <v>439</v>
      </c>
      <c r="I795" s="361" t="s">
        <v>437</v>
      </c>
      <c r="J795" s="361" t="s">
        <v>1771</v>
      </c>
      <c r="K795" s="361" t="s">
        <v>1772</v>
      </c>
      <c r="L795" s="361" t="s">
        <v>1759</v>
      </c>
      <c r="N795" s="361" t="s">
        <v>1760</v>
      </c>
      <c r="O795" s="361" t="s">
        <v>439</v>
      </c>
    </row>
    <row r="796" spans="1:15">
      <c r="A796" s="364" t="s">
        <v>316</v>
      </c>
      <c r="B796" s="364" t="s">
        <v>316</v>
      </c>
      <c r="C796" s="364" t="s">
        <v>451</v>
      </c>
      <c r="D796" s="364" t="s">
        <v>441</v>
      </c>
      <c r="E796" s="364" t="s">
        <v>442</v>
      </c>
      <c r="F796" s="364" t="s">
        <v>443</v>
      </c>
      <c r="G796" s="364" t="s">
        <v>441</v>
      </c>
      <c r="I796" s="364" t="s">
        <v>441</v>
      </c>
      <c r="J796" s="364" t="s">
        <v>1773</v>
      </c>
      <c r="K796" s="364" t="s">
        <v>1771</v>
      </c>
      <c r="L796" s="364" t="s">
        <v>355</v>
      </c>
      <c r="M796" s="364" t="s">
        <v>443</v>
      </c>
      <c r="N796" s="364" t="s">
        <v>1763</v>
      </c>
      <c r="O796" s="364" t="s">
        <v>441</v>
      </c>
    </row>
    <row r="797" spans="1:15">
      <c r="B797" s="359"/>
      <c r="D797" s="361" t="s">
        <v>532</v>
      </c>
      <c r="E797" s="361" t="s">
        <v>541</v>
      </c>
      <c r="F797" s="361" t="s">
        <v>542</v>
      </c>
      <c r="G797" s="361" t="s">
        <v>1764</v>
      </c>
      <c r="I797" s="334" t="str">
        <f>"(5)"</f>
        <v>(5)</v>
      </c>
      <c r="J797" s="334" t="str">
        <f>"(6)"</f>
        <v>(6)</v>
      </c>
      <c r="K797" s="334" t="str">
        <f>"(7)=((1+4)/2*6/12))"</f>
        <v>(7)=((1+4)/2*6/12))</v>
      </c>
      <c r="L797" s="334" t="str">
        <f>"(8)"</f>
        <v>(8)</v>
      </c>
      <c r="M797" s="334" t="str">
        <f>"(9)"</f>
        <v>(9)</v>
      </c>
      <c r="N797" s="334" t="str">
        <f>"(10)"</f>
        <v>(10)</v>
      </c>
      <c r="O797" s="334" t="str">
        <f>"(11=5+7+8+9+10)"</f>
        <v>(11=5+7+8+9+10)</v>
      </c>
    </row>
    <row r="798" spans="1:15">
      <c r="B798" s="359"/>
      <c r="D798" s="361" t="s">
        <v>320</v>
      </c>
      <c r="E798" s="361" t="s">
        <v>320</v>
      </c>
      <c r="F798" s="361" t="s">
        <v>320</v>
      </c>
      <c r="G798" s="361" t="s">
        <v>320</v>
      </c>
      <c r="I798" s="334" t="s">
        <v>320</v>
      </c>
      <c r="J798" s="1250" t="s">
        <v>529</v>
      </c>
      <c r="K798" s="334" t="s">
        <v>320</v>
      </c>
      <c r="L798" s="334" t="s">
        <v>320</v>
      </c>
      <c r="M798" s="334" t="s">
        <v>320</v>
      </c>
      <c r="N798" s="334" t="s">
        <v>320</v>
      </c>
      <c r="O798" s="334" t="s">
        <v>320</v>
      </c>
    </row>
    <row r="799" spans="1:15">
      <c r="B799" s="359"/>
      <c r="D799" s="361"/>
      <c r="E799" s="361"/>
      <c r="F799" s="361"/>
      <c r="G799" s="361"/>
      <c r="I799" s="334"/>
      <c r="J799" s="334"/>
      <c r="K799" s="334"/>
      <c r="L799" s="334"/>
      <c r="M799" s="334"/>
      <c r="N799" s="334"/>
      <c r="O799" s="334"/>
    </row>
    <row r="800" spans="1:15">
      <c r="A800" s="361">
        <v>1</v>
      </c>
      <c r="B800" s="365">
        <v>376</v>
      </c>
      <c r="C800" s="358" t="s">
        <v>1775</v>
      </c>
      <c r="D800" s="369">
        <f>G754</f>
        <v>36971103.743224777</v>
      </c>
      <c r="E800" s="369">
        <v>1857378.4875855374</v>
      </c>
      <c r="F800" s="369">
        <v>-1945.5473091633708</v>
      </c>
      <c r="G800" s="369">
        <f>SUM(D800:F800)</f>
        <v>38826536.683501154</v>
      </c>
      <c r="H800" s="369"/>
      <c r="I800" s="369">
        <f>O754</f>
        <v>74134.160005595753</v>
      </c>
      <c r="J800" s="1251">
        <f>$J$662</f>
        <v>1.7399999999999999E-2</v>
      </c>
      <c r="K800" s="380">
        <v>54953.188999999998</v>
      </c>
      <c r="L800" s="369">
        <v>0</v>
      </c>
      <c r="M800" s="369">
        <f>F800</f>
        <v>-1945.5473091633708</v>
      </c>
      <c r="N800" s="369">
        <v>-1257.6313737541047</v>
      </c>
      <c r="O800" s="369">
        <f>I800+K800+L800+M800+N800</f>
        <v>125884.17032267827</v>
      </c>
    </row>
    <row r="801" spans="1:15">
      <c r="A801" s="361">
        <f>A800+1</f>
        <v>2</v>
      </c>
      <c r="B801" s="365">
        <v>378.2</v>
      </c>
      <c r="C801" s="358" t="s">
        <v>1776</v>
      </c>
      <c r="D801" s="369">
        <f>G755</f>
        <v>250814.08475171446</v>
      </c>
      <c r="E801" s="369">
        <v>14630.75963536322</v>
      </c>
      <c r="F801" s="369">
        <v>-32162.548412264143</v>
      </c>
      <c r="G801" s="369">
        <f>SUM(D801:F801)</f>
        <v>233282.29597481352</v>
      </c>
      <c r="H801" s="369"/>
      <c r="I801" s="369">
        <f>O755</f>
        <v>-531241.6744734738</v>
      </c>
      <c r="J801" s="1251">
        <f>$J$663</f>
        <v>2.52E-2</v>
      </c>
      <c r="K801" s="380">
        <v>508.59199999999998</v>
      </c>
      <c r="L801" s="369">
        <v>0</v>
      </c>
      <c r="M801" s="369">
        <f>F801</f>
        <v>-32162.548412264143</v>
      </c>
      <c r="N801" s="369">
        <v>-9306.3479419151718</v>
      </c>
      <c r="O801" s="369">
        <f>I801+K801+L801+M801+N801</f>
        <v>-572201.9788276531</v>
      </c>
    </row>
    <row r="802" spans="1:15">
      <c r="A802" s="361">
        <f>A801+1</f>
        <v>3</v>
      </c>
      <c r="B802" s="365">
        <v>380</v>
      </c>
      <c r="C802" s="358" t="s">
        <v>1777</v>
      </c>
      <c r="D802" s="369">
        <f>G756</f>
        <v>14872091.238959666</v>
      </c>
      <c r="E802" s="369">
        <v>1661620.43</v>
      </c>
      <c r="F802" s="369">
        <v>-507119.27730182611</v>
      </c>
      <c r="G802" s="369">
        <f>SUM(D802:F802)</f>
        <v>16026592.39165784</v>
      </c>
      <c r="H802" s="369"/>
      <c r="I802" s="369">
        <f>O756</f>
        <v>-7138053.4401115524</v>
      </c>
      <c r="J802" s="1251">
        <f>$J$664</f>
        <v>3.9800000000000002E-2</v>
      </c>
      <c r="K802" s="380">
        <v>51240.548000000003</v>
      </c>
      <c r="L802" s="369">
        <v>0</v>
      </c>
      <c r="M802" s="369">
        <f>F802</f>
        <v>-507119.27730182611</v>
      </c>
      <c r="N802" s="369">
        <v>-198956.40412902832</v>
      </c>
      <c r="O802" s="369">
        <f>I802+K802+L802+M802+N802</f>
        <v>-7792888.5735424068</v>
      </c>
    </row>
    <row r="803" spans="1:15">
      <c r="A803" s="361">
        <f>A802+1</f>
        <v>4</v>
      </c>
      <c r="B803" s="365">
        <v>382</v>
      </c>
      <c r="C803" s="358" t="s">
        <v>1778</v>
      </c>
      <c r="D803" s="369">
        <f>G757</f>
        <v>178394.94835947393</v>
      </c>
      <c r="E803" s="369">
        <v>1480.79</v>
      </c>
      <c r="F803" s="369">
        <v>-3262.1136766504192</v>
      </c>
      <c r="G803" s="369">
        <f>SUM(D803:F803)</f>
        <v>176613.62468282352</v>
      </c>
      <c r="H803" s="369"/>
      <c r="I803" s="369">
        <f>O757</f>
        <v>-57283.274640526019</v>
      </c>
      <c r="J803" s="1251">
        <f>$J$665</f>
        <v>1.77E-2</v>
      </c>
      <c r="K803" s="380">
        <v>261.68599999999998</v>
      </c>
      <c r="L803" s="369">
        <v>0</v>
      </c>
      <c r="M803" s="369">
        <f>F803</f>
        <v>-3262.1136766504192</v>
      </c>
      <c r="N803" s="369">
        <v>0</v>
      </c>
      <c r="O803" s="369">
        <f>I803+K803+L803+M803+N803</f>
        <v>-60283.702317176438</v>
      </c>
    </row>
    <row r="804" spans="1:15">
      <c r="A804" s="361">
        <f>A803+1</f>
        <v>5</v>
      </c>
      <c r="B804" s="365">
        <v>383</v>
      </c>
      <c r="C804" s="358" t="s">
        <v>1779</v>
      </c>
      <c r="D804" s="923">
        <f>G758</f>
        <v>62104.528752224884</v>
      </c>
      <c r="E804" s="923">
        <v>9872.4492643543435</v>
      </c>
      <c r="F804" s="923">
        <v>-245.63339923034246</v>
      </c>
      <c r="G804" s="923">
        <f>SUM(D804:F804)</f>
        <v>71731.344617348892</v>
      </c>
      <c r="H804" s="369"/>
      <c r="I804" s="923">
        <f>O758</f>
        <v>-7981.9981471911578</v>
      </c>
      <c r="J804" s="1251">
        <f>$J$666</f>
        <v>1.9400000000000001E-2</v>
      </c>
      <c r="K804" s="925">
        <v>107.782</v>
      </c>
      <c r="L804" s="923">
        <v>0</v>
      </c>
      <c r="M804" s="923">
        <f>F804</f>
        <v>-245.63339923034246</v>
      </c>
      <c r="N804" s="923">
        <v>0</v>
      </c>
      <c r="O804" s="923">
        <f>I804+K804+L804+M804+N804</f>
        <v>-8119.8495464215002</v>
      </c>
    </row>
    <row r="805" spans="1:15">
      <c r="A805" s="361">
        <f>A804+1</f>
        <v>6</v>
      </c>
      <c r="C805" s="358" t="s">
        <v>3077</v>
      </c>
      <c r="D805" s="369">
        <f>SUM(D800:D804)</f>
        <v>52334508.544047862</v>
      </c>
      <c r="E805" s="369">
        <f>SUM(E800:E804)</f>
        <v>3544982.9164852551</v>
      </c>
      <c r="F805" s="369">
        <f>SUM(F800:F804)</f>
        <v>-544735.12009913439</v>
      </c>
      <c r="G805" s="369">
        <f>SUM(G800:G804)</f>
        <v>55334756.340433978</v>
      </c>
      <c r="H805" s="369"/>
      <c r="I805" s="369">
        <f>SUM(I800:I804)</f>
        <v>-7660426.2273671478</v>
      </c>
      <c r="J805" s="369"/>
      <c r="K805" s="369">
        <f>SUM(K800:K804)</f>
        <v>107071.79700000001</v>
      </c>
      <c r="L805" s="369">
        <f t="shared" ref="L805" si="17">SUM(L800:L804)</f>
        <v>0</v>
      </c>
      <c r="M805" s="369">
        <f>SUM(M800:M804)</f>
        <v>-544735.12009913439</v>
      </c>
      <c r="N805" s="369">
        <f>SUM(N800:N804)</f>
        <v>-209520.3834446976</v>
      </c>
      <c r="O805" s="369">
        <f>SUM(O800:O804)</f>
        <v>-8307609.933910979</v>
      </c>
    </row>
    <row r="806" spans="1:15">
      <c r="A806" s="361"/>
      <c r="D806" s="369"/>
      <c r="E806" s="369"/>
      <c r="F806" s="369"/>
      <c r="G806" s="369"/>
      <c r="H806" s="369"/>
      <c r="I806" s="369"/>
      <c r="J806" s="369"/>
      <c r="K806" s="369"/>
      <c r="L806" s="369"/>
      <c r="M806" s="369"/>
      <c r="N806" s="369"/>
      <c r="O806" s="369"/>
    </row>
    <row r="807" spans="1:15">
      <c r="A807" s="361"/>
      <c r="D807" s="369"/>
      <c r="E807" s="369"/>
      <c r="F807" s="369"/>
      <c r="G807" s="369"/>
      <c r="H807" s="369"/>
      <c r="I807" s="369"/>
      <c r="J807" s="369"/>
      <c r="K807" s="369"/>
      <c r="L807" s="369"/>
      <c r="M807" s="369"/>
      <c r="N807" s="369"/>
      <c r="O807" s="369"/>
    </row>
    <row r="808" spans="1:15">
      <c r="A808" s="361">
        <f>A805+1</f>
        <v>7</v>
      </c>
      <c r="B808" s="365">
        <v>376</v>
      </c>
      <c r="C808" s="358" t="s">
        <v>1775</v>
      </c>
      <c r="D808" s="369">
        <f>D800</f>
        <v>36971103.743224777</v>
      </c>
      <c r="E808" s="369">
        <f>E800</f>
        <v>1857378.4875855374</v>
      </c>
      <c r="F808" s="369">
        <f>F800</f>
        <v>-1945.5473091633708</v>
      </c>
      <c r="G808" s="369">
        <f>SUM(D808:F808)</f>
        <v>38826536.683501154</v>
      </c>
      <c r="H808" s="369"/>
      <c r="I808" s="369">
        <f>I800</f>
        <v>74134.160005595753</v>
      </c>
      <c r="J808" s="1251"/>
      <c r="K808" s="369">
        <f>K800</f>
        <v>54953.188999999998</v>
      </c>
      <c r="L808" s="369">
        <v>0</v>
      </c>
      <c r="M808" s="369">
        <f>M800</f>
        <v>-1945.5473091633708</v>
      </c>
      <c r="N808" s="369">
        <f>N800</f>
        <v>-1257.6313737541047</v>
      </c>
      <c r="O808" s="369">
        <f>I808+K808+L808+M808+N808</f>
        <v>125884.17032267827</v>
      </c>
    </row>
    <row r="809" spans="1:15">
      <c r="A809" s="361">
        <f>A808+1</f>
        <v>8</v>
      </c>
      <c r="B809" s="365">
        <v>376</v>
      </c>
      <c r="C809" s="358" t="s">
        <v>1621</v>
      </c>
      <c r="D809" s="923">
        <f>D810-D808</f>
        <v>413949651.31677526</v>
      </c>
      <c r="E809" s="923">
        <f>E810-E808</f>
        <v>780556.6924144628</v>
      </c>
      <c r="F809" s="923">
        <f>F810-F808</f>
        <v>-24970.992690836629</v>
      </c>
      <c r="G809" s="923">
        <f>SUM(D809:F809)</f>
        <v>414705237.01649886</v>
      </c>
      <c r="H809" s="369"/>
      <c r="I809" s="923">
        <f>I810-I808</f>
        <v>82370342.94999446</v>
      </c>
      <c r="J809" s="1251"/>
      <c r="K809" s="923">
        <f>K810-K808</f>
        <v>600774.81099999999</v>
      </c>
      <c r="L809" s="923">
        <v>0</v>
      </c>
      <c r="M809" s="923">
        <f>M810-M808</f>
        <v>-24970.992690836629</v>
      </c>
      <c r="N809" s="923">
        <f>N810-N808</f>
        <v>-10407.248626245895</v>
      </c>
      <c r="O809" s="923">
        <f>I809+K809+L809+M809+N809</f>
        <v>82935739.519677386</v>
      </c>
    </row>
    <row r="810" spans="1:15">
      <c r="A810" s="361">
        <f>A809+1</f>
        <v>9</v>
      </c>
      <c r="B810" s="365">
        <v>376</v>
      </c>
      <c r="C810" s="358" t="s">
        <v>3078</v>
      </c>
      <c r="D810" s="369">
        <f>G764</f>
        <v>450920755.06000006</v>
      </c>
      <c r="E810" s="369">
        <f>+'INPUT - B Schedule PLANT'!CT26</f>
        <v>2637935.1800000002</v>
      </c>
      <c r="F810" s="369">
        <f>+'INPUT - B Schedule PLANT'!CU26</f>
        <v>-26916.54</v>
      </c>
      <c r="G810" s="369">
        <f>SUM(G808:G809)</f>
        <v>453531773.70000005</v>
      </c>
      <c r="H810" s="369"/>
      <c r="I810" s="369">
        <f>O764</f>
        <v>82444477.110000059</v>
      </c>
      <c r="J810" s="1251">
        <f>$J$672</f>
        <v>1.7399999999999999E-2</v>
      </c>
      <c r="K810" s="369">
        <f>ROUND((D810+G810)/2*J810/12,0)</f>
        <v>655728</v>
      </c>
      <c r="L810" s="369">
        <f>SUM(L808:L809)</f>
        <v>0</v>
      </c>
      <c r="M810" s="369">
        <f>F810</f>
        <v>-26916.54</v>
      </c>
      <c r="N810" s="369">
        <v>-11664.88</v>
      </c>
      <c r="O810" s="369">
        <f>SUM(O808:O809)</f>
        <v>83061623.690000057</v>
      </c>
    </row>
    <row r="811" spans="1:15">
      <c r="A811" s="361"/>
      <c r="B811" s="365"/>
      <c r="D811" s="369"/>
      <c r="E811" s="369"/>
      <c r="F811" s="369"/>
      <c r="G811" s="369"/>
      <c r="H811" s="369"/>
      <c r="I811" s="369"/>
      <c r="J811" s="1251"/>
      <c r="K811" s="369"/>
      <c r="L811" s="369"/>
      <c r="M811" s="369"/>
      <c r="N811" s="369"/>
      <c r="O811" s="369"/>
    </row>
    <row r="812" spans="1:15">
      <c r="A812" s="361">
        <f>A810+1</f>
        <v>10</v>
      </c>
      <c r="B812" s="365">
        <v>378.2</v>
      </c>
      <c r="C812" s="358" t="s">
        <v>1776</v>
      </c>
      <c r="D812" s="369">
        <f>D801</f>
        <v>250814.08475171446</v>
      </c>
      <c r="E812" s="369">
        <f>E801</f>
        <v>14630.75963536322</v>
      </c>
      <c r="F812" s="369">
        <f>F801</f>
        <v>-32162.548412264143</v>
      </c>
      <c r="G812" s="369">
        <f>SUM(D812:F812)</f>
        <v>233282.29597481352</v>
      </c>
      <c r="H812" s="369"/>
      <c r="I812" s="369">
        <f>I801</f>
        <v>-531241.6744734738</v>
      </c>
      <c r="J812" s="1251"/>
      <c r="K812" s="369">
        <f>K801</f>
        <v>508.59199999999998</v>
      </c>
      <c r="L812" s="369">
        <v>0</v>
      </c>
      <c r="M812" s="369">
        <f>M801</f>
        <v>-32162.548412264143</v>
      </c>
      <c r="N812" s="369">
        <f>N801</f>
        <v>-9306.3479419151718</v>
      </c>
      <c r="O812" s="369">
        <f>I812+K812+L812+M812+N812</f>
        <v>-572201.9788276531</v>
      </c>
    </row>
    <row r="813" spans="1:15">
      <c r="A813" s="361">
        <f>A812+1</f>
        <v>11</v>
      </c>
      <c r="B813" s="365">
        <v>378.2</v>
      </c>
      <c r="C813" s="358" t="s">
        <v>1622</v>
      </c>
      <c r="D813" s="923">
        <f>D814-D812</f>
        <v>26780211.885248285</v>
      </c>
      <c r="E813" s="923">
        <f>E814-E812</f>
        <v>30659.570364636784</v>
      </c>
      <c r="F813" s="923">
        <f>F814-F812</f>
        <v>-1.5877358564466704E-3</v>
      </c>
      <c r="G813" s="923">
        <f>SUM(D813:F813)</f>
        <v>26810871.454025183</v>
      </c>
      <c r="H813" s="369"/>
      <c r="I813" s="923">
        <f>I814-I812</f>
        <v>3462832.3444734747</v>
      </c>
      <c r="J813" s="1251"/>
      <c r="K813" s="923">
        <f>K814-K812</f>
        <v>56270.408000000003</v>
      </c>
      <c r="L813" s="923">
        <v>0</v>
      </c>
      <c r="M813" s="923">
        <f>M814-M812</f>
        <v>-1.5877358564466704E-3</v>
      </c>
      <c r="N813" s="923">
        <f>N814-N812</f>
        <v>-70522.65205808483</v>
      </c>
      <c r="O813" s="923">
        <f>I813+K813+L813+M813+N813</f>
        <v>3448580.0988276536</v>
      </c>
    </row>
    <row r="814" spans="1:15">
      <c r="A814" s="361">
        <f>A813+1</f>
        <v>12</v>
      </c>
      <c r="B814" s="365">
        <v>378.2</v>
      </c>
      <c r="C814" s="358" t="s">
        <v>3079</v>
      </c>
      <c r="D814" s="369">
        <f>G768</f>
        <v>27031025.969999999</v>
      </c>
      <c r="E814" s="369">
        <f>+'INPUT - B Schedule PLANT'!CT28</f>
        <v>45290.33</v>
      </c>
      <c r="F814" s="369">
        <f>+'INPUT - B Schedule PLANT'!CU28</f>
        <v>-32162.55</v>
      </c>
      <c r="G814" s="369">
        <f>SUM(G812:G813)</f>
        <v>27044153.749999996</v>
      </c>
      <c r="H814" s="369"/>
      <c r="I814" s="369">
        <f>O768</f>
        <v>2931590.6700000009</v>
      </c>
      <c r="J814" s="1251">
        <f>$J$676</f>
        <v>2.52E-2</v>
      </c>
      <c r="K814" s="369">
        <f>ROUND((D814+G814)/2*J814/12,0)</f>
        <v>56779</v>
      </c>
      <c r="L814" s="369">
        <f>SUM(L812:L813)</f>
        <v>0</v>
      </c>
      <c r="M814" s="369">
        <f>F814</f>
        <v>-32162.55</v>
      </c>
      <c r="N814" s="369">
        <v>-79829</v>
      </c>
      <c r="O814" s="369">
        <f>SUM(O812:O813)</f>
        <v>2876378.1200000006</v>
      </c>
    </row>
    <row r="815" spans="1:15">
      <c r="A815" s="361"/>
      <c r="B815" s="365"/>
      <c r="D815" s="369"/>
      <c r="E815" s="369"/>
      <c r="F815" s="369"/>
      <c r="G815" s="369"/>
      <c r="H815" s="369"/>
      <c r="I815" s="369"/>
      <c r="J815" s="1251"/>
      <c r="K815" s="369"/>
      <c r="L815" s="369"/>
      <c r="M815" s="369"/>
      <c r="N815" s="369"/>
      <c r="O815" s="369"/>
    </row>
    <row r="816" spans="1:15">
      <c r="A816" s="361">
        <f>A814+1</f>
        <v>13</v>
      </c>
      <c r="B816" s="365">
        <v>380</v>
      </c>
      <c r="C816" s="358" t="s">
        <v>1777</v>
      </c>
      <c r="D816" s="369">
        <f>D802</f>
        <v>14872091.238959666</v>
      </c>
      <c r="E816" s="369">
        <f>E802</f>
        <v>1661620.43</v>
      </c>
      <c r="F816" s="369">
        <f>F802</f>
        <v>-507119.27730182611</v>
      </c>
      <c r="G816" s="369">
        <f>SUM(D816:F816)</f>
        <v>16026592.39165784</v>
      </c>
      <c r="H816" s="369"/>
      <c r="I816" s="369">
        <f>I802</f>
        <v>-7138053.4401115524</v>
      </c>
      <c r="J816" s="1251"/>
      <c r="K816" s="369">
        <f>K802</f>
        <v>51240.548000000003</v>
      </c>
      <c r="L816" s="369">
        <v>0</v>
      </c>
      <c r="M816" s="369">
        <f>M802</f>
        <v>-507119.27730182611</v>
      </c>
      <c r="N816" s="369">
        <f>N802</f>
        <v>-198956.40412902832</v>
      </c>
      <c r="O816" s="369">
        <f>I816+K816+L816+M816+N816</f>
        <v>-7792888.5735424068</v>
      </c>
    </row>
    <row r="817" spans="1:15">
      <c r="A817" s="361">
        <f>A816+1</f>
        <v>14</v>
      </c>
      <c r="B817" s="365">
        <v>380</v>
      </c>
      <c r="C817" s="358" t="s">
        <v>1623</v>
      </c>
      <c r="D817" s="923">
        <f>D818-D816</f>
        <v>203775826.2610403</v>
      </c>
      <c r="E817" s="923">
        <f>E818-E816</f>
        <v>99769.360000000102</v>
      </c>
      <c r="F817" s="923">
        <f>F818-F816</f>
        <v>-81672.01269817393</v>
      </c>
      <c r="G817" s="923">
        <f>SUM(D817:F817)</f>
        <v>203793923.60834214</v>
      </c>
      <c r="H817" s="369"/>
      <c r="I817" s="923">
        <f>I818-I816</f>
        <v>62318896.960111573</v>
      </c>
      <c r="J817" s="1251"/>
      <c r="K817" s="923">
        <f>K818-K816</f>
        <v>675886.45200000005</v>
      </c>
      <c r="L817" s="923">
        <v>0</v>
      </c>
      <c r="M817" s="923">
        <f>M818-M816</f>
        <v>-81672.01269817393</v>
      </c>
      <c r="N817" s="923">
        <f>N818-N816</f>
        <v>4.1290283261332661E-3</v>
      </c>
      <c r="O817" s="923">
        <f>I817+K817+L817+M817+N817</f>
        <v>62913111.403542429</v>
      </c>
    </row>
    <row r="818" spans="1:15">
      <c r="A818" s="361">
        <f>A817+1</f>
        <v>15</v>
      </c>
      <c r="B818" s="365">
        <v>380</v>
      </c>
      <c r="C818" s="358" t="s">
        <v>3080</v>
      </c>
      <c r="D818" s="369">
        <f>G772</f>
        <v>218647917.49999997</v>
      </c>
      <c r="E818" s="369">
        <f>+'INPUT - B Schedule PLANT'!CT31</f>
        <v>1761389.79</v>
      </c>
      <c r="F818" s="369">
        <f>+'INPUT - B Schedule PLANT'!CU31</f>
        <v>-588791.29</v>
      </c>
      <c r="G818" s="369">
        <f>SUM(G816:G817)</f>
        <v>219820515.99999997</v>
      </c>
      <c r="H818" s="369"/>
      <c r="I818" s="369">
        <f>O772</f>
        <v>55180843.520000018</v>
      </c>
      <c r="J818" s="1251">
        <f>$J$680</f>
        <v>3.9800000000000002E-2</v>
      </c>
      <c r="K818" s="369">
        <f>ROUND((D818+G818)/2*J818/12,0)</f>
        <v>727127</v>
      </c>
      <c r="L818" s="369">
        <f>SUM(L816:L817)</f>
        <v>0</v>
      </c>
      <c r="M818" s="369">
        <f>F818</f>
        <v>-588791.29</v>
      </c>
      <c r="N818" s="369">
        <v>-198956.4</v>
      </c>
      <c r="O818" s="369">
        <f>SUM(O816:O817)</f>
        <v>55120222.830000021</v>
      </c>
    </row>
    <row r="819" spans="1:15">
      <c r="A819" s="361"/>
      <c r="B819" s="365"/>
      <c r="D819" s="369"/>
      <c r="E819" s="369"/>
      <c r="F819" s="369"/>
      <c r="G819" s="369"/>
      <c r="H819" s="369"/>
      <c r="I819" s="369"/>
      <c r="J819" s="1251"/>
      <c r="K819" s="369"/>
      <c r="L819" s="369"/>
      <c r="M819" s="369"/>
      <c r="N819" s="369"/>
      <c r="O819" s="369"/>
    </row>
    <row r="820" spans="1:15">
      <c r="A820" s="361">
        <f>A818+1</f>
        <v>16</v>
      </c>
      <c r="B820" s="365">
        <v>382</v>
      </c>
      <c r="C820" s="358" t="s">
        <v>1778</v>
      </c>
      <c r="D820" s="369">
        <f>D803</f>
        <v>178394.94835947393</v>
      </c>
      <c r="E820" s="369">
        <f>E803</f>
        <v>1480.79</v>
      </c>
      <c r="F820" s="369">
        <f>F803</f>
        <v>-3262.1136766504192</v>
      </c>
      <c r="G820" s="369">
        <f>SUM(D820:F820)</f>
        <v>176613.62468282352</v>
      </c>
      <c r="H820" s="369"/>
      <c r="I820" s="369">
        <f>I803</f>
        <v>-57283.274640526019</v>
      </c>
      <c r="J820" s="1251"/>
      <c r="K820" s="369">
        <f>K803</f>
        <v>261.68599999999998</v>
      </c>
      <c r="L820" s="369">
        <v>0</v>
      </c>
      <c r="M820" s="369">
        <f>M803</f>
        <v>-3262.1136766504192</v>
      </c>
      <c r="N820" s="369">
        <f>N803</f>
        <v>0</v>
      </c>
      <c r="O820" s="369">
        <f>I820+K820+L820+M820+N820</f>
        <v>-60283.702317176438</v>
      </c>
    </row>
    <row r="821" spans="1:15">
      <c r="A821" s="361">
        <f>A820+1</f>
        <v>17</v>
      </c>
      <c r="B821" s="365">
        <v>382</v>
      </c>
      <c r="C821" s="358" t="s">
        <v>1624</v>
      </c>
      <c r="D821" s="923">
        <f>D822-D820</f>
        <v>10585676.411640527</v>
      </c>
      <c r="E821" s="923">
        <f>E822-E820</f>
        <v>5611.3</v>
      </c>
      <c r="F821" s="923">
        <f>F822-F820</f>
        <v>-1419.4563233495805</v>
      </c>
      <c r="G821" s="923">
        <f>SUM(D821:F821)</f>
        <v>10589868.255317178</v>
      </c>
      <c r="H821" s="369"/>
      <c r="I821" s="923">
        <f>I822-I820</f>
        <v>5916132.7546405271</v>
      </c>
      <c r="J821" s="1251"/>
      <c r="K821" s="923">
        <f>K822-K820</f>
        <v>15617.314</v>
      </c>
      <c r="L821" s="923">
        <v>0</v>
      </c>
      <c r="M821" s="923">
        <f>M822-M820</f>
        <v>-1419.4563233495805</v>
      </c>
      <c r="N821" s="923">
        <f>N822-N820</f>
        <v>0</v>
      </c>
      <c r="O821" s="923">
        <f>I821+K821+L821+M821+N821</f>
        <v>5930330.6123171775</v>
      </c>
    </row>
    <row r="822" spans="1:15">
      <c r="A822" s="361">
        <f>A821+1</f>
        <v>18</v>
      </c>
      <c r="B822" s="365">
        <v>382</v>
      </c>
      <c r="C822" s="358" t="s">
        <v>3081</v>
      </c>
      <c r="D822" s="369">
        <f>G776</f>
        <v>10764071.360000001</v>
      </c>
      <c r="E822" s="369">
        <f>+'INPUT - B Schedule PLANT'!CT34</f>
        <v>7092.09</v>
      </c>
      <c r="F822" s="369">
        <f>+'INPUT - B Schedule PLANT'!CU34</f>
        <v>-4681.57</v>
      </c>
      <c r="G822" s="369">
        <f>SUM(G820:G821)</f>
        <v>10766481.880000001</v>
      </c>
      <c r="H822" s="369"/>
      <c r="I822" s="369">
        <f>O776</f>
        <v>5858849.4800000014</v>
      </c>
      <c r="J822" s="1251">
        <f>$J$684</f>
        <v>1.77E-2</v>
      </c>
      <c r="K822" s="369">
        <f>ROUND((D822+G822)/2*J822/12,0)</f>
        <v>15879</v>
      </c>
      <c r="L822" s="369">
        <f>SUM(L820:L821)</f>
        <v>0</v>
      </c>
      <c r="M822" s="369">
        <f>F822</f>
        <v>-4681.57</v>
      </c>
      <c r="N822" s="369">
        <v>0</v>
      </c>
      <c r="O822" s="369">
        <f>SUM(O820:O821)</f>
        <v>5870046.9100000011</v>
      </c>
    </row>
    <row r="823" spans="1:15">
      <c r="A823" s="361"/>
      <c r="B823" s="365"/>
      <c r="D823" s="369"/>
      <c r="E823" s="369"/>
      <c r="F823" s="369"/>
      <c r="G823" s="369"/>
      <c r="H823" s="369"/>
      <c r="I823" s="369"/>
      <c r="J823" s="1251"/>
      <c r="K823" s="369"/>
      <c r="L823" s="369"/>
      <c r="M823" s="369"/>
      <c r="N823" s="369"/>
      <c r="O823" s="369"/>
    </row>
    <row r="824" spans="1:15">
      <c r="A824" s="361">
        <f>A822+1</f>
        <v>19</v>
      </c>
      <c r="B824" s="365">
        <v>383</v>
      </c>
      <c r="C824" s="358" t="s">
        <v>1779</v>
      </c>
      <c r="D824" s="369">
        <f>D804</f>
        <v>62104.528752224884</v>
      </c>
      <c r="E824" s="369">
        <f>E804</f>
        <v>9872.4492643543435</v>
      </c>
      <c r="F824" s="369">
        <f>F804</f>
        <v>-245.63339923034246</v>
      </c>
      <c r="G824" s="369">
        <f>SUM(D824:F824)</f>
        <v>71731.344617348892</v>
      </c>
      <c r="H824" s="369"/>
      <c r="I824" s="369">
        <f>I804</f>
        <v>-7981.9981471911578</v>
      </c>
      <c r="J824" s="1251"/>
      <c r="K824" s="369">
        <f>K804</f>
        <v>107.782</v>
      </c>
      <c r="L824" s="369">
        <v>0</v>
      </c>
      <c r="M824" s="369">
        <f>M804</f>
        <v>-245.63339923034246</v>
      </c>
      <c r="N824" s="369">
        <f>N804</f>
        <v>0</v>
      </c>
      <c r="O824" s="369">
        <f>I824+K824+L824+M824+N824</f>
        <v>-8119.8495464215002</v>
      </c>
    </row>
    <row r="825" spans="1:15">
      <c r="A825" s="361">
        <f>A824+1</f>
        <v>20</v>
      </c>
      <c r="B825" s="365">
        <v>383</v>
      </c>
      <c r="C825" s="358" t="s">
        <v>1625</v>
      </c>
      <c r="D825" s="923">
        <f>D826-D824</f>
        <v>7434451.4812477725</v>
      </c>
      <c r="E825" s="923">
        <f>E826-E824</f>
        <v>14135.630735645658</v>
      </c>
      <c r="F825" s="923">
        <f>F826-F824</f>
        <v>-352.54660076965752</v>
      </c>
      <c r="G825" s="923">
        <f>SUM(D825:F825)</f>
        <v>7448234.5653826492</v>
      </c>
      <c r="H825" s="369"/>
      <c r="I825" s="923">
        <f>I826-I824</f>
        <v>2545506.1081471913</v>
      </c>
      <c r="J825" s="1251"/>
      <c r="K825" s="923">
        <f>K826-K824</f>
        <v>12030.218000000001</v>
      </c>
      <c r="L825" s="923">
        <v>0</v>
      </c>
      <c r="M825" s="923">
        <f>M826-M824</f>
        <v>-352.54660076965752</v>
      </c>
      <c r="N825" s="923">
        <f>N826-N824</f>
        <v>0</v>
      </c>
      <c r="O825" s="923">
        <f>I825+K825+L825+M825+N825</f>
        <v>2557183.7795464215</v>
      </c>
    </row>
    <row r="826" spans="1:15">
      <c r="A826" s="361">
        <f>A825+1</f>
        <v>21</v>
      </c>
      <c r="B826" s="365">
        <v>383</v>
      </c>
      <c r="C826" s="358" t="s">
        <v>3082</v>
      </c>
      <c r="D826" s="369">
        <f>G780</f>
        <v>7496556.009999997</v>
      </c>
      <c r="E826" s="369">
        <f>+'INPUT - B Schedule PLANT'!CT35</f>
        <v>24008.080000000002</v>
      </c>
      <c r="F826" s="369">
        <f>+'INPUT - B Schedule PLANT'!CU35</f>
        <v>-598.17999999999995</v>
      </c>
      <c r="G826" s="369">
        <f>SUM(G824:G825)</f>
        <v>7519965.9099999983</v>
      </c>
      <c r="H826" s="369"/>
      <c r="I826" s="369">
        <f>O780</f>
        <v>2537524.1100000003</v>
      </c>
      <c r="J826" s="1251">
        <f>$J$688</f>
        <v>1.9400000000000001E-2</v>
      </c>
      <c r="K826" s="369">
        <f>ROUND((D826+G826)/2*J826/12,0)</f>
        <v>12138</v>
      </c>
      <c r="L826" s="369">
        <f>SUM(L824:L825)</f>
        <v>0</v>
      </c>
      <c r="M826" s="369">
        <f>F826</f>
        <v>-598.17999999999995</v>
      </c>
      <c r="N826" s="369">
        <v>0</v>
      </c>
      <c r="O826" s="369">
        <f>SUM(O824:O825)</f>
        <v>2549063.9300000002</v>
      </c>
    </row>
    <row r="829" spans="1:15" s="291" customFormat="1">
      <c r="A829" s="1308" t="str">
        <f>$A$1</f>
        <v>COLUMBIA GAS OF KENTUCKY, INC.</v>
      </c>
      <c r="B829" s="1308"/>
      <c r="C829" s="1308"/>
      <c r="D829" s="1308"/>
      <c r="E829" s="1308"/>
      <c r="F829" s="1308"/>
      <c r="G829" s="1308"/>
      <c r="H829" s="1308"/>
      <c r="I829" s="1308"/>
      <c r="J829" s="1308"/>
      <c r="K829" s="1308"/>
      <c r="L829" s="1308"/>
      <c r="M829" s="1308"/>
      <c r="N829" s="1308"/>
      <c r="O829" s="1308"/>
    </row>
    <row r="830" spans="1:15" s="291" customFormat="1">
      <c r="A830" s="1308" t="str">
        <f>$A$2</f>
        <v>CASE NO. 2024 - 00092</v>
      </c>
      <c r="B830" s="1308"/>
      <c r="C830" s="1308"/>
      <c r="D830" s="1308"/>
      <c r="E830" s="1308"/>
      <c r="F830" s="1308"/>
      <c r="G830" s="1308"/>
      <c r="H830" s="1308"/>
      <c r="I830" s="1308"/>
      <c r="J830" s="1308"/>
      <c r="K830" s="1308"/>
      <c r="L830" s="1308"/>
      <c r="M830" s="1308"/>
      <c r="N830" s="1308"/>
      <c r="O830" s="1308"/>
    </row>
    <row r="831" spans="1:15" s="291" customFormat="1">
      <c r="A831" s="1308" t="str">
        <f>$A$3</f>
        <v>DETAIL OF ACTUAL &amp;  FORECASTED SMRP PLANT, ACCUMULATED RESERVE &amp; DEPRECIATION EXPENSE</v>
      </c>
      <c r="B831" s="1308"/>
      <c r="C831" s="1308"/>
      <c r="D831" s="1308"/>
      <c r="E831" s="1308"/>
      <c r="F831" s="1308"/>
      <c r="G831" s="1308"/>
      <c r="H831" s="1308"/>
      <c r="I831" s="1308"/>
      <c r="J831" s="1308"/>
      <c r="K831" s="1308"/>
      <c r="L831" s="1308"/>
      <c r="M831" s="1308"/>
      <c r="N831" s="1308"/>
      <c r="O831" s="1308"/>
    </row>
    <row r="832" spans="1:15" s="291" customFormat="1">
      <c r="A832" s="1308" t="str">
        <f>$A$4</f>
        <v>FROM JANUARY 01, 2023 THROUGH DECEMBER 31, 2025</v>
      </c>
      <c r="B832" s="1308"/>
      <c r="C832" s="1308"/>
      <c r="D832" s="1308"/>
      <c r="E832" s="1308"/>
      <c r="F832" s="1308"/>
      <c r="G832" s="1308"/>
      <c r="H832" s="1308"/>
      <c r="I832" s="1308"/>
      <c r="J832" s="1308"/>
      <c r="K832" s="1308"/>
      <c r="L832" s="1308"/>
      <c r="M832" s="1308"/>
      <c r="N832" s="1308"/>
      <c r="O832" s="1308"/>
    </row>
    <row r="833" spans="1:15" s="291" customFormat="1">
      <c r="B833" s="293"/>
    </row>
    <row r="834" spans="1:15" s="291" customFormat="1">
      <c r="A834" s="297" t="str">
        <f>'General Headers Index'!$B$34</f>
        <v xml:space="preserve">DATA: _X_ BASE PERIOD _X_ FORECASTED PERIOD     </v>
      </c>
      <c r="B834" s="293"/>
      <c r="O834" s="312" t="s">
        <v>2461</v>
      </c>
    </row>
    <row r="835" spans="1:15" s="291" customFormat="1">
      <c r="A835" s="297" t="str">
        <f>'General Headers Index'!$B$37</f>
        <v>TYPE OF FILING:___X___ORIGINAL______UPDATED</v>
      </c>
      <c r="B835" s="293"/>
      <c r="O835" s="312" t="s">
        <v>2241</v>
      </c>
    </row>
    <row r="836" spans="1:15" s="291" customFormat="1">
      <c r="A836" s="297" t="s">
        <v>2150</v>
      </c>
      <c r="B836" s="293"/>
      <c r="O836" s="312" t="str">
        <f>"WITNESS: "&amp;'General Headers Index'!$B$42</f>
        <v>WITNESS: GORE</v>
      </c>
    </row>
    <row r="837" spans="1:15">
      <c r="A837" s="918"/>
      <c r="B837" s="918"/>
      <c r="C837" s="918"/>
      <c r="D837" s="918"/>
      <c r="E837" s="918"/>
      <c r="F837" s="918"/>
      <c r="G837" s="918"/>
      <c r="H837" s="918"/>
      <c r="I837" s="918"/>
      <c r="J837" s="918"/>
      <c r="K837" s="918"/>
      <c r="L837" s="918"/>
      <c r="M837" s="918"/>
      <c r="N837" s="918"/>
      <c r="O837" s="918"/>
    </row>
    <row r="838" spans="1:15">
      <c r="B838" s="359"/>
      <c r="D838" s="1312" t="s">
        <v>1768</v>
      </c>
      <c r="E838" s="1312"/>
      <c r="F838" s="1312"/>
      <c r="G838" s="1312"/>
      <c r="I838" s="1312" t="s">
        <v>1769</v>
      </c>
      <c r="J838" s="1312"/>
      <c r="K838" s="1312"/>
      <c r="L838" s="1312"/>
      <c r="M838" s="1312"/>
      <c r="N838" s="1312"/>
      <c r="O838" s="1312"/>
    </row>
    <row r="839" spans="1:15">
      <c r="B839" s="359"/>
      <c r="D839" s="360">
        <f>G793+1</f>
        <v>45474</v>
      </c>
      <c r="G839" s="360">
        <f>D839+30</f>
        <v>45504</v>
      </c>
      <c r="I839" s="360">
        <f>D839</f>
        <v>45474</v>
      </c>
      <c r="O839" s="360">
        <f>G839</f>
        <v>45504</v>
      </c>
    </row>
    <row r="840" spans="1:15">
      <c r="B840" s="359"/>
      <c r="D840" s="361" t="s">
        <v>1757</v>
      </c>
      <c r="G840" s="361" t="s">
        <v>1757</v>
      </c>
      <c r="I840" s="361" t="s">
        <v>1758</v>
      </c>
      <c r="J840" s="361" t="s">
        <v>488</v>
      </c>
      <c r="L840" s="361" t="s">
        <v>1758</v>
      </c>
      <c r="O840" s="361" t="s">
        <v>1758</v>
      </c>
    </row>
    <row r="841" spans="1:15">
      <c r="A841" s="361" t="s">
        <v>1770</v>
      </c>
      <c r="B841" s="361" t="s">
        <v>368</v>
      </c>
      <c r="C841" s="361"/>
      <c r="D841" s="361" t="s">
        <v>437</v>
      </c>
      <c r="G841" s="361" t="s">
        <v>439</v>
      </c>
      <c r="I841" s="361" t="s">
        <v>437</v>
      </c>
      <c r="J841" s="361" t="s">
        <v>1771</v>
      </c>
      <c r="K841" s="361" t="s">
        <v>1772</v>
      </c>
      <c r="L841" s="361" t="s">
        <v>1759</v>
      </c>
      <c r="N841" s="361" t="s">
        <v>1760</v>
      </c>
      <c r="O841" s="361" t="s">
        <v>439</v>
      </c>
    </row>
    <row r="842" spans="1:15">
      <c r="A842" s="364" t="s">
        <v>316</v>
      </c>
      <c r="B842" s="364" t="s">
        <v>316</v>
      </c>
      <c r="C842" s="364" t="s">
        <v>451</v>
      </c>
      <c r="D842" s="364" t="s">
        <v>441</v>
      </c>
      <c r="E842" s="364" t="s">
        <v>442</v>
      </c>
      <c r="F842" s="364" t="s">
        <v>443</v>
      </c>
      <c r="G842" s="364" t="s">
        <v>441</v>
      </c>
      <c r="I842" s="364" t="s">
        <v>441</v>
      </c>
      <c r="J842" s="364" t="s">
        <v>1773</v>
      </c>
      <c r="K842" s="364" t="s">
        <v>1771</v>
      </c>
      <c r="L842" s="364" t="s">
        <v>355</v>
      </c>
      <c r="M842" s="364" t="s">
        <v>443</v>
      </c>
      <c r="N842" s="364" t="s">
        <v>1763</v>
      </c>
      <c r="O842" s="364" t="s">
        <v>441</v>
      </c>
    </row>
    <row r="843" spans="1:15">
      <c r="A843" s="362"/>
      <c r="B843" s="363"/>
      <c r="C843" s="362"/>
      <c r="D843" s="361" t="s">
        <v>532</v>
      </c>
      <c r="E843" s="361" t="s">
        <v>541</v>
      </c>
      <c r="F843" s="361" t="s">
        <v>542</v>
      </c>
      <c r="G843" s="361" t="s">
        <v>1764</v>
      </c>
      <c r="I843" s="334" t="str">
        <f>"(5)"</f>
        <v>(5)</v>
      </c>
      <c r="J843" s="334" t="str">
        <f>"(6)"</f>
        <v>(6)</v>
      </c>
      <c r="K843" s="334" t="str">
        <f>"(7)=((1+4)/2*6/12))"</f>
        <v>(7)=((1+4)/2*6/12))</v>
      </c>
      <c r="L843" s="334" t="str">
        <f>"(8)"</f>
        <v>(8)</v>
      </c>
      <c r="M843" s="334" t="str">
        <f>"(9)"</f>
        <v>(9)</v>
      </c>
      <c r="N843" s="334" t="str">
        <f>"(10)"</f>
        <v>(10)</v>
      </c>
      <c r="O843" s="334" t="str">
        <f>"(11=5+7+8+9+10)"</f>
        <v>(11=5+7+8+9+10)</v>
      </c>
    </row>
    <row r="844" spans="1:15">
      <c r="B844" s="359"/>
      <c r="D844" s="361" t="s">
        <v>320</v>
      </c>
      <c r="E844" s="361" t="s">
        <v>320</v>
      </c>
      <c r="F844" s="361" t="s">
        <v>320</v>
      </c>
      <c r="G844" s="361" t="s">
        <v>320</v>
      </c>
      <c r="I844" s="334" t="s">
        <v>320</v>
      </c>
      <c r="J844" s="1250" t="s">
        <v>529</v>
      </c>
      <c r="K844" s="334" t="s">
        <v>320</v>
      </c>
      <c r="L844" s="334" t="s">
        <v>320</v>
      </c>
      <c r="M844" s="334" t="s">
        <v>320</v>
      </c>
      <c r="N844" s="334" t="s">
        <v>320</v>
      </c>
      <c r="O844" s="334" t="s">
        <v>320</v>
      </c>
    </row>
    <row r="845" spans="1:15">
      <c r="B845" s="359"/>
      <c r="D845" s="361"/>
      <c r="E845" s="361"/>
      <c r="F845" s="361"/>
      <c r="G845" s="361"/>
      <c r="I845" s="334"/>
      <c r="J845" s="334"/>
      <c r="K845" s="334"/>
      <c r="L845" s="334"/>
      <c r="M845" s="334"/>
      <c r="N845" s="334"/>
      <c r="O845" s="334"/>
    </row>
    <row r="846" spans="1:15">
      <c r="A846" s="361">
        <v>1</v>
      </c>
      <c r="B846" s="365">
        <v>376</v>
      </c>
      <c r="C846" s="358" t="s">
        <v>1775</v>
      </c>
      <c r="D846" s="369">
        <f>G800</f>
        <v>38826536.683501154</v>
      </c>
      <c r="E846" s="369">
        <v>1190107.9726593986</v>
      </c>
      <c r="F846" s="369">
        <v>-7052.2056015152011</v>
      </c>
      <c r="G846" s="369">
        <f>SUM(D846:F846)</f>
        <v>40009592.450559042</v>
      </c>
      <c r="H846" s="369"/>
      <c r="I846" s="369">
        <f>O800</f>
        <v>125884.17032267827</v>
      </c>
      <c r="J846" s="1251">
        <f>$J$662</f>
        <v>1.7399999999999999E-2</v>
      </c>
      <c r="K846" s="939">
        <v>57155.714999999997</v>
      </c>
      <c r="L846" s="369">
        <v>0</v>
      </c>
      <c r="M846" s="369">
        <f>F846</f>
        <v>-7052.2056015152011</v>
      </c>
      <c r="N846" s="369">
        <v>-3331.7281146569626</v>
      </c>
      <c r="O846" s="369">
        <f>I846+K846+L846+M846+N846</f>
        <v>172655.9516065061</v>
      </c>
    </row>
    <row r="847" spans="1:15">
      <c r="A847" s="361">
        <f>A846+1</f>
        <v>2</v>
      </c>
      <c r="B847" s="365">
        <v>378.2</v>
      </c>
      <c r="C847" s="358" t="s">
        <v>1776</v>
      </c>
      <c r="D847" s="369">
        <f>G801</f>
        <v>233282.29597481352</v>
      </c>
      <c r="E847" s="369">
        <v>265825.43520575226</v>
      </c>
      <c r="F847" s="369">
        <v>-56110.765664551844</v>
      </c>
      <c r="G847" s="369">
        <f>SUM(D847:F847)</f>
        <v>442996.96551601391</v>
      </c>
      <c r="H847" s="369"/>
      <c r="I847" s="369">
        <f>O801</f>
        <v>-572201.9788276531</v>
      </c>
      <c r="J847" s="1251">
        <f>$J$663</f>
        <v>2.52E-2</v>
      </c>
      <c r="K847" s="939">
        <v>710.2</v>
      </c>
      <c r="L847" s="369">
        <v>0</v>
      </c>
      <c r="M847" s="369">
        <f>F847</f>
        <v>-56110.765664551844</v>
      </c>
      <c r="N847" s="369">
        <v>-2422.6226291399967</v>
      </c>
      <c r="O847" s="369">
        <f>I847+K847+L847+M847+N847</f>
        <v>-630025.16712134506</v>
      </c>
    </row>
    <row r="848" spans="1:15">
      <c r="A848" s="361">
        <f>A847+1</f>
        <v>3</v>
      </c>
      <c r="B848" s="365">
        <v>380</v>
      </c>
      <c r="C848" s="358" t="s">
        <v>1777</v>
      </c>
      <c r="D848" s="369">
        <f>G802</f>
        <v>16026592.39165784</v>
      </c>
      <c r="E848" s="369">
        <v>1343019.56</v>
      </c>
      <c r="F848" s="369">
        <v>-397350.93850979803</v>
      </c>
      <c r="G848" s="369">
        <f>SUM(D848:F848)</f>
        <v>16972261.01314804</v>
      </c>
      <c r="H848" s="369"/>
      <c r="I848" s="369">
        <f>O802</f>
        <v>-7792888.5735424068</v>
      </c>
      <c r="J848" s="1251">
        <f>$J$664</f>
        <v>3.9800000000000002E-2</v>
      </c>
      <c r="K848" s="939">
        <v>54723.233999999997</v>
      </c>
      <c r="L848" s="369">
        <v>0</v>
      </c>
      <c r="M848" s="369">
        <f>F848</f>
        <v>-397350.93850979803</v>
      </c>
      <c r="N848" s="369">
        <v>-175243.06639599765</v>
      </c>
      <c r="O848" s="369">
        <f>I848+K848+L848+M848+N848</f>
        <v>-8310759.3444482023</v>
      </c>
    </row>
    <row r="849" spans="1:15">
      <c r="A849" s="361">
        <f>A848+1</f>
        <v>4</v>
      </c>
      <c r="B849" s="365">
        <v>382</v>
      </c>
      <c r="C849" s="358" t="s">
        <v>1778</v>
      </c>
      <c r="D849" s="369">
        <f>G803</f>
        <v>176613.62468282352</v>
      </c>
      <c r="E849" s="369">
        <v>5205.8500000000004</v>
      </c>
      <c r="F849" s="369">
        <v>-3153.1324736359516</v>
      </c>
      <c r="G849" s="369">
        <f>SUM(D849:F849)</f>
        <v>178666.34220918757</v>
      </c>
      <c r="H849" s="369"/>
      <c r="I849" s="369">
        <f>O803</f>
        <v>-60283.702317176438</v>
      </c>
      <c r="J849" s="1251">
        <f>$J$665</f>
        <v>1.77E-2</v>
      </c>
      <c r="K849" s="939">
        <v>262.51400000000001</v>
      </c>
      <c r="L849" s="369">
        <v>0</v>
      </c>
      <c r="M849" s="369">
        <f>F849</f>
        <v>-3153.1324736359516</v>
      </c>
      <c r="N849" s="369">
        <v>0</v>
      </c>
      <c r="O849" s="369">
        <f>I849+K849+L849+M849+N849</f>
        <v>-63174.320790812388</v>
      </c>
    </row>
    <row r="850" spans="1:15">
      <c r="A850" s="361">
        <f>A849+1</f>
        <v>5</v>
      </c>
      <c r="B850" s="365">
        <v>383</v>
      </c>
      <c r="C850" s="358" t="s">
        <v>1779</v>
      </c>
      <c r="D850" s="923">
        <f>G804</f>
        <v>71731.344617348892</v>
      </c>
      <c r="E850" s="923">
        <v>6364.1495223158836</v>
      </c>
      <c r="F850" s="923">
        <v>-390.19</v>
      </c>
      <c r="G850" s="923">
        <f>SUM(D850:F850)</f>
        <v>77705.304139664775</v>
      </c>
      <c r="H850" s="369"/>
      <c r="I850" s="923">
        <f>O804</f>
        <v>-8119.8495464215002</v>
      </c>
      <c r="J850" s="1251">
        <f>$J$666</f>
        <v>1.9400000000000001E-2</v>
      </c>
      <c r="K850" s="940">
        <v>120.82899999999999</v>
      </c>
      <c r="L850" s="923">
        <v>0</v>
      </c>
      <c r="M850" s="923">
        <f>F850</f>
        <v>-390.19</v>
      </c>
      <c r="N850" s="923">
        <v>0</v>
      </c>
      <c r="O850" s="923">
        <f>I850+K850+L850+M850+N850</f>
        <v>-8389.2105464215001</v>
      </c>
    </row>
    <row r="851" spans="1:15">
      <c r="A851" s="361">
        <f>A850+1</f>
        <v>6</v>
      </c>
      <c r="C851" s="358" t="s">
        <v>3077</v>
      </c>
      <c r="D851" s="369">
        <f>SUM(D846:D850)</f>
        <v>55334756.340433978</v>
      </c>
      <c r="E851" s="369">
        <f>SUM(E846:E850)</f>
        <v>2810522.9673874667</v>
      </c>
      <c r="F851" s="369">
        <f>SUM(F846:F850)</f>
        <v>-464057.23224950104</v>
      </c>
      <c r="G851" s="369">
        <f>SUM(G846:G850)</f>
        <v>57681222.075571954</v>
      </c>
      <c r="H851" s="369"/>
      <c r="I851" s="369">
        <f>SUM(I846:I850)</f>
        <v>-8307609.933910979</v>
      </c>
      <c r="J851" s="369"/>
      <c r="K851" s="939">
        <f>SUM(K846:K850)</f>
        <v>112972.49199999998</v>
      </c>
      <c r="L851" s="369">
        <f t="shared" ref="L851" si="18">SUM(L846:L850)</f>
        <v>0</v>
      </c>
      <c r="M851" s="369">
        <f>SUM(M846:M850)</f>
        <v>-464057.23224950104</v>
      </c>
      <c r="N851" s="369">
        <f>SUM(N846:N850)</f>
        <v>-180997.41713979462</v>
      </c>
      <c r="O851" s="369">
        <f>SUM(O846:O850)</f>
        <v>-8839692.0913002752</v>
      </c>
    </row>
    <row r="852" spans="1:15">
      <c r="A852" s="361"/>
      <c r="D852" s="369"/>
      <c r="E852" s="369"/>
      <c r="F852" s="369"/>
      <c r="G852" s="369"/>
      <c r="H852" s="369"/>
      <c r="I852" s="369"/>
      <c r="J852" s="369"/>
      <c r="K852" s="939"/>
      <c r="L852" s="369"/>
      <c r="M852" s="369"/>
      <c r="N852" s="369"/>
      <c r="O852" s="369"/>
    </row>
    <row r="853" spans="1:15">
      <c r="A853" s="361"/>
      <c r="D853" s="369"/>
      <c r="E853" s="369"/>
      <c r="F853" s="369"/>
      <c r="G853" s="369"/>
      <c r="H853" s="369"/>
      <c r="I853" s="369"/>
      <c r="J853" s="369"/>
      <c r="K853" s="939"/>
      <c r="L853" s="369"/>
      <c r="M853" s="369"/>
      <c r="N853" s="369"/>
      <c r="O853" s="369"/>
    </row>
    <row r="854" spans="1:15">
      <c r="A854" s="361">
        <f>A851+1</f>
        <v>7</v>
      </c>
      <c r="B854" s="365">
        <v>376</v>
      </c>
      <c r="C854" s="358" t="s">
        <v>1775</v>
      </c>
      <c r="D854" s="369">
        <f>D846</f>
        <v>38826536.683501154</v>
      </c>
      <c r="E854" s="369">
        <f>E846</f>
        <v>1190107.9726593986</v>
      </c>
      <c r="F854" s="369">
        <f>F846</f>
        <v>-7052.2056015152011</v>
      </c>
      <c r="G854" s="369">
        <f>SUM(D854:F854)</f>
        <v>40009592.450559042</v>
      </c>
      <c r="H854" s="369"/>
      <c r="I854" s="369">
        <f>I846</f>
        <v>125884.17032267827</v>
      </c>
      <c r="J854" s="1251"/>
      <c r="K854" s="939">
        <f>K846</f>
        <v>57155.714999999997</v>
      </c>
      <c r="L854" s="369">
        <v>0</v>
      </c>
      <c r="M854" s="369">
        <f>M846</f>
        <v>-7052.2056015152011</v>
      </c>
      <c r="N854" s="369">
        <f>N846</f>
        <v>-3331.7281146569626</v>
      </c>
      <c r="O854" s="369">
        <f>I854+K854+L854+M854+N854</f>
        <v>172655.9516065061</v>
      </c>
    </row>
    <row r="855" spans="1:15">
      <c r="A855" s="361">
        <f>A854+1</f>
        <v>8</v>
      </c>
      <c r="B855" s="365">
        <v>376</v>
      </c>
      <c r="C855" s="358" t="s">
        <v>1621</v>
      </c>
      <c r="D855" s="923">
        <f>D856-D854</f>
        <v>414705237.01649892</v>
      </c>
      <c r="E855" s="923">
        <f>E856-E854</f>
        <v>486117.79734060145</v>
      </c>
      <c r="F855" s="923">
        <f>F856-F854</f>
        <v>-23094.874398484801</v>
      </c>
      <c r="G855" s="923">
        <f>SUM(D855:F855)</f>
        <v>415168259.93944103</v>
      </c>
      <c r="H855" s="369"/>
      <c r="I855" s="923">
        <f>I856-I854</f>
        <v>82935739.519677386</v>
      </c>
      <c r="J855" s="1251"/>
      <c r="K855" s="940">
        <f>K856-K854</f>
        <v>601658.28500000003</v>
      </c>
      <c r="L855" s="923">
        <v>0</v>
      </c>
      <c r="M855" s="923">
        <f>M856-M854</f>
        <v>-23094.874398484801</v>
      </c>
      <c r="N855" s="923">
        <f>N856-N854</f>
        <v>-11104.691885343038</v>
      </c>
      <c r="O855" s="923">
        <f>I855+K855+L855+M855+N855</f>
        <v>83503198.23839356</v>
      </c>
    </row>
    <row r="856" spans="1:15">
      <c r="A856" s="361">
        <f>A855+1</f>
        <v>9</v>
      </c>
      <c r="B856" s="365">
        <v>376</v>
      </c>
      <c r="C856" s="358" t="s">
        <v>3078</v>
      </c>
      <c r="D856" s="369">
        <f>G810</f>
        <v>453531773.70000005</v>
      </c>
      <c r="E856" s="369">
        <f>+'INPUT - B Schedule PLANT'!CY26</f>
        <v>1676225.77</v>
      </c>
      <c r="F856" s="369">
        <f>+'INPUT - B Schedule PLANT'!CZ26</f>
        <v>-30147.08</v>
      </c>
      <c r="G856" s="369">
        <f>SUM(G854:G855)</f>
        <v>455177852.39000005</v>
      </c>
      <c r="H856" s="369"/>
      <c r="I856" s="369">
        <f>O810</f>
        <v>83061623.690000057</v>
      </c>
      <c r="J856" s="1251">
        <f>$J$672</f>
        <v>1.7399999999999999E-2</v>
      </c>
      <c r="K856" s="939">
        <f>ROUND((D856+G856)/2*J856/12,0)</f>
        <v>658814</v>
      </c>
      <c r="L856" s="369">
        <f>SUM(L854:L855)</f>
        <v>0</v>
      </c>
      <c r="M856" s="369">
        <f>F856</f>
        <v>-30147.08</v>
      </c>
      <c r="N856" s="369">
        <v>-14436.42</v>
      </c>
      <c r="O856" s="369">
        <f>SUM(O854:O855)</f>
        <v>83675854.190000072</v>
      </c>
    </row>
    <row r="857" spans="1:15">
      <c r="A857" s="361"/>
      <c r="B857" s="365"/>
      <c r="D857" s="369"/>
      <c r="E857" s="369"/>
      <c r="F857" s="369"/>
      <c r="G857" s="369"/>
      <c r="H857" s="369"/>
      <c r="I857" s="369"/>
      <c r="J857" s="1251"/>
      <c r="K857" s="939"/>
      <c r="L857" s="369"/>
      <c r="M857" s="369"/>
      <c r="N857" s="369"/>
      <c r="O857" s="369"/>
    </row>
    <row r="858" spans="1:15">
      <c r="A858" s="361">
        <f>A856+1</f>
        <v>10</v>
      </c>
      <c r="B858" s="365">
        <v>378.2</v>
      </c>
      <c r="C858" s="358" t="s">
        <v>1776</v>
      </c>
      <c r="D858" s="369">
        <f>D847</f>
        <v>233282.29597481352</v>
      </c>
      <c r="E858" s="369">
        <f>E847</f>
        <v>265825.43520575226</v>
      </c>
      <c r="F858" s="369">
        <f>F847</f>
        <v>-56110.765664551844</v>
      </c>
      <c r="G858" s="369">
        <f>SUM(D858:F858)</f>
        <v>442996.96551601391</v>
      </c>
      <c r="H858" s="369"/>
      <c r="I858" s="369">
        <f>I847</f>
        <v>-572201.9788276531</v>
      </c>
      <c r="J858" s="1251"/>
      <c r="K858" s="939">
        <f>K847</f>
        <v>710.2</v>
      </c>
      <c r="L858" s="369">
        <v>0</v>
      </c>
      <c r="M858" s="369">
        <f>M847</f>
        <v>-56110.765664551844</v>
      </c>
      <c r="N858" s="369">
        <f>N847</f>
        <v>-2422.6226291399967</v>
      </c>
      <c r="O858" s="369">
        <f>I858+K858+L858+M858+N858</f>
        <v>-630025.16712134506</v>
      </c>
    </row>
    <row r="859" spans="1:15">
      <c r="A859" s="361">
        <f>A858+1</f>
        <v>11</v>
      </c>
      <c r="B859" s="365">
        <v>378.2</v>
      </c>
      <c r="C859" s="358" t="s">
        <v>1622</v>
      </c>
      <c r="D859" s="923">
        <f>D860-D858</f>
        <v>26810871.454025183</v>
      </c>
      <c r="E859" s="923">
        <f>E860-E858</f>
        <v>557051.97479424777</v>
      </c>
      <c r="F859" s="923">
        <f>F860-F858</f>
        <v>-4.3354481531423517E-3</v>
      </c>
      <c r="G859" s="923">
        <f>SUM(D859:F859)</f>
        <v>27367923.424483981</v>
      </c>
      <c r="H859" s="369"/>
      <c r="I859" s="923">
        <f>I860-I858</f>
        <v>3448580.0988276536</v>
      </c>
      <c r="J859" s="1251"/>
      <c r="K859" s="940">
        <f>K860-K858</f>
        <v>56887.8</v>
      </c>
      <c r="L859" s="923">
        <v>0</v>
      </c>
      <c r="M859" s="923">
        <f>M860-M858</f>
        <v>-4.3354481531423517E-3</v>
      </c>
      <c r="N859" s="923">
        <f>N860-N858</f>
        <v>-7324.0573708600041</v>
      </c>
      <c r="O859" s="923">
        <f>I859+K859+L859+M859+N859</f>
        <v>3498143.8371213451</v>
      </c>
    </row>
    <row r="860" spans="1:15">
      <c r="A860" s="361">
        <f>A859+1</f>
        <v>12</v>
      </c>
      <c r="B860" s="365">
        <v>378.2</v>
      </c>
      <c r="C860" s="358" t="s">
        <v>3079</v>
      </c>
      <c r="D860" s="369">
        <f>G814</f>
        <v>27044153.749999996</v>
      </c>
      <c r="E860" s="369">
        <f>+'INPUT - B Schedule PLANT'!CY28</f>
        <v>822877.41</v>
      </c>
      <c r="F860" s="369">
        <f>+'INPUT - B Schedule PLANT'!CZ28</f>
        <v>-56110.77</v>
      </c>
      <c r="G860" s="369">
        <f>SUM(G858:G859)</f>
        <v>27810920.389999993</v>
      </c>
      <c r="H860" s="369"/>
      <c r="I860" s="369">
        <f>O814</f>
        <v>2876378.1200000006</v>
      </c>
      <c r="J860" s="1251">
        <f>$J$676</f>
        <v>2.52E-2</v>
      </c>
      <c r="K860" s="939">
        <f>ROUND((D860+G860)/2*J860/12,0)</f>
        <v>57598</v>
      </c>
      <c r="L860" s="369">
        <f>SUM(L858:L859)</f>
        <v>0</v>
      </c>
      <c r="M860" s="369">
        <f>F860</f>
        <v>-56110.77</v>
      </c>
      <c r="N860" s="369">
        <v>-9746.68</v>
      </c>
      <c r="O860" s="369">
        <f>SUM(O858:O859)</f>
        <v>2868118.67</v>
      </c>
    </row>
    <row r="861" spans="1:15">
      <c r="A861" s="361"/>
      <c r="B861" s="365"/>
      <c r="D861" s="369"/>
      <c r="E861" s="369"/>
      <c r="F861" s="369"/>
      <c r="G861" s="369"/>
      <c r="H861" s="369"/>
      <c r="I861" s="369"/>
      <c r="J861" s="1251"/>
      <c r="K861" s="939"/>
      <c r="L861" s="369"/>
      <c r="M861" s="369"/>
      <c r="N861" s="369"/>
      <c r="O861" s="369"/>
    </row>
    <row r="862" spans="1:15">
      <c r="A862" s="361">
        <f>A860+1</f>
        <v>13</v>
      </c>
      <c r="B862" s="365">
        <v>380</v>
      </c>
      <c r="C862" s="358" t="s">
        <v>1777</v>
      </c>
      <c r="D862" s="369">
        <f>D848</f>
        <v>16026592.39165784</v>
      </c>
      <c r="E862" s="369">
        <f>E848</f>
        <v>1343019.56</v>
      </c>
      <c r="F862" s="369">
        <f>F848</f>
        <v>-397350.93850979803</v>
      </c>
      <c r="G862" s="369">
        <f>SUM(D862:F862)</f>
        <v>16972261.01314804</v>
      </c>
      <c r="H862" s="369"/>
      <c r="I862" s="369">
        <f>I848</f>
        <v>-7792888.5735424068</v>
      </c>
      <c r="J862" s="1251"/>
      <c r="K862" s="939">
        <f>K848</f>
        <v>54723.233999999997</v>
      </c>
      <c r="L862" s="369">
        <v>0</v>
      </c>
      <c r="M862" s="369">
        <f>M848</f>
        <v>-397350.93850979803</v>
      </c>
      <c r="N862" s="369">
        <f>N848</f>
        <v>-175243.06639599765</v>
      </c>
      <c r="O862" s="369">
        <f>I862+K862+L862+M862+N862</f>
        <v>-8310759.3444482023</v>
      </c>
    </row>
    <row r="863" spans="1:15">
      <c r="A863" s="361">
        <f>A862+1</f>
        <v>14</v>
      </c>
      <c r="B863" s="365">
        <v>380</v>
      </c>
      <c r="C863" s="358" t="s">
        <v>1623</v>
      </c>
      <c r="D863" s="923">
        <f>D864-D862</f>
        <v>203793923.60834214</v>
      </c>
      <c r="E863" s="923">
        <f>E864-E862</f>
        <v>50719.649999999907</v>
      </c>
      <c r="F863" s="923">
        <f>F864-F862</f>
        <v>-63993.721490201948</v>
      </c>
      <c r="G863" s="923">
        <f>SUM(D863:F863)</f>
        <v>203780649.53685194</v>
      </c>
      <c r="H863" s="369"/>
      <c r="I863" s="923">
        <f>I864-I862</f>
        <v>62913111.403542429</v>
      </c>
      <c r="J863" s="1251"/>
      <c r="K863" s="940">
        <f>K864-K862</f>
        <v>675894.76600000006</v>
      </c>
      <c r="L863" s="923">
        <v>0</v>
      </c>
      <c r="M863" s="923">
        <f>M864-M862</f>
        <v>-63993.721490201948</v>
      </c>
      <c r="N863" s="923">
        <f>N864-N862</f>
        <v>-3.604002355132252E-3</v>
      </c>
      <c r="O863" s="923">
        <f>I863+K863+L863+M863+N863</f>
        <v>63525012.444448225</v>
      </c>
    </row>
    <row r="864" spans="1:15">
      <c r="A864" s="361">
        <f>A863+1</f>
        <v>15</v>
      </c>
      <c r="B864" s="365">
        <v>380</v>
      </c>
      <c r="C864" s="358" t="s">
        <v>3080</v>
      </c>
      <c r="D864" s="369">
        <f>G818</f>
        <v>219820515.99999997</v>
      </c>
      <c r="E864" s="369">
        <f>+'INPUT - B Schedule PLANT'!CY31</f>
        <v>1393739.21</v>
      </c>
      <c r="F864" s="369">
        <f>+'INPUT - B Schedule PLANT'!CZ31</f>
        <v>-461344.66</v>
      </c>
      <c r="G864" s="369">
        <f>SUM(G862:G863)</f>
        <v>220752910.54999998</v>
      </c>
      <c r="H864" s="369"/>
      <c r="I864" s="369">
        <f>O818</f>
        <v>55120222.830000021</v>
      </c>
      <c r="J864" s="1251">
        <f>$J$680</f>
        <v>3.9800000000000002E-2</v>
      </c>
      <c r="K864" s="939">
        <f>ROUND((D864+G864)/2*J864/12,0)</f>
        <v>730618</v>
      </c>
      <c r="L864" s="369">
        <f>SUM(L862:L863)</f>
        <v>0</v>
      </c>
      <c r="M864" s="369">
        <f>F864</f>
        <v>-461344.66</v>
      </c>
      <c r="N864" s="369">
        <v>-175243.07</v>
      </c>
      <c r="O864" s="369">
        <f>SUM(O862:O863)</f>
        <v>55214253.100000024</v>
      </c>
    </row>
    <row r="865" spans="1:15">
      <c r="A865" s="361"/>
      <c r="B865" s="365"/>
      <c r="D865" s="369"/>
      <c r="E865" s="369"/>
      <c r="F865" s="369"/>
      <c r="G865" s="369"/>
      <c r="H865" s="369"/>
      <c r="I865" s="369"/>
      <c r="J865" s="1251"/>
      <c r="K865" s="939"/>
      <c r="L865" s="369"/>
      <c r="M865" s="369"/>
      <c r="N865" s="369"/>
      <c r="O865" s="369"/>
    </row>
    <row r="866" spans="1:15">
      <c r="A866" s="361">
        <f>A864+1</f>
        <v>16</v>
      </c>
      <c r="B866" s="365">
        <v>382</v>
      </c>
      <c r="C866" s="358" t="s">
        <v>1778</v>
      </c>
      <c r="D866" s="369">
        <f>D849</f>
        <v>176613.62468282352</v>
      </c>
      <c r="E866" s="369">
        <f>E849</f>
        <v>5205.8500000000004</v>
      </c>
      <c r="F866" s="369">
        <f>F849</f>
        <v>-3153.1324736359516</v>
      </c>
      <c r="G866" s="369">
        <f>SUM(D866:F866)</f>
        <v>178666.34220918757</v>
      </c>
      <c r="H866" s="369"/>
      <c r="I866" s="369">
        <f>I849</f>
        <v>-60283.702317176438</v>
      </c>
      <c r="J866" s="1251"/>
      <c r="K866" s="939">
        <f>K849</f>
        <v>262.51400000000001</v>
      </c>
      <c r="L866" s="369">
        <v>0</v>
      </c>
      <c r="M866" s="369">
        <f>M849</f>
        <v>-3153.1324736359516</v>
      </c>
      <c r="N866" s="369">
        <f>N849</f>
        <v>0</v>
      </c>
      <c r="O866" s="369">
        <f>I866+K866+L866+M866+N866</f>
        <v>-63174.320790812388</v>
      </c>
    </row>
    <row r="867" spans="1:15">
      <c r="A867" s="361">
        <f>A866+1</f>
        <v>17</v>
      </c>
      <c r="B867" s="365">
        <v>382</v>
      </c>
      <c r="C867" s="358" t="s">
        <v>1624</v>
      </c>
      <c r="D867" s="923">
        <f>D868-D866</f>
        <v>10589868.255317178</v>
      </c>
      <c r="E867" s="923">
        <f>E868-E866</f>
        <v>7232.1799999999985</v>
      </c>
      <c r="F867" s="923">
        <f>F868-F866</f>
        <v>-1372.0375263640485</v>
      </c>
      <c r="G867" s="923">
        <f>SUM(D867:F867)</f>
        <v>10595728.397790814</v>
      </c>
      <c r="H867" s="369"/>
      <c r="I867" s="923">
        <f>I868-I866</f>
        <v>5930330.6123171775</v>
      </c>
      <c r="J867" s="1251"/>
      <c r="K867" s="940">
        <f>K868-K866</f>
        <v>15623.486000000001</v>
      </c>
      <c r="L867" s="923">
        <v>0</v>
      </c>
      <c r="M867" s="923">
        <f>M868-M866</f>
        <v>-1372.0375263640485</v>
      </c>
      <c r="N867" s="923">
        <f>N868-N866</f>
        <v>0</v>
      </c>
      <c r="O867" s="923">
        <f>I867+K867+L867+M867+N867</f>
        <v>5944582.0607908126</v>
      </c>
    </row>
    <row r="868" spans="1:15">
      <c r="A868" s="361">
        <f>A867+1</f>
        <v>18</v>
      </c>
      <c r="B868" s="365">
        <v>382</v>
      </c>
      <c r="C868" s="358" t="s">
        <v>3081</v>
      </c>
      <c r="D868" s="369">
        <f>G822</f>
        <v>10766481.880000001</v>
      </c>
      <c r="E868" s="369">
        <f>+'INPUT - B Schedule PLANT'!CY34</f>
        <v>12438.029999999999</v>
      </c>
      <c r="F868" s="369">
        <f>+'INPUT - B Schedule PLANT'!CZ34</f>
        <v>-4525.17</v>
      </c>
      <c r="G868" s="369">
        <f>SUM(G866:G867)</f>
        <v>10774394.740000002</v>
      </c>
      <c r="H868" s="369"/>
      <c r="I868" s="369">
        <f>O822</f>
        <v>5870046.9100000011</v>
      </c>
      <c r="J868" s="1251">
        <f>$J$684</f>
        <v>1.77E-2</v>
      </c>
      <c r="K868" s="939">
        <f>ROUND((D868+G868)/2*J868/12,0)</f>
        <v>15886</v>
      </c>
      <c r="L868" s="369">
        <f>SUM(L866:L867)</f>
        <v>0</v>
      </c>
      <c r="M868" s="369">
        <f>F868</f>
        <v>-4525.17</v>
      </c>
      <c r="N868" s="369">
        <v>0</v>
      </c>
      <c r="O868" s="369">
        <f>SUM(O866:O867)</f>
        <v>5881407.7400000002</v>
      </c>
    </row>
    <row r="869" spans="1:15">
      <c r="A869" s="361"/>
      <c r="B869" s="365"/>
      <c r="D869" s="369"/>
      <c r="E869" s="369"/>
      <c r="F869" s="369"/>
      <c r="G869" s="369"/>
      <c r="H869" s="369"/>
      <c r="I869" s="369"/>
      <c r="J869" s="1251"/>
      <c r="K869" s="939"/>
      <c r="L869" s="369"/>
      <c r="M869" s="369"/>
      <c r="N869" s="369"/>
      <c r="O869" s="369"/>
    </row>
    <row r="870" spans="1:15">
      <c r="A870" s="361">
        <f>A868+1</f>
        <v>19</v>
      </c>
      <c r="B870" s="365">
        <v>383</v>
      </c>
      <c r="C870" s="358" t="s">
        <v>1779</v>
      </c>
      <c r="D870" s="369">
        <f>D850</f>
        <v>71731.344617348892</v>
      </c>
      <c r="E870" s="369">
        <f>E850</f>
        <v>6364.1495223158836</v>
      </c>
      <c r="F870" s="369">
        <f>F850</f>
        <v>-390.19</v>
      </c>
      <c r="G870" s="369">
        <f>SUM(D870:F870)</f>
        <v>77705.304139664775</v>
      </c>
      <c r="H870" s="369"/>
      <c r="I870" s="369">
        <f>I850</f>
        <v>-8119.8495464215002</v>
      </c>
      <c r="J870" s="1251"/>
      <c r="K870" s="939">
        <f>K850</f>
        <v>120.82899999999999</v>
      </c>
      <c r="L870" s="369">
        <v>0</v>
      </c>
      <c r="M870" s="369">
        <f>M850</f>
        <v>-390.19</v>
      </c>
      <c r="N870" s="369">
        <f>N850</f>
        <v>0</v>
      </c>
      <c r="O870" s="369">
        <f>I870+K870+L870+M870+N870</f>
        <v>-8389.2105464215001</v>
      </c>
    </row>
    <row r="871" spans="1:15">
      <c r="A871" s="361">
        <f>A870+1</f>
        <v>20</v>
      </c>
      <c r="B871" s="365">
        <v>383</v>
      </c>
      <c r="C871" s="358" t="s">
        <v>1625</v>
      </c>
      <c r="D871" s="923">
        <f>D872-D870</f>
        <v>7448234.5653826492</v>
      </c>
      <c r="E871" s="923">
        <f>E872-E870</f>
        <v>9112.3504776841164</v>
      </c>
      <c r="F871" s="923">
        <f>F872-F870</f>
        <v>-1698.1100000000001</v>
      </c>
      <c r="G871" s="923">
        <f>SUM(D871:F871)</f>
        <v>7455648.8058603331</v>
      </c>
      <c r="H871" s="369"/>
      <c r="I871" s="923">
        <f>I872-I870</f>
        <v>2557183.7795464215</v>
      </c>
      <c r="J871" s="1251"/>
      <c r="K871" s="940">
        <f>K872-K870</f>
        <v>12047.171</v>
      </c>
      <c r="L871" s="923">
        <v>0</v>
      </c>
      <c r="M871" s="923">
        <f>M872-M870</f>
        <v>-1698.1100000000001</v>
      </c>
      <c r="N871" s="923">
        <f>N872-N870</f>
        <v>0</v>
      </c>
      <c r="O871" s="923">
        <f>I871+K871+L871+M871+N871</f>
        <v>2567532.8405464217</v>
      </c>
    </row>
    <row r="872" spans="1:15">
      <c r="A872" s="361">
        <f>A871+1</f>
        <v>21</v>
      </c>
      <c r="B872" s="365">
        <v>383</v>
      </c>
      <c r="C872" s="358" t="s">
        <v>3082</v>
      </c>
      <c r="D872" s="369">
        <f>G826</f>
        <v>7519965.9099999983</v>
      </c>
      <c r="E872" s="369">
        <f>+'INPUT - B Schedule PLANT'!CY35</f>
        <v>15476.5</v>
      </c>
      <c r="F872" s="369">
        <f>+'INPUT - B Schedule PLANT'!CZ35</f>
        <v>-2088.3000000000002</v>
      </c>
      <c r="G872" s="369">
        <f>SUM(G870:G871)</f>
        <v>7533354.1099999975</v>
      </c>
      <c r="H872" s="369"/>
      <c r="I872" s="369">
        <f>O826</f>
        <v>2549063.9300000002</v>
      </c>
      <c r="J872" s="1251">
        <f>$J$688</f>
        <v>1.9400000000000001E-2</v>
      </c>
      <c r="K872" s="939">
        <f>ROUND((D872+G872)/2*J872/12,0)</f>
        <v>12168</v>
      </c>
      <c r="L872" s="369">
        <f>SUM(L870:L871)</f>
        <v>0</v>
      </c>
      <c r="M872" s="369">
        <f>F872</f>
        <v>-2088.3000000000002</v>
      </c>
      <c r="N872" s="369">
        <v>0</v>
      </c>
      <c r="O872" s="369">
        <f>SUM(O870:O871)</f>
        <v>2559143.6300000004</v>
      </c>
    </row>
    <row r="875" spans="1:15" s="291" customFormat="1">
      <c r="A875" s="1308" t="str">
        <f>$A$1</f>
        <v>COLUMBIA GAS OF KENTUCKY, INC.</v>
      </c>
      <c r="B875" s="1308"/>
      <c r="C875" s="1308"/>
      <c r="D875" s="1308"/>
      <c r="E875" s="1308"/>
      <c r="F875" s="1308"/>
      <c r="G875" s="1308"/>
      <c r="H875" s="1308"/>
      <c r="I875" s="1308"/>
      <c r="J875" s="1308"/>
      <c r="K875" s="1308"/>
      <c r="L875" s="1308"/>
      <c r="M875" s="1308"/>
      <c r="N875" s="1308"/>
      <c r="O875" s="1308"/>
    </row>
    <row r="876" spans="1:15" s="291" customFormat="1">
      <c r="A876" s="1308" t="str">
        <f>$A$2</f>
        <v>CASE NO. 2024 - 00092</v>
      </c>
      <c r="B876" s="1308"/>
      <c r="C876" s="1308"/>
      <c r="D876" s="1308"/>
      <c r="E876" s="1308"/>
      <c r="F876" s="1308"/>
      <c r="G876" s="1308"/>
      <c r="H876" s="1308"/>
      <c r="I876" s="1308"/>
      <c r="J876" s="1308"/>
      <c r="K876" s="1308"/>
      <c r="L876" s="1308"/>
      <c r="M876" s="1308"/>
      <c r="N876" s="1308"/>
      <c r="O876" s="1308"/>
    </row>
    <row r="877" spans="1:15" s="291" customFormat="1">
      <c r="A877" s="1308" t="str">
        <f>$A$3</f>
        <v>DETAIL OF ACTUAL &amp;  FORECASTED SMRP PLANT, ACCUMULATED RESERVE &amp; DEPRECIATION EXPENSE</v>
      </c>
      <c r="B877" s="1308"/>
      <c r="C877" s="1308"/>
      <c r="D877" s="1308"/>
      <c r="E877" s="1308"/>
      <c r="F877" s="1308"/>
      <c r="G877" s="1308"/>
      <c r="H877" s="1308"/>
      <c r="I877" s="1308"/>
      <c r="J877" s="1308"/>
      <c r="K877" s="1308"/>
      <c r="L877" s="1308"/>
      <c r="M877" s="1308"/>
      <c r="N877" s="1308"/>
      <c r="O877" s="1308"/>
    </row>
    <row r="878" spans="1:15" s="291" customFormat="1">
      <c r="A878" s="1308" t="str">
        <f>$A$4</f>
        <v>FROM JANUARY 01, 2023 THROUGH DECEMBER 31, 2025</v>
      </c>
      <c r="B878" s="1308"/>
      <c r="C878" s="1308"/>
      <c r="D878" s="1308"/>
      <c r="E878" s="1308"/>
      <c r="F878" s="1308"/>
      <c r="G878" s="1308"/>
      <c r="H878" s="1308"/>
      <c r="I878" s="1308"/>
      <c r="J878" s="1308"/>
      <c r="K878" s="1308"/>
      <c r="L878" s="1308"/>
      <c r="M878" s="1308"/>
      <c r="N878" s="1308"/>
      <c r="O878" s="1308"/>
    </row>
    <row r="879" spans="1:15" s="291" customFormat="1">
      <c r="B879" s="293"/>
    </row>
    <row r="880" spans="1:15" s="291" customFormat="1">
      <c r="A880" s="297" t="str">
        <f>'General Headers Index'!$B$34</f>
        <v xml:space="preserve">DATA: _X_ BASE PERIOD _X_ FORECASTED PERIOD     </v>
      </c>
      <c r="B880" s="293"/>
      <c r="O880" s="312" t="s">
        <v>2461</v>
      </c>
    </row>
    <row r="881" spans="1:15" s="291" customFormat="1">
      <c r="A881" s="297" t="str">
        <f>'General Headers Index'!$B$37</f>
        <v>TYPE OF FILING:___X___ORIGINAL______UPDATED</v>
      </c>
      <c r="B881" s="293"/>
      <c r="O881" s="312" t="s">
        <v>2242</v>
      </c>
    </row>
    <row r="882" spans="1:15" s="291" customFormat="1">
      <c r="A882" s="297" t="s">
        <v>2150</v>
      </c>
      <c r="B882" s="293"/>
      <c r="O882" s="312" t="str">
        <f>"WITNESS: "&amp;'General Headers Index'!$B$42</f>
        <v>WITNESS: GORE</v>
      </c>
    </row>
    <row r="883" spans="1:15">
      <c r="A883" s="918"/>
      <c r="B883" s="918"/>
      <c r="C883" s="918"/>
      <c r="D883" s="918"/>
      <c r="E883" s="918"/>
      <c r="F883" s="918"/>
      <c r="G883" s="918"/>
      <c r="H883" s="918"/>
      <c r="I883" s="918"/>
      <c r="J883" s="918"/>
      <c r="K883" s="918"/>
      <c r="L883" s="918"/>
      <c r="M883" s="918"/>
      <c r="N883" s="918"/>
      <c r="O883" s="918"/>
    </row>
    <row r="884" spans="1:15">
      <c r="B884" s="359"/>
      <c r="D884" s="1312" t="s">
        <v>1768</v>
      </c>
      <c r="E884" s="1312"/>
      <c r="F884" s="1312"/>
      <c r="G884" s="1312"/>
      <c r="I884" s="1312" t="s">
        <v>1769</v>
      </c>
      <c r="J884" s="1312"/>
      <c r="K884" s="1312"/>
      <c r="L884" s="1312"/>
      <c r="M884" s="1312"/>
      <c r="N884" s="1312"/>
      <c r="O884" s="1312"/>
    </row>
    <row r="885" spans="1:15">
      <c r="B885" s="359"/>
      <c r="D885" s="360">
        <f>G839+1</f>
        <v>45505</v>
      </c>
      <c r="G885" s="360">
        <f>D885+30</f>
        <v>45535</v>
      </c>
      <c r="I885" s="360">
        <f>D885</f>
        <v>45505</v>
      </c>
      <c r="O885" s="360">
        <f>G885</f>
        <v>45535</v>
      </c>
    </row>
    <row r="886" spans="1:15">
      <c r="B886" s="359"/>
      <c r="D886" s="361" t="s">
        <v>1757</v>
      </c>
      <c r="G886" s="361" t="s">
        <v>1757</v>
      </c>
      <c r="I886" s="361" t="s">
        <v>1758</v>
      </c>
      <c r="J886" s="361" t="s">
        <v>488</v>
      </c>
      <c r="L886" s="361" t="s">
        <v>1758</v>
      </c>
      <c r="O886" s="361" t="s">
        <v>1758</v>
      </c>
    </row>
    <row r="887" spans="1:15">
      <c r="A887" s="361" t="s">
        <v>1770</v>
      </c>
      <c r="B887" s="361" t="s">
        <v>368</v>
      </c>
      <c r="C887" s="361"/>
      <c r="D887" s="361" t="s">
        <v>437</v>
      </c>
      <c r="G887" s="361" t="s">
        <v>439</v>
      </c>
      <c r="I887" s="361" t="s">
        <v>437</v>
      </c>
      <c r="J887" s="361" t="s">
        <v>1771</v>
      </c>
      <c r="K887" s="361" t="s">
        <v>1772</v>
      </c>
      <c r="L887" s="361" t="s">
        <v>1759</v>
      </c>
      <c r="N887" s="361" t="s">
        <v>1760</v>
      </c>
      <c r="O887" s="361" t="s">
        <v>439</v>
      </c>
    </row>
    <row r="888" spans="1:15">
      <c r="A888" s="364" t="s">
        <v>316</v>
      </c>
      <c r="B888" s="364" t="s">
        <v>316</v>
      </c>
      <c r="C888" s="364" t="s">
        <v>451</v>
      </c>
      <c r="D888" s="364" t="s">
        <v>441</v>
      </c>
      <c r="E888" s="364" t="s">
        <v>442</v>
      </c>
      <c r="F888" s="364" t="s">
        <v>443</v>
      </c>
      <c r="G888" s="364" t="s">
        <v>441</v>
      </c>
      <c r="I888" s="364" t="s">
        <v>441</v>
      </c>
      <c r="J888" s="364" t="s">
        <v>1773</v>
      </c>
      <c r="K888" s="364" t="s">
        <v>1771</v>
      </c>
      <c r="L888" s="364" t="s">
        <v>355</v>
      </c>
      <c r="M888" s="364" t="s">
        <v>443</v>
      </c>
      <c r="N888" s="364" t="s">
        <v>1763</v>
      </c>
      <c r="O888" s="364" t="s">
        <v>441</v>
      </c>
    </row>
    <row r="889" spans="1:15">
      <c r="B889" s="359"/>
      <c r="D889" s="361" t="s">
        <v>532</v>
      </c>
      <c r="E889" s="361" t="s">
        <v>541</v>
      </c>
      <c r="F889" s="361" t="s">
        <v>542</v>
      </c>
      <c r="G889" s="361" t="s">
        <v>1764</v>
      </c>
      <c r="I889" s="334" t="str">
        <f>"(5)"</f>
        <v>(5)</v>
      </c>
      <c r="J889" s="334" t="str">
        <f>"(6)"</f>
        <v>(6)</v>
      </c>
      <c r="K889" s="334" t="str">
        <f>"(7)=((1+4)/2*6/12))"</f>
        <v>(7)=((1+4)/2*6/12))</v>
      </c>
      <c r="L889" s="334" t="str">
        <f>"(8)"</f>
        <v>(8)</v>
      </c>
      <c r="M889" s="334" t="str">
        <f>"(9)"</f>
        <v>(9)</v>
      </c>
      <c r="N889" s="334" t="str">
        <f>"(10)"</f>
        <v>(10)</v>
      </c>
      <c r="O889" s="334" t="str">
        <f>"(11=5+7+8+9+10)"</f>
        <v>(11=5+7+8+9+10)</v>
      </c>
    </row>
    <row r="890" spans="1:15">
      <c r="B890" s="359"/>
      <c r="D890" s="361" t="s">
        <v>320</v>
      </c>
      <c r="E890" s="361" t="s">
        <v>320</v>
      </c>
      <c r="F890" s="361" t="s">
        <v>320</v>
      </c>
      <c r="G890" s="361" t="s">
        <v>320</v>
      </c>
      <c r="I890" s="334" t="s">
        <v>320</v>
      </c>
      <c r="J890" s="1250" t="s">
        <v>529</v>
      </c>
      <c r="K890" s="334" t="s">
        <v>320</v>
      </c>
      <c r="L890" s="334" t="s">
        <v>320</v>
      </c>
      <c r="M890" s="334" t="s">
        <v>320</v>
      </c>
      <c r="N890" s="334" t="s">
        <v>320</v>
      </c>
      <c r="O890" s="334" t="s">
        <v>320</v>
      </c>
    </row>
    <row r="891" spans="1:15">
      <c r="B891" s="359"/>
      <c r="D891" s="361"/>
      <c r="E891" s="361"/>
      <c r="F891" s="361"/>
      <c r="G891" s="361"/>
      <c r="I891" s="334"/>
      <c r="J891" s="334"/>
      <c r="K891" s="334"/>
      <c r="L891" s="334"/>
      <c r="M891" s="334"/>
      <c r="N891" s="334"/>
      <c r="O891" s="334"/>
    </row>
    <row r="892" spans="1:15">
      <c r="A892" s="361">
        <v>1</v>
      </c>
      <c r="B892" s="365">
        <v>376</v>
      </c>
      <c r="C892" s="358" t="s">
        <v>1775</v>
      </c>
      <c r="D892" s="369">
        <f>G846</f>
        <v>40009592.450559042</v>
      </c>
      <c r="E892" s="369">
        <v>1137187.6338959769</v>
      </c>
      <c r="F892" s="369">
        <v>-1219.9458611167438</v>
      </c>
      <c r="G892" s="369">
        <f>SUM(D892:F892)</f>
        <v>41145560.138593905</v>
      </c>
      <c r="H892" s="369"/>
      <c r="I892" s="369">
        <f>O846</f>
        <v>172655.9516065061</v>
      </c>
      <c r="J892" s="1251">
        <f>$J$662</f>
        <v>1.7399999999999999E-2</v>
      </c>
      <c r="K892" s="380">
        <v>58837.576999999997</v>
      </c>
      <c r="L892" s="369">
        <v>0</v>
      </c>
      <c r="M892" s="369">
        <f>F892</f>
        <v>-1219.9458611167438</v>
      </c>
      <c r="N892" s="369">
        <v>-27.694207639440808</v>
      </c>
      <c r="O892" s="369">
        <f>I892+K892+L892+M892+N892</f>
        <v>230245.88853774991</v>
      </c>
    </row>
    <row r="893" spans="1:15">
      <c r="A893" s="361">
        <f>A892+1</f>
        <v>2</v>
      </c>
      <c r="B893" s="365">
        <v>378.2</v>
      </c>
      <c r="C893" s="358" t="s">
        <v>1776</v>
      </c>
      <c r="D893" s="369">
        <f>G847</f>
        <v>442996.96551601391</v>
      </c>
      <c r="E893" s="369">
        <v>17290.954004861935</v>
      </c>
      <c r="F893" s="369">
        <v>-23514.051427214676</v>
      </c>
      <c r="G893" s="369">
        <f>SUM(D893:F893)</f>
        <v>436773.86809366115</v>
      </c>
      <c r="H893" s="369"/>
      <c r="I893" s="369">
        <f>O847</f>
        <v>-630025.16712134506</v>
      </c>
      <c r="J893" s="1251">
        <f>$J$663</f>
        <v>2.52E-2</v>
      </c>
      <c r="K893" s="380">
        <v>923.46600000000001</v>
      </c>
      <c r="L893" s="369">
        <v>0</v>
      </c>
      <c r="M893" s="369">
        <f>F893</f>
        <v>-23514.051427214676</v>
      </c>
      <c r="N893" s="369">
        <v>-11474.302476372244</v>
      </c>
      <c r="O893" s="369">
        <f>I893+K893+L893+M893+N893</f>
        <v>-664090.05502493191</v>
      </c>
    </row>
    <row r="894" spans="1:15">
      <c r="A894" s="361">
        <f>A893+1</f>
        <v>3</v>
      </c>
      <c r="B894" s="365">
        <v>380</v>
      </c>
      <c r="C894" s="358" t="s">
        <v>1777</v>
      </c>
      <c r="D894" s="369">
        <f>G848</f>
        <v>16972261.01314804</v>
      </c>
      <c r="E894" s="369">
        <v>1738824.36</v>
      </c>
      <c r="F894" s="369">
        <v>-290648.80179505283</v>
      </c>
      <c r="G894" s="369">
        <f>SUM(D894:F894)</f>
        <v>18420436.571352985</v>
      </c>
      <c r="H894" s="369"/>
      <c r="I894" s="369">
        <f>O848</f>
        <v>-8310759.3444482023</v>
      </c>
      <c r="J894" s="1251">
        <f>$J$664</f>
        <v>3.9800000000000002E-2</v>
      </c>
      <c r="K894" s="380">
        <v>58692.557999999997</v>
      </c>
      <c r="L894" s="369">
        <v>0</v>
      </c>
      <c r="M894" s="369">
        <f>F894</f>
        <v>-290648.80179505283</v>
      </c>
      <c r="N894" s="369">
        <v>-221185.27436054777</v>
      </c>
      <c r="O894" s="369">
        <f>I894+K894+L894+M894+N894</f>
        <v>-8763900.8626038022</v>
      </c>
    </row>
    <row r="895" spans="1:15">
      <c r="A895" s="361">
        <f>A894+1</f>
        <v>4</v>
      </c>
      <c r="B895" s="365">
        <v>382</v>
      </c>
      <c r="C895" s="358" t="s">
        <v>1778</v>
      </c>
      <c r="D895" s="369">
        <f>G849</f>
        <v>178666.34220918757</v>
      </c>
      <c r="E895" s="369">
        <v>15573.38</v>
      </c>
      <c r="F895" s="369">
        <v>-4519.7548530101176</v>
      </c>
      <c r="G895" s="369">
        <f>SUM(D895:F895)</f>
        <v>189719.96735617745</v>
      </c>
      <c r="H895" s="369"/>
      <c r="I895" s="369">
        <f>O849</f>
        <v>-63174.320790812388</v>
      </c>
      <c r="J895" s="1251">
        <f>$J$665</f>
        <v>1.77E-2</v>
      </c>
      <c r="K895" s="380">
        <v>272.15199999999999</v>
      </c>
      <c r="L895" s="369">
        <v>0</v>
      </c>
      <c r="M895" s="369">
        <f>F895</f>
        <v>-4519.7548530101176</v>
      </c>
      <c r="N895" s="369">
        <v>0</v>
      </c>
      <c r="O895" s="369">
        <f>I895+K895+L895+M895+N895</f>
        <v>-67421.923643822505</v>
      </c>
    </row>
    <row r="896" spans="1:15">
      <c r="A896" s="361">
        <f>A895+1</f>
        <v>5</v>
      </c>
      <c r="B896" s="365">
        <v>383</v>
      </c>
      <c r="C896" s="358" t="s">
        <v>1779</v>
      </c>
      <c r="D896" s="923">
        <f>G850</f>
        <v>77705.304139664775</v>
      </c>
      <c r="E896" s="923">
        <v>8509.8315316685985</v>
      </c>
      <c r="F896" s="923">
        <v>-244.94698250596784</v>
      </c>
      <c r="G896" s="923">
        <f>SUM(D896:F896)</f>
        <v>85970.188688827417</v>
      </c>
      <c r="H896" s="369"/>
      <c r="I896" s="923">
        <f>O850</f>
        <v>-8389.2105464215001</v>
      </c>
      <c r="J896" s="1251">
        <f>$J$666</f>
        <v>1.9400000000000001E-2</v>
      </c>
      <c r="K896" s="925">
        <v>132.68100000000001</v>
      </c>
      <c r="L896" s="923">
        <v>0</v>
      </c>
      <c r="M896" s="923">
        <f>F896</f>
        <v>-244.94698250596784</v>
      </c>
      <c r="N896" s="923">
        <v>0</v>
      </c>
      <c r="O896" s="923">
        <f>I896+K896+L896+M896+N896</f>
        <v>-8501.4765289274674</v>
      </c>
    </row>
    <row r="897" spans="1:15">
      <c r="A897" s="361">
        <f>A896+1</f>
        <v>6</v>
      </c>
      <c r="C897" s="358" t="s">
        <v>3077</v>
      </c>
      <c r="D897" s="369">
        <f>SUM(D892:D896)</f>
        <v>57681222.075571954</v>
      </c>
      <c r="E897" s="369">
        <f>SUM(E892:E896)</f>
        <v>2917386.1594325076</v>
      </c>
      <c r="F897" s="369">
        <f>SUM(F892:F896)</f>
        <v>-320147.5009189003</v>
      </c>
      <c r="G897" s="369">
        <f>SUM(G892:G896)</f>
        <v>60278460.73408556</v>
      </c>
      <c r="H897" s="369"/>
      <c r="I897" s="369">
        <f>SUM(I892:I896)</f>
        <v>-8839692.0913002752</v>
      </c>
      <c r="J897" s="369"/>
      <c r="K897" s="369">
        <f>SUM(K892:K896)</f>
        <v>118858.43399999999</v>
      </c>
      <c r="L897" s="369">
        <f t="shared" ref="L897" si="19">SUM(L892:L896)</f>
        <v>0</v>
      </c>
      <c r="M897" s="369">
        <f>SUM(M892:M896)</f>
        <v>-320147.5009189003</v>
      </c>
      <c r="N897" s="369">
        <f>SUM(N892:N896)</f>
        <v>-232687.27104455946</v>
      </c>
      <c r="O897" s="369">
        <f>SUM(O892:O896)</f>
        <v>-9273668.4292637333</v>
      </c>
    </row>
    <row r="898" spans="1:15">
      <c r="A898" s="361"/>
      <c r="D898" s="369"/>
      <c r="E898" s="369"/>
      <c r="F898" s="369"/>
      <c r="G898" s="369"/>
      <c r="H898" s="369"/>
      <c r="I898" s="369"/>
      <c r="J898" s="369"/>
      <c r="K898" s="369"/>
      <c r="L898" s="369"/>
      <c r="M898" s="369"/>
      <c r="N898" s="369"/>
      <c r="O898" s="369"/>
    </row>
    <row r="899" spans="1:15">
      <c r="A899" s="361"/>
      <c r="D899" s="369"/>
      <c r="E899" s="369"/>
      <c r="F899" s="369"/>
      <c r="G899" s="369"/>
      <c r="H899" s="369"/>
      <c r="I899" s="369"/>
      <c r="J899" s="369"/>
      <c r="K899" s="369"/>
      <c r="L899" s="369"/>
      <c r="M899" s="369"/>
      <c r="N899" s="369"/>
      <c r="O899" s="369"/>
    </row>
    <row r="900" spans="1:15">
      <c r="A900" s="361">
        <f>A897+1</f>
        <v>7</v>
      </c>
      <c r="B900" s="365">
        <v>376</v>
      </c>
      <c r="C900" s="358" t="s">
        <v>1775</v>
      </c>
      <c r="D900" s="369">
        <f>D892</f>
        <v>40009592.450559042</v>
      </c>
      <c r="E900" s="369">
        <f>E892</f>
        <v>1137187.6338959769</v>
      </c>
      <c r="F900" s="369">
        <f>F892</f>
        <v>-1219.9458611167438</v>
      </c>
      <c r="G900" s="369">
        <f>SUM(D900:F900)</f>
        <v>41145560.138593905</v>
      </c>
      <c r="H900" s="369"/>
      <c r="I900" s="369">
        <f>I892</f>
        <v>172655.9516065061</v>
      </c>
      <c r="J900" s="1251"/>
      <c r="K900" s="369">
        <f>K892</f>
        <v>58837.576999999997</v>
      </c>
      <c r="L900" s="369">
        <v>0</v>
      </c>
      <c r="M900" s="369">
        <f>M892</f>
        <v>-1219.9458611167438</v>
      </c>
      <c r="N900" s="369">
        <f>N892</f>
        <v>-27.694207639440808</v>
      </c>
      <c r="O900" s="369">
        <f>I900+K900+L900+M900+N900</f>
        <v>230245.88853774991</v>
      </c>
    </row>
    <row r="901" spans="1:15">
      <c r="A901" s="361">
        <f>A900+1</f>
        <v>8</v>
      </c>
      <c r="B901" s="365">
        <v>376</v>
      </c>
      <c r="C901" s="358" t="s">
        <v>1621</v>
      </c>
      <c r="D901" s="923">
        <f>D902-D900</f>
        <v>415168259.93944103</v>
      </c>
      <c r="E901" s="923">
        <f>E902-E900</f>
        <v>454632.36610402307</v>
      </c>
      <c r="F901" s="923">
        <f>F902-F900</f>
        <v>-13414.874138883257</v>
      </c>
      <c r="G901" s="923">
        <f>SUM(D901:F901)</f>
        <v>415609477.43140614</v>
      </c>
      <c r="H901" s="369"/>
      <c r="I901" s="923">
        <f>I902-I900</f>
        <v>83503198.23839356</v>
      </c>
      <c r="J901" s="1251"/>
      <c r="K901" s="923">
        <f>K902-K900</f>
        <v>602313.42299999995</v>
      </c>
      <c r="L901" s="923">
        <v>0</v>
      </c>
      <c r="M901" s="923">
        <f>M902-M900</f>
        <v>-13414.874138883257</v>
      </c>
      <c r="N901" s="923">
        <f>N902-N900</f>
        <v>-13706.34579236056</v>
      </c>
      <c r="O901" s="923">
        <f>I901+K901+L901+M901+N901</f>
        <v>84078390.441462323</v>
      </c>
    </row>
    <row r="902" spans="1:15">
      <c r="A902" s="361">
        <f>A901+1</f>
        <v>9</v>
      </c>
      <c r="B902" s="365">
        <v>376</v>
      </c>
      <c r="C902" s="358" t="s">
        <v>3078</v>
      </c>
      <c r="D902" s="369">
        <f>G856</f>
        <v>455177852.39000005</v>
      </c>
      <c r="E902" s="369">
        <f>+'INPUT - B Schedule PLANT'!DD26</f>
        <v>1591820</v>
      </c>
      <c r="F902" s="369">
        <f>+'INPUT - B Schedule PLANT'!DE26</f>
        <v>-14634.82</v>
      </c>
      <c r="G902" s="369">
        <f>SUM(G900:G901)</f>
        <v>456755037.57000005</v>
      </c>
      <c r="H902" s="369"/>
      <c r="I902" s="369">
        <f>O856</f>
        <v>83675854.190000072</v>
      </c>
      <c r="J902" s="1251">
        <f>$J$672</f>
        <v>1.7399999999999999E-2</v>
      </c>
      <c r="K902" s="369">
        <f>ROUND((D902+G902)/2*J902/12,0)</f>
        <v>661151</v>
      </c>
      <c r="L902" s="369">
        <f>SUM(L900:L901)</f>
        <v>0</v>
      </c>
      <c r="M902" s="369">
        <f>F902</f>
        <v>-14634.82</v>
      </c>
      <c r="N902" s="369">
        <v>-13734.04</v>
      </c>
      <c r="O902" s="369">
        <f>SUM(O900:O901)</f>
        <v>84308636.330000073</v>
      </c>
    </row>
    <row r="903" spans="1:15">
      <c r="A903" s="361"/>
      <c r="B903" s="365"/>
      <c r="D903" s="369"/>
      <c r="E903" s="369"/>
      <c r="F903" s="369"/>
      <c r="G903" s="369"/>
      <c r="H903" s="369"/>
      <c r="I903" s="369"/>
      <c r="J903" s="1251"/>
      <c r="K903" s="369"/>
      <c r="L903" s="369"/>
      <c r="M903" s="369"/>
      <c r="N903" s="369"/>
      <c r="O903" s="369"/>
    </row>
    <row r="904" spans="1:15">
      <c r="A904" s="361">
        <f>A902+1</f>
        <v>10</v>
      </c>
      <c r="B904" s="365">
        <v>378.2</v>
      </c>
      <c r="C904" s="358" t="s">
        <v>1776</v>
      </c>
      <c r="D904" s="369">
        <f>D893</f>
        <v>442996.96551601391</v>
      </c>
      <c r="E904" s="369">
        <f>E893</f>
        <v>17290.954004861935</v>
      </c>
      <c r="F904" s="369">
        <f>F893</f>
        <v>-23514.051427214676</v>
      </c>
      <c r="G904" s="369">
        <f>SUM(D904:F904)</f>
        <v>436773.86809366115</v>
      </c>
      <c r="H904" s="369"/>
      <c r="I904" s="369">
        <f>I893</f>
        <v>-630025.16712134506</v>
      </c>
      <c r="J904" s="1251"/>
      <c r="K904" s="369">
        <f>K893</f>
        <v>923.46600000000001</v>
      </c>
      <c r="L904" s="369">
        <v>0</v>
      </c>
      <c r="M904" s="369">
        <f>M893</f>
        <v>-23514.051427214676</v>
      </c>
      <c r="N904" s="369">
        <f>N893</f>
        <v>-11474.302476372244</v>
      </c>
      <c r="O904" s="369">
        <f>I904+K904+L904+M904+N904</f>
        <v>-664090.05502493191</v>
      </c>
    </row>
    <row r="905" spans="1:15">
      <c r="A905" s="361">
        <f>A904+1</f>
        <v>11</v>
      </c>
      <c r="B905" s="365">
        <v>378.2</v>
      </c>
      <c r="C905" s="358" t="s">
        <v>1622</v>
      </c>
      <c r="D905" s="923">
        <f>D906-D904</f>
        <v>27367923.424483981</v>
      </c>
      <c r="E905" s="923">
        <f>E906-E904</f>
        <v>36234.155995138062</v>
      </c>
      <c r="F905" s="923">
        <f>F906-F904</f>
        <v>1.4272146763687488E-3</v>
      </c>
      <c r="G905" s="923">
        <f>SUM(D905:F905)</f>
        <v>27404157.581906334</v>
      </c>
      <c r="H905" s="369"/>
      <c r="I905" s="923">
        <f>I906-I904</f>
        <v>3498143.8371213451</v>
      </c>
      <c r="J905" s="1251"/>
      <c r="K905" s="923">
        <f>K906-K904</f>
        <v>57510.534</v>
      </c>
      <c r="L905" s="923">
        <v>0</v>
      </c>
      <c r="M905" s="923">
        <f>M906-M904</f>
        <v>1.4272146763687488E-3</v>
      </c>
      <c r="N905" s="923">
        <f>N906-N904</f>
        <v>-45281.167523627759</v>
      </c>
      <c r="O905" s="923">
        <f>I905+K905+L905+M905+N905</f>
        <v>3510373.205024932</v>
      </c>
    </row>
    <row r="906" spans="1:15">
      <c r="A906" s="361">
        <f>A905+1</f>
        <v>12</v>
      </c>
      <c r="B906" s="365">
        <v>378.2</v>
      </c>
      <c r="C906" s="358" t="s">
        <v>3079</v>
      </c>
      <c r="D906" s="369">
        <f>G860</f>
        <v>27810920.389999993</v>
      </c>
      <c r="E906" s="369">
        <f>+'INPUT - B Schedule PLANT'!DD28</f>
        <v>53525.11</v>
      </c>
      <c r="F906" s="369">
        <f>+'INPUT - B Schedule PLANT'!DE28</f>
        <v>-23514.05</v>
      </c>
      <c r="G906" s="369">
        <f>SUM(G904:G905)</f>
        <v>27840931.449999996</v>
      </c>
      <c r="H906" s="369"/>
      <c r="I906" s="369">
        <f>O860</f>
        <v>2868118.67</v>
      </c>
      <c r="J906" s="1251">
        <f>$J$676</f>
        <v>2.52E-2</v>
      </c>
      <c r="K906" s="369">
        <f>ROUND((D906+G906)/2*J906/12,0)</f>
        <v>58434</v>
      </c>
      <c r="L906" s="369">
        <f>SUM(L904:L905)</f>
        <v>0</v>
      </c>
      <c r="M906" s="369">
        <f>F906</f>
        <v>-23514.05</v>
      </c>
      <c r="N906" s="369">
        <v>-56755.47</v>
      </c>
      <c r="O906" s="369">
        <f>SUM(O904:O905)</f>
        <v>2846283.1500000004</v>
      </c>
    </row>
    <row r="907" spans="1:15">
      <c r="A907" s="361"/>
      <c r="B907" s="365"/>
      <c r="D907" s="369"/>
      <c r="E907" s="369"/>
      <c r="F907" s="369"/>
      <c r="G907" s="369"/>
      <c r="H907" s="369"/>
      <c r="I907" s="369"/>
      <c r="J907" s="1251"/>
      <c r="K907" s="369"/>
      <c r="L907" s="369"/>
      <c r="M907" s="369"/>
      <c r="N907" s="369"/>
      <c r="O907" s="369"/>
    </row>
    <row r="908" spans="1:15">
      <c r="A908" s="361">
        <f>A906+1</f>
        <v>13</v>
      </c>
      <c r="B908" s="365">
        <v>380</v>
      </c>
      <c r="C908" s="358" t="s">
        <v>1777</v>
      </c>
      <c r="D908" s="369">
        <f>D894</f>
        <v>16972261.01314804</v>
      </c>
      <c r="E908" s="369">
        <f>E894</f>
        <v>1738824.36</v>
      </c>
      <c r="F908" s="369">
        <f>F894</f>
        <v>-290648.80179505283</v>
      </c>
      <c r="G908" s="369">
        <f>SUM(D908:F908)</f>
        <v>18420436.571352985</v>
      </c>
      <c r="H908" s="369"/>
      <c r="I908" s="369">
        <f>I894</f>
        <v>-8310759.3444482023</v>
      </c>
      <c r="J908" s="1251"/>
      <c r="K908" s="369">
        <f>K894</f>
        <v>58692.557999999997</v>
      </c>
      <c r="L908" s="369">
        <v>0</v>
      </c>
      <c r="M908" s="369">
        <f>M894</f>
        <v>-290648.80179505283</v>
      </c>
      <c r="N908" s="369">
        <f>N894</f>
        <v>-221185.27436054777</v>
      </c>
      <c r="O908" s="369">
        <f>I908+K908+L908+M908+N908</f>
        <v>-8763900.8626038022</v>
      </c>
    </row>
    <row r="909" spans="1:15">
      <c r="A909" s="361">
        <f>A908+1</f>
        <v>14</v>
      </c>
      <c r="B909" s="365">
        <v>380</v>
      </c>
      <c r="C909" s="358" t="s">
        <v>1623</v>
      </c>
      <c r="D909" s="923">
        <f>D910-D908</f>
        <v>203780649.53685194</v>
      </c>
      <c r="E909" s="923">
        <f>E910-E908</f>
        <v>124479.64999999991</v>
      </c>
      <c r="F909" s="923">
        <f>F910-F908</f>
        <v>-46809.248204947158</v>
      </c>
      <c r="G909" s="923">
        <f>SUM(D909:F909)</f>
        <v>203858319.938647</v>
      </c>
      <c r="H909" s="369"/>
      <c r="I909" s="923">
        <f>I910-I908</f>
        <v>63525012.444448225</v>
      </c>
      <c r="J909" s="1251"/>
      <c r="K909" s="923">
        <f>K910-K908</f>
        <v>676001.44200000004</v>
      </c>
      <c r="L909" s="923">
        <v>0</v>
      </c>
      <c r="M909" s="923">
        <f>M910-M908</f>
        <v>-46809.248204947158</v>
      </c>
      <c r="N909" s="923">
        <f>N910-N908</f>
        <v>4.360547784017399E-3</v>
      </c>
      <c r="O909" s="923">
        <f>I909+K909+L909+M909+N909</f>
        <v>64154204.64260383</v>
      </c>
    </row>
    <row r="910" spans="1:15">
      <c r="A910" s="361">
        <f>A909+1</f>
        <v>15</v>
      </c>
      <c r="B910" s="365">
        <v>380</v>
      </c>
      <c r="C910" s="358" t="s">
        <v>3080</v>
      </c>
      <c r="D910" s="369">
        <f>G864</f>
        <v>220752910.54999998</v>
      </c>
      <c r="E910" s="369">
        <f>+'INPUT - B Schedule PLANT'!DD31</f>
        <v>1863304.01</v>
      </c>
      <c r="F910" s="369">
        <f>+'INPUT - B Schedule PLANT'!DE31</f>
        <v>-337458.05</v>
      </c>
      <c r="G910" s="369">
        <f>SUM(G908:G909)</f>
        <v>222278756.50999999</v>
      </c>
      <c r="H910" s="369"/>
      <c r="I910" s="369">
        <f>O864</f>
        <v>55214253.100000024</v>
      </c>
      <c r="J910" s="1251">
        <f>$J$680</f>
        <v>3.9800000000000002E-2</v>
      </c>
      <c r="K910" s="369">
        <f>ROUND((D910+G910)/2*J910/12,0)</f>
        <v>734694</v>
      </c>
      <c r="L910" s="369">
        <f>SUM(L908:L909)</f>
        <v>0</v>
      </c>
      <c r="M910" s="369">
        <f>F910</f>
        <v>-337458.05</v>
      </c>
      <c r="N910" s="369">
        <v>-221185.27</v>
      </c>
      <c r="O910" s="369">
        <f>SUM(O908:O909)</f>
        <v>55390303.780000031</v>
      </c>
    </row>
    <row r="911" spans="1:15">
      <c r="A911" s="361"/>
      <c r="B911" s="365"/>
      <c r="D911" s="369"/>
      <c r="E911" s="369"/>
      <c r="F911" s="369"/>
      <c r="G911" s="369"/>
      <c r="H911" s="369"/>
      <c r="I911" s="369"/>
      <c r="J911" s="1251"/>
      <c r="K911" s="369"/>
      <c r="L911" s="369"/>
      <c r="M911" s="369"/>
      <c r="N911" s="369"/>
      <c r="O911" s="369"/>
    </row>
    <row r="912" spans="1:15">
      <c r="A912" s="361">
        <f>A910+1</f>
        <v>16</v>
      </c>
      <c r="B912" s="365">
        <v>382</v>
      </c>
      <c r="C912" s="358" t="s">
        <v>1778</v>
      </c>
      <c r="D912" s="369">
        <f>D895</f>
        <v>178666.34220918757</v>
      </c>
      <c r="E912" s="369">
        <f>E895</f>
        <v>15573.38</v>
      </c>
      <c r="F912" s="369">
        <f>F895</f>
        <v>-4519.7548530101176</v>
      </c>
      <c r="G912" s="369">
        <f>SUM(D912:F912)</f>
        <v>189719.96735617745</v>
      </c>
      <c r="H912" s="369"/>
      <c r="I912" s="369">
        <f>I895</f>
        <v>-63174.320790812388</v>
      </c>
      <c r="J912" s="1251"/>
      <c r="K912" s="369">
        <f>K895</f>
        <v>272.15199999999999</v>
      </c>
      <c r="L912" s="369">
        <v>0</v>
      </c>
      <c r="M912" s="369">
        <f>M895</f>
        <v>-4519.7548530101176</v>
      </c>
      <c r="N912" s="369">
        <f>N895</f>
        <v>0</v>
      </c>
      <c r="O912" s="369">
        <f>I912+K912+L912+M912+N912</f>
        <v>-67421.923643822505</v>
      </c>
    </row>
    <row r="913" spans="1:15">
      <c r="A913" s="361">
        <f>A912+1</f>
        <v>17</v>
      </c>
      <c r="B913" s="365">
        <v>382</v>
      </c>
      <c r="C913" s="358" t="s">
        <v>1624</v>
      </c>
      <c r="D913" s="923">
        <f>D914-D912</f>
        <v>10595728.397790814</v>
      </c>
      <c r="E913" s="923">
        <f>E914-E912</f>
        <v>11743.200000000003</v>
      </c>
      <c r="F913" s="923">
        <f>F914-F912</f>
        <v>-1966.7051469898825</v>
      </c>
      <c r="G913" s="923">
        <f>SUM(D913:F913)</f>
        <v>10605504.892643822</v>
      </c>
      <c r="H913" s="369"/>
      <c r="I913" s="923">
        <f>I914-I912</f>
        <v>5944582.0607908126</v>
      </c>
      <c r="J913" s="1251"/>
      <c r="K913" s="923">
        <f>K914-K912</f>
        <v>15635.848</v>
      </c>
      <c r="L913" s="923">
        <v>0</v>
      </c>
      <c r="M913" s="923">
        <f>M914-M912</f>
        <v>-1966.7051469898825</v>
      </c>
      <c r="N913" s="923">
        <f>N914-N912</f>
        <v>0</v>
      </c>
      <c r="O913" s="923">
        <f>I913+K913+L913+M913+N913</f>
        <v>5958251.203643823</v>
      </c>
    </row>
    <row r="914" spans="1:15">
      <c r="A914" s="361">
        <f>A913+1</f>
        <v>18</v>
      </c>
      <c r="B914" s="365">
        <v>382</v>
      </c>
      <c r="C914" s="358" t="s">
        <v>3081</v>
      </c>
      <c r="D914" s="369">
        <f>G868</f>
        <v>10774394.740000002</v>
      </c>
      <c r="E914" s="369">
        <f>+'INPUT - B Schedule PLANT'!DD34</f>
        <v>27316.58</v>
      </c>
      <c r="F914" s="369">
        <f>+'INPUT - B Schedule PLANT'!DE34</f>
        <v>-6486.46</v>
      </c>
      <c r="G914" s="369">
        <f>SUM(G912:G913)</f>
        <v>10795224.859999999</v>
      </c>
      <c r="H914" s="369"/>
      <c r="I914" s="369">
        <f>O868</f>
        <v>5881407.7400000002</v>
      </c>
      <c r="J914" s="1251">
        <f>$J$684</f>
        <v>1.77E-2</v>
      </c>
      <c r="K914" s="369">
        <f>ROUND((D914+G914)/2*J914/12,0)</f>
        <v>15908</v>
      </c>
      <c r="L914" s="369">
        <f>SUM(L912:L913)</f>
        <v>0</v>
      </c>
      <c r="M914" s="369">
        <f>F914</f>
        <v>-6486.46</v>
      </c>
      <c r="N914" s="369">
        <v>0</v>
      </c>
      <c r="O914" s="369">
        <f>SUM(O912:O913)</f>
        <v>5890829.2800000003</v>
      </c>
    </row>
    <row r="915" spans="1:15">
      <c r="A915" s="361"/>
      <c r="B915" s="365"/>
      <c r="D915" s="369"/>
      <c r="E915" s="369"/>
      <c r="F915" s="369"/>
      <c r="G915" s="369"/>
      <c r="H915" s="369"/>
      <c r="I915" s="369"/>
      <c r="J915" s="1251"/>
      <c r="K915" s="369"/>
      <c r="L915" s="369"/>
      <c r="M915" s="369"/>
      <c r="N915" s="369"/>
      <c r="O915" s="369"/>
    </row>
    <row r="916" spans="1:15">
      <c r="A916" s="361">
        <f>A914+1</f>
        <v>19</v>
      </c>
      <c r="B916" s="365">
        <v>383</v>
      </c>
      <c r="C916" s="358" t="s">
        <v>1779</v>
      </c>
      <c r="D916" s="369">
        <f>D896</f>
        <v>77705.304139664775</v>
      </c>
      <c r="E916" s="369">
        <f>E896</f>
        <v>8509.8315316685985</v>
      </c>
      <c r="F916" s="369">
        <f>F896</f>
        <v>-244.94698250596784</v>
      </c>
      <c r="G916" s="369">
        <f>SUM(D916:F916)</f>
        <v>85970.188688827417</v>
      </c>
      <c r="H916" s="369"/>
      <c r="I916" s="369">
        <f>I896</f>
        <v>-8389.2105464215001</v>
      </c>
      <c r="J916" s="1251"/>
      <c r="K916" s="369">
        <f>K896</f>
        <v>132.68100000000001</v>
      </c>
      <c r="L916" s="369">
        <v>0</v>
      </c>
      <c r="M916" s="369">
        <f>M896</f>
        <v>-244.94698250596784</v>
      </c>
      <c r="N916" s="369">
        <f>N896</f>
        <v>0</v>
      </c>
      <c r="O916" s="369">
        <f>I916+K916+L916+M916+N916</f>
        <v>-8501.4765289274674</v>
      </c>
    </row>
    <row r="917" spans="1:15">
      <c r="A917" s="361">
        <f>A916+1</f>
        <v>20</v>
      </c>
      <c r="B917" s="365">
        <v>383</v>
      </c>
      <c r="C917" s="358" t="s">
        <v>1625</v>
      </c>
      <c r="D917" s="923">
        <f>D918-D916</f>
        <v>7455648.8058603331</v>
      </c>
      <c r="E917" s="923">
        <f>E918-E916</f>
        <v>12184.598468331402</v>
      </c>
      <c r="F917" s="923">
        <f>F918-F916</f>
        <v>-351.56301749403212</v>
      </c>
      <c r="G917" s="923">
        <f>SUM(D917:F917)</f>
        <v>7467481.8413111707</v>
      </c>
      <c r="H917" s="369"/>
      <c r="I917" s="923">
        <f>I918-I916</f>
        <v>2567532.8405464217</v>
      </c>
      <c r="J917" s="1251"/>
      <c r="K917" s="923">
        <f>K918-K916</f>
        <v>12062.319</v>
      </c>
      <c r="L917" s="923">
        <v>0</v>
      </c>
      <c r="M917" s="923">
        <f>M918-M916</f>
        <v>-351.56301749403212</v>
      </c>
      <c r="N917" s="923">
        <f>N918-N916</f>
        <v>0</v>
      </c>
      <c r="O917" s="923">
        <f>I917+K917+L917+M917+N917</f>
        <v>2579243.5965289278</v>
      </c>
    </row>
    <row r="918" spans="1:15">
      <c r="A918" s="361">
        <f>A917+1</f>
        <v>21</v>
      </c>
      <c r="B918" s="365">
        <v>383</v>
      </c>
      <c r="C918" s="358" t="s">
        <v>3082</v>
      </c>
      <c r="D918" s="369">
        <f>G872</f>
        <v>7533354.1099999975</v>
      </c>
      <c r="E918" s="369">
        <f>+'INPUT - B Schedule PLANT'!DD35</f>
        <v>20694.43</v>
      </c>
      <c r="F918" s="369">
        <f>+'INPUT - B Schedule PLANT'!DE35</f>
        <v>-596.51</v>
      </c>
      <c r="G918" s="369">
        <f>SUM(G916:G917)</f>
        <v>7553452.0299999984</v>
      </c>
      <c r="H918" s="369"/>
      <c r="I918" s="369">
        <f>O872</f>
        <v>2559143.6300000004</v>
      </c>
      <c r="J918" s="1251">
        <f>$J$688</f>
        <v>1.9400000000000001E-2</v>
      </c>
      <c r="K918" s="369">
        <f>ROUND((D918+G918)/2*J918/12,0)</f>
        <v>12195</v>
      </c>
      <c r="L918" s="369">
        <f>SUM(L916:L917)</f>
        <v>0</v>
      </c>
      <c r="M918" s="369">
        <f>F918</f>
        <v>-596.51</v>
      </c>
      <c r="N918" s="369">
        <v>0</v>
      </c>
      <c r="O918" s="369">
        <f>SUM(O916:O917)</f>
        <v>2570742.12</v>
      </c>
    </row>
    <row r="921" spans="1:15" s="291" customFormat="1">
      <c r="A921" s="1308" t="str">
        <f>$A$1</f>
        <v>COLUMBIA GAS OF KENTUCKY, INC.</v>
      </c>
      <c r="B921" s="1308"/>
      <c r="C921" s="1308"/>
      <c r="D921" s="1308"/>
      <c r="E921" s="1308"/>
      <c r="F921" s="1308"/>
      <c r="G921" s="1308"/>
      <c r="H921" s="1308"/>
      <c r="I921" s="1308"/>
      <c r="J921" s="1308"/>
      <c r="K921" s="1308"/>
      <c r="L921" s="1308"/>
      <c r="M921" s="1308"/>
      <c r="N921" s="1308"/>
      <c r="O921" s="1308"/>
    </row>
    <row r="922" spans="1:15" s="291" customFormat="1">
      <c r="A922" s="1308" t="str">
        <f>$A$2</f>
        <v>CASE NO. 2024 - 00092</v>
      </c>
      <c r="B922" s="1308"/>
      <c r="C922" s="1308"/>
      <c r="D922" s="1308"/>
      <c r="E922" s="1308"/>
      <c r="F922" s="1308"/>
      <c r="G922" s="1308"/>
      <c r="H922" s="1308"/>
      <c r="I922" s="1308"/>
      <c r="J922" s="1308"/>
      <c r="K922" s="1308"/>
      <c r="L922" s="1308"/>
      <c r="M922" s="1308"/>
      <c r="N922" s="1308"/>
      <c r="O922" s="1308"/>
    </row>
    <row r="923" spans="1:15" s="291" customFormat="1">
      <c r="A923" s="1308" t="str">
        <f>$A$3</f>
        <v>DETAIL OF ACTUAL &amp;  FORECASTED SMRP PLANT, ACCUMULATED RESERVE &amp; DEPRECIATION EXPENSE</v>
      </c>
      <c r="B923" s="1308"/>
      <c r="C923" s="1308"/>
      <c r="D923" s="1308"/>
      <c r="E923" s="1308"/>
      <c r="F923" s="1308"/>
      <c r="G923" s="1308"/>
      <c r="H923" s="1308"/>
      <c r="I923" s="1308"/>
      <c r="J923" s="1308"/>
      <c r="K923" s="1308"/>
      <c r="L923" s="1308"/>
      <c r="M923" s="1308"/>
      <c r="N923" s="1308"/>
      <c r="O923" s="1308"/>
    </row>
    <row r="924" spans="1:15" s="291" customFormat="1">
      <c r="A924" s="1308" t="str">
        <f>$A$4</f>
        <v>FROM JANUARY 01, 2023 THROUGH DECEMBER 31, 2025</v>
      </c>
      <c r="B924" s="1308"/>
      <c r="C924" s="1308"/>
      <c r="D924" s="1308"/>
      <c r="E924" s="1308"/>
      <c r="F924" s="1308"/>
      <c r="G924" s="1308"/>
      <c r="H924" s="1308"/>
      <c r="I924" s="1308"/>
      <c r="J924" s="1308"/>
      <c r="K924" s="1308"/>
      <c r="L924" s="1308"/>
      <c r="M924" s="1308"/>
      <c r="N924" s="1308"/>
      <c r="O924" s="1308"/>
    </row>
    <row r="925" spans="1:15" s="291" customFormat="1">
      <c r="B925" s="293"/>
    </row>
    <row r="926" spans="1:15" s="291" customFormat="1">
      <c r="A926" s="297" t="str">
        <f>'General Headers Index'!$B$34</f>
        <v xml:space="preserve">DATA: _X_ BASE PERIOD _X_ FORECASTED PERIOD     </v>
      </c>
      <c r="B926" s="293"/>
      <c r="O926" s="312" t="s">
        <v>2461</v>
      </c>
    </row>
    <row r="927" spans="1:15" s="291" customFormat="1">
      <c r="A927" s="297" t="str">
        <f>'General Headers Index'!$B$37</f>
        <v>TYPE OF FILING:___X___ORIGINAL______UPDATED</v>
      </c>
      <c r="B927" s="293"/>
      <c r="O927" s="312" t="s">
        <v>2243</v>
      </c>
    </row>
    <row r="928" spans="1:15" s="291" customFormat="1">
      <c r="A928" s="297" t="s">
        <v>2150</v>
      </c>
      <c r="B928" s="293"/>
      <c r="O928" s="312" t="str">
        <f>"WITNESS: "&amp;'General Headers Index'!$B$42</f>
        <v>WITNESS: GORE</v>
      </c>
    </row>
    <row r="929" spans="1:15">
      <c r="A929" s="918"/>
      <c r="B929" s="918"/>
      <c r="C929" s="918"/>
      <c r="D929" s="918"/>
      <c r="E929" s="918"/>
      <c r="F929" s="918"/>
      <c r="G929" s="918"/>
      <c r="H929" s="918"/>
      <c r="I929" s="918"/>
      <c r="J929" s="918"/>
      <c r="K929" s="918"/>
      <c r="L929" s="918"/>
      <c r="M929" s="918"/>
      <c r="N929" s="918"/>
      <c r="O929" s="918"/>
    </row>
    <row r="930" spans="1:15">
      <c r="B930" s="359"/>
      <c r="D930" s="1312" t="s">
        <v>1768</v>
      </c>
      <c r="E930" s="1312"/>
      <c r="F930" s="1312"/>
      <c r="G930" s="1312"/>
      <c r="I930" s="1312" t="s">
        <v>1769</v>
      </c>
      <c r="J930" s="1312"/>
      <c r="K930" s="1312"/>
      <c r="L930" s="1312"/>
      <c r="M930" s="1312"/>
      <c r="N930" s="1312"/>
      <c r="O930" s="1312"/>
    </row>
    <row r="931" spans="1:15">
      <c r="B931" s="359"/>
      <c r="D931" s="360">
        <f>G885+1</f>
        <v>45536</v>
      </c>
      <c r="G931" s="360">
        <f>D931+29</f>
        <v>45565</v>
      </c>
      <c r="I931" s="360">
        <f>D931</f>
        <v>45536</v>
      </c>
      <c r="O931" s="360">
        <f>G931</f>
        <v>45565</v>
      </c>
    </row>
    <row r="932" spans="1:15">
      <c r="B932" s="359"/>
      <c r="D932" s="361" t="s">
        <v>1757</v>
      </c>
      <c r="G932" s="361" t="s">
        <v>1757</v>
      </c>
      <c r="I932" s="361" t="s">
        <v>1758</v>
      </c>
      <c r="J932" s="361" t="s">
        <v>488</v>
      </c>
      <c r="L932" s="361" t="s">
        <v>1758</v>
      </c>
      <c r="O932" s="361" t="s">
        <v>1758</v>
      </c>
    </row>
    <row r="933" spans="1:15">
      <c r="A933" s="361" t="s">
        <v>1770</v>
      </c>
      <c r="B933" s="361" t="s">
        <v>368</v>
      </c>
      <c r="C933" s="361"/>
      <c r="D933" s="361" t="s">
        <v>437</v>
      </c>
      <c r="G933" s="361" t="s">
        <v>439</v>
      </c>
      <c r="I933" s="361" t="s">
        <v>437</v>
      </c>
      <c r="J933" s="361" t="s">
        <v>1771</v>
      </c>
      <c r="K933" s="361" t="s">
        <v>1772</v>
      </c>
      <c r="L933" s="361" t="s">
        <v>1759</v>
      </c>
      <c r="N933" s="361" t="s">
        <v>1760</v>
      </c>
      <c r="O933" s="361" t="s">
        <v>439</v>
      </c>
    </row>
    <row r="934" spans="1:15">
      <c r="A934" s="364" t="s">
        <v>316</v>
      </c>
      <c r="B934" s="364" t="s">
        <v>316</v>
      </c>
      <c r="C934" s="364" t="s">
        <v>451</v>
      </c>
      <c r="D934" s="364" t="s">
        <v>441</v>
      </c>
      <c r="E934" s="364" t="s">
        <v>442</v>
      </c>
      <c r="F934" s="364" t="s">
        <v>443</v>
      </c>
      <c r="G934" s="364" t="s">
        <v>441</v>
      </c>
      <c r="I934" s="364" t="s">
        <v>441</v>
      </c>
      <c r="J934" s="364" t="s">
        <v>1773</v>
      </c>
      <c r="K934" s="364" t="s">
        <v>1771</v>
      </c>
      <c r="L934" s="364" t="s">
        <v>355</v>
      </c>
      <c r="M934" s="364" t="s">
        <v>443</v>
      </c>
      <c r="N934" s="364" t="s">
        <v>1763</v>
      </c>
      <c r="O934" s="364" t="s">
        <v>441</v>
      </c>
    </row>
    <row r="935" spans="1:15">
      <c r="B935" s="359"/>
      <c r="D935" s="361" t="s">
        <v>532</v>
      </c>
      <c r="E935" s="361" t="s">
        <v>541</v>
      </c>
      <c r="F935" s="361" t="s">
        <v>542</v>
      </c>
      <c r="G935" s="361" t="s">
        <v>1764</v>
      </c>
      <c r="I935" s="334" t="str">
        <f>"(5)"</f>
        <v>(5)</v>
      </c>
      <c r="J935" s="334" t="str">
        <f>"(6)"</f>
        <v>(6)</v>
      </c>
      <c r="K935" s="334" t="str">
        <f>"(7)=((1+4)/2*6/12))"</f>
        <v>(7)=((1+4)/2*6/12))</v>
      </c>
      <c r="L935" s="334" t="str">
        <f>"(8)"</f>
        <v>(8)</v>
      </c>
      <c r="M935" s="334" t="str">
        <f>"(9)"</f>
        <v>(9)</v>
      </c>
      <c r="N935" s="334" t="str">
        <f>"(10)"</f>
        <v>(10)</v>
      </c>
      <c r="O935" s="334" t="str">
        <f>"(11=5+7+8+9+10)"</f>
        <v>(11=5+7+8+9+10)</v>
      </c>
    </row>
    <row r="936" spans="1:15">
      <c r="B936" s="359"/>
      <c r="D936" s="361" t="s">
        <v>320</v>
      </c>
      <c r="E936" s="361" t="s">
        <v>320</v>
      </c>
      <c r="F936" s="361" t="s">
        <v>320</v>
      </c>
      <c r="G936" s="361" t="s">
        <v>320</v>
      </c>
      <c r="I936" s="334" t="s">
        <v>320</v>
      </c>
      <c r="J936" s="1250" t="s">
        <v>529</v>
      </c>
      <c r="K936" s="334" t="s">
        <v>320</v>
      </c>
      <c r="L936" s="334" t="s">
        <v>320</v>
      </c>
      <c r="M936" s="334" t="s">
        <v>320</v>
      </c>
      <c r="N936" s="334" t="s">
        <v>320</v>
      </c>
      <c r="O936" s="334" t="s">
        <v>320</v>
      </c>
    </row>
    <row r="937" spans="1:15">
      <c r="B937" s="359"/>
      <c r="D937" s="361"/>
      <c r="E937" s="361"/>
      <c r="F937" s="361"/>
      <c r="G937" s="361"/>
      <c r="I937" s="334"/>
      <c r="J937" s="334"/>
      <c r="K937" s="334"/>
      <c r="L937" s="334"/>
      <c r="M937" s="334"/>
      <c r="N937" s="334"/>
      <c r="O937" s="334"/>
    </row>
    <row r="938" spans="1:15">
      <c r="A938" s="361">
        <v>1</v>
      </c>
      <c r="B938" s="365">
        <v>376</v>
      </c>
      <c r="C938" s="358" t="s">
        <v>1775</v>
      </c>
      <c r="D938" s="369">
        <f>G892</f>
        <v>41145560.138593905</v>
      </c>
      <c r="E938" s="369">
        <v>2783904.0244020014</v>
      </c>
      <c r="F938" s="369">
        <v>-22782.86</v>
      </c>
      <c r="G938" s="369">
        <f>SUM(D938:F938)</f>
        <v>43906681.302995905</v>
      </c>
      <c r="H938" s="369"/>
      <c r="I938" s="369">
        <f>O892</f>
        <v>230245.88853774991</v>
      </c>
      <c r="J938" s="1251">
        <f>$J$662</f>
        <v>1.7399999999999999E-2</v>
      </c>
      <c r="K938" s="380">
        <v>61662.813000000002</v>
      </c>
      <c r="L938" s="369">
        <v>0</v>
      </c>
      <c r="M938" s="369">
        <f>F938</f>
        <v>-22782.86</v>
      </c>
      <c r="N938" s="369">
        <v>-11780.012318825358</v>
      </c>
      <c r="O938" s="369">
        <f>I938+K938+L938+M938+N938</f>
        <v>257345.82921892457</v>
      </c>
    </row>
    <row r="939" spans="1:15">
      <c r="A939" s="361">
        <f>A938+1</f>
        <v>2</v>
      </c>
      <c r="B939" s="365">
        <v>378.2</v>
      </c>
      <c r="C939" s="358" t="s">
        <v>1776</v>
      </c>
      <c r="D939" s="369">
        <f>G893</f>
        <v>436773.86809366115</v>
      </c>
      <c r="E939" s="369">
        <v>57075.666214932549</v>
      </c>
      <c r="F939" s="369">
        <v>-42480.748564683585</v>
      </c>
      <c r="G939" s="369">
        <f>SUM(D939:F939)</f>
        <v>451368.78574391012</v>
      </c>
      <c r="H939" s="369"/>
      <c r="I939" s="369">
        <f>O893</f>
        <v>-664090.05502493191</v>
      </c>
      <c r="J939" s="1251">
        <f>$J$663</f>
        <v>2.52E-2</v>
      </c>
      <c r="K939" s="380">
        <v>932.32500000000005</v>
      </c>
      <c r="L939" s="369">
        <v>0</v>
      </c>
      <c r="M939" s="369">
        <f>F939</f>
        <v>-42480.748564683585</v>
      </c>
      <c r="N939" s="369">
        <v>-120367.16440580857</v>
      </c>
      <c r="O939" s="369">
        <f>I939+K939+L939+M939+N939</f>
        <v>-826005.6429954241</v>
      </c>
    </row>
    <row r="940" spans="1:15">
      <c r="A940" s="361">
        <f>A939+1</f>
        <v>3</v>
      </c>
      <c r="B940" s="365">
        <v>380</v>
      </c>
      <c r="C940" s="358" t="s">
        <v>1777</v>
      </c>
      <c r="D940" s="369">
        <f>G894</f>
        <v>18420436.571352985</v>
      </c>
      <c r="E940" s="369">
        <v>1694212.25</v>
      </c>
      <c r="F940" s="369">
        <v>-433456.48261251091</v>
      </c>
      <c r="G940" s="369">
        <f>SUM(D940:F940)</f>
        <v>19681192.338740475</v>
      </c>
      <c r="H940" s="369"/>
      <c r="I940" s="369">
        <f>O894</f>
        <v>-8763900.8626038022</v>
      </c>
      <c r="J940" s="1251">
        <f>$J$664</f>
        <v>3.9800000000000002E-2</v>
      </c>
      <c r="K940" s="380">
        <v>63184.752999999997</v>
      </c>
      <c r="L940" s="369">
        <v>0</v>
      </c>
      <c r="M940" s="369">
        <f>F940</f>
        <v>-433456.48261251091</v>
      </c>
      <c r="N940" s="369">
        <v>-215452.50898139496</v>
      </c>
      <c r="O940" s="369">
        <f>I940+K940+L940+M940+N940</f>
        <v>-9349625.1011977084</v>
      </c>
    </row>
    <row r="941" spans="1:15">
      <c r="A941" s="361">
        <f>A940+1</f>
        <v>4</v>
      </c>
      <c r="B941" s="365">
        <v>382</v>
      </c>
      <c r="C941" s="358" t="s">
        <v>1778</v>
      </c>
      <c r="D941" s="369">
        <f>G895</f>
        <v>189719.96735617745</v>
      </c>
      <c r="E941" s="369">
        <v>5131.59</v>
      </c>
      <c r="F941" s="369">
        <v>-2821.4321866759965</v>
      </c>
      <c r="G941" s="369">
        <f>SUM(D941:F941)</f>
        <v>192030.12516950147</v>
      </c>
      <c r="H941" s="369"/>
      <c r="I941" s="369">
        <f>O895</f>
        <v>-67421.923643822505</v>
      </c>
      <c r="J941" s="1251">
        <f>$J$665</f>
        <v>1.77E-2</v>
      </c>
      <c r="K941" s="380">
        <v>281.70400000000001</v>
      </c>
      <c r="L941" s="369">
        <v>0</v>
      </c>
      <c r="M941" s="369">
        <f>F941</f>
        <v>-2821.4321866759965</v>
      </c>
      <c r="N941" s="369">
        <v>0</v>
      </c>
      <c r="O941" s="369">
        <f>I941+K941+L941+M941+N941</f>
        <v>-69961.651830498507</v>
      </c>
    </row>
    <row r="942" spans="1:15">
      <c r="A942" s="361">
        <f>A941+1</f>
        <v>5</v>
      </c>
      <c r="B942" s="365">
        <v>383</v>
      </c>
      <c r="C942" s="358" t="s">
        <v>1779</v>
      </c>
      <c r="D942" s="923">
        <f>G896</f>
        <v>85970.188688827417</v>
      </c>
      <c r="E942" s="923">
        <v>14593.285307749693</v>
      </c>
      <c r="F942" s="923">
        <v>-309.5274216469432</v>
      </c>
      <c r="G942" s="923">
        <f>SUM(D942:F942)</f>
        <v>100253.94657493017</v>
      </c>
      <c r="H942" s="369"/>
      <c r="I942" s="923">
        <f>O896</f>
        <v>-8501.4765289274674</v>
      </c>
      <c r="J942" s="1251">
        <f>$J$666</f>
        <v>1.9400000000000001E-2</v>
      </c>
      <c r="K942" s="925">
        <v>150.54599999999999</v>
      </c>
      <c r="L942" s="923">
        <v>0</v>
      </c>
      <c r="M942" s="923">
        <f>F942</f>
        <v>-309.5274216469432</v>
      </c>
      <c r="N942" s="923">
        <v>0</v>
      </c>
      <c r="O942" s="923">
        <f>I942+K942+L942+M942+N942</f>
        <v>-8660.4579505744096</v>
      </c>
    </row>
    <row r="943" spans="1:15">
      <c r="A943" s="361">
        <f>A942+1</f>
        <v>6</v>
      </c>
      <c r="C943" s="358" t="s">
        <v>3077</v>
      </c>
      <c r="D943" s="369">
        <f>SUM(D938:D942)</f>
        <v>60278460.73408556</v>
      </c>
      <c r="E943" s="369">
        <f>SUM(E938:E942)</f>
        <v>4554916.8159246836</v>
      </c>
      <c r="F943" s="369">
        <f>SUM(F938:F942)</f>
        <v>-501851.05078551744</v>
      </c>
      <c r="G943" s="369">
        <f>SUM(G938:G942)</f>
        <v>64331526.499224722</v>
      </c>
      <c r="H943" s="369"/>
      <c r="I943" s="369">
        <f>SUM(I938:I942)</f>
        <v>-9273668.4292637333</v>
      </c>
      <c r="J943" s="369"/>
      <c r="K943" s="369">
        <f>SUM(K938:K942)</f>
        <v>126212.141</v>
      </c>
      <c r="L943" s="369">
        <f t="shared" ref="L943" si="20">SUM(L938:L942)</f>
        <v>0</v>
      </c>
      <c r="M943" s="369">
        <f>SUM(M938:M942)</f>
        <v>-501851.05078551744</v>
      </c>
      <c r="N943" s="369">
        <f>SUM(N938:N942)</f>
        <v>-347599.68570602889</v>
      </c>
      <c r="O943" s="369">
        <f>SUM(O938:O942)</f>
        <v>-9996907.0247552823</v>
      </c>
    </row>
    <row r="944" spans="1:15">
      <c r="A944" s="361"/>
      <c r="D944" s="369"/>
      <c r="E944" s="369"/>
      <c r="F944" s="369"/>
      <c r="G944" s="369"/>
      <c r="H944" s="369"/>
      <c r="I944" s="369"/>
      <c r="J944" s="369"/>
      <c r="K944" s="369"/>
      <c r="L944" s="369"/>
      <c r="M944" s="369"/>
      <c r="N944" s="369"/>
      <c r="O944" s="369"/>
    </row>
    <row r="945" spans="1:15">
      <c r="A945" s="361"/>
      <c r="D945" s="369"/>
      <c r="E945" s="369"/>
      <c r="F945" s="369"/>
      <c r="G945" s="369"/>
      <c r="H945" s="369"/>
      <c r="I945" s="369"/>
      <c r="J945" s="369"/>
      <c r="K945" s="369"/>
      <c r="L945" s="369"/>
      <c r="M945" s="369"/>
      <c r="N945" s="369"/>
      <c r="O945" s="369"/>
    </row>
    <row r="946" spans="1:15">
      <c r="A946" s="361">
        <f>A943+1</f>
        <v>7</v>
      </c>
      <c r="B946" s="365">
        <v>376</v>
      </c>
      <c r="C946" s="358" t="s">
        <v>1775</v>
      </c>
      <c r="D946" s="369">
        <f>D938</f>
        <v>41145560.138593905</v>
      </c>
      <c r="E946" s="369">
        <f>E938</f>
        <v>2783904.0244020014</v>
      </c>
      <c r="F946" s="369">
        <f>F938</f>
        <v>-22782.86</v>
      </c>
      <c r="G946" s="369">
        <f>SUM(D946:F946)</f>
        <v>43906681.302995905</v>
      </c>
      <c r="H946" s="369"/>
      <c r="I946" s="369">
        <f>I938</f>
        <v>230245.88853774991</v>
      </c>
      <c r="J946" s="1251"/>
      <c r="K946" s="369">
        <f>K938</f>
        <v>61662.813000000002</v>
      </c>
      <c r="L946" s="369">
        <v>0</v>
      </c>
      <c r="M946" s="369">
        <f>M938</f>
        <v>-22782.86</v>
      </c>
      <c r="N946" s="369">
        <f>N938</f>
        <v>-11780.012318825358</v>
      </c>
      <c r="O946" s="369">
        <f>I946+K946+L946+M946+N946</f>
        <v>257345.82921892457</v>
      </c>
    </row>
    <row r="947" spans="1:15">
      <c r="A947" s="361">
        <f>A946+1</f>
        <v>8</v>
      </c>
      <c r="B947" s="365">
        <v>376</v>
      </c>
      <c r="C947" s="358" t="s">
        <v>1621</v>
      </c>
      <c r="D947" s="923">
        <f>D948-D946</f>
        <v>415609477.43140614</v>
      </c>
      <c r="E947" s="923">
        <f>E948-E946</f>
        <v>1182626.4555979986</v>
      </c>
      <c r="F947" s="923">
        <f>F948-F946</f>
        <v>-63501.83</v>
      </c>
      <c r="G947" s="923">
        <f>SUM(D947:F947)</f>
        <v>416728602.05700415</v>
      </c>
      <c r="H947" s="369"/>
      <c r="I947" s="923">
        <f>I948-I946</f>
        <v>84078390.441462323</v>
      </c>
      <c r="J947" s="1251"/>
      <c r="K947" s="923">
        <f>K948-K946</f>
        <v>603445.18700000003</v>
      </c>
      <c r="L947" s="923">
        <v>0</v>
      </c>
      <c r="M947" s="923">
        <f>M948-M946</f>
        <v>-63501.83</v>
      </c>
      <c r="N947" s="923">
        <f>N948-N946</f>
        <v>-16963.057681174643</v>
      </c>
      <c r="O947" s="923">
        <f>I947+K947+L947+M947+N947</f>
        <v>84601370.740781158</v>
      </c>
    </row>
    <row r="948" spans="1:15">
      <c r="A948" s="361">
        <f>A947+1</f>
        <v>9</v>
      </c>
      <c r="B948" s="365">
        <v>376</v>
      </c>
      <c r="C948" s="358" t="s">
        <v>3078</v>
      </c>
      <c r="D948" s="369">
        <f>G902</f>
        <v>456755037.57000005</v>
      </c>
      <c r="E948" s="369">
        <f>+'INPUT - B Schedule PLANT'!DI26</f>
        <v>3966530.48</v>
      </c>
      <c r="F948" s="369">
        <f>+'INPUT - B Schedule PLANT'!DJ26</f>
        <v>-86284.69</v>
      </c>
      <c r="G948" s="369">
        <f>SUM(G946:G947)</f>
        <v>460635283.36000007</v>
      </c>
      <c r="H948" s="369"/>
      <c r="I948" s="369">
        <f>O902</f>
        <v>84308636.330000073</v>
      </c>
      <c r="J948" s="1251">
        <f>$J$672</f>
        <v>1.7399999999999999E-2</v>
      </c>
      <c r="K948" s="369">
        <f>ROUND((D948+G948)/2*J948/12,0)</f>
        <v>665108</v>
      </c>
      <c r="L948" s="369">
        <f>SUM(L946:L947)</f>
        <v>0</v>
      </c>
      <c r="M948" s="369">
        <f>F948</f>
        <v>-86284.69</v>
      </c>
      <c r="N948" s="369">
        <v>-28743.07</v>
      </c>
      <c r="O948" s="369">
        <f>SUM(O946:O947)</f>
        <v>84858716.570000082</v>
      </c>
    </row>
    <row r="949" spans="1:15">
      <c r="A949" s="361"/>
      <c r="B949" s="365"/>
      <c r="D949" s="369"/>
      <c r="E949" s="369"/>
      <c r="F949" s="369"/>
      <c r="G949" s="369"/>
      <c r="H949" s="369"/>
      <c r="I949" s="369"/>
      <c r="J949" s="1251"/>
      <c r="K949" s="369"/>
      <c r="L949" s="369"/>
      <c r="M949" s="369"/>
      <c r="N949" s="369"/>
      <c r="O949" s="369"/>
    </row>
    <row r="950" spans="1:15">
      <c r="A950" s="361">
        <f>A948+1</f>
        <v>10</v>
      </c>
      <c r="B950" s="365">
        <v>378.2</v>
      </c>
      <c r="C950" s="358" t="s">
        <v>1776</v>
      </c>
      <c r="D950" s="369">
        <f>D939</f>
        <v>436773.86809366115</v>
      </c>
      <c r="E950" s="369">
        <f>E939</f>
        <v>57075.666214932549</v>
      </c>
      <c r="F950" s="369">
        <f>F939</f>
        <v>-42480.748564683585</v>
      </c>
      <c r="G950" s="369">
        <f>SUM(D950:F950)</f>
        <v>451368.78574391012</v>
      </c>
      <c r="H950" s="369"/>
      <c r="I950" s="369">
        <f>I939</f>
        <v>-664090.05502493191</v>
      </c>
      <c r="J950" s="1251"/>
      <c r="K950" s="369">
        <f>K939</f>
        <v>932.32500000000005</v>
      </c>
      <c r="L950" s="369">
        <v>0</v>
      </c>
      <c r="M950" s="369">
        <f>M939</f>
        <v>-42480.748564683585</v>
      </c>
      <c r="N950" s="369">
        <f>N939</f>
        <v>-120367.16440580857</v>
      </c>
      <c r="O950" s="369">
        <f>I950+K950+L950+M950+N950</f>
        <v>-826005.6429954241</v>
      </c>
    </row>
    <row r="951" spans="1:15">
      <c r="A951" s="361">
        <f>A950+1</f>
        <v>11</v>
      </c>
      <c r="B951" s="365">
        <v>378.2</v>
      </c>
      <c r="C951" s="358" t="s">
        <v>1622</v>
      </c>
      <c r="D951" s="923">
        <f>D952-D950</f>
        <v>27404157.581906334</v>
      </c>
      <c r="E951" s="923">
        <f>E952-E950</f>
        <v>113814.15378506746</v>
      </c>
      <c r="F951" s="923">
        <f>F952-F950</f>
        <v>-1.4353164151543751E-3</v>
      </c>
      <c r="G951" s="923">
        <f>SUM(D951:F951)</f>
        <v>27517971.734256085</v>
      </c>
      <c r="H951" s="369"/>
      <c r="I951" s="923">
        <f>I952-I950</f>
        <v>3510373.2050249325</v>
      </c>
      <c r="J951" s="1251"/>
      <c r="K951" s="923">
        <f>K952-K950</f>
        <v>57668.675000000003</v>
      </c>
      <c r="L951" s="923">
        <v>0</v>
      </c>
      <c r="M951" s="923">
        <f>M952-M950</f>
        <v>-1.4353164151543751E-3</v>
      </c>
      <c r="N951" s="923">
        <f>N952-N950</f>
        <v>44489.674405808561</v>
      </c>
      <c r="O951" s="923">
        <f>I951+K951+L951+M951+N951</f>
        <v>3612531.5529954243</v>
      </c>
    </row>
    <row r="952" spans="1:15">
      <c r="A952" s="361">
        <f>A951+1</f>
        <v>12</v>
      </c>
      <c r="B952" s="365">
        <v>378.2</v>
      </c>
      <c r="C952" s="358" t="s">
        <v>3079</v>
      </c>
      <c r="D952" s="369">
        <f>G906</f>
        <v>27840931.449999996</v>
      </c>
      <c r="E952" s="369">
        <f>+'INPUT - B Schedule PLANT'!DI28</f>
        <v>170889.82</v>
      </c>
      <c r="F952" s="369">
        <f>+'INPUT - B Schedule PLANT'!DJ28</f>
        <v>-42480.75</v>
      </c>
      <c r="G952" s="369">
        <f>SUM(G950:G951)</f>
        <v>27969340.519999996</v>
      </c>
      <c r="H952" s="369"/>
      <c r="I952" s="369">
        <f>O906</f>
        <v>2846283.1500000004</v>
      </c>
      <c r="J952" s="1251">
        <f>$J$676</f>
        <v>2.52E-2</v>
      </c>
      <c r="K952" s="369">
        <f>ROUND((D952+G952)/2*J952/12,0)</f>
        <v>58601</v>
      </c>
      <c r="L952" s="369">
        <f>SUM(L950:L951)</f>
        <v>0</v>
      </c>
      <c r="M952" s="369">
        <f>F952</f>
        <v>-42480.75</v>
      </c>
      <c r="N952" s="369">
        <v>-75877.490000000005</v>
      </c>
      <c r="O952" s="369">
        <f>SUM(O950:O951)</f>
        <v>2786525.91</v>
      </c>
    </row>
    <row r="953" spans="1:15">
      <c r="A953" s="361"/>
      <c r="B953" s="365"/>
      <c r="D953" s="369"/>
      <c r="E953" s="369"/>
      <c r="F953" s="369"/>
      <c r="G953" s="369"/>
      <c r="H953" s="369"/>
      <c r="I953" s="369"/>
      <c r="J953" s="1251"/>
      <c r="K953" s="369"/>
      <c r="L953" s="369"/>
      <c r="M953" s="369"/>
      <c r="N953" s="369"/>
      <c r="O953" s="369"/>
    </row>
    <row r="954" spans="1:15">
      <c r="A954" s="361">
        <f>A952+1</f>
        <v>13</v>
      </c>
      <c r="B954" s="365">
        <v>380</v>
      </c>
      <c r="C954" s="358" t="s">
        <v>1777</v>
      </c>
      <c r="D954" s="369">
        <f>D940</f>
        <v>18420436.571352985</v>
      </c>
      <c r="E954" s="369">
        <f>E940</f>
        <v>1694212.25</v>
      </c>
      <c r="F954" s="369">
        <f>F940</f>
        <v>-433456.48261251091</v>
      </c>
      <c r="G954" s="369">
        <f>SUM(D954:F954)</f>
        <v>19681192.338740475</v>
      </c>
      <c r="H954" s="369"/>
      <c r="I954" s="369">
        <f>I940</f>
        <v>-8763900.8626038022</v>
      </c>
      <c r="J954" s="1251"/>
      <c r="K954" s="369">
        <f>K940</f>
        <v>63184.752999999997</v>
      </c>
      <c r="L954" s="369">
        <v>0</v>
      </c>
      <c r="M954" s="369">
        <f>M940</f>
        <v>-433456.48261251091</v>
      </c>
      <c r="N954" s="369">
        <f>N940</f>
        <v>-215452.50898139496</v>
      </c>
      <c r="O954" s="369">
        <f>I954+K954+L954+M954+N954</f>
        <v>-9349625.1011977084</v>
      </c>
    </row>
    <row r="955" spans="1:15">
      <c r="A955" s="361">
        <f>A954+1</f>
        <v>14</v>
      </c>
      <c r="B955" s="365">
        <v>380</v>
      </c>
      <c r="C955" s="358" t="s">
        <v>1623</v>
      </c>
      <c r="D955" s="923">
        <f>D956-D954</f>
        <v>203858319.938647</v>
      </c>
      <c r="E955" s="923">
        <f>E956-E954</f>
        <v>115196.51000000001</v>
      </c>
      <c r="F955" s="923">
        <f>F956-F954</f>
        <v>-71471.097387489106</v>
      </c>
      <c r="G955" s="923">
        <f>SUM(D955:F955)</f>
        <v>203902045.3512595</v>
      </c>
      <c r="H955" s="369"/>
      <c r="I955" s="923">
        <f>I956-I954</f>
        <v>64154204.64260383</v>
      </c>
      <c r="J955" s="1251"/>
      <c r="K955" s="923">
        <f>K956-K954</f>
        <v>676203.24699999997</v>
      </c>
      <c r="L955" s="923">
        <v>0</v>
      </c>
      <c r="M955" s="923">
        <f>M956-M954</f>
        <v>-71471.097387489106</v>
      </c>
      <c r="N955" s="923">
        <f>N956-N954</f>
        <v>-1.0186050494667143E-3</v>
      </c>
      <c r="O955" s="923">
        <f>I955+K955+L955+M955+N955</f>
        <v>64758936.791197732</v>
      </c>
    </row>
    <row r="956" spans="1:15">
      <c r="A956" s="361">
        <f>A955+1</f>
        <v>15</v>
      </c>
      <c r="B956" s="365">
        <v>380</v>
      </c>
      <c r="C956" s="358" t="s">
        <v>3080</v>
      </c>
      <c r="D956" s="369">
        <f>G910</f>
        <v>222278756.50999999</v>
      </c>
      <c r="E956" s="369">
        <f>+'INPUT - B Schedule PLANT'!DI31</f>
        <v>1809408.76</v>
      </c>
      <c r="F956" s="369">
        <f>+'INPUT - B Schedule PLANT'!DJ31</f>
        <v>-504927.58</v>
      </c>
      <c r="G956" s="369">
        <f>SUM(G954:G955)</f>
        <v>223583237.68999997</v>
      </c>
      <c r="H956" s="369"/>
      <c r="I956" s="369">
        <f>O910</f>
        <v>55390303.780000031</v>
      </c>
      <c r="J956" s="1251">
        <f>$J$680</f>
        <v>3.9800000000000002E-2</v>
      </c>
      <c r="K956" s="369">
        <f>ROUND((D956+G956)/2*J956/12,0)</f>
        <v>739388</v>
      </c>
      <c r="L956" s="369">
        <f>SUM(L954:L955)</f>
        <v>0</v>
      </c>
      <c r="M956" s="369">
        <f>F956</f>
        <v>-504927.58</v>
      </c>
      <c r="N956" s="369">
        <v>-215452.51</v>
      </c>
      <c r="O956" s="369">
        <f>SUM(O954:O955)</f>
        <v>55409311.690000027</v>
      </c>
    </row>
    <row r="957" spans="1:15">
      <c r="A957" s="361"/>
      <c r="B957" s="365"/>
      <c r="D957" s="369"/>
      <c r="E957" s="369"/>
      <c r="F957" s="369"/>
      <c r="G957" s="369"/>
      <c r="H957" s="369"/>
      <c r="I957" s="369"/>
      <c r="J957" s="1251"/>
      <c r="K957" s="369"/>
      <c r="L957" s="369"/>
      <c r="M957" s="369"/>
      <c r="N957" s="369"/>
      <c r="O957" s="369"/>
    </row>
    <row r="958" spans="1:15">
      <c r="A958" s="361">
        <f>A956+1</f>
        <v>16</v>
      </c>
      <c r="B958" s="365">
        <v>382</v>
      </c>
      <c r="C958" s="358" t="s">
        <v>1778</v>
      </c>
      <c r="D958" s="369">
        <f>D941</f>
        <v>189719.96735617745</v>
      </c>
      <c r="E958" s="369">
        <f>E941</f>
        <v>5131.59</v>
      </c>
      <c r="F958" s="369">
        <f>F941</f>
        <v>-2821.4321866759965</v>
      </c>
      <c r="G958" s="369">
        <f>SUM(D958:F958)</f>
        <v>192030.12516950147</v>
      </c>
      <c r="H958" s="369"/>
      <c r="I958" s="369">
        <f>I941</f>
        <v>-67421.923643822505</v>
      </c>
      <c r="J958" s="1251"/>
      <c r="K958" s="369">
        <f>K941</f>
        <v>281.70400000000001</v>
      </c>
      <c r="L958" s="369">
        <v>0</v>
      </c>
      <c r="M958" s="369">
        <f>M941</f>
        <v>-2821.4321866759965</v>
      </c>
      <c r="N958" s="369">
        <f>N941</f>
        <v>0</v>
      </c>
      <c r="O958" s="369">
        <f>I958+K958+L958+M958+N958</f>
        <v>-69961.651830498507</v>
      </c>
    </row>
    <row r="959" spans="1:15">
      <c r="A959" s="361">
        <f>A958+1</f>
        <v>17</v>
      </c>
      <c r="B959" s="365">
        <v>382</v>
      </c>
      <c r="C959" s="358" t="s">
        <v>1624</v>
      </c>
      <c r="D959" s="923">
        <f>D960-D958</f>
        <v>10605504.892643822</v>
      </c>
      <c r="E959" s="923">
        <f>E960-E958</f>
        <v>22561.460000000003</v>
      </c>
      <c r="F959" s="923">
        <f>F960-F958</f>
        <v>-1473.3578133240035</v>
      </c>
      <c r="G959" s="923">
        <f>SUM(D959:F959)</f>
        <v>10626592.994830498</v>
      </c>
      <c r="H959" s="369"/>
      <c r="I959" s="923">
        <f>I960-I958</f>
        <v>5958251.203643823</v>
      </c>
      <c r="J959" s="1251"/>
      <c r="K959" s="923">
        <f>K960-K958</f>
        <v>15658.296</v>
      </c>
      <c r="L959" s="923">
        <v>0</v>
      </c>
      <c r="M959" s="923">
        <f>M960-M958</f>
        <v>-1473.3578133240035</v>
      </c>
      <c r="N959" s="923">
        <f>N960-N958</f>
        <v>0</v>
      </c>
      <c r="O959" s="923">
        <f>I959+K959+L959+M959+N959</f>
        <v>5972436.1418304993</v>
      </c>
    </row>
    <row r="960" spans="1:15">
      <c r="A960" s="361">
        <f>A959+1</f>
        <v>18</v>
      </c>
      <c r="B960" s="365">
        <v>382</v>
      </c>
      <c r="C960" s="358" t="s">
        <v>3081</v>
      </c>
      <c r="D960" s="369">
        <f>G914</f>
        <v>10795224.859999999</v>
      </c>
      <c r="E960" s="369">
        <f>+'INPUT - B Schedule PLANT'!DI34</f>
        <v>27693.050000000003</v>
      </c>
      <c r="F960" s="369">
        <f>+'INPUT - B Schedule PLANT'!DJ34</f>
        <v>-4294.79</v>
      </c>
      <c r="G960" s="369">
        <f>SUM(G958:G959)</f>
        <v>10818623.119999999</v>
      </c>
      <c r="H960" s="369"/>
      <c r="I960" s="369">
        <f>O914</f>
        <v>5890829.2800000003</v>
      </c>
      <c r="J960" s="1251">
        <f>$J$684</f>
        <v>1.77E-2</v>
      </c>
      <c r="K960" s="369">
        <f>ROUND((D960+G960)/2*J960/12,0)</f>
        <v>15940</v>
      </c>
      <c r="L960" s="369">
        <f>SUM(L958:L959)</f>
        <v>0</v>
      </c>
      <c r="M960" s="369">
        <f>F960</f>
        <v>-4294.79</v>
      </c>
      <c r="N960" s="369">
        <v>0</v>
      </c>
      <c r="O960" s="369">
        <f>SUM(O958:O959)</f>
        <v>5902474.4900000012</v>
      </c>
    </row>
    <row r="961" spans="1:15">
      <c r="A961" s="361"/>
      <c r="B961" s="365"/>
      <c r="D961" s="369"/>
      <c r="E961" s="369"/>
      <c r="F961" s="369"/>
      <c r="G961" s="369"/>
      <c r="H961" s="369"/>
      <c r="I961" s="369"/>
      <c r="J961" s="1251"/>
      <c r="K961" s="369"/>
      <c r="L961" s="369"/>
      <c r="M961" s="369"/>
      <c r="N961" s="369"/>
      <c r="O961" s="369"/>
    </row>
    <row r="962" spans="1:15">
      <c r="A962" s="361">
        <f>A960+1</f>
        <v>19</v>
      </c>
      <c r="B962" s="365">
        <v>383</v>
      </c>
      <c r="C962" s="358" t="s">
        <v>1779</v>
      </c>
      <c r="D962" s="369">
        <f>D942</f>
        <v>85970.188688827417</v>
      </c>
      <c r="E962" s="369">
        <f>E942</f>
        <v>14593.285307749693</v>
      </c>
      <c r="F962" s="369">
        <f>F942</f>
        <v>-309.5274216469432</v>
      </c>
      <c r="G962" s="369">
        <f>SUM(D962:F962)</f>
        <v>100253.94657493017</v>
      </c>
      <c r="H962" s="369"/>
      <c r="I962" s="369">
        <f>I942</f>
        <v>-8501.4765289274674</v>
      </c>
      <c r="J962" s="1251"/>
      <c r="K962" s="369">
        <f>K942</f>
        <v>150.54599999999999</v>
      </c>
      <c r="L962" s="369">
        <v>0</v>
      </c>
      <c r="M962" s="369">
        <f>M942</f>
        <v>-309.5274216469432</v>
      </c>
      <c r="N962" s="369">
        <f>N942</f>
        <v>0</v>
      </c>
      <c r="O962" s="369">
        <f>I962+K962+L962+M962+N962</f>
        <v>-8660.4579505744096</v>
      </c>
    </row>
    <row r="963" spans="1:15">
      <c r="A963" s="361">
        <f>A962+1</f>
        <v>20</v>
      </c>
      <c r="B963" s="365">
        <v>383</v>
      </c>
      <c r="C963" s="358" t="s">
        <v>1625</v>
      </c>
      <c r="D963" s="923">
        <f>D964-D962</f>
        <v>7467481.8413111707</v>
      </c>
      <c r="E963" s="923">
        <f>E964-E962</f>
        <v>29287.064692250307</v>
      </c>
      <c r="F963" s="923">
        <f>F964-F962</f>
        <v>-535.7925783530568</v>
      </c>
      <c r="G963" s="923">
        <f>SUM(D963:F963)</f>
        <v>7496233.1134250686</v>
      </c>
      <c r="H963" s="369"/>
      <c r="I963" s="923">
        <f>I964-I962</f>
        <v>2579243.5965289278</v>
      </c>
      <c r="J963" s="1251"/>
      <c r="K963" s="923">
        <f>K964-K962</f>
        <v>12095.454</v>
      </c>
      <c r="L963" s="923">
        <v>0</v>
      </c>
      <c r="M963" s="923">
        <f>M964-M962</f>
        <v>-535.7925783530568</v>
      </c>
      <c r="N963" s="923">
        <f>N964-N962</f>
        <v>0</v>
      </c>
      <c r="O963" s="923">
        <f>I963+K963+L963+M963+N963</f>
        <v>2590803.2579505746</v>
      </c>
    </row>
    <row r="964" spans="1:15">
      <c r="A964" s="361">
        <f>A963+1</f>
        <v>21</v>
      </c>
      <c r="B964" s="365">
        <v>383</v>
      </c>
      <c r="C964" s="358" t="s">
        <v>3082</v>
      </c>
      <c r="D964" s="369">
        <f>G918</f>
        <v>7553452.0299999984</v>
      </c>
      <c r="E964" s="369">
        <f>+'INPUT - B Schedule PLANT'!DI35</f>
        <v>43880.35</v>
      </c>
      <c r="F964" s="369">
        <f>+'INPUT - B Schedule PLANT'!DJ35</f>
        <v>-845.32</v>
      </c>
      <c r="G964" s="369">
        <f>SUM(G962:G963)</f>
        <v>7596487.0599999987</v>
      </c>
      <c r="H964" s="369"/>
      <c r="I964" s="369">
        <f>O918</f>
        <v>2570742.12</v>
      </c>
      <c r="J964" s="1251">
        <f>$J$688</f>
        <v>1.9400000000000001E-2</v>
      </c>
      <c r="K964" s="369">
        <f>ROUND((D964+G964)/2*J964/12,0)</f>
        <v>12246</v>
      </c>
      <c r="L964" s="369">
        <f>SUM(L962:L963)</f>
        <v>0</v>
      </c>
      <c r="M964" s="369">
        <f>F964</f>
        <v>-845.32</v>
      </c>
      <c r="N964" s="369">
        <v>0</v>
      </c>
      <c r="O964" s="369">
        <f>SUM(O962:O963)</f>
        <v>2582142.8000000003</v>
      </c>
    </row>
    <row r="967" spans="1:15" s="291" customFormat="1">
      <c r="A967" s="1308" t="str">
        <f>$A$1</f>
        <v>COLUMBIA GAS OF KENTUCKY, INC.</v>
      </c>
      <c r="B967" s="1308"/>
      <c r="C967" s="1308"/>
      <c r="D967" s="1308"/>
      <c r="E967" s="1308"/>
      <c r="F967" s="1308"/>
      <c r="G967" s="1308"/>
      <c r="H967" s="1308"/>
      <c r="I967" s="1308"/>
      <c r="J967" s="1308"/>
      <c r="K967" s="1308"/>
      <c r="L967" s="1308"/>
      <c r="M967" s="1308"/>
      <c r="N967" s="1308"/>
      <c r="O967" s="1308"/>
    </row>
    <row r="968" spans="1:15" s="291" customFormat="1">
      <c r="A968" s="1308" t="str">
        <f>$A$2</f>
        <v>CASE NO. 2024 - 00092</v>
      </c>
      <c r="B968" s="1308"/>
      <c r="C968" s="1308"/>
      <c r="D968" s="1308"/>
      <c r="E968" s="1308"/>
      <c r="F968" s="1308"/>
      <c r="G968" s="1308"/>
      <c r="H968" s="1308"/>
      <c r="I968" s="1308"/>
      <c r="J968" s="1308"/>
      <c r="K968" s="1308"/>
      <c r="L968" s="1308"/>
      <c r="M968" s="1308"/>
      <c r="N968" s="1308"/>
      <c r="O968" s="1308"/>
    </row>
    <row r="969" spans="1:15" s="291" customFormat="1">
      <c r="A969" s="1308" t="str">
        <f>$A$3</f>
        <v>DETAIL OF ACTUAL &amp;  FORECASTED SMRP PLANT, ACCUMULATED RESERVE &amp; DEPRECIATION EXPENSE</v>
      </c>
      <c r="B969" s="1308"/>
      <c r="C969" s="1308"/>
      <c r="D969" s="1308"/>
      <c r="E969" s="1308"/>
      <c r="F969" s="1308"/>
      <c r="G969" s="1308"/>
      <c r="H969" s="1308"/>
      <c r="I969" s="1308"/>
      <c r="J969" s="1308"/>
      <c r="K969" s="1308"/>
      <c r="L969" s="1308"/>
      <c r="M969" s="1308"/>
      <c r="N969" s="1308"/>
      <c r="O969" s="1308"/>
    </row>
    <row r="970" spans="1:15" s="291" customFormat="1">
      <c r="A970" s="1308" t="str">
        <f>$A$4</f>
        <v>FROM JANUARY 01, 2023 THROUGH DECEMBER 31, 2025</v>
      </c>
      <c r="B970" s="1308"/>
      <c r="C970" s="1308"/>
      <c r="D970" s="1308"/>
      <c r="E970" s="1308"/>
      <c r="F970" s="1308"/>
      <c r="G970" s="1308"/>
      <c r="H970" s="1308"/>
      <c r="I970" s="1308"/>
      <c r="J970" s="1308"/>
      <c r="K970" s="1308"/>
      <c r="L970" s="1308"/>
      <c r="M970" s="1308"/>
      <c r="N970" s="1308"/>
      <c r="O970" s="1308"/>
    </row>
    <row r="971" spans="1:15" s="291" customFormat="1">
      <c r="B971" s="293"/>
    </row>
    <row r="972" spans="1:15" s="291" customFormat="1">
      <c r="A972" s="297" t="str">
        <f>'General Headers Index'!$B$34</f>
        <v xml:space="preserve">DATA: _X_ BASE PERIOD _X_ FORECASTED PERIOD     </v>
      </c>
      <c r="B972" s="293"/>
      <c r="O972" s="312" t="s">
        <v>2461</v>
      </c>
    </row>
    <row r="973" spans="1:15" s="291" customFormat="1">
      <c r="A973" s="297" t="str">
        <f>'General Headers Index'!$B$37</f>
        <v>TYPE OF FILING:___X___ORIGINAL______UPDATED</v>
      </c>
      <c r="B973" s="293"/>
      <c r="O973" s="312" t="s">
        <v>2244</v>
      </c>
    </row>
    <row r="974" spans="1:15" s="291" customFormat="1">
      <c r="A974" s="297" t="s">
        <v>2150</v>
      </c>
      <c r="B974" s="293"/>
      <c r="O974" s="312" t="str">
        <f>"WITNESS: "&amp;'General Headers Index'!$B$42</f>
        <v>WITNESS: GORE</v>
      </c>
    </row>
    <row r="975" spans="1:15">
      <c r="A975" s="918"/>
      <c r="B975" s="918"/>
      <c r="C975" s="918"/>
      <c r="D975" s="918"/>
      <c r="E975" s="918"/>
      <c r="F975" s="918"/>
      <c r="G975" s="918"/>
      <c r="H975" s="918"/>
      <c r="I975" s="918"/>
      <c r="J975" s="918"/>
      <c r="K975" s="918"/>
      <c r="L975" s="918"/>
      <c r="M975" s="918"/>
      <c r="N975" s="918"/>
      <c r="O975" s="918"/>
    </row>
    <row r="976" spans="1:15">
      <c r="B976" s="359"/>
      <c r="D976" s="1312" t="s">
        <v>1768</v>
      </c>
      <c r="E976" s="1312"/>
      <c r="F976" s="1312"/>
      <c r="G976" s="1312"/>
      <c r="I976" s="1312" t="s">
        <v>1769</v>
      </c>
      <c r="J976" s="1312"/>
      <c r="K976" s="1312"/>
      <c r="L976" s="1312"/>
      <c r="M976" s="1312"/>
      <c r="N976" s="1312"/>
      <c r="O976" s="1312"/>
    </row>
    <row r="977" spans="1:15">
      <c r="B977" s="359"/>
      <c r="D977" s="360">
        <f>G931+1</f>
        <v>45566</v>
      </c>
      <c r="G977" s="360">
        <f>D977+30</f>
        <v>45596</v>
      </c>
      <c r="I977" s="360">
        <f>D977</f>
        <v>45566</v>
      </c>
      <c r="O977" s="360">
        <f>G977</f>
        <v>45596</v>
      </c>
    </row>
    <row r="978" spans="1:15">
      <c r="B978" s="359"/>
      <c r="D978" s="361" t="s">
        <v>1757</v>
      </c>
      <c r="G978" s="361" t="s">
        <v>1757</v>
      </c>
      <c r="I978" s="361" t="s">
        <v>1758</v>
      </c>
      <c r="J978" s="361" t="s">
        <v>488</v>
      </c>
      <c r="L978" s="361" t="s">
        <v>1758</v>
      </c>
      <c r="O978" s="361" t="s">
        <v>1758</v>
      </c>
    </row>
    <row r="979" spans="1:15">
      <c r="A979" s="361" t="s">
        <v>1770</v>
      </c>
      <c r="B979" s="361" t="s">
        <v>368</v>
      </c>
      <c r="C979" s="361"/>
      <c r="D979" s="361" t="s">
        <v>437</v>
      </c>
      <c r="G979" s="361" t="s">
        <v>439</v>
      </c>
      <c r="I979" s="361" t="s">
        <v>437</v>
      </c>
      <c r="J979" s="361" t="s">
        <v>1771</v>
      </c>
      <c r="K979" s="361" t="s">
        <v>1772</v>
      </c>
      <c r="L979" s="361" t="s">
        <v>1759</v>
      </c>
      <c r="N979" s="361" t="s">
        <v>1760</v>
      </c>
      <c r="O979" s="361" t="s">
        <v>439</v>
      </c>
    </row>
    <row r="980" spans="1:15">
      <c r="A980" s="364" t="s">
        <v>316</v>
      </c>
      <c r="B980" s="364" t="s">
        <v>316</v>
      </c>
      <c r="C980" s="364" t="s">
        <v>451</v>
      </c>
      <c r="D980" s="364" t="s">
        <v>441</v>
      </c>
      <c r="E980" s="364" t="s">
        <v>442</v>
      </c>
      <c r="F980" s="364" t="s">
        <v>443</v>
      </c>
      <c r="G980" s="364" t="s">
        <v>441</v>
      </c>
      <c r="I980" s="364" t="s">
        <v>441</v>
      </c>
      <c r="J980" s="364" t="s">
        <v>1773</v>
      </c>
      <c r="K980" s="364" t="s">
        <v>1771</v>
      </c>
      <c r="L980" s="364" t="s">
        <v>355</v>
      </c>
      <c r="M980" s="364" t="s">
        <v>443</v>
      </c>
      <c r="N980" s="364" t="s">
        <v>1763</v>
      </c>
      <c r="O980" s="364" t="s">
        <v>441</v>
      </c>
    </row>
    <row r="981" spans="1:15">
      <c r="B981" s="359"/>
      <c r="D981" s="361" t="s">
        <v>532</v>
      </c>
      <c r="E981" s="361" t="s">
        <v>541</v>
      </c>
      <c r="F981" s="361" t="s">
        <v>542</v>
      </c>
      <c r="G981" s="361" t="s">
        <v>1764</v>
      </c>
      <c r="I981" s="334" t="str">
        <f>"(5)"</f>
        <v>(5)</v>
      </c>
      <c r="J981" s="334" t="str">
        <f>"(6)"</f>
        <v>(6)</v>
      </c>
      <c r="K981" s="334" t="str">
        <f>"(7)=((1+4)/2*6/12))"</f>
        <v>(7)=((1+4)/2*6/12))</v>
      </c>
      <c r="L981" s="334" t="str">
        <f>"(8)"</f>
        <v>(8)</v>
      </c>
      <c r="M981" s="334" t="str">
        <f>"(9)"</f>
        <v>(9)</v>
      </c>
      <c r="N981" s="334" t="str">
        <f>"(10)"</f>
        <v>(10)</v>
      </c>
      <c r="O981" s="334" t="str">
        <f>"(11=5+7+8+9+10)"</f>
        <v>(11=5+7+8+9+10)</v>
      </c>
    </row>
    <row r="982" spans="1:15">
      <c r="B982" s="359"/>
      <c r="D982" s="361" t="s">
        <v>320</v>
      </c>
      <c r="E982" s="361" t="s">
        <v>320</v>
      </c>
      <c r="F982" s="361" t="s">
        <v>320</v>
      </c>
      <c r="G982" s="361" t="s">
        <v>320</v>
      </c>
      <c r="I982" s="334" t="s">
        <v>320</v>
      </c>
      <c r="J982" s="1250" t="s">
        <v>529</v>
      </c>
      <c r="K982" s="334" t="s">
        <v>320</v>
      </c>
      <c r="L982" s="334" t="s">
        <v>320</v>
      </c>
      <c r="M982" s="334" t="s">
        <v>320</v>
      </c>
      <c r="N982" s="334" t="s">
        <v>320</v>
      </c>
      <c r="O982" s="334" t="s">
        <v>320</v>
      </c>
    </row>
    <row r="983" spans="1:15">
      <c r="B983" s="359"/>
      <c r="D983" s="361"/>
      <c r="E983" s="361"/>
      <c r="F983" s="361"/>
      <c r="G983" s="361"/>
      <c r="I983" s="334"/>
      <c r="J983" s="334"/>
      <c r="K983" s="334"/>
      <c r="L983" s="334"/>
      <c r="M983" s="334"/>
      <c r="N983" s="334"/>
      <c r="O983" s="334"/>
    </row>
    <row r="984" spans="1:15">
      <c r="A984" s="361">
        <v>1</v>
      </c>
      <c r="B984" s="365">
        <v>376</v>
      </c>
      <c r="C984" s="358" t="s">
        <v>1775</v>
      </c>
      <c r="D984" s="369">
        <f>G938</f>
        <v>43906681.302995905</v>
      </c>
      <c r="E984" s="369">
        <v>3427744.7341480013</v>
      </c>
      <c r="F984" s="369">
        <v>-22963.05</v>
      </c>
      <c r="G984" s="369">
        <f>SUM(D984:F984)</f>
        <v>47311462.987143911</v>
      </c>
      <c r="H984" s="369"/>
      <c r="I984" s="369">
        <f>O938</f>
        <v>257345.82921892457</v>
      </c>
      <c r="J984" s="1251">
        <f>$J$662</f>
        <v>1.7399999999999999E-2</v>
      </c>
      <c r="K984" s="380">
        <v>66133.467000000004</v>
      </c>
      <c r="L984" s="369">
        <v>0</v>
      </c>
      <c r="M984" s="369">
        <f>F984</f>
        <v>-22963.05</v>
      </c>
      <c r="N984" s="369">
        <v>-13082.236393615205</v>
      </c>
      <c r="O984" s="369">
        <f>I984+K984+L984+M984+N984</f>
        <v>287434.00982530939</v>
      </c>
    </row>
    <row r="985" spans="1:15">
      <c r="A985" s="361">
        <f>A984+1</f>
        <v>2</v>
      </c>
      <c r="B985" s="365">
        <v>378.2</v>
      </c>
      <c r="C985" s="358" t="s">
        <v>1776</v>
      </c>
      <c r="D985" s="369">
        <f>G939</f>
        <v>451368.78574391012</v>
      </c>
      <c r="E985" s="369">
        <v>39486.911132408895</v>
      </c>
      <c r="F985" s="369">
        <v>-26692.364387453785</v>
      </c>
      <c r="G985" s="369">
        <f>SUM(D985:F985)</f>
        <v>464163.33248886524</v>
      </c>
      <c r="H985" s="369"/>
      <c r="I985" s="369">
        <f>O939</f>
        <v>-826005.6429954241</v>
      </c>
      <c r="J985" s="1251">
        <f>$J$663</f>
        <v>2.52E-2</v>
      </c>
      <c r="K985" s="380">
        <v>961.43399999999997</v>
      </c>
      <c r="L985" s="369">
        <v>0</v>
      </c>
      <c r="M985" s="369">
        <f>F985</f>
        <v>-26692.364387453785</v>
      </c>
      <c r="N985" s="369">
        <v>-2335.4079322651901</v>
      </c>
      <c r="O985" s="369">
        <f>I985+K985+L985+M985+N985</f>
        <v>-854071.98131514306</v>
      </c>
    </row>
    <row r="986" spans="1:15">
      <c r="A986" s="361">
        <f>A985+1</f>
        <v>3</v>
      </c>
      <c r="B986" s="365">
        <v>380</v>
      </c>
      <c r="C986" s="358" t="s">
        <v>1777</v>
      </c>
      <c r="D986" s="369">
        <f>G940</f>
        <v>19681192.338740475</v>
      </c>
      <c r="E986" s="369">
        <v>1342617.55</v>
      </c>
      <c r="F986" s="369">
        <v>-452192.31972346077</v>
      </c>
      <c r="G986" s="369">
        <f>SUM(D986:F986)</f>
        <v>20571617.569017015</v>
      </c>
      <c r="H986" s="369"/>
      <c r="I986" s="369">
        <f>O940</f>
        <v>-9349625.1011977084</v>
      </c>
      <c r="J986" s="1251">
        <f>$J$664</f>
        <v>3.9800000000000002E-2</v>
      </c>
      <c r="K986" s="380">
        <v>66752.622000000003</v>
      </c>
      <c r="L986" s="369">
        <v>0</v>
      </c>
      <c r="M986" s="369">
        <f>F986</f>
        <v>-452192.31972346077</v>
      </c>
      <c r="N986" s="369">
        <v>-289256.14786730788</v>
      </c>
      <c r="O986" s="369">
        <f>I986+K986+L986+M986+N986</f>
        <v>-10024320.946788477</v>
      </c>
    </row>
    <row r="987" spans="1:15">
      <c r="A987" s="361">
        <f>A986+1</f>
        <v>4</v>
      </c>
      <c r="B987" s="365">
        <v>382</v>
      </c>
      <c r="C987" s="358" t="s">
        <v>1778</v>
      </c>
      <c r="D987" s="369">
        <f>G941</f>
        <v>192030.12516950147</v>
      </c>
      <c r="E987" s="369">
        <v>1619.13</v>
      </c>
      <c r="F987" s="369">
        <v>-2426.5231699966289</v>
      </c>
      <c r="G987" s="369">
        <f>SUM(D987:F987)</f>
        <v>191222.73199950485</v>
      </c>
      <c r="H987" s="369"/>
      <c r="I987" s="369">
        <f>O941</f>
        <v>-69961.651830498507</v>
      </c>
      <c r="J987" s="1251">
        <f>$J$665</f>
        <v>1.77E-2</v>
      </c>
      <c r="K987" s="380">
        <v>282.40499999999997</v>
      </c>
      <c r="L987" s="369">
        <v>0</v>
      </c>
      <c r="M987" s="369">
        <f>F987</f>
        <v>-2426.5231699966289</v>
      </c>
      <c r="N987" s="369">
        <v>0</v>
      </c>
      <c r="O987" s="369">
        <f>I987+K987+L987+M987+N987</f>
        <v>-72105.770000495133</v>
      </c>
    </row>
    <row r="988" spans="1:15">
      <c r="A988" s="361">
        <f>A987+1</f>
        <v>5</v>
      </c>
      <c r="B988" s="365">
        <v>383</v>
      </c>
      <c r="C988" s="358" t="s">
        <v>1779</v>
      </c>
      <c r="D988" s="923">
        <f>G942</f>
        <v>100253.94657493017</v>
      </c>
      <c r="E988" s="923">
        <v>14245.31337707861</v>
      </c>
      <c r="F988" s="923">
        <v>-273.35892377927576</v>
      </c>
      <c r="G988" s="923">
        <f>SUM(D988:F988)</f>
        <v>114225.90102822951</v>
      </c>
      <c r="H988" s="369"/>
      <c r="I988" s="923">
        <f>O942</f>
        <v>-8660.4579505744096</v>
      </c>
      <c r="J988" s="1251">
        <f>$J$666</f>
        <v>1.9400000000000001E-2</v>
      </c>
      <c r="K988" s="925">
        <v>173.29400000000001</v>
      </c>
      <c r="L988" s="923">
        <v>0</v>
      </c>
      <c r="M988" s="923">
        <f>F988</f>
        <v>-273.35892377927576</v>
      </c>
      <c r="N988" s="923">
        <v>0</v>
      </c>
      <c r="O988" s="923">
        <f>I988+K988+L988+M988+N988</f>
        <v>-8760.5228743536863</v>
      </c>
    </row>
    <row r="989" spans="1:15">
      <c r="A989" s="361">
        <f>A988+1</f>
        <v>6</v>
      </c>
      <c r="C989" s="358" t="s">
        <v>3077</v>
      </c>
      <c r="D989" s="369">
        <f>SUM(D984:D988)</f>
        <v>64331526.499224722</v>
      </c>
      <c r="E989" s="369">
        <f>SUM(E984:E988)</f>
        <v>4825713.6386574889</v>
      </c>
      <c r="F989" s="369">
        <f>SUM(F984:F988)</f>
        <v>-504547.61620469042</v>
      </c>
      <c r="G989" s="369">
        <f>SUM(G984:G988)</f>
        <v>68652692.521677524</v>
      </c>
      <c r="H989" s="369"/>
      <c r="I989" s="369">
        <f>SUM(I984:I988)</f>
        <v>-9996907.0247552823</v>
      </c>
      <c r="J989" s="369"/>
      <c r="K989" s="369">
        <f>SUM(K984:K988)</f>
        <v>134303.22199999998</v>
      </c>
      <c r="L989" s="369">
        <f t="shared" ref="L989" si="21">SUM(L984:L988)</f>
        <v>0</v>
      </c>
      <c r="M989" s="369">
        <f>SUM(M984:M988)</f>
        <v>-504547.61620469042</v>
      </c>
      <c r="N989" s="369">
        <f>SUM(N984:N988)</f>
        <v>-304673.79219318827</v>
      </c>
      <c r="O989" s="369">
        <f>SUM(O984:O988)</f>
        <v>-10671825.211153159</v>
      </c>
    </row>
    <row r="990" spans="1:15">
      <c r="A990" s="361"/>
      <c r="D990" s="369"/>
      <c r="E990" s="369"/>
      <c r="F990" s="369"/>
      <c r="G990" s="369"/>
      <c r="H990" s="369"/>
      <c r="I990" s="369"/>
      <c r="J990" s="369"/>
      <c r="K990" s="369"/>
      <c r="L990" s="369"/>
      <c r="M990" s="369"/>
      <c r="N990" s="369"/>
      <c r="O990" s="369"/>
    </row>
    <row r="991" spans="1:15">
      <c r="A991" s="361"/>
      <c r="D991" s="369"/>
      <c r="E991" s="369"/>
      <c r="F991" s="369"/>
      <c r="G991" s="369"/>
      <c r="H991" s="369"/>
      <c r="I991" s="369"/>
      <c r="J991" s="369"/>
      <c r="K991" s="369"/>
      <c r="L991" s="369"/>
      <c r="M991" s="369"/>
      <c r="N991" s="369"/>
      <c r="O991" s="369"/>
    </row>
    <row r="992" spans="1:15">
      <c r="A992" s="361">
        <f>A989+1</f>
        <v>7</v>
      </c>
      <c r="B992" s="365">
        <v>376</v>
      </c>
      <c r="C992" s="358" t="s">
        <v>1775</v>
      </c>
      <c r="D992" s="369">
        <f>D984</f>
        <v>43906681.302995905</v>
      </c>
      <c r="E992" s="369">
        <f>E984</f>
        <v>3427744.7341480013</v>
      </c>
      <c r="F992" s="369">
        <f>F984</f>
        <v>-22963.05</v>
      </c>
      <c r="G992" s="369">
        <f>SUM(D992:F992)</f>
        <v>47311462.987143911</v>
      </c>
      <c r="H992" s="369"/>
      <c r="I992" s="369">
        <f>I984</f>
        <v>257345.82921892457</v>
      </c>
      <c r="J992" s="1251"/>
      <c r="K992" s="369">
        <f>K984</f>
        <v>66133.467000000004</v>
      </c>
      <c r="L992" s="369">
        <v>0</v>
      </c>
      <c r="M992" s="369">
        <f>M984</f>
        <v>-22963.05</v>
      </c>
      <c r="N992" s="369">
        <f>N984</f>
        <v>-13082.236393615205</v>
      </c>
      <c r="O992" s="369">
        <f>I992+K992+L992+M992+N992</f>
        <v>287434.00982530939</v>
      </c>
    </row>
    <row r="993" spans="1:15">
      <c r="A993" s="361">
        <f>A992+1</f>
        <v>8</v>
      </c>
      <c r="B993" s="365">
        <v>376</v>
      </c>
      <c r="C993" s="358" t="s">
        <v>1621</v>
      </c>
      <c r="D993" s="923">
        <f>D994-D992</f>
        <v>416728602.05700415</v>
      </c>
      <c r="E993" s="923">
        <f>E994-E992</f>
        <v>1264073.6058519986</v>
      </c>
      <c r="F993" s="923">
        <f>F994-F992</f>
        <v>-52867.22</v>
      </c>
      <c r="G993" s="923">
        <f>SUM(D993:F993)</f>
        <v>417939808.44285613</v>
      </c>
      <c r="H993" s="369"/>
      <c r="I993" s="923">
        <f>I994-I992</f>
        <v>84601370.740781158</v>
      </c>
      <c r="J993" s="1251"/>
      <c r="K993" s="923">
        <f>K994-K992</f>
        <v>605134.53300000005</v>
      </c>
      <c r="L993" s="923">
        <v>0</v>
      </c>
      <c r="M993" s="923">
        <f>M994-M992</f>
        <v>-52867.22</v>
      </c>
      <c r="N993" s="923">
        <f>N994-N992</f>
        <v>-6651.8036063847958</v>
      </c>
      <c r="O993" s="923">
        <f>I993+K993+L993+M993+N993</f>
        <v>85146986.250174776</v>
      </c>
    </row>
    <row r="994" spans="1:15">
      <c r="A994" s="361">
        <f>A993+1</f>
        <v>9</v>
      </c>
      <c r="B994" s="365">
        <v>376</v>
      </c>
      <c r="C994" s="358" t="s">
        <v>3078</v>
      </c>
      <c r="D994" s="369">
        <f>G948</f>
        <v>460635283.36000007</v>
      </c>
      <c r="E994" s="369">
        <f>+'INPUT - B Schedule PLANT'!DN26</f>
        <v>4691818.34</v>
      </c>
      <c r="F994" s="369">
        <f>+'INPUT - B Schedule PLANT'!DO26</f>
        <v>-75830.27</v>
      </c>
      <c r="G994" s="369">
        <f>SUM(G992:G993)</f>
        <v>465251271.43000007</v>
      </c>
      <c r="H994" s="369"/>
      <c r="I994" s="369">
        <f>O948</f>
        <v>84858716.570000082</v>
      </c>
      <c r="J994" s="1251">
        <f>$J$672</f>
        <v>1.7399999999999999E-2</v>
      </c>
      <c r="K994" s="369">
        <f>ROUND((D994+G994)/2*J994/12,0)</f>
        <v>671268</v>
      </c>
      <c r="L994" s="369">
        <f>SUM(L992:L993)</f>
        <v>0</v>
      </c>
      <c r="M994" s="369">
        <f>F994</f>
        <v>-75830.27</v>
      </c>
      <c r="N994" s="369">
        <v>-19734.04</v>
      </c>
      <c r="O994" s="369">
        <f>SUM(O992:O993)</f>
        <v>85434420.26000008</v>
      </c>
    </row>
    <row r="995" spans="1:15">
      <c r="A995" s="361"/>
      <c r="B995" s="365"/>
      <c r="D995" s="369"/>
      <c r="E995" s="369"/>
      <c r="F995" s="369"/>
      <c r="G995" s="369"/>
      <c r="H995" s="369"/>
      <c r="I995" s="369"/>
      <c r="J995" s="1251"/>
      <c r="K995" s="369"/>
      <c r="L995" s="369"/>
      <c r="M995" s="369"/>
      <c r="N995" s="369"/>
      <c r="O995" s="369"/>
    </row>
    <row r="996" spans="1:15">
      <c r="A996" s="361">
        <f>A994+1</f>
        <v>10</v>
      </c>
      <c r="B996" s="365">
        <v>378.2</v>
      </c>
      <c r="C996" s="358" t="s">
        <v>1776</v>
      </c>
      <c r="D996" s="369">
        <f>D985</f>
        <v>451368.78574391012</v>
      </c>
      <c r="E996" s="369">
        <f>E985</f>
        <v>39486.911132408895</v>
      </c>
      <c r="F996" s="369">
        <f>F985</f>
        <v>-26692.364387453785</v>
      </c>
      <c r="G996" s="369">
        <f>SUM(D996:F996)</f>
        <v>464163.33248886524</v>
      </c>
      <c r="H996" s="369"/>
      <c r="I996" s="369">
        <f>I985</f>
        <v>-826005.6429954241</v>
      </c>
      <c r="J996" s="1251"/>
      <c r="K996" s="369">
        <f>K985</f>
        <v>961.43399999999997</v>
      </c>
      <c r="L996" s="369">
        <v>0</v>
      </c>
      <c r="M996" s="369">
        <f>M985</f>
        <v>-26692.364387453785</v>
      </c>
      <c r="N996" s="369">
        <f>N985</f>
        <v>-2335.4079322651901</v>
      </c>
      <c r="O996" s="369">
        <f>I996+K996+L996+M996+N996</f>
        <v>-854071.98131514306</v>
      </c>
    </row>
    <row r="997" spans="1:15">
      <c r="A997" s="361">
        <f>A996+1</f>
        <v>11</v>
      </c>
      <c r="B997" s="365">
        <v>378.2</v>
      </c>
      <c r="C997" s="358" t="s">
        <v>1622</v>
      </c>
      <c r="D997" s="923">
        <f>D998-D996</f>
        <v>27517971.734256085</v>
      </c>
      <c r="E997" s="923">
        <f>E998-E996</f>
        <v>16334.108867591101</v>
      </c>
      <c r="F997" s="923">
        <f>F998-F996</f>
        <v>4.3874537841475103E-3</v>
      </c>
      <c r="G997" s="923">
        <f>SUM(D997:F997)</f>
        <v>27534305.847511128</v>
      </c>
      <c r="H997" s="369"/>
      <c r="I997" s="923">
        <f>I998-I996</f>
        <v>3612531.5529954243</v>
      </c>
      <c r="J997" s="1251"/>
      <c r="K997" s="923">
        <f>K998-K996</f>
        <v>57804.565999999999</v>
      </c>
      <c r="L997" s="923">
        <v>0</v>
      </c>
      <c r="M997" s="923">
        <f>M998-M996</f>
        <v>4.3874537841475103E-3</v>
      </c>
      <c r="N997" s="923">
        <f>N998-N996</f>
        <v>1263.3879322651901</v>
      </c>
      <c r="O997" s="923">
        <f>I997+K997+L997+M997+N997</f>
        <v>3671599.5113151432</v>
      </c>
    </row>
    <row r="998" spans="1:15">
      <c r="A998" s="361">
        <f>A997+1</f>
        <v>12</v>
      </c>
      <c r="B998" s="365">
        <v>378.2</v>
      </c>
      <c r="C998" s="358" t="s">
        <v>3079</v>
      </c>
      <c r="D998" s="369">
        <f>G952</f>
        <v>27969340.519999996</v>
      </c>
      <c r="E998" s="369">
        <f>+'INPUT - B Schedule PLANT'!DN28</f>
        <v>55821.02</v>
      </c>
      <c r="F998" s="369">
        <f>+'INPUT - B Schedule PLANT'!DO28</f>
        <v>-26692.36</v>
      </c>
      <c r="G998" s="369">
        <f>SUM(G996:G997)</f>
        <v>27998469.179999992</v>
      </c>
      <c r="H998" s="369"/>
      <c r="I998" s="369">
        <f>O952</f>
        <v>2786525.91</v>
      </c>
      <c r="J998" s="1251">
        <f>$J$676</f>
        <v>2.52E-2</v>
      </c>
      <c r="K998" s="369">
        <f>ROUND((D998+G998)/2*J998/12,0)</f>
        <v>58766</v>
      </c>
      <c r="L998" s="369">
        <f>SUM(L996:L997)</f>
        <v>0</v>
      </c>
      <c r="M998" s="369">
        <f>F998</f>
        <v>-26692.36</v>
      </c>
      <c r="N998" s="369">
        <v>-1072.02</v>
      </c>
      <c r="O998" s="369">
        <f>SUM(O996:O997)</f>
        <v>2817527.5300000003</v>
      </c>
    </row>
    <row r="999" spans="1:15">
      <c r="A999" s="361"/>
      <c r="B999" s="365"/>
      <c r="D999" s="369"/>
      <c r="E999" s="369"/>
      <c r="F999" s="369"/>
      <c r="G999" s="369"/>
      <c r="H999" s="369"/>
      <c r="I999" s="369"/>
      <c r="J999" s="1251"/>
      <c r="K999" s="369"/>
      <c r="L999" s="369"/>
      <c r="M999" s="369"/>
      <c r="N999" s="369"/>
      <c r="O999" s="369"/>
    </row>
    <row r="1000" spans="1:15">
      <c r="A1000" s="361">
        <f>A998+1</f>
        <v>13</v>
      </c>
      <c r="B1000" s="365">
        <v>380</v>
      </c>
      <c r="C1000" s="358" t="s">
        <v>1777</v>
      </c>
      <c r="D1000" s="369">
        <f>D986</f>
        <v>19681192.338740475</v>
      </c>
      <c r="E1000" s="369">
        <f>E986</f>
        <v>1342617.55</v>
      </c>
      <c r="F1000" s="369">
        <f>F986</f>
        <v>-452192.31972346077</v>
      </c>
      <c r="G1000" s="369">
        <f>SUM(D1000:F1000)</f>
        <v>20571617.569017015</v>
      </c>
      <c r="H1000" s="369"/>
      <c r="I1000" s="369">
        <f>I986</f>
        <v>-9349625.1011977084</v>
      </c>
      <c r="J1000" s="1251"/>
      <c r="K1000" s="369">
        <f>K986</f>
        <v>66752.622000000003</v>
      </c>
      <c r="L1000" s="369">
        <v>0</v>
      </c>
      <c r="M1000" s="369">
        <f>M986</f>
        <v>-452192.31972346077</v>
      </c>
      <c r="N1000" s="369">
        <f>N986</f>
        <v>-289256.14786730788</v>
      </c>
      <c r="O1000" s="369">
        <f>I1000+K1000+L1000+M1000+N1000</f>
        <v>-10024320.946788477</v>
      </c>
    </row>
    <row r="1001" spans="1:15">
      <c r="A1001" s="361">
        <f>A1000+1</f>
        <v>14</v>
      </c>
      <c r="B1001" s="365">
        <v>380</v>
      </c>
      <c r="C1001" s="358" t="s">
        <v>1623</v>
      </c>
      <c r="D1001" s="923">
        <f>D1002-D1000</f>
        <v>203902045.3512595</v>
      </c>
      <c r="E1001" s="923">
        <f>E1002-E1000</f>
        <v>165973.33999999985</v>
      </c>
      <c r="F1001" s="923">
        <f>F1002-F1000</f>
        <v>-71084.540276539221</v>
      </c>
      <c r="G1001" s="923">
        <f>SUM(D1001:F1001)</f>
        <v>203996934.15098298</v>
      </c>
      <c r="H1001" s="369"/>
      <c r="I1001" s="923">
        <f>I1002-I1000</f>
        <v>64758936.791197732</v>
      </c>
      <c r="J1001" s="1251"/>
      <c r="K1001" s="923">
        <f>K1002-K1000</f>
        <v>676432.37800000003</v>
      </c>
      <c r="L1001" s="923">
        <v>0</v>
      </c>
      <c r="M1001" s="923">
        <f>M1002-M1000</f>
        <v>-71084.540276539221</v>
      </c>
      <c r="N1001" s="923">
        <f>N1002-N1000</f>
        <v>-2.1326921414583921E-3</v>
      </c>
      <c r="O1001" s="923">
        <f>I1001+K1001+L1001+M1001+N1001</f>
        <v>65364284.626788497</v>
      </c>
    </row>
    <row r="1002" spans="1:15">
      <c r="A1002" s="361">
        <f>A1001+1</f>
        <v>15</v>
      </c>
      <c r="B1002" s="365">
        <v>380</v>
      </c>
      <c r="C1002" s="358" t="s">
        <v>3080</v>
      </c>
      <c r="D1002" s="369">
        <f>G956</f>
        <v>223583237.68999997</v>
      </c>
      <c r="E1002" s="369">
        <f>+'INPUT - B Schedule PLANT'!DN31</f>
        <v>1508590.89</v>
      </c>
      <c r="F1002" s="369">
        <f>+'INPUT - B Schedule PLANT'!DO31</f>
        <v>-523276.86</v>
      </c>
      <c r="G1002" s="369">
        <f>SUM(G1000:G1001)</f>
        <v>224568551.72</v>
      </c>
      <c r="H1002" s="369"/>
      <c r="I1002" s="369">
        <f>O956</f>
        <v>55409311.690000027</v>
      </c>
      <c r="J1002" s="1251">
        <f>$J$680</f>
        <v>3.9800000000000002E-2</v>
      </c>
      <c r="K1002" s="369">
        <f>ROUND((D1002+G1002)/2*J1002/12,0)</f>
        <v>743185</v>
      </c>
      <c r="L1002" s="369">
        <f>SUM(L1000:L1001)</f>
        <v>0</v>
      </c>
      <c r="M1002" s="369">
        <f>F1002</f>
        <v>-523276.86</v>
      </c>
      <c r="N1002" s="369">
        <v>-289256.15000000002</v>
      </c>
      <c r="O1002" s="369">
        <f>SUM(O1000:O1001)</f>
        <v>55339963.680000022</v>
      </c>
    </row>
    <row r="1003" spans="1:15">
      <c r="A1003" s="361"/>
      <c r="B1003" s="365"/>
      <c r="D1003" s="369"/>
      <c r="E1003" s="369"/>
      <c r="F1003" s="369"/>
      <c r="G1003" s="369"/>
      <c r="H1003" s="369"/>
      <c r="I1003" s="369"/>
      <c r="J1003" s="1251"/>
      <c r="K1003" s="369"/>
      <c r="L1003" s="369"/>
      <c r="M1003" s="369"/>
      <c r="N1003" s="369"/>
      <c r="O1003" s="369"/>
    </row>
    <row r="1004" spans="1:15">
      <c r="A1004" s="361">
        <f>A1002+1</f>
        <v>16</v>
      </c>
      <c r="B1004" s="365">
        <v>382</v>
      </c>
      <c r="C1004" s="358" t="s">
        <v>1778</v>
      </c>
      <c r="D1004" s="369">
        <f>D987</f>
        <v>192030.12516950147</v>
      </c>
      <c r="E1004" s="369">
        <f>E987</f>
        <v>1619.13</v>
      </c>
      <c r="F1004" s="369">
        <f>F987</f>
        <v>-2426.5231699966289</v>
      </c>
      <c r="G1004" s="369">
        <f>SUM(D1004:F1004)</f>
        <v>191222.73199950485</v>
      </c>
      <c r="H1004" s="369"/>
      <c r="I1004" s="369">
        <f>I987</f>
        <v>-69961.651830498507</v>
      </c>
      <c r="J1004" s="1251"/>
      <c r="K1004" s="369">
        <f>K987</f>
        <v>282.40499999999997</v>
      </c>
      <c r="L1004" s="369">
        <v>0</v>
      </c>
      <c r="M1004" s="369">
        <f>M987</f>
        <v>-2426.5231699966289</v>
      </c>
      <c r="N1004" s="369">
        <f>N987</f>
        <v>0</v>
      </c>
      <c r="O1004" s="369">
        <f>I1004+K1004+L1004+M1004+N1004</f>
        <v>-72105.770000495133</v>
      </c>
    </row>
    <row r="1005" spans="1:15">
      <c r="A1005" s="361">
        <f>A1004+1</f>
        <v>17</v>
      </c>
      <c r="B1005" s="365">
        <v>382</v>
      </c>
      <c r="C1005" s="358" t="s">
        <v>1624</v>
      </c>
      <c r="D1005" s="923">
        <f>D1006-D1004</f>
        <v>10626592.994830498</v>
      </c>
      <c r="E1005" s="923">
        <f>E1006-E1004</f>
        <v>26267.850000000002</v>
      </c>
      <c r="F1005" s="923">
        <f>F1006-F1004</f>
        <v>-1357.5868300033712</v>
      </c>
      <c r="G1005" s="923">
        <f>SUM(D1005:F1005)</f>
        <v>10651503.258000495</v>
      </c>
      <c r="H1005" s="369"/>
      <c r="I1005" s="923">
        <f>I1006-I1004</f>
        <v>5972436.1418304993</v>
      </c>
      <c r="J1005" s="1251"/>
      <c r="K1005" s="923">
        <f>K1006-K1004</f>
        <v>15692.594999999999</v>
      </c>
      <c r="L1005" s="923">
        <v>0</v>
      </c>
      <c r="M1005" s="923">
        <f>M1006-M1004</f>
        <v>-1357.5868300033712</v>
      </c>
      <c r="N1005" s="923">
        <f>N1006-N1004</f>
        <v>0</v>
      </c>
      <c r="O1005" s="923">
        <f>I1005+K1005+L1005+M1005+N1005</f>
        <v>5986771.1500004958</v>
      </c>
    </row>
    <row r="1006" spans="1:15">
      <c r="A1006" s="361">
        <f>A1005+1</f>
        <v>18</v>
      </c>
      <c r="B1006" s="365">
        <v>382</v>
      </c>
      <c r="C1006" s="358" t="s">
        <v>3081</v>
      </c>
      <c r="D1006" s="369">
        <f>G960</f>
        <v>10818623.119999999</v>
      </c>
      <c r="E1006" s="369">
        <f>+'INPUT - B Schedule PLANT'!DN34</f>
        <v>27886.980000000003</v>
      </c>
      <c r="F1006" s="369">
        <f>+'INPUT - B Schedule PLANT'!DO34</f>
        <v>-3784.11</v>
      </c>
      <c r="G1006" s="369">
        <f>SUM(G1004:G1005)</f>
        <v>10842725.99</v>
      </c>
      <c r="H1006" s="369"/>
      <c r="I1006" s="369">
        <f>O960</f>
        <v>5902474.4900000012</v>
      </c>
      <c r="J1006" s="1251">
        <f>$J$684</f>
        <v>1.77E-2</v>
      </c>
      <c r="K1006" s="369">
        <f>ROUND((D1006+G1006)/2*J1006/12,0)</f>
        <v>15975</v>
      </c>
      <c r="L1006" s="369">
        <f>SUM(L1004:L1005)</f>
        <v>0</v>
      </c>
      <c r="M1006" s="369">
        <f>F1006</f>
        <v>-3784.11</v>
      </c>
      <c r="N1006" s="369">
        <v>0</v>
      </c>
      <c r="O1006" s="369">
        <f>SUM(O1004:O1005)</f>
        <v>5914665.3800000008</v>
      </c>
    </row>
    <row r="1007" spans="1:15">
      <c r="A1007" s="361"/>
      <c r="B1007" s="365"/>
      <c r="D1007" s="369"/>
      <c r="E1007" s="369"/>
      <c r="F1007" s="369"/>
      <c r="G1007" s="369"/>
      <c r="H1007" s="369"/>
      <c r="I1007" s="369"/>
      <c r="J1007" s="1251"/>
      <c r="K1007" s="369"/>
      <c r="L1007" s="369"/>
      <c r="M1007" s="369"/>
      <c r="N1007" s="369"/>
      <c r="O1007" s="369"/>
    </row>
    <row r="1008" spans="1:15">
      <c r="A1008" s="361">
        <f>A1006+1</f>
        <v>19</v>
      </c>
      <c r="B1008" s="365">
        <v>383</v>
      </c>
      <c r="C1008" s="358" t="s">
        <v>1779</v>
      </c>
      <c r="D1008" s="369">
        <f>D988</f>
        <v>100253.94657493017</v>
      </c>
      <c r="E1008" s="369">
        <f>E988</f>
        <v>14245.31337707861</v>
      </c>
      <c r="F1008" s="369">
        <f>F988</f>
        <v>-273.35892377927576</v>
      </c>
      <c r="G1008" s="369">
        <f>SUM(D1008:F1008)</f>
        <v>114225.90102822951</v>
      </c>
      <c r="H1008" s="369"/>
      <c r="I1008" s="369">
        <f>I988</f>
        <v>-8660.4579505744096</v>
      </c>
      <c r="J1008" s="1251"/>
      <c r="K1008" s="369">
        <f>K988</f>
        <v>173.29400000000001</v>
      </c>
      <c r="L1008" s="369">
        <v>0</v>
      </c>
      <c r="M1008" s="369">
        <f>M988</f>
        <v>-273.35892377927576</v>
      </c>
      <c r="N1008" s="369">
        <f>N988</f>
        <v>0</v>
      </c>
      <c r="O1008" s="369">
        <f>I1008+K1008+L1008+M1008+N1008</f>
        <v>-8760.5228743536863</v>
      </c>
    </row>
    <row r="1009" spans="1:15">
      <c r="A1009" s="361">
        <f>A1008+1</f>
        <v>20</v>
      </c>
      <c r="B1009" s="365">
        <v>383</v>
      </c>
      <c r="C1009" s="358" t="s">
        <v>1625</v>
      </c>
      <c r="D1009" s="923">
        <f>D1010-D1008</f>
        <v>7496233.1134250686</v>
      </c>
      <c r="E1009" s="923">
        <f>E1010-E1008</f>
        <v>25864.526622921388</v>
      </c>
      <c r="F1009" s="923">
        <f>F1010-F1008</f>
        <v>-496.39107622072424</v>
      </c>
      <c r="G1009" s="923">
        <f>SUM(D1009:F1009)</f>
        <v>7521601.2489717687</v>
      </c>
      <c r="H1009" s="369"/>
      <c r="I1009" s="923">
        <f>I1010-I1008</f>
        <v>2590803.2579505746</v>
      </c>
      <c r="J1009" s="1251"/>
      <c r="K1009" s="923">
        <f>K1010-K1008</f>
        <v>12139.706</v>
      </c>
      <c r="L1009" s="923">
        <v>0</v>
      </c>
      <c r="M1009" s="923">
        <f>M1010-M1008</f>
        <v>-496.39107622072424</v>
      </c>
      <c r="N1009" s="923">
        <f>N1010-N1008</f>
        <v>0</v>
      </c>
      <c r="O1009" s="923">
        <f>I1009+K1009+L1009+M1009+N1009</f>
        <v>2602446.5728743537</v>
      </c>
    </row>
    <row r="1010" spans="1:15">
      <c r="A1010" s="361">
        <f>A1009+1</f>
        <v>21</v>
      </c>
      <c r="B1010" s="365">
        <v>383</v>
      </c>
      <c r="C1010" s="358" t="s">
        <v>3082</v>
      </c>
      <c r="D1010" s="369">
        <f>G964</f>
        <v>7596487.0599999987</v>
      </c>
      <c r="E1010" s="369">
        <f>+'INPUT - B Schedule PLANT'!DN35</f>
        <v>40109.839999999997</v>
      </c>
      <c r="F1010" s="369">
        <f>+'INPUT - B Schedule PLANT'!DO35</f>
        <v>-769.75</v>
      </c>
      <c r="G1010" s="369">
        <f>SUM(G1008:G1009)</f>
        <v>7635827.1499999985</v>
      </c>
      <c r="H1010" s="369"/>
      <c r="I1010" s="369">
        <f>O964</f>
        <v>2582142.8000000003</v>
      </c>
      <c r="J1010" s="1251">
        <f>$J$688</f>
        <v>1.9400000000000001E-2</v>
      </c>
      <c r="K1010" s="369">
        <f>ROUND((D1010+G1010)/2*J1010/12,0)</f>
        <v>12313</v>
      </c>
      <c r="L1010" s="369">
        <f>SUM(L1008:L1009)</f>
        <v>0</v>
      </c>
      <c r="M1010" s="369">
        <f>F1010</f>
        <v>-769.75</v>
      </c>
      <c r="N1010" s="369">
        <v>0</v>
      </c>
      <c r="O1010" s="369">
        <f>SUM(O1008:O1009)</f>
        <v>2593686.0499999998</v>
      </c>
    </row>
    <row r="1013" spans="1:15" s="291" customFormat="1">
      <c r="A1013" s="1308" t="str">
        <f>$A$1</f>
        <v>COLUMBIA GAS OF KENTUCKY, INC.</v>
      </c>
      <c r="B1013" s="1308"/>
      <c r="C1013" s="1308"/>
      <c r="D1013" s="1308"/>
      <c r="E1013" s="1308"/>
      <c r="F1013" s="1308"/>
      <c r="G1013" s="1308"/>
      <c r="H1013" s="1308"/>
      <c r="I1013" s="1308"/>
      <c r="J1013" s="1308"/>
      <c r="K1013" s="1308"/>
      <c r="L1013" s="1308"/>
      <c r="M1013" s="1308"/>
      <c r="N1013" s="1308"/>
      <c r="O1013" s="1308"/>
    </row>
    <row r="1014" spans="1:15" s="291" customFormat="1">
      <c r="A1014" s="1308" t="str">
        <f>$A$2</f>
        <v>CASE NO. 2024 - 00092</v>
      </c>
      <c r="B1014" s="1308"/>
      <c r="C1014" s="1308"/>
      <c r="D1014" s="1308"/>
      <c r="E1014" s="1308"/>
      <c r="F1014" s="1308"/>
      <c r="G1014" s="1308"/>
      <c r="H1014" s="1308"/>
      <c r="I1014" s="1308"/>
      <c r="J1014" s="1308"/>
      <c r="K1014" s="1308"/>
      <c r="L1014" s="1308"/>
      <c r="M1014" s="1308"/>
      <c r="N1014" s="1308"/>
      <c r="O1014" s="1308"/>
    </row>
    <row r="1015" spans="1:15" s="291" customFormat="1">
      <c r="A1015" s="1308" t="str">
        <f>$A$3</f>
        <v>DETAIL OF ACTUAL &amp;  FORECASTED SMRP PLANT, ACCUMULATED RESERVE &amp; DEPRECIATION EXPENSE</v>
      </c>
      <c r="B1015" s="1308"/>
      <c r="C1015" s="1308"/>
      <c r="D1015" s="1308"/>
      <c r="E1015" s="1308"/>
      <c r="F1015" s="1308"/>
      <c r="G1015" s="1308"/>
      <c r="H1015" s="1308"/>
      <c r="I1015" s="1308"/>
      <c r="J1015" s="1308"/>
      <c r="K1015" s="1308"/>
      <c r="L1015" s="1308"/>
      <c r="M1015" s="1308"/>
      <c r="N1015" s="1308"/>
      <c r="O1015" s="1308"/>
    </row>
    <row r="1016" spans="1:15" s="291" customFormat="1">
      <c r="A1016" s="1308" t="str">
        <f>$A$4</f>
        <v>FROM JANUARY 01, 2023 THROUGH DECEMBER 31, 2025</v>
      </c>
      <c r="B1016" s="1308"/>
      <c r="C1016" s="1308"/>
      <c r="D1016" s="1308"/>
      <c r="E1016" s="1308"/>
      <c r="F1016" s="1308"/>
      <c r="G1016" s="1308"/>
      <c r="H1016" s="1308"/>
      <c r="I1016" s="1308"/>
      <c r="J1016" s="1308"/>
      <c r="K1016" s="1308"/>
      <c r="L1016" s="1308"/>
      <c r="M1016" s="1308"/>
      <c r="N1016" s="1308"/>
      <c r="O1016" s="1308"/>
    </row>
    <row r="1017" spans="1:15" s="291" customFormat="1">
      <c r="B1017" s="293"/>
    </row>
    <row r="1018" spans="1:15" s="291" customFormat="1">
      <c r="A1018" s="297" t="str">
        <f>'General Headers Index'!$B$34</f>
        <v xml:space="preserve">DATA: _X_ BASE PERIOD _X_ FORECASTED PERIOD     </v>
      </c>
      <c r="B1018" s="293"/>
      <c r="O1018" s="312" t="s">
        <v>2461</v>
      </c>
    </row>
    <row r="1019" spans="1:15" s="291" customFormat="1">
      <c r="A1019" s="297" t="str">
        <f>'General Headers Index'!$B$37</f>
        <v>TYPE OF FILING:___X___ORIGINAL______UPDATED</v>
      </c>
      <c r="B1019" s="293"/>
      <c r="O1019" s="312" t="s">
        <v>2245</v>
      </c>
    </row>
    <row r="1020" spans="1:15" s="291" customFormat="1">
      <c r="A1020" s="297" t="s">
        <v>2150</v>
      </c>
      <c r="B1020" s="293"/>
      <c r="O1020" s="312" t="str">
        <f>"WITNESS: "&amp;'General Headers Index'!$B$42</f>
        <v>WITNESS: GORE</v>
      </c>
    </row>
    <row r="1021" spans="1:15">
      <c r="A1021" s="918"/>
      <c r="B1021" s="918"/>
      <c r="C1021" s="918"/>
      <c r="D1021" s="918"/>
      <c r="E1021" s="918"/>
      <c r="F1021" s="918"/>
      <c r="G1021" s="918"/>
      <c r="H1021" s="918"/>
      <c r="I1021" s="918"/>
      <c r="J1021" s="918"/>
      <c r="K1021" s="918"/>
      <c r="L1021" s="918"/>
      <c r="M1021" s="918"/>
      <c r="N1021" s="918"/>
      <c r="O1021" s="918"/>
    </row>
    <row r="1022" spans="1:15">
      <c r="B1022" s="359"/>
      <c r="D1022" s="1312" t="s">
        <v>1768</v>
      </c>
      <c r="E1022" s="1312"/>
      <c r="F1022" s="1312"/>
      <c r="G1022" s="1312"/>
      <c r="I1022" s="1312" t="s">
        <v>1769</v>
      </c>
      <c r="J1022" s="1312"/>
      <c r="K1022" s="1312"/>
      <c r="L1022" s="1312"/>
      <c r="M1022" s="1312"/>
      <c r="N1022" s="1312"/>
      <c r="O1022" s="1312"/>
    </row>
    <row r="1023" spans="1:15">
      <c r="B1023" s="359"/>
      <c r="D1023" s="360">
        <f>G977+1</f>
        <v>45597</v>
      </c>
      <c r="G1023" s="360">
        <f>D1023+29</f>
        <v>45626</v>
      </c>
      <c r="I1023" s="360">
        <f>D1023</f>
        <v>45597</v>
      </c>
      <c r="O1023" s="360">
        <f>G1023</f>
        <v>45626</v>
      </c>
    </row>
    <row r="1024" spans="1:15">
      <c r="B1024" s="359"/>
      <c r="D1024" s="361" t="s">
        <v>1757</v>
      </c>
      <c r="G1024" s="361" t="s">
        <v>1757</v>
      </c>
      <c r="I1024" s="361" t="s">
        <v>1758</v>
      </c>
      <c r="J1024" s="361" t="s">
        <v>488</v>
      </c>
      <c r="L1024" s="361" t="s">
        <v>1758</v>
      </c>
      <c r="O1024" s="361" t="s">
        <v>1758</v>
      </c>
    </row>
    <row r="1025" spans="1:15">
      <c r="A1025" s="361" t="s">
        <v>1770</v>
      </c>
      <c r="B1025" s="361" t="s">
        <v>368</v>
      </c>
      <c r="C1025" s="361"/>
      <c r="D1025" s="361" t="s">
        <v>437</v>
      </c>
      <c r="G1025" s="361" t="s">
        <v>439</v>
      </c>
      <c r="I1025" s="361" t="s">
        <v>437</v>
      </c>
      <c r="J1025" s="361" t="s">
        <v>1771</v>
      </c>
      <c r="K1025" s="361" t="s">
        <v>1772</v>
      </c>
      <c r="L1025" s="361" t="s">
        <v>1759</v>
      </c>
      <c r="N1025" s="361" t="s">
        <v>1760</v>
      </c>
      <c r="O1025" s="361" t="s">
        <v>439</v>
      </c>
    </row>
    <row r="1026" spans="1:15">
      <c r="A1026" s="364" t="s">
        <v>316</v>
      </c>
      <c r="B1026" s="364" t="s">
        <v>316</v>
      </c>
      <c r="C1026" s="364" t="s">
        <v>451</v>
      </c>
      <c r="D1026" s="364" t="s">
        <v>441</v>
      </c>
      <c r="E1026" s="364" t="s">
        <v>442</v>
      </c>
      <c r="F1026" s="364" t="s">
        <v>443</v>
      </c>
      <c r="G1026" s="364" t="s">
        <v>441</v>
      </c>
      <c r="I1026" s="364" t="s">
        <v>441</v>
      </c>
      <c r="J1026" s="364" t="s">
        <v>1773</v>
      </c>
      <c r="K1026" s="364" t="s">
        <v>1771</v>
      </c>
      <c r="L1026" s="364" t="s">
        <v>355</v>
      </c>
      <c r="M1026" s="364" t="s">
        <v>443</v>
      </c>
      <c r="N1026" s="364" t="s">
        <v>1763</v>
      </c>
      <c r="O1026" s="364" t="s">
        <v>441</v>
      </c>
    </row>
    <row r="1027" spans="1:15">
      <c r="B1027" s="359"/>
      <c r="D1027" s="361" t="s">
        <v>532</v>
      </c>
      <c r="E1027" s="361" t="s">
        <v>541</v>
      </c>
      <c r="F1027" s="361" t="s">
        <v>542</v>
      </c>
      <c r="G1027" s="361" t="s">
        <v>1764</v>
      </c>
      <c r="I1027" s="334" t="str">
        <f>"(5)"</f>
        <v>(5)</v>
      </c>
      <c r="J1027" s="334" t="str">
        <f>"(6)"</f>
        <v>(6)</v>
      </c>
      <c r="K1027" s="334" t="str">
        <f>"(7)=((1+4)/2*6/12))"</f>
        <v>(7)=((1+4)/2*6/12))</v>
      </c>
      <c r="L1027" s="334" t="str">
        <f>"(8)"</f>
        <v>(8)</v>
      </c>
      <c r="M1027" s="334" t="str">
        <f>"(9)"</f>
        <v>(9)</v>
      </c>
      <c r="N1027" s="334" t="str">
        <f>"(10)"</f>
        <v>(10)</v>
      </c>
      <c r="O1027" s="334" t="str">
        <f>"(11=5+7+8+9+10)"</f>
        <v>(11=5+7+8+9+10)</v>
      </c>
    </row>
    <row r="1028" spans="1:15">
      <c r="B1028" s="359"/>
      <c r="D1028" s="361" t="s">
        <v>320</v>
      </c>
      <c r="E1028" s="361" t="s">
        <v>320</v>
      </c>
      <c r="F1028" s="361" t="s">
        <v>320</v>
      </c>
      <c r="G1028" s="361" t="s">
        <v>320</v>
      </c>
      <c r="I1028" s="334" t="s">
        <v>320</v>
      </c>
      <c r="J1028" s="1250" t="s">
        <v>529</v>
      </c>
      <c r="K1028" s="334" t="s">
        <v>320</v>
      </c>
      <c r="L1028" s="334" t="s">
        <v>320</v>
      </c>
      <c r="M1028" s="334" t="s">
        <v>320</v>
      </c>
      <c r="N1028" s="334" t="s">
        <v>320</v>
      </c>
      <c r="O1028" s="334" t="s">
        <v>320</v>
      </c>
    </row>
    <row r="1029" spans="1:15">
      <c r="B1029" s="359"/>
      <c r="D1029" s="361"/>
      <c r="E1029" s="361"/>
      <c r="F1029" s="361"/>
      <c r="G1029" s="361"/>
      <c r="I1029" s="334"/>
      <c r="J1029" s="334"/>
      <c r="K1029" s="334"/>
      <c r="L1029" s="334"/>
      <c r="M1029" s="334"/>
      <c r="N1029" s="334"/>
      <c r="O1029" s="334"/>
    </row>
    <row r="1030" spans="1:15">
      <c r="A1030" s="361">
        <v>1</v>
      </c>
      <c r="B1030" s="365">
        <v>376</v>
      </c>
      <c r="C1030" s="358" t="s">
        <v>1775</v>
      </c>
      <c r="D1030" s="369">
        <f>G984</f>
        <v>47311462.987143911</v>
      </c>
      <c r="E1030" s="369">
        <v>1808638.0889471162</v>
      </c>
      <c r="F1030" s="369">
        <v>-28291.125201744471</v>
      </c>
      <c r="G1030" s="369">
        <f>SUM(D1030:F1030)</f>
        <v>49091809.950889282</v>
      </c>
      <c r="H1030" s="369"/>
      <c r="I1030" s="369">
        <f>O984</f>
        <v>287434.00982530939</v>
      </c>
      <c r="J1030" s="1251">
        <f>$J$662</f>
        <v>1.7399999999999999E-2</v>
      </c>
      <c r="K1030" s="380">
        <v>69892.751999999993</v>
      </c>
      <c r="L1030" s="369">
        <v>0</v>
      </c>
      <c r="M1030" s="369">
        <f>F1030</f>
        <v>-28291.125201744471</v>
      </c>
      <c r="N1030" s="369">
        <v>-11800.739304786455</v>
      </c>
      <c r="O1030" s="369">
        <f>I1030+K1030+L1030+M1030+N1030</f>
        <v>317234.89731877844</v>
      </c>
    </row>
    <row r="1031" spans="1:15">
      <c r="A1031" s="361">
        <f>A1030+1</f>
        <v>2</v>
      </c>
      <c r="B1031" s="365">
        <v>378.2</v>
      </c>
      <c r="C1031" s="358" t="s">
        <v>1776</v>
      </c>
      <c r="D1031" s="369">
        <f>G985</f>
        <v>464163.33248886524</v>
      </c>
      <c r="E1031" s="369">
        <v>75803.69957783568</v>
      </c>
      <c r="F1031" s="369">
        <v>-47655.24780919504</v>
      </c>
      <c r="G1031" s="369">
        <f>SUM(D1031:F1031)</f>
        <v>492311.78425750596</v>
      </c>
      <c r="H1031" s="369"/>
      <c r="I1031" s="369">
        <f>O985</f>
        <v>-854071.98131514306</v>
      </c>
      <c r="J1031" s="1251">
        <f>$J$663</f>
        <v>2.52E-2</v>
      </c>
      <c r="K1031" s="380">
        <v>1004.556</v>
      </c>
      <c r="L1031" s="369">
        <v>0</v>
      </c>
      <c r="M1031" s="369">
        <f>F1031</f>
        <v>-47655.24780919504</v>
      </c>
      <c r="N1031" s="369">
        <v>-3436.1354401492945</v>
      </c>
      <c r="O1031" s="369">
        <f>I1031+K1031+L1031+M1031+N1031</f>
        <v>-904158.8085644875</v>
      </c>
    </row>
    <row r="1032" spans="1:15">
      <c r="A1032" s="361">
        <f>A1031+1</f>
        <v>3</v>
      </c>
      <c r="B1032" s="365">
        <v>380</v>
      </c>
      <c r="C1032" s="358" t="s">
        <v>1777</v>
      </c>
      <c r="D1032" s="369">
        <f>G986</f>
        <v>20571617.569017015</v>
      </c>
      <c r="E1032" s="369">
        <v>1229330.0759411473</v>
      </c>
      <c r="F1032" s="369">
        <v>-524944.83527071134</v>
      </c>
      <c r="G1032" s="369">
        <f>SUM(D1032:F1032)</f>
        <v>21276002.809687451</v>
      </c>
      <c r="H1032" s="369"/>
      <c r="I1032" s="369">
        <f>O986</f>
        <v>-10024320.946788477</v>
      </c>
      <c r="J1032" s="1251">
        <f>$J$664</f>
        <v>3.9800000000000002E-2</v>
      </c>
      <c r="K1032" s="380">
        <v>69397.106</v>
      </c>
      <c r="L1032" s="369">
        <v>0</v>
      </c>
      <c r="M1032" s="369">
        <f>F1032</f>
        <v>-524944.83527071134</v>
      </c>
      <c r="N1032" s="369">
        <v>-264217.21450967807</v>
      </c>
      <c r="O1032" s="369">
        <f>I1032+K1032+L1032+M1032+N1032</f>
        <v>-10744085.890568867</v>
      </c>
    </row>
    <row r="1033" spans="1:15">
      <c r="A1033" s="361">
        <f>A1032+1</f>
        <v>4</v>
      </c>
      <c r="B1033" s="365">
        <v>382</v>
      </c>
      <c r="C1033" s="358" t="s">
        <v>1778</v>
      </c>
      <c r="D1033" s="369">
        <f>G987</f>
        <v>191222.73199950485</v>
      </c>
      <c r="E1033" s="369">
        <v>14809.990125341212</v>
      </c>
      <c r="F1033" s="369">
        <v>-3076.4472412953423</v>
      </c>
      <c r="G1033" s="369">
        <f>SUM(D1033:F1033)</f>
        <v>202956.27488355074</v>
      </c>
      <c r="H1033" s="369"/>
      <c r="I1033" s="369">
        <f>O987</f>
        <v>-72105.770000495133</v>
      </c>
      <c r="J1033" s="1251">
        <f>$J$665</f>
        <v>1.77E-2</v>
      </c>
      <c r="K1033" s="380">
        <v>290.65300000000002</v>
      </c>
      <c r="L1033" s="369">
        <v>0</v>
      </c>
      <c r="M1033" s="369">
        <f>F1033</f>
        <v>-3076.4472412953423</v>
      </c>
      <c r="N1033" s="369">
        <v>0</v>
      </c>
      <c r="O1033" s="369">
        <f>I1033+K1033+L1033+M1033+N1033</f>
        <v>-74891.564241790475</v>
      </c>
    </row>
    <row r="1034" spans="1:15">
      <c r="A1034" s="361">
        <f>A1033+1</f>
        <v>5</v>
      </c>
      <c r="B1034" s="365">
        <v>383</v>
      </c>
      <c r="C1034" s="358" t="s">
        <v>1779</v>
      </c>
      <c r="D1034" s="923">
        <f>G988</f>
        <v>114225.90102822951</v>
      </c>
      <c r="E1034" s="923">
        <v>14051.992559498034</v>
      </c>
      <c r="F1034" s="923">
        <v>-428.96557714444043</v>
      </c>
      <c r="G1034" s="923">
        <f>SUM(D1034:F1034)</f>
        <v>127848.9280105831</v>
      </c>
      <c r="H1034" s="369"/>
      <c r="I1034" s="923">
        <f>O988</f>
        <v>-8760.5228743536863</v>
      </c>
      <c r="J1034" s="1251">
        <f>$J$666</f>
        <v>1.9400000000000001E-2</v>
      </c>
      <c r="K1034" s="925">
        <v>196.012</v>
      </c>
      <c r="L1034" s="923">
        <v>0</v>
      </c>
      <c r="M1034" s="923">
        <f>F1034</f>
        <v>-428.96557714444043</v>
      </c>
      <c r="N1034" s="923">
        <v>0</v>
      </c>
      <c r="O1034" s="923">
        <f>I1034+K1034+L1034+M1034+N1034</f>
        <v>-8993.4764514981252</v>
      </c>
    </row>
    <row r="1035" spans="1:15">
      <c r="A1035" s="361">
        <f>A1034+1</f>
        <v>6</v>
      </c>
      <c r="C1035" s="358" t="s">
        <v>3077</v>
      </c>
      <c r="D1035" s="369">
        <f>SUM(D1030:D1034)</f>
        <v>68652692.521677524</v>
      </c>
      <c r="E1035" s="369">
        <f>SUM(E1030:E1034)</f>
        <v>3142633.8471509386</v>
      </c>
      <c r="F1035" s="369">
        <f>SUM(F1030:F1034)</f>
        <v>-604396.62110009068</v>
      </c>
      <c r="G1035" s="369">
        <f>SUM(G1030:G1034)</f>
        <v>71190929.747728378</v>
      </c>
      <c r="H1035" s="369"/>
      <c r="I1035" s="369">
        <f>SUM(I1030:I1034)</f>
        <v>-10671825.211153159</v>
      </c>
      <c r="J1035" s="369"/>
      <c r="K1035" s="369">
        <f>SUM(K1030:K1034)</f>
        <v>140781.07899999997</v>
      </c>
      <c r="L1035" s="369">
        <f t="shared" ref="L1035" si="22">SUM(L1030:L1034)</f>
        <v>0</v>
      </c>
      <c r="M1035" s="369">
        <f>SUM(M1030:M1034)</f>
        <v>-604396.62110009068</v>
      </c>
      <c r="N1035" s="369">
        <f>SUM(N1030:N1034)</f>
        <v>-279454.08925461385</v>
      </c>
      <c r="O1035" s="369">
        <f>SUM(O1030:O1034)</f>
        <v>-11414894.842507865</v>
      </c>
    </row>
    <row r="1036" spans="1:15">
      <c r="A1036" s="361"/>
      <c r="D1036" s="369"/>
      <c r="E1036" s="369"/>
      <c r="F1036" s="369"/>
      <c r="G1036" s="369"/>
      <c r="H1036" s="369"/>
      <c r="I1036" s="369"/>
      <c r="J1036" s="369"/>
      <c r="K1036" s="369"/>
      <c r="L1036" s="369"/>
      <c r="M1036" s="369"/>
      <c r="N1036" s="369"/>
      <c r="O1036" s="369"/>
    </row>
    <row r="1037" spans="1:15">
      <c r="A1037" s="361"/>
      <c r="D1037" s="369"/>
      <c r="E1037" s="369"/>
      <c r="F1037" s="369"/>
      <c r="G1037" s="369"/>
      <c r="H1037" s="369"/>
      <c r="I1037" s="369"/>
      <c r="J1037" s="369"/>
      <c r="K1037" s="369"/>
      <c r="L1037" s="369"/>
      <c r="M1037" s="369"/>
      <c r="N1037" s="369"/>
      <c r="O1037" s="369"/>
    </row>
    <row r="1038" spans="1:15">
      <c r="A1038" s="361">
        <f>A1035+1</f>
        <v>7</v>
      </c>
      <c r="B1038" s="365">
        <v>376</v>
      </c>
      <c r="C1038" s="358" t="s">
        <v>1775</v>
      </c>
      <c r="D1038" s="369">
        <f>D1030</f>
        <v>47311462.987143911</v>
      </c>
      <c r="E1038" s="369">
        <f>E1030</f>
        <v>1808638.0889471162</v>
      </c>
      <c r="F1038" s="369">
        <f>F1030</f>
        <v>-28291.125201744471</v>
      </c>
      <c r="G1038" s="369">
        <f>SUM(D1038:F1038)</f>
        <v>49091809.950889282</v>
      </c>
      <c r="H1038" s="369"/>
      <c r="I1038" s="369">
        <f>I1030</f>
        <v>287434.00982530939</v>
      </c>
      <c r="J1038" s="1251"/>
      <c r="K1038" s="369">
        <f>K1030</f>
        <v>69892.751999999993</v>
      </c>
      <c r="L1038" s="369">
        <v>0</v>
      </c>
      <c r="M1038" s="369">
        <f>M1030</f>
        <v>-28291.125201744471</v>
      </c>
      <c r="N1038" s="369">
        <f>N1030</f>
        <v>-11800.739304786455</v>
      </c>
      <c r="O1038" s="369">
        <f>I1038+K1038+L1038+M1038+N1038</f>
        <v>317234.89731877844</v>
      </c>
    </row>
    <row r="1039" spans="1:15">
      <c r="A1039" s="361">
        <f>A1038+1</f>
        <v>8</v>
      </c>
      <c r="B1039" s="365">
        <v>376</v>
      </c>
      <c r="C1039" s="358" t="s">
        <v>1621</v>
      </c>
      <c r="D1039" s="923">
        <f>D1040-D1038</f>
        <v>417939808.44285613</v>
      </c>
      <c r="E1039" s="923">
        <f>E1040-E1038</f>
        <v>1042682.9610528836</v>
      </c>
      <c r="F1039" s="923">
        <f>F1040-F1038</f>
        <v>-68525.574798255519</v>
      </c>
      <c r="G1039" s="923">
        <f>SUM(D1039:F1039)</f>
        <v>418913965.8291108</v>
      </c>
      <c r="H1039" s="369"/>
      <c r="I1039" s="923">
        <f>I1040-I1038</f>
        <v>85146986.250174776</v>
      </c>
      <c r="J1039" s="1251"/>
      <c r="K1039" s="923">
        <f>K1040-K1038</f>
        <v>606718.24800000002</v>
      </c>
      <c r="L1039" s="923">
        <v>0</v>
      </c>
      <c r="M1039" s="923">
        <f>M1040-M1038</f>
        <v>-68525.574798255519</v>
      </c>
      <c r="N1039" s="923">
        <f>N1040-N1038</f>
        <v>8027.1193047864554</v>
      </c>
      <c r="O1039" s="923">
        <f>I1039+K1039+L1039+M1039+N1039</f>
        <v>85693206.042681307</v>
      </c>
    </row>
    <row r="1040" spans="1:15">
      <c r="A1040" s="361">
        <f>A1039+1</f>
        <v>9</v>
      </c>
      <c r="B1040" s="365">
        <v>376</v>
      </c>
      <c r="C1040" s="358" t="s">
        <v>3078</v>
      </c>
      <c r="D1040" s="369">
        <f>G994</f>
        <v>465251271.43000007</v>
      </c>
      <c r="E1040" s="369">
        <f>+'INPUT - B Schedule PLANT'!DS26</f>
        <v>2851321.05</v>
      </c>
      <c r="F1040" s="369">
        <f>+'INPUT - B Schedule PLANT'!DT26</f>
        <v>-96816.7</v>
      </c>
      <c r="G1040" s="369">
        <f>SUM(G1038:G1039)</f>
        <v>468005775.78000009</v>
      </c>
      <c r="H1040" s="369"/>
      <c r="I1040" s="369">
        <f>O994</f>
        <v>85434420.26000008</v>
      </c>
      <c r="J1040" s="1251">
        <f>$J$672</f>
        <v>1.7399999999999999E-2</v>
      </c>
      <c r="K1040" s="369">
        <f>ROUND((D1040+G1040)/2*J1040/12,0)</f>
        <v>676611</v>
      </c>
      <c r="L1040" s="369">
        <f>SUM(L1038:L1039)</f>
        <v>0</v>
      </c>
      <c r="M1040" s="369">
        <f>F1040</f>
        <v>-96816.7</v>
      </c>
      <c r="N1040" s="369">
        <v>-3773.62</v>
      </c>
      <c r="O1040" s="369">
        <f>SUM(O1038:O1039)</f>
        <v>86010440.940000087</v>
      </c>
    </row>
    <row r="1041" spans="1:15">
      <c r="A1041" s="361"/>
      <c r="B1041" s="365"/>
      <c r="D1041" s="369"/>
      <c r="E1041" s="369"/>
      <c r="F1041" s="369"/>
      <c r="G1041" s="369"/>
      <c r="H1041" s="369"/>
      <c r="I1041" s="369"/>
      <c r="J1041" s="1251"/>
      <c r="K1041" s="369"/>
      <c r="L1041" s="369"/>
      <c r="M1041" s="369"/>
      <c r="N1041" s="369"/>
      <c r="O1041" s="369"/>
    </row>
    <row r="1042" spans="1:15">
      <c r="A1042" s="361">
        <f>A1040+1</f>
        <v>10</v>
      </c>
      <c r="B1042" s="365">
        <v>378.2</v>
      </c>
      <c r="C1042" s="358" t="s">
        <v>1776</v>
      </c>
      <c r="D1042" s="369">
        <f>D1031</f>
        <v>464163.33248886524</v>
      </c>
      <c r="E1042" s="369">
        <f>E1031</f>
        <v>75803.69957783568</v>
      </c>
      <c r="F1042" s="369">
        <f>F1031</f>
        <v>-47655.24780919504</v>
      </c>
      <c r="G1042" s="369">
        <f>SUM(D1042:F1042)</f>
        <v>492311.78425750596</v>
      </c>
      <c r="H1042" s="369"/>
      <c r="I1042" s="369">
        <f>I1031</f>
        <v>-854071.98131514306</v>
      </c>
      <c r="J1042" s="1251"/>
      <c r="K1042" s="369">
        <f>K1031</f>
        <v>1004.556</v>
      </c>
      <c r="L1042" s="369">
        <v>0</v>
      </c>
      <c r="M1042" s="369">
        <f>M1031</f>
        <v>-47655.24780919504</v>
      </c>
      <c r="N1042" s="369">
        <f>N1031</f>
        <v>-3436.1354401492945</v>
      </c>
      <c r="O1042" s="369">
        <f>I1042+K1042+L1042+M1042+N1042</f>
        <v>-904158.8085644875</v>
      </c>
    </row>
    <row r="1043" spans="1:15">
      <c r="A1043" s="361">
        <f>A1042+1</f>
        <v>11</v>
      </c>
      <c r="B1043" s="365">
        <v>378.2</v>
      </c>
      <c r="C1043" s="358" t="s">
        <v>1622</v>
      </c>
      <c r="D1043" s="923">
        <f>D1044-D1042</f>
        <v>27534305.847511128</v>
      </c>
      <c r="E1043" s="923">
        <f>E1044-E1042</f>
        <v>47983.930422164325</v>
      </c>
      <c r="F1043" s="923">
        <f>F1044-F1042</f>
        <v>-2.1908049602643587E-3</v>
      </c>
      <c r="G1043" s="923">
        <f>SUM(D1043:F1043)</f>
        <v>27582289.775742486</v>
      </c>
      <c r="H1043" s="369"/>
      <c r="I1043" s="923">
        <f>I1044-I1042</f>
        <v>3671599.5113151432</v>
      </c>
      <c r="J1043" s="1251"/>
      <c r="K1043" s="923">
        <f>K1044-K1042</f>
        <v>57872.444000000003</v>
      </c>
      <c r="L1043" s="923">
        <v>0</v>
      </c>
      <c r="M1043" s="923">
        <f>M1044-M1042</f>
        <v>-2.1908049602643587E-3</v>
      </c>
      <c r="N1043" s="923">
        <f>N1044-N1042</f>
        <v>-1262.4045598507055</v>
      </c>
      <c r="O1043" s="923">
        <f>I1043+K1043+L1043+M1043+N1043</f>
        <v>3728209.5485644876</v>
      </c>
    </row>
    <row r="1044" spans="1:15">
      <c r="A1044" s="361">
        <f>A1043+1</f>
        <v>12</v>
      </c>
      <c r="B1044" s="365">
        <v>378.2</v>
      </c>
      <c r="C1044" s="358" t="s">
        <v>3079</v>
      </c>
      <c r="D1044" s="369">
        <f>G998</f>
        <v>27998469.179999992</v>
      </c>
      <c r="E1044" s="369">
        <f>+'INPUT - B Schedule PLANT'!DS28</f>
        <v>123787.63</v>
      </c>
      <c r="F1044" s="369">
        <f>+'INPUT - B Schedule PLANT'!DT28</f>
        <v>-47655.25</v>
      </c>
      <c r="G1044" s="369">
        <f>SUM(G1042:G1043)</f>
        <v>28074601.559999991</v>
      </c>
      <c r="H1044" s="369"/>
      <c r="I1044" s="369">
        <f>O998</f>
        <v>2817527.5300000003</v>
      </c>
      <c r="J1044" s="1251">
        <f>$J$676</f>
        <v>2.52E-2</v>
      </c>
      <c r="K1044" s="369">
        <f>ROUND((D1044+G1044)/2*J1044/12,0)</f>
        <v>58877</v>
      </c>
      <c r="L1044" s="369">
        <f>SUM(L1042:L1043)</f>
        <v>0</v>
      </c>
      <c r="M1044" s="369">
        <f>F1044</f>
        <v>-47655.25</v>
      </c>
      <c r="N1044" s="369">
        <v>-4698.54</v>
      </c>
      <c r="O1044" s="369">
        <f>SUM(O1042:O1043)</f>
        <v>2824050.74</v>
      </c>
    </row>
    <row r="1045" spans="1:15">
      <c r="A1045" s="361"/>
      <c r="B1045" s="365"/>
      <c r="D1045" s="369"/>
      <c r="E1045" s="369"/>
      <c r="F1045" s="369"/>
      <c r="G1045" s="369"/>
      <c r="H1045" s="369"/>
      <c r="I1045" s="369"/>
      <c r="J1045" s="1251"/>
      <c r="K1045" s="369"/>
      <c r="L1045" s="369"/>
      <c r="M1045" s="369"/>
      <c r="N1045" s="369"/>
      <c r="O1045" s="369"/>
    </row>
    <row r="1046" spans="1:15">
      <c r="A1046" s="361">
        <f>A1044+1</f>
        <v>13</v>
      </c>
      <c r="B1046" s="365">
        <v>380</v>
      </c>
      <c r="C1046" s="358" t="s">
        <v>1777</v>
      </c>
      <c r="D1046" s="369">
        <f>D1032</f>
        <v>20571617.569017015</v>
      </c>
      <c r="E1046" s="369">
        <f>E1032</f>
        <v>1229330.0759411473</v>
      </c>
      <c r="F1046" s="369">
        <f>F1032</f>
        <v>-524944.83527071134</v>
      </c>
      <c r="G1046" s="369">
        <f>SUM(D1046:F1046)</f>
        <v>21276002.809687451</v>
      </c>
      <c r="H1046" s="369"/>
      <c r="I1046" s="369">
        <f>I1032</f>
        <v>-10024320.946788477</v>
      </c>
      <c r="J1046" s="1251"/>
      <c r="K1046" s="369">
        <f>K1032</f>
        <v>69397.106</v>
      </c>
      <c r="L1046" s="369">
        <v>0</v>
      </c>
      <c r="M1046" s="369">
        <f>M1032</f>
        <v>-524944.83527071134</v>
      </c>
      <c r="N1046" s="369">
        <f>N1032</f>
        <v>-264217.21450967807</v>
      </c>
      <c r="O1046" s="369">
        <f>I1046+K1046+L1046+M1046+N1046</f>
        <v>-10744085.890568867</v>
      </c>
    </row>
    <row r="1047" spans="1:15">
      <c r="A1047" s="361">
        <f>A1046+1</f>
        <v>14</v>
      </c>
      <c r="B1047" s="365">
        <v>380</v>
      </c>
      <c r="C1047" s="358" t="s">
        <v>1623</v>
      </c>
      <c r="D1047" s="923">
        <f>D1048-D1046</f>
        <v>203996934.15098298</v>
      </c>
      <c r="E1047" s="923">
        <f>E1048-E1046</f>
        <v>244135.00405885279</v>
      </c>
      <c r="F1047" s="923">
        <f>F1048-F1046</f>
        <v>-95975.144729288644</v>
      </c>
      <c r="G1047" s="923">
        <f>SUM(D1047:F1047)</f>
        <v>204145094.01031253</v>
      </c>
      <c r="H1047" s="369"/>
      <c r="I1047" s="923">
        <f>I1048-I1046</f>
        <v>65364284.626788497</v>
      </c>
      <c r="J1047" s="1251"/>
      <c r="K1047" s="923">
        <f>K1048-K1046</f>
        <v>676835.89399999997</v>
      </c>
      <c r="L1047" s="923">
        <v>0</v>
      </c>
      <c r="M1047" s="923">
        <f>M1048-M1046</f>
        <v>-95975.144729288644</v>
      </c>
      <c r="N1047" s="923">
        <f>N1048-N1046</f>
        <v>4.5096780522726476E-3</v>
      </c>
      <c r="O1047" s="923">
        <f>I1047+K1047+L1047+M1047+N1047</f>
        <v>65945145.380568892</v>
      </c>
    </row>
    <row r="1048" spans="1:15">
      <c r="A1048" s="361">
        <f>A1047+1</f>
        <v>15</v>
      </c>
      <c r="B1048" s="365">
        <v>380</v>
      </c>
      <c r="C1048" s="358" t="s">
        <v>3080</v>
      </c>
      <c r="D1048" s="369">
        <f>G1002</f>
        <v>224568551.72</v>
      </c>
      <c r="E1048" s="369">
        <f>+'INPUT - B Schedule PLANT'!DS31</f>
        <v>1473465.08</v>
      </c>
      <c r="F1048" s="369">
        <f>+'INPUT - B Schedule PLANT'!DT31</f>
        <v>-620919.98</v>
      </c>
      <c r="G1048" s="369">
        <f>SUM(G1046:G1047)</f>
        <v>225421096.81999999</v>
      </c>
      <c r="H1048" s="369"/>
      <c r="I1048" s="369">
        <f>O1002</f>
        <v>55339963.680000022</v>
      </c>
      <c r="J1048" s="1251">
        <f>$J$680</f>
        <v>3.9800000000000002E-2</v>
      </c>
      <c r="K1048" s="369">
        <f>ROUND((D1048+G1048)/2*J1048/12,0)</f>
        <v>746233</v>
      </c>
      <c r="L1048" s="369">
        <f>SUM(L1046:L1047)</f>
        <v>0</v>
      </c>
      <c r="M1048" s="369">
        <f>F1048</f>
        <v>-620919.98</v>
      </c>
      <c r="N1048" s="369">
        <v>-264217.21000000002</v>
      </c>
      <c r="O1048" s="369">
        <f>SUM(O1046:O1047)</f>
        <v>55201059.490000024</v>
      </c>
    </row>
    <row r="1049" spans="1:15">
      <c r="A1049" s="361"/>
      <c r="B1049" s="365"/>
      <c r="D1049" s="369"/>
      <c r="E1049" s="369"/>
      <c r="F1049" s="369"/>
      <c r="G1049" s="369"/>
      <c r="H1049" s="369"/>
      <c r="I1049" s="369"/>
      <c r="J1049" s="1251"/>
      <c r="K1049" s="369"/>
      <c r="L1049" s="369"/>
      <c r="M1049" s="369"/>
      <c r="N1049" s="369"/>
      <c r="O1049" s="369"/>
    </row>
    <row r="1050" spans="1:15">
      <c r="A1050" s="361">
        <f>A1048+1</f>
        <v>16</v>
      </c>
      <c r="B1050" s="365">
        <v>382</v>
      </c>
      <c r="C1050" s="358" t="s">
        <v>1778</v>
      </c>
      <c r="D1050" s="369">
        <f>D1033</f>
        <v>191222.73199950485</v>
      </c>
      <c r="E1050" s="369">
        <f>E1033</f>
        <v>14809.990125341212</v>
      </c>
      <c r="F1050" s="369">
        <f>F1033</f>
        <v>-3076.4472412953423</v>
      </c>
      <c r="G1050" s="369">
        <f>SUM(D1050:F1050)</f>
        <v>202956.27488355074</v>
      </c>
      <c r="H1050" s="369"/>
      <c r="I1050" s="369">
        <f>I1033</f>
        <v>-72105.770000495133</v>
      </c>
      <c r="J1050" s="1251"/>
      <c r="K1050" s="369">
        <f>K1033</f>
        <v>290.65300000000002</v>
      </c>
      <c r="L1050" s="369">
        <v>0</v>
      </c>
      <c r="M1050" s="369">
        <f>M1033</f>
        <v>-3076.4472412953423</v>
      </c>
      <c r="N1050" s="369">
        <f>N1033</f>
        <v>0</v>
      </c>
      <c r="O1050" s="369">
        <f>I1050+K1050+L1050+M1050+N1050</f>
        <v>-74891.564241790475</v>
      </c>
    </row>
    <row r="1051" spans="1:15">
      <c r="A1051" s="361">
        <f>A1050+1</f>
        <v>17</v>
      </c>
      <c r="B1051" s="365">
        <v>382</v>
      </c>
      <c r="C1051" s="358" t="s">
        <v>1624</v>
      </c>
      <c r="D1051" s="923">
        <f>D1052-D1050</f>
        <v>10651503.258000495</v>
      </c>
      <c r="E1051" s="923">
        <f>E1052-E1050</f>
        <v>16053.599874658788</v>
      </c>
      <c r="F1051" s="923">
        <f>F1052-F1050</f>
        <v>-1667.5027587046575</v>
      </c>
      <c r="G1051" s="923">
        <f>SUM(D1051:F1051)</f>
        <v>10665889.355116449</v>
      </c>
      <c r="H1051" s="369"/>
      <c r="I1051" s="923">
        <f>I1052-I1050</f>
        <v>5986771.1500004958</v>
      </c>
      <c r="J1051" s="1251"/>
      <c r="K1051" s="923">
        <f>K1052-K1050</f>
        <v>15721.347</v>
      </c>
      <c r="L1051" s="923">
        <v>0</v>
      </c>
      <c r="M1051" s="923">
        <f>M1052-M1050</f>
        <v>-1667.5027587046575</v>
      </c>
      <c r="N1051" s="923">
        <f>N1052-N1050</f>
        <v>0</v>
      </c>
      <c r="O1051" s="923">
        <f>I1051+K1051+L1051+M1051+N1051</f>
        <v>6000824.9942417908</v>
      </c>
    </row>
    <row r="1052" spans="1:15">
      <c r="A1052" s="361">
        <f>A1051+1</f>
        <v>18</v>
      </c>
      <c r="B1052" s="365">
        <v>382</v>
      </c>
      <c r="C1052" s="358" t="s">
        <v>3081</v>
      </c>
      <c r="D1052" s="369">
        <f>G1006</f>
        <v>10842725.99</v>
      </c>
      <c r="E1052" s="369">
        <f>+'INPUT - B Schedule PLANT'!DS34</f>
        <v>30863.59</v>
      </c>
      <c r="F1052" s="369">
        <f>+'INPUT - B Schedule PLANT'!DT34</f>
        <v>-4743.95</v>
      </c>
      <c r="G1052" s="369">
        <f>SUM(G1050:G1051)</f>
        <v>10868845.630000001</v>
      </c>
      <c r="H1052" s="369"/>
      <c r="I1052" s="369">
        <f>O1006</f>
        <v>5914665.3800000008</v>
      </c>
      <c r="J1052" s="1251">
        <f>$J$684</f>
        <v>1.77E-2</v>
      </c>
      <c r="K1052" s="369">
        <f>ROUND((D1052+G1052)/2*J1052/12,0)</f>
        <v>16012</v>
      </c>
      <c r="L1052" s="369">
        <f>SUM(L1050:L1051)</f>
        <v>0</v>
      </c>
      <c r="M1052" s="369">
        <f>F1052</f>
        <v>-4743.95</v>
      </c>
      <c r="N1052" s="369">
        <v>0</v>
      </c>
      <c r="O1052" s="369">
        <f>SUM(O1050:O1051)</f>
        <v>5925933.4300000006</v>
      </c>
    </row>
    <row r="1053" spans="1:15">
      <c r="A1053" s="361"/>
      <c r="B1053" s="365"/>
      <c r="D1053" s="369"/>
      <c r="E1053" s="369"/>
      <c r="F1053" s="369"/>
      <c r="G1053" s="369"/>
      <c r="H1053" s="369"/>
      <c r="I1053" s="369"/>
      <c r="J1053" s="1251"/>
      <c r="K1053" s="369"/>
      <c r="L1053" s="369"/>
      <c r="M1053" s="369"/>
      <c r="N1053" s="369"/>
      <c r="O1053" s="369"/>
    </row>
    <row r="1054" spans="1:15">
      <c r="A1054" s="361">
        <f>A1052+1</f>
        <v>19</v>
      </c>
      <c r="B1054" s="365">
        <v>383</v>
      </c>
      <c r="C1054" s="358" t="s">
        <v>1779</v>
      </c>
      <c r="D1054" s="369">
        <f>D1034</f>
        <v>114225.90102822951</v>
      </c>
      <c r="E1054" s="369">
        <f>E1034</f>
        <v>14051.992559498034</v>
      </c>
      <c r="F1054" s="369">
        <f>F1034</f>
        <v>-428.96557714444043</v>
      </c>
      <c r="G1054" s="369">
        <f>SUM(D1054:F1054)</f>
        <v>127848.9280105831</v>
      </c>
      <c r="H1054" s="369"/>
      <c r="I1054" s="369">
        <f>I1034</f>
        <v>-8760.5228743536863</v>
      </c>
      <c r="J1054" s="1251"/>
      <c r="K1054" s="369">
        <f>K1034</f>
        <v>196.012</v>
      </c>
      <c r="L1054" s="369">
        <v>0</v>
      </c>
      <c r="M1054" s="369">
        <f>M1034</f>
        <v>-428.96557714444043</v>
      </c>
      <c r="N1054" s="369">
        <f>N1034</f>
        <v>0</v>
      </c>
      <c r="O1054" s="369">
        <f>I1054+K1054+L1054+M1054+N1054</f>
        <v>-8993.4764514981252</v>
      </c>
    </row>
    <row r="1055" spans="1:15">
      <c r="A1055" s="361">
        <f>A1054+1</f>
        <v>20</v>
      </c>
      <c r="B1055" s="365">
        <v>383</v>
      </c>
      <c r="C1055" s="358" t="s">
        <v>1625</v>
      </c>
      <c r="D1055" s="923">
        <f>D1056-D1054</f>
        <v>7521601.2489717687</v>
      </c>
      <c r="E1055" s="923">
        <f>E1056-E1054</f>
        <v>24709.177440501964</v>
      </c>
      <c r="F1055" s="923">
        <f>F1056-F1054</f>
        <v>-791.44442285555965</v>
      </c>
      <c r="G1055" s="923">
        <f>SUM(D1055:F1055)</f>
        <v>7545518.9819894144</v>
      </c>
      <c r="H1055" s="369"/>
      <c r="I1055" s="923">
        <f>I1056-I1054</f>
        <v>2602446.5728743533</v>
      </c>
      <c r="J1055" s="1251"/>
      <c r="K1055" s="923">
        <f>K1056-K1054</f>
        <v>12178.987999999999</v>
      </c>
      <c r="L1055" s="923">
        <v>0</v>
      </c>
      <c r="M1055" s="923">
        <f>M1056-M1054</f>
        <v>-791.44442285555965</v>
      </c>
      <c r="N1055" s="923">
        <f>N1056-N1054</f>
        <v>0</v>
      </c>
      <c r="O1055" s="923">
        <f>I1055+K1055+L1055+M1055+N1055</f>
        <v>2613834.1164514977</v>
      </c>
    </row>
    <row r="1056" spans="1:15">
      <c r="A1056" s="361">
        <f>A1055+1</f>
        <v>21</v>
      </c>
      <c r="B1056" s="365">
        <v>383</v>
      </c>
      <c r="C1056" s="358" t="s">
        <v>3082</v>
      </c>
      <c r="D1056" s="369">
        <f>G1010</f>
        <v>7635827.1499999985</v>
      </c>
      <c r="E1056" s="369">
        <f>+'INPUT - B Schedule PLANT'!DS35</f>
        <v>38761.17</v>
      </c>
      <c r="F1056" s="369">
        <f>+'INPUT - B Schedule PLANT'!DT35</f>
        <v>-1220.4100000000001</v>
      </c>
      <c r="G1056" s="369">
        <f>SUM(G1054:G1055)</f>
        <v>7673367.9099999974</v>
      </c>
      <c r="H1056" s="369"/>
      <c r="I1056" s="369">
        <f>O1010</f>
        <v>2593686.0499999998</v>
      </c>
      <c r="J1056" s="1251">
        <f>$J$688</f>
        <v>1.9400000000000001E-2</v>
      </c>
      <c r="K1056" s="369">
        <f>ROUND((D1056+G1056)/2*J1056/12,0)</f>
        <v>12375</v>
      </c>
      <c r="L1056" s="369">
        <f>SUM(L1054:L1055)</f>
        <v>0</v>
      </c>
      <c r="M1056" s="369">
        <f>F1056</f>
        <v>-1220.4100000000001</v>
      </c>
      <c r="N1056" s="369">
        <v>0</v>
      </c>
      <c r="O1056" s="369">
        <f>SUM(O1054:O1055)</f>
        <v>2604840.6399999997</v>
      </c>
    </row>
    <row r="1059" spans="1:15" s="291" customFormat="1">
      <c r="A1059" s="1308" t="str">
        <f>$A$1</f>
        <v>COLUMBIA GAS OF KENTUCKY, INC.</v>
      </c>
      <c r="B1059" s="1308"/>
      <c r="C1059" s="1308"/>
      <c r="D1059" s="1308"/>
      <c r="E1059" s="1308"/>
      <c r="F1059" s="1308"/>
      <c r="G1059" s="1308"/>
      <c r="H1059" s="1308"/>
      <c r="I1059" s="1308"/>
      <c r="J1059" s="1308"/>
      <c r="K1059" s="1308"/>
      <c r="L1059" s="1308"/>
      <c r="M1059" s="1308"/>
      <c r="N1059" s="1308"/>
      <c r="O1059" s="1308"/>
    </row>
    <row r="1060" spans="1:15" s="291" customFormat="1">
      <c r="A1060" s="1308" t="str">
        <f>$A$2</f>
        <v>CASE NO. 2024 - 00092</v>
      </c>
      <c r="B1060" s="1308"/>
      <c r="C1060" s="1308"/>
      <c r="D1060" s="1308"/>
      <c r="E1060" s="1308"/>
      <c r="F1060" s="1308"/>
      <c r="G1060" s="1308"/>
      <c r="H1060" s="1308"/>
      <c r="I1060" s="1308"/>
      <c r="J1060" s="1308"/>
      <c r="K1060" s="1308"/>
      <c r="L1060" s="1308"/>
      <c r="M1060" s="1308"/>
      <c r="N1060" s="1308"/>
      <c r="O1060" s="1308"/>
    </row>
    <row r="1061" spans="1:15" s="291" customFormat="1">
      <c r="A1061" s="1308" t="str">
        <f>$A$3</f>
        <v>DETAIL OF ACTUAL &amp;  FORECASTED SMRP PLANT, ACCUMULATED RESERVE &amp; DEPRECIATION EXPENSE</v>
      </c>
      <c r="B1061" s="1308"/>
      <c r="C1061" s="1308"/>
      <c r="D1061" s="1308"/>
      <c r="E1061" s="1308"/>
      <c r="F1061" s="1308"/>
      <c r="G1061" s="1308"/>
      <c r="H1061" s="1308"/>
      <c r="I1061" s="1308"/>
      <c r="J1061" s="1308"/>
      <c r="K1061" s="1308"/>
      <c r="L1061" s="1308"/>
      <c r="M1061" s="1308"/>
      <c r="N1061" s="1308"/>
      <c r="O1061" s="1308"/>
    </row>
    <row r="1062" spans="1:15" s="291" customFormat="1">
      <c r="A1062" s="1308" t="str">
        <f>$A$4</f>
        <v>FROM JANUARY 01, 2023 THROUGH DECEMBER 31, 2025</v>
      </c>
      <c r="B1062" s="1308"/>
      <c r="C1062" s="1308"/>
      <c r="D1062" s="1308"/>
      <c r="E1062" s="1308"/>
      <c r="F1062" s="1308"/>
      <c r="G1062" s="1308"/>
      <c r="H1062" s="1308"/>
      <c r="I1062" s="1308"/>
      <c r="J1062" s="1308"/>
      <c r="K1062" s="1308"/>
      <c r="L1062" s="1308"/>
      <c r="M1062" s="1308"/>
      <c r="N1062" s="1308"/>
      <c r="O1062" s="1308"/>
    </row>
    <row r="1063" spans="1:15" s="291" customFormat="1">
      <c r="B1063" s="293"/>
    </row>
    <row r="1064" spans="1:15" s="291" customFormat="1">
      <c r="A1064" s="297" t="str">
        <f>'General Headers Index'!$B$34</f>
        <v xml:space="preserve">DATA: _X_ BASE PERIOD _X_ FORECASTED PERIOD     </v>
      </c>
      <c r="B1064" s="293"/>
      <c r="O1064" s="312" t="s">
        <v>2461</v>
      </c>
    </row>
    <row r="1065" spans="1:15" s="291" customFormat="1">
      <c r="A1065" s="297" t="str">
        <f>'General Headers Index'!$B$37</f>
        <v>TYPE OF FILING:___X___ORIGINAL______UPDATED</v>
      </c>
      <c r="B1065" s="293"/>
      <c r="O1065" s="312" t="s">
        <v>2246</v>
      </c>
    </row>
    <row r="1066" spans="1:15" s="291" customFormat="1">
      <c r="A1066" s="297" t="s">
        <v>2150</v>
      </c>
      <c r="B1066" s="293"/>
      <c r="O1066" s="312" t="str">
        <f>"WITNESS: "&amp;'General Headers Index'!$B$42</f>
        <v>WITNESS: GORE</v>
      </c>
    </row>
    <row r="1067" spans="1:15">
      <c r="A1067" s="918"/>
      <c r="B1067" s="918"/>
      <c r="C1067" s="918"/>
      <c r="D1067" s="918"/>
      <c r="E1067" s="918"/>
      <c r="F1067" s="918"/>
      <c r="G1067" s="918"/>
      <c r="H1067" s="918"/>
      <c r="I1067" s="918"/>
      <c r="J1067" s="918"/>
      <c r="K1067" s="918"/>
      <c r="L1067" s="918"/>
      <c r="M1067" s="918"/>
      <c r="N1067" s="918"/>
      <c r="O1067" s="918"/>
    </row>
    <row r="1068" spans="1:15">
      <c r="B1068" s="359"/>
      <c r="D1068" s="1312" t="s">
        <v>1768</v>
      </c>
      <c r="E1068" s="1312"/>
      <c r="F1068" s="1312"/>
      <c r="G1068" s="1312"/>
      <c r="I1068" s="1312" t="s">
        <v>1769</v>
      </c>
      <c r="J1068" s="1312"/>
      <c r="K1068" s="1312"/>
      <c r="L1068" s="1312"/>
      <c r="M1068" s="1312"/>
      <c r="N1068" s="1312"/>
      <c r="O1068" s="1312"/>
    </row>
    <row r="1069" spans="1:15">
      <c r="B1069" s="359"/>
      <c r="D1069" s="360">
        <f>G1023+1</f>
        <v>45627</v>
      </c>
      <c r="G1069" s="360">
        <f>D1069+30</f>
        <v>45657</v>
      </c>
      <c r="I1069" s="360">
        <f>D1069</f>
        <v>45627</v>
      </c>
      <c r="O1069" s="360">
        <f>G1069</f>
        <v>45657</v>
      </c>
    </row>
    <row r="1070" spans="1:15">
      <c r="B1070" s="359"/>
      <c r="D1070" s="361" t="s">
        <v>1757</v>
      </c>
      <c r="G1070" s="361" t="s">
        <v>1757</v>
      </c>
      <c r="I1070" s="361" t="s">
        <v>1758</v>
      </c>
      <c r="J1070" s="361" t="s">
        <v>488</v>
      </c>
      <c r="L1070" s="361" t="s">
        <v>1758</v>
      </c>
      <c r="O1070" s="361" t="s">
        <v>1758</v>
      </c>
    </row>
    <row r="1071" spans="1:15">
      <c r="A1071" s="361" t="s">
        <v>1770</v>
      </c>
      <c r="B1071" s="361" t="s">
        <v>368</v>
      </c>
      <c r="C1071" s="361"/>
      <c r="D1071" s="361" t="s">
        <v>437</v>
      </c>
      <c r="G1071" s="361" t="s">
        <v>439</v>
      </c>
      <c r="I1071" s="361" t="s">
        <v>437</v>
      </c>
      <c r="J1071" s="361" t="s">
        <v>1771</v>
      </c>
      <c r="K1071" s="361" t="s">
        <v>1772</v>
      </c>
      <c r="L1071" s="361" t="s">
        <v>1759</v>
      </c>
      <c r="N1071" s="361" t="s">
        <v>1760</v>
      </c>
      <c r="O1071" s="361" t="s">
        <v>439</v>
      </c>
    </row>
    <row r="1072" spans="1:15">
      <c r="A1072" s="364" t="s">
        <v>316</v>
      </c>
      <c r="B1072" s="364" t="s">
        <v>316</v>
      </c>
      <c r="C1072" s="364" t="s">
        <v>451</v>
      </c>
      <c r="D1072" s="364" t="s">
        <v>441</v>
      </c>
      <c r="E1072" s="364" t="s">
        <v>442</v>
      </c>
      <c r="F1072" s="364" t="s">
        <v>443</v>
      </c>
      <c r="G1072" s="364" t="s">
        <v>441</v>
      </c>
      <c r="I1072" s="364" t="s">
        <v>441</v>
      </c>
      <c r="J1072" s="364" t="s">
        <v>1773</v>
      </c>
      <c r="K1072" s="364" t="s">
        <v>1771</v>
      </c>
      <c r="L1072" s="364" t="s">
        <v>355</v>
      </c>
      <c r="M1072" s="364" t="s">
        <v>443</v>
      </c>
      <c r="N1072" s="364" t="s">
        <v>1763</v>
      </c>
      <c r="O1072" s="364" t="s">
        <v>441</v>
      </c>
    </row>
    <row r="1073" spans="1:22">
      <c r="B1073" s="359"/>
      <c r="D1073" s="361" t="s">
        <v>532</v>
      </c>
      <c r="E1073" s="361" t="s">
        <v>541</v>
      </c>
      <c r="F1073" s="361" t="s">
        <v>542</v>
      </c>
      <c r="G1073" s="361" t="s">
        <v>1764</v>
      </c>
      <c r="I1073" s="334" t="str">
        <f>"(5)"</f>
        <v>(5)</v>
      </c>
      <c r="J1073" s="334" t="str">
        <f>"(6)"</f>
        <v>(6)</v>
      </c>
      <c r="K1073" s="334" t="str">
        <f>"(7)=((1+4)/2*6/12))"</f>
        <v>(7)=((1+4)/2*6/12))</v>
      </c>
      <c r="L1073" s="334" t="str">
        <f>"(8)"</f>
        <v>(8)</v>
      </c>
      <c r="M1073" s="334" t="str">
        <f>"(9)"</f>
        <v>(9)</v>
      </c>
      <c r="N1073" s="334" t="str">
        <f>"(10)"</f>
        <v>(10)</v>
      </c>
      <c r="O1073" s="334" t="str">
        <f>"(11=5+7+8+9+10)"</f>
        <v>(11=5+7+8+9+10)</v>
      </c>
    </row>
    <row r="1074" spans="1:22">
      <c r="B1074" s="359"/>
      <c r="D1074" s="361" t="s">
        <v>320</v>
      </c>
      <c r="E1074" s="361" t="s">
        <v>320</v>
      </c>
      <c r="F1074" s="361" t="s">
        <v>320</v>
      </c>
      <c r="G1074" s="361" t="s">
        <v>320</v>
      </c>
      <c r="I1074" s="334" t="s">
        <v>320</v>
      </c>
      <c r="J1074" s="1250" t="s">
        <v>529</v>
      </c>
      <c r="K1074" s="334" t="s">
        <v>320</v>
      </c>
      <c r="L1074" s="334" t="s">
        <v>320</v>
      </c>
      <c r="M1074" s="334" t="s">
        <v>320</v>
      </c>
      <c r="N1074" s="334" t="s">
        <v>320</v>
      </c>
      <c r="O1074" s="334" t="s">
        <v>320</v>
      </c>
    </row>
    <row r="1075" spans="1:22">
      <c r="B1075" s="359"/>
      <c r="D1075" s="361"/>
      <c r="E1075" s="361"/>
      <c r="F1075" s="361"/>
      <c r="G1075" s="361"/>
      <c r="I1075" s="334"/>
      <c r="J1075" s="334"/>
      <c r="K1075" s="334"/>
      <c r="L1075" s="334"/>
      <c r="M1075" s="334"/>
      <c r="N1075" s="334"/>
      <c r="O1075" s="334"/>
    </row>
    <row r="1076" spans="1:22">
      <c r="A1076" s="361">
        <v>1</v>
      </c>
      <c r="B1076" s="365">
        <v>376</v>
      </c>
      <c r="C1076" s="358" t="s">
        <v>1775</v>
      </c>
      <c r="D1076" s="369">
        <f>G1030</f>
        <v>49091809.950889282</v>
      </c>
      <c r="E1076" s="369">
        <v>3267355.6289632525</v>
      </c>
      <c r="F1076" s="369">
        <v>-114056.75634620605</v>
      </c>
      <c r="G1076" s="369">
        <f>SUM(D1076:F1076)</f>
        <v>52245108.823506333</v>
      </c>
      <c r="H1076" s="369"/>
      <c r="I1076" s="369">
        <f>O1030</f>
        <v>317234.89731877844</v>
      </c>
      <c r="J1076" s="1251">
        <f>$J$662</f>
        <v>1.7399999999999999E-2</v>
      </c>
      <c r="K1076" s="380">
        <v>73469.141999999993</v>
      </c>
      <c r="L1076" s="369">
        <v>0</v>
      </c>
      <c r="M1076" s="369">
        <f>F1076</f>
        <v>-114056.75634620605</v>
      </c>
      <c r="N1076" s="369">
        <v>-7757.6970501782007</v>
      </c>
      <c r="O1076" s="369">
        <f>I1076+K1076+L1076+M1076+N1076</f>
        <v>268889.58592239418</v>
      </c>
    </row>
    <row r="1077" spans="1:22">
      <c r="A1077" s="361">
        <f>A1076+1</f>
        <v>2</v>
      </c>
      <c r="B1077" s="365">
        <v>378.2</v>
      </c>
      <c r="C1077" s="358" t="s">
        <v>1776</v>
      </c>
      <c r="D1077" s="369">
        <f>G1031</f>
        <v>492311.78425750596</v>
      </c>
      <c r="E1077" s="369">
        <v>146303.31484207869</v>
      </c>
      <c r="F1077" s="369">
        <v>-38834.478989365198</v>
      </c>
      <c r="G1077" s="369">
        <f>SUM(D1077:F1077)</f>
        <v>599780.62011021946</v>
      </c>
      <c r="H1077" s="369"/>
      <c r="I1077" s="369">
        <f>O1031</f>
        <v>-904158.8085644875</v>
      </c>
      <c r="J1077" s="1251">
        <f>$J$663</f>
        <v>2.52E-2</v>
      </c>
      <c r="K1077" s="380">
        <v>1146.8420000000001</v>
      </c>
      <c r="L1077" s="369">
        <v>0</v>
      </c>
      <c r="M1077" s="369">
        <f>F1077</f>
        <v>-38834.478989365198</v>
      </c>
      <c r="N1077" s="369">
        <v>-2970.8319873074929</v>
      </c>
      <c r="O1077" s="369">
        <f>I1077+K1077+L1077+M1077+N1077</f>
        <v>-944817.27754116023</v>
      </c>
    </row>
    <row r="1078" spans="1:22">
      <c r="A1078" s="361">
        <f>A1077+1</f>
        <v>3</v>
      </c>
      <c r="B1078" s="365">
        <v>380</v>
      </c>
      <c r="C1078" s="358" t="s">
        <v>1777</v>
      </c>
      <c r="D1078" s="369">
        <f>G1032</f>
        <v>21276002.809687451</v>
      </c>
      <c r="E1078" s="369">
        <v>1237369.0651950168</v>
      </c>
      <c r="F1078" s="369">
        <v>-546965.25067789725</v>
      </c>
      <c r="G1078" s="369">
        <f>SUM(D1078:F1078)</f>
        <v>21966406.624204569</v>
      </c>
      <c r="H1078" s="369"/>
      <c r="I1078" s="369">
        <f>O1032</f>
        <v>-10744085.890568867</v>
      </c>
      <c r="J1078" s="1251">
        <f>$J$664</f>
        <v>3.9800000000000002E-2</v>
      </c>
      <c r="K1078" s="380">
        <v>71709.919999999998</v>
      </c>
      <c r="L1078" s="369">
        <v>0</v>
      </c>
      <c r="M1078" s="369">
        <f>F1078</f>
        <v>-546965.25067789725</v>
      </c>
      <c r="N1078" s="369">
        <v>-194932.83707010309</v>
      </c>
      <c r="O1078" s="369">
        <f>I1078+K1078+L1078+M1078+N1078</f>
        <v>-11414274.058316868</v>
      </c>
      <c r="R1078" s="368"/>
      <c r="S1078" s="368"/>
      <c r="T1078" s="368"/>
      <c r="U1078" s="368"/>
      <c r="V1078" s="368"/>
    </row>
    <row r="1079" spans="1:22">
      <c r="A1079" s="361">
        <f>A1078+1</f>
        <v>4</v>
      </c>
      <c r="B1079" s="365">
        <v>382</v>
      </c>
      <c r="C1079" s="358" t="s">
        <v>1778</v>
      </c>
      <c r="D1079" s="369">
        <f>G1033</f>
        <v>202956.27488355074</v>
      </c>
      <c r="E1079" s="369">
        <v>25917.849043321596</v>
      </c>
      <c r="F1079" s="369">
        <v>-368.52939989722609</v>
      </c>
      <c r="G1079" s="369">
        <f>SUM(D1079:F1079)</f>
        <v>228505.5945269751</v>
      </c>
      <c r="H1079" s="369"/>
      <c r="I1079" s="369">
        <f>O1033</f>
        <v>-74891.564241790475</v>
      </c>
      <c r="J1079" s="1251">
        <f>$J$665</f>
        <v>1.77E-2</v>
      </c>
      <c r="K1079" s="380">
        <v>317.84300000000002</v>
      </c>
      <c r="L1079" s="369">
        <v>0</v>
      </c>
      <c r="M1079" s="369">
        <f>F1079</f>
        <v>-368.52939989722609</v>
      </c>
      <c r="N1079" s="369">
        <v>0</v>
      </c>
      <c r="O1079" s="369">
        <f>I1079+K1079+L1079+M1079+N1079</f>
        <v>-74942.2506416877</v>
      </c>
      <c r="R1079" s="368"/>
      <c r="S1079" s="368"/>
      <c r="T1079" s="368"/>
      <c r="U1079" s="368"/>
      <c r="V1079" s="368"/>
    </row>
    <row r="1080" spans="1:22">
      <c r="A1080" s="361">
        <f>A1079+1</f>
        <v>5</v>
      </c>
      <c r="B1080" s="365">
        <v>383</v>
      </c>
      <c r="C1080" s="358" t="s">
        <v>1779</v>
      </c>
      <c r="D1080" s="923">
        <f>G1034</f>
        <v>127848.9280105831</v>
      </c>
      <c r="E1080" s="923">
        <v>16927.243246591654</v>
      </c>
      <c r="F1080" s="923">
        <v>-61.175977000806</v>
      </c>
      <c r="G1080" s="923">
        <f>SUM(D1080:F1080)</f>
        <v>144714.99528017396</v>
      </c>
      <c r="H1080" s="369"/>
      <c r="I1080" s="923">
        <f>O1034</f>
        <v>-8993.4764514981252</v>
      </c>
      <c r="J1080" s="1251">
        <f>$J$666</f>
        <v>1.9400000000000001E-2</v>
      </c>
      <c r="K1080" s="925">
        <v>220.63300000000001</v>
      </c>
      <c r="L1080" s="923">
        <v>0</v>
      </c>
      <c r="M1080" s="923">
        <f>F1080</f>
        <v>-61.175977000806</v>
      </c>
      <c r="N1080" s="923">
        <v>0</v>
      </c>
      <c r="O1080" s="923">
        <f>I1080+K1080+L1080+M1080+N1080</f>
        <v>-8834.019428498932</v>
      </c>
      <c r="R1080" s="368"/>
      <c r="S1080" s="368"/>
      <c r="T1080" s="368"/>
      <c r="U1080" s="368"/>
      <c r="V1080" s="368"/>
    </row>
    <row r="1081" spans="1:22">
      <c r="A1081" s="361">
        <f>A1080+1</f>
        <v>6</v>
      </c>
      <c r="C1081" s="358" t="s">
        <v>3077</v>
      </c>
      <c r="D1081" s="369">
        <f>SUM(D1076:D1080)</f>
        <v>71190929.747728378</v>
      </c>
      <c r="E1081" s="369">
        <f>SUM(E1076:E1080)</f>
        <v>4693873.1012902614</v>
      </c>
      <c r="F1081" s="369">
        <f>SUM(F1076:F1080)</f>
        <v>-700286.19139036653</v>
      </c>
      <c r="G1081" s="369">
        <f>SUM(G1076:G1080)</f>
        <v>75184516.657628268</v>
      </c>
      <c r="H1081" s="369"/>
      <c r="I1081" s="369">
        <f>SUM(I1076:I1080)</f>
        <v>-11414894.842507865</v>
      </c>
      <c r="J1081" s="369"/>
      <c r="K1081" s="369">
        <f>SUM(K1076:K1080)</f>
        <v>146864.37999999998</v>
      </c>
      <c r="L1081" s="369">
        <f t="shared" ref="L1081" si="23">SUM(L1076:L1080)</f>
        <v>0</v>
      </c>
      <c r="M1081" s="369">
        <f>SUM(M1076:M1080)</f>
        <v>-700286.19139036653</v>
      </c>
      <c r="N1081" s="369">
        <f>SUM(N1076:N1080)</f>
        <v>-205661.36610758878</v>
      </c>
      <c r="O1081" s="369">
        <f>SUM(O1076:O1080)</f>
        <v>-12173978.02000582</v>
      </c>
      <c r="R1081" s="383"/>
      <c r="S1081" s="384"/>
      <c r="T1081" s="384"/>
      <c r="U1081" s="384"/>
      <c r="V1081" s="384"/>
    </row>
    <row r="1082" spans="1:22">
      <c r="A1082" s="361"/>
      <c r="D1082" s="369"/>
      <c r="E1082" s="369"/>
      <c r="F1082" s="369"/>
      <c r="G1082" s="369"/>
      <c r="H1082" s="369"/>
      <c r="I1082" s="369"/>
      <c r="J1082" s="369"/>
      <c r="K1082" s="369"/>
      <c r="L1082" s="369"/>
      <c r="M1082" s="369"/>
      <c r="N1082" s="369"/>
      <c r="O1082" s="369"/>
    </row>
    <row r="1083" spans="1:22">
      <c r="A1083" s="361"/>
      <c r="D1083" s="369"/>
      <c r="E1083" s="369"/>
      <c r="F1083" s="369"/>
      <c r="G1083" s="369"/>
      <c r="H1083" s="369"/>
      <c r="I1083" s="369"/>
      <c r="J1083" s="369"/>
      <c r="K1083" s="369"/>
      <c r="L1083" s="369"/>
      <c r="M1083" s="369"/>
      <c r="N1083" s="369"/>
      <c r="O1083" s="369"/>
    </row>
    <row r="1084" spans="1:22">
      <c r="A1084" s="361">
        <f>A1081+1</f>
        <v>7</v>
      </c>
      <c r="B1084" s="365">
        <v>376</v>
      </c>
      <c r="C1084" s="358" t="s">
        <v>1775</v>
      </c>
      <c r="D1084" s="369">
        <f>D1076</f>
        <v>49091809.950889282</v>
      </c>
      <c r="E1084" s="369">
        <f>E1076</f>
        <v>3267355.6289632525</v>
      </c>
      <c r="F1084" s="369">
        <f>F1076</f>
        <v>-114056.75634620605</v>
      </c>
      <c r="G1084" s="369">
        <f>SUM(D1084:F1084)</f>
        <v>52245108.823506333</v>
      </c>
      <c r="H1084" s="369"/>
      <c r="I1084" s="369">
        <f>I1076</f>
        <v>317234.89731877844</v>
      </c>
      <c r="J1084" s="1251"/>
      <c r="K1084" s="369">
        <f>K1076</f>
        <v>73469.141999999993</v>
      </c>
      <c r="L1084" s="369">
        <v>0</v>
      </c>
      <c r="M1084" s="369">
        <f>M1076</f>
        <v>-114056.75634620605</v>
      </c>
      <c r="N1084" s="369">
        <f>N1076</f>
        <v>-7757.6970501782007</v>
      </c>
      <c r="O1084" s="369">
        <f>I1084+K1084+L1084+M1084+N1084</f>
        <v>268889.58592239418</v>
      </c>
    </row>
    <row r="1085" spans="1:22">
      <c r="A1085" s="361">
        <f>A1084+1</f>
        <v>8</v>
      </c>
      <c r="B1085" s="365">
        <v>376</v>
      </c>
      <c r="C1085" s="358" t="s">
        <v>1621</v>
      </c>
      <c r="D1085" s="923">
        <f>D1086-D1084</f>
        <v>418913965.8291108</v>
      </c>
      <c r="E1085" s="923">
        <f>E1086-E1084</f>
        <v>2783665.4410367478</v>
      </c>
      <c r="F1085" s="923">
        <f>F1086-F1084</f>
        <v>-67856.413653793934</v>
      </c>
      <c r="G1085" s="923">
        <f>SUM(D1085:F1085)</f>
        <v>421629774.85649377</v>
      </c>
      <c r="H1085" s="369"/>
      <c r="I1085" s="923">
        <f>I1086-I1084</f>
        <v>85693206.042681307</v>
      </c>
      <c r="J1085" s="1251"/>
      <c r="K1085" s="923">
        <f>K1086-K1084</f>
        <v>609393.85800000001</v>
      </c>
      <c r="L1085" s="923">
        <v>0</v>
      </c>
      <c r="M1085" s="923">
        <f>M1086-M1084</f>
        <v>-67856.413653793934</v>
      </c>
      <c r="N1085" s="923">
        <f>N1086-N1084</f>
        <v>-6499.7429498217998</v>
      </c>
      <c r="O1085" s="923">
        <f>I1085+K1085+L1085+M1085+N1085</f>
        <v>86228243.744077682</v>
      </c>
    </row>
    <row r="1086" spans="1:22">
      <c r="A1086" s="361">
        <f>A1085+1</f>
        <v>9</v>
      </c>
      <c r="B1086" s="365">
        <v>376</v>
      </c>
      <c r="C1086" s="358" t="s">
        <v>3078</v>
      </c>
      <c r="D1086" s="369">
        <f>G1040</f>
        <v>468005775.78000009</v>
      </c>
      <c r="E1086" s="369">
        <f>+'INPUT - B Schedule PLANT'!DX26</f>
        <v>6051021.0700000003</v>
      </c>
      <c r="F1086" s="369">
        <f>+'INPUT - B Schedule PLANT'!DY26</f>
        <v>-181913.16999999998</v>
      </c>
      <c r="G1086" s="369">
        <f>SUM(G1084:G1085)</f>
        <v>473874883.68000013</v>
      </c>
      <c r="H1086" s="369"/>
      <c r="I1086" s="369">
        <f>O1040</f>
        <v>86010440.940000087</v>
      </c>
      <c r="J1086" s="1251">
        <f>$J$672</f>
        <v>1.7399999999999999E-2</v>
      </c>
      <c r="K1086" s="369">
        <f>ROUND((D1086+G1086)/2*J1086/12,0)</f>
        <v>682863</v>
      </c>
      <c r="L1086" s="369">
        <f>SUM(L1084:L1085)</f>
        <v>0</v>
      </c>
      <c r="M1086" s="369">
        <f>F1086</f>
        <v>-181913.16999999998</v>
      </c>
      <c r="N1086" s="369">
        <v>-14257.44</v>
      </c>
      <c r="O1086" s="369">
        <f>SUM(O1084:O1085)</f>
        <v>86497133.330000073</v>
      </c>
      <c r="R1086" s="369"/>
    </row>
    <row r="1087" spans="1:22">
      <c r="A1087" s="361"/>
      <c r="B1087" s="365"/>
      <c r="D1087" s="369"/>
      <c r="E1087" s="369"/>
      <c r="F1087" s="369"/>
      <c r="G1087" s="369"/>
      <c r="H1087" s="369"/>
      <c r="I1087" s="369"/>
      <c r="J1087" s="1251"/>
      <c r="K1087" s="369"/>
      <c r="L1087" s="369"/>
      <c r="M1087" s="369"/>
      <c r="N1087" s="369"/>
      <c r="O1087" s="369"/>
    </row>
    <row r="1088" spans="1:22">
      <c r="A1088" s="361">
        <f>A1086+1</f>
        <v>10</v>
      </c>
      <c r="B1088" s="365">
        <v>378.2</v>
      </c>
      <c r="C1088" s="358" t="s">
        <v>1776</v>
      </c>
      <c r="D1088" s="369">
        <f>D1077</f>
        <v>492311.78425750596</v>
      </c>
      <c r="E1088" s="369">
        <f>E1077</f>
        <v>146303.31484207869</v>
      </c>
      <c r="F1088" s="369">
        <f>F1077</f>
        <v>-38834.478989365198</v>
      </c>
      <c r="G1088" s="369">
        <f>SUM(D1088:F1088)</f>
        <v>599780.62011021946</v>
      </c>
      <c r="H1088" s="369"/>
      <c r="I1088" s="369">
        <f>I1077</f>
        <v>-904158.8085644875</v>
      </c>
      <c r="J1088" s="1251"/>
      <c r="K1088" s="369">
        <f>K1077</f>
        <v>1146.8420000000001</v>
      </c>
      <c r="L1088" s="369">
        <v>0</v>
      </c>
      <c r="M1088" s="369">
        <f>M1077</f>
        <v>-38834.478989365198</v>
      </c>
      <c r="N1088" s="369">
        <f>N1077</f>
        <v>-2970.8319873074929</v>
      </c>
      <c r="O1088" s="369">
        <f>I1088+K1088+L1088+M1088+N1088</f>
        <v>-944817.27754116023</v>
      </c>
    </row>
    <row r="1089" spans="1:15">
      <c r="A1089" s="361">
        <f>A1088+1</f>
        <v>11</v>
      </c>
      <c r="B1089" s="365">
        <v>378.2</v>
      </c>
      <c r="C1089" s="358" t="s">
        <v>1622</v>
      </c>
      <c r="D1089" s="923">
        <f>D1090-D1088</f>
        <v>27582289.775742486</v>
      </c>
      <c r="E1089" s="923">
        <f>E1090-E1088</f>
        <v>173447.45515792133</v>
      </c>
      <c r="F1089" s="923">
        <f>F1090-F1088</f>
        <v>8.9893651966121979E-3</v>
      </c>
      <c r="G1089" s="923">
        <f>SUM(D1089:F1089)</f>
        <v>27755737.239889771</v>
      </c>
      <c r="H1089" s="369"/>
      <c r="I1089" s="923">
        <f>I1090-I1088</f>
        <v>3728209.5485644876</v>
      </c>
      <c r="J1089" s="1251"/>
      <c r="K1089" s="923">
        <f>K1090-K1088</f>
        <v>58105.158000000003</v>
      </c>
      <c r="L1089" s="923">
        <v>0</v>
      </c>
      <c r="M1089" s="923">
        <f>M1090-M1088</f>
        <v>8.9893651966121979E-3</v>
      </c>
      <c r="N1089" s="923">
        <f>N1090-N1088</f>
        <v>-20541.528012692506</v>
      </c>
      <c r="O1089" s="923">
        <f>I1089+K1089+L1089+M1089+N1089</f>
        <v>3765773.1875411603</v>
      </c>
    </row>
    <row r="1090" spans="1:15">
      <c r="A1090" s="361">
        <f>A1089+1</f>
        <v>12</v>
      </c>
      <c r="B1090" s="365">
        <v>378.2</v>
      </c>
      <c r="C1090" s="358" t="s">
        <v>3079</v>
      </c>
      <c r="D1090" s="369">
        <f>G1044</f>
        <v>28074601.559999991</v>
      </c>
      <c r="E1090" s="369">
        <f>+'INPUT - B Schedule PLANT'!DX28</f>
        <v>319750.77</v>
      </c>
      <c r="F1090" s="369">
        <f>+'INPUT - B Schedule PLANT'!DY28</f>
        <v>-38834.47</v>
      </c>
      <c r="G1090" s="369">
        <f>SUM(G1088:G1089)</f>
        <v>28355517.859999992</v>
      </c>
      <c r="H1090" s="369"/>
      <c r="I1090" s="369">
        <f>O1044</f>
        <v>2824050.74</v>
      </c>
      <c r="J1090" s="1251">
        <f>$J$676</f>
        <v>2.52E-2</v>
      </c>
      <c r="K1090" s="369">
        <f>ROUND((D1090+G1090)/2*J1090/12,0)</f>
        <v>59252</v>
      </c>
      <c r="L1090" s="369">
        <f>SUM(L1088:L1089)</f>
        <v>0</v>
      </c>
      <c r="M1090" s="369">
        <f>F1090</f>
        <v>-38834.47</v>
      </c>
      <c r="N1090" s="369">
        <v>-23512.36</v>
      </c>
      <c r="O1090" s="369">
        <f>SUM(O1088:O1089)</f>
        <v>2820955.91</v>
      </c>
    </row>
    <row r="1091" spans="1:15">
      <c r="A1091" s="361"/>
      <c r="B1091" s="365"/>
      <c r="D1091" s="369"/>
      <c r="E1091" s="369"/>
      <c r="F1091" s="369"/>
      <c r="G1091" s="369"/>
      <c r="H1091" s="369"/>
      <c r="I1091" s="369"/>
      <c r="J1091" s="1251"/>
      <c r="K1091" s="369"/>
      <c r="L1091" s="369"/>
      <c r="M1091" s="369"/>
      <c r="N1091" s="369"/>
      <c r="O1091" s="369"/>
    </row>
    <row r="1092" spans="1:15">
      <c r="A1092" s="361">
        <f>A1090+1</f>
        <v>13</v>
      </c>
      <c r="B1092" s="365">
        <v>380</v>
      </c>
      <c r="C1092" s="358" t="s">
        <v>1777</v>
      </c>
      <c r="D1092" s="369">
        <f>D1078</f>
        <v>21276002.809687451</v>
      </c>
      <c r="E1092" s="369">
        <f>E1078</f>
        <v>1237369.0651950168</v>
      </c>
      <c r="F1092" s="369">
        <f>F1078</f>
        <v>-546965.25067789725</v>
      </c>
      <c r="G1092" s="369">
        <f>SUM(D1092:F1092)</f>
        <v>21966406.624204569</v>
      </c>
      <c r="H1092" s="369"/>
      <c r="I1092" s="369">
        <f>I1078</f>
        <v>-10744085.890568867</v>
      </c>
      <c r="J1092" s="1251"/>
      <c r="K1092" s="369">
        <f>K1078</f>
        <v>71709.919999999998</v>
      </c>
      <c r="L1092" s="369">
        <v>0</v>
      </c>
      <c r="M1092" s="369">
        <f>M1078</f>
        <v>-546965.25067789725</v>
      </c>
      <c r="N1092" s="369">
        <f>N1078</f>
        <v>-194932.83707010309</v>
      </c>
      <c r="O1092" s="369">
        <f>I1092+K1092+L1092+M1092+N1092</f>
        <v>-11414274.058316868</v>
      </c>
    </row>
    <row r="1093" spans="1:15">
      <c r="A1093" s="361">
        <f>A1092+1</f>
        <v>14</v>
      </c>
      <c r="B1093" s="365">
        <v>380</v>
      </c>
      <c r="C1093" s="358" t="s">
        <v>1623</v>
      </c>
      <c r="D1093" s="923">
        <f>D1094-D1092</f>
        <v>204145094.01031256</v>
      </c>
      <c r="E1093" s="923">
        <f>E1094-E1092</f>
        <v>250799.24480498326</v>
      </c>
      <c r="F1093" s="923">
        <f>F1094-F1092</f>
        <v>-100258.34932210273</v>
      </c>
      <c r="G1093" s="923">
        <f>SUM(D1093:F1093)</f>
        <v>204295634.90579543</v>
      </c>
      <c r="H1093" s="369"/>
      <c r="I1093" s="923">
        <f>I1094-I1092</f>
        <v>65945145.380568892</v>
      </c>
      <c r="J1093" s="1251"/>
      <c r="K1093" s="923">
        <f>K1094-K1092</f>
        <v>677331.08</v>
      </c>
      <c r="L1093" s="923">
        <v>0</v>
      </c>
      <c r="M1093" s="923">
        <f>M1094-M1092</f>
        <v>-100258.34932210273</v>
      </c>
      <c r="N1093" s="923">
        <f>N1094-N1092</f>
        <v>-1.2929896911373362E-2</v>
      </c>
      <c r="O1093" s="923">
        <f>I1093+K1093+L1093+M1093+N1093</f>
        <v>66522218.098316893</v>
      </c>
    </row>
    <row r="1094" spans="1:15">
      <c r="A1094" s="361">
        <f>A1093+1</f>
        <v>15</v>
      </c>
      <c r="B1094" s="365">
        <v>380</v>
      </c>
      <c r="C1094" s="358" t="s">
        <v>3080</v>
      </c>
      <c r="D1094" s="369">
        <f>G1048</f>
        <v>225421096.81999999</v>
      </c>
      <c r="E1094" s="369">
        <f>+'INPUT - B Schedule PLANT'!DX31</f>
        <v>1488168.31</v>
      </c>
      <c r="F1094" s="369">
        <f>+'INPUT - B Schedule PLANT'!DY31</f>
        <v>-647223.6</v>
      </c>
      <c r="G1094" s="369">
        <f>SUM(G1092:G1093)</f>
        <v>226262041.53</v>
      </c>
      <c r="H1094" s="369"/>
      <c r="I1094" s="369">
        <f>O1048</f>
        <v>55201059.490000024</v>
      </c>
      <c r="J1094" s="1251">
        <f>$J$680</f>
        <v>3.9800000000000002E-2</v>
      </c>
      <c r="K1094" s="369">
        <f>ROUND((D1094+G1094)/2*J1094/12,0)</f>
        <v>749041</v>
      </c>
      <c r="L1094" s="369">
        <f>SUM(L1092:L1093)</f>
        <v>0</v>
      </c>
      <c r="M1094" s="369">
        <f>F1094</f>
        <v>-647223.6</v>
      </c>
      <c r="N1094" s="369">
        <v>-194932.85</v>
      </c>
      <c r="O1094" s="369">
        <f>SUM(O1092:O1093)</f>
        <v>55107944.040000021</v>
      </c>
    </row>
    <row r="1095" spans="1:15">
      <c r="A1095" s="361"/>
      <c r="B1095" s="365"/>
      <c r="D1095" s="369"/>
      <c r="E1095" s="369"/>
      <c r="F1095" s="369"/>
      <c r="G1095" s="369"/>
      <c r="H1095" s="369"/>
      <c r="I1095" s="369"/>
      <c r="J1095" s="1251"/>
      <c r="K1095" s="369"/>
      <c r="L1095" s="369"/>
      <c r="M1095" s="369"/>
      <c r="N1095" s="369"/>
      <c r="O1095" s="369"/>
    </row>
    <row r="1096" spans="1:15">
      <c r="A1096" s="361">
        <f>A1094+1</f>
        <v>16</v>
      </c>
      <c r="B1096" s="365">
        <v>382</v>
      </c>
      <c r="C1096" s="358" t="s">
        <v>1778</v>
      </c>
      <c r="D1096" s="369">
        <f>D1079</f>
        <v>202956.27488355074</v>
      </c>
      <c r="E1096" s="369">
        <f>E1079</f>
        <v>25917.849043321596</v>
      </c>
      <c r="F1096" s="369">
        <f>F1079</f>
        <v>-368.52939989722609</v>
      </c>
      <c r="G1096" s="369">
        <f>SUM(D1096:F1096)</f>
        <v>228505.5945269751</v>
      </c>
      <c r="H1096" s="369"/>
      <c r="I1096" s="369">
        <f>I1079</f>
        <v>-74891.564241790475</v>
      </c>
      <c r="J1096" s="1251"/>
      <c r="K1096" s="369">
        <f>K1079</f>
        <v>317.84300000000002</v>
      </c>
      <c r="L1096" s="369">
        <v>0</v>
      </c>
      <c r="M1096" s="369">
        <f>M1079</f>
        <v>-368.52939989722609</v>
      </c>
      <c r="N1096" s="369">
        <f>N1079</f>
        <v>0</v>
      </c>
      <c r="O1096" s="369">
        <f>I1096+K1096+L1096+M1096+N1096</f>
        <v>-74942.2506416877</v>
      </c>
    </row>
    <row r="1097" spans="1:15">
      <c r="A1097" s="361">
        <f>A1096+1</f>
        <v>17</v>
      </c>
      <c r="B1097" s="365">
        <v>382</v>
      </c>
      <c r="C1097" s="358" t="s">
        <v>1624</v>
      </c>
      <c r="D1097" s="923">
        <f>D1098-D1096</f>
        <v>10665889.355116449</v>
      </c>
      <c r="E1097" s="923">
        <f>E1098-E1096</f>
        <v>22841.060956678408</v>
      </c>
      <c r="F1097" s="923">
        <f>F1098-F1096</f>
        <v>-560.07060010277394</v>
      </c>
      <c r="G1097" s="923">
        <f>SUM(D1097:F1097)</f>
        <v>10688170.345473025</v>
      </c>
      <c r="H1097" s="369"/>
      <c r="I1097" s="923">
        <f>I1098-I1096</f>
        <v>6000824.9942417908</v>
      </c>
      <c r="J1097" s="1251"/>
      <c r="K1097" s="923">
        <f>K1098-K1096</f>
        <v>15749.156999999999</v>
      </c>
      <c r="L1097" s="923">
        <v>0</v>
      </c>
      <c r="M1097" s="923">
        <f>M1098-M1096</f>
        <v>-560.07060010277394</v>
      </c>
      <c r="N1097" s="923">
        <f>N1098-N1096</f>
        <v>-277.19</v>
      </c>
      <c r="O1097" s="923">
        <f>I1097+K1097+L1097+M1097+N1097</f>
        <v>6015736.8906416874</v>
      </c>
    </row>
    <row r="1098" spans="1:15">
      <c r="A1098" s="361">
        <f>A1097+1</f>
        <v>18</v>
      </c>
      <c r="B1098" s="365">
        <v>382</v>
      </c>
      <c r="C1098" s="358" t="s">
        <v>3081</v>
      </c>
      <c r="D1098" s="369">
        <f>G1052</f>
        <v>10868845.630000001</v>
      </c>
      <c r="E1098" s="369">
        <f>+'INPUT - B Schedule PLANT'!DX34</f>
        <v>48758.91</v>
      </c>
      <c r="F1098" s="369">
        <f>+'INPUT - B Schedule PLANT'!DY34</f>
        <v>-928.6</v>
      </c>
      <c r="G1098" s="369">
        <f>SUM(G1096:G1097)</f>
        <v>10916675.939999999</v>
      </c>
      <c r="H1098" s="369"/>
      <c r="I1098" s="369">
        <f>O1052</f>
        <v>5925933.4300000006</v>
      </c>
      <c r="J1098" s="1251">
        <f>$J$684</f>
        <v>1.77E-2</v>
      </c>
      <c r="K1098" s="369">
        <f>ROUND((D1098+G1098)/2*J1098/12,0)</f>
        <v>16067</v>
      </c>
      <c r="L1098" s="369">
        <f>SUM(L1096:L1097)</f>
        <v>0</v>
      </c>
      <c r="M1098" s="369">
        <f>F1098</f>
        <v>-928.6</v>
      </c>
      <c r="N1098" s="369">
        <v>-277.19</v>
      </c>
      <c r="O1098" s="369">
        <f>SUM(O1096:O1097)</f>
        <v>5940794.6399999997</v>
      </c>
    </row>
    <row r="1099" spans="1:15">
      <c r="A1099" s="361"/>
      <c r="B1099" s="365"/>
      <c r="D1099" s="369"/>
      <c r="E1099" s="369"/>
      <c r="F1099" s="369"/>
      <c r="G1099" s="369"/>
      <c r="H1099" s="369"/>
      <c r="I1099" s="369"/>
      <c r="J1099" s="1251"/>
      <c r="K1099" s="369"/>
      <c r="L1099" s="369"/>
      <c r="M1099" s="369"/>
      <c r="N1099" s="369"/>
      <c r="O1099" s="369"/>
    </row>
    <row r="1100" spans="1:15">
      <c r="A1100" s="361">
        <f>A1098+1</f>
        <v>19</v>
      </c>
      <c r="B1100" s="365">
        <v>383</v>
      </c>
      <c r="C1100" s="358" t="s">
        <v>1779</v>
      </c>
      <c r="D1100" s="369">
        <f>D1080</f>
        <v>127848.9280105831</v>
      </c>
      <c r="E1100" s="369">
        <f>E1080</f>
        <v>16927.243246591654</v>
      </c>
      <c r="F1100" s="369">
        <f>F1080</f>
        <v>-61.175977000806</v>
      </c>
      <c r="G1100" s="369">
        <f>SUM(D1100:F1100)</f>
        <v>144714.99528017396</v>
      </c>
      <c r="H1100" s="369"/>
      <c r="I1100" s="369">
        <f>I1080</f>
        <v>-8993.4764514981252</v>
      </c>
      <c r="J1100" s="1251"/>
      <c r="K1100" s="369">
        <f>K1080</f>
        <v>220.63300000000001</v>
      </c>
      <c r="L1100" s="369">
        <v>0</v>
      </c>
      <c r="M1100" s="369">
        <f>M1080</f>
        <v>-61.175977000806</v>
      </c>
      <c r="N1100" s="369">
        <f>N1080</f>
        <v>0</v>
      </c>
      <c r="O1100" s="369">
        <f>I1100+K1100+L1100+M1100+N1100</f>
        <v>-8834.019428498932</v>
      </c>
    </row>
    <row r="1101" spans="1:15">
      <c r="A1101" s="361">
        <f>A1100+1</f>
        <v>20</v>
      </c>
      <c r="B1101" s="365">
        <v>383</v>
      </c>
      <c r="C1101" s="358" t="s">
        <v>1625</v>
      </c>
      <c r="D1101" s="923">
        <f>D1102-D1100</f>
        <v>7545518.9819894144</v>
      </c>
      <c r="E1101" s="923">
        <f>E1102-E1100</f>
        <v>27107.756753408346</v>
      </c>
      <c r="F1101" s="923">
        <f>F1102-F1100</f>
        <v>-249.58402299919399</v>
      </c>
      <c r="G1101" s="923">
        <f>SUM(D1101:F1101)</f>
        <v>7572377.154719824</v>
      </c>
      <c r="H1101" s="369"/>
      <c r="I1101" s="923">
        <f>I1102-I1100</f>
        <v>2613834.1164514977</v>
      </c>
      <c r="J1101" s="1251"/>
      <c r="K1101" s="923">
        <f>K1102-K1100</f>
        <v>12220.367</v>
      </c>
      <c r="L1101" s="923">
        <v>0</v>
      </c>
      <c r="M1101" s="923">
        <f>M1102-M1100</f>
        <v>-249.58402299919399</v>
      </c>
      <c r="N1101" s="923">
        <f>N1102-N1100</f>
        <v>0</v>
      </c>
      <c r="O1101" s="923">
        <f>I1101+K1101+L1101+M1101+N1101</f>
        <v>2625804.8994284985</v>
      </c>
    </row>
    <row r="1102" spans="1:15">
      <c r="A1102" s="361">
        <f>A1101+1</f>
        <v>21</v>
      </c>
      <c r="B1102" s="365">
        <v>383</v>
      </c>
      <c r="C1102" s="358" t="s">
        <v>3082</v>
      </c>
      <c r="D1102" s="369">
        <f>G1056</f>
        <v>7673367.9099999974</v>
      </c>
      <c r="E1102" s="369">
        <f>+'INPUT - B Schedule PLANT'!DX35</f>
        <v>44035</v>
      </c>
      <c r="F1102" s="369">
        <f>+'INPUT - B Schedule PLANT'!DY35</f>
        <v>-310.76</v>
      </c>
      <c r="G1102" s="369">
        <f>SUM(G1100:G1101)</f>
        <v>7717092.1499999976</v>
      </c>
      <c r="H1102" s="369"/>
      <c r="I1102" s="369">
        <f>O1056</f>
        <v>2604840.6399999997</v>
      </c>
      <c r="J1102" s="1251">
        <f>$J$688</f>
        <v>1.9400000000000001E-2</v>
      </c>
      <c r="K1102" s="369">
        <f>ROUND((D1102+G1102)/2*J1102/12,0)</f>
        <v>12441</v>
      </c>
      <c r="L1102" s="369">
        <f>SUM(L1100:L1101)</f>
        <v>0</v>
      </c>
      <c r="M1102" s="369">
        <f>F1102</f>
        <v>-310.76</v>
      </c>
      <c r="N1102" s="369">
        <v>0</v>
      </c>
      <c r="O1102" s="369">
        <f>SUM(O1100:O1101)</f>
        <v>2616970.8799999994</v>
      </c>
    </row>
    <row r="1105" spans="1:15" s="291" customFormat="1">
      <c r="A1105" s="1308" t="str">
        <f>$A$1</f>
        <v>COLUMBIA GAS OF KENTUCKY, INC.</v>
      </c>
      <c r="B1105" s="1308"/>
      <c r="C1105" s="1308"/>
      <c r="D1105" s="1308"/>
      <c r="E1105" s="1308"/>
      <c r="F1105" s="1308"/>
      <c r="G1105" s="1308"/>
      <c r="H1105" s="1308"/>
      <c r="I1105" s="1308"/>
      <c r="J1105" s="1308"/>
      <c r="K1105" s="1308"/>
      <c r="L1105" s="1308"/>
      <c r="M1105" s="1308"/>
      <c r="N1105" s="1308"/>
      <c r="O1105" s="1308"/>
    </row>
    <row r="1106" spans="1:15" s="291" customFormat="1">
      <c r="A1106" s="1308" t="str">
        <f>$A$2</f>
        <v>CASE NO. 2024 - 00092</v>
      </c>
      <c r="B1106" s="1308"/>
      <c r="C1106" s="1308"/>
      <c r="D1106" s="1308"/>
      <c r="E1106" s="1308"/>
      <c r="F1106" s="1308"/>
      <c r="G1106" s="1308"/>
      <c r="H1106" s="1308"/>
      <c r="I1106" s="1308"/>
      <c r="J1106" s="1308"/>
      <c r="K1106" s="1308"/>
      <c r="L1106" s="1308"/>
      <c r="M1106" s="1308"/>
      <c r="N1106" s="1308"/>
      <c r="O1106" s="1308"/>
    </row>
    <row r="1107" spans="1:15" s="291" customFormat="1">
      <c r="A1107" s="1308" t="str">
        <f>$A$3</f>
        <v>DETAIL OF ACTUAL &amp;  FORECASTED SMRP PLANT, ACCUMULATED RESERVE &amp; DEPRECIATION EXPENSE</v>
      </c>
      <c r="B1107" s="1308"/>
      <c r="C1107" s="1308"/>
      <c r="D1107" s="1308"/>
      <c r="E1107" s="1308"/>
      <c r="F1107" s="1308"/>
      <c r="G1107" s="1308"/>
      <c r="H1107" s="1308"/>
      <c r="I1107" s="1308"/>
      <c r="J1107" s="1308"/>
      <c r="K1107" s="1308"/>
      <c r="L1107" s="1308"/>
      <c r="M1107" s="1308"/>
      <c r="N1107" s="1308"/>
      <c r="O1107" s="1308"/>
    </row>
    <row r="1108" spans="1:15" s="291" customFormat="1">
      <c r="A1108" s="1308" t="str">
        <f>$A$4</f>
        <v>FROM JANUARY 01, 2023 THROUGH DECEMBER 31, 2025</v>
      </c>
      <c r="B1108" s="1308"/>
      <c r="C1108" s="1308"/>
      <c r="D1108" s="1308"/>
      <c r="E1108" s="1308"/>
      <c r="F1108" s="1308"/>
      <c r="G1108" s="1308"/>
      <c r="H1108" s="1308"/>
      <c r="I1108" s="1308"/>
      <c r="J1108" s="1308"/>
      <c r="K1108" s="1308"/>
      <c r="L1108" s="1308"/>
      <c r="M1108" s="1308"/>
      <c r="N1108" s="1308"/>
      <c r="O1108" s="1308"/>
    </row>
    <row r="1109" spans="1:15" s="291" customFormat="1">
      <c r="B1109" s="293"/>
    </row>
    <row r="1110" spans="1:15" s="291" customFormat="1">
      <c r="A1110" s="297" t="str">
        <f>'General Headers Index'!$B$34</f>
        <v xml:space="preserve">DATA: _X_ BASE PERIOD _X_ FORECASTED PERIOD     </v>
      </c>
      <c r="B1110" s="293"/>
      <c r="O1110" s="312" t="s">
        <v>2461</v>
      </c>
    </row>
    <row r="1111" spans="1:15" s="291" customFormat="1">
      <c r="A1111" s="297" t="str">
        <f>'General Headers Index'!$B$37</f>
        <v>TYPE OF FILING:___X___ORIGINAL______UPDATED</v>
      </c>
      <c r="B1111" s="293"/>
      <c r="O1111" s="312" t="s">
        <v>2247</v>
      </c>
    </row>
    <row r="1112" spans="1:15" s="291" customFormat="1">
      <c r="A1112" s="297" t="s">
        <v>2150</v>
      </c>
      <c r="B1112" s="293"/>
      <c r="O1112" s="312" t="str">
        <f>"WITNESS: "&amp;'General Headers Index'!$B$42</f>
        <v>WITNESS: GORE</v>
      </c>
    </row>
    <row r="1113" spans="1:15">
      <c r="A1113" s="918"/>
      <c r="B1113" s="918"/>
      <c r="C1113" s="918"/>
      <c r="D1113" s="918"/>
      <c r="E1113" s="918"/>
      <c r="F1113" s="918"/>
      <c r="G1113" s="918"/>
      <c r="H1113" s="918"/>
      <c r="I1113" s="918"/>
      <c r="J1113" s="918"/>
      <c r="K1113" s="918"/>
      <c r="L1113" s="918"/>
      <c r="M1113" s="918"/>
      <c r="N1113" s="918"/>
      <c r="O1113" s="918"/>
    </row>
    <row r="1114" spans="1:15">
      <c r="B1114" s="359"/>
      <c r="D1114" s="1312" t="s">
        <v>1768</v>
      </c>
      <c r="E1114" s="1312"/>
      <c r="F1114" s="1312"/>
      <c r="G1114" s="1312"/>
      <c r="I1114" s="1312" t="s">
        <v>1769</v>
      </c>
      <c r="J1114" s="1312"/>
      <c r="K1114" s="1312"/>
      <c r="L1114" s="1312"/>
      <c r="M1114" s="1312"/>
      <c r="N1114" s="1312"/>
      <c r="O1114" s="1312"/>
    </row>
    <row r="1115" spans="1:15">
      <c r="B1115" s="359"/>
      <c r="D1115" s="360">
        <f>G1069+1</f>
        <v>45658</v>
      </c>
      <c r="G1115" s="360">
        <f>D1115+30</f>
        <v>45688</v>
      </c>
      <c r="I1115" s="360">
        <f>D1115</f>
        <v>45658</v>
      </c>
      <c r="O1115" s="360">
        <f>G1115</f>
        <v>45688</v>
      </c>
    </row>
    <row r="1116" spans="1:15">
      <c r="B1116" s="359"/>
      <c r="D1116" s="361" t="s">
        <v>1757</v>
      </c>
      <c r="G1116" s="361" t="s">
        <v>1757</v>
      </c>
      <c r="I1116" s="361" t="s">
        <v>1758</v>
      </c>
      <c r="J1116" s="361" t="s">
        <v>488</v>
      </c>
      <c r="L1116" s="361" t="s">
        <v>1758</v>
      </c>
      <c r="O1116" s="361" t="s">
        <v>1758</v>
      </c>
    </row>
    <row r="1117" spans="1:15">
      <c r="A1117" s="361" t="s">
        <v>1770</v>
      </c>
      <c r="B1117" s="361" t="s">
        <v>368</v>
      </c>
      <c r="C1117" s="361"/>
      <c r="D1117" s="361" t="s">
        <v>437</v>
      </c>
      <c r="G1117" s="361" t="s">
        <v>439</v>
      </c>
      <c r="I1117" s="361" t="s">
        <v>437</v>
      </c>
      <c r="J1117" s="361" t="s">
        <v>1771</v>
      </c>
      <c r="K1117" s="361" t="s">
        <v>1772</v>
      </c>
      <c r="L1117" s="361" t="s">
        <v>1759</v>
      </c>
      <c r="N1117" s="361" t="s">
        <v>1760</v>
      </c>
      <c r="O1117" s="361" t="s">
        <v>439</v>
      </c>
    </row>
    <row r="1118" spans="1:15">
      <c r="A1118" s="364" t="s">
        <v>316</v>
      </c>
      <c r="B1118" s="364" t="s">
        <v>316</v>
      </c>
      <c r="C1118" s="364" t="s">
        <v>451</v>
      </c>
      <c r="D1118" s="364" t="s">
        <v>441</v>
      </c>
      <c r="E1118" s="364" t="s">
        <v>442</v>
      </c>
      <c r="F1118" s="364" t="s">
        <v>443</v>
      </c>
      <c r="G1118" s="364" t="s">
        <v>441</v>
      </c>
      <c r="I1118" s="364" t="s">
        <v>441</v>
      </c>
      <c r="J1118" s="364" t="s">
        <v>1773</v>
      </c>
      <c r="K1118" s="364" t="s">
        <v>1771</v>
      </c>
      <c r="L1118" s="364" t="s">
        <v>355</v>
      </c>
      <c r="M1118" s="364" t="s">
        <v>443</v>
      </c>
      <c r="N1118" s="364" t="s">
        <v>1763</v>
      </c>
      <c r="O1118" s="364" t="s">
        <v>441</v>
      </c>
    </row>
    <row r="1119" spans="1:15">
      <c r="B1119" s="359"/>
      <c r="D1119" s="361" t="s">
        <v>532</v>
      </c>
      <c r="E1119" s="361" t="s">
        <v>541</v>
      </c>
      <c r="F1119" s="361" t="s">
        <v>542</v>
      </c>
      <c r="G1119" s="361" t="s">
        <v>1764</v>
      </c>
      <c r="I1119" s="334" t="str">
        <f>"(5)"</f>
        <v>(5)</v>
      </c>
      <c r="J1119" s="334" t="str">
        <f>"(6)"</f>
        <v>(6)</v>
      </c>
      <c r="K1119" s="334" t="str">
        <f>"(7)=((1+4)/2*6/12))"</f>
        <v>(7)=((1+4)/2*6/12))</v>
      </c>
      <c r="L1119" s="334" t="str">
        <f>"(8)"</f>
        <v>(8)</v>
      </c>
      <c r="M1119" s="334" t="str">
        <f>"(9)"</f>
        <v>(9)</v>
      </c>
      <c r="N1119" s="334" t="str">
        <f>"(10)"</f>
        <v>(10)</v>
      </c>
      <c r="O1119" s="334" t="str">
        <f>"(11=5+7+8+9+10)"</f>
        <v>(11=5+7+8+9+10)</v>
      </c>
    </row>
    <row r="1120" spans="1:15">
      <c r="B1120" s="359"/>
      <c r="D1120" s="361" t="s">
        <v>320</v>
      </c>
      <c r="E1120" s="361" t="s">
        <v>320</v>
      </c>
      <c r="F1120" s="361" t="s">
        <v>320</v>
      </c>
      <c r="G1120" s="361" t="s">
        <v>320</v>
      </c>
      <c r="I1120" s="334" t="s">
        <v>320</v>
      </c>
      <c r="J1120" s="1250" t="s">
        <v>529</v>
      </c>
      <c r="K1120" s="334" t="s">
        <v>320</v>
      </c>
      <c r="L1120" s="334" t="s">
        <v>320</v>
      </c>
      <c r="M1120" s="334" t="s">
        <v>320</v>
      </c>
      <c r="N1120" s="334" t="s">
        <v>320</v>
      </c>
      <c r="O1120" s="334" t="s">
        <v>320</v>
      </c>
    </row>
    <row r="1121" spans="1:15">
      <c r="B1121" s="359"/>
      <c r="D1121" s="361"/>
      <c r="E1121" s="361"/>
      <c r="F1121" s="361"/>
      <c r="G1121" s="361"/>
      <c r="I1121" s="334"/>
      <c r="J1121" s="334"/>
      <c r="K1121" s="334"/>
      <c r="L1121" s="334"/>
      <c r="M1121" s="334"/>
      <c r="N1121" s="334"/>
      <c r="O1121" s="334"/>
    </row>
    <row r="1122" spans="1:15">
      <c r="A1122" s="361">
        <v>1</v>
      </c>
      <c r="B1122" s="365">
        <v>376</v>
      </c>
      <c r="C1122" s="358" t="s">
        <v>1775</v>
      </c>
      <c r="D1122" s="369">
        <f>G1076</f>
        <v>52245108.823506333</v>
      </c>
      <c r="E1122" s="369">
        <v>1423405.2789234903</v>
      </c>
      <c r="F1122" s="369">
        <v>-19036.839999999997</v>
      </c>
      <c r="G1122" s="369">
        <f>SUM(D1122:F1122)</f>
        <v>53649477.262429819</v>
      </c>
      <c r="H1122" s="369"/>
      <c r="I1122" s="369">
        <f>O1076</f>
        <v>268889.58592239418</v>
      </c>
      <c r="J1122" s="1251">
        <f>+'WPB-2.1.C Plant Detail'!J2841</f>
        <v>1.7999999999999999E-2</v>
      </c>
      <c r="K1122" s="380">
        <f>ROUND((G1122+D1122)/2*J1122/12,2)</f>
        <v>79420.94</v>
      </c>
      <c r="L1122" s="369">
        <v>0</v>
      </c>
      <c r="M1122" s="369">
        <f>F1122</f>
        <v>-19036.839999999997</v>
      </c>
      <c r="N1122" s="369">
        <v>-131.22666582791899</v>
      </c>
      <c r="O1122" s="369">
        <f>I1122+K1122+L1122+M1122+N1122</f>
        <v>329142.45925656625</v>
      </c>
    </row>
    <row r="1123" spans="1:15">
      <c r="A1123" s="361">
        <f>A1122+1</f>
        <v>2</v>
      </c>
      <c r="B1123" s="365">
        <v>378.2</v>
      </c>
      <c r="C1123" s="358" t="s">
        <v>1776</v>
      </c>
      <c r="D1123" s="369">
        <f>G1077</f>
        <v>599780.62011021946</v>
      </c>
      <c r="E1123" s="369">
        <v>0</v>
      </c>
      <c r="F1123" s="369">
        <v>0</v>
      </c>
      <c r="G1123" s="369">
        <f>SUM(D1123:F1123)</f>
        <v>599780.62011021946</v>
      </c>
      <c r="H1123" s="369"/>
      <c r="I1123" s="369">
        <f>O1077</f>
        <v>-944817.27754116023</v>
      </c>
      <c r="J1123" s="1251">
        <f>+'WPB-2.1.C Plant Detail'!J2842</f>
        <v>3.3099999999999997E-2</v>
      </c>
      <c r="K1123" s="380">
        <f>ROUND((G1123+D1123)/2*J1123/12,2)</f>
        <v>1654.39</v>
      </c>
      <c r="L1123" s="369">
        <v>0</v>
      </c>
      <c r="M1123" s="369">
        <f>F1123</f>
        <v>0</v>
      </c>
      <c r="N1123" s="369">
        <v>0</v>
      </c>
      <c r="O1123" s="369">
        <f>I1123+K1123+L1123+M1123+N1123</f>
        <v>-943162.88754116022</v>
      </c>
    </row>
    <row r="1124" spans="1:15">
      <c r="A1124" s="361">
        <f>A1123+1</f>
        <v>3</v>
      </c>
      <c r="B1124" s="365">
        <v>380</v>
      </c>
      <c r="C1124" s="358" t="s">
        <v>1777</v>
      </c>
      <c r="D1124" s="369">
        <f>G1078</f>
        <v>21966406.624204569</v>
      </c>
      <c r="E1124" s="369">
        <v>549819.05897804489</v>
      </c>
      <c r="F1124" s="369">
        <v>-132820.17047799847</v>
      </c>
      <c r="G1124" s="369">
        <f>SUM(D1124:F1124)</f>
        <v>22383405.512704615</v>
      </c>
      <c r="H1124" s="369"/>
      <c r="I1124" s="369">
        <f>O1078</f>
        <v>-11414274.058316868</v>
      </c>
      <c r="J1124" s="1251">
        <f>+'WPB-2.1.C Plant Detail'!J2843</f>
        <v>5.1799999999999999E-2</v>
      </c>
      <c r="K1124" s="380">
        <f>ROUND((G1124+D1124)/2*J1124/12,2)</f>
        <v>95721.68</v>
      </c>
      <c r="L1124" s="369">
        <v>0</v>
      </c>
      <c r="M1124" s="369">
        <f>F1124</f>
        <v>-132820.17047799847</v>
      </c>
      <c r="N1124" s="369">
        <v>-281047.64355017297</v>
      </c>
      <c r="O1124" s="369">
        <f>I1124+K1124+L1124+M1124+N1124</f>
        <v>-11732420.19234504</v>
      </c>
    </row>
    <row r="1125" spans="1:15">
      <c r="A1125" s="361">
        <f>A1124+1</f>
        <v>4</v>
      </c>
      <c r="B1125" s="365">
        <v>382</v>
      </c>
      <c r="C1125" s="358" t="s">
        <v>1778</v>
      </c>
      <c r="D1125" s="369">
        <f>G1079</f>
        <v>228505.5945269751</v>
      </c>
      <c r="E1125" s="369">
        <v>2483.5061198633603</v>
      </c>
      <c r="F1125" s="369">
        <v>-206.17038835877938</v>
      </c>
      <c r="G1125" s="369">
        <f>SUM(D1125:F1125)</f>
        <v>230782.93025847967</v>
      </c>
      <c r="H1125" s="369"/>
      <c r="I1125" s="369">
        <f>O1079</f>
        <v>-74942.2506416877</v>
      </c>
      <c r="J1125" s="1251">
        <f>+'WPB-2.1.C Plant Detail'!J2844</f>
        <v>2.2800000000000001E-2</v>
      </c>
      <c r="K1125" s="380">
        <f>ROUND((G1125+D1125)/2*J1125/12,2)</f>
        <v>436.32</v>
      </c>
      <c r="L1125" s="369">
        <v>0</v>
      </c>
      <c r="M1125" s="369">
        <f>F1125</f>
        <v>-206.17038835877938</v>
      </c>
      <c r="N1125" s="369">
        <v>0</v>
      </c>
      <c r="O1125" s="369">
        <f>I1125+K1125+L1125+M1125+N1125</f>
        <v>-74712.10103004647</v>
      </c>
    </row>
    <row r="1126" spans="1:15">
      <c r="A1126" s="361">
        <f>A1125+1</f>
        <v>5</v>
      </c>
      <c r="B1126" s="365">
        <v>383</v>
      </c>
      <c r="C1126" s="358" t="s">
        <v>1779</v>
      </c>
      <c r="D1126" s="923">
        <f>G1080</f>
        <v>144714.99528017396</v>
      </c>
      <c r="E1126" s="923">
        <v>8273.2027759532048</v>
      </c>
      <c r="F1126" s="923">
        <v>-64.077253526215429</v>
      </c>
      <c r="G1126" s="923">
        <f>SUM(D1126:F1126)</f>
        <v>152924.12080260093</v>
      </c>
      <c r="H1126" s="369"/>
      <c r="I1126" s="923">
        <f>O1080</f>
        <v>-8834.019428498932</v>
      </c>
      <c r="J1126" s="1251">
        <f>+'WPB-2.1.C Plant Detail'!J2845</f>
        <v>2.2200000000000001E-2</v>
      </c>
      <c r="K1126" s="925">
        <f>ROUND((G1126+D1126)/2*J1126/12,2)</f>
        <v>275.32</v>
      </c>
      <c r="L1126" s="923">
        <v>0</v>
      </c>
      <c r="M1126" s="923">
        <f>F1126</f>
        <v>-64.077253526215429</v>
      </c>
      <c r="N1126" s="923">
        <v>0</v>
      </c>
      <c r="O1126" s="923">
        <f>I1126+K1126+L1126+M1126+N1126</f>
        <v>-8622.7766820251472</v>
      </c>
    </row>
    <row r="1127" spans="1:15">
      <c r="A1127" s="361">
        <f>A1126+1</f>
        <v>6</v>
      </c>
      <c r="C1127" s="358" t="s">
        <v>3077</v>
      </c>
      <c r="D1127" s="369">
        <f>SUM(D1122:D1126)</f>
        <v>75184516.657628268</v>
      </c>
      <c r="E1127" s="369">
        <f>SUM(E1122:E1126)</f>
        <v>1983981.0467973517</v>
      </c>
      <c r="F1127" s="369">
        <f>SUM(F1122:F1126)</f>
        <v>-152127.25811988348</v>
      </c>
      <c r="G1127" s="369">
        <f>SUM(G1122:G1126)</f>
        <v>77016370.446305737</v>
      </c>
      <c r="H1127" s="369"/>
      <c r="I1127" s="369">
        <f>SUM(I1122:I1126)</f>
        <v>-12173978.02000582</v>
      </c>
      <c r="J1127" s="369"/>
      <c r="K1127" s="369">
        <f>SUM(K1122:K1126)</f>
        <v>177508.65000000002</v>
      </c>
      <c r="L1127" s="369">
        <f t="shared" ref="L1127" si="24">SUM(L1122:L1126)</f>
        <v>0</v>
      </c>
      <c r="M1127" s="369">
        <f>SUM(M1122:M1126)</f>
        <v>-152127.25811988348</v>
      </c>
      <c r="N1127" s="369">
        <f>SUM(N1122:N1126)</f>
        <v>-281178.87021600088</v>
      </c>
      <c r="O1127" s="369">
        <f>SUM(O1122:O1126)</f>
        <v>-12429775.498341706</v>
      </c>
    </row>
    <row r="1128" spans="1:15">
      <c r="A1128" s="361"/>
      <c r="D1128" s="369"/>
      <c r="E1128" s="369"/>
      <c r="F1128" s="369"/>
      <c r="G1128" s="369"/>
      <c r="H1128" s="369"/>
      <c r="I1128" s="369"/>
      <c r="J1128" s="369"/>
      <c r="K1128" s="369"/>
      <c r="L1128" s="369"/>
      <c r="M1128" s="369"/>
      <c r="N1128" s="369"/>
      <c r="O1128" s="369"/>
    </row>
    <row r="1129" spans="1:15">
      <c r="A1129" s="361"/>
      <c r="D1129" s="369"/>
      <c r="E1129" s="369"/>
      <c r="F1129" s="369"/>
      <c r="G1129" s="369"/>
      <c r="H1129" s="369"/>
      <c r="I1129" s="369"/>
      <c r="J1129" s="369"/>
      <c r="K1129" s="369"/>
      <c r="L1129" s="369"/>
      <c r="M1129" s="369"/>
      <c r="N1129" s="369"/>
      <c r="O1129" s="369"/>
    </row>
    <row r="1130" spans="1:15">
      <c r="A1130" s="361">
        <f>A1127+1</f>
        <v>7</v>
      </c>
      <c r="B1130" s="365">
        <v>376</v>
      </c>
      <c r="C1130" s="358" t="s">
        <v>1775</v>
      </c>
      <c r="D1130" s="369">
        <f>D1122</f>
        <v>52245108.823506333</v>
      </c>
      <c r="E1130" s="369">
        <f>E1122</f>
        <v>1423405.2789234903</v>
      </c>
      <c r="F1130" s="369">
        <f>F1122</f>
        <v>-19036.839999999997</v>
      </c>
      <c r="G1130" s="369">
        <f>SUM(D1130:F1130)</f>
        <v>53649477.262429819</v>
      </c>
      <c r="H1130" s="369"/>
      <c r="I1130" s="369">
        <f>I1122</f>
        <v>268889.58592239418</v>
      </c>
      <c r="J1130" s="1251"/>
      <c r="K1130" s="369">
        <f>K1122</f>
        <v>79420.94</v>
      </c>
      <c r="L1130" s="369">
        <v>0</v>
      </c>
      <c r="M1130" s="369">
        <f>M1122</f>
        <v>-19036.839999999997</v>
      </c>
      <c r="N1130" s="369">
        <f>N1122</f>
        <v>-131.22666582791899</v>
      </c>
      <c r="O1130" s="369">
        <f>I1130+K1130+L1130+M1130+N1130</f>
        <v>329142.45925656625</v>
      </c>
    </row>
    <row r="1131" spans="1:15">
      <c r="A1131" s="361">
        <f>A1130+1</f>
        <v>8</v>
      </c>
      <c r="B1131" s="365">
        <v>376</v>
      </c>
      <c r="C1131" s="358" t="s">
        <v>1621</v>
      </c>
      <c r="D1131" s="923">
        <f>D1132-D1130</f>
        <v>421629774.85649377</v>
      </c>
      <c r="E1131" s="923">
        <f>E1132-E1130</f>
        <v>363800.82107650978</v>
      </c>
      <c r="F1131" s="923">
        <f>F1132-F1130</f>
        <v>-39188.69</v>
      </c>
      <c r="G1131" s="923">
        <f>SUM(D1131:F1131)</f>
        <v>421954386.98757029</v>
      </c>
      <c r="H1131" s="369"/>
      <c r="I1131" s="923">
        <f>I1132-I1130</f>
        <v>86228243.744077682</v>
      </c>
      <c r="J1131" s="1251"/>
      <c r="K1131" s="923">
        <f>K1132-K1130</f>
        <v>632688.06000000006</v>
      </c>
      <c r="L1131" s="923">
        <v>0</v>
      </c>
      <c r="M1131" s="923">
        <f>M1132-M1130</f>
        <v>-39188.69</v>
      </c>
      <c r="N1131" s="923">
        <f>N1132-N1130</f>
        <v>-10859.433334172081</v>
      </c>
      <c r="O1131" s="923">
        <f>I1131+K1131+L1131+M1131+N1131</f>
        <v>86810883.680743515</v>
      </c>
    </row>
    <row r="1132" spans="1:15">
      <c r="A1132" s="361">
        <f>A1131+1</f>
        <v>9</v>
      </c>
      <c r="B1132" s="365">
        <v>376</v>
      </c>
      <c r="C1132" s="358" t="s">
        <v>3078</v>
      </c>
      <c r="D1132" s="369">
        <f>G1086</f>
        <v>473874883.68000013</v>
      </c>
      <c r="E1132" s="369">
        <v>1787206.1</v>
      </c>
      <c r="F1132" s="369">
        <v>-58225.53</v>
      </c>
      <c r="G1132" s="369">
        <f>SUM(G1130:G1131)</f>
        <v>475603864.25000012</v>
      </c>
      <c r="H1132" s="369"/>
      <c r="I1132" s="369">
        <f>O1086</f>
        <v>86497133.330000073</v>
      </c>
      <c r="J1132" s="1251">
        <f>+J1122</f>
        <v>1.7999999999999999E-2</v>
      </c>
      <c r="K1132" s="369">
        <f>ROUND((D1132+G1132)/2*J1132/12,0)</f>
        <v>712109</v>
      </c>
      <c r="L1132" s="369">
        <f>SUM(L1130:L1131)</f>
        <v>0</v>
      </c>
      <c r="M1132" s="369">
        <f>F1132</f>
        <v>-58225.53</v>
      </c>
      <c r="N1132" s="369">
        <v>-10990.66</v>
      </c>
      <c r="O1132" s="369">
        <f>SUM(O1130:O1131)</f>
        <v>87140026.140000075</v>
      </c>
    </row>
    <row r="1133" spans="1:15">
      <c r="A1133" s="361"/>
      <c r="B1133" s="365"/>
      <c r="D1133" s="369"/>
      <c r="E1133" s="369"/>
      <c r="F1133" s="369"/>
      <c r="G1133" s="369"/>
      <c r="H1133" s="369"/>
      <c r="I1133" s="369"/>
      <c r="J1133" s="1251"/>
      <c r="K1133" s="369"/>
      <c r="L1133" s="369"/>
      <c r="M1133" s="369"/>
      <c r="N1133" s="369"/>
      <c r="O1133" s="369"/>
    </row>
    <row r="1134" spans="1:15">
      <c r="A1134" s="361">
        <f>A1132+1</f>
        <v>10</v>
      </c>
      <c r="B1134" s="365">
        <v>378.2</v>
      </c>
      <c r="C1134" s="358" t="s">
        <v>1776</v>
      </c>
      <c r="D1134" s="369">
        <f>D1123</f>
        <v>599780.62011021946</v>
      </c>
      <c r="E1134" s="369">
        <f>E1123</f>
        <v>0</v>
      </c>
      <c r="F1134" s="369">
        <f>F1123</f>
        <v>0</v>
      </c>
      <c r="G1134" s="369">
        <f>SUM(D1134:F1134)</f>
        <v>599780.62011021946</v>
      </c>
      <c r="H1134" s="369"/>
      <c r="I1134" s="369">
        <f>I1123</f>
        <v>-944817.27754116023</v>
      </c>
      <c r="J1134" s="1251"/>
      <c r="K1134" s="369">
        <f>K1123</f>
        <v>1654.39</v>
      </c>
      <c r="L1134" s="369">
        <v>0</v>
      </c>
      <c r="M1134" s="369">
        <f>M1123</f>
        <v>0</v>
      </c>
      <c r="N1134" s="369">
        <f>N1123</f>
        <v>0</v>
      </c>
      <c r="O1134" s="369">
        <f>I1134+K1134+L1134+M1134+N1134</f>
        <v>-943162.88754116022</v>
      </c>
    </row>
    <row r="1135" spans="1:15">
      <c r="A1135" s="361">
        <f>A1134+1</f>
        <v>11</v>
      </c>
      <c r="B1135" s="365">
        <v>378.2</v>
      </c>
      <c r="C1135" s="358" t="s">
        <v>1622</v>
      </c>
      <c r="D1135" s="923">
        <f>D1136-D1134</f>
        <v>27755737.239889771</v>
      </c>
      <c r="E1135" s="923">
        <f>E1136-E1134</f>
        <v>169690.99965839169</v>
      </c>
      <c r="F1135" s="923">
        <f>F1136-F1134</f>
        <v>-467046.3003241999</v>
      </c>
      <c r="G1135" s="923">
        <f>SUM(D1135:F1135)</f>
        <v>27458381.93922396</v>
      </c>
      <c r="H1135" s="369"/>
      <c r="I1135" s="923">
        <f>I1136-I1134</f>
        <v>3765773.1875411603</v>
      </c>
      <c r="J1135" s="1251"/>
      <c r="K1135" s="923">
        <f>K1136-K1134</f>
        <v>76149.61</v>
      </c>
      <c r="L1135" s="923">
        <v>0</v>
      </c>
      <c r="M1135" s="923">
        <f>M1136-M1134</f>
        <v>-467046.3003241999</v>
      </c>
      <c r="N1135" s="923">
        <f>N1136-N1134</f>
        <v>0</v>
      </c>
      <c r="O1135" s="923">
        <f>I1135+K1135+L1135+M1135+N1135</f>
        <v>3374876.4972169604</v>
      </c>
    </row>
    <row r="1136" spans="1:15">
      <c r="A1136" s="361">
        <f>A1135+1</f>
        <v>12</v>
      </c>
      <c r="B1136" s="365">
        <v>378.2</v>
      </c>
      <c r="C1136" s="358" t="s">
        <v>3079</v>
      </c>
      <c r="D1136" s="369">
        <f>G1090</f>
        <v>28355517.859999992</v>
      </c>
      <c r="E1136" s="369">
        <v>169690.99965839169</v>
      </c>
      <c r="F1136" s="369">
        <v>-467046.3003241999</v>
      </c>
      <c r="G1136" s="369">
        <f>SUM(G1134:G1135)</f>
        <v>28058162.559334181</v>
      </c>
      <c r="H1136" s="369"/>
      <c r="I1136" s="369">
        <f>O1090</f>
        <v>2820955.91</v>
      </c>
      <c r="J1136" s="1251">
        <f>+J1123</f>
        <v>3.3099999999999997E-2</v>
      </c>
      <c r="K1136" s="369">
        <f>ROUND((D1136+G1136)/2*J1136/12,0)</f>
        <v>77804</v>
      </c>
      <c r="L1136" s="369">
        <f>SUM(L1134:L1135)</f>
        <v>0</v>
      </c>
      <c r="M1136" s="369">
        <f>F1136</f>
        <v>-467046.3003241999</v>
      </c>
      <c r="N1136" s="369">
        <v>0</v>
      </c>
      <c r="O1136" s="369">
        <f>SUM(O1134:O1135)</f>
        <v>2431713.6096758004</v>
      </c>
    </row>
    <row r="1137" spans="1:15">
      <c r="A1137" s="361"/>
      <c r="B1137" s="365"/>
      <c r="D1137" s="369"/>
      <c r="E1137" s="369"/>
      <c r="F1137" s="369"/>
      <c r="G1137" s="369"/>
      <c r="H1137" s="369"/>
      <c r="I1137" s="369"/>
      <c r="J1137" s="1251"/>
      <c r="K1137" s="369"/>
      <c r="L1137" s="369"/>
      <c r="M1137" s="369"/>
      <c r="N1137" s="369"/>
      <c r="O1137" s="369"/>
    </row>
    <row r="1138" spans="1:15">
      <c r="A1138" s="361">
        <f>A1136+1</f>
        <v>13</v>
      </c>
      <c r="B1138" s="365">
        <v>380</v>
      </c>
      <c r="C1138" s="358" t="s">
        <v>1777</v>
      </c>
      <c r="D1138" s="369">
        <f>D1124</f>
        <v>21966406.624204569</v>
      </c>
      <c r="E1138" s="369">
        <f>E1124</f>
        <v>549819.05897804489</v>
      </c>
      <c r="F1138" s="369">
        <f>F1124</f>
        <v>-132820.17047799847</v>
      </c>
      <c r="G1138" s="369">
        <f>SUM(D1138:F1138)</f>
        <v>22383405.512704615</v>
      </c>
      <c r="H1138" s="369"/>
      <c r="I1138" s="369">
        <f>I1124</f>
        <v>-11414274.058316868</v>
      </c>
      <c r="J1138" s="1251"/>
      <c r="K1138" s="369">
        <f>K1124</f>
        <v>95721.68</v>
      </c>
      <c r="L1138" s="369">
        <v>0</v>
      </c>
      <c r="M1138" s="369">
        <f>M1124</f>
        <v>-132820.17047799847</v>
      </c>
      <c r="N1138" s="369">
        <f>N1124</f>
        <v>-281047.64355017297</v>
      </c>
      <c r="O1138" s="369">
        <f>I1138+K1138+L1138+M1138+N1138</f>
        <v>-11732420.19234504</v>
      </c>
    </row>
    <row r="1139" spans="1:15">
      <c r="A1139" s="361">
        <f>A1138+1</f>
        <v>14</v>
      </c>
      <c r="B1139" s="365">
        <v>380</v>
      </c>
      <c r="C1139" s="358" t="s">
        <v>1623</v>
      </c>
      <c r="D1139" s="923">
        <f>D1140-D1138</f>
        <v>204295634.90579543</v>
      </c>
      <c r="E1139" s="923">
        <f>E1140-E1138</f>
        <v>483599.34102195525</v>
      </c>
      <c r="F1139" s="923">
        <f>F1140-F1138</f>
        <v>-29180.919522001554</v>
      </c>
      <c r="G1139" s="923">
        <f>SUM(D1139:F1139)</f>
        <v>204750053.32729539</v>
      </c>
      <c r="H1139" s="369"/>
      <c r="I1139" s="923">
        <f>I1140-I1138</f>
        <v>66522218.098316893</v>
      </c>
      <c r="J1139" s="1251"/>
      <c r="K1139" s="923">
        <f>K1140-K1138</f>
        <v>882857.32000000007</v>
      </c>
      <c r="L1139" s="923">
        <v>0</v>
      </c>
      <c r="M1139" s="923">
        <f>M1140-M1138</f>
        <v>-29180.919522001554</v>
      </c>
      <c r="N1139" s="923">
        <f>N1140-N1138</f>
        <v>-115304.59644982702</v>
      </c>
      <c r="O1139" s="923">
        <f>I1139+K1139+L1139+M1139+N1139</f>
        <v>67260589.902345061</v>
      </c>
    </row>
    <row r="1140" spans="1:15">
      <c r="A1140" s="361">
        <f>A1139+1</f>
        <v>15</v>
      </c>
      <c r="B1140" s="365">
        <v>380</v>
      </c>
      <c r="C1140" s="358" t="s">
        <v>3080</v>
      </c>
      <c r="D1140" s="369">
        <f>G1094</f>
        <v>226262041.53</v>
      </c>
      <c r="E1140" s="369">
        <v>1033418.4000000001</v>
      </c>
      <c r="F1140" s="369">
        <v>-162001.09000000003</v>
      </c>
      <c r="G1140" s="369">
        <f>SUM(G1138:G1139)</f>
        <v>227133458.84</v>
      </c>
      <c r="H1140" s="369"/>
      <c r="I1140" s="369">
        <f>O1094</f>
        <v>55107944.040000021</v>
      </c>
      <c r="J1140" s="1251">
        <f>+J1124</f>
        <v>5.1799999999999999E-2</v>
      </c>
      <c r="K1140" s="369">
        <f>ROUND((D1140+G1140)/2*J1140/12,0)</f>
        <v>978579</v>
      </c>
      <c r="L1140" s="369">
        <f>SUM(L1138:L1139)</f>
        <v>0</v>
      </c>
      <c r="M1140" s="369">
        <f>F1140</f>
        <v>-162001.09000000003</v>
      </c>
      <c r="N1140" s="369">
        <v>-396352.24</v>
      </c>
      <c r="O1140" s="369">
        <f>SUM(O1138:O1139)</f>
        <v>55528169.710000023</v>
      </c>
    </row>
    <row r="1141" spans="1:15">
      <c r="A1141" s="361"/>
      <c r="B1141" s="365"/>
      <c r="D1141" s="369"/>
      <c r="E1141" s="369"/>
      <c r="F1141" s="369"/>
      <c r="G1141" s="369"/>
      <c r="H1141" s="369"/>
      <c r="I1141" s="369"/>
      <c r="J1141" s="1251"/>
      <c r="K1141" s="369"/>
      <c r="L1141" s="369"/>
      <c r="M1141" s="369"/>
      <c r="N1141" s="369"/>
      <c r="O1141" s="369"/>
    </row>
    <row r="1142" spans="1:15">
      <c r="A1142" s="361">
        <f>A1140+1</f>
        <v>16</v>
      </c>
      <c r="B1142" s="365">
        <v>382</v>
      </c>
      <c r="C1142" s="358" t="s">
        <v>1778</v>
      </c>
      <c r="D1142" s="369">
        <f>D1125</f>
        <v>228505.5945269751</v>
      </c>
      <c r="E1142" s="369">
        <f>E1125</f>
        <v>2483.5061198633603</v>
      </c>
      <c r="F1142" s="369">
        <f>F1125</f>
        <v>-206.17038835877938</v>
      </c>
      <c r="G1142" s="369">
        <f>SUM(D1142:F1142)</f>
        <v>230782.93025847967</v>
      </c>
      <c r="H1142" s="369"/>
      <c r="I1142" s="369">
        <f>I1125</f>
        <v>-74942.2506416877</v>
      </c>
      <c r="J1142" s="1251"/>
      <c r="K1142" s="369">
        <f>K1125</f>
        <v>436.32</v>
      </c>
      <c r="L1142" s="369">
        <v>0</v>
      </c>
      <c r="M1142" s="369">
        <f>M1125</f>
        <v>-206.17038835877938</v>
      </c>
      <c r="N1142" s="369">
        <f>N1125</f>
        <v>0</v>
      </c>
      <c r="O1142" s="369">
        <f>I1142+K1142+L1142+M1142+N1142</f>
        <v>-74712.10103004647</v>
      </c>
    </row>
    <row r="1143" spans="1:15">
      <c r="A1143" s="361">
        <f>A1142+1</f>
        <v>17</v>
      </c>
      <c r="B1143" s="365">
        <v>382</v>
      </c>
      <c r="C1143" s="358" t="s">
        <v>1624</v>
      </c>
      <c r="D1143" s="923">
        <f>D1144-D1142</f>
        <v>10688170.345473025</v>
      </c>
      <c r="E1143" s="923">
        <f>E1144-E1142</f>
        <v>7435.157046403353</v>
      </c>
      <c r="F1143" s="923">
        <f>F1144-F1142</f>
        <v>-617.23593250087629</v>
      </c>
      <c r="G1143" s="923">
        <f>SUM(D1143:F1143)</f>
        <v>10694988.266586928</v>
      </c>
      <c r="H1143" s="369"/>
      <c r="I1143" s="923">
        <f>I1144-I1142</f>
        <v>6015736.8906416874</v>
      </c>
      <c r="J1143" s="1251"/>
      <c r="K1143" s="923">
        <f>K1144-K1142</f>
        <v>20313.68</v>
      </c>
      <c r="L1143" s="923">
        <v>0</v>
      </c>
      <c r="M1143" s="923">
        <f>M1144-M1142</f>
        <v>-617.23593250087629</v>
      </c>
      <c r="N1143" s="923">
        <f>N1144-N1142</f>
        <v>0</v>
      </c>
      <c r="O1143" s="923">
        <f>I1143+K1143+L1143+M1143+N1143</f>
        <v>6035433.3347091861</v>
      </c>
    </row>
    <row r="1144" spans="1:15">
      <c r="A1144" s="361">
        <f>A1143+1</f>
        <v>18</v>
      </c>
      <c r="B1144" s="365">
        <v>382</v>
      </c>
      <c r="C1144" s="358" t="s">
        <v>3081</v>
      </c>
      <c r="D1144" s="369">
        <f>G1098</f>
        <v>10916675.939999999</v>
      </c>
      <c r="E1144" s="369">
        <v>9918.6631662667132</v>
      </c>
      <c r="F1144" s="369">
        <v>-823.40632085965569</v>
      </c>
      <c r="G1144" s="369">
        <f>SUM(G1142:G1143)</f>
        <v>10925771.196845407</v>
      </c>
      <c r="H1144" s="369"/>
      <c r="I1144" s="369">
        <f>O1098</f>
        <v>5940794.6399999997</v>
      </c>
      <c r="J1144" s="1251">
        <f>+J1125</f>
        <v>2.2800000000000001E-2</v>
      </c>
      <c r="K1144" s="369">
        <f>ROUND((D1144+G1144)/2*J1144/12,0)</f>
        <v>20750</v>
      </c>
      <c r="L1144" s="369">
        <f>SUM(L1142:L1143)</f>
        <v>0</v>
      </c>
      <c r="M1144" s="369">
        <f>F1144</f>
        <v>-823.40632085965569</v>
      </c>
      <c r="N1144" s="369">
        <v>0</v>
      </c>
      <c r="O1144" s="369">
        <f>SUM(O1142:O1143)</f>
        <v>5960721.23367914</v>
      </c>
    </row>
    <row r="1145" spans="1:15">
      <c r="A1145" s="361"/>
      <c r="B1145" s="365"/>
      <c r="D1145" s="369"/>
      <c r="E1145" s="369"/>
      <c r="F1145" s="369"/>
      <c r="G1145" s="369"/>
      <c r="H1145" s="369"/>
      <c r="I1145" s="369"/>
      <c r="J1145" s="1251"/>
      <c r="K1145" s="369"/>
      <c r="L1145" s="369"/>
      <c r="M1145" s="369"/>
      <c r="N1145" s="369"/>
      <c r="O1145" s="369"/>
    </row>
    <row r="1146" spans="1:15">
      <c r="A1146" s="361">
        <f>A1144+1</f>
        <v>19</v>
      </c>
      <c r="B1146" s="365">
        <v>383</v>
      </c>
      <c r="C1146" s="358" t="s">
        <v>1779</v>
      </c>
      <c r="D1146" s="369">
        <f>D1126</f>
        <v>144714.99528017396</v>
      </c>
      <c r="E1146" s="369">
        <f>E1126</f>
        <v>8273.2027759532048</v>
      </c>
      <c r="F1146" s="369">
        <f>F1126</f>
        <v>-64.077253526215429</v>
      </c>
      <c r="G1146" s="369">
        <f>SUM(D1146:F1146)</f>
        <v>152924.12080260093</v>
      </c>
      <c r="H1146" s="369"/>
      <c r="I1146" s="369">
        <f>I1126</f>
        <v>-8834.019428498932</v>
      </c>
      <c r="J1146" s="1251"/>
      <c r="K1146" s="369">
        <f>K1126</f>
        <v>275.32</v>
      </c>
      <c r="L1146" s="369">
        <v>0</v>
      </c>
      <c r="M1146" s="369">
        <f>M1126</f>
        <v>-64.077253526215429</v>
      </c>
      <c r="N1146" s="369">
        <f>N1126</f>
        <v>0</v>
      </c>
      <c r="O1146" s="369">
        <f>I1146+K1146+L1146+M1146+N1146</f>
        <v>-8622.7766820251472</v>
      </c>
    </row>
    <row r="1147" spans="1:15">
      <c r="A1147" s="361">
        <f>A1146+1</f>
        <v>20</v>
      </c>
      <c r="B1147" s="365">
        <v>383</v>
      </c>
      <c r="C1147" s="358" t="s">
        <v>1625</v>
      </c>
      <c r="D1147" s="923">
        <f>D1148-D1146</f>
        <v>7572377.154719824</v>
      </c>
      <c r="E1147" s="923">
        <f>E1148-E1146</f>
        <v>48167.915789512233</v>
      </c>
      <c r="F1147" s="923">
        <f>F1148-F1146</f>
        <v>-373.06806510835946</v>
      </c>
      <c r="G1147" s="923">
        <f>SUM(D1147:F1147)</f>
        <v>7620172.0024442272</v>
      </c>
      <c r="H1147" s="369"/>
      <c r="I1147" s="923">
        <f>I1148-I1146</f>
        <v>2625804.8994284985</v>
      </c>
      <c r="J1147" s="1251"/>
      <c r="K1147" s="923">
        <f>K1148-K1146</f>
        <v>14052.68</v>
      </c>
      <c r="L1147" s="923">
        <v>0</v>
      </c>
      <c r="M1147" s="923">
        <f>M1148-M1146</f>
        <v>-373.06806510835946</v>
      </c>
      <c r="N1147" s="923">
        <f>N1148-N1146</f>
        <v>0</v>
      </c>
      <c r="O1147" s="923">
        <f>I1147+K1147+L1147+M1147+N1147</f>
        <v>2639484.5113633904</v>
      </c>
    </row>
    <row r="1148" spans="1:15">
      <c r="A1148" s="361">
        <f>A1147+1</f>
        <v>21</v>
      </c>
      <c r="B1148" s="365">
        <v>383</v>
      </c>
      <c r="C1148" s="358" t="s">
        <v>3082</v>
      </c>
      <c r="D1148" s="369">
        <f>G1102</f>
        <v>7717092.1499999976</v>
      </c>
      <c r="E1148" s="369">
        <v>56441.11856546544</v>
      </c>
      <c r="F1148" s="369">
        <v>-437.14531863457489</v>
      </c>
      <c r="G1148" s="369">
        <f>SUM(G1146:G1147)</f>
        <v>7773096.1232468281</v>
      </c>
      <c r="H1148" s="369"/>
      <c r="I1148" s="369">
        <f>O1102</f>
        <v>2616970.8799999994</v>
      </c>
      <c r="J1148" s="1251">
        <f>+J1126</f>
        <v>2.2200000000000001E-2</v>
      </c>
      <c r="K1148" s="369">
        <f>ROUND((D1148+G1148)/2*J1148/12,0)</f>
        <v>14328</v>
      </c>
      <c r="L1148" s="369">
        <f>SUM(L1146:L1147)</f>
        <v>0</v>
      </c>
      <c r="M1148" s="369">
        <f>F1148</f>
        <v>-437.14531863457489</v>
      </c>
      <c r="N1148" s="369">
        <v>0</v>
      </c>
      <c r="O1148" s="369">
        <f>SUM(O1146:O1147)</f>
        <v>2630861.7346813651</v>
      </c>
    </row>
    <row r="1151" spans="1:15" s="291" customFormat="1">
      <c r="A1151" s="1308" t="str">
        <f>$A$1</f>
        <v>COLUMBIA GAS OF KENTUCKY, INC.</v>
      </c>
      <c r="B1151" s="1308"/>
      <c r="C1151" s="1308"/>
      <c r="D1151" s="1308"/>
      <c r="E1151" s="1308"/>
      <c r="F1151" s="1308"/>
      <c r="G1151" s="1308"/>
      <c r="H1151" s="1308"/>
      <c r="I1151" s="1308"/>
      <c r="J1151" s="1308"/>
      <c r="K1151" s="1308"/>
      <c r="L1151" s="1308"/>
      <c r="M1151" s="1308"/>
      <c r="N1151" s="1308"/>
      <c r="O1151" s="1308"/>
    </row>
    <row r="1152" spans="1:15" s="291" customFormat="1">
      <c r="A1152" s="1308" t="str">
        <f>$A$2</f>
        <v>CASE NO. 2024 - 00092</v>
      </c>
      <c r="B1152" s="1308"/>
      <c r="C1152" s="1308"/>
      <c r="D1152" s="1308"/>
      <c r="E1152" s="1308"/>
      <c r="F1152" s="1308"/>
      <c r="G1152" s="1308"/>
      <c r="H1152" s="1308"/>
      <c r="I1152" s="1308"/>
      <c r="J1152" s="1308"/>
      <c r="K1152" s="1308"/>
      <c r="L1152" s="1308"/>
      <c r="M1152" s="1308"/>
      <c r="N1152" s="1308"/>
      <c r="O1152" s="1308"/>
    </row>
    <row r="1153" spans="1:15" s="291" customFormat="1">
      <c r="A1153" s="1308" t="str">
        <f>$A$3</f>
        <v>DETAIL OF ACTUAL &amp;  FORECASTED SMRP PLANT, ACCUMULATED RESERVE &amp; DEPRECIATION EXPENSE</v>
      </c>
      <c r="B1153" s="1308"/>
      <c r="C1153" s="1308"/>
      <c r="D1153" s="1308"/>
      <c r="E1153" s="1308"/>
      <c r="F1153" s="1308"/>
      <c r="G1153" s="1308"/>
      <c r="H1153" s="1308"/>
      <c r="I1153" s="1308"/>
      <c r="J1153" s="1308"/>
      <c r="K1153" s="1308"/>
      <c r="L1153" s="1308"/>
      <c r="M1153" s="1308"/>
      <c r="N1153" s="1308"/>
      <c r="O1153" s="1308"/>
    </row>
    <row r="1154" spans="1:15" s="291" customFormat="1">
      <c r="A1154" s="1308" t="str">
        <f>$A$4</f>
        <v>FROM JANUARY 01, 2023 THROUGH DECEMBER 31, 2025</v>
      </c>
      <c r="B1154" s="1308"/>
      <c r="C1154" s="1308"/>
      <c r="D1154" s="1308"/>
      <c r="E1154" s="1308"/>
      <c r="F1154" s="1308"/>
      <c r="G1154" s="1308"/>
      <c r="H1154" s="1308"/>
      <c r="I1154" s="1308"/>
      <c r="J1154" s="1308"/>
      <c r="K1154" s="1308"/>
      <c r="L1154" s="1308"/>
      <c r="M1154" s="1308"/>
      <c r="N1154" s="1308"/>
      <c r="O1154" s="1308"/>
    </row>
    <row r="1155" spans="1:15" s="291" customFormat="1">
      <c r="B1155" s="293"/>
    </row>
    <row r="1156" spans="1:15" s="291" customFormat="1">
      <c r="A1156" s="297" t="str">
        <f>'General Headers Index'!$B$34</f>
        <v xml:space="preserve">DATA: _X_ BASE PERIOD _X_ FORECASTED PERIOD     </v>
      </c>
      <c r="B1156" s="293"/>
      <c r="O1156" s="312" t="s">
        <v>2461</v>
      </c>
    </row>
    <row r="1157" spans="1:15" s="291" customFormat="1">
      <c r="A1157" s="297" t="str">
        <f>'General Headers Index'!$B$37</f>
        <v>TYPE OF FILING:___X___ORIGINAL______UPDATED</v>
      </c>
      <c r="B1157" s="293"/>
      <c r="O1157" s="312" t="s">
        <v>2248</v>
      </c>
    </row>
    <row r="1158" spans="1:15" s="291" customFormat="1">
      <c r="A1158" s="297" t="s">
        <v>2150</v>
      </c>
      <c r="B1158" s="293"/>
      <c r="O1158" s="312" t="str">
        <f>"WITNESS: "&amp;'General Headers Index'!$B$42</f>
        <v>WITNESS: GORE</v>
      </c>
    </row>
    <row r="1159" spans="1:15">
      <c r="A1159" s="918"/>
      <c r="B1159" s="918"/>
      <c r="C1159" s="918"/>
      <c r="D1159" s="918"/>
      <c r="E1159" s="918"/>
      <c r="F1159" s="918"/>
      <c r="G1159" s="918"/>
      <c r="H1159" s="918"/>
      <c r="I1159" s="918"/>
      <c r="J1159" s="918"/>
      <c r="K1159" s="918"/>
      <c r="L1159" s="918"/>
      <c r="M1159" s="918"/>
      <c r="N1159" s="918"/>
      <c r="O1159" s="918"/>
    </row>
    <row r="1160" spans="1:15">
      <c r="B1160" s="359"/>
      <c r="D1160" s="1312" t="s">
        <v>1768</v>
      </c>
      <c r="E1160" s="1312"/>
      <c r="F1160" s="1312"/>
      <c r="G1160" s="1312"/>
      <c r="I1160" s="1312" t="s">
        <v>1769</v>
      </c>
      <c r="J1160" s="1312"/>
      <c r="K1160" s="1312"/>
      <c r="L1160" s="1312"/>
      <c r="M1160" s="1312"/>
      <c r="N1160" s="1312"/>
      <c r="O1160" s="1312"/>
    </row>
    <row r="1161" spans="1:15">
      <c r="B1161" s="359"/>
      <c r="D1161" s="360">
        <f>G1115+1</f>
        <v>45689</v>
      </c>
      <c r="G1161" s="360">
        <f>D1161+27</f>
        <v>45716</v>
      </c>
      <c r="I1161" s="360">
        <f>D1161</f>
        <v>45689</v>
      </c>
      <c r="O1161" s="360">
        <f>G1161</f>
        <v>45716</v>
      </c>
    </row>
    <row r="1162" spans="1:15">
      <c r="B1162" s="359"/>
      <c r="D1162" s="361" t="s">
        <v>1757</v>
      </c>
      <c r="G1162" s="361" t="s">
        <v>1757</v>
      </c>
      <c r="I1162" s="361" t="s">
        <v>1758</v>
      </c>
      <c r="J1162" s="361" t="s">
        <v>488</v>
      </c>
      <c r="L1162" s="361" t="s">
        <v>1758</v>
      </c>
      <c r="O1162" s="361" t="s">
        <v>1758</v>
      </c>
    </row>
    <row r="1163" spans="1:15">
      <c r="A1163" s="361" t="s">
        <v>1770</v>
      </c>
      <c r="B1163" s="361" t="s">
        <v>368</v>
      </c>
      <c r="C1163" s="361"/>
      <c r="D1163" s="361" t="s">
        <v>437</v>
      </c>
      <c r="G1163" s="361" t="s">
        <v>439</v>
      </c>
      <c r="I1163" s="361" t="s">
        <v>437</v>
      </c>
      <c r="J1163" s="361" t="s">
        <v>1771</v>
      </c>
      <c r="K1163" s="361" t="s">
        <v>1772</v>
      </c>
      <c r="L1163" s="361" t="s">
        <v>1759</v>
      </c>
      <c r="N1163" s="361" t="s">
        <v>1760</v>
      </c>
      <c r="O1163" s="361" t="s">
        <v>439</v>
      </c>
    </row>
    <row r="1164" spans="1:15">
      <c r="A1164" s="364" t="s">
        <v>316</v>
      </c>
      <c r="B1164" s="364" t="s">
        <v>316</v>
      </c>
      <c r="C1164" s="364" t="s">
        <v>451</v>
      </c>
      <c r="D1164" s="364" t="s">
        <v>441</v>
      </c>
      <c r="E1164" s="364" t="s">
        <v>442</v>
      </c>
      <c r="F1164" s="364" t="s">
        <v>443</v>
      </c>
      <c r="G1164" s="364" t="s">
        <v>441</v>
      </c>
      <c r="I1164" s="364" t="s">
        <v>441</v>
      </c>
      <c r="J1164" s="364" t="s">
        <v>1773</v>
      </c>
      <c r="K1164" s="364" t="s">
        <v>1771</v>
      </c>
      <c r="L1164" s="364" t="s">
        <v>355</v>
      </c>
      <c r="M1164" s="364" t="s">
        <v>443</v>
      </c>
      <c r="N1164" s="364" t="s">
        <v>1763</v>
      </c>
      <c r="O1164" s="364" t="s">
        <v>441</v>
      </c>
    </row>
    <row r="1165" spans="1:15">
      <c r="B1165" s="359"/>
      <c r="D1165" s="361" t="s">
        <v>532</v>
      </c>
      <c r="E1165" s="361" t="s">
        <v>541</v>
      </c>
      <c r="F1165" s="361" t="s">
        <v>542</v>
      </c>
      <c r="G1165" s="361" t="s">
        <v>1764</v>
      </c>
      <c r="I1165" s="334" t="str">
        <f>"(5)"</f>
        <v>(5)</v>
      </c>
      <c r="J1165" s="334" t="str">
        <f>"(6)"</f>
        <v>(6)</v>
      </c>
      <c r="K1165" s="334" t="str">
        <f>"(7)=((1+4)/2*6/12))"</f>
        <v>(7)=((1+4)/2*6/12))</v>
      </c>
      <c r="L1165" s="334" t="str">
        <f>"(8)"</f>
        <v>(8)</v>
      </c>
      <c r="M1165" s="334" t="str">
        <f>"(9)"</f>
        <v>(9)</v>
      </c>
      <c r="N1165" s="334" t="str">
        <f>"(10)"</f>
        <v>(10)</v>
      </c>
      <c r="O1165" s="334" t="str">
        <f>"(11=5+7+8+9+10)"</f>
        <v>(11=5+7+8+9+10)</v>
      </c>
    </row>
    <row r="1166" spans="1:15">
      <c r="B1166" s="359"/>
      <c r="D1166" s="361" t="s">
        <v>320</v>
      </c>
      <c r="E1166" s="361" t="s">
        <v>320</v>
      </c>
      <c r="F1166" s="361" t="s">
        <v>320</v>
      </c>
      <c r="G1166" s="361" t="s">
        <v>320</v>
      </c>
      <c r="I1166" s="334" t="s">
        <v>320</v>
      </c>
      <c r="J1166" s="1250" t="s">
        <v>529</v>
      </c>
      <c r="K1166" s="334" t="s">
        <v>320</v>
      </c>
      <c r="L1166" s="334" t="s">
        <v>320</v>
      </c>
      <c r="M1166" s="334" t="s">
        <v>320</v>
      </c>
      <c r="N1166" s="334" t="s">
        <v>320</v>
      </c>
      <c r="O1166" s="334" t="s">
        <v>320</v>
      </c>
    </row>
    <row r="1167" spans="1:15">
      <c r="B1167" s="359"/>
      <c r="D1167" s="361"/>
      <c r="E1167" s="361"/>
      <c r="F1167" s="361"/>
      <c r="G1167" s="361"/>
      <c r="I1167" s="334"/>
      <c r="J1167" s="334"/>
      <c r="K1167" s="334"/>
      <c r="L1167" s="334"/>
      <c r="M1167" s="334"/>
      <c r="N1167" s="334"/>
      <c r="O1167" s="334"/>
    </row>
    <row r="1168" spans="1:15">
      <c r="A1168" s="361">
        <v>1</v>
      </c>
      <c r="B1168" s="365">
        <v>376</v>
      </c>
      <c r="C1168" s="358" t="s">
        <v>1775</v>
      </c>
      <c r="D1168" s="369">
        <f>G1122</f>
        <v>53649477.262429819</v>
      </c>
      <c r="E1168" s="369">
        <v>662537.44657724805</v>
      </c>
      <c r="F1168" s="369">
        <v>-7523.239999999998</v>
      </c>
      <c r="G1168" s="369">
        <f>SUM(D1168:F1168)</f>
        <v>54304491.469007067</v>
      </c>
      <c r="H1168" s="369"/>
      <c r="I1168" s="369">
        <f>O1122</f>
        <v>329142.45925656625</v>
      </c>
      <c r="J1168" s="1251">
        <f>+J1122</f>
        <v>1.7999999999999999E-2</v>
      </c>
      <c r="K1168" s="380">
        <f>ROUND((G1168+D1168)/2*J1168/12,2)</f>
        <v>80965.48</v>
      </c>
      <c r="L1168" s="369">
        <v>0</v>
      </c>
      <c r="M1168" s="369">
        <f>F1168</f>
        <v>-7523.239999999998</v>
      </c>
      <c r="N1168" s="369">
        <v>-3881.0125497070599</v>
      </c>
      <c r="O1168" s="369">
        <f>I1168+K1168+L1168+M1168+N1168</f>
        <v>398703.68670685915</v>
      </c>
    </row>
    <row r="1169" spans="1:15">
      <c r="A1169" s="361">
        <f>A1168+1</f>
        <v>2</v>
      </c>
      <c r="B1169" s="365">
        <v>378.2</v>
      </c>
      <c r="C1169" s="358" t="s">
        <v>1776</v>
      </c>
      <c r="D1169" s="369">
        <f>G1123</f>
        <v>599780.62011021946</v>
      </c>
      <c r="E1169" s="369">
        <v>0</v>
      </c>
      <c r="F1169" s="369">
        <v>0</v>
      </c>
      <c r="G1169" s="369">
        <f>SUM(D1169:F1169)</f>
        <v>599780.62011021946</v>
      </c>
      <c r="H1169" s="369"/>
      <c r="I1169" s="369">
        <f>O1123</f>
        <v>-943162.88754116022</v>
      </c>
      <c r="J1169" s="1251">
        <f>+J1123</f>
        <v>3.3099999999999997E-2</v>
      </c>
      <c r="K1169" s="380">
        <f>ROUND((G1169+D1169)/2*J1169/12,2)</f>
        <v>1654.39</v>
      </c>
      <c r="L1169" s="369">
        <v>0</v>
      </c>
      <c r="M1169" s="369">
        <f>F1169</f>
        <v>0</v>
      </c>
      <c r="N1169" s="369">
        <v>0</v>
      </c>
      <c r="O1169" s="369">
        <f>I1169+K1169+L1169+M1169+N1169</f>
        <v>-941508.49754116021</v>
      </c>
    </row>
    <row r="1170" spans="1:15">
      <c r="A1170" s="361">
        <f>A1169+1</f>
        <v>3</v>
      </c>
      <c r="B1170" s="365">
        <v>380</v>
      </c>
      <c r="C1170" s="358" t="s">
        <v>1777</v>
      </c>
      <c r="D1170" s="369">
        <f>G1124</f>
        <v>22383405.512704615</v>
      </c>
      <c r="E1170" s="369">
        <v>630300.71828167804</v>
      </c>
      <c r="F1170" s="369">
        <v>-140763.54396195459</v>
      </c>
      <c r="G1170" s="369">
        <f>SUM(D1170:F1170)</f>
        <v>22872942.68702434</v>
      </c>
      <c r="H1170" s="369"/>
      <c r="I1170" s="369">
        <f>O1124</f>
        <v>-11732420.19234504</v>
      </c>
      <c r="J1170" s="1251">
        <f>+J1124</f>
        <v>5.1799999999999999E-2</v>
      </c>
      <c r="K1170" s="380">
        <f>ROUND((G1170+D1170)/2*J1170/12,2)</f>
        <v>97678.28</v>
      </c>
      <c r="L1170" s="369">
        <v>0</v>
      </c>
      <c r="M1170" s="369">
        <f>F1170</f>
        <v>-140763.54396195459</v>
      </c>
      <c r="N1170" s="369">
        <v>-83937.423997591497</v>
      </c>
      <c r="O1170" s="369">
        <f>I1170+K1170+L1170+M1170+N1170</f>
        <v>-11859442.880304588</v>
      </c>
    </row>
    <row r="1171" spans="1:15">
      <c r="A1171" s="361">
        <f>A1170+1</f>
        <v>4</v>
      </c>
      <c r="B1171" s="365">
        <v>382</v>
      </c>
      <c r="C1171" s="358" t="s">
        <v>1778</v>
      </c>
      <c r="D1171" s="369">
        <f>G1125</f>
        <v>230782.93025847967</v>
      </c>
      <c r="E1171" s="369">
        <v>2415.0566604375563</v>
      </c>
      <c r="F1171" s="369">
        <v>-267.99769531286756</v>
      </c>
      <c r="G1171" s="369">
        <f>SUM(D1171:F1171)</f>
        <v>232929.98922360435</v>
      </c>
      <c r="H1171" s="369"/>
      <c r="I1171" s="369">
        <f>O1125</f>
        <v>-74712.10103004647</v>
      </c>
      <c r="J1171" s="1251">
        <f>+J1125</f>
        <v>2.2800000000000001E-2</v>
      </c>
      <c r="K1171" s="380">
        <f>ROUND((G1171+D1171)/2*J1171/12,2)</f>
        <v>440.53</v>
      </c>
      <c r="L1171" s="369">
        <v>0</v>
      </c>
      <c r="M1171" s="369">
        <f>F1171</f>
        <v>-267.99769531286756</v>
      </c>
      <c r="N1171" s="369">
        <v>0</v>
      </c>
      <c r="O1171" s="369">
        <f>I1171+K1171+L1171+M1171+N1171</f>
        <v>-74539.568725359335</v>
      </c>
    </row>
    <row r="1172" spans="1:15">
      <c r="A1172" s="361">
        <f>A1171+1</f>
        <v>5</v>
      </c>
      <c r="B1172" s="365">
        <v>383</v>
      </c>
      <c r="C1172" s="358" t="s">
        <v>1779</v>
      </c>
      <c r="D1172" s="923">
        <f>G1126</f>
        <v>152924.12080260093</v>
      </c>
      <c r="E1172" s="923">
        <v>6226.9956369220399</v>
      </c>
      <c r="F1172" s="923">
        <v>-39.644143718952151</v>
      </c>
      <c r="G1172" s="923">
        <f>SUM(D1172:F1172)</f>
        <v>159111.47229580401</v>
      </c>
      <c r="H1172" s="369"/>
      <c r="I1172" s="923">
        <f>O1126</f>
        <v>-8622.7766820251472</v>
      </c>
      <c r="J1172" s="1251">
        <f>+J1126</f>
        <v>2.2200000000000001E-2</v>
      </c>
      <c r="K1172" s="925">
        <f>ROUND((G1172+D1172)/2*J1172/12,2)</f>
        <v>288.63</v>
      </c>
      <c r="L1172" s="923">
        <v>0</v>
      </c>
      <c r="M1172" s="923">
        <f>F1172</f>
        <v>-39.644143718952151</v>
      </c>
      <c r="N1172" s="923">
        <v>0</v>
      </c>
      <c r="O1172" s="923">
        <f>I1172+K1172+L1172+M1172+N1172</f>
        <v>-8373.7908257440995</v>
      </c>
    </row>
    <row r="1173" spans="1:15">
      <c r="A1173" s="361">
        <f>A1172+1</f>
        <v>6</v>
      </c>
      <c r="C1173" s="358" t="s">
        <v>3077</v>
      </c>
      <c r="D1173" s="369">
        <f>SUM(D1168:D1172)</f>
        <v>77016370.446305737</v>
      </c>
      <c r="E1173" s="369">
        <f>SUM(E1168:E1172)</f>
        <v>1301480.2171562857</v>
      </c>
      <c r="F1173" s="369">
        <f>SUM(F1168:F1172)</f>
        <v>-148594.42580098641</v>
      </c>
      <c r="G1173" s="369">
        <f>SUM(G1168:G1172)</f>
        <v>78169256.237661034</v>
      </c>
      <c r="H1173" s="369"/>
      <c r="I1173" s="369">
        <f>SUM(I1168:I1172)</f>
        <v>-12429775.498341706</v>
      </c>
      <c r="J1173" s="369"/>
      <c r="K1173" s="369">
        <f>SUM(K1168:K1172)</f>
        <v>181027.31</v>
      </c>
      <c r="L1173" s="369">
        <f t="shared" ref="L1173" si="25">SUM(L1168:L1172)</f>
        <v>0</v>
      </c>
      <c r="M1173" s="369">
        <f>SUM(M1168:M1172)</f>
        <v>-148594.42580098641</v>
      </c>
      <c r="N1173" s="369">
        <f>SUM(N1168:N1172)</f>
        <v>-87818.436547298552</v>
      </c>
      <c r="O1173" s="369">
        <f>SUM(O1168:O1172)</f>
        <v>-12485161.050689992</v>
      </c>
    </row>
    <row r="1174" spans="1:15">
      <c r="A1174" s="361"/>
      <c r="D1174" s="369"/>
      <c r="E1174" s="369"/>
      <c r="F1174" s="369"/>
      <c r="G1174" s="369"/>
      <c r="H1174" s="369"/>
      <c r="I1174" s="369"/>
      <c r="J1174" s="369"/>
      <c r="K1174" s="369"/>
      <c r="L1174" s="369"/>
      <c r="M1174" s="369"/>
      <c r="N1174" s="369"/>
      <c r="O1174" s="369"/>
    </row>
    <row r="1175" spans="1:15">
      <c r="A1175" s="361"/>
      <c r="D1175" s="369"/>
      <c r="E1175" s="369"/>
      <c r="F1175" s="369"/>
      <c r="G1175" s="369"/>
      <c r="H1175" s="369"/>
      <c r="I1175" s="369"/>
      <c r="J1175" s="369"/>
      <c r="K1175" s="369"/>
      <c r="L1175" s="369"/>
      <c r="M1175" s="369"/>
      <c r="N1175" s="369"/>
      <c r="O1175" s="369"/>
    </row>
    <row r="1176" spans="1:15">
      <c r="A1176" s="361">
        <f>A1173+1</f>
        <v>7</v>
      </c>
      <c r="B1176" s="365">
        <v>376</v>
      </c>
      <c r="C1176" s="358" t="s">
        <v>1775</v>
      </c>
      <c r="D1176" s="369">
        <f>D1168</f>
        <v>53649477.262429819</v>
      </c>
      <c r="E1176" s="369">
        <f>E1168</f>
        <v>662537.44657724805</v>
      </c>
      <c r="F1176" s="369">
        <f>F1168</f>
        <v>-7523.239999999998</v>
      </c>
      <c r="G1176" s="369">
        <f>SUM(D1176:F1176)</f>
        <v>54304491.469007067</v>
      </c>
      <c r="H1176" s="369"/>
      <c r="I1176" s="369">
        <f>I1168</f>
        <v>329142.45925656625</v>
      </c>
      <c r="J1176" s="1251"/>
      <c r="K1176" s="369">
        <f>K1168</f>
        <v>80965.48</v>
      </c>
      <c r="L1176" s="369">
        <v>0</v>
      </c>
      <c r="M1176" s="369">
        <f>M1168</f>
        <v>-7523.239999999998</v>
      </c>
      <c r="N1176" s="369">
        <f>N1168</f>
        <v>-3881.0125497070599</v>
      </c>
      <c r="O1176" s="369">
        <f>I1176+K1176+L1176+M1176+N1176</f>
        <v>398703.68670685915</v>
      </c>
    </row>
    <row r="1177" spans="1:15">
      <c r="A1177" s="361">
        <f>A1176+1</f>
        <v>8</v>
      </c>
      <c r="B1177" s="365">
        <v>376</v>
      </c>
      <c r="C1177" s="358" t="s">
        <v>1621</v>
      </c>
      <c r="D1177" s="923">
        <f>D1178-D1176</f>
        <v>421954386.98757029</v>
      </c>
      <c r="E1177" s="923">
        <f>E1178-E1176</f>
        <v>287577.43342275207</v>
      </c>
      <c r="F1177" s="923">
        <f>F1178-F1176</f>
        <v>-35728.32</v>
      </c>
      <c r="G1177" s="923">
        <f>SUM(D1177:F1177)</f>
        <v>422206236.10099304</v>
      </c>
      <c r="H1177" s="369"/>
      <c r="I1177" s="923">
        <f>I1178-I1176</f>
        <v>86810883.680743515</v>
      </c>
      <c r="J1177" s="1251"/>
      <c r="K1177" s="923">
        <f>K1178-K1176</f>
        <v>633120.52</v>
      </c>
      <c r="L1177" s="923">
        <v>0</v>
      </c>
      <c r="M1177" s="923">
        <f>M1178-M1176</f>
        <v>-35728.32</v>
      </c>
      <c r="N1177" s="923">
        <f>N1178-N1176</f>
        <v>-38089.737450292938</v>
      </c>
      <c r="O1177" s="923">
        <f>I1177+K1177+L1177+M1177+N1177</f>
        <v>87370186.143293232</v>
      </c>
    </row>
    <row r="1178" spans="1:15">
      <c r="A1178" s="361">
        <f>A1177+1</f>
        <v>9</v>
      </c>
      <c r="B1178" s="365">
        <v>376</v>
      </c>
      <c r="C1178" s="358" t="s">
        <v>3078</v>
      </c>
      <c r="D1178" s="369">
        <f>G1132</f>
        <v>475603864.25000012</v>
      </c>
      <c r="E1178" s="369">
        <v>950114.88000000012</v>
      </c>
      <c r="F1178" s="369">
        <v>-43251.56</v>
      </c>
      <c r="G1178" s="369">
        <f>SUM(G1176:G1177)</f>
        <v>476510727.57000011</v>
      </c>
      <c r="H1178" s="369"/>
      <c r="I1178" s="369">
        <f>O1132</f>
        <v>87140026.140000075</v>
      </c>
      <c r="J1178" s="1251">
        <f>+J1132</f>
        <v>1.7999999999999999E-2</v>
      </c>
      <c r="K1178" s="369">
        <f>ROUND((D1178+G1178)/2*J1178/12,0)</f>
        <v>714086</v>
      </c>
      <c r="L1178" s="369">
        <f>SUM(L1176:L1177)</f>
        <v>0</v>
      </c>
      <c r="M1178" s="369">
        <f>F1178</f>
        <v>-43251.56</v>
      </c>
      <c r="N1178" s="369">
        <v>-41970.75</v>
      </c>
      <c r="O1178" s="369">
        <f>SUM(O1176:O1177)</f>
        <v>87768889.830000088</v>
      </c>
    </row>
    <row r="1179" spans="1:15">
      <c r="A1179" s="361"/>
      <c r="B1179" s="365"/>
      <c r="D1179" s="369"/>
      <c r="E1179" s="369"/>
      <c r="F1179" s="369"/>
      <c r="G1179" s="369"/>
      <c r="H1179" s="369"/>
      <c r="I1179" s="369"/>
      <c r="J1179" s="1251"/>
      <c r="K1179" s="369"/>
      <c r="L1179" s="369"/>
      <c r="M1179" s="369"/>
      <c r="N1179" s="369"/>
      <c r="O1179" s="369"/>
    </row>
    <row r="1180" spans="1:15">
      <c r="A1180" s="361">
        <f>A1178+1</f>
        <v>10</v>
      </c>
      <c r="B1180" s="365">
        <v>378.2</v>
      </c>
      <c r="C1180" s="358" t="s">
        <v>1776</v>
      </c>
      <c r="D1180" s="369">
        <f>D1169</f>
        <v>599780.62011021946</v>
      </c>
      <c r="E1180" s="369">
        <f>E1169</f>
        <v>0</v>
      </c>
      <c r="F1180" s="369">
        <f>F1169</f>
        <v>0</v>
      </c>
      <c r="G1180" s="369">
        <f>SUM(D1180:F1180)</f>
        <v>599780.62011021946</v>
      </c>
      <c r="H1180" s="369"/>
      <c r="I1180" s="369">
        <f>I1169</f>
        <v>-943162.88754116022</v>
      </c>
      <c r="J1180" s="1251"/>
      <c r="K1180" s="369">
        <f>K1169</f>
        <v>1654.39</v>
      </c>
      <c r="L1180" s="369">
        <v>0</v>
      </c>
      <c r="M1180" s="369">
        <f>M1169</f>
        <v>0</v>
      </c>
      <c r="N1180" s="369">
        <f>N1169</f>
        <v>0</v>
      </c>
      <c r="O1180" s="369">
        <f>I1180+K1180+L1180+M1180+N1180</f>
        <v>-941508.49754116021</v>
      </c>
    </row>
    <row r="1181" spans="1:15">
      <c r="A1181" s="361">
        <f>A1180+1</f>
        <v>11</v>
      </c>
      <c r="B1181" s="365">
        <v>378.2</v>
      </c>
      <c r="C1181" s="358" t="s">
        <v>1622</v>
      </c>
      <c r="D1181" s="923">
        <f>D1182-D1180</f>
        <v>27458381.93922396</v>
      </c>
      <c r="E1181" s="923">
        <f>E1182-E1180</f>
        <v>248588.34</v>
      </c>
      <c r="F1181" s="923">
        <f>F1182-F1180</f>
        <v>-4881.2075690803122</v>
      </c>
      <c r="G1181" s="923">
        <f>SUM(D1181:F1181)</f>
        <v>27702089.071654879</v>
      </c>
      <c r="H1181" s="369"/>
      <c r="I1181" s="923">
        <f>I1182-I1180</f>
        <v>3374876.4972169604</v>
      </c>
      <c r="J1181" s="1251"/>
      <c r="K1181" s="923">
        <f>K1182-K1180</f>
        <v>76075.61</v>
      </c>
      <c r="L1181" s="923">
        <v>0</v>
      </c>
      <c r="M1181" s="923">
        <f>M1182-M1180</f>
        <v>-4881.2075690803122</v>
      </c>
      <c r="N1181" s="923">
        <f>N1182-N1180</f>
        <v>0</v>
      </c>
      <c r="O1181" s="923">
        <f>I1181+K1181+L1181+M1181+N1181</f>
        <v>3446070.8996478799</v>
      </c>
    </row>
    <row r="1182" spans="1:15">
      <c r="A1182" s="361">
        <f>A1181+1</f>
        <v>12</v>
      </c>
      <c r="B1182" s="365">
        <v>378.2</v>
      </c>
      <c r="C1182" s="358" t="s">
        <v>3079</v>
      </c>
      <c r="D1182" s="369">
        <f>G1136</f>
        <v>28058162.559334181</v>
      </c>
      <c r="E1182" s="369">
        <v>248588.34</v>
      </c>
      <c r="F1182" s="369">
        <v>-4881.2075690803122</v>
      </c>
      <c r="G1182" s="369">
        <f>SUM(G1180:G1181)</f>
        <v>28301869.6917651</v>
      </c>
      <c r="H1182" s="369"/>
      <c r="I1182" s="369">
        <f>O1136</f>
        <v>2431713.6096758004</v>
      </c>
      <c r="J1182" s="1251">
        <f>+J1136</f>
        <v>3.3099999999999997E-2</v>
      </c>
      <c r="K1182" s="369">
        <f>ROUND((D1182+G1182)/2*J1182/12,0)</f>
        <v>77730</v>
      </c>
      <c r="L1182" s="369">
        <f>SUM(L1180:L1181)</f>
        <v>0</v>
      </c>
      <c r="M1182" s="369">
        <f>F1182</f>
        <v>-4881.2075690803122</v>
      </c>
      <c r="N1182" s="369">
        <v>0</v>
      </c>
      <c r="O1182" s="369">
        <f>SUM(O1180:O1181)</f>
        <v>2504562.4021067196</v>
      </c>
    </row>
    <row r="1183" spans="1:15">
      <c r="A1183" s="361"/>
      <c r="B1183" s="365"/>
      <c r="D1183" s="369"/>
      <c r="E1183" s="369"/>
      <c r="F1183" s="369"/>
      <c r="G1183" s="369"/>
      <c r="H1183" s="369"/>
      <c r="I1183" s="369"/>
      <c r="J1183" s="1251"/>
      <c r="K1183" s="369"/>
      <c r="L1183" s="369"/>
      <c r="M1183" s="369"/>
      <c r="N1183" s="369"/>
      <c r="O1183" s="369"/>
    </row>
    <row r="1184" spans="1:15">
      <c r="A1184" s="361">
        <f>A1182+1</f>
        <v>13</v>
      </c>
      <c r="B1184" s="365">
        <v>380</v>
      </c>
      <c r="C1184" s="358" t="s">
        <v>1777</v>
      </c>
      <c r="D1184" s="369">
        <f>D1170</f>
        <v>22383405.512704615</v>
      </c>
      <c r="E1184" s="369">
        <f>E1170</f>
        <v>630300.71828167804</v>
      </c>
      <c r="F1184" s="369">
        <f>F1170</f>
        <v>-140763.54396195459</v>
      </c>
      <c r="G1184" s="369">
        <f>SUM(D1184:F1184)</f>
        <v>22872942.68702434</v>
      </c>
      <c r="H1184" s="369"/>
      <c r="I1184" s="369">
        <f>I1170</f>
        <v>-11732420.19234504</v>
      </c>
      <c r="J1184" s="1251"/>
      <c r="K1184" s="369">
        <f>K1170</f>
        <v>97678.28</v>
      </c>
      <c r="L1184" s="369">
        <v>0</v>
      </c>
      <c r="M1184" s="369">
        <f>M1170</f>
        <v>-140763.54396195459</v>
      </c>
      <c r="N1184" s="369">
        <f>N1170</f>
        <v>-83937.423997591497</v>
      </c>
      <c r="O1184" s="369">
        <f>I1184+K1184+L1184+M1184+N1184</f>
        <v>-11859442.880304588</v>
      </c>
    </row>
    <row r="1185" spans="1:15">
      <c r="A1185" s="361">
        <f>A1184+1</f>
        <v>14</v>
      </c>
      <c r="B1185" s="365">
        <v>380</v>
      </c>
      <c r="C1185" s="358" t="s">
        <v>1623</v>
      </c>
      <c r="D1185" s="923">
        <f>D1186-D1184</f>
        <v>204750053.32729539</v>
      </c>
      <c r="E1185" s="923">
        <f>E1186-E1184</f>
        <v>376759.95171832188</v>
      </c>
      <c r="F1185" s="923">
        <f>F1186-F1184</f>
        <v>-30926.09603804542</v>
      </c>
      <c r="G1185" s="923">
        <f>SUM(D1185:F1185)</f>
        <v>205095887.18297568</v>
      </c>
      <c r="H1185" s="369"/>
      <c r="I1185" s="923">
        <f>I1186-I1184</f>
        <v>67260589.902345061</v>
      </c>
      <c r="J1185" s="1251"/>
      <c r="K1185" s="923">
        <f>K1186-K1184</f>
        <v>884583.72</v>
      </c>
      <c r="L1185" s="923">
        <v>0</v>
      </c>
      <c r="M1185" s="923">
        <f>M1186-M1184</f>
        <v>-30926.09603804542</v>
      </c>
      <c r="N1185" s="923">
        <f>N1186-N1184</f>
        <v>-34436.756002408496</v>
      </c>
      <c r="O1185" s="923">
        <f>I1185+K1185+L1185+M1185+N1185</f>
        <v>68079810.770304605</v>
      </c>
    </row>
    <row r="1186" spans="1:15">
      <c r="A1186" s="361">
        <f>A1185+1</f>
        <v>15</v>
      </c>
      <c r="B1186" s="365">
        <v>380</v>
      </c>
      <c r="C1186" s="358" t="s">
        <v>3080</v>
      </c>
      <c r="D1186" s="369">
        <f>G1140</f>
        <v>227133458.84</v>
      </c>
      <c r="E1186" s="369">
        <v>1007060.6699999999</v>
      </c>
      <c r="F1186" s="369">
        <v>-171689.64</v>
      </c>
      <c r="G1186" s="369">
        <f>SUM(G1184:G1185)</f>
        <v>227968829.87</v>
      </c>
      <c r="H1186" s="369"/>
      <c r="I1186" s="369">
        <f>O1140</f>
        <v>55528169.710000023</v>
      </c>
      <c r="J1186" s="1251">
        <f>+J1140</f>
        <v>5.1799999999999999E-2</v>
      </c>
      <c r="K1186" s="369">
        <f>ROUND((D1186+G1186)/2*J1186/12,0)</f>
        <v>982262</v>
      </c>
      <c r="L1186" s="369">
        <f>SUM(L1184:L1185)</f>
        <v>0</v>
      </c>
      <c r="M1186" s="369">
        <f>F1186</f>
        <v>-171689.64</v>
      </c>
      <c r="N1186" s="369">
        <v>-118374.18</v>
      </c>
      <c r="O1186" s="369">
        <f>SUM(O1184:O1185)</f>
        <v>56220367.890000015</v>
      </c>
    </row>
    <row r="1187" spans="1:15">
      <c r="A1187" s="361"/>
      <c r="B1187" s="365"/>
      <c r="D1187" s="369"/>
      <c r="E1187" s="369"/>
      <c r="F1187" s="369"/>
      <c r="G1187" s="369"/>
      <c r="H1187" s="369"/>
      <c r="I1187" s="369"/>
      <c r="J1187" s="1251"/>
      <c r="K1187" s="369"/>
      <c r="L1187" s="369"/>
      <c r="M1187" s="369"/>
      <c r="N1187" s="369"/>
      <c r="O1187" s="369"/>
    </row>
    <row r="1188" spans="1:15">
      <c r="A1188" s="361">
        <f>A1186+1</f>
        <v>16</v>
      </c>
      <c r="B1188" s="365">
        <v>382</v>
      </c>
      <c r="C1188" s="358" t="s">
        <v>1778</v>
      </c>
      <c r="D1188" s="369">
        <f>D1171</f>
        <v>230782.93025847967</v>
      </c>
      <c r="E1188" s="369">
        <f>E1171</f>
        <v>2415.0566604375563</v>
      </c>
      <c r="F1188" s="369">
        <f>F1171</f>
        <v>-267.99769531286756</v>
      </c>
      <c r="G1188" s="369">
        <f>SUM(D1188:F1188)</f>
        <v>232929.98922360435</v>
      </c>
      <c r="H1188" s="369"/>
      <c r="I1188" s="369">
        <f>I1171</f>
        <v>-74712.10103004647</v>
      </c>
      <c r="J1188" s="1251"/>
      <c r="K1188" s="369">
        <f>K1171</f>
        <v>440.53</v>
      </c>
      <c r="L1188" s="369">
        <v>0</v>
      </c>
      <c r="M1188" s="369">
        <f>M1171</f>
        <v>-267.99769531286756</v>
      </c>
      <c r="N1188" s="369">
        <f>N1171</f>
        <v>0</v>
      </c>
      <c r="O1188" s="369">
        <f>I1188+K1188+L1188+M1188+N1188</f>
        <v>-74539.568725359335</v>
      </c>
    </row>
    <row r="1189" spans="1:15">
      <c r="A1189" s="361">
        <f>A1188+1</f>
        <v>17</v>
      </c>
      <c r="B1189" s="365">
        <v>382</v>
      </c>
      <c r="C1189" s="358" t="s">
        <v>1624</v>
      </c>
      <c r="D1189" s="923">
        <f>D1190-D1188</f>
        <v>10694988.266586928</v>
      </c>
      <c r="E1189" s="923">
        <f>E1190-E1188</f>
        <v>7230.2333395624446</v>
      </c>
      <c r="F1189" s="923">
        <f>F1190-F1188</f>
        <v>-802.33543086052759</v>
      </c>
      <c r="G1189" s="923">
        <f>SUM(D1189:F1189)</f>
        <v>10701416.16449563</v>
      </c>
      <c r="H1189" s="369"/>
      <c r="I1189" s="923">
        <f>I1190-I1188</f>
        <v>6035433.3347091861</v>
      </c>
      <c r="J1189" s="1251"/>
      <c r="K1189" s="923">
        <f>K1190-K1188</f>
        <v>20326.47</v>
      </c>
      <c r="L1189" s="923">
        <v>0</v>
      </c>
      <c r="M1189" s="923">
        <f>M1190-M1188</f>
        <v>-802.33543086052759</v>
      </c>
      <c r="N1189" s="923">
        <f>N1190-N1188</f>
        <v>0</v>
      </c>
      <c r="O1189" s="923">
        <f>I1189+K1189+L1189+M1189+N1189</f>
        <v>6054957.4692783253</v>
      </c>
    </row>
    <row r="1190" spans="1:15">
      <c r="A1190" s="361">
        <f>A1189+1</f>
        <v>18</v>
      </c>
      <c r="B1190" s="365">
        <v>382</v>
      </c>
      <c r="C1190" s="358" t="s">
        <v>3081</v>
      </c>
      <c r="D1190" s="369">
        <f>G1144</f>
        <v>10925771.196845407</v>
      </c>
      <c r="E1190" s="369">
        <v>9645.2900000000009</v>
      </c>
      <c r="F1190" s="369">
        <v>-1070.3331261733952</v>
      </c>
      <c r="G1190" s="369">
        <f>SUM(G1188:G1189)</f>
        <v>10934346.153719235</v>
      </c>
      <c r="H1190" s="369"/>
      <c r="I1190" s="369">
        <f>O1144</f>
        <v>5960721.23367914</v>
      </c>
      <c r="J1190" s="1251">
        <f>+J1144</f>
        <v>2.2800000000000001E-2</v>
      </c>
      <c r="K1190" s="369">
        <f>ROUND((D1190+G1190)/2*J1190/12,0)</f>
        <v>20767</v>
      </c>
      <c r="L1190" s="369">
        <f>SUM(L1188:L1189)</f>
        <v>0</v>
      </c>
      <c r="M1190" s="369">
        <f>F1190</f>
        <v>-1070.3331261733952</v>
      </c>
      <c r="N1190" s="369">
        <v>0</v>
      </c>
      <c r="O1190" s="369">
        <f>SUM(O1188:O1189)</f>
        <v>5980417.9005529657</v>
      </c>
    </row>
    <row r="1191" spans="1:15">
      <c r="A1191" s="361"/>
      <c r="B1191" s="365"/>
      <c r="D1191" s="369"/>
      <c r="E1191" s="369"/>
      <c r="F1191" s="369"/>
      <c r="G1191" s="369"/>
      <c r="H1191" s="369"/>
      <c r="I1191" s="369"/>
      <c r="J1191" s="1251"/>
      <c r="K1191" s="369"/>
      <c r="L1191" s="369"/>
      <c r="M1191" s="369"/>
      <c r="N1191" s="369"/>
      <c r="O1191" s="369"/>
    </row>
    <row r="1192" spans="1:15">
      <c r="A1192" s="361">
        <f>A1190+1</f>
        <v>19</v>
      </c>
      <c r="B1192" s="365">
        <v>383</v>
      </c>
      <c r="C1192" s="358" t="s">
        <v>1779</v>
      </c>
      <c r="D1192" s="369">
        <f>D1172</f>
        <v>152924.12080260093</v>
      </c>
      <c r="E1192" s="369">
        <f>E1172</f>
        <v>6226.9956369220399</v>
      </c>
      <c r="F1192" s="369">
        <f>F1172</f>
        <v>-39.644143718952151</v>
      </c>
      <c r="G1192" s="369">
        <f>SUM(D1192:F1192)</f>
        <v>159111.47229580401</v>
      </c>
      <c r="H1192" s="369"/>
      <c r="I1192" s="369">
        <f>I1172</f>
        <v>-8622.7766820251472</v>
      </c>
      <c r="J1192" s="1251"/>
      <c r="K1192" s="369">
        <f>K1172</f>
        <v>288.63</v>
      </c>
      <c r="L1192" s="369">
        <v>0</v>
      </c>
      <c r="M1192" s="369">
        <f>M1172</f>
        <v>-39.644143718952151</v>
      </c>
      <c r="N1192" s="369">
        <f>N1172</f>
        <v>0</v>
      </c>
      <c r="O1192" s="369">
        <f>I1192+K1192+L1192+M1192+N1192</f>
        <v>-8373.7908257440995</v>
      </c>
    </row>
    <row r="1193" spans="1:15">
      <c r="A1193" s="361">
        <f>A1192+1</f>
        <v>20</v>
      </c>
      <c r="B1193" s="365">
        <v>383</v>
      </c>
      <c r="C1193" s="358" t="s">
        <v>1625</v>
      </c>
      <c r="D1193" s="923">
        <f>D1194-D1192</f>
        <v>7620172.0024442272</v>
      </c>
      <c r="E1193" s="923">
        <f>E1194-E1192</f>
        <v>36254.56436307796</v>
      </c>
      <c r="F1193" s="923">
        <f>F1194-F1192</f>
        <v>-230.81457422416361</v>
      </c>
      <c r="G1193" s="923">
        <f>SUM(D1193:F1193)</f>
        <v>7656195.7522330815</v>
      </c>
      <c r="H1193" s="369"/>
      <c r="I1193" s="923">
        <f>I1194-I1192</f>
        <v>2639484.5113633904</v>
      </c>
      <c r="J1193" s="1251"/>
      <c r="K1193" s="923">
        <f>K1194-K1192</f>
        <v>14130.37</v>
      </c>
      <c r="L1193" s="923">
        <v>0</v>
      </c>
      <c r="M1193" s="923">
        <f>M1194-M1192</f>
        <v>-230.81457422416361</v>
      </c>
      <c r="N1193" s="923">
        <f>N1194-N1192</f>
        <v>0</v>
      </c>
      <c r="O1193" s="923">
        <f>I1193+K1193+L1193+M1193+N1193</f>
        <v>2653384.0667891665</v>
      </c>
    </row>
    <row r="1194" spans="1:15">
      <c r="A1194" s="361">
        <f>A1193+1</f>
        <v>21</v>
      </c>
      <c r="B1194" s="365">
        <v>383</v>
      </c>
      <c r="C1194" s="358" t="s">
        <v>3082</v>
      </c>
      <c r="D1194" s="369">
        <f>G1148</f>
        <v>7773096.1232468281</v>
      </c>
      <c r="E1194" s="369">
        <v>42481.56</v>
      </c>
      <c r="F1194" s="369">
        <v>-270.45871794311574</v>
      </c>
      <c r="G1194" s="369">
        <f>SUM(G1192:G1193)</f>
        <v>7815307.2245288854</v>
      </c>
      <c r="H1194" s="369"/>
      <c r="I1194" s="369">
        <f>O1148</f>
        <v>2630861.7346813651</v>
      </c>
      <c r="J1194" s="1251">
        <f>+J1148</f>
        <v>2.2200000000000001E-2</v>
      </c>
      <c r="K1194" s="369">
        <f>ROUND((D1194+G1194)/2*J1194/12,0)</f>
        <v>14419</v>
      </c>
      <c r="L1194" s="369">
        <f>SUM(L1192:L1193)</f>
        <v>0</v>
      </c>
      <c r="M1194" s="369">
        <f>F1194</f>
        <v>-270.45871794311574</v>
      </c>
      <c r="N1194" s="369">
        <v>0</v>
      </c>
      <c r="O1194" s="369">
        <f>SUM(O1192:O1193)</f>
        <v>2645010.2759634224</v>
      </c>
    </row>
    <row r="1197" spans="1:15" s="291" customFormat="1">
      <c r="A1197" s="1308" t="str">
        <f>$A$1</f>
        <v>COLUMBIA GAS OF KENTUCKY, INC.</v>
      </c>
      <c r="B1197" s="1308"/>
      <c r="C1197" s="1308"/>
      <c r="D1197" s="1308"/>
      <c r="E1197" s="1308"/>
      <c r="F1197" s="1308"/>
      <c r="G1197" s="1308"/>
      <c r="H1197" s="1308"/>
      <c r="I1197" s="1308"/>
      <c r="J1197" s="1308"/>
      <c r="K1197" s="1308"/>
      <c r="L1197" s="1308"/>
      <c r="M1197" s="1308"/>
      <c r="N1197" s="1308"/>
      <c r="O1197" s="1308"/>
    </row>
    <row r="1198" spans="1:15" s="291" customFormat="1">
      <c r="A1198" s="1308" t="str">
        <f>$A$2</f>
        <v>CASE NO. 2024 - 00092</v>
      </c>
      <c r="B1198" s="1308"/>
      <c r="C1198" s="1308"/>
      <c r="D1198" s="1308"/>
      <c r="E1198" s="1308"/>
      <c r="F1198" s="1308"/>
      <c r="G1198" s="1308"/>
      <c r="H1198" s="1308"/>
      <c r="I1198" s="1308"/>
      <c r="J1198" s="1308"/>
      <c r="K1198" s="1308"/>
      <c r="L1198" s="1308"/>
      <c r="M1198" s="1308"/>
      <c r="N1198" s="1308"/>
      <c r="O1198" s="1308"/>
    </row>
    <row r="1199" spans="1:15" s="291" customFormat="1">
      <c r="A1199" s="1308" t="str">
        <f>$A$3</f>
        <v>DETAIL OF ACTUAL &amp;  FORECASTED SMRP PLANT, ACCUMULATED RESERVE &amp; DEPRECIATION EXPENSE</v>
      </c>
      <c r="B1199" s="1308"/>
      <c r="C1199" s="1308"/>
      <c r="D1199" s="1308"/>
      <c r="E1199" s="1308"/>
      <c r="F1199" s="1308"/>
      <c r="G1199" s="1308"/>
      <c r="H1199" s="1308"/>
      <c r="I1199" s="1308"/>
      <c r="J1199" s="1308"/>
      <c r="K1199" s="1308"/>
      <c r="L1199" s="1308"/>
      <c r="M1199" s="1308"/>
      <c r="N1199" s="1308"/>
      <c r="O1199" s="1308"/>
    </row>
    <row r="1200" spans="1:15" s="291" customFormat="1">
      <c r="A1200" s="1308" t="str">
        <f>$A$4</f>
        <v>FROM JANUARY 01, 2023 THROUGH DECEMBER 31, 2025</v>
      </c>
      <c r="B1200" s="1308"/>
      <c r="C1200" s="1308"/>
      <c r="D1200" s="1308"/>
      <c r="E1200" s="1308"/>
      <c r="F1200" s="1308"/>
      <c r="G1200" s="1308"/>
      <c r="H1200" s="1308"/>
      <c r="I1200" s="1308"/>
      <c r="J1200" s="1308"/>
      <c r="K1200" s="1308"/>
      <c r="L1200" s="1308"/>
      <c r="M1200" s="1308"/>
      <c r="N1200" s="1308"/>
      <c r="O1200" s="1308"/>
    </row>
    <row r="1201" spans="1:15" s="291" customFormat="1">
      <c r="B1201" s="293"/>
    </row>
    <row r="1202" spans="1:15" s="291" customFormat="1">
      <c r="A1202" s="297" t="str">
        <f>'General Headers Index'!$B$34</f>
        <v xml:space="preserve">DATA: _X_ BASE PERIOD _X_ FORECASTED PERIOD     </v>
      </c>
      <c r="B1202" s="293"/>
      <c r="O1202" s="312" t="s">
        <v>2461</v>
      </c>
    </row>
    <row r="1203" spans="1:15" s="291" customFormat="1">
      <c r="A1203" s="297" t="str">
        <f>'General Headers Index'!$B$37</f>
        <v>TYPE OF FILING:___X___ORIGINAL______UPDATED</v>
      </c>
      <c r="B1203" s="293"/>
      <c r="O1203" s="312" t="s">
        <v>2249</v>
      </c>
    </row>
    <row r="1204" spans="1:15" s="291" customFormat="1">
      <c r="A1204" s="297" t="s">
        <v>2150</v>
      </c>
      <c r="B1204" s="293"/>
      <c r="O1204" s="312" t="str">
        <f>"WITNESS: "&amp;'General Headers Index'!$B$42</f>
        <v>WITNESS: GORE</v>
      </c>
    </row>
    <row r="1205" spans="1:15">
      <c r="A1205" s="918"/>
      <c r="B1205" s="918"/>
      <c r="C1205" s="918"/>
      <c r="D1205" s="918"/>
      <c r="E1205" s="918"/>
      <c r="F1205" s="918"/>
      <c r="G1205" s="918"/>
      <c r="H1205" s="918"/>
      <c r="I1205" s="918"/>
      <c r="J1205" s="918"/>
      <c r="K1205" s="918"/>
      <c r="L1205" s="918"/>
      <c r="M1205" s="918"/>
      <c r="N1205" s="918"/>
      <c r="O1205" s="918"/>
    </row>
    <row r="1206" spans="1:15">
      <c r="B1206" s="359"/>
      <c r="D1206" s="1312" t="s">
        <v>1768</v>
      </c>
      <c r="E1206" s="1312"/>
      <c r="F1206" s="1312"/>
      <c r="G1206" s="1312"/>
      <c r="I1206" s="1312" t="s">
        <v>1769</v>
      </c>
      <c r="J1206" s="1312"/>
      <c r="K1206" s="1312"/>
      <c r="L1206" s="1312"/>
      <c r="M1206" s="1312"/>
      <c r="N1206" s="1312"/>
      <c r="O1206" s="1312"/>
    </row>
    <row r="1207" spans="1:15">
      <c r="B1207" s="359"/>
      <c r="D1207" s="360">
        <f>G1161+1</f>
        <v>45717</v>
      </c>
      <c r="G1207" s="360">
        <f>D1207+30</f>
        <v>45747</v>
      </c>
      <c r="I1207" s="360">
        <f>D1207</f>
        <v>45717</v>
      </c>
      <c r="O1207" s="360">
        <f>G1207</f>
        <v>45747</v>
      </c>
    </row>
    <row r="1208" spans="1:15">
      <c r="B1208" s="359"/>
      <c r="D1208" s="361" t="s">
        <v>1757</v>
      </c>
      <c r="G1208" s="361" t="s">
        <v>1757</v>
      </c>
      <c r="I1208" s="361" t="s">
        <v>1758</v>
      </c>
      <c r="J1208" s="361" t="s">
        <v>488</v>
      </c>
      <c r="L1208" s="361" t="s">
        <v>1758</v>
      </c>
      <c r="O1208" s="361" t="s">
        <v>1758</v>
      </c>
    </row>
    <row r="1209" spans="1:15">
      <c r="A1209" s="361" t="s">
        <v>1770</v>
      </c>
      <c r="B1209" s="361" t="s">
        <v>368</v>
      </c>
      <c r="C1209" s="361"/>
      <c r="D1209" s="361" t="s">
        <v>437</v>
      </c>
      <c r="G1209" s="361" t="s">
        <v>439</v>
      </c>
      <c r="I1209" s="361" t="s">
        <v>437</v>
      </c>
      <c r="J1209" s="361" t="s">
        <v>1771</v>
      </c>
      <c r="K1209" s="361" t="s">
        <v>1772</v>
      </c>
      <c r="L1209" s="361" t="s">
        <v>1759</v>
      </c>
      <c r="N1209" s="361" t="s">
        <v>1760</v>
      </c>
      <c r="O1209" s="361" t="s">
        <v>439</v>
      </c>
    </row>
    <row r="1210" spans="1:15">
      <c r="A1210" s="364" t="s">
        <v>316</v>
      </c>
      <c r="B1210" s="364" t="s">
        <v>316</v>
      </c>
      <c r="C1210" s="364" t="s">
        <v>451</v>
      </c>
      <c r="D1210" s="364" t="s">
        <v>441</v>
      </c>
      <c r="E1210" s="364" t="s">
        <v>442</v>
      </c>
      <c r="F1210" s="364" t="s">
        <v>443</v>
      </c>
      <c r="G1210" s="364" t="s">
        <v>441</v>
      </c>
      <c r="I1210" s="364" t="s">
        <v>441</v>
      </c>
      <c r="J1210" s="364" t="s">
        <v>1773</v>
      </c>
      <c r="K1210" s="364" t="s">
        <v>1771</v>
      </c>
      <c r="L1210" s="364" t="s">
        <v>355</v>
      </c>
      <c r="M1210" s="364" t="s">
        <v>443</v>
      </c>
      <c r="N1210" s="364" t="s">
        <v>1763</v>
      </c>
      <c r="O1210" s="364" t="s">
        <v>441</v>
      </c>
    </row>
    <row r="1211" spans="1:15">
      <c r="B1211" s="359"/>
      <c r="D1211" s="361" t="s">
        <v>532</v>
      </c>
      <c r="E1211" s="361" t="s">
        <v>541</v>
      </c>
      <c r="F1211" s="361" t="s">
        <v>542</v>
      </c>
      <c r="G1211" s="361" t="s">
        <v>1764</v>
      </c>
      <c r="I1211" s="334" t="str">
        <f>"(5)"</f>
        <v>(5)</v>
      </c>
      <c r="J1211" s="334" t="str">
        <f>"(6)"</f>
        <v>(6)</v>
      </c>
      <c r="K1211" s="334" t="str">
        <f>"(7)=((1+4)/2*6/12))"</f>
        <v>(7)=((1+4)/2*6/12))</v>
      </c>
      <c r="L1211" s="334" t="str">
        <f>"(8)"</f>
        <v>(8)</v>
      </c>
      <c r="M1211" s="334" t="str">
        <f>"(9)"</f>
        <v>(9)</v>
      </c>
      <c r="N1211" s="334" t="str">
        <f>"(10)"</f>
        <v>(10)</v>
      </c>
      <c r="O1211" s="334" t="str">
        <f>"(11=5+7+8+9+10)"</f>
        <v>(11=5+7+8+9+10)</v>
      </c>
    </row>
    <row r="1212" spans="1:15">
      <c r="B1212" s="359"/>
      <c r="D1212" s="361" t="s">
        <v>320</v>
      </c>
      <c r="E1212" s="361" t="s">
        <v>320</v>
      </c>
      <c r="F1212" s="361" t="s">
        <v>320</v>
      </c>
      <c r="G1212" s="361" t="s">
        <v>320</v>
      </c>
      <c r="I1212" s="334" t="s">
        <v>320</v>
      </c>
      <c r="J1212" s="1250" t="s">
        <v>529</v>
      </c>
      <c r="K1212" s="334" t="s">
        <v>320</v>
      </c>
      <c r="L1212" s="334" t="s">
        <v>320</v>
      </c>
      <c r="M1212" s="334" t="s">
        <v>320</v>
      </c>
      <c r="N1212" s="334" t="s">
        <v>320</v>
      </c>
      <c r="O1212" s="334" t="s">
        <v>320</v>
      </c>
    </row>
    <row r="1213" spans="1:15">
      <c r="B1213" s="359"/>
      <c r="D1213" s="361"/>
      <c r="E1213" s="361"/>
      <c r="F1213" s="361"/>
      <c r="G1213" s="361"/>
      <c r="I1213" s="334"/>
      <c r="J1213" s="334"/>
      <c r="K1213" s="334"/>
      <c r="L1213" s="334"/>
      <c r="M1213" s="334"/>
      <c r="N1213" s="334"/>
      <c r="O1213" s="334"/>
    </row>
    <row r="1214" spans="1:15">
      <c r="A1214" s="361">
        <v>1</v>
      </c>
      <c r="B1214" s="365">
        <v>376</v>
      </c>
      <c r="C1214" s="358" t="s">
        <v>1775</v>
      </c>
      <c r="D1214" s="369">
        <f>G1168</f>
        <v>54304491.469007067</v>
      </c>
      <c r="E1214" s="369">
        <v>1789653.7271475366</v>
      </c>
      <c r="F1214" s="369">
        <v>-5870.75</v>
      </c>
      <c r="G1214" s="369">
        <f>SUM(D1214:F1214)</f>
        <v>56088274.446154602</v>
      </c>
      <c r="H1214" s="369"/>
      <c r="I1214" s="369">
        <f>O1168</f>
        <v>398703.68670685915</v>
      </c>
      <c r="J1214" s="1251">
        <f>+J1168</f>
        <v>1.7999999999999999E-2</v>
      </c>
      <c r="K1214" s="380">
        <f>ROUND((G1214+D1214)/2*J1214/12,2)</f>
        <v>82794.570000000007</v>
      </c>
      <c r="L1214" s="369">
        <v>0</v>
      </c>
      <c r="M1214" s="369">
        <f>F1214</f>
        <v>-5870.75</v>
      </c>
      <c r="N1214" s="369">
        <v>-7956.1119827154998</v>
      </c>
      <c r="O1214" s="369">
        <f>I1214+K1214+L1214+M1214+N1214</f>
        <v>467671.39472414367</v>
      </c>
    </row>
    <row r="1215" spans="1:15">
      <c r="A1215" s="361">
        <f>A1214+1</f>
        <v>2</v>
      </c>
      <c r="B1215" s="365">
        <v>378.2</v>
      </c>
      <c r="C1215" s="358" t="s">
        <v>1776</v>
      </c>
      <c r="D1215" s="369">
        <f>G1169</f>
        <v>599780.62011021946</v>
      </c>
      <c r="E1215" s="369">
        <v>0</v>
      </c>
      <c r="F1215" s="369">
        <v>0</v>
      </c>
      <c r="G1215" s="369">
        <f>SUM(D1215:F1215)</f>
        <v>599780.62011021946</v>
      </c>
      <c r="H1215" s="369"/>
      <c r="I1215" s="369">
        <f>O1169</f>
        <v>-941508.49754116021</v>
      </c>
      <c r="J1215" s="1251">
        <f>+J1169</f>
        <v>3.3099999999999997E-2</v>
      </c>
      <c r="K1215" s="380">
        <f>ROUND((G1215+D1215)/2*J1215/12,2)</f>
        <v>1654.39</v>
      </c>
      <c r="L1215" s="369">
        <v>0</v>
      </c>
      <c r="M1215" s="369">
        <f>F1215</f>
        <v>0</v>
      </c>
      <c r="N1215" s="369">
        <v>0</v>
      </c>
      <c r="O1215" s="369">
        <f>I1215+K1215+L1215+M1215+N1215</f>
        <v>-939854.10754116019</v>
      </c>
    </row>
    <row r="1216" spans="1:15">
      <c r="A1216" s="361">
        <f>A1215+1</f>
        <v>3</v>
      </c>
      <c r="B1216" s="365">
        <v>380</v>
      </c>
      <c r="C1216" s="358" t="s">
        <v>1777</v>
      </c>
      <c r="D1216" s="369">
        <f>G1170</f>
        <v>22872942.68702434</v>
      </c>
      <c r="E1216" s="369">
        <v>870285.0493177938</v>
      </c>
      <c r="F1216" s="369">
        <v>-143225.50268491</v>
      </c>
      <c r="G1216" s="369">
        <f>SUM(D1216:F1216)</f>
        <v>23600002.233657222</v>
      </c>
      <c r="H1216" s="369"/>
      <c r="I1216" s="369">
        <f>O1170</f>
        <v>-11859442.880304588</v>
      </c>
      <c r="J1216" s="1251">
        <f>+J1170</f>
        <v>5.1799999999999999E-2</v>
      </c>
      <c r="K1216" s="380">
        <f>ROUND((G1216+D1216)/2*J1216/12,2)</f>
        <v>100304.11</v>
      </c>
      <c r="L1216" s="369">
        <v>0</v>
      </c>
      <c r="M1216" s="369">
        <f>F1216</f>
        <v>-143225.50268491</v>
      </c>
      <c r="N1216" s="369">
        <v>-102915.72868366999</v>
      </c>
      <c r="O1216" s="369">
        <f>I1216+K1216+L1216+M1216+N1216</f>
        <v>-12005280.001673168</v>
      </c>
    </row>
    <row r="1217" spans="1:15">
      <c r="A1217" s="361">
        <f>A1216+1</f>
        <v>4</v>
      </c>
      <c r="B1217" s="365">
        <v>382</v>
      </c>
      <c r="C1217" s="358" t="s">
        <v>1778</v>
      </c>
      <c r="D1217" s="369">
        <f>G1171</f>
        <v>232929.98922360435</v>
      </c>
      <c r="E1217" s="369">
        <v>2213.4426885468711</v>
      </c>
      <c r="F1217" s="369">
        <v>-360.86210250545457</v>
      </c>
      <c r="G1217" s="369">
        <f>SUM(D1217:F1217)</f>
        <v>234782.56980964576</v>
      </c>
      <c r="H1217" s="369"/>
      <c r="I1217" s="369">
        <f>O1171</f>
        <v>-74539.568725359335</v>
      </c>
      <c r="J1217" s="1251">
        <f>+J1171</f>
        <v>2.2800000000000001E-2</v>
      </c>
      <c r="K1217" s="380">
        <f>ROUND((G1217+D1217)/2*J1217/12,2)</f>
        <v>444.33</v>
      </c>
      <c r="L1217" s="369">
        <v>0</v>
      </c>
      <c r="M1217" s="369">
        <f>F1217</f>
        <v>-360.86210250545457</v>
      </c>
      <c r="N1217" s="369">
        <v>0</v>
      </c>
      <c r="O1217" s="369">
        <f>I1217+K1217+L1217+M1217+N1217</f>
        <v>-74456.100827864793</v>
      </c>
    </row>
    <row r="1218" spans="1:15">
      <c r="A1218" s="361">
        <f>A1217+1</f>
        <v>5</v>
      </c>
      <c r="B1218" s="365">
        <v>383</v>
      </c>
      <c r="C1218" s="358" t="s">
        <v>1779</v>
      </c>
      <c r="D1218" s="923">
        <f>G1172</f>
        <v>159111.47229580401</v>
      </c>
      <c r="E1218" s="923">
        <v>4565.6172879667101</v>
      </c>
      <c r="F1218" s="923">
        <v>-47.987727657103498</v>
      </c>
      <c r="G1218" s="923">
        <f>SUM(D1218:F1218)</f>
        <v>163629.10185611362</v>
      </c>
      <c r="H1218" s="369"/>
      <c r="I1218" s="923">
        <f>O1172</f>
        <v>-8373.7908257440995</v>
      </c>
      <c r="J1218" s="1251">
        <f>+J1172</f>
        <v>2.2200000000000001E-2</v>
      </c>
      <c r="K1218" s="925">
        <f>ROUND((G1218+D1218)/2*J1218/12,2)</f>
        <v>298.54000000000002</v>
      </c>
      <c r="L1218" s="923">
        <v>0</v>
      </c>
      <c r="M1218" s="923">
        <f>F1218</f>
        <v>-47.987727657103498</v>
      </c>
      <c r="N1218" s="923">
        <v>0</v>
      </c>
      <c r="O1218" s="923">
        <f>I1218+K1218+L1218+M1218+N1218</f>
        <v>-8123.2385534012028</v>
      </c>
    </row>
    <row r="1219" spans="1:15">
      <c r="A1219" s="361">
        <f>A1218+1</f>
        <v>6</v>
      </c>
      <c r="C1219" s="358" t="s">
        <v>3077</v>
      </c>
      <c r="D1219" s="369">
        <f>SUM(D1214:D1218)</f>
        <v>78169256.237661034</v>
      </c>
      <c r="E1219" s="369">
        <f>SUM(E1214:E1218)</f>
        <v>2666717.8364418442</v>
      </c>
      <c r="F1219" s="369">
        <f>SUM(F1214:F1218)</f>
        <v>-149505.10251507256</v>
      </c>
      <c r="G1219" s="369">
        <f>SUM(G1214:G1218)</f>
        <v>80686468.971587807</v>
      </c>
      <c r="H1219" s="369"/>
      <c r="I1219" s="369">
        <f>SUM(I1214:I1218)</f>
        <v>-12485161.050689992</v>
      </c>
      <c r="J1219" s="369"/>
      <c r="K1219" s="369">
        <f>SUM(K1214:K1218)</f>
        <v>185495.94</v>
      </c>
      <c r="L1219" s="369">
        <f t="shared" ref="L1219" si="26">SUM(L1214:L1218)</f>
        <v>0</v>
      </c>
      <c r="M1219" s="369">
        <f>SUM(M1214:M1218)</f>
        <v>-149505.10251507256</v>
      </c>
      <c r="N1219" s="369">
        <f>SUM(N1214:N1218)</f>
        <v>-110871.8406663855</v>
      </c>
      <c r="O1219" s="369">
        <f>SUM(O1214:O1218)</f>
        <v>-12560042.053871451</v>
      </c>
    </row>
    <row r="1220" spans="1:15">
      <c r="A1220" s="361"/>
      <c r="D1220" s="369"/>
      <c r="E1220" s="369"/>
      <c r="F1220" s="369"/>
      <c r="G1220" s="369"/>
      <c r="H1220" s="369"/>
      <c r="I1220" s="369"/>
      <c r="J1220" s="369"/>
      <c r="K1220" s="369"/>
      <c r="L1220" s="369"/>
      <c r="M1220" s="369"/>
      <c r="N1220" s="369"/>
      <c r="O1220" s="369"/>
    </row>
    <row r="1221" spans="1:15">
      <c r="A1221" s="361"/>
      <c r="D1221" s="369"/>
      <c r="E1221" s="369"/>
      <c r="F1221" s="369"/>
      <c r="G1221" s="369"/>
      <c r="H1221" s="369"/>
      <c r="I1221" s="369"/>
      <c r="J1221" s="369"/>
      <c r="K1221" s="369"/>
      <c r="L1221" s="369"/>
      <c r="M1221" s="369"/>
      <c r="N1221" s="369"/>
      <c r="O1221" s="369"/>
    </row>
    <row r="1222" spans="1:15">
      <c r="A1222" s="361">
        <f>A1219+1</f>
        <v>7</v>
      </c>
      <c r="B1222" s="365">
        <v>376</v>
      </c>
      <c r="C1222" s="358" t="s">
        <v>1775</v>
      </c>
      <c r="D1222" s="369">
        <f>D1214</f>
        <v>54304491.469007067</v>
      </c>
      <c r="E1222" s="369">
        <f>E1214</f>
        <v>1789653.7271475366</v>
      </c>
      <c r="F1222" s="369">
        <f>F1214</f>
        <v>-5870.75</v>
      </c>
      <c r="G1222" s="369">
        <f>SUM(D1222:F1222)</f>
        <v>56088274.446154602</v>
      </c>
      <c r="H1222" s="369"/>
      <c r="I1222" s="369">
        <f>I1214</f>
        <v>398703.68670685915</v>
      </c>
      <c r="J1222" s="1251"/>
      <c r="K1222" s="369">
        <f>K1214</f>
        <v>82794.570000000007</v>
      </c>
      <c r="L1222" s="369">
        <v>0</v>
      </c>
      <c r="M1222" s="369">
        <f>M1214</f>
        <v>-5870.75</v>
      </c>
      <c r="N1222" s="369">
        <f>N1214</f>
        <v>-7956.1119827154998</v>
      </c>
      <c r="O1222" s="369">
        <f>I1222+K1222+L1222+M1222+N1222</f>
        <v>467671.39472414367</v>
      </c>
    </row>
    <row r="1223" spans="1:15">
      <c r="A1223" s="361">
        <f>A1222+1</f>
        <v>8</v>
      </c>
      <c r="B1223" s="365">
        <v>376</v>
      </c>
      <c r="C1223" s="358" t="s">
        <v>1621</v>
      </c>
      <c r="D1223" s="923">
        <f>D1224-D1222</f>
        <v>422206236.10099304</v>
      </c>
      <c r="E1223" s="923">
        <f>E1224-E1222</f>
        <v>178754.6528524633</v>
      </c>
      <c r="F1223" s="923">
        <f>F1224-F1222</f>
        <v>-25347.21</v>
      </c>
      <c r="G1223" s="923">
        <f>SUM(D1223:F1223)</f>
        <v>422359643.54384553</v>
      </c>
      <c r="H1223" s="369"/>
      <c r="I1223" s="923">
        <f>I1224-I1222</f>
        <v>87370186.143293232</v>
      </c>
      <c r="J1223" s="1251"/>
      <c r="K1223" s="923">
        <f>K1224-K1222</f>
        <v>633424.42999999993</v>
      </c>
      <c r="L1223" s="923">
        <v>0</v>
      </c>
      <c r="M1223" s="923">
        <f>M1224-M1222</f>
        <v>-25347.21</v>
      </c>
      <c r="N1223" s="923">
        <f>N1224-N1222</f>
        <v>-7125.8380172845009</v>
      </c>
      <c r="O1223" s="923">
        <f>I1223+K1223+L1223+M1223+N1223</f>
        <v>87971137.525275961</v>
      </c>
    </row>
    <row r="1224" spans="1:15">
      <c r="A1224" s="361">
        <f>A1223+1</f>
        <v>9</v>
      </c>
      <c r="B1224" s="365">
        <v>376</v>
      </c>
      <c r="C1224" s="358" t="s">
        <v>3078</v>
      </c>
      <c r="D1224" s="369">
        <f>G1178</f>
        <v>476510727.57000011</v>
      </c>
      <c r="E1224" s="369">
        <v>1968408.38</v>
      </c>
      <c r="F1224" s="369">
        <v>-31217.96</v>
      </c>
      <c r="G1224" s="369">
        <f>SUM(G1222:G1223)</f>
        <v>478447917.99000013</v>
      </c>
      <c r="H1224" s="369"/>
      <c r="I1224" s="369">
        <f>O1178</f>
        <v>87768889.830000088</v>
      </c>
      <c r="J1224" s="1251">
        <f>+J1178</f>
        <v>1.7999999999999999E-2</v>
      </c>
      <c r="K1224" s="369">
        <f>ROUND((D1224+G1224)/2*J1224/12,0)</f>
        <v>716219</v>
      </c>
      <c r="L1224" s="369">
        <f>SUM(L1222:L1223)</f>
        <v>0</v>
      </c>
      <c r="M1224" s="369">
        <f>F1224</f>
        <v>-31217.96</v>
      </c>
      <c r="N1224" s="369">
        <v>-15081.95</v>
      </c>
      <c r="O1224" s="369">
        <f>SUM(O1222:O1223)</f>
        <v>88438808.920000106</v>
      </c>
    </row>
    <row r="1225" spans="1:15">
      <c r="A1225" s="361"/>
      <c r="B1225" s="365"/>
      <c r="D1225" s="369"/>
      <c r="E1225" s="369"/>
      <c r="F1225" s="369"/>
      <c r="G1225" s="369"/>
      <c r="H1225" s="369"/>
      <c r="I1225" s="369"/>
      <c r="J1225" s="1251"/>
      <c r="K1225" s="369"/>
      <c r="L1225" s="369"/>
      <c r="M1225" s="369"/>
      <c r="N1225" s="369"/>
      <c r="O1225" s="369"/>
    </row>
    <row r="1226" spans="1:15">
      <c r="A1226" s="361">
        <f>A1224+1</f>
        <v>10</v>
      </c>
      <c r="B1226" s="365">
        <v>378.2</v>
      </c>
      <c r="C1226" s="358" t="s">
        <v>1776</v>
      </c>
      <c r="D1226" s="369">
        <f>D1215</f>
        <v>599780.62011021946</v>
      </c>
      <c r="E1226" s="369">
        <f>E1215</f>
        <v>0</v>
      </c>
      <c r="F1226" s="369">
        <f>F1215</f>
        <v>0</v>
      </c>
      <c r="G1226" s="369">
        <f>SUM(D1226:F1226)</f>
        <v>599780.62011021946</v>
      </c>
      <c r="H1226" s="369"/>
      <c r="I1226" s="369">
        <f>I1215</f>
        <v>-941508.49754116021</v>
      </c>
      <c r="J1226" s="1251"/>
      <c r="K1226" s="369">
        <f>K1215</f>
        <v>1654.39</v>
      </c>
      <c r="L1226" s="369">
        <v>0</v>
      </c>
      <c r="M1226" s="369">
        <f>M1215</f>
        <v>0</v>
      </c>
      <c r="N1226" s="369">
        <f>N1215</f>
        <v>0</v>
      </c>
      <c r="O1226" s="369">
        <f>I1226+K1226+L1226+M1226+N1226</f>
        <v>-939854.10754116019</v>
      </c>
    </row>
    <row r="1227" spans="1:15">
      <c r="A1227" s="361">
        <f>A1226+1</f>
        <v>11</v>
      </c>
      <c r="B1227" s="365">
        <v>378.2</v>
      </c>
      <c r="C1227" s="358" t="s">
        <v>1622</v>
      </c>
      <c r="D1227" s="923">
        <f>D1228-D1226</f>
        <v>27702089.071654879</v>
      </c>
      <c r="E1227" s="923">
        <f>E1228-E1226</f>
        <v>521365.33</v>
      </c>
      <c r="F1227" s="923">
        <f>F1228-F1226</f>
        <v>-229463.45207523758</v>
      </c>
      <c r="G1227" s="923">
        <f>SUM(D1227:F1227)</f>
        <v>27993990.949579637</v>
      </c>
      <c r="H1227" s="369"/>
      <c r="I1227" s="923">
        <f>I1228-I1226</f>
        <v>3446070.8996478799</v>
      </c>
      <c r="J1227" s="1251"/>
      <c r="K1227" s="923">
        <f>K1228-K1226</f>
        <v>76814.61</v>
      </c>
      <c r="L1227" s="923">
        <v>0</v>
      </c>
      <c r="M1227" s="923">
        <f>M1228-M1226</f>
        <v>-229463.45207523758</v>
      </c>
      <c r="N1227" s="923">
        <f>N1228-N1226</f>
        <v>0</v>
      </c>
      <c r="O1227" s="923">
        <f>I1227+K1227+L1227+M1227+N1227</f>
        <v>3293422.0575726423</v>
      </c>
    </row>
    <row r="1228" spans="1:15">
      <c r="A1228" s="361">
        <f>A1227+1</f>
        <v>12</v>
      </c>
      <c r="B1228" s="365">
        <v>378.2</v>
      </c>
      <c r="C1228" s="358" t="s">
        <v>3079</v>
      </c>
      <c r="D1228" s="369">
        <f>G1182</f>
        <v>28301869.6917651</v>
      </c>
      <c r="E1228" s="369">
        <v>521365.33</v>
      </c>
      <c r="F1228" s="369">
        <v>-229463.45207523758</v>
      </c>
      <c r="G1228" s="369">
        <f>SUM(G1226:G1227)</f>
        <v>28593771.569689859</v>
      </c>
      <c r="H1228" s="369"/>
      <c r="I1228" s="369">
        <f>O1182</f>
        <v>2504562.4021067196</v>
      </c>
      <c r="J1228" s="1251">
        <f>+J1182</f>
        <v>3.3099999999999997E-2</v>
      </c>
      <c r="K1228" s="369">
        <f>ROUND((D1228+G1228)/2*J1228/12,0)</f>
        <v>78469</v>
      </c>
      <c r="L1228" s="369">
        <f>SUM(L1226:L1227)</f>
        <v>0</v>
      </c>
      <c r="M1228" s="369">
        <f>F1228</f>
        <v>-229463.45207523758</v>
      </c>
      <c r="N1228" s="369">
        <v>0</v>
      </c>
      <c r="O1228" s="369">
        <f>SUM(O1226:O1227)</f>
        <v>2353567.9500314821</v>
      </c>
    </row>
    <row r="1229" spans="1:15">
      <c r="A1229" s="361"/>
      <c r="B1229" s="365"/>
      <c r="D1229" s="369"/>
      <c r="E1229" s="369"/>
      <c r="F1229" s="369"/>
      <c r="G1229" s="369"/>
      <c r="H1229" s="369"/>
      <c r="I1229" s="369"/>
      <c r="J1229" s="1251"/>
      <c r="K1229" s="369"/>
      <c r="L1229" s="369"/>
      <c r="M1229" s="369"/>
      <c r="N1229" s="369"/>
      <c r="O1229" s="369"/>
    </row>
    <row r="1230" spans="1:15">
      <c r="A1230" s="361">
        <f>A1228+1</f>
        <v>13</v>
      </c>
      <c r="B1230" s="365">
        <v>380</v>
      </c>
      <c r="C1230" s="358" t="s">
        <v>1777</v>
      </c>
      <c r="D1230" s="369">
        <f>D1216</f>
        <v>22872942.68702434</v>
      </c>
      <c r="E1230" s="369">
        <f>E1216</f>
        <v>870285.0493177938</v>
      </c>
      <c r="F1230" s="369">
        <f>F1216</f>
        <v>-143225.50268491</v>
      </c>
      <c r="G1230" s="369">
        <f>SUM(D1230:F1230)</f>
        <v>23600002.233657222</v>
      </c>
      <c r="H1230" s="369"/>
      <c r="I1230" s="369">
        <f>I1216</f>
        <v>-11859442.880304588</v>
      </c>
      <c r="J1230" s="1251"/>
      <c r="K1230" s="369">
        <f>K1216</f>
        <v>100304.11</v>
      </c>
      <c r="L1230" s="369">
        <v>0</v>
      </c>
      <c r="M1230" s="369">
        <f>M1216</f>
        <v>-143225.50268491</v>
      </c>
      <c r="N1230" s="369">
        <f>N1216</f>
        <v>-102915.72868366999</v>
      </c>
      <c r="O1230" s="369">
        <f>I1230+K1230+L1230+M1230+N1230</f>
        <v>-12005280.001673168</v>
      </c>
    </row>
    <row r="1231" spans="1:15">
      <c r="A1231" s="361">
        <f>A1230+1</f>
        <v>14</v>
      </c>
      <c r="B1231" s="365">
        <v>380</v>
      </c>
      <c r="C1231" s="358" t="s">
        <v>1623</v>
      </c>
      <c r="D1231" s="923">
        <f>D1232-D1230</f>
        <v>205095887.18297565</v>
      </c>
      <c r="E1231" s="923">
        <f>E1232-E1230</f>
        <v>460646.1006822061</v>
      </c>
      <c r="F1231" s="923">
        <f>F1232-F1230</f>
        <v>-31466.997315090004</v>
      </c>
      <c r="G1231" s="923">
        <f>SUM(D1231:F1231)</f>
        <v>205525066.28634277</v>
      </c>
      <c r="H1231" s="369"/>
      <c r="I1231" s="923">
        <f>I1232-I1230</f>
        <v>68079810.770304605</v>
      </c>
      <c r="J1231" s="1251"/>
      <c r="K1231" s="923">
        <f>K1232-K1230</f>
        <v>886256.89</v>
      </c>
      <c r="L1231" s="923">
        <v>0</v>
      </c>
      <c r="M1231" s="923">
        <f>M1232-M1230</f>
        <v>-31466.997315090004</v>
      </c>
      <c r="N1231" s="923">
        <f>N1232-N1230</f>
        <v>-42222.941316329991</v>
      </c>
      <c r="O1231" s="923">
        <f>I1231+K1231+L1231+M1231+N1231</f>
        <v>68892377.721673176</v>
      </c>
    </row>
    <row r="1232" spans="1:15">
      <c r="A1232" s="361">
        <f>A1231+1</f>
        <v>15</v>
      </c>
      <c r="B1232" s="365">
        <v>380</v>
      </c>
      <c r="C1232" s="358" t="s">
        <v>3080</v>
      </c>
      <c r="D1232" s="369">
        <f>G1186</f>
        <v>227968829.87</v>
      </c>
      <c r="E1232" s="369">
        <v>1330931.1499999999</v>
      </c>
      <c r="F1232" s="369">
        <v>-174692.5</v>
      </c>
      <c r="G1232" s="369">
        <f>SUM(G1230:G1231)</f>
        <v>229125068.51999998</v>
      </c>
      <c r="H1232" s="369"/>
      <c r="I1232" s="369">
        <f>O1186</f>
        <v>56220367.890000015</v>
      </c>
      <c r="J1232" s="1251">
        <f>+J1186</f>
        <v>5.1799999999999999E-2</v>
      </c>
      <c r="K1232" s="369">
        <f>ROUND((D1232+G1232)/2*J1232/12,0)</f>
        <v>986561</v>
      </c>
      <c r="L1232" s="369">
        <f>SUM(L1230:L1231)</f>
        <v>0</v>
      </c>
      <c r="M1232" s="369">
        <f>F1232</f>
        <v>-174692.5</v>
      </c>
      <c r="N1232" s="369">
        <v>-145138.66999999998</v>
      </c>
      <c r="O1232" s="369">
        <f>SUM(O1230:O1231)</f>
        <v>56887097.720000006</v>
      </c>
    </row>
    <row r="1233" spans="1:15">
      <c r="A1233" s="361"/>
      <c r="B1233" s="365"/>
      <c r="D1233" s="369"/>
      <c r="E1233" s="369"/>
      <c r="F1233" s="369"/>
      <c r="G1233" s="369"/>
      <c r="H1233" s="369"/>
      <c r="I1233" s="369"/>
      <c r="J1233" s="1251"/>
      <c r="K1233" s="369"/>
      <c r="L1233" s="369"/>
      <c r="M1233" s="369"/>
      <c r="N1233" s="369"/>
      <c r="O1233" s="369"/>
    </row>
    <row r="1234" spans="1:15">
      <c r="A1234" s="361">
        <f>A1232+1</f>
        <v>16</v>
      </c>
      <c r="B1234" s="365">
        <v>382</v>
      </c>
      <c r="C1234" s="358" t="s">
        <v>1778</v>
      </c>
      <c r="D1234" s="369">
        <f>D1217</f>
        <v>232929.98922360435</v>
      </c>
      <c r="E1234" s="369">
        <f>E1217</f>
        <v>2213.4426885468711</v>
      </c>
      <c r="F1234" s="369">
        <f>F1217</f>
        <v>-360.86210250545457</v>
      </c>
      <c r="G1234" s="369">
        <f>SUM(D1234:F1234)</f>
        <v>234782.56980964576</v>
      </c>
      <c r="H1234" s="369"/>
      <c r="I1234" s="369">
        <f>I1217</f>
        <v>-74539.568725359335</v>
      </c>
      <c r="J1234" s="1251"/>
      <c r="K1234" s="369">
        <f>K1217</f>
        <v>444.33</v>
      </c>
      <c r="L1234" s="369">
        <v>0</v>
      </c>
      <c r="M1234" s="369">
        <f>M1217</f>
        <v>-360.86210250545457</v>
      </c>
      <c r="N1234" s="369">
        <f>N1217</f>
        <v>0</v>
      </c>
      <c r="O1234" s="369">
        <f>I1234+K1234+L1234+M1234+N1234</f>
        <v>-74456.100827864793</v>
      </c>
    </row>
    <row r="1235" spans="1:15">
      <c r="A1235" s="361">
        <f>A1234+1</f>
        <v>17</v>
      </c>
      <c r="B1235" s="365">
        <v>382</v>
      </c>
      <c r="C1235" s="358" t="s">
        <v>1624</v>
      </c>
      <c r="D1235" s="923">
        <f>D1236-D1234</f>
        <v>10701416.16449563</v>
      </c>
      <c r="E1235" s="923">
        <f>E1236-E1234</f>
        <v>6626.6373114531289</v>
      </c>
      <c r="F1235" s="923">
        <f>F1236-F1234</f>
        <v>-1080.3542551250002</v>
      </c>
      <c r="G1235" s="923">
        <f>SUM(D1235:F1235)</f>
        <v>10706962.447551958</v>
      </c>
      <c r="H1235" s="369"/>
      <c r="I1235" s="923">
        <f>I1236-I1234</f>
        <v>6054957.4692783253</v>
      </c>
      <c r="J1235" s="1251"/>
      <c r="K1235" s="923">
        <f>K1236-K1234</f>
        <v>20337.669999999998</v>
      </c>
      <c r="L1235" s="923">
        <v>0</v>
      </c>
      <c r="M1235" s="923">
        <f>M1236-M1234</f>
        <v>-1080.3542551250002</v>
      </c>
      <c r="N1235" s="923">
        <f>N1236-N1234</f>
        <v>0</v>
      </c>
      <c r="O1235" s="923">
        <f>I1235+K1235+L1235+M1235+N1235</f>
        <v>6074214.7850232003</v>
      </c>
    </row>
    <row r="1236" spans="1:15">
      <c r="A1236" s="361">
        <f>A1235+1</f>
        <v>18</v>
      </c>
      <c r="B1236" s="365">
        <v>382</v>
      </c>
      <c r="C1236" s="358" t="s">
        <v>3081</v>
      </c>
      <c r="D1236" s="369">
        <f>G1190</f>
        <v>10934346.153719235</v>
      </c>
      <c r="E1236" s="369">
        <v>8840.08</v>
      </c>
      <c r="F1236" s="369">
        <v>-1441.2163576304547</v>
      </c>
      <c r="G1236" s="369">
        <f>SUM(G1234:G1235)</f>
        <v>10941745.017361604</v>
      </c>
      <c r="H1236" s="369"/>
      <c r="I1236" s="369">
        <f>O1190</f>
        <v>5980417.9005529657</v>
      </c>
      <c r="J1236" s="1251">
        <f>+J1190</f>
        <v>2.2800000000000001E-2</v>
      </c>
      <c r="K1236" s="369">
        <f>ROUND((D1236+G1236)/2*J1236/12,0)</f>
        <v>20782</v>
      </c>
      <c r="L1236" s="369">
        <f>SUM(L1234:L1235)</f>
        <v>0</v>
      </c>
      <c r="M1236" s="369">
        <f>F1236</f>
        <v>-1441.2163576304547</v>
      </c>
      <c r="N1236" s="369">
        <v>0</v>
      </c>
      <c r="O1236" s="369">
        <f>SUM(O1234:O1235)</f>
        <v>5999758.684195336</v>
      </c>
    </row>
    <row r="1237" spans="1:15">
      <c r="A1237" s="361"/>
      <c r="B1237" s="365"/>
      <c r="D1237" s="369"/>
      <c r="E1237" s="369"/>
      <c r="F1237" s="369"/>
      <c r="G1237" s="369"/>
      <c r="H1237" s="369"/>
      <c r="I1237" s="369"/>
      <c r="J1237" s="1251"/>
      <c r="K1237" s="369"/>
      <c r="L1237" s="369"/>
      <c r="M1237" s="369"/>
      <c r="N1237" s="369"/>
      <c r="O1237" s="369"/>
    </row>
    <row r="1238" spans="1:15">
      <c r="A1238" s="361">
        <f>A1236+1</f>
        <v>19</v>
      </c>
      <c r="B1238" s="365">
        <v>383</v>
      </c>
      <c r="C1238" s="358" t="s">
        <v>1779</v>
      </c>
      <c r="D1238" s="369">
        <f>D1218</f>
        <v>159111.47229580401</v>
      </c>
      <c r="E1238" s="369">
        <f>E1218</f>
        <v>4565.6172879667101</v>
      </c>
      <c r="F1238" s="369">
        <f>F1218</f>
        <v>-47.987727657103498</v>
      </c>
      <c r="G1238" s="369">
        <f>SUM(D1238:F1238)</f>
        <v>163629.10185611362</v>
      </c>
      <c r="H1238" s="369"/>
      <c r="I1238" s="369">
        <f>I1218</f>
        <v>-8373.7908257440995</v>
      </c>
      <c r="J1238" s="1251"/>
      <c r="K1238" s="369">
        <f>K1218</f>
        <v>298.54000000000002</v>
      </c>
      <c r="L1238" s="369">
        <v>0</v>
      </c>
      <c r="M1238" s="369">
        <f>M1218</f>
        <v>-47.987727657103498</v>
      </c>
      <c r="N1238" s="369">
        <f>N1218</f>
        <v>0</v>
      </c>
      <c r="O1238" s="369">
        <f>I1238+K1238+L1238+M1238+N1238</f>
        <v>-8123.2385534012028</v>
      </c>
    </row>
    <row r="1239" spans="1:15">
      <c r="A1239" s="361">
        <f>A1238+1</f>
        <v>20</v>
      </c>
      <c r="B1239" s="365">
        <v>383</v>
      </c>
      <c r="C1239" s="358" t="s">
        <v>1625</v>
      </c>
      <c r="D1239" s="923">
        <f>D1240-D1238</f>
        <v>7656195.7522330815</v>
      </c>
      <c r="E1239" s="923">
        <f>E1240-E1238</f>
        <v>26581.752712033289</v>
      </c>
      <c r="F1239" s="923">
        <f>F1240-F1238</f>
        <v>-279.39226044790013</v>
      </c>
      <c r="G1239" s="923">
        <f>SUM(D1239:F1239)</f>
        <v>7682498.1126846671</v>
      </c>
      <c r="H1239" s="369"/>
      <c r="I1239" s="923">
        <f>I1240-I1238</f>
        <v>2653384.0667891665</v>
      </c>
      <c r="J1239" s="1251"/>
      <c r="K1239" s="923">
        <f>K1240-K1238</f>
        <v>14188.46</v>
      </c>
      <c r="L1239" s="923">
        <v>0</v>
      </c>
      <c r="M1239" s="923">
        <f>M1240-M1238</f>
        <v>-279.39226044790013</v>
      </c>
      <c r="N1239" s="923">
        <f>N1240-N1238</f>
        <v>0</v>
      </c>
      <c r="O1239" s="923">
        <f>I1239+K1239+L1239+M1239+N1239</f>
        <v>2667293.1345287184</v>
      </c>
    </row>
    <row r="1240" spans="1:15">
      <c r="A1240" s="361">
        <f>A1239+1</f>
        <v>21</v>
      </c>
      <c r="B1240" s="365">
        <v>383</v>
      </c>
      <c r="C1240" s="358" t="s">
        <v>3082</v>
      </c>
      <c r="D1240" s="369">
        <f>G1194</f>
        <v>7815307.2245288854</v>
      </c>
      <c r="E1240" s="369">
        <v>31147.37</v>
      </c>
      <c r="F1240" s="369">
        <v>-327.37998810500363</v>
      </c>
      <c r="G1240" s="369">
        <f>SUM(G1238:G1239)</f>
        <v>7846127.2145407805</v>
      </c>
      <c r="H1240" s="369"/>
      <c r="I1240" s="369">
        <f>O1194</f>
        <v>2645010.2759634224</v>
      </c>
      <c r="J1240" s="1251">
        <f>+J1194</f>
        <v>2.2200000000000001E-2</v>
      </c>
      <c r="K1240" s="369">
        <f>ROUND((D1240+G1240)/2*J1240/12,0)</f>
        <v>14487</v>
      </c>
      <c r="L1240" s="369">
        <f>SUM(L1238:L1239)</f>
        <v>0</v>
      </c>
      <c r="M1240" s="369">
        <f>F1240</f>
        <v>-327.37998810500363</v>
      </c>
      <c r="N1240" s="369">
        <v>0</v>
      </c>
      <c r="O1240" s="369">
        <f>SUM(O1238:O1239)</f>
        <v>2659169.8959753173</v>
      </c>
    </row>
    <row r="1243" spans="1:15" s="291" customFormat="1">
      <c r="A1243" s="1308" t="str">
        <f>$A$1</f>
        <v>COLUMBIA GAS OF KENTUCKY, INC.</v>
      </c>
      <c r="B1243" s="1308"/>
      <c r="C1243" s="1308"/>
      <c r="D1243" s="1308"/>
      <c r="E1243" s="1308"/>
      <c r="F1243" s="1308"/>
      <c r="G1243" s="1308"/>
      <c r="H1243" s="1308"/>
      <c r="I1243" s="1308"/>
      <c r="J1243" s="1308"/>
      <c r="K1243" s="1308"/>
      <c r="L1243" s="1308"/>
      <c r="M1243" s="1308"/>
      <c r="N1243" s="1308"/>
      <c r="O1243" s="1308"/>
    </row>
    <row r="1244" spans="1:15" s="291" customFormat="1">
      <c r="A1244" s="1308" t="str">
        <f>$A$2</f>
        <v>CASE NO. 2024 - 00092</v>
      </c>
      <c r="B1244" s="1308"/>
      <c r="C1244" s="1308"/>
      <c r="D1244" s="1308"/>
      <c r="E1244" s="1308"/>
      <c r="F1244" s="1308"/>
      <c r="G1244" s="1308"/>
      <c r="H1244" s="1308"/>
      <c r="I1244" s="1308"/>
      <c r="J1244" s="1308"/>
      <c r="K1244" s="1308"/>
      <c r="L1244" s="1308"/>
      <c r="M1244" s="1308"/>
      <c r="N1244" s="1308"/>
      <c r="O1244" s="1308"/>
    </row>
    <row r="1245" spans="1:15" s="291" customFormat="1">
      <c r="A1245" s="1308" t="str">
        <f>$A$3</f>
        <v>DETAIL OF ACTUAL &amp;  FORECASTED SMRP PLANT, ACCUMULATED RESERVE &amp; DEPRECIATION EXPENSE</v>
      </c>
      <c r="B1245" s="1308"/>
      <c r="C1245" s="1308"/>
      <c r="D1245" s="1308"/>
      <c r="E1245" s="1308"/>
      <c r="F1245" s="1308"/>
      <c r="G1245" s="1308"/>
      <c r="H1245" s="1308"/>
      <c r="I1245" s="1308"/>
      <c r="J1245" s="1308"/>
      <c r="K1245" s="1308"/>
      <c r="L1245" s="1308"/>
      <c r="M1245" s="1308"/>
      <c r="N1245" s="1308"/>
      <c r="O1245" s="1308"/>
    </row>
    <row r="1246" spans="1:15" s="291" customFormat="1">
      <c r="A1246" s="1308" t="str">
        <f>$A$4</f>
        <v>FROM JANUARY 01, 2023 THROUGH DECEMBER 31, 2025</v>
      </c>
      <c r="B1246" s="1308"/>
      <c r="C1246" s="1308"/>
      <c r="D1246" s="1308"/>
      <c r="E1246" s="1308"/>
      <c r="F1246" s="1308"/>
      <c r="G1246" s="1308"/>
      <c r="H1246" s="1308"/>
      <c r="I1246" s="1308"/>
      <c r="J1246" s="1308"/>
      <c r="K1246" s="1308"/>
      <c r="L1246" s="1308"/>
      <c r="M1246" s="1308"/>
      <c r="N1246" s="1308"/>
      <c r="O1246" s="1308"/>
    </row>
    <row r="1247" spans="1:15" s="291" customFormat="1">
      <c r="B1247" s="293"/>
    </row>
    <row r="1248" spans="1:15" s="291" customFormat="1">
      <c r="A1248" s="297" t="str">
        <f>'General Headers Index'!$B$34</f>
        <v xml:space="preserve">DATA: _X_ BASE PERIOD _X_ FORECASTED PERIOD     </v>
      </c>
      <c r="B1248" s="293"/>
      <c r="O1248" s="312" t="s">
        <v>2461</v>
      </c>
    </row>
    <row r="1249" spans="1:15" s="291" customFormat="1">
      <c r="A1249" s="297" t="str">
        <f>'General Headers Index'!$B$37</f>
        <v>TYPE OF FILING:___X___ORIGINAL______UPDATED</v>
      </c>
      <c r="B1249" s="293"/>
      <c r="O1249" s="312" t="s">
        <v>2250</v>
      </c>
    </row>
    <row r="1250" spans="1:15" s="291" customFormat="1">
      <c r="A1250" s="297" t="s">
        <v>2150</v>
      </c>
      <c r="B1250" s="293"/>
      <c r="O1250" s="312" t="str">
        <f>"WITNESS: "&amp;'General Headers Index'!$B$42</f>
        <v>WITNESS: GORE</v>
      </c>
    </row>
    <row r="1251" spans="1:15">
      <c r="A1251" s="918"/>
      <c r="B1251" s="918"/>
      <c r="C1251" s="918"/>
      <c r="D1251" s="918"/>
      <c r="E1251" s="918"/>
      <c r="F1251" s="918"/>
      <c r="G1251" s="918"/>
      <c r="H1251" s="918"/>
      <c r="I1251" s="918"/>
      <c r="J1251" s="918"/>
      <c r="K1251" s="918"/>
      <c r="L1251" s="918"/>
      <c r="M1251" s="918"/>
      <c r="N1251" s="918"/>
      <c r="O1251" s="918"/>
    </row>
    <row r="1252" spans="1:15">
      <c r="B1252" s="359"/>
      <c r="D1252" s="1312" t="s">
        <v>1768</v>
      </c>
      <c r="E1252" s="1312"/>
      <c r="F1252" s="1312"/>
      <c r="G1252" s="1312"/>
      <c r="I1252" s="1312" t="s">
        <v>1769</v>
      </c>
      <c r="J1252" s="1312"/>
      <c r="K1252" s="1312"/>
      <c r="L1252" s="1312"/>
      <c r="M1252" s="1312"/>
      <c r="N1252" s="1312"/>
      <c r="O1252" s="1312"/>
    </row>
    <row r="1253" spans="1:15">
      <c r="B1253" s="359"/>
      <c r="D1253" s="360">
        <f>G1207+1</f>
        <v>45748</v>
      </c>
      <c r="G1253" s="360">
        <f>D1253+29</f>
        <v>45777</v>
      </c>
      <c r="I1253" s="360">
        <f>D1253</f>
        <v>45748</v>
      </c>
      <c r="O1253" s="360">
        <f>G1253</f>
        <v>45777</v>
      </c>
    </row>
    <row r="1254" spans="1:15">
      <c r="B1254" s="359"/>
      <c r="D1254" s="361" t="s">
        <v>1757</v>
      </c>
      <c r="G1254" s="361" t="s">
        <v>1757</v>
      </c>
      <c r="I1254" s="361" t="s">
        <v>1758</v>
      </c>
      <c r="J1254" s="361" t="s">
        <v>488</v>
      </c>
      <c r="L1254" s="361" t="s">
        <v>1758</v>
      </c>
      <c r="O1254" s="361" t="s">
        <v>1758</v>
      </c>
    </row>
    <row r="1255" spans="1:15">
      <c r="A1255" s="361" t="s">
        <v>1770</v>
      </c>
      <c r="B1255" s="361" t="s">
        <v>368</v>
      </c>
      <c r="C1255" s="361"/>
      <c r="D1255" s="361" t="s">
        <v>437</v>
      </c>
      <c r="G1255" s="361" t="s">
        <v>439</v>
      </c>
      <c r="I1255" s="361" t="s">
        <v>437</v>
      </c>
      <c r="J1255" s="361" t="s">
        <v>1771</v>
      </c>
      <c r="K1255" s="361" t="s">
        <v>1772</v>
      </c>
      <c r="L1255" s="361" t="s">
        <v>1759</v>
      </c>
      <c r="N1255" s="361" t="s">
        <v>1760</v>
      </c>
      <c r="O1255" s="361" t="s">
        <v>439</v>
      </c>
    </row>
    <row r="1256" spans="1:15">
      <c r="A1256" s="364" t="s">
        <v>316</v>
      </c>
      <c r="B1256" s="364" t="s">
        <v>316</v>
      </c>
      <c r="C1256" s="364" t="s">
        <v>451</v>
      </c>
      <c r="D1256" s="364" t="s">
        <v>441</v>
      </c>
      <c r="E1256" s="364" t="s">
        <v>442</v>
      </c>
      <c r="F1256" s="364" t="s">
        <v>443</v>
      </c>
      <c r="G1256" s="364" t="s">
        <v>441</v>
      </c>
      <c r="I1256" s="364" t="s">
        <v>441</v>
      </c>
      <c r="J1256" s="364" t="s">
        <v>1773</v>
      </c>
      <c r="K1256" s="364" t="s">
        <v>1771</v>
      </c>
      <c r="L1256" s="364" t="s">
        <v>355</v>
      </c>
      <c r="M1256" s="364" t="s">
        <v>443</v>
      </c>
      <c r="N1256" s="364" t="s">
        <v>1763</v>
      </c>
      <c r="O1256" s="364" t="s">
        <v>441</v>
      </c>
    </row>
    <row r="1257" spans="1:15">
      <c r="B1257" s="359"/>
      <c r="D1257" s="361" t="s">
        <v>532</v>
      </c>
      <c r="E1257" s="361" t="s">
        <v>541</v>
      </c>
      <c r="F1257" s="361" t="s">
        <v>542</v>
      </c>
      <c r="G1257" s="361" t="s">
        <v>1764</v>
      </c>
      <c r="I1257" s="334" t="str">
        <f>"(5)"</f>
        <v>(5)</v>
      </c>
      <c r="J1257" s="334" t="str">
        <f>"(6)"</f>
        <v>(6)</v>
      </c>
      <c r="K1257" s="334" t="str">
        <f>"(7)=((1+4)/2*6/12))"</f>
        <v>(7)=((1+4)/2*6/12))</v>
      </c>
      <c r="L1257" s="334" t="str">
        <f>"(8)"</f>
        <v>(8)</v>
      </c>
      <c r="M1257" s="334" t="str">
        <f>"(9)"</f>
        <v>(9)</v>
      </c>
      <c r="N1257" s="334" t="str">
        <f>"(10)"</f>
        <v>(10)</v>
      </c>
      <c r="O1257" s="334" t="str">
        <f>"(11=5+7+8+9+10)"</f>
        <v>(11=5+7+8+9+10)</v>
      </c>
    </row>
    <row r="1258" spans="1:15">
      <c r="B1258" s="359"/>
      <c r="D1258" s="361" t="s">
        <v>320</v>
      </c>
      <c r="E1258" s="361" t="s">
        <v>320</v>
      </c>
      <c r="F1258" s="361" t="s">
        <v>320</v>
      </c>
      <c r="G1258" s="361" t="s">
        <v>320</v>
      </c>
      <c r="I1258" s="334" t="s">
        <v>320</v>
      </c>
      <c r="J1258" s="1250" t="s">
        <v>529</v>
      </c>
      <c r="K1258" s="334" t="s">
        <v>320</v>
      </c>
      <c r="L1258" s="334" t="s">
        <v>320</v>
      </c>
      <c r="M1258" s="334" t="s">
        <v>320</v>
      </c>
      <c r="N1258" s="334" t="s">
        <v>320</v>
      </c>
      <c r="O1258" s="334" t="s">
        <v>320</v>
      </c>
    </row>
    <row r="1259" spans="1:15">
      <c r="B1259" s="359"/>
      <c r="D1259" s="361"/>
      <c r="E1259" s="361"/>
      <c r="F1259" s="361"/>
      <c r="G1259" s="361"/>
      <c r="I1259" s="334"/>
      <c r="J1259" s="334"/>
      <c r="K1259" s="334"/>
      <c r="L1259" s="334"/>
      <c r="M1259" s="334"/>
      <c r="N1259" s="334"/>
      <c r="O1259" s="334"/>
    </row>
    <row r="1260" spans="1:15">
      <c r="A1260" s="361">
        <v>1</v>
      </c>
      <c r="B1260" s="365">
        <v>376</v>
      </c>
      <c r="C1260" s="358" t="s">
        <v>1775</v>
      </c>
      <c r="D1260" s="369">
        <f>G1214</f>
        <v>56088274.446154602</v>
      </c>
      <c r="E1260" s="369">
        <v>1181166.5763621689</v>
      </c>
      <c r="F1260" s="369">
        <v>-18947.189999999995</v>
      </c>
      <c r="G1260" s="369">
        <f>SUM(D1260:F1260)</f>
        <v>57250493.832516775</v>
      </c>
      <c r="H1260" s="369"/>
      <c r="I1260" s="369">
        <f>O1214</f>
        <v>467671.39472414367</v>
      </c>
      <c r="J1260" s="1251">
        <f>+J1214</f>
        <v>1.7999999999999999E-2</v>
      </c>
      <c r="K1260" s="380">
        <f>ROUND((G1260+D1260)/2*J1260/12,2)</f>
        <v>85004.08</v>
      </c>
      <c r="L1260" s="369">
        <v>0</v>
      </c>
      <c r="M1260" s="369">
        <f>F1260</f>
        <v>-18947.189999999995</v>
      </c>
      <c r="N1260" s="369">
        <v>-4413.9924332259898</v>
      </c>
      <c r="O1260" s="369">
        <f>I1260+K1260+L1260+M1260+N1260</f>
        <v>529314.29229091771</v>
      </c>
    </row>
    <row r="1261" spans="1:15">
      <c r="A1261" s="361">
        <f>A1260+1</f>
        <v>2</v>
      </c>
      <c r="B1261" s="365">
        <v>378.2</v>
      </c>
      <c r="C1261" s="358" t="s">
        <v>1776</v>
      </c>
      <c r="D1261" s="369">
        <f>G1215</f>
        <v>599780.62011021946</v>
      </c>
      <c r="E1261" s="369">
        <v>0</v>
      </c>
      <c r="F1261" s="369">
        <v>0</v>
      </c>
      <c r="G1261" s="369">
        <f>SUM(D1261:F1261)</f>
        <v>599780.62011021946</v>
      </c>
      <c r="H1261" s="369"/>
      <c r="I1261" s="369">
        <f>O1215</f>
        <v>-939854.10754116019</v>
      </c>
      <c r="J1261" s="1251">
        <f>+J1215</f>
        <v>3.3099999999999997E-2</v>
      </c>
      <c r="K1261" s="380">
        <f>ROUND((G1261+D1261)/2*J1261/12,2)</f>
        <v>1654.39</v>
      </c>
      <c r="L1261" s="369">
        <v>0</v>
      </c>
      <c r="M1261" s="369">
        <f>F1261</f>
        <v>0</v>
      </c>
      <c r="N1261" s="369">
        <v>0</v>
      </c>
      <c r="O1261" s="369">
        <f>I1261+K1261+L1261+M1261+N1261</f>
        <v>-938199.71754116018</v>
      </c>
    </row>
    <row r="1262" spans="1:15">
      <c r="A1262" s="361">
        <f>A1261+1</f>
        <v>3</v>
      </c>
      <c r="B1262" s="365">
        <v>380</v>
      </c>
      <c r="C1262" s="358" t="s">
        <v>1777</v>
      </c>
      <c r="D1262" s="369">
        <f>G1216</f>
        <v>23600002.233657222</v>
      </c>
      <c r="E1262" s="369">
        <v>959656.86447214603</v>
      </c>
      <c r="F1262" s="369">
        <v>-225612.48612410427</v>
      </c>
      <c r="G1262" s="369">
        <f>SUM(D1262:F1262)</f>
        <v>24334046.612005264</v>
      </c>
      <c r="H1262" s="369"/>
      <c r="I1262" s="369">
        <f>O1216</f>
        <v>-12005280.001673168</v>
      </c>
      <c r="J1262" s="1251">
        <f>+J1216</f>
        <v>5.1799999999999999E-2</v>
      </c>
      <c r="K1262" s="380">
        <f>ROUND((G1262+D1262)/2*J1262/12,2)</f>
        <v>103457.66</v>
      </c>
      <c r="L1262" s="369">
        <v>0</v>
      </c>
      <c r="M1262" s="369">
        <f>F1262</f>
        <v>-225612.48612410427</v>
      </c>
      <c r="N1262" s="369">
        <v>-105564.631621708</v>
      </c>
      <c r="O1262" s="369">
        <f>I1262+K1262+L1262+M1262+N1262</f>
        <v>-12232999.459418979</v>
      </c>
    </row>
    <row r="1263" spans="1:15">
      <c r="A1263" s="361">
        <f>A1262+1</f>
        <v>4</v>
      </c>
      <c r="B1263" s="365">
        <v>382</v>
      </c>
      <c r="C1263" s="358" t="s">
        <v>1778</v>
      </c>
      <c r="D1263" s="369">
        <f>G1217</f>
        <v>234782.56980964576</v>
      </c>
      <c r="E1263" s="369">
        <v>1893.3676735532254</v>
      </c>
      <c r="F1263" s="369">
        <v>-591.2923913925863</v>
      </c>
      <c r="G1263" s="369">
        <f>SUM(D1263:F1263)</f>
        <v>236084.64509180642</v>
      </c>
      <c r="H1263" s="369"/>
      <c r="I1263" s="369">
        <f>O1217</f>
        <v>-74456.100827864793</v>
      </c>
      <c r="J1263" s="1251">
        <f>+J1217</f>
        <v>2.2800000000000001E-2</v>
      </c>
      <c r="K1263" s="380">
        <f>ROUND((G1263+D1263)/2*J1263/12,2)</f>
        <v>447.32</v>
      </c>
      <c r="L1263" s="369">
        <v>0</v>
      </c>
      <c r="M1263" s="369">
        <f>F1263</f>
        <v>-591.2923913925863</v>
      </c>
      <c r="N1263" s="369">
        <v>0</v>
      </c>
      <c r="O1263" s="369">
        <f>I1263+K1263+L1263+M1263+N1263</f>
        <v>-74600.073219257378</v>
      </c>
    </row>
    <row r="1264" spans="1:15">
      <c r="A1264" s="361">
        <f>A1263+1</f>
        <v>5</v>
      </c>
      <c r="B1264" s="365">
        <v>383</v>
      </c>
      <c r="C1264" s="358" t="s">
        <v>1779</v>
      </c>
      <c r="D1264" s="923">
        <f>G1218</f>
        <v>163629.10185611362</v>
      </c>
      <c r="E1264" s="923">
        <v>3679.4302999298588</v>
      </c>
      <c r="F1264" s="923">
        <v>-53.190138639978073</v>
      </c>
      <c r="G1264" s="923">
        <f>SUM(D1264:F1264)</f>
        <v>167255.34201740351</v>
      </c>
      <c r="H1264" s="369"/>
      <c r="I1264" s="923">
        <f>O1218</f>
        <v>-8123.2385534012028</v>
      </c>
      <c r="J1264" s="1251">
        <f>+J1218</f>
        <v>2.2200000000000001E-2</v>
      </c>
      <c r="K1264" s="925">
        <f>ROUND((G1264+D1264)/2*J1264/12,2)</f>
        <v>306.07</v>
      </c>
      <c r="L1264" s="923">
        <v>0</v>
      </c>
      <c r="M1264" s="923">
        <f>F1264</f>
        <v>-53.190138639978073</v>
      </c>
      <c r="N1264" s="923">
        <v>0</v>
      </c>
      <c r="O1264" s="923">
        <f>I1264+K1264+L1264+M1264+N1264</f>
        <v>-7870.3586920411808</v>
      </c>
    </row>
    <row r="1265" spans="1:15">
      <c r="A1265" s="361">
        <f>A1264+1</f>
        <v>6</v>
      </c>
      <c r="C1265" s="358" t="s">
        <v>3077</v>
      </c>
      <c r="D1265" s="369">
        <f>SUM(D1260:D1264)</f>
        <v>80686468.971587807</v>
      </c>
      <c r="E1265" s="369">
        <f>SUM(E1260:E1264)</f>
        <v>2146396.2388077979</v>
      </c>
      <c r="F1265" s="369">
        <f>SUM(F1260:F1264)</f>
        <v>-245204.15865413682</v>
      </c>
      <c r="G1265" s="369">
        <f>SUM(G1260:G1264)</f>
        <v>82587661.051741466</v>
      </c>
      <c r="H1265" s="369"/>
      <c r="I1265" s="369">
        <f>SUM(I1260:I1264)</f>
        <v>-12560042.053871451</v>
      </c>
      <c r="J1265" s="369"/>
      <c r="K1265" s="369">
        <f>SUM(K1260:K1264)</f>
        <v>190869.52000000002</v>
      </c>
      <c r="L1265" s="369">
        <f t="shared" ref="L1265" si="27">SUM(L1260:L1264)</f>
        <v>0</v>
      </c>
      <c r="M1265" s="369">
        <f>SUM(M1260:M1264)</f>
        <v>-245204.15865413682</v>
      </c>
      <c r="N1265" s="369">
        <f>SUM(N1260:N1264)</f>
        <v>-109978.62405493399</v>
      </c>
      <c r="O1265" s="369">
        <f>SUM(O1260:O1264)</f>
        <v>-12724355.316580519</v>
      </c>
    </row>
    <row r="1266" spans="1:15">
      <c r="A1266" s="361"/>
      <c r="D1266" s="369"/>
      <c r="E1266" s="369"/>
      <c r="F1266" s="369"/>
      <c r="G1266" s="369"/>
      <c r="H1266" s="369"/>
      <c r="I1266" s="369"/>
      <c r="J1266" s="369"/>
      <c r="K1266" s="369"/>
      <c r="L1266" s="369"/>
      <c r="M1266" s="369"/>
      <c r="N1266" s="369"/>
      <c r="O1266" s="369"/>
    </row>
    <row r="1267" spans="1:15">
      <c r="A1267" s="361"/>
      <c r="D1267" s="369"/>
      <c r="E1267" s="369"/>
      <c r="F1267" s="369"/>
      <c r="G1267" s="369"/>
      <c r="H1267" s="369"/>
      <c r="I1267" s="369"/>
      <c r="J1267" s="369"/>
      <c r="K1267" s="369"/>
      <c r="L1267" s="369"/>
      <c r="M1267" s="369"/>
      <c r="N1267" s="369"/>
      <c r="O1267" s="369"/>
    </row>
    <row r="1268" spans="1:15">
      <c r="A1268" s="361">
        <f>A1265+1</f>
        <v>7</v>
      </c>
      <c r="B1268" s="365">
        <v>376</v>
      </c>
      <c r="C1268" s="358" t="s">
        <v>1775</v>
      </c>
      <c r="D1268" s="369">
        <f>D1260</f>
        <v>56088274.446154602</v>
      </c>
      <c r="E1268" s="369">
        <f>E1260</f>
        <v>1181166.5763621689</v>
      </c>
      <c r="F1268" s="369">
        <f>F1260</f>
        <v>-18947.189999999995</v>
      </c>
      <c r="G1268" s="369">
        <f>SUM(D1268:F1268)</f>
        <v>57250493.832516775</v>
      </c>
      <c r="H1268" s="369"/>
      <c r="I1268" s="369">
        <f>I1260</f>
        <v>467671.39472414367</v>
      </c>
      <c r="J1268" s="1251"/>
      <c r="K1268" s="369">
        <f>K1260</f>
        <v>85004.08</v>
      </c>
      <c r="L1268" s="369">
        <v>0</v>
      </c>
      <c r="M1268" s="369">
        <f>M1260</f>
        <v>-18947.189999999995</v>
      </c>
      <c r="N1268" s="369">
        <f>N1260</f>
        <v>-4413.9924332259898</v>
      </c>
      <c r="O1268" s="369">
        <f>I1268+K1268+L1268+M1268+N1268</f>
        <v>529314.29229091771</v>
      </c>
    </row>
    <row r="1269" spans="1:15">
      <c r="A1269" s="361">
        <f>A1268+1</f>
        <v>8</v>
      </c>
      <c r="B1269" s="365">
        <v>376</v>
      </c>
      <c r="C1269" s="358" t="s">
        <v>1621</v>
      </c>
      <c r="D1269" s="923">
        <f>D1270-D1268</f>
        <v>422359643.54384553</v>
      </c>
      <c r="E1269" s="923">
        <f>E1270-E1268</f>
        <v>200513.20363783115</v>
      </c>
      <c r="F1269" s="923">
        <f>F1270-F1268</f>
        <v>-65314.48</v>
      </c>
      <c r="G1269" s="923">
        <f>SUM(D1269:F1269)</f>
        <v>422494842.26748335</v>
      </c>
      <c r="H1269" s="369"/>
      <c r="I1269" s="923">
        <f>I1270-I1268</f>
        <v>87971137.525275961</v>
      </c>
      <c r="J1269" s="1251"/>
      <c r="K1269" s="923">
        <f>K1270-K1268</f>
        <v>633640.92000000004</v>
      </c>
      <c r="L1269" s="923">
        <v>0</v>
      </c>
      <c r="M1269" s="923">
        <f>M1270-M1268</f>
        <v>-65314.48</v>
      </c>
      <c r="N1269" s="923">
        <f>N1270-N1268</f>
        <v>-16894.507566774009</v>
      </c>
      <c r="O1269" s="923">
        <f>I1269+K1269+L1269+M1269+N1269</f>
        <v>88522569.457709178</v>
      </c>
    </row>
    <row r="1270" spans="1:15">
      <c r="A1270" s="361">
        <f>A1269+1</f>
        <v>9</v>
      </c>
      <c r="B1270" s="365">
        <v>376</v>
      </c>
      <c r="C1270" s="358" t="s">
        <v>3078</v>
      </c>
      <c r="D1270" s="369">
        <f>G1224</f>
        <v>478447917.99000013</v>
      </c>
      <c r="E1270" s="369">
        <v>1381679.78</v>
      </c>
      <c r="F1270" s="369">
        <v>-84261.67</v>
      </c>
      <c r="G1270" s="369">
        <f>SUM(G1268:G1269)</f>
        <v>479745336.10000014</v>
      </c>
      <c r="H1270" s="369"/>
      <c r="I1270" s="369">
        <f>O1224</f>
        <v>88438808.920000106</v>
      </c>
      <c r="J1270" s="1251">
        <f>+J1224</f>
        <v>1.7999999999999999E-2</v>
      </c>
      <c r="K1270" s="369">
        <f>ROUND((D1270+G1270)/2*J1270/12,0)</f>
        <v>718645</v>
      </c>
      <c r="L1270" s="369">
        <f>SUM(L1268:L1269)</f>
        <v>0</v>
      </c>
      <c r="M1270" s="369">
        <f>F1270</f>
        <v>-84261.67</v>
      </c>
      <c r="N1270" s="369">
        <v>-21308.5</v>
      </c>
      <c r="O1270" s="369">
        <f>SUM(O1268:O1269)</f>
        <v>89051883.750000089</v>
      </c>
    </row>
    <row r="1271" spans="1:15">
      <c r="A1271" s="361"/>
      <c r="B1271" s="365"/>
      <c r="D1271" s="369"/>
      <c r="E1271" s="369"/>
      <c r="F1271" s="369"/>
      <c r="G1271" s="369"/>
      <c r="H1271" s="369"/>
      <c r="I1271" s="369"/>
      <c r="J1271" s="1251"/>
      <c r="K1271" s="369"/>
      <c r="L1271" s="369"/>
      <c r="M1271" s="369"/>
      <c r="N1271" s="369"/>
      <c r="O1271" s="369"/>
    </row>
    <row r="1272" spans="1:15">
      <c r="A1272" s="361">
        <f>A1270+1</f>
        <v>10</v>
      </c>
      <c r="B1272" s="365">
        <v>378.2</v>
      </c>
      <c r="C1272" s="358" t="s">
        <v>1776</v>
      </c>
      <c r="D1272" s="369">
        <f>D1261</f>
        <v>599780.62011021946</v>
      </c>
      <c r="E1272" s="369">
        <f>E1261</f>
        <v>0</v>
      </c>
      <c r="F1272" s="369">
        <f>F1261</f>
        <v>0</v>
      </c>
      <c r="G1272" s="369">
        <f>SUM(D1272:F1272)</f>
        <v>599780.62011021946</v>
      </c>
      <c r="H1272" s="369"/>
      <c r="I1272" s="369">
        <f>I1261</f>
        <v>-939854.10754116019</v>
      </c>
      <c r="J1272" s="1251"/>
      <c r="K1272" s="369">
        <f>K1261</f>
        <v>1654.39</v>
      </c>
      <c r="L1272" s="369">
        <v>0</v>
      </c>
      <c r="M1272" s="369">
        <f>M1261</f>
        <v>0</v>
      </c>
      <c r="N1272" s="369">
        <f>N1261</f>
        <v>0</v>
      </c>
      <c r="O1272" s="369">
        <f>I1272+K1272+L1272+M1272+N1272</f>
        <v>-938199.71754116018</v>
      </c>
    </row>
    <row r="1273" spans="1:15">
      <c r="A1273" s="361">
        <f>A1272+1</f>
        <v>11</v>
      </c>
      <c r="B1273" s="365">
        <v>378.2</v>
      </c>
      <c r="C1273" s="358" t="s">
        <v>1622</v>
      </c>
      <c r="D1273" s="923">
        <f>D1274-D1272</f>
        <v>27993990.949579637</v>
      </c>
      <c r="E1273" s="923">
        <f>E1274-E1272</f>
        <v>397062.85</v>
      </c>
      <c r="F1273" s="923">
        <f>F1274-F1272</f>
        <v>-70463.606654774921</v>
      </c>
      <c r="G1273" s="923">
        <f>SUM(D1273:F1273)</f>
        <v>28320590.192924865</v>
      </c>
      <c r="H1273" s="369"/>
      <c r="I1273" s="923">
        <f>I1274-I1272</f>
        <v>3293422.0575726423</v>
      </c>
      <c r="J1273" s="1251"/>
      <c r="K1273" s="923">
        <f>K1274-K1272</f>
        <v>77667.61</v>
      </c>
      <c r="L1273" s="923">
        <v>0</v>
      </c>
      <c r="M1273" s="923">
        <f>M1274-M1272</f>
        <v>-70463.606654774921</v>
      </c>
      <c r="N1273" s="923">
        <f>N1274-N1272</f>
        <v>-89843.37</v>
      </c>
      <c r="O1273" s="923">
        <f>I1273+K1273+L1273+M1273+N1273</f>
        <v>3210782.6909178672</v>
      </c>
    </row>
    <row r="1274" spans="1:15">
      <c r="A1274" s="361">
        <f>A1273+1</f>
        <v>12</v>
      </c>
      <c r="B1274" s="365">
        <v>378.2</v>
      </c>
      <c r="C1274" s="358" t="s">
        <v>3079</v>
      </c>
      <c r="D1274" s="369">
        <f>G1228</f>
        <v>28593771.569689859</v>
      </c>
      <c r="E1274" s="369">
        <v>397062.85</v>
      </c>
      <c r="F1274" s="369">
        <v>-70463.606654774921</v>
      </c>
      <c r="G1274" s="369">
        <f>SUM(G1272:G1273)</f>
        <v>28920370.813035086</v>
      </c>
      <c r="H1274" s="369"/>
      <c r="I1274" s="369">
        <f>O1228</f>
        <v>2353567.9500314821</v>
      </c>
      <c r="J1274" s="1251">
        <f>+J1228</f>
        <v>3.3099999999999997E-2</v>
      </c>
      <c r="K1274" s="369">
        <f>ROUND((D1274+G1274)/2*J1274/12,0)</f>
        <v>79322</v>
      </c>
      <c r="L1274" s="369">
        <f>SUM(L1272:L1273)</f>
        <v>0</v>
      </c>
      <c r="M1274" s="369">
        <f>F1274</f>
        <v>-70463.606654774921</v>
      </c>
      <c r="N1274" s="369">
        <v>-89843.37</v>
      </c>
      <c r="O1274" s="369">
        <f>SUM(O1272:O1273)</f>
        <v>2272582.9733767072</v>
      </c>
    </row>
    <row r="1275" spans="1:15">
      <c r="A1275" s="361"/>
      <c r="B1275" s="365"/>
      <c r="D1275" s="369"/>
      <c r="E1275" s="369"/>
      <c r="F1275" s="369"/>
      <c r="G1275" s="369"/>
      <c r="H1275" s="369"/>
      <c r="I1275" s="369"/>
      <c r="J1275" s="1251"/>
      <c r="K1275" s="369"/>
      <c r="L1275" s="369"/>
      <c r="M1275" s="369"/>
      <c r="N1275" s="369"/>
      <c r="O1275" s="369"/>
    </row>
    <row r="1276" spans="1:15">
      <c r="A1276" s="361">
        <f>A1274+1</f>
        <v>13</v>
      </c>
      <c r="B1276" s="365">
        <v>380</v>
      </c>
      <c r="C1276" s="358" t="s">
        <v>1777</v>
      </c>
      <c r="D1276" s="369">
        <f>D1262</f>
        <v>23600002.233657222</v>
      </c>
      <c r="E1276" s="369">
        <f>E1262</f>
        <v>959656.86447214603</v>
      </c>
      <c r="F1276" s="369">
        <f>F1262</f>
        <v>-225612.48612410427</v>
      </c>
      <c r="G1276" s="369">
        <f>SUM(D1276:F1276)</f>
        <v>24334046.612005264</v>
      </c>
      <c r="H1276" s="369"/>
      <c r="I1276" s="369">
        <f>I1262</f>
        <v>-12005280.001673168</v>
      </c>
      <c r="J1276" s="1251"/>
      <c r="K1276" s="369">
        <f>K1262</f>
        <v>103457.66</v>
      </c>
      <c r="L1276" s="369">
        <v>0</v>
      </c>
      <c r="M1276" s="369">
        <f>M1262</f>
        <v>-225612.48612410427</v>
      </c>
      <c r="N1276" s="369">
        <f>N1262</f>
        <v>-105564.631621708</v>
      </c>
      <c r="O1276" s="369">
        <f>I1276+K1276+L1276+M1276+N1276</f>
        <v>-12232999.459418979</v>
      </c>
    </row>
    <row r="1277" spans="1:15">
      <c r="A1277" s="361">
        <f>A1276+1</f>
        <v>14</v>
      </c>
      <c r="B1277" s="365">
        <v>380</v>
      </c>
      <c r="C1277" s="358" t="s">
        <v>1623</v>
      </c>
      <c r="D1277" s="923">
        <f>D1278-D1276</f>
        <v>205525066.28634277</v>
      </c>
      <c r="E1277" s="923">
        <f>E1278-E1276</f>
        <v>499789.25552785408</v>
      </c>
      <c r="F1277" s="923">
        <f>F1278-F1276</f>
        <v>-49567.623875895719</v>
      </c>
      <c r="G1277" s="923">
        <f>SUM(D1277:F1277)</f>
        <v>205975287.91799474</v>
      </c>
      <c r="H1277" s="369"/>
      <c r="I1277" s="923">
        <f>I1278-I1276</f>
        <v>68892377.721673176</v>
      </c>
      <c r="J1277" s="1251"/>
      <c r="K1277" s="923">
        <f>K1278-K1276</f>
        <v>888155.34</v>
      </c>
      <c r="L1277" s="923">
        <v>0</v>
      </c>
      <c r="M1277" s="923">
        <f>M1278-M1276</f>
        <v>-49567.623875895719</v>
      </c>
      <c r="N1277" s="923">
        <f>N1278-N1276</f>
        <v>-43309.698378292014</v>
      </c>
      <c r="O1277" s="923">
        <f>I1277+K1277+L1277+M1277+N1277</f>
        <v>69687655.739418983</v>
      </c>
    </row>
    <row r="1278" spans="1:15">
      <c r="A1278" s="361">
        <f>A1277+1</f>
        <v>15</v>
      </c>
      <c r="B1278" s="365">
        <v>380</v>
      </c>
      <c r="C1278" s="358" t="s">
        <v>3080</v>
      </c>
      <c r="D1278" s="369">
        <f>G1232</f>
        <v>229125068.51999998</v>
      </c>
      <c r="E1278" s="369">
        <v>1459446.12</v>
      </c>
      <c r="F1278" s="369">
        <v>-275180.11</v>
      </c>
      <c r="G1278" s="369">
        <f>SUM(G1276:G1277)</f>
        <v>230309334.53</v>
      </c>
      <c r="H1278" s="369"/>
      <c r="I1278" s="369">
        <f>O1232</f>
        <v>56887097.720000006</v>
      </c>
      <c r="J1278" s="1251">
        <f>+J1232</f>
        <v>5.1799999999999999E-2</v>
      </c>
      <c r="K1278" s="369">
        <f>ROUND((D1278+G1278)/2*J1278/12,0)</f>
        <v>991613</v>
      </c>
      <c r="L1278" s="369">
        <f>SUM(L1276:L1277)</f>
        <v>0</v>
      </c>
      <c r="M1278" s="369">
        <f>F1278</f>
        <v>-275180.11</v>
      </c>
      <c r="N1278" s="369">
        <v>-148874.33000000002</v>
      </c>
      <c r="O1278" s="369">
        <f>SUM(O1276:O1277)</f>
        <v>57454656.280000001</v>
      </c>
    </row>
    <row r="1279" spans="1:15">
      <c r="A1279" s="361"/>
      <c r="B1279" s="365"/>
      <c r="D1279" s="369"/>
      <c r="E1279" s="369"/>
      <c r="F1279" s="369"/>
      <c r="G1279" s="369"/>
      <c r="H1279" s="369"/>
      <c r="I1279" s="369"/>
      <c r="J1279" s="1251"/>
      <c r="K1279" s="369"/>
      <c r="L1279" s="369"/>
      <c r="M1279" s="369"/>
      <c r="N1279" s="369"/>
      <c r="O1279" s="369"/>
    </row>
    <row r="1280" spans="1:15">
      <c r="A1280" s="361">
        <f>A1278+1</f>
        <v>16</v>
      </c>
      <c r="B1280" s="365">
        <v>382</v>
      </c>
      <c r="C1280" s="358" t="s">
        <v>1778</v>
      </c>
      <c r="D1280" s="369">
        <f>D1263</f>
        <v>234782.56980964576</v>
      </c>
      <c r="E1280" s="369">
        <f>E1263</f>
        <v>1893.3676735532254</v>
      </c>
      <c r="F1280" s="369">
        <f>F1263</f>
        <v>-591.2923913925863</v>
      </c>
      <c r="G1280" s="369">
        <f>SUM(D1280:F1280)</f>
        <v>236084.64509180642</v>
      </c>
      <c r="H1280" s="369"/>
      <c r="I1280" s="369">
        <f>I1263</f>
        <v>-74456.100827864793</v>
      </c>
      <c r="J1280" s="1251"/>
      <c r="K1280" s="369">
        <f>K1263</f>
        <v>447.32</v>
      </c>
      <c r="L1280" s="369">
        <v>0</v>
      </c>
      <c r="M1280" s="369">
        <f>M1263</f>
        <v>-591.2923913925863</v>
      </c>
      <c r="N1280" s="369">
        <f>N1263</f>
        <v>0</v>
      </c>
      <c r="O1280" s="369">
        <f>I1280+K1280+L1280+M1280+N1280</f>
        <v>-74600.073219257378</v>
      </c>
    </row>
    <row r="1281" spans="1:15">
      <c r="A1281" s="361">
        <f>A1280+1</f>
        <v>17</v>
      </c>
      <c r="B1281" s="365">
        <v>382</v>
      </c>
      <c r="C1281" s="358" t="s">
        <v>1624</v>
      </c>
      <c r="D1281" s="923">
        <f>D1282-D1280</f>
        <v>10706962.447551958</v>
      </c>
      <c r="E1281" s="923">
        <f>E1282-E1280</f>
        <v>5668.3923264467749</v>
      </c>
      <c r="F1281" s="923">
        <f>F1282-F1280</f>
        <v>-1770.219833639532</v>
      </c>
      <c r="G1281" s="923">
        <f>SUM(D1281:F1281)</f>
        <v>10710860.620044764</v>
      </c>
      <c r="H1281" s="369"/>
      <c r="I1281" s="923">
        <f>I1282-I1280</f>
        <v>6074214.7850232003</v>
      </c>
      <c r="J1281" s="1251"/>
      <c r="K1281" s="923">
        <f>K1282-K1280</f>
        <v>20346.68</v>
      </c>
      <c r="L1281" s="923">
        <v>0</v>
      </c>
      <c r="M1281" s="923">
        <f>M1282-M1280</f>
        <v>-1770.219833639532</v>
      </c>
      <c r="N1281" s="923">
        <f>N1282-N1280</f>
        <v>0</v>
      </c>
      <c r="O1281" s="923">
        <f>I1281+K1281+L1281+M1281+N1281</f>
        <v>6092791.2451895606</v>
      </c>
    </row>
    <row r="1282" spans="1:15">
      <c r="A1282" s="361">
        <f>A1281+1</f>
        <v>18</v>
      </c>
      <c r="B1282" s="365">
        <v>382</v>
      </c>
      <c r="C1282" s="358" t="s">
        <v>3081</v>
      </c>
      <c r="D1282" s="369">
        <f>G1236</f>
        <v>10941745.017361604</v>
      </c>
      <c r="E1282" s="369">
        <v>7561.76</v>
      </c>
      <c r="F1282" s="369">
        <v>-2361.5122250321183</v>
      </c>
      <c r="G1282" s="369">
        <f>SUM(G1280:G1281)</f>
        <v>10946945.26513657</v>
      </c>
      <c r="H1282" s="369"/>
      <c r="I1282" s="369">
        <f>O1236</f>
        <v>5999758.684195336</v>
      </c>
      <c r="J1282" s="1251">
        <f>+J1236</f>
        <v>2.2800000000000001E-2</v>
      </c>
      <c r="K1282" s="369">
        <f>ROUND((D1282+G1282)/2*J1282/12,0)</f>
        <v>20794</v>
      </c>
      <c r="L1282" s="369">
        <f>SUM(L1280:L1281)</f>
        <v>0</v>
      </c>
      <c r="M1282" s="369">
        <f>F1282</f>
        <v>-2361.5122250321183</v>
      </c>
      <c r="N1282" s="369">
        <v>0</v>
      </c>
      <c r="O1282" s="369">
        <f>SUM(O1280:O1281)</f>
        <v>6018191.1719703032</v>
      </c>
    </row>
    <row r="1283" spans="1:15">
      <c r="A1283" s="361"/>
      <c r="B1283" s="365"/>
      <c r="D1283" s="369"/>
      <c r="E1283" s="369"/>
      <c r="F1283" s="369"/>
      <c r="G1283" s="369"/>
      <c r="H1283" s="369"/>
      <c r="I1283" s="369"/>
      <c r="J1283" s="1251"/>
      <c r="K1283" s="369"/>
      <c r="L1283" s="369"/>
      <c r="M1283" s="369"/>
      <c r="N1283" s="369"/>
      <c r="O1283" s="369"/>
    </row>
    <row r="1284" spans="1:15">
      <c r="A1284" s="361">
        <f>A1282+1</f>
        <v>19</v>
      </c>
      <c r="B1284" s="365">
        <v>383</v>
      </c>
      <c r="C1284" s="358" t="s">
        <v>1779</v>
      </c>
      <c r="D1284" s="369">
        <f>D1264</f>
        <v>163629.10185611362</v>
      </c>
      <c r="E1284" s="369">
        <f>E1264</f>
        <v>3679.4302999298588</v>
      </c>
      <c r="F1284" s="369">
        <f>F1264</f>
        <v>-53.190138639978073</v>
      </c>
      <c r="G1284" s="369">
        <f>SUM(D1284:F1284)</f>
        <v>167255.34201740351</v>
      </c>
      <c r="H1284" s="369"/>
      <c r="I1284" s="369">
        <f>I1264</f>
        <v>-8123.2385534012028</v>
      </c>
      <c r="J1284" s="1251"/>
      <c r="K1284" s="369">
        <f>K1264</f>
        <v>306.07</v>
      </c>
      <c r="L1284" s="369">
        <v>0</v>
      </c>
      <c r="M1284" s="369">
        <f>M1264</f>
        <v>-53.190138639978073</v>
      </c>
      <c r="N1284" s="369">
        <f>N1264</f>
        <v>0</v>
      </c>
      <c r="O1284" s="369">
        <f>I1284+K1284+L1284+M1284+N1284</f>
        <v>-7870.3586920411808</v>
      </c>
    </row>
    <row r="1285" spans="1:15">
      <c r="A1285" s="361">
        <f>A1284+1</f>
        <v>20</v>
      </c>
      <c r="B1285" s="365">
        <v>383</v>
      </c>
      <c r="C1285" s="358" t="s">
        <v>1625</v>
      </c>
      <c r="D1285" s="923">
        <f>D1286-D1284</f>
        <v>7682498.1126846671</v>
      </c>
      <c r="E1285" s="923">
        <f>E1286-E1284</f>
        <v>21422.22970007014</v>
      </c>
      <c r="F1285" s="923">
        <f>F1286-F1284</f>
        <v>-309.68153304422719</v>
      </c>
      <c r="G1285" s="923">
        <f>SUM(D1285:F1285)</f>
        <v>7703610.6608516928</v>
      </c>
      <c r="H1285" s="369"/>
      <c r="I1285" s="923">
        <f>I1286-I1284</f>
        <v>2667293.1345287184</v>
      </c>
      <c r="J1285" s="1251"/>
      <c r="K1285" s="923">
        <f>K1286-K1284</f>
        <v>14231.93</v>
      </c>
      <c r="L1285" s="923">
        <v>0</v>
      </c>
      <c r="M1285" s="923">
        <f>M1286-M1284</f>
        <v>-309.68153304422719</v>
      </c>
      <c r="N1285" s="923">
        <f>N1286-N1284</f>
        <v>0</v>
      </c>
      <c r="O1285" s="923">
        <f>I1285+K1285+L1285+M1285+N1285</f>
        <v>2681215.3829956744</v>
      </c>
    </row>
    <row r="1286" spans="1:15">
      <c r="A1286" s="361">
        <f>A1285+1</f>
        <v>21</v>
      </c>
      <c r="B1286" s="365">
        <v>383</v>
      </c>
      <c r="C1286" s="358" t="s">
        <v>3082</v>
      </c>
      <c r="D1286" s="369">
        <f>G1240</f>
        <v>7846127.2145407805</v>
      </c>
      <c r="E1286" s="369">
        <v>25101.66</v>
      </c>
      <c r="F1286" s="369">
        <v>-362.87167168420524</v>
      </c>
      <c r="G1286" s="369">
        <f>SUM(G1284:G1285)</f>
        <v>7870866.0028690966</v>
      </c>
      <c r="H1286" s="369"/>
      <c r="I1286" s="369">
        <f>O1240</f>
        <v>2659169.8959753173</v>
      </c>
      <c r="J1286" s="1251">
        <f>+J1240</f>
        <v>2.2200000000000001E-2</v>
      </c>
      <c r="K1286" s="369">
        <f>ROUND((D1286+G1286)/2*J1286/12,0)</f>
        <v>14538</v>
      </c>
      <c r="L1286" s="369">
        <f>SUM(L1284:L1285)</f>
        <v>0</v>
      </c>
      <c r="M1286" s="369">
        <f>F1286</f>
        <v>-362.87167168420524</v>
      </c>
      <c r="N1286" s="369">
        <v>0</v>
      </c>
      <c r="O1286" s="369">
        <f>SUM(O1284:O1285)</f>
        <v>2673345.0243036333</v>
      </c>
    </row>
    <row r="1289" spans="1:15" s="291" customFormat="1">
      <c r="A1289" s="1308" t="str">
        <f>$A$1</f>
        <v>COLUMBIA GAS OF KENTUCKY, INC.</v>
      </c>
      <c r="B1289" s="1308"/>
      <c r="C1289" s="1308"/>
      <c r="D1289" s="1308"/>
      <c r="E1289" s="1308"/>
      <c r="F1289" s="1308"/>
      <c r="G1289" s="1308"/>
      <c r="H1289" s="1308"/>
      <c r="I1289" s="1308"/>
      <c r="J1289" s="1308"/>
      <c r="K1289" s="1308"/>
      <c r="L1289" s="1308"/>
      <c r="M1289" s="1308"/>
      <c r="N1289" s="1308"/>
      <c r="O1289" s="1308"/>
    </row>
    <row r="1290" spans="1:15" s="291" customFormat="1">
      <c r="A1290" s="1308" t="str">
        <f>$A$2</f>
        <v>CASE NO. 2024 - 00092</v>
      </c>
      <c r="B1290" s="1308"/>
      <c r="C1290" s="1308"/>
      <c r="D1290" s="1308"/>
      <c r="E1290" s="1308"/>
      <c r="F1290" s="1308"/>
      <c r="G1290" s="1308"/>
      <c r="H1290" s="1308"/>
      <c r="I1290" s="1308"/>
      <c r="J1290" s="1308"/>
      <c r="K1290" s="1308"/>
      <c r="L1290" s="1308"/>
      <c r="M1290" s="1308"/>
      <c r="N1290" s="1308"/>
      <c r="O1290" s="1308"/>
    </row>
    <row r="1291" spans="1:15" s="291" customFormat="1">
      <c r="A1291" s="1308" t="str">
        <f>$A$3</f>
        <v>DETAIL OF ACTUAL &amp;  FORECASTED SMRP PLANT, ACCUMULATED RESERVE &amp; DEPRECIATION EXPENSE</v>
      </c>
      <c r="B1291" s="1308"/>
      <c r="C1291" s="1308"/>
      <c r="D1291" s="1308"/>
      <c r="E1291" s="1308"/>
      <c r="F1291" s="1308"/>
      <c r="G1291" s="1308"/>
      <c r="H1291" s="1308"/>
      <c r="I1291" s="1308"/>
      <c r="J1291" s="1308"/>
      <c r="K1291" s="1308"/>
      <c r="L1291" s="1308"/>
      <c r="M1291" s="1308"/>
      <c r="N1291" s="1308"/>
      <c r="O1291" s="1308"/>
    </row>
    <row r="1292" spans="1:15" s="291" customFormat="1">
      <c r="A1292" s="1308" t="str">
        <f>$A$4</f>
        <v>FROM JANUARY 01, 2023 THROUGH DECEMBER 31, 2025</v>
      </c>
      <c r="B1292" s="1308"/>
      <c r="C1292" s="1308"/>
      <c r="D1292" s="1308"/>
      <c r="E1292" s="1308"/>
      <c r="F1292" s="1308"/>
      <c r="G1292" s="1308"/>
      <c r="H1292" s="1308"/>
      <c r="I1292" s="1308"/>
      <c r="J1292" s="1308"/>
      <c r="K1292" s="1308"/>
      <c r="L1292" s="1308"/>
      <c r="M1292" s="1308"/>
      <c r="N1292" s="1308"/>
      <c r="O1292" s="1308"/>
    </row>
    <row r="1293" spans="1:15" s="291" customFormat="1">
      <c r="B1293" s="293"/>
    </row>
    <row r="1294" spans="1:15" s="291" customFormat="1">
      <c r="A1294" s="297" t="str">
        <f>'General Headers Index'!$B$34</f>
        <v xml:space="preserve">DATA: _X_ BASE PERIOD _X_ FORECASTED PERIOD     </v>
      </c>
      <c r="B1294" s="293"/>
      <c r="O1294" s="312" t="s">
        <v>2461</v>
      </c>
    </row>
    <row r="1295" spans="1:15" s="291" customFormat="1">
      <c r="A1295" s="297" t="str">
        <f>'General Headers Index'!$B$37</f>
        <v>TYPE OF FILING:___X___ORIGINAL______UPDATED</v>
      </c>
      <c r="B1295" s="293"/>
      <c r="O1295" s="312" t="s">
        <v>2251</v>
      </c>
    </row>
    <row r="1296" spans="1:15" s="291" customFormat="1">
      <c r="A1296" s="297" t="s">
        <v>2150</v>
      </c>
      <c r="B1296" s="293"/>
      <c r="O1296" s="312" t="str">
        <f>"WITNESS: "&amp;'General Headers Index'!$B$42</f>
        <v>WITNESS: GORE</v>
      </c>
    </row>
    <row r="1297" spans="1:15">
      <c r="A1297" s="918"/>
      <c r="B1297" s="918"/>
      <c r="C1297" s="918"/>
      <c r="D1297" s="918"/>
      <c r="E1297" s="918"/>
      <c r="F1297" s="918"/>
      <c r="G1297" s="918"/>
      <c r="H1297" s="918"/>
      <c r="I1297" s="918"/>
      <c r="J1297" s="918"/>
      <c r="K1297" s="918"/>
      <c r="L1297" s="918"/>
      <c r="M1297" s="918"/>
      <c r="N1297" s="918"/>
      <c r="O1297" s="918"/>
    </row>
    <row r="1298" spans="1:15">
      <c r="B1298" s="359"/>
      <c r="D1298" s="1312" t="s">
        <v>1768</v>
      </c>
      <c r="E1298" s="1312"/>
      <c r="F1298" s="1312"/>
      <c r="G1298" s="1312"/>
      <c r="I1298" s="1312" t="s">
        <v>1769</v>
      </c>
      <c r="J1298" s="1312"/>
      <c r="K1298" s="1312"/>
      <c r="L1298" s="1312"/>
      <c r="M1298" s="1312"/>
      <c r="N1298" s="1312"/>
      <c r="O1298" s="1312"/>
    </row>
    <row r="1299" spans="1:15">
      <c r="B1299" s="359"/>
      <c r="D1299" s="360">
        <f>G1253+1</f>
        <v>45778</v>
      </c>
      <c r="G1299" s="360">
        <f>D1299+30</f>
        <v>45808</v>
      </c>
      <c r="I1299" s="360">
        <f>D1299</f>
        <v>45778</v>
      </c>
      <c r="O1299" s="360">
        <f>G1299</f>
        <v>45808</v>
      </c>
    </row>
    <row r="1300" spans="1:15">
      <c r="B1300" s="359"/>
      <c r="D1300" s="361" t="s">
        <v>1757</v>
      </c>
      <c r="G1300" s="361" t="s">
        <v>1757</v>
      </c>
      <c r="I1300" s="361" t="s">
        <v>1758</v>
      </c>
      <c r="J1300" s="361" t="s">
        <v>488</v>
      </c>
      <c r="L1300" s="361" t="s">
        <v>1758</v>
      </c>
      <c r="O1300" s="361" t="s">
        <v>1758</v>
      </c>
    </row>
    <row r="1301" spans="1:15">
      <c r="A1301" s="361" t="s">
        <v>1770</v>
      </c>
      <c r="B1301" s="361" t="s">
        <v>368</v>
      </c>
      <c r="C1301" s="361"/>
      <c r="D1301" s="361" t="s">
        <v>437</v>
      </c>
      <c r="G1301" s="361" t="s">
        <v>439</v>
      </c>
      <c r="I1301" s="361" t="s">
        <v>437</v>
      </c>
      <c r="J1301" s="361" t="s">
        <v>1771</v>
      </c>
      <c r="K1301" s="361" t="s">
        <v>1772</v>
      </c>
      <c r="L1301" s="361" t="s">
        <v>1759</v>
      </c>
      <c r="N1301" s="361" t="s">
        <v>1760</v>
      </c>
      <c r="O1301" s="361" t="s">
        <v>439</v>
      </c>
    </row>
    <row r="1302" spans="1:15">
      <c r="A1302" s="364" t="s">
        <v>316</v>
      </c>
      <c r="B1302" s="364" t="s">
        <v>316</v>
      </c>
      <c r="C1302" s="364" t="s">
        <v>451</v>
      </c>
      <c r="D1302" s="364" t="s">
        <v>441</v>
      </c>
      <c r="E1302" s="364" t="s">
        <v>442</v>
      </c>
      <c r="F1302" s="364" t="s">
        <v>443</v>
      </c>
      <c r="G1302" s="364" t="s">
        <v>441</v>
      </c>
      <c r="I1302" s="364" t="s">
        <v>441</v>
      </c>
      <c r="J1302" s="364" t="s">
        <v>1773</v>
      </c>
      <c r="K1302" s="364" t="s">
        <v>1771</v>
      </c>
      <c r="L1302" s="364" t="s">
        <v>355</v>
      </c>
      <c r="M1302" s="364" t="s">
        <v>443</v>
      </c>
      <c r="N1302" s="364" t="s">
        <v>1763</v>
      </c>
      <c r="O1302" s="364" t="s">
        <v>441</v>
      </c>
    </row>
    <row r="1303" spans="1:15">
      <c r="B1303" s="359"/>
      <c r="D1303" s="361" t="s">
        <v>532</v>
      </c>
      <c r="E1303" s="361" t="s">
        <v>541</v>
      </c>
      <c r="F1303" s="361" t="s">
        <v>542</v>
      </c>
      <c r="G1303" s="361" t="s">
        <v>1764</v>
      </c>
      <c r="I1303" s="334" t="str">
        <f>"(5)"</f>
        <v>(5)</v>
      </c>
      <c r="J1303" s="334" t="str">
        <f>"(6)"</f>
        <v>(6)</v>
      </c>
      <c r="K1303" s="334" t="str">
        <f>"(7)=((1+4)/2*6/12))"</f>
        <v>(7)=((1+4)/2*6/12))</v>
      </c>
      <c r="L1303" s="334" t="str">
        <f>"(8)"</f>
        <v>(8)</v>
      </c>
      <c r="M1303" s="334" t="str">
        <f>"(9)"</f>
        <v>(9)</v>
      </c>
      <c r="N1303" s="334" t="str">
        <f>"(10)"</f>
        <v>(10)</v>
      </c>
      <c r="O1303" s="334" t="str">
        <f>"(11=5+7+8+9+10)"</f>
        <v>(11=5+7+8+9+10)</v>
      </c>
    </row>
    <row r="1304" spans="1:15">
      <c r="B1304" s="359"/>
      <c r="D1304" s="361" t="s">
        <v>320</v>
      </c>
      <c r="E1304" s="361" t="s">
        <v>320</v>
      </c>
      <c r="F1304" s="361" t="s">
        <v>320</v>
      </c>
      <c r="G1304" s="361" t="s">
        <v>320</v>
      </c>
      <c r="I1304" s="334" t="s">
        <v>320</v>
      </c>
      <c r="J1304" s="1250" t="s">
        <v>529</v>
      </c>
      <c r="K1304" s="334" t="s">
        <v>320</v>
      </c>
      <c r="L1304" s="334" t="s">
        <v>320</v>
      </c>
      <c r="M1304" s="334" t="s">
        <v>320</v>
      </c>
      <c r="N1304" s="334" t="s">
        <v>320</v>
      </c>
      <c r="O1304" s="334" t="s">
        <v>320</v>
      </c>
    </row>
    <row r="1305" spans="1:15">
      <c r="B1305" s="359"/>
      <c r="D1305" s="361"/>
      <c r="E1305" s="361"/>
      <c r="F1305" s="361"/>
      <c r="G1305" s="361"/>
      <c r="I1305" s="334"/>
      <c r="J1305" s="334"/>
      <c r="K1305" s="334"/>
      <c r="L1305" s="334"/>
      <c r="M1305" s="334"/>
      <c r="N1305" s="334"/>
      <c r="O1305" s="334"/>
    </row>
    <row r="1306" spans="1:15">
      <c r="A1306" s="361">
        <v>1</v>
      </c>
      <c r="B1306" s="365">
        <v>376</v>
      </c>
      <c r="C1306" s="358" t="s">
        <v>1775</v>
      </c>
      <c r="D1306" s="369">
        <f>G1260</f>
        <v>57250493.832516775</v>
      </c>
      <c r="E1306" s="369">
        <v>1891800.5021199924</v>
      </c>
      <c r="F1306" s="369">
        <v>-22172.28</v>
      </c>
      <c r="G1306" s="369">
        <f>SUM(D1306:F1306)</f>
        <v>59120122.054636769</v>
      </c>
      <c r="H1306" s="369"/>
      <c r="I1306" s="369">
        <f>O1260</f>
        <v>529314.29229091771</v>
      </c>
      <c r="J1306" s="1251">
        <f>+J1260</f>
        <v>1.7999999999999999E-2</v>
      </c>
      <c r="K1306" s="380">
        <f>ROUND((G1306+D1306)/2*J1306/12,2)</f>
        <v>87277.96</v>
      </c>
      <c r="L1306" s="369">
        <v>0</v>
      </c>
      <c r="M1306" s="369">
        <f>F1306</f>
        <v>-22172.28</v>
      </c>
      <c r="N1306" s="369">
        <v>-364.35350160122698</v>
      </c>
      <c r="O1306" s="369">
        <f>I1306+K1306+L1306+M1306+N1306</f>
        <v>594055.61878931639</v>
      </c>
    </row>
    <row r="1307" spans="1:15">
      <c r="A1307" s="361">
        <f>A1306+1</f>
        <v>2</v>
      </c>
      <c r="B1307" s="365">
        <v>378.2</v>
      </c>
      <c r="C1307" s="358" t="s">
        <v>1776</v>
      </c>
      <c r="D1307" s="369">
        <f>G1261</f>
        <v>599780.62011021946</v>
      </c>
      <c r="E1307" s="369">
        <v>0</v>
      </c>
      <c r="F1307" s="369">
        <v>0</v>
      </c>
      <c r="G1307" s="369">
        <f>SUM(D1307:F1307)</f>
        <v>599780.62011021946</v>
      </c>
      <c r="H1307" s="369"/>
      <c r="I1307" s="369">
        <f>O1261</f>
        <v>-938199.71754116018</v>
      </c>
      <c r="J1307" s="1251">
        <f>+J1261</f>
        <v>3.3099999999999997E-2</v>
      </c>
      <c r="K1307" s="380">
        <f>ROUND((G1307+D1307)/2*J1307/12,2)</f>
        <v>1654.39</v>
      </c>
      <c r="L1307" s="369">
        <v>0</v>
      </c>
      <c r="M1307" s="369">
        <f>F1307</f>
        <v>0</v>
      </c>
      <c r="N1307" s="369">
        <v>0</v>
      </c>
      <c r="O1307" s="369">
        <f>I1307+K1307+L1307+M1307+N1307</f>
        <v>-936545.32754116016</v>
      </c>
    </row>
    <row r="1308" spans="1:15">
      <c r="A1308" s="361">
        <f>A1307+1</f>
        <v>3</v>
      </c>
      <c r="B1308" s="365">
        <v>380</v>
      </c>
      <c r="C1308" s="358" t="s">
        <v>1777</v>
      </c>
      <c r="D1308" s="369">
        <f>G1262</f>
        <v>24334046.612005264</v>
      </c>
      <c r="E1308" s="369">
        <v>994966.62082679931</v>
      </c>
      <c r="F1308" s="369">
        <v>-228698.02579517831</v>
      </c>
      <c r="G1308" s="369">
        <f>SUM(D1308:F1308)</f>
        <v>25100315.207036886</v>
      </c>
      <c r="H1308" s="369"/>
      <c r="I1308" s="369">
        <f>O1262</f>
        <v>-12232999.459418979</v>
      </c>
      <c r="J1308" s="1251">
        <f>+J1262</f>
        <v>5.1799999999999999E-2</v>
      </c>
      <c r="K1308" s="380">
        <f>ROUND((G1308+D1308)/2*J1308/12,2)</f>
        <v>106695.83</v>
      </c>
      <c r="L1308" s="369">
        <v>0</v>
      </c>
      <c r="M1308" s="369">
        <f>F1308</f>
        <v>-228698.02579517831</v>
      </c>
      <c r="N1308" s="369">
        <v>-109671.46018123</v>
      </c>
      <c r="O1308" s="369">
        <f>I1308+K1308+L1308+M1308+N1308</f>
        <v>-12464673.115395388</v>
      </c>
    </row>
    <row r="1309" spans="1:15">
      <c r="A1309" s="361">
        <f>A1308+1</f>
        <v>4</v>
      </c>
      <c r="B1309" s="365">
        <v>382</v>
      </c>
      <c r="C1309" s="358" t="s">
        <v>1778</v>
      </c>
      <c r="D1309" s="369">
        <f>G1263</f>
        <v>236084.64509180642</v>
      </c>
      <c r="E1309" s="369">
        <v>1860.5643708223772</v>
      </c>
      <c r="F1309" s="369">
        <v>-531.02287809195411</v>
      </c>
      <c r="G1309" s="369">
        <f>SUM(D1309:F1309)</f>
        <v>237414.18658453683</v>
      </c>
      <c r="H1309" s="369"/>
      <c r="I1309" s="369">
        <f>O1263</f>
        <v>-74600.073219257378</v>
      </c>
      <c r="J1309" s="1251">
        <f>+J1263</f>
        <v>2.2800000000000001E-2</v>
      </c>
      <c r="K1309" s="380">
        <f>ROUND((G1309+D1309)/2*J1309/12,2)</f>
        <v>449.82</v>
      </c>
      <c r="L1309" s="369">
        <v>0</v>
      </c>
      <c r="M1309" s="369">
        <f>F1309</f>
        <v>-531.02287809195411</v>
      </c>
      <c r="N1309" s="369">
        <v>0</v>
      </c>
      <c r="O1309" s="369">
        <f>I1309+K1309+L1309+M1309+N1309</f>
        <v>-74681.276097349328</v>
      </c>
    </row>
    <row r="1310" spans="1:15">
      <c r="A1310" s="361">
        <f>A1309+1</f>
        <v>5</v>
      </c>
      <c r="B1310" s="365">
        <v>383</v>
      </c>
      <c r="C1310" s="358" t="s">
        <v>1779</v>
      </c>
      <c r="D1310" s="923">
        <f>G1264</f>
        <v>167255.34201740351</v>
      </c>
      <c r="E1310" s="923">
        <v>2096.5901950840844</v>
      </c>
      <c r="F1310" s="923">
        <v>-89.522593362440972</v>
      </c>
      <c r="G1310" s="923">
        <f>SUM(D1310:F1310)</f>
        <v>169262.40961912516</v>
      </c>
      <c r="H1310" s="369"/>
      <c r="I1310" s="923">
        <f>O1264</f>
        <v>-7870.3586920411808</v>
      </c>
      <c r="J1310" s="1251">
        <f>+J1264</f>
        <v>2.2200000000000001E-2</v>
      </c>
      <c r="K1310" s="925">
        <f>ROUND((G1310+D1310)/2*J1310/12,2)</f>
        <v>311.27999999999997</v>
      </c>
      <c r="L1310" s="923">
        <v>0</v>
      </c>
      <c r="M1310" s="923">
        <f>F1310</f>
        <v>-89.522593362440972</v>
      </c>
      <c r="N1310" s="923">
        <v>0</v>
      </c>
      <c r="O1310" s="923">
        <f>I1310+K1310+L1310+M1310+N1310</f>
        <v>-7648.6012854036217</v>
      </c>
    </row>
    <row r="1311" spans="1:15">
      <c r="A1311" s="361">
        <f>A1310+1</f>
        <v>6</v>
      </c>
      <c r="C1311" s="358" t="s">
        <v>3077</v>
      </c>
      <c r="D1311" s="369">
        <f>SUM(D1306:D1310)</f>
        <v>82587661.051741466</v>
      </c>
      <c r="E1311" s="369">
        <f>SUM(E1306:E1310)</f>
        <v>2890724.277512698</v>
      </c>
      <c r="F1311" s="369">
        <f>SUM(F1306:F1310)</f>
        <v>-251490.8512666327</v>
      </c>
      <c r="G1311" s="369">
        <f>SUM(G1306:G1310)</f>
        <v>85226894.477987528</v>
      </c>
      <c r="H1311" s="369"/>
      <c r="I1311" s="369">
        <f>SUM(I1306:I1310)</f>
        <v>-12724355.316580519</v>
      </c>
      <c r="J1311" s="369"/>
      <c r="K1311" s="369">
        <f>SUM(K1306:K1310)</f>
        <v>196389.28</v>
      </c>
      <c r="L1311" s="369">
        <f t="shared" ref="L1311" si="28">SUM(L1306:L1310)</f>
        <v>0</v>
      </c>
      <c r="M1311" s="369">
        <f>SUM(M1306:M1310)</f>
        <v>-251490.8512666327</v>
      </c>
      <c r="N1311" s="369">
        <f>SUM(N1306:N1310)</f>
        <v>-110035.81368283123</v>
      </c>
      <c r="O1311" s="369">
        <f>SUM(O1306:O1310)</f>
        <v>-12889492.701529985</v>
      </c>
    </row>
    <row r="1312" spans="1:15">
      <c r="A1312" s="361"/>
      <c r="D1312" s="369"/>
      <c r="E1312" s="369"/>
      <c r="F1312" s="369"/>
      <c r="G1312" s="369"/>
      <c r="H1312" s="369"/>
      <c r="I1312" s="369"/>
      <c r="J1312" s="369"/>
      <c r="K1312" s="369"/>
      <c r="L1312" s="369"/>
      <c r="M1312" s="369"/>
      <c r="N1312" s="369"/>
      <c r="O1312" s="369"/>
    </row>
    <row r="1313" spans="1:15">
      <c r="A1313" s="361"/>
      <c r="D1313" s="369"/>
      <c r="E1313" s="369"/>
      <c r="F1313" s="369"/>
      <c r="G1313" s="369"/>
      <c r="H1313" s="369"/>
      <c r="I1313" s="369"/>
      <c r="J1313" s="369"/>
      <c r="K1313" s="369"/>
      <c r="L1313" s="369"/>
      <c r="M1313" s="369"/>
      <c r="N1313" s="369"/>
      <c r="O1313" s="369"/>
    </row>
    <row r="1314" spans="1:15">
      <c r="A1314" s="361">
        <f>A1311+1</f>
        <v>7</v>
      </c>
      <c r="B1314" s="365">
        <v>376</v>
      </c>
      <c r="C1314" s="358" t="s">
        <v>1775</v>
      </c>
      <c r="D1314" s="369">
        <f>D1306</f>
        <v>57250493.832516775</v>
      </c>
      <c r="E1314" s="369">
        <f>E1306</f>
        <v>1891800.5021199924</v>
      </c>
      <c r="F1314" s="369">
        <f>F1306</f>
        <v>-22172.28</v>
      </c>
      <c r="G1314" s="369">
        <f>SUM(D1314:F1314)</f>
        <v>59120122.054636769</v>
      </c>
      <c r="H1314" s="369"/>
      <c r="I1314" s="369">
        <f>I1306</f>
        <v>529314.29229091771</v>
      </c>
      <c r="J1314" s="1251"/>
      <c r="K1314" s="369">
        <f>K1306</f>
        <v>87277.96</v>
      </c>
      <c r="L1314" s="369">
        <v>0</v>
      </c>
      <c r="M1314" s="369">
        <f>M1306</f>
        <v>-22172.28</v>
      </c>
      <c r="N1314" s="369">
        <f>N1306</f>
        <v>-364.35350160122698</v>
      </c>
      <c r="O1314" s="369">
        <f>I1314+K1314+L1314+M1314+N1314</f>
        <v>594055.61878931639</v>
      </c>
    </row>
    <row r="1315" spans="1:15">
      <c r="A1315" s="361">
        <f>A1314+1</f>
        <v>8</v>
      </c>
      <c r="B1315" s="365">
        <v>376</v>
      </c>
      <c r="C1315" s="358" t="s">
        <v>1621</v>
      </c>
      <c r="D1315" s="923">
        <f>D1316-D1314</f>
        <v>422494842.26748335</v>
      </c>
      <c r="E1315" s="923">
        <f>E1316-E1314</f>
        <v>499549.48788000783</v>
      </c>
      <c r="F1315" s="923">
        <f>F1316-F1314</f>
        <v>-65920.039999999994</v>
      </c>
      <c r="G1315" s="923">
        <f>SUM(D1315:F1315)</f>
        <v>422928471.71536332</v>
      </c>
      <c r="H1315" s="369"/>
      <c r="I1315" s="923">
        <f>I1316-I1314</f>
        <v>88522569.457709178</v>
      </c>
      <c r="J1315" s="1251"/>
      <c r="K1315" s="923">
        <f>K1316-K1314</f>
        <v>634067.04</v>
      </c>
      <c r="L1315" s="923">
        <v>0</v>
      </c>
      <c r="M1315" s="923">
        <f>M1316-M1314</f>
        <v>-65920.039999999994</v>
      </c>
      <c r="N1315" s="923">
        <f>N1316-N1314</f>
        <v>-4187.706498398773</v>
      </c>
      <c r="O1315" s="923">
        <f>I1315+K1315+L1315+M1315+N1315</f>
        <v>89086528.751210779</v>
      </c>
    </row>
    <row r="1316" spans="1:15">
      <c r="A1316" s="361">
        <f>A1315+1</f>
        <v>9</v>
      </c>
      <c r="B1316" s="365">
        <v>376</v>
      </c>
      <c r="C1316" s="358" t="s">
        <v>3078</v>
      </c>
      <c r="D1316" s="369">
        <f>G1270</f>
        <v>479745336.10000014</v>
      </c>
      <c r="E1316" s="369">
        <v>2391349.9900000002</v>
      </c>
      <c r="F1316" s="369">
        <v>-88092.319999999992</v>
      </c>
      <c r="G1316" s="369">
        <f>SUM(G1314:G1315)</f>
        <v>482048593.7700001</v>
      </c>
      <c r="H1316" s="369"/>
      <c r="I1316" s="369">
        <f>O1270</f>
        <v>89051883.750000089</v>
      </c>
      <c r="J1316" s="1251">
        <f>+J1270</f>
        <v>1.7999999999999999E-2</v>
      </c>
      <c r="K1316" s="369">
        <f>ROUND((D1316+G1316)/2*J1316/12,0)</f>
        <v>721345</v>
      </c>
      <c r="L1316" s="369">
        <f>SUM(L1314:L1315)</f>
        <v>0</v>
      </c>
      <c r="M1316" s="369">
        <f>F1316</f>
        <v>-88092.319999999992</v>
      </c>
      <c r="N1316" s="369">
        <v>-4552.0600000000004</v>
      </c>
      <c r="O1316" s="369">
        <f>SUM(O1314:O1315)</f>
        <v>89680584.370000094</v>
      </c>
    </row>
    <row r="1317" spans="1:15">
      <c r="A1317" s="361"/>
      <c r="B1317" s="365"/>
      <c r="D1317" s="369"/>
      <c r="E1317" s="369"/>
      <c r="F1317" s="369"/>
      <c r="G1317" s="369"/>
      <c r="H1317" s="369"/>
      <c r="I1317" s="369"/>
      <c r="J1317" s="1251"/>
      <c r="K1317" s="369"/>
      <c r="L1317" s="369"/>
      <c r="M1317" s="369"/>
      <c r="N1317" s="369"/>
      <c r="O1317" s="369"/>
    </row>
    <row r="1318" spans="1:15">
      <c r="A1318" s="361">
        <f>A1316+1</f>
        <v>10</v>
      </c>
      <c r="B1318" s="365">
        <v>378.2</v>
      </c>
      <c r="C1318" s="358" t="s">
        <v>1776</v>
      </c>
      <c r="D1318" s="369">
        <f>D1307</f>
        <v>599780.62011021946</v>
      </c>
      <c r="E1318" s="369">
        <f>E1307</f>
        <v>0</v>
      </c>
      <c r="F1318" s="369">
        <f>F1307</f>
        <v>0</v>
      </c>
      <c r="G1318" s="369">
        <f>SUM(D1318:F1318)</f>
        <v>599780.62011021946</v>
      </c>
      <c r="H1318" s="369"/>
      <c r="I1318" s="369">
        <f>I1307</f>
        <v>-938199.71754116018</v>
      </c>
      <c r="J1318" s="1251"/>
      <c r="K1318" s="369">
        <f>K1307</f>
        <v>1654.39</v>
      </c>
      <c r="L1318" s="369">
        <v>0</v>
      </c>
      <c r="M1318" s="369">
        <f>M1307</f>
        <v>0</v>
      </c>
      <c r="N1318" s="369">
        <f>N1307</f>
        <v>0</v>
      </c>
      <c r="O1318" s="369">
        <f>I1318+K1318+L1318+M1318+N1318</f>
        <v>-936545.32754116016</v>
      </c>
    </row>
    <row r="1319" spans="1:15">
      <c r="A1319" s="361">
        <f>A1318+1</f>
        <v>11</v>
      </c>
      <c r="B1319" s="365">
        <v>378.2</v>
      </c>
      <c r="C1319" s="358" t="s">
        <v>1622</v>
      </c>
      <c r="D1319" s="923">
        <f>D1320-D1318</f>
        <v>28320590.192924865</v>
      </c>
      <c r="E1319" s="923">
        <f>E1320-E1318</f>
        <v>1412014.826170109</v>
      </c>
      <c r="F1319" s="923">
        <f>F1320-F1318</f>
        <v>0</v>
      </c>
      <c r="G1319" s="923">
        <f>SUM(D1319:F1319)</f>
        <v>29732605.019094974</v>
      </c>
      <c r="H1319" s="369"/>
      <c r="I1319" s="923">
        <f>I1320-I1318</f>
        <v>3210782.6909178672</v>
      </c>
      <c r="J1319" s="1251"/>
      <c r="K1319" s="923">
        <f>K1320-K1318</f>
        <v>80064.61</v>
      </c>
      <c r="L1319" s="923">
        <v>0</v>
      </c>
      <c r="M1319" s="923">
        <f>M1320-M1318</f>
        <v>0</v>
      </c>
      <c r="N1319" s="923">
        <f>N1320-N1318</f>
        <v>0</v>
      </c>
      <c r="O1319" s="923">
        <f>I1319+K1319+L1319+M1319+N1319</f>
        <v>3290847.3009178671</v>
      </c>
    </row>
    <row r="1320" spans="1:15">
      <c r="A1320" s="361">
        <f>A1319+1</f>
        <v>12</v>
      </c>
      <c r="B1320" s="365">
        <v>378.2</v>
      </c>
      <c r="C1320" s="358" t="s">
        <v>3079</v>
      </c>
      <c r="D1320" s="369">
        <f>G1274</f>
        <v>28920370.813035086</v>
      </c>
      <c r="E1320" s="369">
        <v>1412014.826170109</v>
      </c>
      <c r="F1320" s="369">
        <v>0</v>
      </c>
      <c r="G1320" s="369">
        <f>SUM(G1318:G1319)</f>
        <v>30332385.639205195</v>
      </c>
      <c r="H1320" s="369"/>
      <c r="I1320" s="369">
        <f>O1274</f>
        <v>2272582.9733767072</v>
      </c>
      <c r="J1320" s="1251">
        <f>+J1274</f>
        <v>3.3099999999999997E-2</v>
      </c>
      <c r="K1320" s="369">
        <f>ROUND((D1320+G1320)/2*J1320/12,0)</f>
        <v>81719</v>
      </c>
      <c r="L1320" s="369">
        <f>SUM(L1318:L1319)</f>
        <v>0</v>
      </c>
      <c r="M1320" s="369">
        <f>F1320</f>
        <v>0</v>
      </c>
      <c r="N1320" s="369">
        <v>0</v>
      </c>
      <c r="O1320" s="369">
        <f>SUM(O1318:O1319)</f>
        <v>2354301.9733767072</v>
      </c>
    </row>
    <row r="1321" spans="1:15">
      <c r="A1321" s="361"/>
      <c r="B1321" s="365"/>
      <c r="D1321" s="369"/>
      <c r="E1321" s="369"/>
      <c r="F1321" s="369"/>
      <c r="G1321" s="369"/>
      <c r="H1321" s="369"/>
      <c r="I1321" s="369"/>
      <c r="J1321" s="1251"/>
      <c r="K1321" s="369"/>
      <c r="L1321" s="369"/>
      <c r="M1321" s="369"/>
      <c r="N1321" s="369"/>
      <c r="O1321" s="369"/>
    </row>
    <row r="1322" spans="1:15">
      <c r="A1322" s="361">
        <f>A1320+1</f>
        <v>13</v>
      </c>
      <c r="B1322" s="365">
        <v>380</v>
      </c>
      <c r="C1322" s="358" t="s">
        <v>1777</v>
      </c>
      <c r="D1322" s="369">
        <f>D1308</f>
        <v>24334046.612005264</v>
      </c>
      <c r="E1322" s="369">
        <f>E1308</f>
        <v>994966.62082679931</v>
      </c>
      <c r="F1322" s="369">
        <f>F1308</f>
        <v>-228698.02579517831</v>
      </c>
      <c r="G1322" s="369">
        <f>SUM(D1322:F1322)</f>
        <v>25100315.207036886</v>
      </c>
      <c r="H1322" s="369"/>
      <c r="I1322" s="369">
        <f>I1308</f>
        <v>-12232999.459418979</v>
      </c>
      <c r="J1322" s="1251"/>
      <c r="K1322" s="369">
        <f>K1308</f>
        <v>106695.83</v>
      </c>
      <c r="L1322" s="369">
        <v>0</v>
      </c>
      <c r="M1322" s="369">
        <f>M1308</f>
        <v>-228698.02579517831</v>
      </c>
      <c r="N1322" s="369">
        <f>N1308</f>
        <v>-109671.46018123</v>
      </c>
      <c r="O1322" s="369">
        <f>I1322+K1322+L1322+M1322+N1322</f>
        <v>-12464673.115395388</v>
      </c>
    </row>
    <row r="1323" spans="1:15">
      <c r="A1323" s="361">
        <f>A1322+1</f>
        <v>14</v>
      </c>
      <c r="B1323" s="365">
        <v>380</v>
      </c>
      <c r="C1323" s="358" t="s">
        <v>1623</v>
      </c>
      <c r="D1323" s="923">
        <f>D1324-D1322</f>
        <v>205975287.91799474</v>
      </c>
      <c r="E1323" s="923">
        <f>E1324-E1322</f>
        <v>558990.86917320068</v>
      </c>
      <c r="F1323" s="923">
        <f>F1324-F1322</f>
        <v>-50245.524204821675</v>
      </c>
      <c r="G1323" s="923">
        <f>SUM(D1323:F1323)</f>
        <v>206484033.26296312</v>
      </c>
      <c r="H1323" s="369"/>
      <c r="I1323" s="923">
        <f>I1324-I1322</f>
        <v>69687655.739418983</v>
      </c>
      <c r="J1323" s="1251"/>
      <c r="K1323" s="923">
        <f>K1324-K1322</f>
        <v>890225.17</v>
      </c>
      <c r="L1323" s="923">
        <v>0</v>
      </c>
      <c r="M1323" s="923">
        <f>M1324-M1322</f>
        <v>-50245.524204821675</v>
      </c>
      <c r="N1323" s="923">
        <f>N1324-N1322</f>
        <v>-44994.589818769993</v>
      </c>
      <c r="O1323" s="923">
        <f>I1323+K1323+L1323+M1323+N1323</f>
        <v>70482640.795395389</v>
      </c>
    </row>
    <row r="1324" spans="1:15">
      <c r="A1324" s="361">
        <f>A1323+1</f>
        <v>15</v>
      </c>
      <c r="B1324" s="365">
        <v>380</v>
      </c>
      <c r="C1324" s="358" t="s">
        <v>3080</v>
      </c>
      <c r="D1324" s="369">
        <f>G1278</f>
        <v>230309334.53</v>
      </c>
      <c r="E1324" s="369">
        <v>1553957.49</v>
      </c>
      <c r="F1324" s="369">
        <v>-278943.55</v>
      </c>
      <c r="G1324" s="369">
        <f>SUM(G1322:G1323)</f>
        <v>231584348.47</v>
      </c>
      <c r="H1324" s="369"/>
      <c r="I1324" s="369">
        <f>O1278</f>
        <v>57454656.280000001</v>
      </c>
      <c r="J1324" s="1251">
        <f>+J1278</f>
        <v>5.1799999999999999E-2</v>
      </c>
      <c r="K1324" s="369">
        <f>ROUND((D1324+G1324)/2*J1324/12,0)</f>
        <v>996921</v>
      </c>
      <c r="L1324" s="369">
        <f>SUM(L1322:L1323)</f>
        <v>0</v>
      </c>
      <c r="M1324" s="369">
        <f>F1324</f>
        <v>-278943.55</v>
      </c>
      <c r="N1324" s="369">
        <v>-154666.04999999999</v>
      </c>
      <c r="O1324" s="369">
        <f>SUM(O1322:O1323)</f>
        <v>58017967.68</v>
      </c>
    </row>
    <row r="1325" spans="1:15">
      <c r="A1325" s="361"/>
      <c r="B1325" s="365"/>
      <c r="D1325" s="369"/>
      <c r="E1325" s="369"/>
      <c r="F1325" s="369"/>
      <c r="G1325" s="369"/>
      <c r="H1325" s="369"/>
      <c r="I1325" s="369"/>
      <c r="J1325" s="1251"/>
      <c r="K1325" s="369"/>
      <c r="L1325" s="369"/>
      <c r="M1325" s="369"/>
      <c r="N1325" s="369"/>
      <c r="O1325" s="369"/>
    </row>
    <row r="1326" spans="1:15">
      <c r="A1326" s="361">
        <f>A1324+1</f>
        <v>16</v>
      </c>
      <c r="B1326" s="365">
        <v>382</v>
      </c>
      <c r="C1326" s="358" t="s">
        <v>1778</v>
      </c>
      <c r="D1326" s="369">
        <f>D1309</f>
        <v>236084.64509180642</v>
      </c>
      <c r="E1326" s="369">
        <f>E1309</f>
        <v>1860.5643708223772</v>
      </c>
      <c r="F1326" s="369">
        <f>F1309</f>
        <v>-531.02287809195411</v>
      </c>
      <c r="G1326" s="369">
        <f>SUM(D1326:F1326)</f>
        <v>237414.18658453683</v>
      </c>
      <c r="H1326" s="369"/>
      <c r="I1326" s="369">
        <f>I1309</f>
        <v>-74600.073219257378</v>
      </c>
      <c r="J1326" s="1251"/>
      <c r="K1326" s="369">
        <f>K1309</f>
        <v>449.82</v>
      </c>
      <c r="L1326" s="369">
        <v>0</v>
      </c>
      <c r="M1326" s="369">
        <f>M1309</f>
        <v>-531.02287809195411</v>
      </c>
      <c r="N1326" s="369">
        <f>N1309</f>
        <v>0</v>
      </c>
      <c r="O1326" s="369">
        <f>I1326+K1326+L1326+M1326+N1326</f>
        <v>-74681.276097349328</v>
      </c>
    </row>
    <row r="1327" spans="1:15">
      <c r="A1327" s="361">
        <f>A1326+1</f>
        <v>17</v>
      </c>
      <c r="B1327" s="365">
        <v>382</v>
      </c>
      <c r="C1327" s="358" t="s">
        <v>1624</v>
      </c>
      <c r="D1327" s="923">
        <f>D1328-D1326</f>
        <v>10710860.620044764</v>
      </c>
      <c r="E1327" s="923">
        <f>E1328-E1326</f>
        <v>5570.1849016454717</v>
      </c>
      <c r="F1327" s="923">
        <f>F1328-F1326</f>
        <v>-1589.7840807672374</v>
      </c>
      <c r="G1327" s="923">
        <f>SUM(D1327:F1327)</f>
        <v>10714841.020865642</v>
      </c>
      <c r="H1327" s="369"/>
      <c r="I1327" s="923">
        <f>I1328-I1326</f>
        <v>6092791.2451895606</v>
      </c>
      <c r="J1327" s="1251"/>
      <c r="K1327" s="923">
        <f>K1328-K1326</f>
        <v>20354.18</v>
      </c>
      <c r="L1327" s="923">
        <v>0</v>
      </c>
      <c r="M1327" s="923">
        <f>M1328-M1326</f>
        <v>-1589.7840807672374</v>
      </c>
      <c r="N1327" s="923">
        <f>N1328-N1326</f>
        <v>0</v>
      </c>
      <c r="O1327" s="923">
        <f>I1327+K1327+L1327+M1327+N1327</f>
        <v>6111555.6411087932</v>
      </c>
    </row>
    <row r="1328" spans="1:15">
      <c r="A1328" s="361">
        <f>A1327+1</f>
        <v>18</v>
      </c>
      <c r="B1328" s="365">
        <v>382</v>
      </c>
      <c r="C1328" s="358" t="s">
        <v>3081</v>
      </c>
      <c r="D1328" s="369">
        <f>G1282</f>
        <v>10946945.26513657</v>
      </c>
      <c r="E1328" s="369">
        <v>7430.7492724678486</v>
      </c>
      <c r="F1328" s="369">
        <v>-2120.8069588591916</v>
      </c>
      <c r="G1328" s="369">
        <f>SUM(G1326:G1327)</f>
        <v>10952255.207450178</v>
      </c>
      <c r="H1328" s="369"/>
      <c r="I1328" s="369">
        <f>O1282</f>
        <v>6018191.1719703032</v>
      </c>
      <c r="J1328" s="1251">
        <f>+J1282</f>
        <v>2.2800000000000001E-2</v>
      </c>
      <c r="K1328" s="369">
        <f>ROUND((D1328+G1328)/2*J1328/12,0)</f>
        <v>20804</v>
      </c>
      <c r="L1328" s="369">
        <f>SUM(L1326:L1327)</f>
        <v>0</v>
      </c>
      <c r="M1328" s="369">
        <f>F1328</f>
        <v>-2120.8069588591916</v>
      </c>
      <c r="N1328" s="369">
        <v>0</v>
      </c>
      <c r="O1328" s="369">
        <f>SUM(O1326:O1327)</f>
        <v>6036874.3650114443</v>
      </c>
    </row>
    <row r="1329" spans="1:15">
      <c r="A1329" s="361"/>
      <c r="B1329" s="365"/>
      <c r="D1329" s="369"/>
      <c r="E1329" s="369"/>
      <c r="F1329" s="369"/>
      <c r="G1329" s="369"/>
      <c r="H1329" s="369"/>
      <c r="I1329" s="369"/>
      <c r="J1329" s="1251"/>
      <c r="K1329" s="369"/>
      <c r="L1329" s="369"/>
      <c r="M1329" s="369"/>
      <c r="N1329" s="369"/>
      <c r="O1329" s="369"/>
    </row>
    <row r="1330" spans="1:15">
      <c r="A1330" s="361">
        <f>A1328+1</f>
        <v>19</v>
      </c>
      <c r="B1330" s="365">
        <v>383</v>
      </c>
      <c r="C1330" s="358" t="s">
        <v>1779</v>
      </c>
      <c r="D1330" s="369">
        <f>D1310</f>
        <v>167255.34201740351</v>
      </c>
      <c r="E1330" s="369">
        <f>E1310</f>
        <v>2096.5901950840844</v>
      </c>
      <c r="F1330" s="369">
        <f>F1310</f>
        <v>-89.522593362440972</v>
      </c>
      <c r="G1330" s="369">
        <f>SUM(D1330:F1330)</f>
        <v>169262.40961912516</v>
      </c>
      <c r="H1330" s="369"/>
      <c r="I1330" s="369">
        <f>I1310</f>
        <v>-7870.3586920411808</v>
      </c>
      <c r="J1330" s="1251"/>
      <c r="K1330" s="369">
        <f>K1310</f>
        <v>311.27999999999997</v>
      </c>
      <c r="L1330" s="369">
        <v>0</v>
      </c>
      <c r="M1330" s="369">
        <f>M1310</f>
        <v>-89.522593362440972</v>
      </c>
      <c r="N1330" s="369">
        <f>N1310</f>
        <v>0</v>
      </c>
      <c r="O1330" s="369">
        <f>I1330+K1330+L1330+M1330+N1330</f>
        <v>-7648.6012854036217</v>
      </c>
    </row>
    <row r="1331" spans="1:15">
      <c r="A1331" s="361">
        <f>A1330+1</f>
        <v>20</v>
      </c>
      <c r="B1331" s="365">
        <v>383</v>
      </c>
      <c r="C1331" s="358" t="s">
        <v>1625</v>
      </c>
      <c r="D1331" s="923">
        <f>D1332-D1330</f>
        <v>7703610.6608516928</v>
      </c>
      <c r="E1331" s="923">
        <f>E1332-E1330</f>
        <v>12206.689804915917</v>
      </c>
      <c r="F1331" s="923">
        <f>F1332-F1330</f>
        <v>-521.21492185279817</v>
      </c>
      <c r="G1331" s="923">
        <f>SUM(D1331:F1331)</f>
        <v>7715296.1357347565</v>
      </c>
      <c r="H1331" s="369"/>
      <c r="I1331" s="923">
        <f>I1332-I1330</f>
        <v>2681215.3829956744</v>
      </c>
      <c r="J1331" s="1251"/>
      <c r="K1331" s="923">
        <f>K1332-K1330</f>
        <v>14262.72</v>
      </c>
      <c r="L1331" s="923">
        <v>0</v>
      </c>
      <c r="M1331" s="923">
        <f>M1332-M1330</f>
        <v>-521.21492185279817</v>
      </c>
      <c r="N1331" s="923">
        <f>N1332-N1330</f>
        <v>0</v>
      </c>
      <c r="O1331" s="923">
        <f>I1331+K1331+L1331+M1331+N1331</f>
        <v>2694956.888073822</v>
      </c>
    </row>
    <row r="1332" spans="1:15">
      <c r="A1332" s="361">
        <f>A1331+1</f>
        <v>21</v>
      </c>
      <c r="B1332" s="365">
        <v>383</v>
      </c>
      <c r="C1332" s="358" t="s">
        <v>3082</v>
      </c>
      <c r="D1332" s="369">
        <f>G1286</f>
        <v>7870866.0028690966</v>
      </c>
      <c r="E1332" s="369">
        <v>14303.28</v>
      </c>
      <c r="F1332" s="369">
        <v>-610.73751521523911</v>
      </c>
      <c r="G1332" s="369">
        <f>SUM(G1330:G1331)</f>
        <v>7884558.545353882</v>
      </c>
      <c r="H1332" s="369"/>
      <c r="I1332" s="369">
        <f>O1286</f>
        <v>2673345.0243036333</v>
      </c>
      <c r="J1332" s="1251">
        <f>+J1286</f>
        <v>2.2200000000000001E-2</v>
      </c>
      <c r="K1332" s="369">
        <f>ROUND((D1332+G1332)/2*J1332/12,0)</f>
        <v>14574</v>
      </c>
      <c r="L1332" s="369">
        <f>SUM(L1330:L1331)</f>
        <v>0</v>
      </c>
      <c r="M1332" s="369">
        <f>F1332</f>
        <v>-610.73751521523911</v>
      </c>
      <c r="N1332" s="369">
        <v>0</v>
      </c>
      <c r="O1332" s="369">
        <f>SUM(O1330:O1331)</f>
        <v>2687308.2867884184</v>
      </c>
    </row>
    <row r="1335" spans="1:15" s="291" customFormat="1">
      <c r="A1335" s="1308" t="str">
        <f>$A$1</f>
        <v>COLUMBIA GAS OF KENTUCKY, INC.</v>
      </c>
      <c r="B1335" s="1308"/>
      <c r="C1335" s="1308"/>
      <c r="D1335" s="1308"/>
      <c r="E1335" s="1308"/>
      <c r="F1335" s="1308"/>
      <c r="G1335" s="1308"/>
      <c r="H1335" s="1308"/>
      <c r="I1335" s="1308"/>
      <c r="J1335" s="1308"/>
      <c r="K1335" s="1308"/>
      <c r="L1335" s="1308"/>
      <c r="M1335" s="1308"/>
      <c r="N1335" s="1308"/>
      <c r="O1335" s="1308"/>
    </row>
    <row r="1336" spans="1:15" s="291" customFormat="1">
      <c r="A1336" s="1308" t="str">
        <f>$A$2</f>
        <v>CASE NO. 2024 - 00092</v>
      </c>
      <c r="B1336" s="1308"/>
      <c r="C1336" s="1308"/>
      <c r="D1336" s="1308"/>
      <c r="E1336" s="1308"/>
      <c r="F1336" s="1308"/>
      <c r="G1336" s="1308"/>
      <c r="H1336" s="1308"/>
      <c r="I1336" s="1308"/>
      <c r="J1336" s="1308"/>
      <c r="K1336" s="1308"/>
      <c r="L1336" s="1308"/>
      <c r="M1336" s="1308"/>
      <c r="N1336" s="1308"/>
      <c r="O1336" s="1308"/>
    </row>
    <row r="1337" spans="1:15" s="291" customFormat="1">
      <c r="A1337" s="1308" t="str">
        <f>$A$3</f>
        <v>DETAIL OF ACTUAL &amp;  FORECASTED SMRP PLANT, ACCUMULATED RESERVE &amp; DEPRECIATION EXPENSE</v>
      </c>
      <c r="B1337" s="1308"/>
      <c r="C1337" s="1308"/>
      <c r="D1337" s="1308"/>
      <c r="E1337" s="1308"/>
      <c r="F1337" s="1308"/>
      <c r="G1337" s="1308"/>
      <c r="H1337" s="1308"/>
      <c r="I1337" s="1308"/>
      <c r="J1337" s="1308"/>
      <c r="K1337" s="1308"/>
      <c r="L1337" s="1308"/>
      <c r="M1337" s="1308"/>
      <c r="N1337" s="1308"/>
      <c r="O1337" s="1308"/>
    </row>
    <row r="1338" spans="1:15" s="291" customFormat="1">
      <c r="A1338" s="1308" t="str">
        <f>$A$4</f>
        <v>FROM JANUARY 01, 2023 THROUGH DECEMBER 31, 2025</v>
      </c>
      <c r="B1338" s="1308"/>
      <c r="C1338" s="1308"/>
      <c r="D1338" s="1308"/>
      <c r="E1338" s="1308"/>
      <c r="F1338" s="1308"/>
      <c r="G1338" s="1308"/>
      <c r="H1338" s="1308"/>
      <c r="I1338" s="1308"/>
      <c r="J1338" s="1308"/>
      <c r="K1338" s="1308"/>
      <c r="L1338" s="1308"/>
      <c r="M1338" s="1308"/>
      <c r="N1338" s="1308"/>
      <c r="O1338" s="1308"/>
    </row>
    <row r="1339" spans="1:15" s="291" customFormat="1">
      <c r="B1339" s="293"/>
    </row>
    <row r="1340" spans="1:15" s="291" customFormat="1">
      <c r="A1340" s="297" t="str">
        <f>'General Headers Index'!$B$34</f>
        <v xml:space="preserve">DATA: _X_ BASE PERIOD _X_ FORECASTED PERIOD     </v>
      </c>
      <c r="B1340" s="293"/>
      <c r="O1340" s="312" t="s">
        <v>2461</v>
      </c>
    </row>
    <row r="1341" spans="1:15" s="291" customFormat="1">
      <c r="A1341" s="297" t="str">
        <f>'General Headers Index'!$B$37</f>
        <v>TYPE OF FILING:___X___ORIGINAL______UPDATED</v>
      </c>
      <c r="B1341" s="293"/>
      <c r="O1341" s="312" t="s">
        <v>2252</v>
      </c>
    </row>
    <row r="1342" spans="1:15" s="291" customFormat="1">
      <c r="A1342" s="297" t="s">
        <v>2150</v>
      </c>
      <c r="B1342" s="293"/>
      <c r="O1342" s="312" t="str">
        <f>"WITNESS: "&amp;'General Headers Index'!$B$42</f>
        <v>WITNESS: GORE</v>
      </c>
    </row>
    <row r="1343" spans="1:15">
      <c r="A1343" s="918"/>
      <c r="B1343" s="918"/>
      <c r="C1343" s="918"/>
      <c r="D1343" s="918"/>
      <c r="E1343" s="918"/>
      <c r="F1343" s="918"/>
      <c r="G1343" s="918"/>
      <c r="H1343" s="918"/>
      <c r="I1343" s="918"/>
      <c r="J1343" s="918"/>
      <c r="K1343" s="918"/>
      <c r="L1343" s="918"/>
      <c r="M1343" s="918"/>
      <c r="N1343" s="918"/>
      <c r="O1343" s="918"/>
    </row>
    <row r="1344" spans="1:15">
      <c r="B1344" s="359"/>
      <c r="D1344" s="1312" t="s">
        <v>1768</v>
      </c>
      <c r="E1344" s="1312"/>
      <c r="F1344" s="1312"/>
      <c r="G1344" s="1312"/>
      <c r="I1344" s="1312" t="s">
        <v>1769</v>
      </c>
      <c r="J1344" s="1312"/>
      <c r="K1344" s="1312"/>
      <c r="L1344" s="1312"/>
      <c r="M1344" s="1312"/>
      <c r="N1344" s="1312"/>
      <c r="O1344" s="1312"/>
    </row>
    <row r="1345" spans="1:15">
      <c r="B1345" s="359"/>
      <c r="D1345" s="360">
        <f>G1299+1</f>
        <v>45809</v>
      </c>
      <c r="G1345" s="360">
        <f>D1345+29</f>
        <v>45838</v>
      </c>
      <c r="I1345" s="360">
        <f>D1345</f>
        <v>45809</v>
      </c>
      <c r="O1345" s="360">
        <f>G1345</f>
        <v>45838</v>
      </c>
    </row>
    <row r="1346" spans="1:15">
      <c r="B1346" s="359"/>
      <c r="D1346" s="361" t="s">
        <v>1757</v>
      </c>
      <c r="G1346" s="361" t="s">
        <v>1757</v>
      </c>
      <c r="I1346" s="361" t="s">
        <v>1758</v>
      </c>
      <c r="J1346" s="361" t="s">
        <v>488</v>
      </c>
      <c r="L1346" s="361" t="s">
        <v>1758</v>
      </c>
      <c r="O1346" s="361" t="s">
        <v>1758</v>
      </c>
    </row>
    <row r="1347" spans="1:15">
      <c r="A1347" s="361" t="s">
        <v>1770</v>
      </c>
      <c r="B1347" s="361" t="s">
        <v>368</v>
      </c>
      <c r="C1347" s="361"/>
      <c r="D1347" s="361" t="s">
        <v>437</v>
      </c>
      <c r="G1347" s="361" t="s">
        <v>439</v>
      </c>
      <c r="I1347" s="361" t="s">
        <v>437</v>
      </c>
      <c r="J1347" s="361" t="s">
        <v>1771</v>
      </c>
      <c r="K1347" s="361" t="s">
        <v>1772</v>
      </c>
      <c r="L1347" s="361" t="s">
        <v>1759</v>
      </c>
      <c r="N1347" s="361" t="s">
        <v>1760</v>
      </c>
      <c r="O1347" s="361" t="s">
        <v>439</v>
      </c>
    </row>
    <row r="1348" spans="1:15">
      <c r="A1348" s="364" t="s">
        <v>316</v>
      </c>
      <c r="B1348" s="364" t="s">
        <v>316</v>
      </c>
      <c r="C1348" s="364" t="s">
        <v>451</v>
      </c>
      <c r="D1348" s="364" t="s">
        <v>441</v>
      </c>
      <c r="E1348" s="364" t="s">
        <v>442</v>
      </c>
      <c r="F1348" s="364" t="s">
        <v>443</v>
      </c>
      <c r="G1348" s="364" t="s">
        <v>441</v>
      </c>
      <c r="I1348" s="364" t="s">
        <v>441</v>
      </c>
      <c r="J1348" s="364" t="s">
        <v>1773</v>
      </c>
      <c r="K1348" s="364" t="s">
        <v>1771</v>
      </c>
      <c r="L1348" s="364" t="s">
        <v>355</v>
      </c>
      <c r="M1348" s="364" t="s">
        <v>443</v>
      </c>
      <c r="N1348" s="364" t="s">
        <v>1763</v>
      </c>
      <c r="O1348" s="364" t="s">
        <v>441</v>
      </c>
    </row>
    <row r="1349" spans="1:15">
      <c r="B1349" s="359"/>
      <c r="D1349" s="361" t="s">
        <v>532</v>
      </c>
      <c r="E1349" s="361" t="s">
        <v>541</v>
      </c>
      <c r="F1349" s="361" t="s">
        <v>542</v>
      </c>
      <c r="G1349" s="361" t="s">
        <v>1764</v>
      </c>
      <c r="I1349" s="334" t="str">
        <f>"(5)"</f>
        <v>(5)</v>
      </c>
      <c r="J1349" s="334" t="str">
        <f>"(6)"</f>
        <v>(6)</v>
      </c>
      <c r="K1349" s="334" t="str">
        <f>"(7)=((1+4)/2*6/12))"</f>
        <v>(7)=((1+4)/2*6/12))</v>
      </c>
      <c r="L1349" s="334" t="str">
        <f>"(8)"</f>
        <v>(8)</v>
      </c>
      <c r="M1349" s="334" t="str">
        <f>"(9)"</f>
        <v>(9)</v>
      </c>
      <c r="N1349" s="334" t="str">
        <f>"(10)"</f>
        <v>(10)</v>
      </c>
      <c r="O1349" s="334" t="str">
        <f>"(11=5+7+8+9+10)"</f>
        <v>(11=5+7+8+9+10)</v>
      </c>
    </row>
    <row r="1350" spans="1:15">
      <c r="B1350" s="359"/>
      <c r="D1350" s="361" t="s">
        <v>320</v>
      </c>
      <c r="E1350" s="361" t="s">
        <v>320</v>
      </c>
      <c r="F1350" s="361" t="s">
        <v>320</v>
      </c>
      <c r="G1350" s="361" t="s">
        <v>320</v>
      </c>
      <c r="I1350" s="334" t="s">
        <v>320</v>
      </c>
      <c r="J1350" s="1250" t="s">
        <v>529</v>
      </c>
      <c r="K1350" s="334" t="s">
        <v>320</v>
      </c>
      <c r="L1350" s="334" t="s">
        <v>320</v>
      </c>
      <c r="M1350" s="334" t="s">
        <v>320</v>
      </c>
      <c r="N1350" s="334" t="s">
        <v>320</v>
      </c>
      <c r="O1350" s="334" t="s">
        <v>320</v>
      </c>
    </row>
    <row r="1351" spans="1:15">
      <c r="B1351" s="359"/>
      <c r="D1351" s="361"/>
      <c r="E1351" s="361"/>
      <c r="F1351" s="361"/>
      <c r="G1351" s="361"/>
      <c r="I1351" s="334"/>
      <c r="J1351" s="334"/>
      <c r="K1351" s="334"/>
      <c r="L1351" s="334"/>
      <c r="M1351" s="334"/>
      <c r="N1351" s="334"/>
      <c r="O1351" s="334"/>
    </row>
    <row r="1352" spans="1:15">
      <c r="A1352" s="361">
        <v>1</v>
      </c>
      <c r="B1352" s="365">
        <v>376</v>
      </c>
      <c r="C1352" s="358" t="s">
        <v>1775</v>
      </c>
      <c r="D1352" s="369">
        <f>G1306</f>
        <v>59120122.054636769</v>
      </c>
      <c r="E1352" s="369">
        <v>2009726.2754147092</v>
      </c>
      <c r="F1352" s="369">
        <v>-12279.020000000004</v>
      </c>
      <c r="G1352" s="369">
        <f>SUM(D1352:F1352)</f>
        <v>61117569.310051478</v>
      </c>
      <c r="H1352" s="369"/>
      <c r="I1352" s="369">
        <f>O1306</f>
        <v>594055.61878931639</v>
      </c>
      <c r="J1352" s="1251">
        <f>+J1306</f>
        <v>1.7999999999999999E-2</v>
      </c>
      <c r="K1352" s="380">
        <f>ROUND((G1352+D1352)/2*J1352/12,2)</f>
        <v>90178.27</v>
      </c>
      <c r="L1352" s="369">
        <v>0</v>
      </c>
      <c r="M1352" s="369">
        <f>F1352</f>
        <v>-12279.020000000004</v>
      </c>
      <c r="N1352" s="369">
        <v>0</v>
      </c>
      <c r="O1352" s="369">
        <f>I1352+K1352+L1352+M1352+N1352</f>
        <v>671954.86878931639</v>
      </c>
    </row>
    <row r="1353" spans="1:15">
      <c r="A1353" s="361">
        <f>A1352+1</f>
        <v>2</v>
      </c>
      <c r="B1353" s="365">
        <v>378.2</v>
      </c>
      <c r="C1353" s="358" t="s">
        <v>1776</v>
      </c>
      <c r="D1353" s="369">
        <f>G1307</f>
        <v>599780.62011021946</v>
      </c>
      <c r="E1353" s="369">
        <v>0</v>
      </c>
      <c r="F1353" s="369">
        <v>0</v>
      </c>
      <c r="G1353" s="369">
        <f>SUM(D1353:F1353)</f>
        <v>599780.62011021946</v>
      </c>
      <c r="H1353" s="369"/>
      <c r="I1353" s="369">
        <f>O1307</f>
        <v>-936545.32754116016</v>
      </c>
      <c r="J1353" s="1251">
        <f>+J1307</f>
        <v>3.3099999999999997E-2</v>
      </c>
      <c r="K1353" s="380">
        <f>ROUND((G1353+D1353)/2*J1353/12,2)</f>
        <v>1654.39</v>
      </c>
      <c r="L1353" s="369">
        <v>0</v>
      </c>
      <c r="M1353" s="369">
        <f>F1353</f>
        <v>0</v>
      </c>
      <c r="N1353" s="369">
        <v>0</v>
      </c>
      <c r="O1353" s="369">
        <f>I1353+K1353+L1353+M1353+N1353</f>
        <v>-934890.93754116015</v>
      </c>
    </row>
    <row r="1354" spans="1:15">
      <c r="A1354" s="361">
        <f>A1353+1</f>
        <v>3</v>
      </c>
      <c r="B1354" s="365">
        <v>380</v>
      </c>
      <c r="C1354" s="358" t="s">
        <v>1777</v>
      </c>
      <c r="D1354" s="369">
        <f>G1308</f>
        <v>25100315.207036886</v>
      </c>
      <c r="E1354" s="369">
        <v>891305.52897359652</v>
      </c>
      <c r="F1354" s="369">
        <v>-260213.17135648616</v>
      </c>
      <c r="G1354" s="369">
        <f>SUM(D1354:F1354)</f>
        <v>25731407.564654</v>
      </c>
      <c r="H1354" s="369"/>
      <c r="I1354" s="369">
        <f>O1308</f>
        <v>-12464673.115395388</v>
      </c>
      <c r="J1354" s="1251">
        <f>+J1308</f>
        <v>5.1799999999999999E-2</v>
      </c>
      <c r="K1354" s="380">
        <f>ROUND((G1354+D1354)/2*J1354/12,2)</f>
        <v>109711.8</v>
      </c>
      <c r="L1354" s="369">
        <v>0</v>
      </c>
      <c r="M1354" s="369">
        <f>F1354</f>
        <v>-260213.17135648616</v>
      </c>
      <c r="N1354" s="369">
        <v>-89524.468303690199</v>
      </c>
      <c r="O1354" s="369">
        <f>I1354+K1354+L1354+M1354+N1354</f>
        <v>-12704698.955055563</v>
      </c>
    </row>
    <row r="1355" spans="1:15">
      <c r="A1355" s="361">
        <f>A1354+1</f>
        <v>4</v>
      </c>
      <c r="B1355" s="365">
        <v>382</v>
      </c>
      <c r="C1355" s="358" t="s">
        <v>1778</v>
      </c>
      <c r="D1355" s="369">
        <f>G1309</f>
        <v>237414.18658453683</v>
      </c>
      <c r="E1355" s="369">
        <v>2454.8522186358073</v>
      </c>
      <c r="F1355" s="369">
        <v>-620.99219753817829</v>
      </c>
      <c r="G1355" s="369">
        <f>SUM(D1355:F1355)</f>
        <v>239248.04660563447</v>
      </c>
      <c r="H1355" s="369"/>
      <c r="I1355" s="369">
        <f>O1309</f>
        <v>-74681.276097349328</v>
      </c>
      <c r="J1355" s="1251">
        <f>+J1309</f>
        <v>2.2800000000000001E-2</v>
      </c>
      <c r="K1355" s="380">
        <f>ROUND((G1355+D1355)/2*J1355/12,2)</f>
        <v>452.83</v>
      </c>
      <c r="L1355" s="369">
        <v>0</v>
      </c>
      <c r="M1355" s="369">
        <f>F1355</f>
        <v>-620.99219753817829</v>
      </c>
      <c r="N1355" s="369">
        <v>0</v>
      </c>
      <c r="O1355" s="369">
        <f>I1355+K1355+L1355+M1355+N1355</f>
        <v>-74849.438294887499</v>
      </c>
    </row>
    <row r="1356" spans="1:15">
      <c r="A1356" s="361">
        <f>A1355+1</f>
        <v>5</v>
      </c>
      <c r="B1356" s="365">
        <v>383</v>
      </c>
      <c r="C1356" s="358" t="s">
        <v>1779</v>
      </c>
      <c r="D1356" s="923">
        <f>G1310</f>
        <v>169262.40961912516</v>
      </c>
      <c r="E1356" s="923">
        <v>3490.0200886073349</v>
      </c>
      <c r="F1356" s="923">
        <v>-87.041752135388975</v>
      </c>
      <c r="G1356" s="923">
        <f>SUM(D1356:F1356)</f>
        <v>172665.38795559711</v>
      </c>
      <c r="H1356" s="369"/>
      <c r="I1356" s="923">
        <f>O1310</f>
        <v>-7648.6012854036217</v>
      </c>
      <c r="J1356" s="1251">
        <f>+J1310</f>
        <v>2.2200000000000001E-2</v>
      </c>
      <c r="K1356" s="925">
        <f>ROUND((G1356+D1356)/2*J1356/12,2)</f>
        <v>316.27999999999997</v>
      </c>
      <c r="L1356" s="923">
        <v>0</v>
      </c>
      <c r="M1356" s="923">
        <f>F1356</f>
        <v>-87.041752135388975</v>
      </c>
      <c r="N1356" s="923">
        <v>0</v>
      </c>
      <c r="O1356" s="923">
        <f>I1356+K1356+L1356+M1356+N1356</f>
        <v>-7419.3630375390112</v>
      </c>
    </row>
    <row r="1357" spans="1:15">
      <c r="A1357" s="361">
        <f>A1356+1</f>
        <v>6</v>
      </c>
      <c r="C1357" s="358" t="s">
        <v>3077</v>
      </c>
      <c r="D1357" s="369">
        <f>SUM(D1352:D1356)</f>
        <v>85226894.477987528</v>
      </c>
      <c r="E1357" s="369">
        <f>SUM(E1352:E1356)</f>
        <v>2906976.6766955489</v>
      </c>
      <c r="F1357" s="369">
        <f>SUM(F1352:F1356)</f>
        <v>-273200.22530615976</v>
      </c>
      <c r="G1357" s="369">
        <f>SUM(G1352:G1356)</f>
        <v>87860670.92937693</v>
      </c>
      <c r="H1357" s="369"/>
      <c r="I1357" s="369">
        <f>SUM(I1352:I1356)</f>
        <v>-12889492.701529985</v>
      </c>
      <c r="J1357" s="369"/>
      <c r="K1357" s="369">
        <f>SUM(K1352:K1356)</f>
        <v>202313.57</v>
      </c>
      <c r="L1357" s="369">
        <f t="shared" ref="L1357" si="29">SUM(L1352:L1356)</f>
        <v>0</v>
      </c>
      <c r="M1357" s="369">
        <f>SUM(M1352:M1356)</f>
        <v>-273200.22530615976</v>
      </c>
      <c r="N1357" s="369">
        <f>SUM(N1352:N1356)</f>
        <v>-89524.468303690199</v>
      </c>
      <c r="O1357" s="369">
        <f>SUM(O1352:O1356)</f>
        <v>-13049903.825139834</v>
      </c>
    </row>
    <row r="1358" spans="1:15">
      <c r="A1358" s="361"/>
      <c r="D1358" s="369"/>
      <c r="E1358" s="369"/>
      <c r="F1358" s="369"/>
      <c r="G1358" s="369"/>
      <c r="H1358" s="369"/>
      <c r="I1358" s="369"/>
      <c r="J1358" s="369"/>
      <c r="K1358" s="369"/>
      <c r="L1358" s="369"/>
      <c r="M1358" s="369"/>
      <c r="N1358" s="369"/>
      <c r="O1358" s="369"/>
    </row>
    <row r="1359" spans="1:15">
      <c r="A1359" s="361"/>
      <c r="D1359" s="369"/>
      <c r="E1359" s="369"/>
      <c r="F1359" s="369"/>
      <c r="G1359" s="369"/>
      <c r="H1359" s="369"/>
      <c r="I1359" s="369"/>
      <c r="J1359" s="369"/>
      <c r="K1359" s="369"/>
      <c r="L1359" s="369"/>
      <c r="M1359" s="369"/>
      <c r="N1359" s="369"/>
      <c r="O1359" s="369"/>
    </row>
    <row r="1360" spans="1:15">
      <c r="A1360" s="361">
        <f>A1357+1</f>
        <v>7</v>
      </c>
      <c r="B1360" s="365">
        <v>376</v>
      </c>
      <c r="C1360" s="358" t="s">
        <v>1775</v>
      </c>
      <c r="D1360" s="369">
        <f>D1352</f>
        <v>59120122.054636769</v>
      </c>
      <c r="E1360" s="369">
        <f>E1352</f>
        <v>2009726.2754147092</v>
      </c>
      <c r="F1360" s="369">
        <f>F1352</f>
        <v>-12279.020000000004</v>
      </c>
      <c r="G1360" s="369">
        <f>SUM(D1360:F1360)</f>
        <v>61117569.310051478</v>
      </c>
      <c r="H1360" s="369"/>
      <c r="I1360" s="369">
        <f>I1352</f>
        <v>594055.61878931639</v>
      </c>
      <c r="J1360" s="1251"/>
      <c r="K1360" s="369">
        <f>K1352</f>
        <v>90178.27</v>
      </c>
      <c r="L1360" s="369">
        <v>0</v>
      </c>
      <c r="M1360" s="369">
        <f>M1352</f>
        <v>-12279.020000000004</v>
      </c>
      <c r="N1360" s="369">
        <f>N1352</f>
        <v>0</v>
      </c>
      <c r="O1360" s="369">
        <f>I1360+K1360+L1360+M1360+N1360</f>
        <v>671954.86878931639</v>
      </c>
    </row>
    <row r="1361" spans="1:15">
      <c r="A1361" s="361">
        <f>A1360+1</f>
        <v>8</v>
      </c>
      <c r="B1361" s="365">
        <v>376</v>
      </c>
      <c r="C1361" s="358" t="s">
        <v>1621</v>
      </c>
      <c r="D1361" s="923">
        <f>D1362-D1360</f>
        <v>422928471.71536332</v>
      </c>
      <c r="E1361" s="923">
        <f>E1362-E1360</f>
        <v>352587.60458529065</v>
      </c>
      <c r="F1361" s="923">
        <f>F1362-F1360</f>
        <v>-51819.03</v>
      </c>
      <c r="G1361" s="923">
        <f>SUM(D1361:F1361)</f>
        <v>423229240.28994864</v>
      </c>
      <c r="H1361" s="369"/>
      <c r="I1361" s="923">
        <f>I1362-I1360</f>
        <v>89086528.751210779</v>
      </c>
      <c r="J1361" s="1251"/>
      <c r="K1361" s="923">
        <f>K1362-K1360</f>
        <v>634618.73</v>
      </c>
      <c r="L1361" s="923">
        <v>0</v>
      </c>
      <c r="M1361" s="923">
        <f>M1362-M1360</f>
        <v>-51819.03</v>
      </c>
      <c r="N1361" s="923">
        <f>N1362-N1360</f>
        <v>-9861.7674889751052</v>
      </c>
      <c r="O1361" s="923">
        <f>I1361+K1361+L1361+M1361+N1361</f>
        <v>89659466.683721811</v>
      </c>
    </row>
    <row r="1362" spans="1:15">
      <c r="A1362" s="361">
        <f>A1361+1</f>
        <v>9</v>
      </c>
      <c r="B1362" s="365">
        <v>376</v>
      </c>
      <c r="C1362" s="358" t="s">
        <v>3078</v>
      </c>
      <c r="D1362" s="369">
        <f>G1316</f>
        <v>482048593.7700001</v>
      </c>
      <c r="E1362" s="369">
        <v>2362313.88</v>
      </c>
      <c r="F1362" s="369">
        <v>-64098.05</v>
      </c>
      <c r="G1362" s="369">
        <f>SUM(G1360:G1361)</f>
        <v>484346809.60000014</v>
      </c>
      <c r="H1362" s="369"/>
      <c r="I1362" s="369">
        <f>O1316</f>
        <v>89680584.370000094</v>
      </c>
      <c r="J1362" s="1251">
        <f>+J1316</f>
        <v>1.7999999999999999E-2</v>
      </c>
      <c r="K1362" s="369">
        <f>ROUND((D1362+G1362)/2*J1362/12,0)</f>
        <v>724797</v>
      </c>
      <c r="L1362" s="369">
        <f>SUM(L1360:L1361)</f>
        <v>0</v>
      </c>
      <c r="M1362" s="369">
        <f>F1362</f>
        <v>-64098.05</v>
      </c>
      <c r="N1362" s="369">
        <v>-9861.7674889751052</v>
      </c>
      <c r="O1362" s="369">
        <f>SUM(O1360:O1361)</f>
        <v>90331421.552511126</v>
      </c>
    </row>
    <row r="1363" spans="1:15">
      <c r="A1363" s="361"/>
      <c r="B1363" s="365"/>
      <c r="D1363" s="369"/>
      <c r="E1363" s="369"/>
      <c r="F1363" s="369"/>
      <c r="G1363" s="369"/>
      <c r="H1363" s="369"/>
      <c r="I1363" s="369"/>
      <c r="J1363" s="1251"/>
      <c r="K1363" s="369"/>
      <c r="L1363" s="369"/>
      <c r="M1363" s="369"/>
      <c r="N1363" s="369"/>
      <c r="O1363" s="369"/>
    </row>
    <row r="1364" spans="1:15">
      <c r="A1364" s="361">
        <f>A1362+1</f>
        <v>10</v>
      </c>
      <c r="B1364" s="365">
        <v>378.2</v>
      </c>
      <c r="C1364" s="358" t="s">
        <v>1776</v>
      </c>
      <c r="D1364" s="369">
        <f>D1353</f>
        <v>599780.62011021946</v>
      </c>
      <c r="E1364" s="369">
        <f>E1353</f>
        <v>0</v>
      </c>
      <c r="F1364" s="369">
        <f>F1353</f>
        <v>0</v>
      </c>
      <c r="G1364" s="369">
        <f>SUM(D1364:F1364)</f>
        <v>599780.62011021946</v>
      </c>
      <c r="H1364" s="369"/>
      <c r="I1364" s="369">
        <f>I1353</f>
        <v>-936545.32754116016</v>
      </c>
      <c r="J1364" s="1251"/>
      <c r="K1364" s="369">
        <f>K1353</f>
        <v>1654.39</v>
      </c>
      <c r="L1364" s="369">
        <v>0</v>
      </c>
      <c r="M1364" s="369">
        <f>M1353</f>
        <v>0</v>
      </c>
      <c r="N1364" s="369">
        <f>N1353</f>
        <v>0</v>
      </c>
      <c r="O1364" s="369">
        <f>I1364+K1364+L1364+M1364+N1364</f>
        <v>-934890.93754116015</v>
      </c>
    </row>
    <row r="1365" spans="1:15">
      <c r="A1365" s="361">
        <f>A1364+1</f>
        <v>11</v>
      </c>
      <c r="B1365" s="365">
        <v>378.2</v>
      </c>
      <c r="C1365" s="358" t="s">
        <v>1622</v>
      </c>
      <c r="D1365" s="923">
        <f>D1366-D1364</f>
        <v>29732605.019094974</v>
      </c>
      <c r="E1365" s="923">
        <f>E1366-E1364</f>
        <v>58565.125506146236</v>
      </c>
      <c r="F1365" s="923">
        <f>F1366-F1364</f>
        <v>0</v>
      </c>
      <c r="G1365" s="923">
        <f>SUM(D1365:F1365)</f>
        <v>29791170.144601122</v>
      </c>
      <c r="H1365" s="369"/>
      <c r="I1365" s="923">
        <f>I1366-I1364</f>
        <v>3290847.3009178676</v>
      </c>
      <c r="J1365" s="1251"/>
      <c r="K1365" s="923">
        <f>K1366-K1364</f>
        <v>82093.61</v>
      </c>
      <c r="L1365" s="923">
        <v>0</v>
      </c>
      <c r="M1365" s="923">
        <f>M1366-M1364</f>
        <v>0</v>
      </c>
      <c r="N1365" s="923">
        <f>N1366-N1364</f>
        <v>-7731.9958448987218</v>
      </c>
      <c r="O1365" s="923">
        <f>I1365+K1365+L1365+M1365+N1365</f>
        <v>3365208.9150729687</v>
      </c>
    </row>
    <row r="1366" spans="1:15">
      <c r="A1366" s="361">
        <f>A1365+1</f>
        <v>12</v>
      </c>
      <c r="B1366" s="365">
        <v>378.2</v>
      </c>
      <c r="C1366" s="358" t="s">
        <v>3079</v>
      </c>
      <c r="D1366" s="369">
        <f>G1320</f>
        <v>30332385.639205195</v>
      </c>
      <c r="E1366" s="369">
        <v>58565.125506146236</v>
      </c>
      <c r="F1366" s="369">
        <v>0</v>
      </c>
      <c r="G1366" s="369">
        <f>SUM(G1364:G1365)</f>
        <v>30390950.764711343</v>
      </c>
      <c r="H1366" s="369"/>
      <c r="I1366" s="369">
        <f>O1320</f>
        <v>2354301.9733767072</v>
      </c>
      <c r="J1366" s="1251">
        <f>+J1320</f>
        <v>3.3099999999999997E-2</v>
      </c>
      <c r="K1366" s="369">
        <f>ROUND((D1366+G1366)/2*J1366/12,0)</f>
        <v>83748</v>
      </c>
      <c r="L1366" s="369">
        <f>SUM(L1364:L1365)</f>
        <v>0</v>
      </c>
      <c r="M1366" s="369">
        <f>F1366</f>
        <v>0</v>
      </c>
      <c r="N1366" s="369">
        <v>-7731.9958448987218</v>
      </c>
      <c r="O1366" s="369">
        <f>SUM(O1364:O1365)</f>
        <v>2430317.9775318084</v>
      </c>
    </row>
    <row r="1367" spans="1:15">
      <c r="A1367" s="361"/>
      <c r="B1367" s="365"/>
      <c r="D1367" s="369"/>
      <c r="E1367" s="369"/>
      <c r="F1367" s="369"/>
      <c r="G1367" s="369"/>
      <c r="H1367" s="369"/>
      <c r="I1367" s="369"/>
      <c r="J1367" s="1251"/>
      <c r="K1367" s="369"/>
      <c r="L1367" s="369"/>
      <c r="M1367" s="369"/>
      <c r="N1367" s="369"/>
      <c r="O1367" s="369"/>
    </row>
    <row r="1368" spans="1:15">
      <c r="A1368" s="361">
        <f>A1366+1</f>
        <v>13</v>
      </c>
      <c r="B1368" s="365">
        <v>380</v>
      </c>
      <c r="C1368" s="358" t="s">
        <v>1777</v>
      </c>
      <c r="D1368" s="369">
        <f>D1354</f>
        <v>25100315.207036886</v>
      </c>
      <c r="E1368" s="369">
        <f>E1354</f>
        <v>891305.52897359652</v>
      </c>
      <c r="F1368" s="369">
        <f>F1354</f>
        <v>-260213.17135648616</v>
      </c>
      <c r="G1368" s="369">
        <f>SUM(D1368:F1368)</f>
        <v>25731407.564654</v>
      </c>
      <c r="H1368" s="369"/>
      <c r="I1368" s="369">
        <f>I1354</f>
        <v>-12464673.115395388</v>
      </c>
      <c r="J1368" s="1251"/>
      <c r="K1368" s="369">
        <f>K1354</f>
        <v>109711.8</v>
      </c>
      <c r="L1368" s="369">
        <v>0</v>
      </c>
      <c r="M1368" s="369">
        <f>M1354</f>
        <v>-260213.17135648616</v>
      </c>
      <c r="N1368" s="369">
        <f>N1354</f>
        <v>-89524.468303690199</v>
      </c>
      <c r="O1368" s="369">
        <f>I1368+K1368+L1368+M1368+N1368</f>
        <v>-12704698.955055563</v>
      </c>
    </row>
    <row r="1369" spans="1:15">
      <c r="A1369" s="361">
        <f>A1368+1</f>
        <v>14</v>
      </c>
      <c r="B1369" s="365">
        <v>380</v>
      </c>
      <c r="C1369" s="358" t="s">
        <v>1623</v>
      </c>
      <c r="D1369" s="923">
        <f>D1370-D1368</f>
        <v>206484033.26296312</v>
      </c>
      <c r="E1369" s="923">
        <f>E1370-E1368</f>
        <v>519468.80102640355</v>
      </c>
      <c r="F1369" s="923">
        <f>F1370-F1368</f>
        <v>-57169.478643513867</v>
      </c>
      <c r="G1369" s="923">
        <f>SUM(D1369:F1369)</f>
        <v>206946332.58534601</v>
      </c>
      <c r="H1369" s="369"/>
      <c r="I1369" s="923">
        <f>I1370-I1368</f>
        <v>70482640.795395389</v>
      </c>
      <c r="J1369" s="1251"/>
      <c r="K1369" s="923">
        <f>K1370-K1368</f>
        <v>892320.2</v>
      </c>
      <c r="L1369" s="923">
        <v>0</v>
      </c>
      <c r="M1369" s="923">
        <f>M1370-M1368</f>
        <v>-57169.478643513867</v>
      </c>
      <c r="N1369" s="923">
        <f>N1370-N1368</f>
        <v>-36728.941696309805</v>
      </c>
      <c r="O1369" s="923">
        <f>I1369+K1369+L1369+M1369+N1369</f>
        <v>71281062.575055569</v>
      </c>
    </row>
    <row r="1370" spans="1:15">
      <c r="A1370" s="361">
        <f>A1369+1</f>
        <v>15</v>
      </c>
      <c r="B1370" s="365">
        <v>380</v>
      </c>
      <c r="C1370" s="358" t="s">
        <v>3080</v>
      </c>
      <c r="D1370" s="369">
        <f>G1324</f>
        <v>231584348.47</v>
      </c>
      <c r="E1370" s="369">
        <v>1410774.33</v>
      </c>
      <c r="F1370" s="369">
        <v>-317382.65000000002</v>
      </c>
      <c r="G1370" s="369">
        <f>SUM(G1368:G1369)</f>
        <v>232677740.15000001</v>
      </c>
      <c r="H1370" s="369"/>
      <c r="I1370" s="369">
        <f>O1324</f>
        <v>58017967.68</v>
      </c>
      <c r="J1370" s="1251">
        <f>+J1324</f>
        <v>5.1799999999999999E-2</v>
      </c>
      <c r="K1370" s="369">
        <f>ROUND((D1370+G1370)/2*J1370/12,0)</f>
        <v>1002032</v>
      </c>
      <c r="L1370" s="369">
        <f>SUM(L1368:L1369)</f>
        <v>0</v>
      </c>
      <c r="M1370" s="369">
        <f>F1370</f>
        <v>-317382.65000000002</v>
      </c>
      <c r="N1370" s="369">
        <v>-126253.41</v>
      </c>
      <c r="O1370" s="369">
        <f>SUM(O1368:O1369)</f>
        <v>58576363.620000005</v>
      </c>
    </row>
    <row r="1371" spans="1:15">
      <c r="A1371" s="361"/>
      <c r="B1371" s="365"/>
      <c r="D1371" s="369"/>
      <c r="E1371" s="369"/>
      <c r="F1371" s="369"/>
      <c r="G1371" s="369"/>
      <c r="H1371" s="369"/>
      <c r="I1371" s="369"/>
      <c r="J1371" s="1251"/>
      <c r="K1371" s="369"/>
      <c r="L1371" s="369"/>
      <c r="M1371" s="369"/>
      <c r="N1371" s="369"/>
      <c r="O1371" s="369"/>
    </row>
    <row r="1372" spans="1:15">
      <c r="A1372" s="361">
        <f>A1370+1</f>
        <v>16</v>
      </c>
      <c r="B1372" s="365">
        <v>382</v>
      </c>
      <c r="C1372" s="358" t="s">
        <v>1778</v>
      </c>
      <c r="D1372" s="369">
        <f>D1355</f>
        <v>237414.18658453683</v>
      </c>
      <c r="E1372" s="369">
        <f>E1355</f>
        <v>2454.8522186358073</v>
      </c>
      <c r="F1372" s="369">
        <f>F1355</f>
        <v>-620.99219753817829</v>
      </c>
      <c r="G1372" s="369">
        <f>SUM(D1372:F1372)</f>
        <v>239248.04660563447</v>
      </c>
      <c r="H1372" s="369"/>
      <c r="I1372" s="369">
        <f>I1355</f>
        <v>-74681.276097349328</v>
      </c>
      <c r="J1372" s="1251"/>
      <c r="K1372" s="369">
        <f>K1355</f>
        <v>452.83</v>
      </c>
      <c r="L1372" s="369">
        <v>0</v>
      </c>
      <c r="M1372" s="369">
        <f>M1355</f>
        <v>-620.99219753817829</v>
      </c>
      <c r="N1372" s="369">
        <f>N1355</f>
        <v>0</v>
      </c>
      <c r="O1372" s="369">
        <f>I1372+K1372+L1372+M1372+N1372</f>
        <v>-74849.438294887499</v>
      </c>
    </row>
    <row r="1373" spans="1:15">
      <c r="A1373" s="361">
        <f>A1372+1</f>
        <v>17</v>
      </c>
      <c r="B1373" s="365">
        <v>382</v>
      </c>
      <c r="C1373" s="358" t="s">
        <v>1624</v>
      </c>
      <c r="D1373" s="923">
        <f>D1374-D1372</f>
        <v>10714841.020865642</v>
      </c>
      <c r="E1373" s="923">
        <f>E1374-E1372</f>
        <v>7349.372576651087</v>
      </c>
      <c r="F1373" s="923">
        <f>F1374-F1372</f>
        <v>-1859.1355488753618</v>
      </c>
      <c r="G1373" s="923">
        <f>SUM(D1373:F1373)</f>
        <v>10720331.257893417</v>
      </c>
      <c r="H1373" s="369"/>
      <c r="I1373" s="923">
        <f>I1374-I1372</f>
        <v>6111555.6411087932</v>
      </c>
      <c r="J1373" s="1251"/>
      <c r="K1373" s="923">
        <f>K1374-K1372</f>
        <v>20363.169999999998</v>
      </c>
      <c r="L1373" s="923">
        <v>0</v>
      </c>
      <c r="M1373" s="923">
        <f>M1374-M1372</f>
        <v>-1859.1355488753618</v>
      </c>
      <c r="N1373" s="923">
        <f>N1374-N1372</f>
        <v>0</v>
      </c>
      <c r="O1373" s="923">
        <f>I1373+K1373+L1373+M1373+N1373</f>
        <v>6130059.6755599175</v>
      </c>
    </row>
    <row r="1374" spans="1:15">
      <c r="A1374" s="361">
        <f>A1373+1</f>
        <v>18</v>
      </c>
      <c r="B1374" s="365">
        <v>382</v>
      </c>
      <c r="C1374" s="358" t="s">
        <v>3081</v>
      </c>
      <c r="D1374" s="369">
        <f>G1328</f>
        <v>10952255.207450178</v>
      </c>
      <c r="E1374" s="369">
        <v>9804.2247952868947</v>
      </c>
      <c r="F1374" s="369">
        <v>-2480.1277464135401</v>
      </c>
      <c r="G1374" s="369">
        <f>SUM(G1372:G1373)</f>
        <v>10959579.304499051</v>
      </c>
      <c r="H1374" s="369"/>
      <c r="I1374" s="369">
        <f>O1328</f>
        <v>6036874.3650114443</v>
      </c>
      <c r="J1374" s="1251">
        <f>+J1328</f>
        <v>2.2800000000000001E-2</v>
      </c>
      <c r="K1374" s="369">
        <f>ROUND((D1374+G1374)/2*J1374/12,0)</f>
        <v>20816</v>
      </c>
      <c r="L1374" s="369">
        <f>SUM(L1372:L1373)</f>
        <v>0</v>
      </c>
      <c r="M1374" s="369">
        <f>F1374</f>
        <v>-2480.1277464135401</v>
      </c>
      <c r="N1374" s="369">
        <v>0</v>
      </c>
      <c r="O1374" s="369">
        <f>SUM(O1372:O1373)</f>
        <v>6055210.2372650299</v>
      </c>
    </row>
    <row r="1375" spans="1:15">
      <c r="A1375" s="361"/>
      <c r="B1375" s="365"/>
      <c r="D1375" s="369"/>
      <c r="E1375" s="369"/>
      <c r="F1375" s="369"/>
      <c r="G1375" s="369"/>
      <c r="H1375" s="369"/>
      <c r="I1375" s="369"/>
      <c r="J1375" s="1251"/>
      <c r="K1375" s="369"/>
      <c r="L1375" s="369"/>
      <c r="M1375" s="369"/>
      <c r="N1375" s="369"/>
      <c r="O1375" s="369"/>
    </row>
    <row r="1376" spans="1:15">
      <c r="A1376" s="361">
        <f>A1374+1</f>
        <v>19</v>
      </c>
      <c r="B1376" s="365">
        <v>383</v>
      </c>
      <c r="C1376" s="358" t="s">
        <v>1779</v>
      </c>
      <c r="D1376" s="369">
        <f>D1356</f>
        <v>169262.40961912516</v>
      </c>
      <c r="E1376" s="369">
        <f>E1356</f>
        <v>3490.0200886073349</v>
      </c>
      <c r="F1376" s="369">
        <f>F1356</f>
        <v>-87.041752135388975</v>
      </c>
      <c r="G1376" s="369">
        <f>SUM(D1376:F1376)</f>
        <v>172665.38795559711</v>
      </c>
      <c r="H1376" s="369"/>
      <c r="I1376" s="369">
        <f>I1356</f>
        <v>-7648.6012854036217</v>
      </c>
      <c r="J1376" s="1251"/>
      <c r="K1376" s="369">
        <f>K1356</f>
        <v>316.27999999999997</v>
      </c>
      <c r="L1376" s="369">
        <v>0</v>
      </c>
      <c r="M1376" s="369">
        <f>M1356</f>
        <v>-87.041752135388975</v>
      </c>
      <c r="N1376" s="369">
        <f>N1356</f>
        <v>0</v>
      </c>
      <c r="O1376" s="369">
        <f>I1376+K1376+L1376+M1376+N1376</f>
        <v>-7419.3630375390112</v>
      </c>
    </row>
    <row r="1377" spans="1:15">
      <c r="A1377" s="361">
        <f>A1376+1</f>
        <v>20</v>
      </c>
      <c r="B1377" s="365">
        <v>383</v>
      </c>
      <c r="C1377" s="358" t="s">
        <v>1625</v>
      </c>
      <c r="D1377" s="923">
        <f>D1378-D1376</f>
        <v>7715296.1357347565</v>
      </c>
      <c r="E1377" s="923">
        <f>E1378-E1376</f>
        <v>20319.459911392663</v>
      </c>
      <c r="F1377" s="923">
        <f>F1378-F1376</f>
        <v>-506.77106564041105</v>
      </c>
      <c r="G1377" s="923">
        <f>SUM(D1377:F1377)</f>
        <v>7735108.8245805092</v>
      </c>
      <c r="H1377" s="369"/>
      <c r="I1377" s="923">
        <f>I1378-I1376</f>
        <v>2694956.888073822</v>
      </c>
      <c r="J1377" s="1251"/>
      <c r="K1377" s="923">
        <f>K1378-K1376</f>
        <v>14291.72</v>
      </c>
      <c r="L1377" s="923">
        <v>0</v>
      </c>
      <c r="M1377" s="923">
        <f>M1378-M1376</f>
        <v>-506.77106564041105</v>
      </c>
      <c r="N1377" s="923">
        <f>N1378-N1376</f>
        <v>0</v>
      </c>
      <c r="O1377" s="923">
        <f>I1377+K1377+L1377+M1377+N1377</f>
        <v>2708741.837008182</v>
      </c>
    </row>
    <row r="1378" spans="1:15">
      <c r="A1378" s="361">
        <f>A1377+1</f>
        <v>21</v>
      </c>
      <c r="B1378" s="365">
        <v>383</v>
      </c>
      <c r="C1378" s="358" t="s">
        <v>3082</v>
      </c>
      <c r="D1378" s="369">
        <f>G1332</f>
        <v>7884558.545353882</v>
      </c>
      <c r="E1378" s="369">
        <v>23809.48</v>
      </c>
      <c r="F1378" s="369">
        <v>-593.8128177758</v>
      </c>
      <c r="G1378" s="369">
        <f>SUM(G1376:G1377)</f>
        <v>7907774.2125361059</v>
      </c>
      <c r="H1378" s="369"/>
      <c r="I1378" s="369">
        <f>O1332</f>
        <v>2687308.2867884184</v>
      </c>
      <c r="J1378" s="1251">
        <f>+J1332</f>
        <v>2.2200000000000001E-2</v>
      </c>
      <c r="K1378" s="369">
        <f>ROUND((D1378+G1378)/2*J1378/12,0)</f>
        <v>14608</v>
      </c>
      <c r="L1378" s="369">
        <f>SUM(L1376:L1377)</f>
        <v>0</v>
      </c>
      <c r="M1378" s="369">
        <f>F1378</f>
        <v>-593.8128177758</v>
      </c>
      <c r="N1378" s="369">
        <v>0</v>
      </c>
      <c r="O1378" s="369">
        <f>SUM(O1376:O1377)</f>
        <v>2701322.4739706428</v>
      </c>
    </row>
    <row r="1381" spans="1:15" s="291" customFormat="1">
      <c r="A1381" s="1308" t="str">
        <f>$A$1</f>
        <v>COLUMBIA GAS OF KENTUCKY, INC.</v>
      </c>
      <c r="B1381" s="1308"/>
      <c r="C1381" s="1308"/>
      <c r="D1381" s="1308"/>
      <c r="E1381" s="1308"/>
      <c r="F1381" s="1308"/>
      <c r="G1381" s="1308"/>
      <c r="H1381" s="1308"/>
      <c r="I1381" s="1308"/>
      <c r="J1381" s="1308"/>
      <c r="K1381" s="1308"/>
      <c r="L1381" s="1308"/>
      <c r="M1381" s="1308"/>
      <c r="N1381" s="1308"/>
      <c r="O1381" s="1308"/>
    </row>
    <row r="1382" spans="1:15" s="291" customFormat="1">
      <c r="A1382" s="1308" t="str">
        <f>$A$2</f>
        <v>CASE NO. 2024 - 00092</v>
      </c>
      <c r="B1382" s="1308"/>
      <c r="C1382" s="1308"/>
      <c r="D1382" s="1308"/>
      <c r="E1382" s="1308"/>
      <c r="F1382" s="1308"/>
      <c r="G1382" s="1308"/>
      <c r="H1382" s="1308"/>
      <c r="I1382" s="1308"/>
      <c r="J1382" s="1308"/>
      <c r="K1382" s="1308"/>
      <c r="L1382" s="1308"/>
      <c r="M1382" s="1308"/>
      <c r="N1382" s="1308"/>
      <c r="O1382" s="1308"/>
    </row>
    <row r="1383" spans="1:15" s="291" customFormat="1">
      <c r="A1383" s="1308" t="str">
        <f>$A$3</f>
        <v>DETAIL OF ACTUAL &amp;  FORECASTED SMRP PLANT, ACCUMULATED RESERVE &amp; DEPRECIATION EXPENSE</v>
      </c>
      <c r="B1383" s="1308"/>
      <c r="C1383" s="1308"/>
      <c r="D1383" s="1308"/>
      <c r="E1383" s="1308"/>
      <c r="F1383" s="1308"/>
      <c r="G1383" s="1308"/>
      <c r="H1383" s="1308"/>
      <c r="I1383" s="1308"/>
      <c r="J1383" s="1308"/>
      <c r="K1383" s="1308"/>
      <c r="L1383" s="1308"/>
      <c r="M1383" s="1308"/>
      <c r="N1383" s="1308"/>
      <c r="O1383" s="1308"/>
    </row>
    <row r="1384" spans="1:15" s="291" customFormat="1">
      <c r="A1384" s="1308" t="str">
        <f>$A$4</f>
        <v>FROM JANUARY 01, 2023 THROUGH DECEMBER 31, 2025</v>
      </c>
      <c r="B1384" s="1308"/>
      <c r="C1384" s="1308"/>
      <c r="D1384" s="1308"/>
      <c r="E1384" s="1308"/>
      <c r="F1384" s="1308"/>
      <c r="G1384" s="1308"/>
      <c r="H1384" s="1308"/>
      <c r="I1384" s="1308"/>
      <c r="J1384" s="1308"/>
      <c r="K1384" s="1308"/>
      <c r="L1384" s="1308"/>
      <c r="M1384" s="1308"/>
      <c r="N1384" s="1308"/>
      <c r="O1384" s="1308"/>
    </row>
    <row r="1385" spans="1:15" s="291" customFormat="1">
      <c r="B1385" s="293"/>
    </row>
    <row r="1386" spans="1:15" s="291" customFormat="1">
      <c r="A1386" s="297" t="str">
        <f>'General Headers Index'!$B$34</f>
        <v xml:space="preserve">DATA: _X_ BASE PERIOD _X_ FORECASTED PERIOD     </v>
      </c>
      <c r="B1386" s="293"/>
      <c r="O1386" s="312" t="s">
        <v>2461</v>
      </c>
    </row>
    <row r="1387" spans="1:15" s="291" customFormat="1">
      <c r="A1387" s="297" t="str">
        <f>'General Headers Index'!$B$37</f>
        <v>TYPE OF FILING:___X___ORIGINAL______UPDATED</v>
      </c>
      <c r="B1387" s="293"/>
      <c r="O1387" s="312" t="s">
        <v>2253</v>
      </c>
    </row>
    <row r="1388" spans="1:15" s="291" customFormat="1">
      <c r="A1388" s="297" t="s">
        <v>2150</v>
      </c>
      <c r="B1388" s="293"/>
      <c r="O1388" s="312" t="str">
        <f>"WITNESS: "&amp;'General Headers Index'!$B$42</f>
        <v>WITNESS: GORE</v>
      </c>
    </row>
    <row r="1389" spans="1:15">
      <c r="A1389" s="918"/>
      <c r="B1389" s="918"/>
      <c r="C1389" s="918"/>
      <c r="D1389" s="918"/>
      <c r="E1389" s="918"/>
      <c r="F1389" s="918"/>
      <c r="G1389" s="918"/>
      <c r="H1389" s="918"/>
      <c r="I1389" s="918"/>
      <c r="J1389" s="918"/>
      <c r="K1389" s="918"/>
      <c r="L1389" s="918"/>
      <c r="M1389" s="918"/>
      <c r="N1389" s="918"/>
      <c r="O1389" s="918"/>
    </row>
    <row r="1390" spans="1:15">
      <c r="B1390" s="359"/>
      <c r="D1390" s="1312" t="s">
        <v>1768</v>
      </c>
      <c r="E1390" s="1312"/>
      <c r="F1390" s="1312"/>
      <c r="G1390" s="1312"/>
      <c r="I1390" s="1312" t="s">
        <v>1769</v>
      </c>
      <c r="J1390" s="1312"/>
      <c r="K1390" s="1312"/>
      <c r="L1390" s="1312"/>
      <c r="M1390" s="1312"/>
      <c r="N1390" s="1312"/>
      <c r="O1390" s="1312"/>
    </row>
    <row r="1391" spans="1:15">
      <c r="B1391" s="359"/>
      <c r="D1391" s="360">
        <f>G1345+1</f>
        <v>45839</v>
      </c>
      <c r="G1391" s="360">
        <f>D1391+30</f>
        <v>45869</v>
      </c>
      <c r="I1391" s="360">
        <f>D1391</f>
        <v>45839</v>
      </c>
      <c r="O1391" s="360">
        <f>G1391</f>
        <v>45869</v>
      </c>
    </row>
    <row r="1392" spans="1:15">
      <c r="B1392" s="359"/>
      <c r="D1392" s="361" t="s">
        <v>1757</v>
      </c>
      <c r="G1392" s="361" t="s">
        <v>1757</v>
      </c>
      <c r="I1392" s="361" t="s">
        <v>1758</v>
      </c>
      <c r="J1392" s="361" t="s">
        <v>488</v>
      </c>
      <c r="L1392" s="361" t="s">
        <v>1758</v>
      </c>
      <c r="O1392" s="361" t="s">
        <v>1758</v>
      </c>
    </row>
    <row r="1393" spans="1:15">
      <c r="A1393" s="361" t="s">
        <v>1770</v>
      </c>
      <c r="B1393" s="361" t="s">
        <v>368</v>
      </c>
      <c r="C1393" s="361"/>
      <c r="D1393" s="361" t="s">
        <v>437</v>
      </c>
      <c r="G1393" s="361" t="s">
        <v>439</v>
      </c>
      <c r="I1393" s="361" t="s">
        <v>437</v>
      </c>
      <c r="J1393" s="361" t="s">
        <v>1771</v>
      </c>
      <c r="K1393" s="361" t="s">
        <v>1772</v>
      </c>
      <c r="L1393" s="361" t="s">
        <v>1759</v>
      </c>
      <c r="N1393" s="361" t="s">
        <v>1760</v>
      </c>
      <c r="O1393" s="361" t="s">
        <v>439</v>
      </c>
    </row>
    <row r="1394" spans="1:15">
      <c r="A1394" s="364" t="s">
        <v>316</v>
      </c>
      <c r="B1394" s="364" t="s">
        <v>316</v>
      </c>
      <c r="C1394" s="364" t="s">
        <v>451</v>
      </c>
      <c r="D1394" s="364" t="s">
        <v>441</v>
      </c>
      <c r="E1394" s="364" t="s">
        <v>442</v>
      </c>
      <c r="F1394" s="364" t="s">
        <v>443</v>
      </c>
      <c r="G1394" s="364" t="s">
        <v>441</v>
      </c>
      <c r="I1394" s="364" t="s">
        <v>441</v>
      </c>
      <c r="J1394" s="364" t="s">
        <v>1773</v>
      </c>
      <c r="K1394" s="364" t="s">
        <v>1771</v>
      </c>
      <c r="L1394" s="364" t="s">
        <v>355</v>
      </c>
      <c r="M1394" s="364" t="s">
        <v>443</v>
      </c>
      <c r="N1394" s="364" t="s">
        <v>1763</v>
      </c>
      <c r="O1394" s="364" t="s">
        <v>441</v>
      </c>
    </row>
    <row r="1395" spans="1:15">
      <c r="B1395" s="359"/>
      <c r="D1395" s="361" t="s">
        <v>532</v>
      </c>
      <c r="E1395" s="361" t="s">
        <v>541</v>
      </c>
      <c r="F1395" s="361" t="s">
        <v>542</v>
      </c>
      <c r="G1395" s="361" t="s">
        <v>1764</v>
      </c>
      <c r="I1395" s="334" t="str">
        <f>"(5)"</f>
        <v>(5)</v>
      </c>
      <c r="J1395" s="334" t="str">
        <f>"(6)"</f>
        <v>(6)</v>
      </c>
      <c r="K1395" s="334" t="str">
        <f>"(7)=((1+4)/2*6/12))"</f>
        <v>(7)=((1+4)/2*6/12))</v>
      </c>
      <c r="L1395" s="334" t="str">
        <f>"(8)"</f>
        <v>(8)</v>
      </c>
      <c r="M1395" s="334" t="str">
        <f>"(9)"</f>
        <v>(9)</v>
      </c>
      <c r="N1395" s="334" t="str">
        <f>"(10)"</f>
        <v>(10)</v>
      </c>
      <c r="O1395" s="334" t="str">
        <f>"(11=5+7+8+9+10)"</f>
        <v>(11=5+7+8+9+10)</v>
      </c>
    </row>
    <row r="1396" spans="1:15">
      <c r="B1396" s="359"/>
      <c r="D1396" s="361" t="s">
        <v>320</v>
      </c>
      <c r="E1396" s="361" t="s">
        <v>320</v>
      </c>
      <c r="F1396" s="361" t="s">
        <v>320</v>
      </c>
      <c r="G1396" s="361" t="s">
        <v>320</v>
      </c>
      <c r="I1396" s="334" t="s">
        <v>320</v>
      </c>
      <c r="J1396" s="1250" t="s">
        <v>529</v>
      </c>
      <c r="K1396" s="334" t="s">
        <v>320</v>
      </c>
      <c r="L1396" s="334" t="s">
        <v>320</v>
      </c>
      <c r="M1396" s="334" t="s">
        <v>320</v>
      </c>
      <c r="N1396" s="334" t="s">
        <v>320</v>
      </c>
      <c r="O1396" s="334" t="s">
        <v>320</v>
      </c>
    </row>
    <row r="1397" spans="1:15">
      <c r="B1397" s="359"/>
      <c r="D1397" s="361"/>
      <c r="E1397" s="361"/>
      <c r="F1397" s="361"/>
      <c r="G1397" s="361"/>
      <c r="I1397" s="334"/>
      <c r="J1397" s="334"/>
      <c r="K1397" s="334"/>
      <c r="L1397" s="334"/>
      <c r="M1397" s="334"/>
      <c r="N1397" s="334"/>
      <c r="O1397" s="334"/>
    </row>
    <row r="1398" spans="1:15">
      <c r="A1398" s="361">
        <v>1</v>
      </c>
      <c r="B1398" s="365">
        <v>376</v>
      </c>
      <c r="C1398" s="358" t="s">
        <v>1775</v>
      </c>
      <c r="D1398" s="369">
        <f>G1352</f>
        <v>61117569.310051478</v>
      </c>
      <c r="E1398" s="369">
        <v>1283012.2106324446</v>
      </c>
      <c r="F1398" s="369">
        <v>-16031.32</v>
      </c>
      <c r="G1398" s="369">
        <f>SUM(D1398:F1398)</f>
        <v>62384550.200683922</v>
      </c>
      <c r="H1398" s="369"/>
      <c r="I1398" s="369">
        <f>O1352</f>
        <v>671954.86878931639</v>
      </c>
      <c r="J1398" s="1251">
        <f>+J1352</f>
        <v>1.7999999999999999E-2</v>
      </c>
      <c r="K1398" s="380">
        <f>ROUND((G1398+D1398)/2*J1398/12,2)</f>
        <v>92626.59</v>
      </c>
      <c r="L1398" s="369">
        <v>0</v>
      </c>
      <c r="M1398" s="369">
        <f>F1398</f>
        <v>-16031.32</v>
      </c>
      <c r="N1398" s="369">
        <v>-3181.0271325157</v>
      </c>
      <c r="O1398" s="369">
        <f>I1398+K1398+L1398+M1398+N1398</f>
        <v>745369.11165680073</v>
      </c>
    </row>
    <row r="1399" spans="1:15">
      <c r="A1399" s="361">
        <f>A1398+1</f>
        <v>2</v>
      </c>
      <c r="B1399" s="365">
        <v>378.2</v>
      </c>
      <c r="C1399" s="358" t="s">
        <v>1776</v>
      </c>
      <c r="D1399" s="369">
        <f>G1353</f>
        <v>599780.62011021946</v>
      </c>
      <c r="E1399" s="369">
        <v>0</v>
      </c>
      <c r="F1399" s="369">
        <v>0</v>
      </c>
      <c r="G1399" s="369">
        <f>SUM(D1399:F1399)</f>
        <v>599780.62011021946</v>
      </c>
      <c r="H1399" s="369"/>
      <c r="I1399" s="369">
        <f>O1353</f>
        <v>-934890.93754116015</v>
      </c>
      <c r="J1399" s="1251">
        <f>+J1353</f>
        <v>3.3099999999999997E-2</v>
      </c>
      <c r="K1399" s="380">
        <f>ROUND((G1399+D1399)/2*J1399/12,2)</f>
        <v>1654.39</v>
      </c>
      <c r="L1399" s="369">
        <v>0</v>
      </c>
      <c r="M1399" s="369">
        <f>F1399</f>
        <v>0</v>
      </c>
      <c r="N1399" s="369">
        <v>0</v>
      </c>
      <c r="O1399" s="369">
        <f>I1399+K1399+L1399+M1399+N1399</f>
        <v>-933236.54754116014</v>
      </c>
    </row>
    <row r="1400" spans="1:15">
      <c r="A1400" s="361">
        <f>A1399+1</f>
        <v>3</v>
      </c>
      <c r="B1400" s="365">
        <v>380</v>
      </c>
      <c r="C1400" s="358" t="s">
        <v>1777</v>
      </c>
      <c r="D1400" s="369">
        <f>G1354</f>
        <v>25731407.564654</v>
      </c>
      <c r="E1400" s="369">
        <v>776797.48528737703</v>
      </c>
      <c r="F1400" s="369">
        <v>-204678.48812564329</v>
      </c>
      <c r="G1400" s="369">
        <f>SUM(D1400:F1400)</f>
        <v>26303526.561815731</v>
      </c>
      <c r="H1400" s="369"/>
      <c r="I1400" s="369">
        <f>O1354</f>
        <v>-12704698.955055563</v>
      </c>
      <c r="J1400" s="1251">
        <f>+J1354</f>
        <v>5.1799999999999999E-2</v>
      </c>
      <c r="K1400" s="380">
        <f>ROUND((G1400+D1400)/2*J1400/12,2)</f>
        <v>112308.73</v>
      </c>
      <c r="L1400" s="369">
        <v>0</v>
      </c>
      <c r="M1400" s="369">
        <f>F1400</f>
        <v>-204678.48812564329</v>
      </c>
      <c r="N1400" s="369">
        <v>-106647.28807982701</v>
      </c>
      <c r="O1400" s="369">
        <f>I1400+K1400+L1400+M1400+N1400</f>
        <v>-12903716.001261031</v>
      </c>
    </row>
    <row r="1401" spans="1:15">
      <c r="A1401" s="361">
        <f>A1400+1</f>
        <v>4</v>
      </c>
      <c r="B1401" s="365">
        <v>382</v>
      </c>
      <c r="C1401" s="358" t="s">
        <v>1778</v>
      </c>
      <c r="D1401" s="369">
        <f>G1355</f>
        <v>239248.04660563447</v>
      </c>
      <c r="E1401" s="369">
        <v>3163.9573974624709</v>
      </c>
      <c r="F1401" s="369">
        <v>-600.24599324900112</v>
      </c>
      <c r="G1401" s="369">
        <f>SUM(D1401:F1401)</f>
        <v>241811.75800984795</v>
      </c>
      <c r="H1401" s="369"/>
      <c r="I1401" s="369">
        <f>O1355</f>
        <v>-74849.438294887499</v>
      </c>
      <c r="J1401" s="1251">
        <f>+J1355</f>
        <v>2.2800000000000001E-2</v>
      </c>
      <c r="K1401" s="380">
        <f>ROUND((G1401+D1401)/2*J1401/12,2)</f>
        <v>457.01</v>
      </c>
      <c r="L1401" s="369">
        <v>0</v>
      </c>
      <c r="M1401" s="369">
        <f>F1401</f>
        <v>-600.24599324900112</v>
      </c>
      <c r="N1401" s="369">
        <v>0</v>
      </c>
      <c r="O1401" s="369">
        <f>I1401+K1401+L1401+M1401+N1401</f>
        <v>-74992.674288136506</v>
      </c>
    </row>
    <row r="1402" spans="1:15">
      <c r="A1402" s="361">
        <f>A1401+1</f>
        <v>5</v>
      </c>
      <c r="B1402" s="365">
        <v>383</v>
      </c>
      <c r="C1402" s="358" t="s">
        <v>1779</v>
      </c>
      <c r="D1402" s="923">
        <f>G1356</f>
        <v>172665.38795559711</v>
      </c>
      <c r="E1402" s="923">
        <v>2249.7972980199265</v>
      </c>
      <c r="F1402" s="923">
        <v>-303.87045165893409</v>
      </c>
      <c r="G1402" s="923">
        <f>SUM(D1402:F1402)</f>
        <v>174611.3148019581</v>
      </c>
      <c r="H1402" s="369"/>
      <c r="I1402" s="923">
        <f>O1356</f>
        <v>-7419.3630375390112</v>
      </c>
      <c r="J1402" s="1251">
        <f>+J1356</f>
        <v>2.2200000000000001E-2</v>
      </c>
      <c r="K1402" s="925">
        <f>ROUND((G1402+D1402)/2*J1402/12,2)</f>
        <v>321.23</v>
      </c>
      <c r="L1402" s="923">
        <v>0</v>
      </c>
      <c r="M1402" s="923">
        <f>F1402</f>
        <v>-303.87045165893409</v>
      </c>
      <c r="N1402" s="923">
        <v>0</v>
      </c>
      <c r="O1402" s="923">
        <f>I1402+K1402+L1402+M1402+N1402</f>
        <v>-7402.0034891979458</v>
      </c>
    </row>
    <row r="1403" spans="1:15">
      <c r="A1403" s="361">
        <f>A1402+1</f>
        <v>6</v>
      </c>
      <c r="C1403" s="358" t="s">
        <v>3077</v>
      </c>
      <c r="D1403" s="369">
        <f>SUM(D1398:D1402)</f>
        <v>87860670.92937693</v>
      </c>
      <c r="E1403" s="369">
        <f>SUM(E1398:E1402)</f>
        <v>2065223.4506153041</v>
      </c>
      <c r="F1403" s="369">
        <f>SUM(F1398:F1402)</f>
        <v>-221613.92457055123</v>
      </c>
      <c r="G1403" s="369">
        <f>SUM(G1398:G1402)</f>
        <v>89704280.455421686</v>
      </c>
      <c r="H1403" s="369"/>
      <c r="I1403" s="369">
        <f>SUM(I1398:I1402)</f>
        <v>-13049903.825139834</v>
      </c>
      <c r="J1403" s="369"/>
      <c r="K1403" s="369">
        <f>SUM(K1398:K1402)</f>
        <v>207367.95</v>
      </c>
      <c r="L1403" s="369">
        <f t="shared" ref="L1403" si="30">SUM(L1398:L1402)</f>
        <v>0</v>
      </c>
      <c r="M1403" s="369">
        <f>SUM(M1398:M1402)</f>
        <v>-221613.92457055123</v>
      </c>
      <c r="N1403" s="369">
        <f>SUM(N1398:N1402)</f>
        <v>-109828.3152123427</v>
      </c>
      <c r="O1403" s="369">
        <f>SUM(O1398:O1402)</f>
        <v>-13173978.114922727</v>
      </c>
    </row>
    <row r="1404" spans="1:15">
      <c r="A1404" s="361"/>
      <c r="D1404" s="369"/>
      <c r="E1404" s="369"/>
      <c r="F1404" s="369"/>
      <c r="G1404" s="369"/>
      <c r="H1404" s="369"/>
      <c r="I1404" s="369"/>
      <c r="J1404" s="369"/>
      <c r="K1404" s="369"/>
      <c r="L1404" s="369"/>
      <c r="M1404" s="369"/>
      <c r="N1404" s="369"/>
      <c r="O1404" s="369"/>
    </row>
    <row r="1405" spans="1:15">
      <c r="A1405" s="361"/>
      <c r="D1405" s="369"/>
      <c r="E1405" s="369"/>
      <c r="F1405" s="369"/>
      <c r="G1405" s="369"/>
      <c r="H1405" s="369"/>
      <c r="I1405" s="369"/>
      <c r="J1405" s="369"/>
      <c r="K1405" s="369"/>
      <c r="L1405" s="369"/>
      <c r="M1405" s="369"/>
      <c r="N1405" s="369"/>
      <c r="O1405" s="369"/>
    </row>
    <row r="1406" spans="1:15">
      <c r="A1406" s="361">
        <f>A1403+1</f>
        <v>7</v>
      </c>
      <c r="B1406" s="365">
        <v>376</v>
      </c>
      <c r="C1406" s="358" t="s">
        <v>1775</v>
      </c>
      <c r="D1406" s="369">
        <f>D1398</f>
        <v>61117569.310051478</v>
      </c>
      <c r="E1406" s="369">
        <f>E1398</f>
        <v>1283012.2106324446</v>
      </c>
      <c r="F1406" s="369">
        <f>F1398</f>
        <v>-16031.32</v>
      </c>
      <c r="G1406" s="369">
        <f>SUM(D1406:F1406)</f>
        <v>62384550.200683922</v>
      </c>
      <c r="H1406" s="369"/>
      <c r="I1406" s="369">
        <f>I1398</f>
        <v>671954.86878931639</v>
      </c>
      <c r="J1406" s="1251"/>
      <c r="K1406" s="369">
        <f>K1398</f>
        <v>92626.59</v>
      </c>
      <c r="L1406" s="369">
        <v>0</v>
      </c>
      <c r="M1406" s="369">
        <f>M1398</f>
        <v>-16031.32</v>
      </c>
      <c r="N1406" s="369">
        <f>N1398</f>
        <v>-3181.0271325157</v>
      </c>
      <c r="O1406" s="369">
        <f>I1406+K1406+L1406+M1406+N1406</f>
        <v>745369.11165680073</v>
      </c>
    </row>
    <row r="1407" spans="1:15">
      <c r="A1407" s="361">
        <f>A1406+1</f>
        <v>8</v>
      </c>
      <c r="B1407" s="365">
        <v>376</v>
      </c>
      <c r="C1407" s="358" t="s">
        <v>1621</v>
      </c>
      <c r="D1407" s="923">
        <f>D1408-D1406</f>
        <v>423229240.28994864</v>
      </c>
      <c r="E1407" s="923">
        <f>E1408-E1406</f>
        <v>195124.55936755543</v>
      </c>
      <c r="F1407" s="923">
        <f>F1408-F1406</f>
        <v>-44292.73</v>
      </c>
      <c r="G1407" s="923">
        <f>SUM(D1407:F1407)</f>
        <v>423380072.11931616</v>
      </c>
      <c r="H1407" s="369"/>
      <c r="I1407" s="923">
        <f>I1408-I1406</f>
        <v>89659466.683721811</v>
      </c>
      <c r="J1407" s="1251"/>
      <c r="K1407" s="923">
        <f>K1408-K1406</f>
        <v>634957.41</v>
      </c>
      <c r="L1407" s="923">
        <v>0</v>
      </c>
      <c r="M1407" s="923">
        <f>M1408-M1406</f>
        <v>-44292.73</v>
      </c>
      <c r="N1407" s="923">
        <f>N1408-N1406</f>
        <v>-9632.3828674842989</v>
      </c>
      <c r="O1407" s="923">
        <f>I1407+K1407+L1407+M1407+N1407</f>
        <v>90240498.980854318</v>
      </c>
    </row>
    <row r="1408" spans="1:15">
      <c r="A1408" s="361">
        <f>A1407+1</f>
        <v>9</v>
      </c>
      <c r="B1408" s="365">
        <v>376</v>
      </c>
      <c r="C1408" s="358" t="s">
        <v>3078</v>
      </c>
      <c r="D1408" s="369">
        <f>G1362</f>
        <v>484346809.60000014</v>
      </c>
      <c r="E1408" s="369">
        <v>1478136.77</v>
      </c>
      <c r="F1408" s="369">
        <v>-60324.05</v>
      </c>
      <c r="G1408" s="369">
        <f>SUM(G1406:G1407)</f>
        <v>485764622.32000005</v>
      </c>
      <c r="H1408" s="369"/>
      <c r="I1408" s="369">
        <f>O1362</f>
        <v>90331421.552511126</v>
      </c>
      <c r="J1408" s="1251">
        <f>+J1362</f>
        <v>1.7999999999999999E-2</v>
      </c>
      <c r="K1408" s="369">
        <f>ROUND((D1408+G1408)/2*J1408/12,0)</f>
        <v>727584</v>
      </c>
      <c r="L1408" s="369">
        <f>SUM(L1406:L1407)</f>
        <v>0</v>
      </c>
      <c r="M1408" s="369">
        <f>F1408</f>
        <v>-60324.05</v>
      </c>
      <c r="N1408" s="369">
        <v>-12813.41</v>
      </c>
      <c r="O1408" s="369">
        <f>SUM(O1406:O1407)</f>
        <v>90985868.092511117</v>
      </c>
    </row>
    <row r="1409" spans="1:15">
      <c r="A1409" s="361"/>
      <c r="B1409" s="365"/>
      <c r="D1409" s="369"/>
      <c r="E1409" s="369"/>
      <c r="F1409" s="369"/>
      <c r="G1409" s="369"/>
      <c r="H1409" s="369"/>
      <c r="I1409" s="369"/>
      <c r="J1409" s="1251"/>
      <c r="K1409" s="369"/>
      <c r="L1409" s="369"/>
      <c r="M1409" s="369"/>
      <c r="N1409" s="369"/>
      <c r="O1409" s="369"/>
    </row>
    <row r="1410" spans="1:15">
      <c r="A1410" s="361">
        <f>A1408+1</f>
        <v>10</v>
      </c>
      <c r="B1410" s="365">
        <v>378.2</v>
      </c>
      <c r="C1410" s="358" t="s">
        <v>1776</v>
      </c>
      <c r="D1410" s="369">
        <f>D1399</f>
        <v>599780.62011021946</v>
      </c>
      <c r="E1410" s="369">
        <f>E1399</f>
        <v>0</v>
      </c>
      <c r="F1410" s="369">
        <f>F1399</f>
        <v>0</v>
      </c>
      <c r="G1410" s="369">
        <f>SUM(D1410:F1410)</f>
        <v>599780.62011021946</v>
      </c>
      <c r="H1410" s="369"/>
      <c r="I1410" s="369">
        <f>I1399</f>
        <v>-934890.93754116015</v>
      </c>
      <c r="J1410" s="1251"/>
      <c r="K1410" s="369">
        <f>K1399</f>
        <v>1654.39</v>
      </c>
      <c r="L1410" s="369">
        <v>0</v>
      </c>
      <c r="M1410" s="369">
        <f>M1399</f>
        <v>0</v>
      </c>
      <c r="N1410" s="369">
        <f>N1399</f>
        <v>0</v>
      </c>
      <c r="O1410" s="369">
        <f>I1410+K1410+L1410+M1410+N1410</f>
        <v>-933236.54754116014</v>
      </c>
    </row>
    <row r="1411" spans="1:15">
      <c r="A1411" s="361">
        <f>A1410+1</f>
        <v>11</v>
      </c>
      <c r="B1411" s="365">
        <v>378.2</v>
      </c>
      <c r="C1411" s="358" t="s">
        <v>1622</v>
      </c>
      <c r="D1411" s="923">
        <f>D1412-D1410</f>
        <v>29791170.144601122</v>
      </c>
      <c r="E1411" s="923">
        <f>E1412-E1410</f>
        <v>1064066.4164779247</v>
      </c>
      <c r="F1411" s="923">
        <f>F1412-F1410</f>
        <v>0</v>
      </c>
      <c r="G1411" s="923">
        <f>SUM(D1411:F1411)</f>
        <v>30855236.561079048</v>
      </c>
      <c r="H1411" s="369"/>
      <c r="I1411" s="923">
        <f>I1412-I1410</f>
        <v>3365208.9150729687</v>
      </c>
      <c r="J1411" s="1251"/>
      <c r="K1411" s="923">
        <f>K1412-K1410</f>
        <v>83641.61</v>
      </c>
      <c r="L1411" s="923">
        <v>0</v>
      </c>
      <c r="M1411" s="923">
        <f>M1412-M1410</f>
        <v>0</v>
      </c>
      <c r="N1411" s="923">
        <f>N1412-N1410</f>
        <v>0</v>
      </c>
      <c r="O1411" s="923">
        <f>I1411+K1411+L1411+M1411+N1411</f>
        <v>3448850.5250729686</v>
      </c>
    </row>
    <row r="1412" spans="1:15">
      <c r="A1412" s="361">
        <f>A1411+1</f>
        <v>12</v>
      </c>
      <c r="B1412" s="365">
        <v>378.2</v>
      </c>
      <c r="C1412" s="358" t="s">
        <v>3079</v>
      </c>
      <c r="D1412" s="369">
        <f>G1366</f>
        <v>30390950.764711343</v>
      </c>
      <c r="E1412" s="369">
        <v>1064066.4164779247</v>
      </c>
      <c r="F1412" s="369">
        <v>0</v>
      </c>
      <c r="G1412" s="369">
        <f>SUM(G1410:G1411)</f>
        <v>31455017.181189269</v>
      </c>
      <c r="H1412" s="369"/>
      <c r="I1412" s="369">
        <f>O1366</f>
        <v>2430317.9775318084</v>
      </c>
      <c r="J1412" s="1251">
        <f>+J1366</f>
        <v>3.3099999999999997E-2</v>
      </c>
      <c r="K1412" s="369">
        <f>ROUND((D1412+G1412)/2*J1412/12,0)</f>
        <v>85296</v>
      </c>
      <c r="L1412" s="369">
        <f>SUM(L1410:L1411)</f>
        <v>0</v>
      </c>
      <c r="M1412" s="369">
        <f>F1412</f>
        <v>0</v>
      </c>
      <c r="N1412" s="369">
        <v>0</v>
      </c>
      <c r="O1412" s="369">
        <f>SUM(O1410:O1411)</f>
        <v>2515613.9775318084</v>
      </c>
    </row>
    <row r="1413" spans="1:15">
      <c r="A1413" s="361"/>
      <c r="B1413" s="365"/>
      <c r="D1413" s="369"/>
      <c r="E1413" s="369"/>
      <c r="F1413" s="369"/>
      <c r="G1413" s="369"/>
      <c r="H1413" s="369"/>
      <c r="I1413" s="369"/>
      <c r="J1413" s="1251"/>
      <c r="K1413" s="369"/>
      <c r="L1413" s="369"/>
      <c r="M1413" s="369"/>
      <c r="N1413" s="369"/>
      <c r="O1413" s="369"/>
    </row>
    <row r="1414" spans="1:15">
      <c r="A1414" s="361">
        <f>A1412+1</f>
        <v>13</v>
      </c>
      <c r="B1414" s="365">
        <v>380</v>
      </c>
      <c r="C1414" s="358" t="s">
        <v>1777</v>
      </c>
      <c r="D1414" s="369">
        <f>D1400</f>
        <v>25731407.564654</v>
      </c>
      <c r="E1414" s="369">
        <f>E1400</f>
        <v>776797.48528737703</v>
      </c>
      <c r="F1414" s="369">
        <f>F1400</f>
        <v>-204678.48812564329</v>
      </c>
      <c r="G1414" s="369">
        <f>SUM(D1414:F1414)</f>
        <v>26303526.561815731</v>
      </c>
      <c r="H1414" s="369"/>
      <c r="I1414" s="369">
        <f>I1400</f>
        <v>-12704698.955055563</v>
      </c>
      <c r="J1414" s="1251"/>
      <c r="K1414" s="369">
        <f>K1400</f>
        <v>112308.73</v>
      </c>
      <c r="L1414" s="369">
        <v>0</v>
      </c>
      <c r="M1414" s="369">
        <f>M1400</f>
        <v>-204678.48812564329</v>
      </c>
      <c r="N1414" s="369">
        <f>N1400</f>
        <v>-106647.28807982701</v>
      </c>
      <c r="O1414" s="369">
        <f>I1414+K1414+L1414+M1414+N1414</f>
        <v>-12903716.001261031</v>
      </c>
    </row>
    <row r="1415" spans="1:15">
      <c r="A1415" s="361">
        <f>A1414+1</f>
        <v>14</v>
      </c>
      <c r="B1415" s="365">
        <v>380</v>
      </c>
      <c r="C1415" s="358" t="s">
        <v>1623</v>
      </c>
      <c r="D1415" s="923">
        <f>D1416-D1414</f>
        <v>206946332.58534601</v>
      </c>
      <c r="E1415" s="923">
        <f>E1416-E1414</f>
        <v>384153.32471262303</v>
      </c>
      <c r="F1415" s="923">
        <f>F1416-F1414</f>
        <v>-44968.371874356701</v>
      </c>
      <c r="G1415" s="923">
        <f>SUM(D1415:F1415)</f>
        <v>207285517.53818429</v>
      </c>
      <c r="H1415" s="369"/>
      <c r="I1415" s="923">
        <f>I1416-I1414</f>
        <v>71281062.575055569</v>
      </c>
      <c r="J1415" s="1251"/>
      <c r="K1415" s="923">
        <f>K1416-K1414</f>
        <v>894050.27</v>
      </c>
      <c r="L1415" s="923">
        <v>0</v>
      </c>
      <c r="M1415" s="923">
        <f>M1416-M1414</f>
        <v>-44968.371874356701</v>
      </c>
      <c r="N1415" s="923">
        <f>N1416-N1414</f>
        <v>-43753.871920172998</v>
      </c>
      <c r="O1415" s="923">
        <f>I1415+K1415+L1415+M1415+N1415</f>
        <v>72086390.601261035</v>
      </c>
    </row>
    <row r="1416" spans="1:15">
      <c r="A1416" s="361">
        <f>A1415+1</f>
        <v>15</v>
      </c>
      <c r="B1416" s="365">
        <v>380</v>
      </c>
      <c r="C1416" s="358" t="s">
        <v>3080</v>
      </c>
      <c r="D1416" s="369">
        <f>G1370</f>
        <v>232677740.15000001</v>
      </c>
      <c r="E1416" s="369">
        <v>1160950.81</v>
      </c>
      <c r="F1416" s="369">
        <v>-249646.86</v>
      </c>
      <c r="G1416" s="369">
        <f>SUM(G1414:G1415)</f>
        <v>233589044.10000002</v>
      </c>
      <c r="H1416" s="369"/>
      <c r="I1416" s="369">
        <f>O1370</f>
        <v>58576363.620000005</v>
      </c>
      <c r="J1416" s="1251">
        <f>+J1370</f>
        <v>5.1799999999999999E-2</v>
      </c>
      <c r="K1416" s="369">
        <f>ROUND((D1416+G1416)/2*J1416/12,0)</f>
        <v>1006359</v>
      </c>
      <c r="L1416" s="369">
        <f>SUM(L1414:L1415)</f>
        <v>0</v>
      </c>
      <c r="M1416" s="369">
        <f>F1416</f>
        <v>-249646.86</v>
      </c>
      <c r="N1416" s="369">
        <v>-150401.16</v>
      </c>
      <c r="O1416" s="369">
        <f>SUM(O1414:O1415)</f>
        <v>59182674.600000001</v>
      </c>
    </row>
    <row r="1417" spans="1:15">
      <c r="A1417" s="361"/>
      <c r="B1417" s="365"/>
      <c r="D1417" s="369"/>
      <c r="E1417" s="369"/>
      <c r="F1417" s="369"/>
      <c r="G1417" s="369"/>
      <c r="H1417" s="369"/>
      <c r="I1417" s="369"/>
      <c r="J1417" s="1251"/>
      <c r="K1417" s="369"/>
      <c r="L1417" s="369"/>
      <c r="M1417" s="369"/>
      <c r="N1417" s="369"/>
      <c r="O1417" s="369"/>
    </row>
    <row r="1418" spans="1:15">
      <c r="A1418" s="361">
        <f>A1416+1</f>
        <v>16</v>
      </c>
      <c r="B1418" s="365">
        <v>382</v>
      </c>
      <c r="C1418" s="358" t="s">
        <v>1778</v>
      </c>
      <c r="D1418" s="369">
        <f>D1401</f>
        <v>239248.04660563447</v>
      </c>
      <c r="E1418" s="369">
        <f>E1401</f>
        <v>3163.9573974624709</v>
      </c>
      <c r="F1418" s="369">
        <f>F1401</f>
        <v>-600.24599324900112</v>
      </c>
      <c r="G1418" s="369">
        <f>SUM(D1418:F1418)</f>
        <v>241811.75800984795</v>
      </c>
      <c r="H1418" s="369"/>
      <c r="I1418" s="369">
        <f>I1401</f>
        <v>-74849.438294887499</v>
      </c>
      <c r="J1418" s="1251"/>
      <c r="K1418" s="369">
        <f>K1401</f>
        <v>457.01</v>
      </c>
      <c r="L1418" s="369">
        <v>0</v>
      </c>
      <c r="M1418" s="369">
        <f>M1401</f>
        <v>-600.24599324900112</v>
      </c>
      <c r="N1418" s="369">
        <f>N1401</f>
        <v>0</v>
      </c>
      <c r="O1418" s="369">
        <f>I1418+K1418+L1418+M1418+N1418</f>
        <v>-74992.674288136506</v>
      </c>
    </row>
    <row r="1419" spans="1:15">
      <c r="A1419" s="361">
        <f>A1418+1</f>
        <v>17</v>
      </c>
      <c r="B1419" s="365">
        <v>382</v>
      </c>
      <c r="C1419" s="358" t="s">
        <v>1624</v>
      </c>
      <c r="D1419" s="923">
        <f>D1420-D1418</f>
        <v>10720331.257893417</v>
      </c>
      <c r="E1419" s="923">
        <f>E1420-E1418</f>
        <v>9472.3020612316413</v>
      </c>
      <c r="F1419" s="923">
        <f>F1420-F1418</f>
        <v>-1797.0252581967607</v>
      </c>
      <c r="G1419" s="923">
        <f>SUM(D1419:F1419)</f>
        <v>10728006.534696452</v>
      </c>
      <c r="H1419" s="369"/>
      <c r="I1419" s="923">
        <f>I1420-I1418</f>
        <v>6130059.6755599175</v>
      </c>
      <c r="J1419" s="1251"/>
      <c r="K1419" s="923">
        <f>K1420-K1418</f>
        <v>20375.990000000002</v>
      </c>
      <c r="L1419" s="923">
        <v>0</v>
      </c>
      <c r="M1419" s="923">
        <f>M1420-M1418</f>
        <v>-1797.0252581967607</v>
      </c>
      <c r="N1419" s="923">
        <f>N1420-N1418</f>
        <v>0</v>
      </c>
      <c r="O1419" s="923">
        <f>I1419+K1419+L1419+M1419+N1419</f>
        <v>6148638.6403017212</v>
      </c>
    </row>
    <row r="1420" spans="1:15">
      <c r="A1420" s="361">
        <f>A1419+1</f>
        <v>18</v>
      </c>
      <c r="B1420" s="365">
        <v>382</v>
      </c>
      <c r="C1420" s="358" t="s">
        <v>3081</v>
      </c>
      <c r="D1420" s="369">
        <f>G1374</f>
        <v>10959579.304499051</v>
      </c>
      <c r="E1420" s="369">
        <v>12636.259458694112</v>
      </c>
      <c r="F1420" s="369">
        <v>-2397.2712514457617</v>
      </c>
      <c r="G1420" s="369">
        <f>SUM(G1418:G1419)</f>
        <v>10969818.2927063</v>
      </c>
      <c r="H1420" s="369"/>
      <c r="I1420" s="369">
        <f>O1374</f>
        <v>6055210.2372650299</v>
      </c>
      <c r="J1420" s="1251">
        <f>+J1374</f>
        <v>2.2800000000000001E-2</v>
      </c>
      <c r="K1420" s="369">
        <f>ROUND((D1420+G1420)/2*J1420/12,0)</f>
        <v>20833</v>
      </c>
      <c r="L1420" s="369">
        <f>SUM(L1418:L1419)</f>
        <v>0</v>
      </c>
      <c r="M1420" s="369">
        <f>F1420</f>
        <v>-2397.2712514457617</v>
      </c>
      <c r="N1420" s="369">
        <v>0</v>
      </c>
      <c r="O1420" s="369">
        <f>SUM(O1418:O1419)</f>
        <v>6073645.9660135843</v>
      </c>
    </row>
    <row r="1421" spans="1:15">
      <c r="A1421" s="361"/>
      <c r="B1421" s="365"/>
      <c r="D1421" s="369"/>
      <c r="E1421" s="369"/>
      <c r="F1421" s="369"/>
      <c r="G1421" s="369"/>
      <c r="H1421" s="369"/>
      <c r="I1421" s="369"/>
      <c r="J1421" s="1251"/>
      <c r="K1421" s="369"/>
      <c r="L1421" s="369"/>
      <c r="M1421" s="369"/>
      <c r="N1421" s="369"/>
      <c r="O1421" s="369"/>
    </row>
    <row r="1422" spans="1:15">
      <c r="A1422" s="361">
        <f>A1420+1</f>
        <v>19</v>
      </c>
      <c r="B1422" s="365">
        <v>383</v>
      </c>
      <c r="C1422" s="358" t="s">
        <v>1779</v>
      </c>
      <c r="D1422" s="369">
        <f>D1402</f>
        <v>172665.38795559711</v>
      </c>
      <c r="E1422" s="369">
        <f>E1402</f>
        <v>2249.7972980199265</v>
      </c>
      <c r="F1422" s="369">
        <f>F1402</f>
        <v>-303.87045165893409</v>
      </c>
      <c r="G1422" s="369">
        <f>SUM(D1422:F1422)</f>
        <v>174611.3148019581</v>
      </c>
      <c r="H1422" s="369"/>
      <c r="I1422" s="369">
        <f>I1402</f>
        <v>-7419.3630375390112</v>
      </c>
      <c r="J1422" s="1251"/>
      <c r="K1422" s="369">
        <f>K1402</f>
        <v>321.23</v>
      </c>
      <c r="L1422" s="369">
        <v>0</v>
      </c>
      <c r="M1422" s="369">
        <f>M1402</f>
        <v>-303.87045165893409</v>
      </c>
      <c r="N1422" s="369">
        <f>N1402</f>
        <v>0</v>
      </c>
      <c r="O1422" s="369">
        <f>I1422+K1422+L1422+M1422+N1422</f>
        <v>-7402.0034891979458</v>
      </c>
    </row>
    <row r="1423" spans="1:15">
      <c r="A1423" s="361">
        <f>A1422+1</f>
        <v>20</v>
      </c>
      <c r="B1423" s="365">
        <v>383</v>
      </c>
      <c r="C1423" s="358" t="s">
        <v>1625</v>
      </c>
      <c r="D1423" s="923">
        <f>D1424-D1422</f>
        <v>7735108.8245805092</v>
      </c>
      <c r="E1423" s="923">
        <f>E1424-E1422</f>
        <v>13098.682701980073</v>
      </c>
      <c r="F1423" s="923">
        <f>F1424-F1422</f>
        <v>-1769.1825914108804</v>
      </c>
      <c r="G1423" s="923">
        <f>SUM(D1423:F1423)</f>
        <v>7746438.3246910777</v>
      </c>
      <c r="H1423" s="369"/>
      <c r="I1423" s="923">
        <f>I1424-I1422</f>
        <v>2708741.837008182</v>
      </c>
      <c r="J1423" s="1251"/>
      <c r="K1423" s="923">
        <f>K1424-K1422</f>
        <v>14320.77</v>
      </c>
      <c r="L1423" s="923">
        <v>0</v>
      </c>
      <c r="M1423" s="923">
        <f>M1424-M1422</f>
        <v>-1769.1825914108804</v>
      </c>
      <c r="N1423" s="923">
        <f>N1424-N1422</f>
        <v>0</v>
      </c>
      <c r="O1423" s="923">
        <f>I1423+K1423+L1423+M1423+N1423</f>
        <v>2721293.4244167712</v>
      </c>
    </row>
    <row r="1424" spans="1:15">
      <c r="A1424" s="361">
        <f>A1423+1</f>
        <v>21</v>
      </c>
      <c r="B1424" s="365">
        <v>383</v>
      </c>
      <c r="C1424" s="358" t="s">
        <v>3082</v>
      </c>
      <c r="D1424" s="369">
        <f>G1378</f>
        <v>7907774.2125361059</v>
      </c>
      <c r="E1424" s="369">
        <v>15348.48</v>
      </c>
      <c r="F1424" s="369">
        <v>-2073.0530430698145</v>
      </c>
      <c r="G1424" s="369">
        <f>SUM(G1422:G1423)</f>
        <v>7921049.6394930361</v>
      </c>
      <c r="H1424" s="369"/>
      <c r="I1424" s="369">
        <f>O1378</f>
        <v>2701322.4739706428</v>
      </c>
      <c r="J1424" s="1251">
        <f>+J1378</f>
        <v>2.2200000000000001E-2</v>
      </c>
      <c r="K1424" s="369">
        <f>ROUND((D1424+G1424)/2*J1424/12,0)</f>
        <v>14642</v>
      </c>
      <c r="L1424" s="369">
        <f>SUM(L1422:L1423)</f>
        <v>0</v>
      </c>
      <c r="M1424" s="369">
        <f>F1424</f>
        <v>-2073.0530430698145</v>
      </c>
      <c r="N1424" s="369">
        <v>0</v>
      </c>
      <c r="O1424" s="369">
        <f>SUM(O1422:O1423)</f>
        <v>2713891.420927573</v>
      </c>
    </row>
    <row r="1427" spans="1:15" s="291" customFormat="1">
      <c r="A1427" s="1308" t="str">
        <f>$A$1</f>
        <v>COLUMBIA GAS OF KENTUCKY, INC.</v>
      </c>
      <c r="B1427" s="1308"/>
      <c r="C1427" s="1308"/>
      <c r="D1427" s="1308"/>
      <c r="E1427" s="1308"/>
      <c r="F1427" s="1308"/>
      <c r="G1427" s="1308"/>
      <c r="H1427" s="1308"/>
      <c r="I1427" s="1308"/>
      <c r="J1427" s="1308"/>
      <c r="K1427" s="1308"/>
      <c r="L1427" s="1308"/>
      <c r="M1427" s="1308"/>
      <c r="N1427" s="1308"/>
      <c r="O1427" s="1308"/>
    </row>
    <row r="1428" spans="1:15" s="291" customFormat="1">
      <c r="A1428" s="1308" t="str">
        <f>$A$2</f>
        <v>CASE NO. 2024 - 00092</v>
      </c>
      <c r="B1428" s="1308"/>
      <c r="C1428" s="1308"/>
      <c r="D1428" s="1308"/>
      <c r="E1428" s="1308"/>
      <c r="F1428" s="1308"/>
      <c r="G1428" s="1308"/>
      <c r="H1428" s="1308"/>
      <c r="I1428" s="1308"/>
      <c r="J1428" s="1308"/>
      <c r="K1428" s="1308"/>
      <c r="L1428" s="1308"/>
      <c r="M1428" s="1308"/>
      <c r="N1428" s="1308"/>
      <c r="O1428" s="1308"/>
    </row>
    <row r="1429" spans="1:15" s="291" customFormat="1">
      <c r="A1429" s="1308" t="str">
        <f>$A$3</f>
        <v>DETAIL OF ACTUAL &amp;  FORECASTED SMRP PLANT, ACCUMULATED RESERVE &amp; DEPRECIATION EXPENSE</v>
      </c>
      <c r="B1429" s="1308"/>
      <c r="C1429" s="1308"/>
      <c r="D1429" s="1308"/>
      <c r="E1429" s="1308"/>
      <c r="F1429" s="1308"/>
      <c r="G1429" s="1308"/>
      <c r="H1429" s="1308"/>
      <c r="I1429" s="1308"/>
      <c r="J1429" s="1308"/>
      <c r="K1429" s="1308"/>
      <c r="L1429" s="1308"/>
      <c r="M1429" s="1308"/>
      <c r="N1429" s="1308"/>
      <c r="O1429" s="1308"/>
    </row>
    <row r="1430" spans="1:15" s="291" customFormat="1">
      <c r="A1430" s="1308" t="str">
        <f>$A$4</f>
        <v>FROM JANUARY 01, 2023 THROUGH DECEMBER 31, 2025</v>
      </c>
      <c r="B1430" s="1308"/>
      <c r="C1430" s="1308"/>
      <c r="D1430" s="1308"/>
      <c r="E1430" s="1308"/>
      <c r="F1430" s="1308"/>
      <c r="G1430" s="1308"/>
      <c r="H1430" s="1308"/>
      <c r="I1430" s="1308"/>
      <c r="J1430" s="1308"/>
      <c r="K1430" s="1308"/>
      <c r="L1430" s="1308"/>
      <c r="M1430" s="1308"/>
      <c r="N1430" s="1308"/>
      <c r="O1430" s="1308"/>
    </row>
    <row r="1431" spans="1:15" s="291" customFormat="1">
      <c r="B1431" s="293"/>
    </row>
    <row r="1432" spans="1:15" s="291" customFormat="1">
      <c r="A1432" s="297" t="str">
        <f>'General Headers Index'!$B$34</f>
        <v xml:space="preserve">DATA: _X_ BASE PERIOD _X_ FORECASTED PERIOD     </v>
      </c>
      <c r="B1432" s="293"/>
      <c r="O1432" s="312" t="s">
        <v>2461</v>
      </c>
    </row>
    <row r="1433" spans="1:15" s="291" customFormat="1">
      <c r="A1433" s="297" t="str">
        <f>'General Headers Index'!$B$37</f>
        <v>TYPE OF FILING:___X___ORIGINAL______UPDATED</v>
      </c>
      <c r="B1433" s="293"/>
      <c r="O1433" s="312" t="s">
        <v>2254</v>
      </c>
    </row>
    <row r="1434" spans="1:15" s="291" customFormat="1">
      <c r="A1434" s="297" t="s">
        <v>2150</v>
      </c>
      <c r="B1434" s="293"/>
      <c r="O1434" s="312" t="str">
        <f>"WITNESS: "&amp;'General Headers Index'!$B$42</f>
        <v>WITNESS: GORE</v>
      </c>
    </row>
    <row r="1435" spans="1:15">
      <c r="A1435" s="918"/>
      <c r="B1435" s="918"/>
      <c r="C1435" s="918"/>
      <c r="D1435" s="918"/>
      <c r="E1435" s="918"/>
      <c r="F1435" s="918"/>
      <c r="G1435" s="918"/>
      <c r="H1435" s="918"/>
      <c r="I1435" s="918"/>
      <c r="J1435" s="918"/>
      <c r="K1435" s="918"/>
      <c r="L1435" s="918"/>
      <c r="M1435" s="918"/>
      <c r="N1435" s="918"/>
      <c r="O1435" s="918"/>
    </row>
    <row r="1436" spans="1:15">
      <c r="B1436" s="359"/>
      <c r="D1436" s="1312" t="s">
        <v>1768</v>
      </c>
      <c r="E1436" s="1312"/>
      <c r="F1436" s="1312"/>
      <c r="G1436" s="1312"/>
      <c r="I1436" s="1312" t="s">
        <v>1769</v>
      </c>
      <c r="J1436" s="1312"/>
      <c r="K1436" s="1312"/>
      <c r="L1436" s="1312"/>
      <c r="M1436" s="1312"/>
      <c r="N1436" s="1312"/>
      <c r="O1436" s="1312"/>
    </row>
    <row r="1437" spans="1:15">
      <c r="B1437" s="359"/>
      <c r="D1437" s="360">
        <f>G1391+1</f>
        <v>45870</v>
      </c>
      <c r="G1437" s="360">
        <f>D1437+30</f>
        <v>45900</v>
      </c>
      <c r="I1437" s="360">
        <f>D1437</f>
        <v>45870</v>
      </c>
      <c r="O1437" s="360">
        <f>G1437</f>
        <v>45900</v>
      </c>
    </row>
    <row r="1438" spans="1:15">
      <c r="B1438" s="359"/>
      <c r="D1438" s="361" t="s">
        <v>1757</v>
      </c>
      <c r="G1438" s="361" t="s">
        <v>1757</v>
      </c>
      <c r="I1438" s="361" t="s">
        <v>1758</v>
      </c>
      <c r="J1438" s="361" t="s">
        <v>488</v>
      </c>
      <c r="L1438" s="361" t="s">
        <v>1758</v>
      </c>
      <c r="O1438" s="361" t="s">
        <v>1758</v>
      </c>
    </row>
    <row r="1439" spans="1:15">
      <c r="A1439" s="361" t="s">
        <v>1770</v>
      </c>
      <c r="B1439" s="361" t="s">
        <v>368</v>
      </c>
      <c r="C1439" s="361"/>
      <c r="D1439" s="361" t="s">
        <v>437</v>
      </c>
      <c r="G1439" s="361" t="s">
        <v>439</v>
      </c>
      <c r="I1439" s="361" t="s">
        <v>437</v>
      </c>
      <c r="J1439" s="361" t="s">
        <v>1771</v>
      </c>
      <c r="K1439" s="361" t="s">
        <v>1772</v>
      </c>
      <c r="L1439" s="361" t="s">
        <v>1759</v>
      </c>
      <c r="N1439" s="361" t="s">
        <v>1760</v>
      </c>
      <c r="O1439" s="361" t="s">
        <v>439</v>
      </c>
    </row>
    <row r="1440" spans="1:15">
      <c r="A1440" s="364" t="s">
        <v>316</v>
      </c>
      <c r="B1440" s="364" t="s">
        <v>316</v>
      </c>
      <c r="C1440" s="364" t="s">
        <v>451</v>
      </c>
      <c r="D1440" s="364" t="s">
        <v>441</v>
      </c>
      <c r="E1440" s="364" t="s">
        <v>442</v>
      </c>
      <c r="F1440" s="364" t="s">
        <v>443</v>
      </c>
      <c r="G1440" s="364" t="s">
        <v>441</v>
      </c>
      <c r="I1440" s="364" t="s">
        <v>441</v>
      </c>
      <c r="J1440" s="364" t="s">
        <v>1773</v>
      </c>
      <c r="K1440" s="364" t="s">
        <v>1771</v>
      </c>
      <c r="L1440" s="364" t="s">
        <v>355</v>
      </c>
      <c r="M1440" s="364" t="s">
        <v>443</v>
      </c>
      <c r="N1440" s="364" t="s">
        <v>1763</v>
      </c>
      <c r="O1440" s="364" t="s">
        <v>441</v>
      </c>
    </row>
    <row r="1441" spans="1:15">
      <c r="B1441" s="359"/>
      <c r="D1441" s="361" t="s">
        <v>532</v>
      </c>
      <c r="E1441" s="361" t="s">
        <v>541</v>
      </c>
      <c r="F1441" s="361" t="s">
        <v>542</v>
      </c>
      <c r="G1441" s="361" t="s">
        <v>1764</v>
      </c>
      <c r="I1441" s="334" t="str">
        <f>"(5)"</f>
        <v>(5)</v>
      </c>
      <c r="J1441" s="334" t="str">
        <f>"(6)"</f>
        <v>(6)</v>
      </c>
      <c r="K1441" s="334" t="str">
        <f>"(7)=((1+4)/2*6/12))"</f>
        <v>(7)=((1+4)/2*6/12))</v>
      </c>
      <c r="L1441" s="334" t="str">
        <f>"(8)"</f>
        <v>(8)</v>
      </c>
      <c r="M1441" s="334" t="str">
        <f>"(9)"</f>
        <v>(9)</v>
      </c>
      <c r="N1441" s="334" t="str">
        <f>"(10)"</f>
        <v>(10)</v>
      </c>
      <c r="O1441" s="334" t="str">
        <f>"(11=5+7+8+9+10)"</f>
        <v>(11=5+7+8+9+10)</v>
      </c>
    </row>
    <row r="1442" spans="1:15">
      <c r="B1442" s="359"/>
      <c r="D1442" s="361" t="s">
        <v>320</v>
      </c>
      <c r="E1442" s="361" t="s">
        <v>320</v>
      </c>
      <c r="F1442" s="361" t="s">
        <v>320</v>
      </c>
      <c r="G1442" s="361" t="s">
        <v>320</v>
      </c>
      <c r="I1442" s="334" t="s">
        <v>320</v>
      </c>
      <c r="J1442" s="1250" t="s">
        <v>529</v>
      </c>
      <c r="K1442" s="334" t="s">
        <v>320</v>
      </c>
      <c r="L1442" s="334" t="s">
        <v>320</v>
      </c>
      <c r="M1442" s="334" t="s">
        <v>320</v>
      </c>
      <c r="N1442" s="334" t="s">
        <v>320</v>
      </c>
      <c r="O1442" s="334" t="s">
        <v>320</v>
      </c>
    </row>
    <row r="1443" spans="1:15">
      <c r="B1443" s="359"/>
      <c r="D1443" s="361"/>
      <c r="E1443" s="361"/>
      <c r="F1443" s="361"/>
      <c r="G1443" s="361"/>
      <c r="I1443" s="334"/>
      <c r="J1443" s="334"/>
      <c r="K1443" s="334"/>
      <c r="L1443" s="334"/>
      <c r="M1443" s="334"/>
      <c r="N1443" s="334"/>
      <c r="O1443" s="334"/>
    </row>
    <row r="1444" spans="1:15">
      <c r="A1444" s="361">
        <v>1</v>
      </c>
      <c r="B1444" s="365">
        <v>376</v>
      </c>
      <c r="C1444" s="358" t="s">
        <v>1775</v>
      </c>
      <c r="D1444" s="369">
        <f>G1398</f>
        <v>62384550.200683922</v>
      </c>
      <c r="E1444" s="369">
        <v>1220499.0400502677</v>
      </c>
      <c r="F1444" s="369">
        <v>-6699.8399999999965</v>
      </c>
      <c r="G1444" s="369">
        <f>SUM(D1444:F1444)</f>
        <v>63598349.400734186</v>
      </c>
      <c r="H1444" s="369"/>
      <c r="I1444" s="369">
        <f>O1398</f>
        <v>745369.11165680073</v>
      </c>
      <c r="J1444" s="1251">
        <f>+J1398</f>
        <v>1.7999999999999999E-2</v>
      </c>
      <c r="K1444" s="380">
        <f>ROUND((G1444+D1444)/2*J1444/12,2)</f>
        <v>94487.17</v>
      </c>
      <c r="L1444" s="369">
        <v>0</v>
      </c>
      <c r="M1444" s="369">
        <f>F1444</f>
        <v>-6699.8399999999965</v>
      </c>
      <c r="N1444" s="369">
        <v>-459.33598429890702</v>
      </c>
      <c r="O1444" s="369">
        <f>I1444+K1444+L1444+M1444+N1444</f>
        <v>832697.10567250184</v>
      </c>
    </row>
    <row r="1445" spans="1:15">
      <c r="A1445" s="361">
        <f>A1444+1</f>
        <v>2</v>
      </c>
      <c r="B1445" s="365">
        <v>378.2</v>
      </c>
      <c r="C1445" s="358" t="s">
        <v>1776</v>
      </c>
      <c r="D1445" s="369">
        <f>G1399</f>
        <v>599780.62011021946</v>
      </c>
      <c r="E1445" s="369">
        <v>0</v>
      </c>
      <c r="F1445" s="369">
        <v>0</v>
      </c>
      <c r="G1445" s="369">
        <f>SUM(D1445:F1445)</f>
        <v>599780.62011021946</v>
      </c>
      <c r="H1445" s="369"/>
      <c r="I1445" s="369">
        <f>O1399</f>
        <v>-933236.54754116014</v>
      </c>
      <c r="J1445" s="1251">
        <f>+J1399</f>
        <v>3.3099999999999997E-2</v>
      </c>
      <c r="K1445" s="380">
        <f>ROUND((G1445+D1445)/2*J1445/12,2)</f>
        <v>1654.39</v>
      </c>
      <c r="L1445" s="369">
        <v>0</v>
      </c>
      <c r="M1445" s="369">
        <f>F1445</f>
        <v>0</v>
      </c>
      <c r="N1445" s="369">
        <v>0</v>
      </c>
      <c r="O1445" s="369">
        <f>I1445+K1445+L1445+M1445+N1445</f>
        <v>-931582.15754116012</v>
      </c>
    </row>
    <row r="1446" spans="1:15">
      <c r="A1446" s="361">
        <f>A1445+1</f>
        <v>3</v>
      </c>
      <c r="B1446" s="365">
        <v>380</v>
      </c>
      <c r="C1446" s="358" t="s">
        <v>1777</v>
      </c>
      <c r="D1446" s="369">
        <f>G1400</f>
        <v>26303526.561815731</v>
      </c>
      <c r="E1446" s="369">
        <v>1011629.2311895036</v>
      </c>
      <c r="F1446" s="369">
        <v>-149833.0729641114</v>
      </c>
      <c r="G1446" s="369">
        <f>SUM(D1446:F1446)</f>
        <v>27165322.720041122</v>
      </c>
      <c r="H1446" s="369"/>
      <c r="I1446" s="369">
        <f>O1400</f>
        <v>-12903716.001261031</v>
      </c>
      <c r="J1446" s="1251">
        <f>+J1400</f>
        <v>5.1799999999999999E-2</v>
      </c>
      <c r="K1446" s="380">
        <f>ROUND((G1446+D1446)/2*J1446/12,2)</f>
        <v>115403.6</v>
      </c>
      <c r="L1446" s="369">
        <v>0</v>
      </c>
      <c r="M1446" s="369">
        <f>F1446</f>
        <v>-149833.0729641114</v>
      </c>
      <c r="N1446" s="369">
        <v>-118057.412237481</v>
      </c>
      <c r="O1446" s="369">
        <f>I1446+K1446+L1446+M1446+N1446</f>
        <v>-13056202.886462623</v>
      </c>
    </row>
    <row r="1447" spans="1:15">
      <c r="A1447" s="361">
        <f>A1446+1</f>
        <v>4</v>
      </c>
      <c r="B1447" s="365">
        <v>382</v>
      </c>
      <c r="C1447" s="358" t="s">
        <v>1778</v>
      </c>
      <c r="D1447" s="369">
        <f>G1401</f>
        <v>241811.75800984795</v>
      </c>
      <c r="E1447" s="369">
        <v>5137.4570552197556</v>
      </c>
      <c r="F1447" s="369">
        <v>-860.40303211830087</v>
      </c>
      <c r="G1447" s="369">
        <f>SUM(D1447:F1447)</f>
        <v>246088.81203294941</v>
      </c>
      <c r="H1447" s="369"/>
      <c r="I1447" s="369">
        <f>O1401</f>
        <v>-74992.674288136506</v>
      </c>
      <c r="J1447" s="1251">
        <f>+J1401</f>
        <v>2.2800000000000001E-2</v>
      </c>
      <c r="K1447" s="380">
        <f>ROUND((G1447+D1447)/2*J1447/12,2)</f>
        <v>463.51</v>
      </c>
      <c r="L1447" s="369">
        <v>0</v>
      </c>
      <c r="M1447" s="369">
        <f>F1447</f>
        <v>-860.40303211830087</v>
      </c>
      <c r="N1447" s="369">
        <v>0</v>
      </c>
      <c r="O1447" s="369">
        <f>I1447+K1447+L1447+M1447+N1447</f>
        <v>-75389.567320254806</v>
      </c>
    </row>
    <row r="1448" spans="1:15">
      <c r="A1448" s="361">
        <f>A1447+1</f>
        <v>5</v>
      </c>
      <c r="B1448" s="365">
        <v>383</v>
      </c>
      <c r="C1448" s="358" t="s">
        <v>1779</v>
      </c>
      <c r="D1448" s="923">
        <f>G1402</f>
        <v>174611.3148019581</v>
      </c>
      <c r="E1448" s="923">
        <v>3008.3196379059718</v>
      </c>
      <c r="F1448" s="923">
        <v>-86.798516017777061</v>
      </c>
      <c r="G1448" s="923">
        <f>SUM(D1448:F1448)</f>
        <v>177532.83592384632</v>
      </c>
      <c r="H1448" s="369"/>
      <c r="I1448" s="923">
        <f>O1402</f>
        <v>-7402.0034891979458</v>
      </c>
      <c r="J1448" s="1251">
        <f>+J1402</f>
        <v>2.2200000000000001E-2</v>
      </c>
      <c r="K1448" s="925">
        <f>ROUND((G1448+D1448)/2*J1448/12,2)</f>
        <v>325.73</v>
      </c>
      <c r="L1448" s="923">
        <v>0</v>
      </c>
      <c r="M1448" s="923">
        <f>F1448</f>
        <v>-86.798516017777061</v>
      </c>
      <c r="N1448" s="923">
        <v>0</v>
      </c>
      <c r="O1448" s="923">
        <f>I1448+K1448+L1448+M1448+N1448</f>
        <v>-7163.0720052157221</v>
      </c>
    </row>
    <row r="1449" spans="1:15">
      <c r="A1449" s="361">
        <f>A1448+1</f>
        <v>6</v>
      </c>
      <c r="C1449" s="358" t="s">
        <v>3077</v>
      </c>
      <c r="D1449" s="369">
        <f>SUM(D1444:D1448)</f>
        <v>89704280.455421686</v>
      </c>
      <c r="E1449" s="369">
        <f>SUM(E1444:E1448)</f>
        <v>2240274.0479328972</v>
      </c>
      <c r="F1449" s="369">
        <f>SUM(F1444:F1448)</f>
        <v>-157480.11451224747</v>
      </c>
      <c r="G1449" s="369">
        <f>SUM(G1444:G1448)</f>
        <v>91787074.388842329</v>
      </c>
      <c r="H1449" s="369"/>
      <c r="I1449" s="369">
        <f>SUM(I1444:I1448)</f>
        <v>-13173978.114922727</v>
      </c>
      <c r="J1449" s="369"/>
      <c r="K1449" s="369">
        <f>SUM(K1444:K1448)</f>
        <v>212334.40000000002</v>
      </c>
      <c r="L1449" s="369">
        <f t="shared" ref="L1449" si="31">SUM(L1444:L1448)</f>
        <v>0</v>
      </c>
      <c r="M1449" s="369">
        <f>SUM(M1444:M1448)</f>
        <v>-157480.11451224747</v>
      </c>
      <c r="N1449" s="369">
        <f>SUM(N1444:N1448)</f>
        <v>-118516.7482217799</v>
      </c>
      <c r="O1449" s="369">
        <f>SUM(O1444:O1448)</f>
        <v>-13237640.577656753</v>
      </c>
    </row>
    <row r="1450" spans="1:15">
      <c r="A1450" s="361"/>
      <c r="D1450" s="369"/>
      <c r="E1450" s="369"/>
      <c r="F1450" s="369"/>
      <c r="G1450" s="369"/>
      <c r="H1450" s="369"/>
      <c r="I1450" s="369"/>
      <c r="J1450" s="369"/>
      <c r="K1450" s="369"/>
      <c r="L1450" s="369"/>
      <c r="M1450" s="369"/>
      <c r="N1450" s="369"/>
      <c r="O1450" s="369"/>
    </row>
    <row r="1451" spans="1:15">
      <c r="A1451" s="361"/>
      <c r="D1451" s="369"/>
      <c r="E1451" s="369"/>
      <c r="F1451" s="369"/>
      <c r="G1451" s="369"/>
      <c r="H1451" s="369"/>
      <c r="I1451" s="369"/>
      <c r="J1451" s="369"/>
      <c r="K1451" s="369"/>
      <c r="L1451" s="369"/>
      <c r="M1451" s="369"/>
      <c r="N1451" s="369"/>
      <c r="O1451" s="369"/>
    </row>
    <row r="1452" spans="1:15">
      <c r="A1452" s="361">
        <f>A1449+1</f>
        <v>7</v>
      </c>
      <c r="B1452" s="365">
        <v>376</v>
      </c>
      <c r="C1452" s="358" t="s">
        <v>1775</v>
      </c>
      <c r="D1452" s="369">
        <f>D1444</f>
        <v>62384550.200683922</v>
      </c>
      <c r="E1452" s="369">
        <f>E1444</f>
        <v>1220499.0400502677</v>
      </c>
      <c r="F1452" s="369">
        <f>F1444</f>
        <v>-6699.8399999999965</v>
      </c>
      <c r="G1452" s="369">
        <f>SUM(D1452:F1452)</f>
        <v>63598349.400734186</v>
      </c>
      <c r="H1452" s="369"/>
      <c r="I1452" s="369">
        <f>I1444</f>
        <v>745369.11165680073</v>
      </c>
      <c r="J1452" s="1251"/>
      <c r="K1452" s="369">
        <f>K1444</f>
        <v>94487.17</v>
      </c>
      <c r="L1452" s="369">
        <v>0</v>
      </c>
      <c r="M1452" s="369">
        <f>M1444</f>
        <v>-6699.8399999999965</v>
      </c>
      <c r="N1452" s="369">
        <f>N1444</f>
        <v>-459.33598429890702</v>
      </c>
      <c r="O1452" s="369">
        <f>I1452+K1452+L1452+M1452+N1452</f>
        <v>832697.10567250184</v>
      </c>
    </row>
    <row r="1453" spans="1:15">
      <c r="A1453" s="361">
        <f>A1452+1</f>
        <v>8</v>
      </c>
      <c r="B1453" s="365">
        <v>376</v>
      </c>
      <c r="C1453" s="358" t="s">
        <v>1621</v>
      </c>
      <c r="D1453" s="923">
        <f>D1454-D1452</f>
        <v>423380072.1193161</v>
      </c>
      <c r="E1453" s="923">
        <f>E1454-E1452</f>
        <v>166443.14994973224</v>
      </c>
      <c r="F1453" s="923">
        <f>F1454-F1452</f>
        <v>-27769.47</v>
      </c>
      <c r="G1453" s="923">
        <f>SUM(D1453:F1453)</f>
        <v>423518745.7992658</v>
      </c>
      <c r="H1453" s="369"/>
      <c r="I1453" s="923">
        <f>I1454-I1452</f>
        <v>90240498.980854318</v>
      </c>
      <c r="J1453" s="1251"/>
      <c r="K1453" s="923">
        <f>K1454-K1452</f>
        <v>635173.82999999996</v>
      </c>
      <c r="L1453" s="923">
        <v>0</v>
      </c>
      <c r="M1453" s="923">
        <f>M1454-M1452</f>
        <v>-27769.47</v>
      </c>
      <c r="N1453" s="923">
        <f>N1454-N1452</f>
        <v>-11239.614015701094</v>
      </c>
      <c r="O1453" s="923">
        <f>I1453+K1453+L1453+M1453+N1453</f>
        <v>90836663.726838619</v>
      </c>
    </row>
    <row r="1454" spans="1:15">
      <c r="A1454" s="361">
        <f>A1453+1</f>
        <v>9</v>
      </c>
      <c r="B1454" s="365">
        <v>376</v>
      </c>
      <c r="C1454" s="358" t="s">
        <v>3078</v>
      </c>
      <c r="D1454" s="369">
        <f>G1408</f>
        <v>485764622.32000005</v>
      </c>
      <c r="E1454" s="369">
        <v>1386942.19</v>
      </c>
      <c r="F1454" s="369">
        <v>-34469.31</v>
      </c>
      <c r="G1454" s="369">
        <f>SUM(G1452:G1453)</f>
        <v>487117095.19999999</v>
      </c>
      <c r="H1454" s="369"/>
      <c r="I1454" s="369">
        <f>O1408</f>
        <v>90985868.092511117</v>
      </c>
      <c r="J1454" s="1251">
        <f>+J1444</f>
        <v>1.7999999999999999E-2</v>
      </c>
      <c r="K1454" s="369">
        <f>ROUND((D1454+G1454)/2*J1454/12,0)</f>
        <v>729661</v>
      </c>
      <c r="L1454" s="369">
        <f>SUM(L1452:L1453)</f>
        <v>0</v>
      </c>
      <c r="M1454" s="369">
        <f>F1454</f>
        <v>-34469.31</v>
      </c>
      <c r="N1454" s="369">
        <v>-11698.95</v>
      </c>
      <c r="O1454" s="369">
        <f>SUM(O1452:O1453)</f>
        <v>91669360.832511127</v>
      </c>
    </row>
    <row r="1455" spans="1:15">
      <c r="A1455" s="361"/>
      <c r="B1455" s="365"/>
      <c r="D1455" s="369"/>
      <c r="E1455" s="369"/>
      <c r="F1455" s="369"/>
      <c r="G1455" s="369"/>
      <c r="H1455" s="369"/>
      <c r="I1455" s="369"/>
      <c r="J1455" s="1251"/>
      <c r="K1455" s="369"/>
      <c r="L1455" s="369"/>
      <c r="M1455" s="369"/>
      <c r="N1455" s="369"/>
      <c r="O1455" s="369"/>
    </row>
    <row r="1456" spans="1:15">
      <c r="A1456" s="361">
        <f>A1454+1</f>
        <v>10</v>
      </c>
      <c r="B1456" s="365">
        <v>378.2</v>
      </c>
      <c r="C1456" s="358" t="s">
        <v>1776</v>
      </c>
      <c r="D1456" s="369">
        <f>D1445</f>
        <v>599780.62011021946</v>
      </c>
      <c r="E1456" s="369">
        <f>E1445</f>
        <v>0</v>
      </c>
      <c r="F1456" s="369">
        <f>F1445</f>
        <v>0</v>
      </c>
      <c r="G1456" s="369">
        <f>SUM(D1456:F1456)</f>
        <v>599780.62011021946</v>
      </c>
      <c r="H1456" s="369"/>
      <c r="I1456" s="369">
        <f>I1445</f>
        <v>-933236.54754116014</v>
      </c>
      <c r="J1456" s="1251"/>
      <c r="K1456" s="369">
        <f>K1445</f>
        <v>1654.39</v>
      </c>
      <c r="L1456" s="369">
        <v>0</v>
      </c>
      <c r="M1456" s="369">
        <f>M1445</f>
        <v>0</v>
      </c>
      <c r="N1456" s="369">
        <f>N1445</f>
        <v>0</v>
      </c>
      <c r="O1456" s="369">
        <f>I1456+K1456+L1456+M1456+N1456</f>
        <v>-931582.15754116012</v>
      </c>
    </row>
    <row r="1457" spans="1:15">
      <c r="A1457" s="361">
        <f>A1456+1</f>
        <v>11</v>
      </c>
      <c r="B1457" s="365">
        <v>378.2</v>
      </c>
      <c r="C1457" s="358" t="s">
        <v>1622</v>
      </c>
      <c r="D1457" s="923">
        <f>D1458-D1456</f>
        <v>30855236.561079048</v>
      </c>
      <c r="E1457" s="923">
        <f>E1458-E1456</f>
        <v>69213.555321360371</v>
      </c>
      <c r="F1457" s="923">
        <f>F1458-F1456</f>
        <v>-77751.6928822833</v>
      </c>
      <c r="G1457" s="923">
        <f>SUM(D1457:F1457)</f>
        <v>30846698.423518125</v>
      </c>
      <c r="H1457" s="369"/>
      <c r="I1457" s="923">
        <f>I1458-I1456</f>
        <v>3448850.5250729686</v>
      </c>
      <c r="J1457" s="1251"/>
      <c r="K1457" s="923">
        <f>K1458-K1456</f>
        <v>85097.61</v>
      </c>
      <c r="L1457" s="923">
        <v>0</v>
      </c>
      <c r="M1457" s="923">
        <f>M1458-M1456</f>
        <v>-77751.6928822833</v>
      </c>
      <c r="N1457" s="923">
        <f>N1458-N1456</f>
        <v>-300940.69465316215</v>
      </c>
      <c r="O1457" s="923">
        <f>I1457+K1457+L1457+M1457+N1457</f>
        <v>3155255.747537523</v>
      </c>
    </row>
    <row r="1458" spans="1:15">
      <c r="A1458" s="361">
        <f>A1457+1</f>
        <v>12</v>
      </c>
      <c r="B1458" s="365">
        <v>378.2</v>
      </c>
      <c r="C1458" s="358" t="s">
        <v>3079</v>
      </c>
      <c r="D1458" s="369">
        <f>G1412</f>
        <v>31455017.181189269</v>
      </c>
      <c r="E1458" s="369">
        <v>69213.555321360371</v>
      </c>
      <c r="F1458" s="369">
        <v>-77751.6928822833</v>
      </c>
      <c r="G1458" s="369">
        <f>SUM(G1456:G1457)</f>
        <v>31446479.043628346</v>
      </c>
      <c r="H1458" s="369"/>
      <c r="I1458" s="369">
        <f>O1412</f>
        <v>2515613.9775318084</v>
      </c>
      <c r="J1458" s="1251">
        <f>+J1445</f>
        <v>3.3099999999999997E-2</v>
      </c>
      <c r="K1458" s="369">
        <f>ROUND((D1458+G1458)/2*J1458/12,0)</f>
        <v>86752</v>
      </c>
      <c r="L1458" s="369">
        <f>SUM(L1456:L1457)</f>
        <v>0</v>
      </c>
      <c r="M1458" s="369">
        <f>F1458</f>
        <v>-77751.6928822833</v>
      </c>
      <c r="N1458" s="369">
        <v>-300940.69465316215</v>
      </c>
      <c r="O1458" s="369">
        <f>SUM(O1456:O1457)</f>
        <v>2223673.589996363</v>
      </c>
    </row>
    <row r="1459" spans="1:15">
      <c r="A1459" s="361"/>
      <c r="B1459" s="365"/>
      <c r="D1459" s="369"/>
      <c r="E1459" s="369"/>
      <c r="F1459" s="369"/>
      <c r="G1459" s="369"/>
      <c r="H1459" s="369"/>
      <c r="I1459" s="369"/>
      <c r="J1459" s="1251"/>
      <c r="K1459" s="369"/>
      <c r="L1459" s="369"/>
      <c r="M1459" s="369"/>
      <c r="N1459" s="369"/>
      <c r="O1459" s="369"/>
    </row>
    <row r="1460" spans="1:15">
      <c r="A1460" s="361">
        <f>A1458+1</f>
        <v>13</v>
      </c>
      <c r="B1460" s="365">
        <v>380</v>
      </c>
      <c r="C1460" s="358" t="s">
        <v>1777</v>
      </c>
      <c r="D1460" s="369">
        <f>D1446</f>
        <v>26303526.561815731</v>
      </c>
      <c r="E1460" s="369">
        <f>E1446</f>
        <v>1011629.2311895036</v>
      </c>
      <c r="F1460" s="369">
        <f>F1446</f>
        <v>-149833.0729641114</v>
      </c>
      <c r="G1460" s="369">
        <f>SUM(D1460:F1460)</f>
        <v>27165322.720041122</v>
      </c>
      <c r="H1460" s="369"/>
      <c r="I1460" s="369">
        <f>I1446</f>
        <v>-12903716.001261031</v>
      </c>
      <c r="J1460" s="1251"/>
      <c r="K1460" s="369">
        <f>K1446</f>
        <v>115403.6</v>
      </c>
      <c r="L1460" s="369">
        <v>0</v>
      </c>
      <c r="M1460" s="369">
        <f>M1446</f>
        <v>-149833.0729641114</v>
      </c>
      <c r="N1460" s="369">
        <f>N1446</f>
        <v>-118057.412237481</v>
      </c>
      <c r="O1460" s="369">
        <f>I1460+K1460+L1460+M1460+N1460</f>
        <v>-13056202.886462623</v>
      </c>
    </row>
    <row r="1461" spans="1:15">
      <c r="A1461" s="361">
        <f>A1460+1</f>
        <v>14</v>
      </c>
      <c r="B1461" s="365">
        <v>380</v>
      </c>
      <c r="C1461" s="358" t="s">
        <v>1623</v>
      </c>
      <c r="D1461" s="923">
        <f>D1462-D1460</f>
        <v>207285517.53818429</v>
      </c>
      <c r="E1461" s="923">
        <f>E1462-E1460</f>
        <v>533807.09881049651</v>
      </c>
      <c r="F1461" s="923">
        <f>F1462-F1460</f>
        <v>-32918.697035888617</v>
      </c>
      <c r="G1461" s="923">
        <f>SUM(D1461:F1461)</f>
        <v>207786405.9399589</v>
      </c>
      <c r="H1461" s="369"/>
      <c r="I1461" s="923">
        <f>I1462-I1460</f>
        <v>72086390.601261035</v>
      </c>
      <c r="J1461" s="1251"/>
      <c r="K1461" s="923">
        <f>K1462-K1460</f>
        <v>895863.4</v>
      </c>
      <c r="L1461" s="923">
        <v>0</v>
      </c>
      <c r="M1461" s="923">
        <f>M1462-M1460</f>
        <v>-32918.697035888617</v>
      </c>
      <c r="N1461" s="923">
        <f>N1462-N1460</f>
        <v>-48435.067762519015</v>
      </c>
      <c r="O1461" s="923">
        <f>I1461+K1461+L1461+M1461+N1461</f>
        <v>72900900.236462623</v>
      </c>
    </row>
    <row r="1462" spans="1:15">
      <c r="A1462" s="361">
        <f>A1461+1</f>
        <v>15</v>
      </c>
      <c r="B1462" s="365">
        <v>380</v>
      </c>
      <c r="C1462" s="358" t="s">
        <v>3080</v>
      </c>
      <c r="D1462" s="369">
        <f>G1416</f>
        <v>233589044.10000002</v>
      </c>
      <c r="E1462" s="369">
        <v>1545436.33</v>
      </c>
      <c r="F1462" s="369">
        <v>-182751.77000000002</v>
      </c>
      <c r="G1462" s="369">
        <f>SUM(G1460:G1461)</f>
        <v>234951728.66000003</v>
      </c>
      <c r="H1462" s="369"/>
      <c r="I1462" s="369">
        <f>O1416</f>
        <v>59182674.600000001</v>
      </c>
      <c r="J1462" s="1251">
        <f>+J1416</f>
        <v>5.1799999999999999E-2</v>
      </c>
      <c r="K1462" s="369">
        <f>ROUND((D1462+G1462)/2*J1462/12,0)</f>
        <v>1011267</v>
      </c>
      <c r="L1462" s="369">
        <f>SUM(L1460:L1461)</f>
        <v>0</v>
      </c>
      <c r="M1462" s="369">
        <f>F1462</f>
        <v>-182751.77000000002</v>
      </c>
      <c r="N1462" s="369">
        <v>-166492.48000000001</v>
      </c>
      <c r="O1462" s="369">
        <f>SUM(O1460:O1461)</f>
        <v>59844697.350000001</v>
      </c>
    </row>
    <row r="1463" spans="1:15">
      <c r="A1463" s="361"/>
      <c r="B1463" s="365"/>
      <c r="D1463" s="369"/>
      <c r="E1463" s="369"/>
      <c r="F1463" s="369"/>
      <c r="G1463" s="369"/>
      <c r="H1463" s="369"/>
      <c r="I1463" s="369"/>
      <c r="J1463" s="1251"/>
      <c r="K1463" s="369"/>
      <c r="L1463" s="369"/>
      <c r="M1463" s="369"/>
      <c r="N1463" s="369"/>
      <c r="O1463" s="369"/>
    </row>
    <row r="1464" spans="1:15">
      <c r="A1464" s="361">
        <f>A1462+1</f>
        <v>16</v>
      </c>
      <c r="B1464" s="365">
        <v>382</v>
      </c>
      <c r="C1464" s="358" t="s">
        <v>1778</v>
      </c>
      <c r="D1464" s="369">
        <f>D1447</f>
        <v>241811.75800984795</v>
      </c>
      <c r="E1464" s="369">
        <f>E1447</f>
        <v>5137.4570552197556</v>
      </c>
      <c r="F1464" s="369">
        <f>F1447</f>
        <v>-860.40303211830087</v>
      </c>
      <c r="G1464" s="369">
        <f>SUM(D1464:F1464)</f>
        <v>246088.81203294941</v>
      </c>
      <c r="H1464" s="369"/>
      <c r="I1464" s="369">
        <f>I1447</f>
        <v>-74992.674288136506</v>
      </c>
      <c r="J1464" s="1251"/>
      <c r="K1464" s="369">
        <f>K1447</f>
        <v>463.51</v>
      </c>
      <c r="L1464" s="369">
        <v>0</v>
      </c>
      <c r="M1464" s="369">
        <f>M1447</f>
        <v>-860.40303211830087</v>
      </c>
      <c r="N1464" s="369">
        <f>N1447</f>
        <v>0</v>
      </c>
      <c r="O1464" s="369">
        <f>I1464+K1464+L1464+M1464+N1464</f>
        <v>-75389.567320254806</v>
      </c>
    </row>
    <row r="1465" spans="1:15">
      <c r="A1465" s="361">
        <f>A1464+1</f>
        <v>17</v>
      </c>
      <c r="B1465" s="365">
        <v>382</v>
      </c>
      <c r="C1465" s="358" t="s">
        <v>1624</v>
      </c>
      <c r="D1465" s="923">
        <f>D1466-D1464</f>
        <v>10728006.534696452</v>
      </c>
      <c r="E1465" s="923">
        <f>E1466-E1464</f>
        <v>15380.594281287049</v>
      </c>
      <c r="F1465" s="923">
        <f>F1466-F1464</f>
        <v>-2575.8872168002399</v>
      </c>
      <c r="G1465" s="923">
        <f>SUM(D1465:F1465)</f>
        <v>10740811.241760939</v>
      </c>
      <c r="H1465" s="369"/>
      <c r="I1465" s="923">
        <f>I1466-I1464</f>
        <v>6148638.6403017212</v>
      </c>
      <c r="J1465" s="1251"/>
      <c r="K1465" s="923">
        <f>K1466-K1464</f>
        <v>20395.490000000002</v>
      </c>
      <c r="L1465" s="923">
        <v>0</v>
      </c>
      <c r="M1465" s="923">
        <f>M1466-M1464</f>
        <v>-2575.8872168002399</v>
      </c>
      <c r="N1465" s="923">
        <f>N1466-N1464</f>
        <v>0</v>
      </c>
      <c r="O1465" s="923">
        <f>I1465+K1465+L1465+M1465+N1465</f>
        <v>6166458.2430849215</v>
      </c>
    </row>
    <row r="1466" spans="1:15">
      <c r="A1466" s="361">
        <f>A1465+1</f>
        <v>18</v>
      </c>
      <c r="B1466" s="365">
        <v>382</v>
      </c>
      <c r="C1466" s="358" t="s">
        <v>3081</v>
      </c>
      <c r="D1466" s="369">
        <f>G1420</f>
        <v>10969818.2927063</v>
      </c>
      <c r="E1466" s="369">
        <v>20518.051336506804</v>
      </c>
      <c r="F1466" s="369">
        <v>-3436.2902489185408</v>
      </c>
      <c r="G1466" s="369">
        <f>SUM(G1464:G1465)</f>
        <v>10986900.053793889</v>
      </c>
      <c r="H1466" s="369"/>
      <c r="I1466" s="369">
        <f>O1420</f>
        <v>6073645.9660135843</v>
      </c>
      <c r="J1466" s="1251">
        <f>+J1420</f>
        <v>2.2800000000000001E-2</v>
      </c>
      <c r="K1466" s="369">
        <f>ROUND((D1466+G1466)/2*J1466/12,0)</f>
        <v>20859</v>
      </c>
      <c r="L1466" s="369">
        <f>SUM(L1464:L1465)</f>
        <v>0</v>
      </c>
      <c r="M1466" s="369">
        <f>F1466</f>
        <v>-3436.2902489185408</v>
      </c>
      <c r="N1466" s="369">
        <v>0</v>
      </c>
      <c r="O1466" s="369">
        <f>SUM(O1464:O1465)</f>
        <v>6091068.6757646669</v>
      </c>
    </row>
    <row r="1467" spans="1:15">
      <c r="A1467" s="361"/>
      <c r="B1467" s="365"/>
      <c r="D1467" s="369"/>
      <c r="E1467" s="369"/>
      <c r="F1467" s="369"/>
      <c r="G1467" s="369"/>
      <c r="H1467" s="369"/>
      <c r="I1467" s="369"/>
      <c r="J1467" s="1251"/>
      <c r="K1467" s="369"/>
      <c r="L1467" s="369"/>
      <c r="M1467" s="369"/>
      <c r="N1467" s="369"/>
      <c r="O1467" s="369"/>
    </row>
    <row r="1468" spans="1:15">
      <c r="A1468" s="361">
        <f>A1466+1</f>
        <v>19</v>
      </c>
      <c r="B1468" s="365">
        <v>383</v>
      </c>
      <c r="C1468" s="358" t="s">
        <v>1779</v>
      </c>
      <c r="D1468" s="369">
        <f>D1448</f>
        <v>174611.3148019581</v>
      </c>
      <c r="E1468" s="369">
        <f>E1448</f>
        <v>3008.3196379059718</v>
      </c>
      <c r="F1468" s="369">
        <f>F1448</f>
        <v>-86.798516017777061</v>
      </c>
      <c r="G1468" s="369">
        <f>SUM(D1468:F1468)</f>
        <v>177532.83592384632</v>
      </c>
      <c r="H1468" s="369"/>
      <c r="I1468" s="369">
        <f>I1448</f>
        <v>-7402.0034891979458</v>
      </c>
      <c r="J1468" s="1251"/>
      <c r="K1468" s="369">
        <f>K1448</f>
        <v>325.73</v>
      </c>
      <c r="L1468" s="369">
        <v>0</v>
      </c>
      <c r="M1468" s="369">
        <f>M1448</f>
        <v>-86.798516017777061</v>
      </c>
      <c r="N1468" s="369">
        <f>N1448</f>
        <v>0</v>
      </c>
      <c r="O1468" s="369">
        <f>I1468+K1468+L1468+M1468+N1468</f>
        <v>-7163.0720052157221</v>
      </c>
    </row>
    <row r="1469" spans="1:15">
      <c r="A1469" s="361">
        <f>A1468+1</f>
        <v>20</v>
      </c>
      <c r="B1469" s="365">
        <v>383</v>
      </c>
      <c r="C1469" s="358" t="s">
        <v>1625</v>
      </c>
      <c r="D1469" s="923">
        <f>D1470-D1468</f>
        <v>7746438.3246910777</v>
      </c>
      <c r="E1469" s="923">
        <f>E1470-E1468</f>
        <v>17514.920362094032</v>
      </c>
      <c r="F1469" s="923">
        <f>F1470-F1468</f>
        <v>-505.35490588373818</v>
      </c>
      <c r="G1469" s="923">
        <f>SUM(D1469:F1469)</f>
        <v>7763447.8901472883</v>
      </c>
      <c r="H1469" s="369"/>
      <c r="I1469" s="923">
        <f>I1470-I1468</f>
        <v>2721293.4244167712</v>
      </c>
      <c r="J1469" s="1251"/>
      <c r="K1469" s="923">
        <f>K1470-K1468</f>
        <v>14346.27</v>
      </c>
      <c r="L1469" s="923">
        <v>0</v>
      </c>
      <c r="M1469" s="923">
        <f>M1470-M1468</f>
        <v>-505.35490588373818</v>
      </c>
      <c r="N1469" s="923">
        <f>N1470-N1468</f>
        <v>0</v>
      </c>
      <c r="O1469" s="923">
        <f>I1469+K1469+L1469+M1469+N1469</f>
        <v>2735134.3395108874</v>
      </c>
    </row>
    <row r="1470" spans="1:15">
      <c r="A1470" s="361">
        <f>A1469+1</f>
        <v>21</v>
      </c>
      <c r="B1470" s="365">
        <v>383</v>
      </c>
      <c r="C1470" s="358" t="s">
        <v>3082</v>
      </c>
      <c r="D1470" s="369">
        <f>G1424</f>
        <v>7921049.6394930361</v>
      </c>
      <c r="E1470" s="369">
        <v>20523.240000000002</v>
      </c>
      <c r="F1470" s="369">
        <v>-592.15342190151523</v>
      </c>
      <c r="G1470" s="369">
        <f>SUM(G1468:G1469)</f>
        <v>7940980.7260711342</v>
      </c>
      <c r="H1470" s="369"/>
      <c r="I1470" s="369">
        <f>O1424</f>
        <v>2713891.420927573</v>
      </c>
      <c r="J1470" s="1251">
        <f>+J1424</f>
        <v>2.2200000000000001E-2</v>
      </c>
      <c r="K1470" s="369">
        <f>ROUND((D1470+G1470)/2*J1470/12,0)</f>
        <v>14672</v>
      </c>
      <c r="L1470" s="369">
        <f>SUM(L1468:L1469)</f>
        <v>0</v>
      </c>
      <c r="M1470" s="369">
        <f>F1470</f>
        <v>-592.15342190151523</v>
      </c>
      <c r="N1470" s="369">
        <v>0</v>
      </c>
      <c r="O1470" s="369">
        <f>SUM(O1468:O1469)</f>
        <v>2727971.2675056718</v>
      </c>
    </row>
    <row r="1473" spans="1:15" s="291" customFormat="1">
      <c r="A1473" s="1308" t="str">
        <f>$A$1</f>
        <v>COLUMBIA GAS OF KENTUCKY, INC.</v>
      </c>
      <c r="B1473" s="1308"/>
      <c r="C1473" s="1308"/>
      <c r="D1473" s="1308"/>
      <c r="E1473" s="1308"/>
      <c r="F1473" s="1308"/>
      <c r="G1473" s="1308"/>
      <c r="H1473" s="1308"/>
      <c r="I1473" s="1308"/>
      <c r="J1473" s="1308"/>
      <c r="K1473" s="1308"/>
      <c r="L1473" s="1308"/>
      <c r="M1473" s="1308"/>
      <c r="N1473" s="1308"/>
      <c r="O1473" s="1308"/>
    </row>
    <row r="1474" spans="1:15" s="291" customFormat="1">
      <c r="A1474" s="1308" t="str">
        <f>$A$2</f>
        <v>CASE NO. 2024 - 00092</v>
      </c>
      <c r="B1474" s="1308"/>
      <c r="C1474" s="1308"/>
      <c r="D1474" s="1308"/>
      <c r="E1474" s="1308"/>
      <c r="F1474" s="1308"/>
      <c r="G1474" s="1308"/>
      <c r="H1474" s="1308"/>
      <c r="I1474" s="1308"/>
      <c r="J1474" s="1308"/>
      <c r="K1474" s="1308"/>
      <c r="L1474" s="1308"/>
      <c r="M1474" s="1308"/>
      <c r="N1474" s="1308"/>
      <c r="O1474" s="1308"/>
    </row>
    <row r="1475" spans="1:15" s="291" customFormat="1">
      <c r="A1475" s="1308" t="str">
        <f>$A$3</f>
        <v>DETAIL OF ACTUAL &amp;  FORECASTED SMRP PLANT, ACCUMULATED RESERVE &amp; DEPRECIATION EXPENSE</v>
      </c>
      <c r="B1475" s="1308"/>
      <c r="C1475" s="1308"/>
      <c r="D1475" s="1308"/>
      <c r="E1475" s="1308"/>
      <c r="F1475" s="1308"/>
      <c r="G1475" s="1308"/>
      <c r="H1475" s="1308"/>
      <c r="I1475" s="1308"/>
      <c r="J1475" s="1308"/>
      <c r="K1475" s="1308"/>
      <c r="L1475" s="1308"/>
      <c r="M1475" s="1308"/>
      <c r="N1475" s="1308"/>
      <c r="O1475" s="1308"/>
    </row>
    <row r="1476" spans="1:15" s="291" customFormat="1">
      <c r="A1476" s="1308" t="str">
        <f>$A$4</f>
        <v>FROM JANUARY 01, 2023 THROUGH DECEMBER 31, 2025</v>
      </c>
      <c r="B1476" s="1308"/>
      <c r="C1476" s="1308"/>
      <c r="D1476" s="1308"/>
      <c r="E1476" s="1308"/>
      <c r="F1476" s="1308"/>
      <c r="G1476" s="1308"/>
      <c r="H1476" s="1308"/>
      <c r="I1476" s="1308"/>
      <c r="J1476" s="1308"/>
      <c r="K1476" s="1308"/>
      <c r="L1476" s="1308"/>
      <c r="M1476" s="1308"/>
      <c r="N1476" s="1308"/>
      <c r="O1476" s="1308"/>
    </row>
    <row r="1477" spans="1:15" s="291" customFormat="1">
      <c r="B1477" s="293"/>
    </row>
    <row r="1478" spans="1:15" s="291" customFormat="1">
      <c r="A1478" s="297" t="str">
        <f>'General Headers Index'!$B$34</f>
        <v xml:space="preserve">DATA: _X_ BASE PERIOD _X_ FORECASTED PERIOD     </v>
      </c>
      <c r="B1478" s="293"/>
      <c r="O1478" s="312" t="s">
        <v>2461</v>
      </c>
    </row>
    <row r="1479" spans="1:15" s="291" customFormat="1">
      <c r="A1479" s="297" t="str">
        <f>'General Headers Index'!$B$37</f>
        <v>TYPE OF FILING:___X___ORIGINAL______UPDATED</v>
      </c>
      <c r="B1479" s="293"/>
      <c r="O1479" s="312" t="s">
        <v>2255</v>
      </c>
    </row>
    <row r="1480" spans="1:15" s="291" customFormat="1">
      <c r="A1480" s="297" t="s">
        <v>2150</v>
      </c>
      <c r="B1480" s="293"/>
      <c r="O1480" s="312" t="str">
        <f>"WITNESS: "&amp;'General Headers Index'!$B$42</f>
        <v>WITNESS: GORE</v>
      </c>
    </row>
    <row r="1481" spans="1:15">
      <c r="A1481" s="918"/>
      <c r="B1481" s="918"/>
      <c r="C1481" s="918"/>
      <c r="D1481" s="918"/>
      <c r="E1481" s="918"/>
      <c r="F1481" s="918"/>
      <c r="G1481" s="918"/>
      <c r="H1481" s="918"/>
      <c r="I1481" s="918"/>
      <c r="J1481" s="918"/>
      <c r="K1481" s="918"/>
      <c r="L1481" s="918"/>
      <c r="M1481" s="918"/>
      <c r="N1481" s="918"/>
      <c r="O1481" s="918"/>
    </row>
    <row r="1482" spans="1:15">
      <c r="B1482" s="359"/>
      <c r="D1482" s="1312" t="s">
        <v>1768</v>
      </c>
      <c r="E1482" s="1312"/>
      <c r="F1482" s="1312"/>
      <c r="G1482" s="1312"/>
      <c r="I1482" s="1312" t="s">
        <v>1769</v>
      </c>
      <c r="J1482" s="1312"/>
      <c r="K1482" s="1312"/>
      <c r="L1482" s="1312"/>
      <c r="M1482" s="1312"/>
      <c r="N1482" s="1312"/>
      <c r="O1482" s="1312"/>
    </row>
    <row r="1483" spans="1:15">
      <c r="B1483" s="359"/>
      <c r="D1483" s="360">
        <f>G1437+1</f>
        <v>45901</v>
      </c>
      <c r="G1483" s="360">
        <f>D1483+29</f>
        <v>45930</v>
      </c>
      <c r="I1483" s="360">
        <f>D1483</f>
        <v>45901</v>
      </c>
      <c r="O1483" s="360">
        <f>G1483</f>
        <v>45930</v>
      </c>
    </row>
    <row r="1484" spans="1:15">
      <c r="B1484" s="359"/>
      <c r="D1484" s="361" t="s">
        <v>1757</v>
      </c>
      <c r="G1484" s="361" t="s">
        <v>1757</v>
      </c>
      <c r="I1484" s="361" t="s">
        <v>1758</v>
      </c>
      <c r="J1484" s="361" t="s">
        <v>488</v>
      </c>
      <c r="L1484" s="361" t="s">
        <v>1758</v>
      </c>
      <c r="O1484" s="361" t="s">
        <v>1758</v>
      </c>
    </row>
    <row r="1485" spans="1:15">
      <c r="A1485" s="361" t="s">
        <v>1770</v>
      </c>
      <c r="B1485" s="361" t="s">
        <v>368</v>
      </c>
      <c r="C1485" s="361"/>
      <c r="D1485" s="361" t="s">
        <v>437</v>
      </c>
      <c r="G1485" s="361" t="s">
        <v>439</v>
      </c>
      <c r="I1485" s="361" t="s">
        <v>437</v>
      </c>
      <c r="J1485" s="361" t="s">
        <v>1771</v>
      </c>
      <c r="K1485" s="361" t="s">
        <v>1772</v>
      </c>
      <c r="L1485" s="361" t="s">
        <v>1759</v>
      </c>
      <c r="N1485" s="361" t="s">
        <v>1760</v>
      </c>
      <c r="O1485" s="361" t="s">
        <v>439</v>
      </c>
    </row>
    <row r="1486" spans="1:15">
      <c r="A1486" s="364" t="s">
        <v>316</v>
      </c>
      <c r="B1486" s="364" t="s">
        <v>316</v>
      </c>
      <c r="C1486" s="364" t="s">
        <v>451</v>
      </c>
      <c r="D1486" s="364" t="s">
        <v>441</v>
      </c>
      <c r="E1486" s="364" t="s">
        <v>442</v>
      </c>
      <c r="F1486" s="364" t="s">
        <v>443</v>
      </c>
      <c r="G1486" s="364" t="s">
        <v>441</v>
      </c>
      <c r="I1486" s="364" t="s">
        <v>441</v>
      </c>
      <c r="J1486" s="364" t="s">
        <v>1773</v>
      </c>
      <c r="K1486" s="364" t="s">
        <v>1771</v>
      </c>
      <c r="L1486" s="364" t="s">
        <v>355</v>
      </c>
      <c r="M1486" s="364" t="s">
        <v>443</v>
      </c>
      <c r="N1486" s="364" t="s">
        <v>1763</v>
      </c>
      <c r="O1486" s="364" t="s">
        <v>441</v>
      </c>
    </row>
    <row r="1487" spans="1:15">
      <c r="B1487" s="359"/>
      <c r="D1487" s="361" t="s">
        <v>532</v>
      </c>
      <c r="E1487" s="361" t="s">
        <v>541</v>
      </c>
      <c r="F1487" s="361" t="s">
        <v>542</v>
      </c>
      <c r="G1487" s="361" t="s">
        <v>1764</v>
      </c>
      <c r="I1487" s="334" t="str">
        <f>"(5)"</f>
        <v>(5)</v>
      </c>
      <c r="J1487" s="334" t="str">
        <f>"(6)"</f>
        <v>(6)</v>
      </c>
      <c r="K1487" s="334" t="str">
        <f>"(7)=((1+4)/2*6/12))"</f>
        <v>(7)=((1+4)/2*6/12))</v>
      </c>
      <c r="L1487" s="334" t="str">
        <f>"(8)"</f>
        <v>(8)</v>
      </c>
      <c r="M1487" s="334" t="str">
        <f>"(9)"</f>
        <v>(9)</v>
      </c>
      <c r="N1487" s="334" t="str">
        <f>"(10)"</f>
        <v>(10)</v>
      </c>
      <c r="O1487" s="334" t="str">
        <f>"(11=5+7+8+9+10)"</f>
        <v>(11=5+7+8+9+10)</v>
      </c>
    </row>
    <row r="1488" spans="1:15">
      <c r="B1488" s="359"/>
      <c r="D1488" s="361" t="s">
        <v>320</v>
      </c>
      <c r="E1488" s="361" t="s">
        <v>320</v>
      </c>
      <c r="F1488" s="361" t="s">
        <v>320</v>
      </c>
      <c r="G1488" s="361" t="s">
        <v>320</v>
      </c>
      <c r="I1488" s="334" t="s">
        <v>320</v>
      </c>
      <c r="J1488" s="1250" t="s">
        <v>529</v>
      </c>
      <c r="K1488" s="334" t="s">
        <v>320</v>
      </c>
      <c r="L1488" s="334" t="s">
        <v>320</v>
      </c>
      <c r="M1488" s="334" t="s">
        <v>320</v>
      </c>
      <c r="N1488" s="334" t="s">
        <v>320</v>
      </c>
      <c r="O1488" s="334" t="s">
        <v>320</v>
      </c>
    </row>
    <row r="1489" spans="1:15">
      <c r="B1489" s="359"/>
      <c r="D1489" s="361"/>
      <c r="E1489" s="361"/>
      <c r="F1489" s="361"/>
      <c r="G1489" s="361"/>
      <c r="I1489" s="334"/>
      <c r="J1489" s="334"/>
      <c r="K1489" s="334"/>
      <c r="L1489" s="334"/>
      <c r="M1489" s="334"/>
      <c r="N1489" s="334"/>
      <c r="O1489" s="334"/>
    </row>
    <row r="1490" spans="1:15">
      <c r="A1490" s="361">
        <v>1</v>
      </c>
      <c r="B1490" s="365">
        <v>376</v>
      </c>
      <c r="C1490" s="358" t="s">
        <v>1775</v>
      </c>
      <c r="D1490" s="369">
        <f>G1444</f>
        <v>63598349.400734186</v>
      </c>
      <c r="E1490" s="369">
        <v>3023718.9700568779</v>
      </c>
      <c r="F1490" s="369">
        <v>-56357.78</v>
      </c>
      <c r="G1490" s="369">
        <f>SUM(D1490:F1490)</f>
        <v>66565710.590791062</v>
      </c>
      <c r="H1490" s="369"/>
      <c r="I1490" s="369">
        <f>O1444</f>
        <v>832697.10567250184</v>
      </c>
      <c r="J1490" s="1251">
        <f>+J1444</f>
        <v>1.7999999999999999E-2</v>
      </c>
      <c r="K1490" s="380">
        <f>ROUND((G1490+D1490)/2*J1490/12,2)</f>
        <v>97623.039999999994</v>
      </c>
      <c r="L1490" s="369">
        <v>0</v>
      </c>
      <c r="M1490" s="369">
        <f>F1490</f>
        <v>-56357.78</v>
      </c>
      <c r="N1490" s="369">
        <v>-1415.82645274365</v>
      </c>
      <c r="O1490" s="369">
        <f>I1490+K1490+L1490+M1490+N1490</f>
        <v>872546.53921975824</v>
      </c>
    </row>
    <row r="1491" spans="1:15">
      <c r="A1491" s="361">
        <f>A1490+1</f>
        <v>2</v>
      </c>
      <c r="B1491" s="365">
        <v>378.2</v>
      </c>
      <c r="C1491" s="358" t="s">
        <v>1776</v>
      </c>
      <c r="D1491" s="369">
        <f>G1445</f>
        <v>599780.62011021946</v>
      </c>
      <c r="E1491" s="369">
        <v>0</v>
      </c>
      <c r="F1491" s="369">
        <v>0</v>
      </c>
      <c r="G1491" s="369">
        <f>SUM(D1491:F1491)</f>
        <v>599780.62011021946</v>
      </c>
      <c r="H1491" s="369"/>
      <c r="I1491" s="369">
        <f>O1445</f>
        <v>-931582.15754116012</v>
      </c>
      <c r="J1491" s="1251">
        <f>+J1445</f>
        <v>3.3099999999999997E-2</v>
      </c>
      <c r="K1491" s="380">
        <f>ROUND((G1491+D1491)/2*J1491/12,2)</f>
        <v>1654.39</v>
      </c>
      <c r="L1491" s="369">
        <v>0</v>
      </c>
      <c r="M1491" s="369">
        <f>F1491</f>
        <v>0</v>
      </c>
      <c r="N1491" s="369">
        <v>0</v>
      </c>
      <c r="O1491" s="369">
        <f>I1491+K1491+L1491+M1491+N1491</f>
        <v>-929927.76754116011</v>
      </c>
    </row>
    <row r="1492" spans="1:15">
      <c r="A1492" s="361">
        <f>A1491+1</f>
        <v>3</v>
      </c>
      <c r="B1492" s="365">
        <v>380</v>
      </c>
      <c r="C1492" s="358" t="s">
        <v>1777</v>
      </c>
      <c r="D1492" s="369">
        <f>G1446</f>
        <v>27165322.720041122</v>
      </c>
      <c r="E1492" s="369">
        <v>905269.81953834044</v>
      </c>
      <c r="F1492" s="369">
        <v>-228809.31679669919</v>
      </c>
      <c r="G1492" s="369">
        <f>SUM(D1492:F1492)</f>
        <v>27841783.222782765</v>
      </c>
      <c r="H1492" s="369"/>
      <c r="I1492" s="369">
        <f>O1446</f>
        <v>-13056202.886462623</v>
      </c>
      <c r="J1492" s="1251">
        <f>+J1446</f>
        <v>5.1799999999999999E-2</v>
      </c>
      <c r="K1492" s="380">
        <f>ROUND((G1492+D1492)/2*J1492/12,2)</f>
        <v>118723.67</v>
      </c>
      <c r="L1492" s="369">
        <v>0</v>
      </c>
      <c r="M1492" s="369">
        <f>F1492</f>
        <v>-228809.31679669919</v>
      </c>
      <c r="N1492" s="369">
        <v>-86191.540898403196</v>
      </c>
      <c r="O1492" s="369">
        <f>I1492+K1492+L1492+M1492+N1492</f>
        <v>-13252480.074157726</v>
      </c>
    </row>
    <row r="1493" spans="1:15">
      <c r="A1493" s="361">
        <f>A1492+1</f>
        <v>4</v>
      </c>
      <c r="B1493" s="365">
        <v>382</v>
      </c>
      <c r="C1493" s="358" t="s">
        <v>1778</v>
      </c>
      <c r="D1493" s="369">
        <f>G1447</f>
        <v>246088.81203294941</v>
      </c>
      <c r="E1493" s="369">
        <v>9870.2702363001463</v>
      </c>
      <c r="F1493" s="369">
        <v>-644.56915429046569</v>
      </c>
      <c r="G1493" s="369">
        <f>SUM(D1493:F1493)</f>
        <v>255314.51311495912</v>
      </c>
      <c r="H1493" s="369"/>
      <c r="I1493" s="369">
        <f>O1447</f>
        <v>-75389.567320254806</v>
      </c>
      <c r="J1493" s="1251">
        <f>+J1447</f>
        <v>2.2800000000000001E-2</v>
      </c>
      <c r="K1493" s="380">
        <f>ROUND((G1493+D1493)/2*J1493/12,2)</f>
        <v>476.33</v>
      </c>
      <c r="L1493" s="369">
        <v>0</v>
      </c>
      <c r="M1493" s="369">
        <f>F1493</f>
        <v>-644.56915429046569</v>
      </c>
      <c r="N1493" s="369">
        <v>0</v>
      </c>
      <c r="O1493" s="369">
        <f>I1493+K1493+L1493+M1493+N1493</f>
        <v>-75557.806474545272</v>
      </c>
    </row>
    <row r="1494" spans="1:15">
      <c r="A1494" s="361">
        <f>A1493+1</f>
        <v>5</v>
      </c>
      <c r="B1494" s="365">
        <v>383</v>
      </c>
      <c r="C1494" s="358" t="s">
        <v>1779</v>
      </c>
      <c r="D1494" s="923">
        <f>G1448</f>
        <v>177532.83592384632</v>
      </c>
      <c r="E1494" s="923">
        <v>7230.8391761710263</v>
      </c>
      <c r="F1494" s="923">
        <v>-132.28450587415054</v>
      </c>
      <c r="G1494" s="923">
        <f>SUM(D1494:F1494)</f>
        <v>184631.39059414319</v>
      </c>
      <c r="H1494" s="369"/>
      <c r="I1494" s="923">
        <f>O1448</f>
        <v>-7163.0720052157221</v>
      </c>
      <c r="J1494" s="1251">
        <f>+J1448</f>
        <v>2.2200000000000001E-2</v>
      </c>
      <c r="K1494" s="925">
        <f>ROUND((G1494+D1494)/2*J1494/12,2)</f>
        <v>335</v>
      </c>
      <c r="L1494" s="923">
        <v>0</v>
      </c>
      <c r="M1494" s="923">
        <f>F1494</f>
        <v>-132.28450587415054</v>
      </c>
      <c r="N1494" s="923">
        <v>0</v>
      </c>
      <c r="O1494" s="923">
        <f>I1494+K1494+L1494+M1494+N1494</f>
        <v>-6960.3565110898726</v>
      </c>
    </row>
    <row r="1495" spans="1:15">
      <c r="A1495" s="361">
        <f>A1494+1</f>
        <v>6</v>
      </c>
      <c r="C1495" s="358" t="s">
        <v>3077</v>
      </c>
      <c r="D1495" s="369">
        <f>SUM(D1490:D1494)</f>
        <v>91787074.388842329</v>
      </c>
      <c r="E1495" s="369">
        <f>SUM(E1490:E1494)</f>
        <v>3946089.8990076897</v>
      </c>
      <c r="F1495" s="369">
        <f>SUM(F1490:F1494)</f>
        <v>-285943.95045686385</v>
      </c>
      <c r="G1495" s="369">
        <f>SUM(G1490:G1494)</f>
        <v>95447220.337393135</v>
      </c>
      <c r="H1495" s="369"/>
      <c r="I1495" s="369">
        <f>SUM(I1490:I1494)</f>
        <v>-13237640.577656753</v>
      </c>
      <c r="J1495" s="369"/>
      <c r="K1495" s="369">
        <f>SUM(K1490:K1494)</f>
        <v>218812.42999999996</v>
      </c>
      <c r="L1495" s="369">
        <f t="shared" ref="L1495" si="32">SUM(L1490:L1494)</f>
        <v>0</v>
      </c>
      <c r="M1495" s="369">
        <f>SUM(M1490:M1494)</f>
        <v>-285943.95045686385</v>
      </c>
      <c r="N1495" s="369">
        <f>SUM(N1490:N1494)</f>
        <v>-87607.367351146851</v>
      </c>
      <c r="O1495" s="369">
        <f>SUM(O1490:O1494)</f>
        <v>-13392379.465464763</v>
      </c>
    </row>
    <row r="1496" spans="1:15">
      <c r="A1496" s="361"/>
      <c r="D1496" s="369"/>
      <c r="E1496" s="369"/>
      <c r="F1496" s="369"/>
      <c r="G1496" s="369"/>
      <c r="H1496" s="369"/>
      <c r="I1496" s="369"/>
      <c r="J1496" s="369"/>
      <c r="K1496" s="369"/>
      <c r="L1496" s="369"/>
      <c r="M1496" s="369"/>
      <c r="N1496" s="369"/>
      <c r="O1496" s="369"/>
    </row>
    <row r="1497" spans="1:15">
      <c r="A1497" s="361"/>
      <c r="D1497" s="369"/>
      <c r="E1497" s="369"/>
      <c r="F1497" s="369"/>
      <c r="G1497" s="369"/>
      <c r="H1497" s="369"/>
      <c r="I1497" s="369"/>
      <c r="J1497" s="369"/>
      <c r="K1497" s="369"/>
      <c r="L1497" s="369"/>
      <c r="M1497" s="369"/>
      <c r="N1497" s="369"/>
      <c r="O1497" s="369"/>
    </row>
    <row r="1498" spans="1:15">
      <c r="A1498" s="361">
        <f>A1495+1</f>
        <v>7</v>
      </c>
      <c r="B1498" s="365">
        <v>376</v>
      </c>
      <c r="C1498" s="358" t="s">
        <v>1775</v>
      </c>
      <c r="D1498" s="369">
        <f>D1490</f>
        <v>63598349.400734186</v>
      </c>
      <c r="E1498" s="369">
        <f>E1490</f>
        <v>3023718.9700568779</v>
      </c>
      <c r="F1498" s="369">
        <f>F1490</f>
        <v>-56357.78</v>
      </c>
      <c r="G1498" s="369">
        <f>SUM(D1498:F1498)</f>
        <v>66565710.590791062</v>
      </c>
      <c r="H1498" s="369"/>
      <c r="I1498" s="369">
        <f>I1490</f>
        <v>832697.10567250184</v>
      </c>
      <c r="J1498" s="1251"/>
      <c r="K1498" s="369">
        <f>K1490</f>
        <v>97623.039999999994</v>
      </c>
      <c r="L1498" s="369">
        <v>0</v>
      </c>
      <c r="M1498" s="369">
        <f>M1490</f>
        <v>-56357.78</v>
      </c>
      <c r="N1498" s="369">
        <f>N1490</f>
        <v>-1415.82645274365</v>
      </c>
      <c r="O1498" s="369">
        <f>I1498+K1498+L1498+M1498+N1498</f>
        <v>872546.53921975824</v>
      </c>
    </row>
    <row r="1499" spans="1:15">
      <c r="A1499" s="361">
        <f>A1498+1</f>
        <v>8</v>
      </c>
      <c r="B1499" s="365">
        <v>376</v>
      </c>
      <c r="C1499" s="358" t="s">
        <v>1621</v>
      </c>
      <c r="D1499" s="923">
        <f>D1500-D1498</f>
        <v>423518745.7992658</v>
      </c>
      <c r="E1499" s="923">
        <f>E1500-E1498</f>
        <v>550752.83994312212</v>
      </c>
      <c r="F1499" s="923">
        <f>F1500-F1498</f>
        <v>-56144.5</v>
      </c>
      <c r="G1499" s="923">
        <f>SUM(D1499:F1499)</f>
        <v>424013354.13920891</v>
      </c>
      <c r="H1499" s="369"/>
      <c r="I1499" s="923">
        <f>I1500-I1498</f>
        <v>90836663.726838619</v>
      </c>
      <c r="J1499" s="1251"/>
      <c r="K1499" s="923">
        <f>K1500-K1498</f>
        <v>635648.96</v>
      </c>
      <c r="L1499" s="923">
        <v>0</v>
      </c>
      <c r="M1499" s="923">
        <f>M1500-M1498</f>
        <v>-56144.5</v>
      </c>
      <c r="N1499" s="923">
        <f>N1500-N1498</f>
        <v>-23155.083547256352</v>
      </c>
      <c r="O1499" s="923">
        <f>I1499+K1499+L1499+M1499+N1499</f>
        <v>91393013.103291363</v>
      </c>
    </row>
    <row r="1500" spans="1:15">
      <c r="A1500" s="361">
        <f>A1499+1</f>
        <v>9</v>
      </c>
      <c r="B1500" s="365">
        <v>376</v>
      </c>
      <c r="C1500" s="358" t="s">
        <v>3078</v>
      </c>
      <c r="D1500" s="369">
        <f>G1454</f>
        <v>487117095.19999999</v>
      </c>
      <c r="E1500" s="369">
        <v>3574471.81</v>
      </c>
      <c r="F1500" s="369">
        <v>-112502.28</v>
      </c>
      <c r="G1500" s="369">
        <f>SUM(G1498:G1499)</f>
        <v>490579064.72999996</v>
      </c>
      <c r="H1500" s="369"/>
      <c r="I1500" s="369">
        <f>O1454</f>
        <v>91669360.832511127</v>
      </c>
      <c r="J1500" s="1251">
        <f>+J1490</f>
        <v>1.7999999999999999E-2</v>
      </c>
      <c r="K1500" s="369">
        <f>ROUND((D1500+G1500)/2*J1500/12,0)</f>
        <v>733272</v>
      </c>
      <c r="L1500" s="369">
        <f>SUM(L1498:L1499)</f>
        <v>0</v>
      </c>
      <c r="M1500" s="369">
        <f>F1500</f>
        <v>-112502.28</v>
      </c>
      <c r="N1500" s="369">
        <v>-24570.910000000003</v>
      </c>
      <c r="O1500" s="369">
        <f>SUM(O1498:O1499)</f>
        <v>92265559.642511114</v>
      </c>
    </row>
    <row r="1501" spans="1:15">
      <c r="A1501" s="361"/>
      <c r="B1501" s="365"/>
      <c r="D1501" s="369"/>
      <c r="E1501" s="369"/>
      <c r="F1501" s="369"/>
      <c r="G1501" s="369"/>
      <c r="H1501" s="369"/>
      <c r="I1501" s="369"/>
      <c r="J1501" s="1251"/>
      <c r="K1501" s="369"/>
      <c r="L1501" s="369"/>
      <c r="M1501" s="369"/>
      <c r="N1501" s="369"/>
      <c r="O1501" s="369"/>
    </row>
    <row r="1502" spans="1:15">
      <c r="A1502" s="361">
        <f>A1500+1</f>
        <v>10</v>
      </c>
      <c r="B1502" s="365">
        <v>378.2</v>
      </c>
      <c r="C1502" s="358" t="s">
        <v>1776</v>
      </c>
      <c r="D1502" s="369">
        <f>D1491</f>
        <v>599780.62011021946</v>
      </c>
      <c r="E1502" s="369">
        <f>E1491</f>
        <v>0</v>
      </c>
      <c r="F1502" s="369">
        <f>F1491</f>
        <v>0</v>
      </c>
      <c r="G1502" s="369">
        <f>SUM(D1502:F1502)</f>
        <v>599780.62011021946</v>
      </c>
      <c r="H1502" s="369"/>
      <c r="I1502" s="369">
        <f>I1491</f>
        <v>-931582.15754116012</v>
      </c>
      <c r="J1502" s="1251"/>
      <c r="K1502" s="369">
        <f>K1491</f>
        <v>1654.39</v>
      </c>
      <c r="L1502" s="369">
        <v>0</v>
      </c>
      <c r="M1502" s="369">
        <f>M1491</f>
        <v>0</v>
      </c>
      <c r="N1502" s="369">
        <f>N1491</f>
        <v>0</v>
      </c>
      <c r="O1502" s="369">
        <f>I1502+K1502+L1502+M1502+N1502</f>
        <v>-929927.76754116011</v>
      </c>
    </row>
    <row r="1503" spans="1:15">
      <c r="A1503" s="361">
        <f>A1502+1</f>
        <v>11</v>
      </c>
      <c r="B1503" s="365">
        <v>378.2</v>
      </c>
      <c r="C1503" s="358" t="s">
        <v>1622</v>
      </c>
      <c r="D1503" s="923">
        <f>D1504-D1502</f>
        <v>30846698.423518125</v>
      </c>
      <c r="E1503" s="923">
        <f>E1504-E1502</f>
        <v>217404.89217659723</v>
      </c>
      <c r="F1503" s="923">
        <f>F1504-F1502</f>
        <v>0</v>
      </c>
      <c r="G1503" s="923">
        <f>SUM(D1503:F1503)</f>
        <v>31064103.315694723</v>
      </c>
      <c r="H1503" s="369"/>
      <c r="I1503" s="923">
        <f>I1504-I1502</f>
        <v>3155255.747537523</v>
      </c>
      <c r="J1503" s="1251"/>
      <c r="K1503" s="923">
        <f>K1504-K1502</f>
        <v>85385.61</v>
      </c>
      <c r="L1503" s="923">
        <v>0</v>
      </c>
      <c r="M1503" s="923">
        <f>M1504-M1502</f>
        <v>0</v>
      </c>
      <c r="N1503" s="923">
        <f>N1504-N1502</f>
        <v>0</v>
      </c>
      <c r="O1503" s="923">
        <f>I1503+K1503+L1503+M1503+N1503</f>
        <v>3240641.3575375229</v>
      </c>
    </row>
    <row r="1504" spans="1:15">
      <c r="A1504" s="361">
        <f>A1503+1</f>
        <v>12</v>
      </c>
      <c r="B1504" s="365">
        <v>378.2</v>
      </c>
      <c r="C1504" s="358" t="s">
        <v>3079</v>
      </c>
      <c r="D1504" s="369">
        <f>G1458</f>
        <v>31446479.043628346</v>
      </c>
      <c r="E1504" s="369">
        <v>217404.89217659723</v>
      </c>
      <c r="F1504" s="369">
        <v>0</v>
      </c>
      <c r="G1504" s="369">
        <f>SUM(G1502:G1503)</f>
        <v>31663883.935804944</v>
      </c>
      <c r="H1504" s="369"/>
      <c r="I1504" s="369">
        <f>O1458</f>
        <v>2223673.589996363</v>
      </c>
      <c r="J1504" s="1251">
        <f>+J1491</f>
        <v>3.3099999999999997E-2</v>
      </c>
      <c r="K1504" s="369">
        <f>ROUND((D1504+G1504)/2*J1504/12,0)</f>
        <v>87040</v>
      </c>
      <c r="L1504" s="369">
        <f>SUM(L1502:L1503)</f>
        <v>0</v>
      </c>
      <c r="M1504" s="369">
        <f>F1504</f>
        <v>0</v>
      </c>
      <c r="N1504" s="369">
        <v>0</v>
      </c>
      <c r="O1504" s="369">
        <f>SUM(O1502:O1503)</f>
        <v>2310713.589996363</v>
      </c>
    </row>
    <row r="1505" spans="1:15">
      <c r="A1505" s="361"/>
      <c r="B1505" s="365"/>
      <c r="D1505" s="369"/>
      <c r="E1505" s="369"/>
      <c r="F1505" s="369"/>
      <c r="G1505" s="369"/>
      <c r="H1505" s="369"/>
      <c r="I1505" s="369"/>
      <c r="J1505" s="1251"/>
      <c r="K1505" s="369"/>
      <c r="L1505" s="369"/>
      <c r="M1505" s="369"/>
      <c r="N1505" s="369"/>
      <c r="O1505" s="369"/>
    </row>
    <row r="1506" spans="1:15">
      <c r="A1506" s="361">
        <f>A1504+1</f>
        <v>13</v>
      </c>
      <c r="B1506" s="365">
        <v>380</v>
      </c>
      <c r="C1506" s="358" t="s">
        <v>1777</v>
      </c>
      <c r="D1506" s="369">
        <f>D1492</f>
        <v>27165322.720041122</v>
      </c>
      <c r="E1506" s="369">
        <f>E1492</f>
        <v>905269.81953834044</v>
      </c>
      <c r="F1506" s="369">
        <f>F1492</f>
        <v>-228809.31679669919</v>
      </c>
      <c r="G1506" s="369">
        <f>SUM(D1506:F1506)</f>
        <v>27841783.222782765</v>
      </c>
      <c r="H1506" s="369"/>
      <c r="I1506" s="369">
        <f>I1492</f>
        <v>-13056202.886462623</v>
      </c>
      <c r="J1506" s="1251"/>
      <c r="K1506" s="369">
        <f>K1492</f>
        <v>118723.67</v>
      </c>
      <c r="L1506" s="369">
        <v>0</v>
      </c>
      <c r="M1506" s="369">
        <f>M1492</f>
        <v>-228809.31679669919</v>
      </c>
      <c r="N1506" s="369">
        <f>N1492</f>
        <v>-86191.540898403196</v>
      </c>
      <c r="O1506" s="369">
        <f>I1506+K1506+L1506+M1506+N1506</f>
        <v>-13252480.074157726</v>
      </c>
    </row>
    <row r="1507" spans="1:15">
      <c r="A1507" s="361">
        <f>A1506+1</f>
        <v>14</v>
      </c>
      <c r="B1507" s="365">
        <v>380</v>
      </c>
      <c r="C1507" s="358" t="s">
        <v>1623</v>
      </c>
      <c r="D1507" s="923">
        <f>D1508-D1506</f>
        <v>207786405.9399589</v>
      </c>
      <c r="E1507" s="923">
        <f>E1508-E1506</f>
        <v>580979.20046165958</v>
      </c>
      <c r="F1507" s="923">
        <f>F1508-F1506</f>
        <v>-50269.973203300848</v>
      </c>
      <c r="G1507" s="923">
        <f>SUM(D1507:F1507)</f>
        <v>208317115.16721725</v>
      </c>
      <c r="H1507" s="369"/>
      <c r="I1507" s="923">
        <f>I1508-I1506</f>
        <v>72900900.236462623</v>
      </c>
      <c r="J1507" s="1251"/>
      <c r="K1507" s="923">
        <f>K1508-K1506</f>
        <v>898090.33</v>
      </c>
      <c r="L1507" s="923">
        <v>0</v>
      </c>
      <c r="M1507" s="923">
        <f>M1508-M1506</f>
        <v>-50269.973203300848</v>
      </c>
      <c r="N1507" s="923">
        <f>N1508-N1506</f>
        <v>-35361.5491015968</v>
      </c>
      <c r="O1507" s="923">
        <f>I1507+K1507+L1507+M1507+N1507</f>
        <v>73713359.044157729</v>
      </c>
    </row>
    <row r="1508" spans="1:15">
      <c r="A1508" s="361">
        <f>A1507+1</f>
        <v>15</v>
      </c>
      <c r="B1508" s="365">
        <v>380</v>
      </c>
      <c r="C1508" s="358" t="s">
        <v>3080</v>
      </c>
      <c r="D1508" s="369">
        <f>G1462</f>
        <v>234951728.66000003</v>
      </c>
      <c r="E1508" s="369">
        <v>1486249.02</v>
      </c>
      <c r="F1508" s="369">
        <v>-279079.29000000004</v>
      </c>
      <c r="G1508" s="369">
        <f>SUM(G1506:G1507)</f>
        <v>236158898.39000002</v>
      </c>
      <c r="H1508" s="369"/>
      <c r="I1508" s="369">
        <f>O1462</f>
        <v>59844697.350000001</v>
      </c>
      <c r="J1508" s="1251">
        <f>+J1492</f>
        <v>5.1799999999999999E-2</v>
      </c>
      <c r="K1508" s="369">
        <f>ROUND((D1508+G1508)/2*J1508/12,0)</f>
        <v>1016814</v>
      </c>
      <c r="L1508" s="369">
        <f>SUM(L1506:L1507)</f>
        <v>0</v>
      </c>
      <c r="M1508" s="369">
        <f>F1508</f>
        <v>-279079.29000000004</v>
      </c>
      <c r="N1508" s="369">
        <v>-121553.09</v>
      </c>
      <c r="O1508" s="369">
        <f>SUM(O1506:O1507)</f>
        <v>60460878.969999999</v>
      </c>
    </row>
    <row r="1509" spans="1:15">
      <c r="A1509" s="361"/>
      <c r="B1509" s="365"/>
      <c r="D1509" s="369"/>
      <c r="E1509" s="369"/>
      <c r="F1509" s="369"/>
      <c r="G1509" s="369"/>
      <c r="H1509" s="369"/>
      <c r="I1509" s="369"/>
      <c r="J1509" s="1251"/>
      <c r="K1509" s="369"/>
      <c r="L1509" s="369"/>
      <c r="M1509" s="369"/>
      <c r="N1509" s="369"/>
      <c r="O1509" s="369"/>
    </row>
    <row r="1510" spans="1:15">
      <c r="A1510" s="361">
        <f>A1508+1</f>
        <v>16</v>
      </c>
      <c r="B1510" s="365">
        <v>382</v>
      </c>
      <c r="C1510" s="358" t="s">
        <v>1778</v>
      </c>
      <c r="D1510" s="369">
        <f>D1493</f>
        <v>246088.81203294941</v>
      </c>
      <c r="E1510" s="369">
        <f>E1493</f>
        <v>9870.2702363001463</v>
      </c>
      <c r="F1510" s="369">
        <f>F1493</f>
        <v>-644.56915429046569</v>
      </c>
      <c r="G1510" s="369">
        <f>SUM(D1510:F1510)</f>
        <v>255314.51311495912</v>
      </c>
      <c r="H1510" s="369"/>
      <c r="I1510" s="369">
        <f>I1493</f>
        <v>-75389.567320254806</v>
      </c>
      <c r="J1510" s="1251"/>
      <c r="K1510" s="369">
        <f>K1493</f>
        <v>476.33</v>
      </c>
      <c r="L1510" s="369">
        <v>0</v>
      </c>
      <c r="M1510" s="369">
        <f>M1493</f>
        <v>-644.56915429046569</v>
      </c>
      <c r="N1510" s="369">
        <f>N1493</f>
        <v>0</v>
      </c>
      <c r="O1510" s="369">
        <f>I1510+K1510+L1510+M1510+N1510</f>
        <v>-75557.806474545272</v>
      </c>
    </row>
    <row r="1511" spans="1:15">
      <c r="A1511" s="361">
        <f>A1510+1</f>
        <v>17</v>
      </c>
      <c r="B1511" s="365">
        <v>382</v>
      </c>
      <c r="C1511" s="358" t="s">
        <v>1624</v>
      </c>
      <c r="D1511" s="923">
        <f>D1512-D1510</f>
        <v>10740811.241760939</v>
      </c>
      <c r="E1511" s="923">
        <f>E1512-E1510</f>
        <v>29549.759797398845</v>
      </c>
      <c r="F1511" s="923">
        <f>F1512-F1510</f>
        <v>-1929.7205877957258</v>
      </c>
      <c r="G1511" s="923">
        <f>SUM(D1511:F1511)</f>
        <v>10768431.280970542</v>
      </c>
      <c r="H1511" s="369"/>
      <c r="I1511" s="923">
        <f>I1512-I1510</f>
        <v>6166458.2430849215</v>
      </c>
      <c r="J1511" s="1251"/>
      <c r="K1511" s="923">
        <f>K1512-K1510</f>
        <v>20433.669999999998</v>
      </c>
      <c r="L1511" s="923">
        <v>0</v>
      </c>
      <c r="M1511" s="923">
        <f>M1512-M1510</f>
        <v>-1929.7205877957258</v>
      </c>
      <c r="N1511" s="923">
        <f>N1512-N1510</f>
        <v>0</v>
      </c>
      <c r="O1511" s="923">
        <f>I1511+K1511+L1511+M1511+N1511</f>
        <v>6184962.1924971258</v>
      </c>
    </row>
    <row r="1512" spans="1:15">
      <c r="A1512" s="361">
        <f>A1511+1</f>
        <v>18</v>
      </c>
      <c r="B1512" s="365">
        <v>382</v>
      </c>
      <c r="C1512" s="358" t="s">
        <v>3081</v>
      </c>
      <c r="D1512" s="369">
        <f>G1466</f>
        <v>10986900.053793889</v>
      </c>
      <c r="E1512" s="369">
        <v>39420.030033698989</v>
      </c>
      <c r="F1512" s="369">
        <v>-2574.2897420861914</v>
      </c>
      <c r="G1512" s="369">
        <f>SUM(G1510:G1511)</f>
        <v>11023745.794085501</v>
      </c>
      <c r="H1512" s="369"/>
      <c r="I1512" s="369">
        <f>O1466</f>
        <v>6091068.6757646669</v>
      </c>
      <c r="J1512" s="1251">
        <f>+J1493</f>
        <v>2.2800000000000001E-2</v>
      </c>
      <c r="K1512" s="369">
        <f>ROUND((D1512+G1512)/2*J1512/12,0)</f>
        <v>20910</v>
      </c>
      <c r="L1512" s="369">
        <f>SUM(L1510:L1511)</f>
        <v>0</v>
      </c>
      <c r="M1512" s="369">
        <f>F1512</f>
        <v>-2574.2897420861914</v>
      </c>
      <c r="N1512" s="369">
        <v>0</v>
      </c>
      <c r="O1512" s="369">
        <f>SUM(O1510:O1511)</f>
        <v>6109404.3860225808</v>
      </c>
    </row>
    <row r="1513" spans="1:15">
      <c r="A1513" s="361"/>
      <c r="B1513" s="365"/>
      <c r="D1513" s="369"/>
      <c r="E1513" s="369"/>
      <c r="F1513" s="369"/>
      <c r="G1513" s="369"/>
      <c r="H1513" s="369"/>
      <c r="I1513" s="369"/>
      <c r="J1513" s="1251"/>
      <c r="K1513" s="369"/>
      <c r="L1513" s="369"/>
      <c r="M1513" s="369"/>
      <c r="N1513" s="369"/>
      <c r="O1513" s="369"/>
    </row>
    <row r="1514" spans="1:15">
      <c r="A1514" s="361">
        <f>A1512+1</f>
        <v>19</v>
      </c>
      <c r="B1514" s="365">
        <v>383</v>
      </c>
      <c r="C1514" s="358" t="s">
        <v>1779</v>
      </c>
      <c r="D1514" s="369">
        <f>D1494</f>
        <v>177532.83592384632</v>
      </c>
      <c r="E1514" s="369">
        <f>E1494</f>
        <v>7230.8391761710263</v>
      </c>
      <c r="F1514" s="369">
        <f>F1494</f>
        <v>-132.28450587415054</v>
      </c>
      <c r="G1514" s="369">
        <f>SUM(D1514:F1514)</f>
        <v>184631.39059414319</v>
      </c>
      <c r="H1514" s="369"/>
      <c r="I1514" s="369">
        <f>I1494</f>
        <v>-7163.0720052157221</v>
      </c>
      <c r="J1514" s="1251"/>
      <c r="K1514" s="369">
        <f>K1494</f>
        <v>335</v>
      </c>
      <c r="L1514" s="369">
        <v>0</v>
      </c>
      <c r="M1514" s="369">
        <f>M1494</f>
        <v>-132.28450587415054</v>
      </c>
      <c r="N1514" s="369">
        <f>N1494</f>
        <v>0</v>
      </c>
      <c r="O1514" s="369">
        <f>I1514+K1514+L1514+M1514+N1514</f>
        <v>-6960.3565110898726</v>
      </c>
    </row>
    <row r="1515" spans="1:15">
      <c r="A1515" s="361">
        <f>A1514+1</f>
        <v>20</v>
      </c>
      <c r="B1515" s="365">
        <v>383</v>
      </c>
      <c r="C1515" s="358" t="s">
        <v>1625</v>
      </c>
      <c r="D1515" s="923">
        <f>D1516-D1514</f>
        <v>7763447.8901472883</v>
      </c>
      <c r="E1515" s="923">
        <f>E1516-E1514</f>
        <v>42099.110823828974</v>
      </c>
      <c r="F1515" s="923">
        <f>F1516-F1514</f>
        <v>-770.18164690991489</v>
      </c>
      <c r="G1515" s="923">
        <f>SUM(D1515:F1515)</f>
        <v>7804776.8193242075</v>
      </c>
      <c r="H1515" s="369"/>
      <c r="I1515" s="923">
        <f>I1516-I1514</f>
        <v>2735134.3395108874</v>
      </c>
      <c r="J1515" s="1251"/>
      <c r="K1515" s="923">
        <f>K1516-K1514</f>
        <v>14401</v>
      </c>
      <c r="L1515" s="923">
        <v>0</v>
      </c>
      <c r="M1515" s="923">
        <f>M1516-M1514</f>
        <v>-770.18164690991489</v>
      </c>
      <c r="N1515" s="923">
        <f>N1516-N1514</f>
        <v>0</v>
      </c>
      <c r="O1515" s="923">
        <f>I1515+K1515+L1515+M1515+N1515</f>
        <v>2748765.1578639774</v>
      </c>
    </row>
    <row r="1516" spans="1:15">
      <c r="A1516" s="361">
        <f>A1515+1</f>
        <v>21</v>
      </c>
      <c r="B1516" s="365">
        <v>383</v>
      </c>
      <c r="C1516" s="358" t="s">
        <v>3082</v>
      </c>
      <c r="D1516" s="369">
        <f>G1470</f>
        <v>7940980.7260711342</v>
      </c>
      <c r="E1516" s="369">
        <v>49329.95</v>
      </c>
      <c r="F1516" s="369">
        <v>-902.46615278406546</v>
      </c>
      <c r="G1516" s="369">
        <f>SUM(G1514:G1515)</f>
        <v>7989408.2099183509</v>
      </c>
      <c r="H1516" s="369"/>
      <c r="I1516" s="369">
        <f>O1470</f>
        <v>2727971.2675056718</v>
      </c>
      <c r="J1516" s="1251">
        <f>+J1494</f>
        <v>2.2200000000000001E-2</v>
      </c>
      <c r="K1516" s="369">
        <f>ROUND((D1516+G1516)/2*J1516/12,0)</f>
        <v>14736</v>
      </c>
      <c r="L1516" s="369">
        <f>SUM(L1514:L1515)</f>
        <v>0</v>
      </c>
      <c r="M1516" s="369">
        <f>F1516</f>
        <v>-902.46615278406546</v>
      </c>
      <c r="N1516" s="369">
        <v>0</v>
      </c>
      <c r="O1516" s="369">
        <f>SUM(O1514:O1515)</f>
        <v>2741804.8013528874</v>
      </c>
    </row>
    <row r="1519" spans="1:15" s="291" customFormat="1">
      <c r="A1519" s="1308" t="str">
        <f>$A$1</f>
        <v>COLUMBIA GAS OF KENTUCKY, INC.</v>
      </c>
      <c r="B1519" s="1308"/>
      <c r="C1519" s="1308"/>
      <c r="D1519" s="1308"/>
      <c r="E1519" s="1308"/>
      <c r="F1519" s="1308"/>
      <c r="G1519" s="1308"/>
      <c r="H1519" s="1308"/>
      <c r="I1519" s="1308"/>
      <c r="J1519" s="1308"/>
      <c r="K1519" s="1308"/>
      <c r="L1519" s="1308"/>
      <c r="M1519" s="1308"/>
      <c r="N1519" s="1308"/>
      <c r="O1519" s="1308"/>
    </row>
    <row r="1520" spans="1:15" s="291" customFormat="1">
      <c r="A1520" s="1308" t="str">
        <f>$A$2</f>
        <v>CASE NO. 2024 - 00092</v>
      </c>
      <c r="B1520" s="1308"/>
      <c r="C1520" s="1308"/>
      <c r="D1520" s="1308"/>
      <c r="E1520" s="1308"/>
      <c r="F1520" s="1308"/>
      <c r="G1520" s="1308"/>
      <c r="H1520" s="1308"/>
      <c r="I1520" s="1308"/>
      <c r="J1520" s="1308"/>
      <c r="K1520" s="1308"/>
      <c r="L1520" s="1308"/>
      <c r="M1520" s="1308"/>
      <c r="N1520" s="1308"/>
      <c r="O1520" s="1308"/>
    </row>
    <row r="1521" spans="1:15" s="291" customFormat="1">
      <c r="A1521" s="1308" t="str">
        <f>$A$3</f>
        <v>DETAIL OF ACTUAL &amp;  FORECASTED SMRP PLANT, ACCUMULATED RESERVE &amp; DEPRECIATION EXPENSE</v>
      </c>
      <c r="B1521" s="1308"/>
      <c r="C1521" s="1308"/>
      <c r="D1521" s="1308"/>
      <c r="E1521" s="1308"/>
      <c r="F1521" s="1308"/>
      <c r="G1521" s="1308"/>
      <c r="H1521" s="1308"/>
      <c r="I1521" s="1308"/>
      <c r="J1521" s="1308"/>
      <c r="K1521" s="1308"/>
      <c r="L1521" s="1308"/>
      <c r="M1521" s="1308"/>
      <c r="N1521" s="1308"/>
      <c r="O1521" s="1308"/>
    </row>
    <row r="1522" spans="1:15" s="291" customFormat="1">
      <c r="A1522" s="1308" t="str">
        <f>$A$4</f>
        <v>FROM JANUARY 01, 2023 THROUGH DECEMBER 31, 2025</v>
      </c>
      <c r="B1522" s="1308"/>
      <c r="C1522" s="1308"/>
      <c r="D1522" s="1308"/>
      <c r="E1522" s="1308"/>
      <c r="F1522" s="1308"/>
      <c r="G1522" s="1308"/>
      <c r="H1522" s="1308"/>
      <c r="I1522" s="1308"/>
      <c r="J1522" s="1308"/>
      <c r="K1522" s="1308"/>
      <c r="L1522" s="1308"/>
      <c r="M1522" s="1308"/>
      <c r="N1522" s="1308"/>
      <c r="O1522" s="1308"/>
    </row>
    <row r="1523" spans="1:15" s="291" customFormat="1">
      <c r="B1523" s="293"/>
    </row>
    <row r="1524" spans="1:15" s="291" customFormat="1">
      <c r="A1524" s="297" t="str">
        <f>'General Headers Index'!$B$34</f>
        <v xml:space="preserve">DATA: _X_ BASE PERIOD _X_ FORECASTED PERIOD     </v>
      </c>
      <c r="B1524" s="293"/>
      <c r="O1524" s="312" t="s">
        <v>2461</v>
      </c>
    </row>
    <row r="1525" spans="1:15" s="291" customFormat="1">
      <c r="A1525" s="297" t="str">
        <f>'General Headers Index'!$B$37</f>
        <v>TYPE OF FILING:___X___ORIGINAL______UPDATED</v>
      </c>
      <c r="B1525" s="293"/>
      <c r="O1525" s="312" t="s">
        <v>2256</v>
      </c>
    </row>
    <row r="1526" spans="1:15" s="291" customFormat="1">
      <c r="A1526" s="297" t="s">
        <v>2150</v>
      </c>
      <c r="B1526" s="293"/>
      <c r="O1526" s="312" t="str">
        <f>"WITNESS: "&amp;'General Headers Index'!$B$42</f>
        <v>WITNESS: GORE</v>
      </c>
    </row>
    <row r="1527" spans="1:15">
      <c r="A1527" s="918"/>
      <c r="B1527" s="918"/>
      <c r="C1527" s="918"/>
      <c r="D1527" s="918"/>
      <c r="E1527" s="918"/>
      <c r="F1527" s="918"/>
      <c r="G1527" s="918"/>
      <c r="H1527" s="918"/>
      <c r="I1527" s="918"/>
      <c r="J1527" s="918"/>
      <c r="K1527" s="918"/>
      <c r="L1527" s="918"/>
      <c r="M1527" s="918"/>
      <c r="N1527" s="918"/>
      <c r="O1527" s="918"/>
    </row>
    <row r="1528" spans="1:15">
      <c r="B1528" s="359"/>
      <c r="D1528" s="1312" t="s">
        <v>1768</v>
      </c>
      <c r="E1528" s="1312"/>
      <c r="F1528" s="1312"/>
      <c r="G1528" s="1312"/>
      <c r="I1528" s="1312" t="s">
        <v>1769</v>
      </c>
      <c r="J1528" s="1312"/>
      <c r="K1528" s="1312"/>
      <c r="L1528" s="1312"/>
      <c r="M1528" s="1312"/>
      <c r="N1528" s="1312"/>
      <c r="O1528" s="1312"/>
    </row>
    <row r="1529" spans="1:15">
      <c r="B1529" s="359"/>
      <c r="D1529" s="360">
        <f>G1483+1</f>
        <v>45931</v>
      </c>
      <c r="G1529" s="360">
        <f>D1529+30</f>
        <v>45961</v>
      </c>
      <c r="I1529" s="360">
        <f>D1529</f>
        <v>45931</v>
      </c>
      <c r="O1529" s="360">
        <f>G1529</f>
        <v>45961</v>
      </c>
    </row>
    <row r="1530" spans="1:15">
      <c r="B1530" s="359"/>
      <c r="D1530" s="361" t="s">
        <v>1757</v>
      </c>
      <c r="G1530" s="361" t="s">
        <v>1757</v>
      </c>
      <c r="I1530" s="361" t="s">
        <v>1758</v>
      </c>
      <c r="J1530" s="361" t="s">
        <v>488</v>
      </c>
      <c r="L1530" s="361" t="s">
        <v>1758</v>
      </c>
      <c r="O1530" s="361" t="s">
        <v>1758</v>
      </c>
    </row>
    <row r="1531" spans="1:15">
      <c r="A1531" s="361" t="s">
        <v>1770</v>
      </c>
      <c r="B1531" s="361" t="s">
        <v>368</v>
      </c>
      <c r="C1531" s="361"/>
      <c r="D1531" s="361" t="s">
        <v>437</v>
      </c>
      <c r="G1531" s="361" t="s">
        <v>439</v>
      </c>
      <c r="I1531" s="361" t="s">
        <v>437</v>
      </c>
      <c r="J1531" s="361" t="s">
        <v>1771</v>
      </c>
      <c r="K1531" s="361" t="s">
        <v>1772</v>
      </c>
      <c r="L1531" s="361" t="s">
        <v>1759</v>
      </c>
      <c r="N1531" s="361" t="s">
        <v>1760</v>
      </c>
      <c r="O1531" s="361" t="s">
        <v>439</v>
      </c>
    </row>
    <row r="1532" spans="1:15">
      <c r="A1532" s="364" t="s">
        <v>316</v>
      </c>
      <c r="B1532" s="364" t="s">
        <v>316</v>
      </c>
      <c r="C1532" s="364" t="s">
        <v>451</v>
      </c>
      <c r="D1532" s="364" t="s">
        <v>441</v>
      </c>
      <c r="E1532" s="364" t="s">
        <v>442</v>
      </c>
      <c r="F1532" s="364" t="s">
        <v>443</v>
      </c>
      <c r="G1532" s="364" t="s">
        <v>441</v>
      </c>
      <c r="I1532" s="364" t="s">
        <v>441</v>
      </c>
      <c r="J1532" s="364" t="s">
        <v>1773</v>
      </c>
      <c r="K1532" s="364" t="s">
        <v>1771</v>
      </c>
      <c r="L1532" s="364" t="s">
        <v>355</v>
      </c>
      <c r="M1532" s="364" t="s">
        <v>443</v>
      </c>
      <c r="N1532" s="364" t="s">
        <v>1763</v>
      </c>
      <c r="O1532" s="364" t="s">
        <v>441</v>
      </c>
    </row>
    <row r="1533" spans="1:15">
      <c r="B1533" s="359"/>
      <c r="D1533" s="361" t="s">
        <v>532</v>
      </c>
      <c r="E1533" s="361" t="s">
        <v>541</v>
      </c>
      <c r="F1533" s="361" t="s">
        <v>542</v>
      </c>
      <c r="G1533" s="361" t="s">
        <v>1764</v>
      </c>
      <c r="I1533" s="334" t="str">
        <f>"(5)"</f>
        <v>(5)</v>
      </c>
      <c r="J1533" s="334" t="str">
        <f>"(6)"</f>
        <v>(6)</v>
      </c>
      <c r="K1533" s="334" t="str">
        <f>"(7)=((1+4)/2*6/12))"</f>
        <v>(7)=((1+4)/2*6/12))</v>
      </c>
      <c r="L1533" s="334" t="str">
        <f>"(8)"</f>
        <v>(8)</v>
      </c>
      <c r="M1533" s="334" t="str">
        <f>"(9)"</f>
        <v>(9)</v>
      </c>
      <c r="N1533" s="334" t="str">
        <f>"(10)"</f>
        <v>(10)</v>
      </c>
      <c r="O1533" s="334" t="str">
        <f>"(11=5+7+8+9+10)"</f>
        <v>(11=5+7+8+9+10)</v>
      </c>
    </row>
    <row r="1534" spans="1:15">
      <c r="B1534" s="359"/>
      <c r="D1534" s="361" t="s">
        <v>320</v>
      </c>
      <c r="E1534" s="361" t="s">
        <v>320</v>
      </c>
      <c r="F1534" s="361" t="s">
        <v>320</v>
      </c>
      <c r="G1534" s="361" t="s">
        <v>320</v>
      </c>
      <c r="I1534" s="334" t="s">
        <v>320</v>
      </c>
      <c r="J1534" s="1250" t="s">
        <v>529</v>
      </c>
      <c r="K1534" s="334" t="s">
        <v>320</v>
      </c>
      <c r="L1534" s="334" t="s">
        <v>320</v>
      </c>
      <c r="M1534" s="334" t="s">
        <v>320</v>
      </c>
      <c r="N1534" s="334" t="s">
        <v>320</v>
      </c>
      <c r="O1534" s="334" t="s">
        <v>320</v>
      </c>
    </row>
    <row r="1535" spans="1:15">
      <c r="B1535" s="359"/>
      <c r="D1535" s="361"/>
      <c r="E1535" s="361"/>
      <c r="F1535" s="361"/>
      <c r="G1535" s="361"/>
      <c r="I1535" s="334"/>
      <c r="J1535" s="334"/>
      <c r="K1535" s="334"/>
      <c r="L1535" s="334"/>
      <c r="M1535" s="334"/>
      <c r="N1535" s="334"/>
      <c r="O1535" s="334"/>
    </row>
    <row r="1536" spans="1:15">
      <c r="A1536" s="361">
        <v>1</v>
      </c>
      <c r="B1536" s="365">
        <v>376</v>
      </c>
      <c r="C1536" s="358" t="s">
        <v>1775</v>
      </c>
      <c r="D1536" s="369">
        <f>G1490</f>
        <v>66565710.590791062</v>
      </c>
      <c r="E1536" s="369">
        <v>3249371.7408212386</v>
      </c>
      <c r="F1536" s="369">
        <v>-19632.68</v>
      </c>
      <c r="G1536" s="369">
        <f>SUM(D1536:F1536)</f>
        <v>69795449.651612297</v>
      </c>
      <c r="H1536" s="369"/>
      <c r="I1536" s="369">
        <f>O1490</f>
        <v>872546.53921975824</v>
      </c>
      <c r="J1536" s="1251">
        <f>+J1490</f>
        <v>1.7999999999999999E-2</v>
      </c>
      <c r="K1536" s="380">
        <f>ROUND((G1536+D1536)/2*J1536/12,2)</f>
        <v>102270.87</v>
      </c>
      <c r="L1536" s="369">
        <v>0</v>
      </c>
      <c r="M1536" s="369">
        <f>F1536</f>
        <v>-19632.68</v>
      </c>
      <c r="N1536" s="369">
        <v>-25.487644775335699</v>
      </c>
      <c r="O1536" s="369">
        <f>I1536+K1536+L1536+M1536+N1536</f>
        <v>955159.24157498288</v>
      </c>
    </row>
    <row r="1537" spans="1:15">
      <c r="A1537" s="361">
        <f>A1536+1</f>
        <v>2</v>
      </c>
      <c r="B1537" s="365">
        <v>378.2</v>
      </c>
      <c r="C1537" s="358" t="s">
        <v>1776</v>
      </c>
      <c r="D1537" s="369">
        <f>G1491</f>
        <v>599780.62011021946</v>
      </c>
      <c r="E1537" s="369">
        <v>0</v>
      </c>
      <c r="F1537" s="369">
        <v>0</v>
      </c>
      <c r="G1537" s="369">
        <f>SUM(D1537:F1537)</f>
        <v>599780.62011021946</v>
      </c>
      <c r="H1537" s="369"/>
      <c r="I1537" s="369">
        <f>O1491</f>
        <v>-929927.76754116011</v>
      </c>
      <c r="J1537" s="1251">
        <f>+J1491</f>
        <v>3.3099999999999997E-2</v>
      </c>
      <c r="K1537" s="380">
        <f>ROUND((G1537+D1537)/2*J1537/12,2)</f>
        <v>1654.39</v>
      </c>
      <c r="L1537" s="369">
        <v>0</v>
      </c>
      <c r="M1537" s="369">
        <f>F1537</f>
        <v>0</v>
      </c>
      <c r="N1537" s="369">
        <v>0</v>
      </c>
      <c r="O1537" s="369">
        <f>I1537+K1537+L1537+M1537+N1537</f>
        <v>-928273.37754116009</v>
      </c>
    </row>
    <row r="1538" spans="1:15">
      <c r="A1538" s="361">
        <f>A1537+1</f>
        <v>3</v>
      </c>
      <c r="B1538" s="365">
        <v>380</v>
      </c>
      <c r="C1538" s="358" t="s">
        <v>1777</v>
      </c>
      <c r="D1538" s="369">
        <f>G1492</f>
        <v>27841783.222782765</v>
      </c>
      <c r="E1538" s="369">
        <v>990128.29193112417</v>
      </c>
      <c r="F1538" s="369">
        <v>-225902.71438488035</v>
      </c>
      <c r="G1538" s="369">
        <f>SUM(D1538:F1538)</f>
        <v>28606008.800329007</v>
      </c>
      <c r="H1538" s="369"/>
      <c r="I1538" s="369">
        <f>O1492</f>
        <v>-13252480.074157726</v>
      </c>
      <c r="J1538" s="1251">
        <f>+J1492</f>
        <v>5.1799999999999999E-2</v>
      </c>
      <c r="K1538" s="380">
        <f>ROUND((G1538+D1538)/2*J1538/12,2)</f>
        <v>121833.15</v>
      </c>
      <c r="L1538" s="369">
        <v>0</v>
      </c>
      <c r="M1538" s="369">
        <f>F1538</f>
        <v>-225902.71438488035</v>
      </c>
      <c r="N1538" s="369">
        <v>-160197.66828179799</v>
      </c>
      <c r="O1538" s="369">
        <f>I1538+K1538+L1538+M1538+N1538</f>
        <v>-13516747.306824403</v>
      </c>
    </row>
    <row r="1539" spans="1:15">
      <c r="A1539" s="361">
        <f>A1538+1</f>
        <v>4</v>
      </c>
      <c r="B1539" s="365">
        <v>382</v>
      </c>
      <c r="C1539" s="358" t="s">
        <v>1778</v>
      </c>
      <c r="D1539" s="369">
        <f>G1493</f>
        <v>255314.51311495912</v>
      </c>
      <c r="E1539" s="369">
        <v>11491.752897323218</v>
      </c>
      <c r="F1539" s="369">
        <v>-593.92188989270153</v>
      </c>
      <c r="G1539" s="369">
        <f>SUM(D1539:F1539)</f>
        <v>266212.34412238962</v>
      </c>
      <c r="H1539" s="369"/>
      <c r="I1539" s="369">
        <f>O1493</f>
        <v>-75557.806474545272</v>
      </c>
      <c r="J1539" s="1251">
        <f>+J1493</f>
        <v>2.2800000000000001E-2</v>
      </c>
      <c r="K1539" s="380">
        <f>ROUND((G1539+D1539)/2*J1539/12,2)</f>
        <v>495.45</v>
      </c>
      <c r="L1539" s="369">
        <v>0</v>
      </c>
      <c r="M1539" s="369">
        <f>F1539</f>
        <v>-593.92188989270153</v>
      </c>
      <c r="N1539" s="369">
        <v>0</v>
      </c>
      <c r="O1539" s="369">
        <f>I1539+K1539+L1539+M1539+N1539</f>
        <v>-75656.278364437982</v>
      </c>
    </row>
    <row r="1540" spans="1:15">
      <c r="A1540" s="361">
        <f>A1539+1</f>
        <v>5</v>
      </c>
      <c r="B1540" s="365">
        <v>383</v>
      </c>
      <c r="C1540" s="358" t="s">
        <v>1779</v>
      </c>
      <c r="D1540" s="923">
        <f>G1494</f>
        <v>184631.39059414319</v>
      </c>
      <c r="E1540" s="923">
        <v>6385.8309366335443</v>
      </c>
      <c r="F1540" s="923">
        <v>-122.55756875851567</v>
      </c>
      <c r="G1540" s="923">
        <f>SUM(D1540:F1540)</f>
        <v>190894.66396201821</v>
      </c>
      <c r="H1540" s="369"/>
      <c r="I1540" s="923">
        <f>O1494</f>
        <v>-6960.3565110898726</v>
      </c>
      <c r="J1540" s="1251">
        <f>+J1494</f>
        <v>2.2200000000000001E-2</v>
      </c>
      <c r="K1540" s="925">
        <f>ROUND((G1540+D1540)/2*J1540/12,2)</f>
        <v>347.36</v>
      </c>
      <c r="L1540" s="923">
        <v>0</v>
      </c>
      <c r="M1540" s="923">
        <f>F1540</f>
        <v>-122.55756875851567</v>
      </c>
      <c r="N1540" s="923">
        <v>0</v>
      </c>
      <c r="O1540" s="923">
        <f>I1540+K1540+L1540+M1540+N1540</f>
        <v>-6735.5540798483889</v>
      </c>
    </row>
    <row r="1541" spans="1:15">
      <c r="A1541" s="361">
        <f>A1540+1</f>
        <v>6</v>
      </c>
      <c r="C1541" s="358" t="s">
        <v>3077</v>
      </c>
      <c r="D1541" s="369">
        <f>SUM(D1536:D1540)</f>
        <v>95447220.337393135</v>
      </c>
      <c r="E1541" s="369">
        <f>SUM(E1536:E1540)</f>
        <v>4257377.6165863201</v>
      </c>
      <c r="F1541" s="369">
        <f>SUM(F1536:F1540)</f>
        <v>-246251.87384353156</v>
      </c>
      <c r="G1541" s="369">
        <f>SUM(G1536:G1540)</f>
        <v>99458346.080135942</v>
      </c>
      <c r="H1541" s="369"/>
      <c r="I1541" s="369">
        <f>SUM(I1536:I1540)</f>
        <v>-13392379.465464763</v>
      </c>
      <c r="J1541" s="369"/>
      <c r="K1541" s="369">
        <f>SUM(K1536:K1540)</f>
        <v>226601.21999999997</v>
      </c>
      <c r="L1541" s="369">
        <f t="shared" ref="L1541" si="33">SUM(L1536:L1540)</f>
        <v>0</v>
      </c>
      <c r="M1541" s="369">
        <f>SUM(M1536:M1540)</f>
        <v>-246251.87384353156</v>
      </c>
      <c r="N1541" s="369">
        <f>SUM(N1536:N1540)</f>
        <v>-160223.15592657332</v>
      </c>
      <c r="O1541" s="369">
        <f>SUM(O1536:O1540)</f>
        <v>-13572253.275234869</v>
      </c>
    </row>
    <row r="1542" spans="1:15">
      <c r="A1542" s="361"/>
      <c r="D1542" s="369"/>
      <c r="E1542" s="369"/>
      <c r="F1542" s="369"/>
      <c r="G1542" s="369"/>
      <c r="H1542" s="369"/>
      <c r="I1542" s="369"/>
      <c r="J1542" s="369"/>
      <c r="K1542" s="369"/>
      <c r="L1542" s="369"/>
      <c r="M1542" s="369"/>
      <c r="N1542" s="369"/>
      <c r="O1542" s="369"/>
    </row>
    <row r="1543" spans="1:15">
      <c r="A1543" s="361"/>
      <c r="D1543" s="369"/>
      <c r="E1543" s="369"/>
      <c r="F1543" s="369"/>
      <c r="G1543" s="369"/>
      <c r="H1543" s="369"/>
      <c r="I1543" s="369"/>
      <c r="J1543" s="369"/>
      <c r="K1543" s="369"/>
      <c r="L1543" s="369"/>
      <c r="M1543" s="369"/>
      <c r="N1543" s="369"/>
      <c r="O1543" s="369"/>
    </row>
    <row r="1544" spans="1:15">
      <c r="A1544" s="361">
        <f>A1541+1</f>
        <v>7</v>
      </c>
      <c r="B1544" s="365">
        <v>376</v>
      </c>
      <c r="C1544" s="358" t="s">
        <v>1775</v>
      </c>
      <c r="D1544" s="369">
        <f>D1536</f>
        <v>66565710.590791062</v>
      </c>
      <c r="E1544" s="369">
        <f>E1536</f>
        <v>3249371.7408212386</v>
      </c>
      <c r="F1544" s="369">
        <f>F1536</f>
        <v>-19632.68</v>
      </c>
      <c r="G1544" s="369">
        <f>SUM(D1544:F1544)</f>
        <v>69795449.651612297</v>
      </c>
      <c r="H1544" s="369"/>
      <c r="I1544" s="369">
        <f>I1536</f>
        <v>872546.53921975824</v>
      </c>
      <c r="J1544" s="1251"/>
      <c r="K1544" s="369">
        <f>K1536</f>
        <v>102270.87</v>
      </c>
      <c r="L1544" s="369">
        <v>0</v>
      </c>
      <c r="M1544" s="369">
        <f>M1536</f>
        <v>-19632.68</v>
      </c>
      <c r="N1544" s="369">
        <f>N1536</f>
        <v>-25.487644775335699</v>
      </c>
      <c r="O1544" s="369">
        <f>I1544+K1544+L1544+M1544+N1544</f>
        <v>955159.24157498288</v>
      </c>
    </row>
    <row r="1545" spans="1:15">
      <c r="A1545" s="361">
        <f>A1544+1</f>
        <v>8</v>
      </c>
      <c r="B1545" s="365">
        <v>376</v>
      </c>
      <c r="C1545" s="358" t="s">
        <v>1621</v>
      </c>
      <c r="D1545" s="923">
        <f>D1546-D1544</f>
        <v>424013354.13920891</v>
      </c>
      <c r="E1545" s="923">
        <f>E1546-E1544</f>
        <v>575115.02917876095</v>
      </c>
      <c r="F1545" s="923">
        <f>F1546-F1544</f>
        <v>-58653.26</v>
      </c>
      <c r="G1545" s="923">
        <f>SUM(D1545:F1545)</f>
        <v>424529815.90838766</v>
      </c>
      <c r="H1545" s="369"/>
      <c r="I1545" s="923">
        <f>I1546-I1544</f>
        <v>91393013.103291363</v>
      </c>
      <c r="J1545" s="1251"/>
      <c r="K1545" s="923">
        <f>K1546-K1544</f>
        <v>636407.13</v>
      </c>
      <c r="L1545" s="923">
        <v>0</v>
      </c>
      <c r="M1545" s="923">
        <f>M1546-M1544</f>
        <v>-58653.26</v>
      </c>
      <c r="N1545" s="923">
        <f>N1546-N1544</f>
        <v>-16663.082355224669</v>
      </c>
      <c r="O1545" s="923">
        <f>I1545+K1545+L1545+M1545+N1545</f>
        <v>91954103.890936121</v>
      </c>
    </row>
    <row r="1546" spans="1:15">
      <c r="A1546" s="361">
        <f>A1545+1</f>
        <v>9</v>
      </c>
      <c r="B1546" s="365">
        <v>376</v>
      </c>
      <c r="C1546" s="358" t="s">
        <v>3078</v>
      </c>
      <c r="D1546" s="369">
        <f>G1500</f>
        <v>490579064.72999996</v>
      </c>
      <c r="E1546" s="369">
        <v>3824486.7699999996</v>
      </c>
      <c r="F1546" s="369">
        <v>-78285.94</v>
      </c>
      <c r="G1546" s="369">
        <f>SUM(G1544:G1545)</f>
        <v>494325265.55999994</v>
      </c>
      <c r="H1546" s="369"/>
      <c r="I1546" s="369">
        <f>O1500</f>
        <v>92265559.642511114</v>
      </c>
      <c r="J1546" s="1251">
        <f>+J1536</f>
        <v>1.7999999999999999E-2</v>
      </c>
      <c r="K1546" s="369">
        <f>ROUND((D1546+G1546)/2*J1546/12,0)</f>
        <v>738678</v>
      </c>
      <c r="L1546" s="369">
        <f>SUM(L1544:L1545)</f>
        <v>0</v>
      </c>
      <c r="M1546" s="369">
        <f>F1546</f>
        <v>-78285.94</v>
      </c>
      <c r="N1546" s="369">
        <v>-16688.570000000003</v>
      </c>
      <c r="O1546" s="369">
        <f>SUM(O1544:O1545)</f>
        <v>92909263.132511109</v>
      </c>
    </row>
    <row r="1547" spans="1:15">
      <c r="A1547" s="361"/>
      <c r="B1547" s="365"/>
      <c r="D1547" s="369"/>
      <c r="E1547" s="369"/>
      <c r="F1547" s="369"/>
      <c r="G1547" s="369"/>
      <c r="H1547" s="369"/>
      <c r="I1547" s="369"/>
      <c r="J1547" s="1251"/>
      <c r="K1547" s="369"/>
      <c r="L1547" s="369"/>
      <c r="M1547" s="369"/>
      <c r="N1547" s="369"/>
      <c r="O1547" s="369"/>
    </row>
    <row r="1548" spans="1:15">
      <c r="A1548" s="361">
        <f>A1546+1</f>
        <v>10</v>
      </c>
      <c r="B1548" s="365">
        <v>378.2</v>
      </c>
      <c r="C1548" s="358" t="s">
        <v>1776</v>
      </c>
      <c r="D1548" s="369">
        <f>D1537</f>
        <v>599780.62011021946</v>
      </c>
      <c r="E1548" s="369">
        <f>E1537</f>
        <v>0</v>
      </c>
      <c r="F1548" s="369">
        <f>F1537</f>
        <v>0</v>
      </c>
      <c r="G1548" s="369">
        <f>SUM(D1548:F1548)</f>
        <v>599780.62011021946</v>
      </c>
      <c r="H1548" s="369"/>
      <c r="I1548" s="369">
        <f>I1537</f>
        <v>-929927.76754116011</v>
      </c>
      <c r="J1548" s="1251"/>
      <c r="K1548" s="369">
        <f>K1537</f>
        <v>1654.39</v>
      </c>
      <c r="L1548" s="369">
        <v>0</v>
      </c>
      <c r="M1548" s="369">
        <f>M1537</f>
        <v>0</v>
      </c>
      <c r="N1548" s="369">
        <f>N1537</f>
        <v>0</v>
      </c>
      <c r="O1548" s="369">
        <f>I1548+K1548+L1548+M1548+N1548</f>
        <v>-928273.37754116009</v>
      </c>
    </row>
    <row r="1549" spans="1:15">
      <c r="A1549" s="361">
        <f>A1548+1</f>
        <v>11</v>
      </c>
      <c r="B1549" s="365">
        <v>378.2</v>
      </c>
      <c r="C1549" s="358" t="s">
        <v>1622</v>
      </c>
      <c r="D1549" s="923">
        <f>D1550-D1548</f>
        <v>31064103.315694723</v>
      </c>
      <c r="E1549" s="923">
        <f>E1550-E1548</f>
        <v>31200.994172715116</v>
      </c>
      <c r="F1549" s="923">
        <f>F1550-F1548</f>
        <v>-12678.341426622681</v>
      </c>
      <c r="G1549" s="923">
        <f>SUM(D1549:F1549)</f>
        <v>31082625.968440816</v>
      </c>
      <c r="H1549" s="369"/>
      <c r="I1549" s="923">
        <f>I1550-I1548</f>
        <v>3240641.3575375229</v>
      </c>
      <c r="J1549" s="1251"/>
      <c r="K1549" s="923">
        <f>K1550-K1548</f>
        <v>85710.61</v>
      </c>
      <c r="L1549" s="923">
        <v>0</v>
      </c>
      <c r="M1549" s="923">
        <f>M1550-M1548</f>
        <v>-12678.341426622681</v>
      </c>
      <c r="N1549" s="923">
        <f>N1550-N1548</f>
        <v>0</v>
      </c>
      <c r="O1549" s="923">
        <f>I1549+K1549+L1549+M1549+N1549</f>
        <v>3313673.6261109002</v>
      </c>
    </row>
    <row r="1550" spans="1:15">
      <c r="A1550" s="361">
        <f>A1549+1</f>
        <v>12</v>
      </c>
      <c r="B1550" s="365">
        <v>378.2</v>
      </c>
      <c r="C1550" s="358" t="s">
        <v>3079</v>
      </c>
      <c r="D1550" s="369">
        <f>G1504</f>
        <v>31663883.935804944</v>
      </c>
      <c r="E1550" s="369">
        <v>31200.994172715116</v>
      </c>
      <c r="F1550" s="369">
        <v>-12678.341426622681</v>
      </c>
      <c r="G1550" s="369">
        <f>SUM(G1548:G1549)</f>
        <v>31682406.588551037</v>
      </c>
      <c r="H1550" s="369"/>
      <c r="I1550" s="369">
        <f>O1504</f>
        <v>2310713.589996363</v>
      </c>
      <c r="J1550" s="1251">
        <f>+J1537</f>
        <v>3.3099999999999997E-2</v>
      </c>
      <c r="K1550" s="369">
        <f>ROUND((D1550+G1550)/2*J1550/12,0)</f>
        <v>87365</v>
      </c>
      <c r="L1550" s="369">
        <f>SUM(L1548:L1549)</f>
        <v>0</v>
      </c>
      <c r="M1550" s="369">
        <f>F1550</f>
        <v>-12678.341426622681</v>
      </c>
      <c r="N1550" s="369">
        <v>0</v>
      </c>
      <c r="O1550" s="369">
        <f>SUM(O1548:O1549)</f>
        <v>2385400.24856974</v>
      </c>
    </row>
    <row r="1551" spans="1:15">
      <c r="A1551" s="361"/>
      <c r="B1551" s="365"/>
      <c r="D1551" s="369"/>
      <c r="E1551" s="369"/>
      <c r="F1551" s="369"/>
      <c r="G1551" s="369"/>
      <c r="H1551" s="369"/>
      <c r="I1551" s="369"/>
      <c r="J1551" s="1251"/>
      <c r="K1551" s="369"/>
      <c r="L1551" s="369"/>
      <c r="M1551" s="369"/>
      <c r="N1551" s="369"/>
      <c r="O1551" s="369"/>
    </row>
    <row r="1552" spans="1:15">
      <c r="A1552" s="361">
        <f>A1550+1</f>
        <v>13</v>
      </c>
      <c r="B1552" s="365">
        <v>380</v>
      </c>
      <c r="C1552" s="358" t="s">
        <v>1777</v>
      </c>
      <c r="D1552" s="369">
        <f>D1538</f>
        <v>27841783.222782765</v>
      </c>
      <c r="E1552" s="369">
        <f>E1538</f>
        <v>990128.29193112417</v>
      </c>
      <c r="F1552" s="369">
        <f>F1538</f>
        <v>-225902.71438488035</v>
      </c>
      <c r="G1552" s="369">
        <f>SUM(D1552:F1552)</f>
        <v>28606008.800329007</v>
      </c>
      <c r="H1552" s="369"/>
      <c r="I1552" s="369">
        <f>I1538</f>
        <v>-13252480.074157726</v>
      </c>
      <c r="J1552" s="1251"/>
      <c r="K1552" s="369">
        <f>K1538</f>
        <v>121833.15</v>
      </c>
      <c r="L1552" s="369">
        <v>0</v>
      </c>
      <c r="M1552" s="369">
        <f>M1538</f>
        <v>-225902.71438488035</v>
      </c>
      <c r="N1552" s="369">
        <f>N1538</f>
        <v>-160197.66828179799</v>
      </c>
      <c r="O1552" s="369">
        <f>I1552+K1552+L1552+M1552+N1552</f>
        <v>-13516747.306824403</v>
      </c>
    </row>
    <row r="1553" spans="1:15">
      <c r="A1553" s="361">
        <f>A1552+1</f>
        <v>14</v>
      </c>
      <c r="B1553" s="365">
        <v>380</v>
      </c>
      <c r="C1553" s="358" t="s">
        <v>1623</v>
      </c>
      <c r="D1553" s="923">
        <f>D1554-D1552</f>
        <v>208317115.16721725</v>
      </c>
      <c r="E1553" s="923">
        <f>E1554-E1552</f>
        <v>690402.43806887581</v>
      </c>
      <c r="F1553" s="923">
        <f>F1554-F1552</f>
        <v>-49631.375615119614</v>
      </c>
      <c r="G1553" s="923">
        <f>SUM(D1553:F1553)</f>
        <v>208957886.229671</v>
      </c>
      <c r="H1553" s="369"/>
      <c r="I1553" s="923">
        <f>I1554-I1552</f>
        <v>73713359.044157729</v>
      </c>
      <c r="J1553" s="1251"/>
      <c r="K1553" s="923">
        <f>K1554-K1552</f>
        <v>900618.85</v>
      </c>
      <c r="L1553" s="923">
        <v>0</v>
      </c>
      <c r="M1553" s="923">
        <f>M1554-M1552</f>
        <v>-49631.375615119614</v>
      </c>
      <c r="N1553" s="923">
        <f>N1554-N1552</f>
        <v>-65723.831718202011</v>
      </c>
      <c r="O1553" s="923">
        <f>I1553+K1553+L1553+M1553+N1553</f>
        <v>74498622.686824396</v>
      </c>
    </row>
    <row r="1554" spans="1:15">
      <c r="A1554" s="361">
        <f>A1553+1</f>
        <v>15</v>
      </c>
      <c r="B1554" s="365">
        <v>380</v>
      </c>
      <c r="C1554" s="358" t="s">
        <v>3080</v>
      </c>
      <c r="D1554" s="369">
        <f>G1508</f>
        <v>236158898.39000002</v>
      </c>
      <c r="E1554" s="369">
        <v>1680530.73</v>
      </c>
      <c r="F1554" s="369">
        <v>-275534.08999999997</v>
      </c>
      <c r="G1554" s="369">
        <f>SUM(G1552:G1553)</f>
        <v>237563895.03</v>
      </c>
      <c r="H1554" s="369"/>
      <c r="I1554" s="369">
        <f>O1508</f>
        <v>60460878.969999999</v>
      </c>
      <c r="J1554" s="1251">
        <f>+J1538</f>
        <v>5.1799999999999999E-2</v>
      </c>
      <c r="K1554" s="369">
        <f>ROUND((D1554+G1554)/2*J1554/12,0)</f>
        <v>1022452</v>
      </c>
      <c r="L1554" s="369">
        <f>SUM(L1552:L1553)</f>
        <v>0</v>
      </c>
      <c r="M1554" s="369">
        <f>F1554</f>
        <v>-275534.08999999997</v>
      </c>
      <c r="N1554" s="369">
        <v>-225921.5</v>
      </c>
      <c r="O1554" s="369">
        <f>SUM(O1552:O1553)</f>
        <v>60981875.379999995</v>
      </c>
    </row>
    <row r="1555" spans="1:15">
      <c r="A1555" s="361"/>
      <c r="B1555" s="365"/>
      <c r="D1555" s="369"/>
      <c r="E1555" s="369"/>
      <c r="F1555" s="369"/>
      <c r="G1555" s="369"/>
      <c r="H1555" s="369"/>
      <c r="I1555" s="369"/>
      <c r="J1555" s="1251"/>
      <c r="K1555" s="369"/>
      <c r="L1555" s="369"/>
      <c r="M1555" s="369"/>
      <c r="N1555" s="369"/>
      <c r="O1555" s="369"/>
    </row>
    <row r="1556" spans="1:15">
      <c r="A1556" s="361">
        <f>A1554+1</f>
        <v>16</v>
      </c>
      <c r="B1556" s="365">
        <v>382</v>
      </c>
      <c r="C1556" s="358" t="s">
        <v>1778</v>
      </c>
      <c r="D1556" s="369">
        <f>D1539</f>
        <v>255314.51311495912</v>
      </c>
      <c r="E1556" s="369">
        <f>E1539</f>
        <v>11491.752897323218</v>
      </c>
      <c r="F1556" s="369">
        <f>F1539</f>
        <v>-593.92188989270153</v>
      </c>
      <c r="G1556" s="369">
        <f>SUM(D1556:F1556)</f>
        <v>266212.34412238962</v>
      </c>
      <c r="H1556" s="369"/>
      <c r="I1556" s="369">
        <f>I1539</f>
        <v>-75557.806474545272</v>
      </c>
      <c r="J1556" s="1251"/>
      <c r="K1556" s="369">
        <f>K1539</f>
        <v>495.45</v>
      </c>
      <c r="L1556" s="369">
        <v>0</v>
      </c>
      <c r="M1556" s="369">
        <f>M1539</f>
        <v>-593.92188989270153</v>
      </c>
      <c r="N1556" s="369">
        <f>N1539</f>
        <v>0</v>
      </c>
      <c r="O1556" s="369">
        <f>I1556+K1556+L1556+M1556+N1556</f>
        <v>-75656.278364437982</v>
      </c>
    </row>
    <row r="1557" spans="1:15">
      <c r="A1557" s="361">
        <f>A1556+1</f>
        <v>17</v>
      </c>
      <c r="B1557" s="365">
        <v>382</v>
      </c>
      <c r="C1557" s="358" t="s">
        <v>1624</v>
      </c>
      <c r="D1557" s="923">
        <f>D1558-D1556</f>
        <v>10768431.280970542</v>
      </c>
      <c r="E1557" s="923">
        <f>E1558-E1556</f>
        <v>34404.17836971541</v>
      </c>
      <c r="F1557" s="923">
        <f>F1558-F1556</f>
        <v>-1778.0920648151546</v>
      </c>
      <c r="G1557" s="923">
        <f>SUM(D1557:F1557)</f>
        <v>10801057.367275443</v>
      </c>
      <c r="H1557" s="369"/>
      <c r="I1557" s="923">
        <f>I1558-I1556</f>
        <v>6184962.1924971258</v>
      </c>
      <c r="J1557" s="1251"/>
      <c r="K1557" s="923">
        <f>K1558-K1556</f>
        <v>20490.55</v>
      </c>
      <c r="L1557" s="923">
        <v>0</v>
      </c>
      <c r="M1557" s="923">
        <f>M1558-M1556</f>
        <v>-1778.0920648151546</v>
      </c>
      <c r="N1557" s="923">
        <f>N1558-N1556</f>
        <v>0</v>
      </c>
      <c r="O1557" s="923">
        <f>I1557+K1557+L1557+M1557+N1557</f>
        <v>6203674.6504323101</v>
      </c>
    </row>
    <row r="1558" spans="1:15">
      <c r="A1558" s="361">
        <f>A1557+1</f>
        <v>18</v>
      </c>
      <c r="B1558" s="365">
        <v>382</v>
      </c>
      <c r="C1558" s="358" t="s">
        <v>3081</v>
      </c>
      <c r="D1558" s="369">
        <f>G1512</f>
        <v>11023745.794085501</v>
      </c>
      <c r="E1558" s="369">
        <v>45895.931267038628</v>
      </c>
      <c r="F1558" s="369">
        <v>-2372.0139547078561</v>
      </c>
      <c r="G1558" s="369">
        <f>SUM(G1556:G1557)</f>
        <v>11067269.711397832</v>
      </c>
      <c r="H1558" s="369"/>
      <c r="I1558" s="369">
        <f>O1512</f>
        <v>6109404.3860225808</v>
      </c>
      <c r="J1558" s="1251">
        <f>+J1539</f>
        <v>2.2800000000000001E-2</v>
      </c>
      <c r="K1558" s="369">
        <f>ROUND((D1558+G1558)/2*J1558/12,0)</f>
        <v>20986</v>
      </c>
      <c r="L1558" s="369">
        <f>SUM(L1556:L1557)</f>
        <v>0</v>
      </c>
      <c r="M1558" s="369">
        <f>F1558</f>
        <v>-2372.0139547078561</v>
      </c>
      <c r="N1558" s="369">
        <v>0</v>
      </c>
      <c r="O1558" s="369">
        <f>SUM(O1556:O1557)</f>
        <v>6128018.3720678724</v>
      </c>
    </row>
    <row r="1559" spans="1:15">
      <c r="A1559" s="361"/>
      <c r="B1559" s="365"/>
      <c r="D1559" s="369"/>
      <c r="E1559" s="369"/>
      <c r="F1559" s="369"/>
      <c r="G1559" s="369"/>
      <c r="H1559" s="369"/>
      <c r="I1559" s="369"/>
      <c r="J1559" s="1251"/>
      <c r="K1559" s="369"/>
      <c r="L1559" s="369"/>
      <c r="M1559" s="369"/>
      <c r="N1559" s="369"/>
      <c r="O1559" s="369"/>
    </row>
    <row r="1560" spans="1:15">
      <c r="A1560" s="361">
        <f>A1558+1</f>
        <v>19</v>
      </c>
      <c r="B1560" s="365">
        <v>383</v>
      </c>
      <c r="C1560" s="358" t="s">
        <v>1779</v>
      </c>
      <c r="D1560" s="369">
        <f>D1540</f>
        <v>184631.39059414319</v>
      </c>
      <c r="E1560" s="369">
        <f>E1540</f>
        <v>6385.8309366335443</v>
      </c>
      <c r="F1560" s="369">
        <f>F1540</f>
        <v>-122.55756875851567</v>
      </c>
      <c r="G1560" s="369">
        <f>SUM(D1560:F1560)</f>
        <v>190894.66396201821</v>
      </c>
      <c r="H1560" s="369"/>
      <c r="I1560" s="369">
        <f>I1540</f>
        <v>-6960.3565110898726</v>
      </c>
      <c r="J1560" s="1251"/>
      <c r="K1560" s="369">
        <f>K1540</f>
        <v>347.36</v>
      </c>
      <c r="L1560" s="369">
        <v>0</v>
      </c>
      <c r="M1560" s="369">
        <f>M1540</f>
        <v>-122.55756875851567</v>
      </c>
      <c r="N1560" s="369">
        <f>N1540</f>
        <v>0</v>
      </c>
      <c r="O1560" s="369">
        <f>I1560+K1560+L1560+M1560+N1560</f>
        <v>-6735.5540798483889</v>
      </c>
    </row>
    <row r="1561" spans="1:15">
      <c r="A1561" s="361">
        <f>A1560+1</f>
        <v>20</v>
      </c>
      <c r="B1561" s="365">
        <v>383</v>
      </c>
      <c r="C1561" s="358" t="s">
        <v>1625</v>
      </c>
      <c r="D1561" s="923">
        <f>D1562-D1560</f>
        <v>7804776.8193242075</v>
      </c>
      <c r="E1561" s="923">
        <f>E1562-E1560</f>
        <v>37179.329063366458</v>
      </c>
      <c r="F1561" s="923">
        <f>F1562-F1560</f>
        <v>-713.54985622812535</v>
      </c>
      <c r="G1561" s="923">
        <f>SUM(D1561:F1561)</f>
        <v>7841242.5985313458</v>
      </c>
      <c r="H1561" s="369"/>
      <c r="I1561" s="923">
        <f>I1562-I1560</f>
        <v>2748765.1578639774</v>
      </c>
      <c r="J1561" s="1251"/>
      <c r="K1561" s="923">
        <f>K1562-K1560</f>
        <v>14472.64</v>
      </c>
      <c r="L1561" s="923">
        <v>0</v>
      </c>
      <c r="M1561" s="923">
        <f>M1562-M1560</f>
        <v>-713.54985622812535</v>
      </c>
      <c r="N1561" s="923">
        <f>N1562-N1560</f>
        <v>0</v>
      </c>
      <c r="O1561" s="923">
        <f>I1561+K1561+L1561+M1561+N1561</f>
        <v>2762524.2480077492</v>
      </c>
    </row>
    <row r="1562" spans="1:15">
      <c r="A1562" s="361">
        <f>A1561+1</f>
        <v>21</v>
      </c>
      <c r="B1562" s="365">
        <v>383</v>
      </c>
      <c r="C1562" s="358" t="s">
        <v>3082</v>
      </c>
      <c r="D1562" s="369">
        <f>G1516</f>
        <v>7989408.2099183509</v>
      </c>
      <c r="E1562" s="369">
        <v>43565.16</v>
      </c>
      <c r="F1562" s="369">
        <v>-836.10742498664104</v>
      </c>
      <c r="G1562" s="369">
        <f>SUM(G1560:G1561)</f>
        <v>8032137.2624933645</v>
      </c>
      <c r="H1562" s="369"/>
      <c r="I1562" s="369">
        <f>O1516</f>
        <v>2741804.8013528874</v>
      </c>
      <c r="J1562" s="1251">
        <f>+J1540</f>
        <v>2.2200000000000001E-2</v>
      </c>
      <c r="K1562" s="369">
        <f>ROUND((D1562+G1562)/2*J1562/12,0)</f>
        <v>14820</v>
      </c>
      <c r="L1562" s="369">
        <f>SUM(L1560:L1561)</f>
        <v>0</v>
      </c>
      <c r="M1562" s="369">
        <f>F1562</f>
        <v>-836.10742498664104</v>
      </c>
      <c r="N1562" s="369">
        <v>0</v>
      </c>
      <c r="O1562" s="369">
        <f>SUM(O1560:O1561)</f>
        <v>2755788.6939279009</v>
      </c>
    </row>
    <row r="1565" spans="1:15" s="291" customFormat="1">
      <c r="A1565" s="1308" t="str">
        <f>$A$1</f>
        <v>COLUMBIA GAS OF KENTUCKY, INC.</v>
      </c>
      <c r="B1565" s="1308"/>
      <c r="C1565" s="1308"/>
      <c r="D1565" s="1308"/>
      <c r="E1565" s="1308"/>
      <c r="F1565" s="1308"/>
      <c r="G1565" s="1308"/>
      <c r="H1565" s="1308"/>
      <c r="I1565" s="1308"/>
      <c r="J1565" s="1308"/>
      <c r="K1565" s="1308"/>
      <c r="L1565" s="1308"/>
      <c r="M1565" s="1308"/>
      <c r="N1565" s="1308"/>
      <c r="O1565" s="1308"/>
    </row>
    <row r="1566" spans="1:15" s="291" customFormat="1">
      <c r="A1566" s="1308" t="str">
        <f>$A$2</f>
        <v>CASE NO. 2024 - 00092</v>
      </c>
      <c r="B1566" s="1308"/>
      <c r="C1566" s="1308"/>
      <c r="D1566" s="1308"/>
      <c r="E1566" s="1308"/>
      <c r="F1566" s="1308"/>
      <c r="G1566" s="1308"/>
      <c r="H1566" s="1308"/>
      <c r="I1566" s="1308"/>
      <c r="J1566" s="1308"/>
      <c r="K1566" s="1308"/>
      <c r="L1566" s="1308"/>
      <c r="M1566" s="1308"/>
      <c r="N1566" s="1308"/>
      <c r="O1566" s="1308"/>
    </row>
    <row r="1567" spans="1:15" s="291" customFormat="1">
      <c r="A1567" s="1308" t="str">
        <f>$A$3</f>
        <v>DETAIL OF ACTUAL &amp;  FORECASTED SMRP PLANT, ACCUMULATED RESERVE &amp; DEPRECIATION EXPENSE</v>
      </c>
      <c r="B1567" s="1308"/>
      <c r="C1567" s="1308"/>
      <c r="D1567" s="1308"/>
      <c r="E1567" s="1308"/>
      <c r="F1567" s="1308"/>
      <c r="G1567" s="1308"/>
      <c r="H1567" s="1308"/>
      <c r="I1567" s="1308"/>
      <c r="J1567" s="1308"/>
      <c r="K1567" s="1308"/>
      <c r="L1567" s="1308"/>
      <c r="M1567" s="1308"/>
      <c r="N1567" s="1308"/>
      <c r="O1567" s="1308"/>
    </row>
    <row r="1568" spans="1:15" s="291" customFormat="1">
      <c r="A1568" s="1308" t="str">
        <f>$A$4</f>
        <v>FROM JANUARY 01, 2023 THROUGH DECEMBER 31, 2025</v>
      </c>
      <c r="B1568" s="1308"/>
      <c r="C1568" s="1308"/>
      <c r="D1568" s="1308"/>
      <c r="E1568" s="1308"/>
      <c r="F1568" s="1308"/>
      <c r="G1568" s="1308"/>
      <c r="H1568" s="1308"/>
      <c r="I1568" s="1308"/>
      <c r="J1568" s="1308"/>
      <c r="K1568" s="1308"/>
      <c r="L1568" s="1308"/>
      <c r="M1568" s="1308"/>
      <c r="N1568" s="1308"/>
      <c r="O1568" s="1308"/>
    </row>
    <row r="1569" spans="1:15" s="291" customFormat="1">
      <c r="B1569" s="293"/>
    </row>
    <row r="1570" spans="1:15" s="291" customFormat="1">
      <c r="A1570" s="297" t="str">
        <f>'General Headers Index'!$B$34</f>
        <v xml:space="preserve">DATA: _X_ BASE PERIOD _X_ FORECASTED PERIOD     </v>
      </c>
      <c r="B1570" s="293"/>
      <c r="O1570" s="312" t="s">
        <v>2461</v>
      </c>
    </row>
    <row r="1571" spans="1:15" s="291" customFormat="1">
      <c r="A1571" s="297" t="str">
        <f>'General Headers Index'!$B$37</f>
        <v>TYPE OF FILING:___X___ORIGINAL______UPDATED</v>
      </c>
      <c r="B1571" s="293"/>
      <c r="O1571" s="312" t="s">
        <v>2257</v>
      </c>
    </row>
    <row r="1572" spans="1:15" s="291" customFormat="1">
      <c r="A1572" s="297" t="s">
        <v>2150</v>
      </c>
      <c r="B1572" s="293"/>
      <c r="O1572" s="312" t="str">
        <f>"WITNESS: "&amp;'General Headers Index'!$B$42</f>
        <v>WITNESS: GORE</v>
      </c>
    </row>
    <row r="1573" spans="1:15">
      <c r="A1573" s="918"/>
      <c r="B1573" s="918"/>
      <c r="C1573" s="918"/>
      <c r="D1573" s="918"/>
      <c r="E1573" s="918"/>
      <c r="F1573" s="918"/>
      <c r="G1573" s="918"/>
      <c r="H1573" s="918"/>
      <c r="I1573" s="918"/>
      <c r="J1573" s="918"/>
      <c r="K1573" s="918"/>
      <c r="L1573" s="918"/>
      <c r="M1573" s="918"/>
      <c r="N1573" s="918"/>
      <c r="O1573" s="918"/>
    </row>
    <row r="1574" spans="1:15">
      <c r="B1574" s="359"/>
      <c r="D1574" s="1312" t="s">
        <v>1768</v>
      </c>
      <c r="E1574" s="1312"/>
      <c r="F1574" s="1312"/>
      <c r="G1574" s="1312"/>
      <c r="I1574" s="1312" t="s">
        <v>1769</v>
      </c>
      <c r="J1574" s="1312"/>
      <c r="K1574" s="1312"/>
      <c r="L1574" s="1312"/>
      <c r="M1574" s="1312"/>
      <c r="N1574" s="1312"/>
      <c r="O1574" s="1312"/>
    </row>
    <row r="1575" spans="1:15">
      <c r="B1575" s="359"/>
      <c r="D1575" s="360">
        <f>G1529+1</f>
        <v>45962</v>
      </c>
      <c r="G1575" s="360">
        <f>D1575+29</f>
        <v>45991</v>
      </c>
      <c r="I1575" s="360">
        <f>D1575</f>
        <v>45962</v>
      </c>
      <c r="O1575" s="360">
        <f>G1575</f>
        <v>45991</v>
      </c>
    </row>
    <row r="1576" spans="1:15">
      <c r="B1576" s="359"/>
      <c r="D1576" s="361" t="s">
        <v>1757</v>
      </c>
      <c r="G1576" s="361" t="s">
        <v>1757</v>
      </c>
      <c r="I1576" s="361" t="s">
        <v>1758</v>
      </c>
      <c r="J1576" s="361" t="s">
        <v>488</v>
      </c>
      <c r="L1576" s="361" t="s">
        <v>1758</v>
      </c>
      <c r="O1576" s="361" t="s">
        <v>1758</v>
      </c>
    </row>
    <row r="1577" spans="1:15">
      <c r="A1577" s="361" t="s">
        <v>1770</v>
      </c>
      <c r="B1577" s="361" t="s">
        <v>368</v>
      </c>
      <c r="C1577" s="361"/>
      <c r="D1577" s="361" t="s">
        <v>437</v>
      </c>
      <c r="G1577" s="361" t="s">
        <v>439</v>
      </c>
      <c r="I1577" s="361" t="s">
        <v>437</v>
      </c>
      <c r="J1577" s="361" t="s">
        <v>1771</v>
      </c>
      <c r="K1577" s="361" t="s">
        <v>1772</v>
      </c>
      <c r="L1577" s="361" t="s">
        <v>1759</v>
      </c>
      <c r="N1577" s="361" t="s">
        <v>1760</v>
      </c>
      <c r="O1577" s="361" t="s">
        <v>439</v>
      </c>
    </row>
    <row r="1578" spans="1:15">
      <c r="A1578" s="364" t="s">
        <v>316</v>
      </c>
      <c r="B1578" s="364" t="s">
        <v>316</v>
      </c>
      <c r="C1578" s="364" t="s">
        <v>451</v>
      </c>
      <c r="D1578" s="364" t="s">
        <v>441</v>
      </c>
      <c r="E1578" s="364" t="s">
        <v>442</v>
      </c>
      <c r="F1578" s="364" t="s">
        <v>443</v>
      </c>
      <c r="G1578" s="364" t="s">
        <v>441</v>
      </c>
      <c r="I1578" s="364" t="s">
        <v>441</v>
      </c>
      <c r="J1578" s="364" t="s">
        <v>1773</v>
      </c>
      <c r="K1578" s="364" t="s">
        <v>1771</v>
      </c>
      <c r="L1578" s="364" t="s">
        <v>355</v>
      </c>
      <c r="M1578" s="364" t="s">
        <v>443</v>
      </c>
      <c r="N1578" s="364" t="s">
        <v>1763</v>
      </c>
      <c r="O1578" s="364" t="s">
        <v>441</v>
      </c>
    </row>
    <row r="1579" spans="1:15">
      <c r="B1579" s="359"/>
      <c r="D1579" s="361" t="s">
        <v>532</v>
      </c>
      <c r="E1579" s="361" t="s">
        <v>541</v>
      </c>
      <c r="F1579" s="361" t="s">
        <v>542</v>
      </c>
      <c r="G1579" s="361" t="s">
        <v>1764</v>
      </c>
      <c r="I1579" s="334" t="str">
        <f>"(5)"</f>
        <v>(5)</v>
      </c>
      <c r="J1579" s="334" t="str">
        <f>"(6)"</f>
        <v>(6)</v>
      </c>
      <c r="K1579" s="334" t="str">
        <f>"(7)=((1+4)/2*6/12))"</f>
        <v>(7)=((1+4)/2*6/12))</v>
      </c>
      <c r="L1579" s="334" t="str">
        <f>"(8)"</f>
        <v>(8)</v>
      </c>
      <c r="M1579" s="334" t="str">
        <f>"(9)"</f>
        <v>(9)</v>
      </c>
      <c r="N1579" s="334" t="str">
        <f>"(10)"</f>
        <v>(10)</v>
      </c>
      <c r="O1579" s="334" t="str">
        <f>"(11=5+7+8+9+10)"</f>
        <v>(11=5+7+8+9+10)</v>
      </c>
    </row>
    <row r="1580" spans="1:15">
      <c r="B1580" s="359"/>
      <c r="D1580" s="361" t="s">
        <v>320</v>
      </c>
      <c r="E1580" s="361" t="s">
        <v>320</v>
      </c>
      <c r="F1580" s="361" t="s">
        <v>320</v>
      </c>
      <c r="G1580" s="361" t="s">
        <v>320</v>
      </c>
      <c r="I1580" s="334" t="s">
        <v>320</v>
      </c>
      <c r="J1580" s="1250" t="s">
        <v>529</v>
      </c>
      <c r="K1580" s="334" t="s">
        <v>320</v>
      </c>
      <c r="L1580" s="334" t="s">
        <v>320</v>
      </c>
      <c r="M1580" s="334" t="s">
        <v>320</v>
      </c>
      <c r="N1580" s="334" t="s">
        <v>320</v>
      </c>
      <c r="O1580" s="334" t="s">
        <v>320</v>
      </c>
    </row>
    <row r="1581" spans="1:15">
      <c r="B1581" s="359"/>
      <c r="D1581" s="361"/>
      <c r="E1581" s="361"/>
      <c r="F1581" s="361"/>
      <c r="G1581" s="361"/>
      <c r="I1581" s="334"/>
      <c r="J1581" s="334"/>
      <c r="K1581" s="334"/>
      <c r="L1581" s="334"/>
      <c r="M1581" s="334"/>
      <c r="N1581" s="334"/>
      <c r="O1581" s="334"/>
    </row>
    <row r="1582" spans="1:15">
      <c r="A1582" s="361">
        <v>1</v>
      </c>
      <c r="B1582" s="365">
        <v>376</v>
      </c>
      <c r="C1582" s="358" t="s">
        <v>1775</v>
      </c>
      <c r="D1582" s="369">
        <f>G1536</f>
        <v>69795449.651612297</v>
      </c>
      <c r="E1582" s="369">
        <v>2814581.3419321198</v>
      </c>
      <c r="F1582" s="369">
        <v>-39018.879999999946</v>
      </c>
      <c r="G1582" s="369">
        <f>SUM(D1582:F1582)</f>
        <v>72571012.113544419</v>
      </c>
      <c r="H1582" s="369"/>
      <c r="I1582" s="369">
        <f>O1536</f>
        <v>955159.24157498288</v>
      </c>
      <c r="J1582" s="1251">
        <f>+J1536</f>
        <v>1.7999999999999999E-2</v>
      </c>
      <c r="K1582" s="380">
        <f>ROUND((G1582+D1582)/2*J1582/12,2)</f>
        <v>106774.85</v>
      </c>
      <c r="L1582" s="369">
        <v>0</v>
      </c>
      <c r="M1582" s="369">
        <f>F1582</f>
        <v>-39018.879999999946</v>
      </c>
      <c r="N1582" s="369">
        <v>-27.2519652336922</v>
      </c>
      <c r="O1582" s="369">
        <f>I1582+K1582+L1582+M1582+N1582</f>
        <v>1022887.9596097494</v>
      </c>
    </row>
    <row r="1583" spans="1:15">
      <c r="A1583" s="361">
        <f>A1582+1</f>
        <v>2</v>
      </c>
      <c r="B1583" s="365">
        <v>378.2</v>
      </c>
      <c r="C1583" s="358" t="s">
        <v>1776</v>
      </c>
      <c r="D1583" s="369">
        <f>G1537</f>
        <v>599780.62011021946</v>
      </c>
      <c r="E1583" s="369">
        <v>0</v>
      </c>
      <c r="F1583" s="369">
        <v>0</v>
      </c>
      <c r="G1583" s="369">
        <f>SUM(D1583:F1583)</f>
        <v>599780.62011021946</v>
      </c>
      <c r="H1583" s="369"/>
      <c r="I1583" s="369">
        <f>O1537</f>
        <v>-928273.37754116009</v>
      </c>
      <c r="J1583" s="1251">
        <f>+J1537</f>
        <v>3.3099999999999997E-2</v>
      </c>
      <c r="K1583" s="380">
        <f>ROUND((G1583+D1583)/2*J1583/12,2)</f>
        <v>1654.39</v>
      </c>
      <c r="L1583" s="369">
        <v>0</v>
      </c>
      <c r="M1583" s="369">
        <f>F1583</f>
        <v>0</v>
      </c>
      <c r="N1583" s="369">
        <v>0</v>
      </c>
      <c r="O1583" s="369">
        <f>I1583+K1583+L1583+M1583+N1583</f>
        <v>-926618.98754116008</v>
      </c>
    </row>
    <row r="1584" spans="1:15">
      <c r="A1584" s="361">
        <f>A1583+1</f>
        <v>3</v>
      </c>
      <c r="B1584" s="365">
        <v>380</v>
      </c>
      <c r="C1584" s="358" t="s">
        <v>1777</v>
      </c>
      <c r="D1584" s="369">
        <f>G1538</f>
        <v>28606008.800329007</v>
      </c>
      <c r="E1584" s="369">
        <v>717248.18499509594</v>
      </c>
      <c r="F1584" s="369">
        <v>-304914.9287005213</v>
      </c>
      <c r="G1584" s="369">
        <f>SUM(D1584:F1584)</f>
        <v>29018342.056623582</v>
      </c>
      <c r="H1584" s="369"/>
      <c r="I1584" s="369">
        <f>O1538</f>
        <v>-13516747.306824403</v>
      </c>
      <c r="J1584" s="1251">
        <f>+J1538</f>
        <v>5.1799999999999999E-2</v>
      </c>
      <c r="K1584" s="380">
        <f>ROUND((G1584+D1584)/2*J1584/12,2)</f>
        <v>124372.56</v>
      </c>
      <c r="L1584" s="369">
        <v>0</v>
      </c>
      <c r="M1584" s="369">
        <f>F1584</f>
        <v>-304914.9287005213</v>
      </c>
      <c r="N1584" s="369">
        <v>-147320.27968167301</v>
      </c>
      <c r="O1584" s="369">
        <f>I1584+K1584+L1584+M1584+N1584</f>
        <v>-13844609.955206597</v>
      </c>
    </row>
    <row r="1585" spans="1:15">
      <c r="A1585" s="361">
        <f>A1584+1</f>
        <v>4</v>
      </c>
      <c r="B1585" s="365">
        <v>382</v>
      </c>
      <c r="C1585" s="358" t="s">
        <v>1778</v>
      </c>
      <c r="D1585" s="369">
        <f>G1539</f>
        <v>266212.34412238962</v>
      </c>
      <c r="E1585" s="369">
        <v>7023.1844213288405</v>
      </c>
      <c r="F1585" s="369">
        <v>-729.50327554230375</v>
      </c>
      <c r="G1585" s="369">
        <f>SUM(D1585:F1585)</f>
        <v>272506.02526817616</v>
      </c>
      <c r="H1585" s="369"/>
      <c r="I1585" s="369">
        <f>O1539</f>
        <v>-75656.278364437982</v>
      </c>
      <c r="J1585" s="1251">
        <f>+J1539</f>
        <v>2.2800000000000001E-2</v>
      </c>
      <c r="K1585" s="380">
        <f>ROUND((G1585+D1585)/2*J1585/12,2)</f>
        <v>511.78</v>
      </c>
      <c r="L1585" s="369">
        <v>0</v>
      </c>
      <c r="M1585" s="369">
        <f>F1585</f>
        <v>-729.50327554230375</v>
      </c>
      <c r="N1585" s="369">
        <v>0</v>
      </c>
      <c r="O1585" s="369">
        <f>I1585+K1585+L1585+M1585+N1585</f>
        <v>-75874.001639980284</v>
      </c>
    </row>
    <row r="1586" spans="1:15">
      <c r="A1586" s="361">
        <f>A1585+1</f>
        <v>5</v>
      </c>
      <c r="B1586" s="365">
        <v>383</v>
      </c>
      <c r="C1586" s="358" t="s">
        <v>1779</v>
      </c>
      <c r="D1586" s="923">
        <f>G1540</f>
        <v>190894.66396201821</v>
      </c>
      <c r="E1586" s="923">
        <v>6100.5784498439889</v>
      </c>
      <c r="F1586" s="923">
        <v>-195.40218873707227</v>
      </c>
      <c r="G1586" s="923">
        <f>SUM(D1586:F1586)</f>
        <v>196799.84022312512</v>
      </c>
      <c r="H1586" s="369"/>
      <c r="I1586" s="923">
        <f>O1540</f>
        <v>-6735.5540798483889</v>
      </c>
      <c r="J1586" s="1251">
        <f>+J1540</f>
        <v>2.2200000000000001E-2</v>
      </c>
      <c r="K1586" s="925">
        <f>ROUND((G1586+D1586)/2*J1586/12,2)</f>
        <v>358.62</v>
      </c>
      <c r="L1586" s="923">
        <v>0</v>
      </c>
      <c r="M1586" s="923">
        <f>F1586</f>
        <v>-195.40218873707227</v>
      </c>
      <c r="N1586" s="923">
        <v>0</v>
      </c>
      <c r="O1586" s="923">
        <f>I1586+K1586+L1586+M1586+N1586</f>
        <v>-6572.3362685854609</v>
      </c>
    </row>
    <row r="1587" spans="1:15">
      <c r="A1587" s="361">
        <f>A1586+1</f>
        <v>6</v>
      </c>
      <c r="C1587" s="358" t="s">
        <v>3077</v>
      </c>
      <c r="D1587" s="369">
        <f>SUM(D1582:D1586)</f>
        <v>99458346.080135942</v>
      </c>
      <c r="E1587" s="369">
        <f>SUM(E1582:E1586)</f>
        <v>3544953.2897983887</v>
      </c>
      <c r="F1587" s="369">
        <f>SUM(F1582:F1586)</f>
        <v>-344858.71416480059</v>
      </c>
      <c r="G1587" s="369">
        <f>SUM(G1582:G1586)</f>
        <v>102658440.65576951</v>
      </c>
      <c r="H1587" s="369"/>
      <c r="I1587" s="369">
        <f>SUM(I1582:I1586)</f>
        <v>-13572253.275234869</v>
      </c>
      <c r="J1587" s="369"/>
      <c r="K1587" s="369">
        <f>SUM(K1582:K1586)</f>
        <v>233672.19999999998</v>
      </c>
      <c r="L1587" s="369">
        <f t="shared" ref="L1587" si="34">SUM(L1582:L1586)</f>
        <v>0</v>
      </c>
      <c r="M1587" s="369">
        <f>SUM(M1582:M1586)</f>
        <v>-344858.71416480059</v>
      </c>
      <c r="N1587" s="369">
        <f>SUM(N1582:N1586)</f>
        <v>-147347.53164690669</v>
      </c>
      <c r="O1587" s="369">
        <f>SUM(O1582:O1586)</f>
        <v>-13830787.321046574</v>
      </c>
    </row>
    <row r="1588" spans="1:15">
      <c r="A1588" s="361"/>
      <c r="D1588" s="369"/>
      <c r="E1588" s="369"/>
      <c r="F1588" s="369"/>
      <c r="G1588" s="369"/>
      <c r="H1588" s="369"/>
      <c r="I1588" s="369"/>
      <c r="J1588" s="369"/>
      <c r="K1588" s="369"/>
      <c r="L1588" s="369"/>
      <c r="M1588" s="369"/>
      <c r="N1588" s="369"/>
      <c r="O1588" s="369"/>
    </row>
    <row r="1589" spans="1:15">
      <c r="A1589" s="361"/>
      <c r="D1589" s="369"/>
      <c r="E1589" s="369"/>
      <c r="F1589" s="369"/>
      <c r="G1589" s="369"/>
      <c r="H1589" s="369"/>
      <c r="I1589" s="369"/>
      <c r="J1589" s="369"/>
      <c r="K1589" s="369"/>
      <c r="L1589" s="369"/>
      <c r="M1589" s="369"/>
      <c r="N1589" s="369"/>
      <c r="O1589" s="369"/>
    </row>
    <row r="1590" spans="1:15">
      <c r="A1590" s="361">
        <f>A1587+1</f>
        <v>7</v>
      </c>
      <c r="B1590" s="365">
        <v>376</v>
      </c>
      <c r="C1590" s="358" t="s">
        <v>1775</v>
      </c>
      <c r="D1590" s="369">
        <f>D1582</f>
        <v>69795449.651612297</v>
      </c>
      <c r="E1590" s="369">
        <f>E1582</f>
        <v>2814581.3419321198</v>
      </c>
      <c r="F1590" s="369">
        <f>F1582</f>
        <v>-39018.879999999946</v>
      </c>
      <c r="G1590" s="369">
        <f>SUM(D1590:F1590)</f>
        <v>72571012.113544419</v>
      </c>
      <c r="H1590" s="369"/>
      <c r="I1590" s="369">
        <f>I1582</f>
        <v>955159.24157498288</v>
      </c>
      <c r="J1590" s="1251"/>
      <c r="K1590" s="369">
        <f>K1582</f>
        <v>106774.85</v>
      </c>
      <c r="L1590" s="369">
        <v>0</v>
      </c>
      <c r="M1590" s="369">
        <f>M1582</f>
        <v>-39018.879999999946</v>
      </c>
      <c r="N1590" s="369">
        <f>N1582</f>
        <v>-27.2519652336922</v>
      </c>
      <c r="O1590" s="369">
        <f>I1590+K1590+L1590+M1590+N1590</f>
        <v>1022887.9596097494</v>
      </c>
    </row>
    <row r="1591" spans="1:15">
      <c r="A1591" s="361">
        <f>A1590+1</f>
        <v>8</v>
      </c>
      <c r="B1591" s="365">
        <v>376</v>
      </c>
      <c r="C1591" s="358" t="s">
        <v>1621</v>
      </c>
      <c r="D1591" s="923">
        <f>D1592-D1590</f>
        <v>424529815.90838766</v>
      </c>
      <c r="E1591" s="923">
        <f>E1592-E1590</f>
        <v>369721.45806788001</v>
      </c>
      <c r="F1591" s="923">
        <f>F1592-F1590</f>
        <v>-138068.75000000003</v>
      </c>
      <c r="G1591" s="923">
        <f>SUM(D1591:F1591)</f>
        <v>424761468.61645555</v>
      </c>
      <c r="H1591" s="369"/>
      <c r="I1591" s="923">
        <f>I1592-I1590</f>
        <v>91954103.890936121</v>
      </c>
      <c r="J1591" s="1251"/>
      <c r="K1591" s="923">
        <f>K1592-K1590</f>
        <v>636968.15</v>
      </c>
      <c r="L1591" s="923">
        <v>0</v>
      </c>
      <c r="M1591" s="923">
        <f>M1592-M1590</f>
        <v>-138068.75000000003</v>
      </c>
      <c r="N1591" s="923">
        <f>N1592-N1590</f>
        <v>-3168.2680347663077</v>
      </c>
      <c r="O1591" s="923">
        <f>I1591+K1591+L1591+M1591+N1591</f>
        <v>92449835.022901356</v>
      </c>
    </row>
    <row r="1592" spans="1:15">
      <c r="A1592" s="361">
        <f>A1591+1</f>
        <v>9</v>
      </c>
      <c r="B1592" s="365">
        <v>376</v>
      </c>
      <c r="C1592" s="358" t="s">
        <v>3078</v>
      </c>
      <c r="D1592" s="369">
        <f>G1546</f>
        <v>494325265.55999994</v>
      </c>
      <c r="E1592" s="369">
        <v>3184302.8</v>
      </c>
      <c r="F1592" s="369">
        <v>-177087.62999999998</v>
      </c>
      <c r="G1592" s="369">
        <f>SUM(G1590:G1591)</f>
        <v>497332480.72999996</v>
      </c>
      <c r="H1592" s="369"/>
      <c r="I1592" s="369">
        <f>O1546</f>
        <v>92909263.132511109</v>
      </c>
      <c r="J1592" s="1251">
        <f>+J1582</f>
        <v>1.7999999999999999E-2</v>
      </c>
      <c r="K1592" s="369">
        <f>ROUND((D1592+G1592)/2*J1592/12,0)</f>
        <v>743743</v>
      </c>
      <c r="L1592" s="369">
        <f>SUM(L1590:L1591)</f>
        <v>0</v>
      </c>
      <c r="M1592" s="369">
        <f>F1592</f>
        <v>-177087.62999999998</v>
      </c>
      <c r="N1592" s="369">
        <v>-3195.52</v>
      </c>
      <c r="O1592" s="369">
        <f>SUM(O1590:O1591)</f>
        <v>93472722.982511103</v>
      </c>
    </row>
    <row r="1593" spans="1:15">
      <c r="A1593" s="361"/>
      <c r="B1593" s="365"/>
      <c r="D1593" s="369"/>
      <c r="E1593" s="369"/>
      <c r="F1593" s="369"/>
      <c r="G1593" s="369"/>
      <c r="H1593" s="369"/>
      <c r="I1593" s="369"/>
      <c r="J1593" s="1251"/>
      <c r="K1593" s="369"/>
      <c r="L1593" s="369"/>
      <c r="M1593" s="369"/>
      <c r="N1593" s="369"/>
      <c r="O1593" s="369"/>
    </row>
    <row r="1594" spans="1:15">
      <c r="A1594" s="361">
        <f>A1592+1</f>
        <v>10</v>
      </c>
      <c r="B1594" s="365">
        <v>378.2</v>
      </c>
      <c r="C1594" s="358" t="s">
        <v>1776</v>
      </c>
      <c r="D1594" s="369">
        <f>D1583</f>
        <v>599780.62011021946</v>
      </c>
      <c r="E1594" s="369">
        <f>E1583</f>
        <v>0</v>
      </c>
      <c r="F1594" s="369">
        <f>F1583</f>
        <v>0</v>
      </c>
      <c r="G1594" s="369">
        <f>SUM(D1594:F1594)</f>
        <v>599780.62011021946</v>
      </c>
      <c r="H1594" s="369"/>
      <c r="I1594" s="369">
        <f>I1583</f>
        <v>-928273.37754116009</v>
      </c>
      <c r="J1594" s="1251"/>
      <c r="K1594" s="369">
        <f>K1583</f>
        <v>1654.39</v>
      </c>
      <c r="L1594" s="369">
        <v>0</v>
      </c>
      <c r="M1594" s="369">
        <f>M1583</f>
        <v>0</v>
      </c>
      <c r="N1594" s="369">
        <f>N1583</f>
        <v>0</v>
      </c>
      <c r="O1594" s="369">
        <f>I1594+K1594+L1594+M1594+N1594</f>
        <v>-926618.98754116008</v>
      </c>
    </row>
    <row r="1595" spans="1:15">
      <c r="A1595" s="361">
        <f>A1594+1</f>
        <v>11</v>
      </c>
      <c r="B1595" s="365">
        <v>378.2</v>
      </c>
      <c r="C1595" s="358" t="s">
        <v>1622</v>
      </c>
      <c r="D1595" s="923">
        <f>D1596-D1594</f>
        <v>31082625.968440816</v>
      </c>
      <c r="E1595" s="923">
        <f>E1596-E1594</f>
        <v>91657.681089981445</v>
      </c>
      <c r="F1595" s="923">
        <f>F1596-F1594</f>
        <v>-529956.6317256277</v>
      </c>
      <c r="G1595" s="923">
        <f>SUM(D1595:F1595)</f>
        <v>30644327.01780517</v>
      </c>
      <c r="H1595" s="369"/>
      <c r="I1595" s="923">
        <f>I1596-I1594</f>
        <v>3313673.6261109002</v>
      </c>
      <c r="J1595" s="1251"/>
      <c r="K1595" s="923">
        <f>K1596-K1594</f>
        <v>85131.61</v>
      </c>
      <c r="L1595" s="923">
        <v>0</v>
      </c>
      <c r="M1595" s="923">
        <f>M1596-M1594</f>
        <v>-529956.6317256277</v>
      </c>
      <c r="N1595" s="923">
        <f>N1596-N1594</f>
        <v>0</v>
      </c>
      <c r="O1595" s="923">
        <f>I1595+K1595+L1595+M1595+N1595</f>
        <v>2868848.6043852726</v>
      </c>
    </row>
    <row r="1596" spans="1:15">
      <c r="A1596" s="361">
        <f>A1595+1</f>
        <v>12</v>
      </c>
      <c r="B1596" s="365">
        <v>378.2</v>
      </c>
      <c r="C1596" s="358" t="s">
        <v>3079</v>
      </c>
      <c r="D1596" s="369">
        <f>G1550</f>
        <v>31682406.588551037</v>
      </c>
      <c r="E1596" s="369">
        <v>91657.681089981445</v>
      </c>
      <c r="F1596" s="369">
        <v>-529956.6317256277</v>
      </c>
      <c r="G1596" s="369">
        <f>SUM(G1594:G1595)</f>
        <v>31244107.637915391</v>
      </c>
      <c r="H1596" s="369"/>
      <c r="I1596" s="369">
        <f>O1550</f>
        <v>2385400.24856974</v>
      </c>
      <c r="J1596" s="1251">
        <f>+J1583</f>
        <v>3.3099999999999997E-2</v>
      </c>
      <c r="K1596" s="369">
        <f>ROUND((D1596+G1596)/2*J1596/12,0)</f>
        <v>86786</v>
      </c>
      <c r="L1596" s="369">
        <f>SUM(L1594:L1595)</f>
        <v>0</v>
      </c>
      <c r="M1596" s="369">
        <f>F1596</f>
        <v>-529956.6317256277</v>
      </c>
      <c r="N1596" s="369">
        <v>0</v>
      </c>
      <c r="O1596" s="369">
        <f>SUM(O1594:O1595)</f>
        <v>1942229.6168441125</v>
      </c>
    </row>
    <row r="1597" spans="1:15">
      <c r="A1597" s="361"/>
      <c r="B1597" s="365"/>
      <c r="D1597" s="369"/>
      <c r="E1597" s="369"/>
      <c r="F1597" s="369"/>
      <c r="G1597" s="369"/>
      <c r="H1597" s="369"/>
      <c r="I1597" s="369"/>
      <c r="J1597" s="1251"/>
      <c r="K1597" s="369"/>
      <c r="L1597" s="369"/>
      <c r="M1597" s="369"/>
      <c r="N1597" s="369"/>
      <c r="O1597" s="369"/>
    </row>
    <row r="1598" spans="1:15">
      <c r="A1598" s="361">
        <f>A1596+1</f>
        <v>13</v>
      </c>
      <c r="B1598" s="365">
        <v>380</v>
      </c>
      <c r="C1598" s="358" t="s">
        <v>1777</v>
      </c>
      <c r="D1598" s="369">
        <f>D1584</f>
        <v>28606008.800329007</v>
      </c>
      <c r="E1598" s="369">
        <f>E1584</f>
        <v>717248.18499509594</v>
      </c>
      <c r="F1598" s="369">
        <f>F1584</f>
        <v>-304914.9287005213</v>
      </c>
      <c r="G1598" s="369">
        <f>SUM(D1598:F1598)</f>
        <v>29018342.056623582</v>
      </c>
      <c r="H1598" s="369"/>
      <c r="I1598" s="369">
        <f>I1584</f>
        <v>-13516747.306824403</v>
      </c>
      <c r="J1598" s="1251"/>
      <c r="K1598" s="369">
        <f>K1584</f>
        <v>124372.56</v>
      </c>
      <c r="L1598" s="369">
        <v>0</v>
      </c>
      <c r="M1598" s="369">
        <f>M1584</f>
        <v>-304914.9287005213</v>
      </c>
      <c r="N1598" s="369">
        <f>N1584</f>
        <v>-147320.27968167301</v>
      </c>
      <c r="O1598" s="369">
        <f>I1598+K1598+L1598+M1598+N1598</f>
        <v>-13844609.955206597</v>
      </c>
    </row>
    <row r="1599" spans="1:15">
      <c r="A1599" s="361">
        <f>A1598+1</f>
        <v>14</v>
      </c>
      <c r="B1599" s="365">
        <v>380</v>
      </c>
      <c r="C1599" s="358" t="s">
        <v>1623</v>
      </c>
      <c r="D1599" s="923">
        <f>D1600-D1598</f>
        <v>208957886.229671</v>
      </c>
      <c r="E1599" s="923">
        <f>E1600-E1598</f>
        <v>546906.92500490416</v>
      </c>
      <c r="F1599" s="923">
        <f>F1600-F1598</f>
        <v>-66990.561299478693</v>
      </c>
      <c r="G1599" s="923">
        <f>SUM(D1599:F1599)</f>
        <v>209437802.59337643</v>
      </c>
      <c r="H1599" s="369"/>
      <c r="I1599" s="923">
        <f>I1600-I1598</f>
        <v>74498622.686824396</v>
      </c>
      <c r="J1599" s="1251"/>
      <c r="K1599" s="923">
        <f>K1600-K1598</f>
        <v>903037.43999999994</v>
      </c>
      <c r="L1599" s="923">
        <v>0</v>
      </c>
      <c r="M1599" s="923">
        <f>M1600-M1598</f>
        <v>-66990.561299478693</v>
      </c>
      <c r="N1599" s="923">
        <f>N1600-N1598</f>
        <v>-60440.670318327</v>
      </c>
      <c r="O1599" s="923">
        <f>I1599+K1599+L1599+M1599+N1599</f>
        <v>75274228.8952066</v>
      </c>
    </row>
    <row r="1600" spans="1:15">
      <c r="A1600" s="361">
        <f>A1599+1</f>
        <v>15</v>
      </c>
      <c r="B1600" s="365">
        <v>380</v>
      </c>
      <c r="C1600" s="358" t="s">
        <v>3080</v>
      </c>
      <c r="D1600" s="369">
        <f>G1554</f>
        <v>237563895.03</v>
      </c>
      <c r="E1600" s="369">
        <v>1264155.1100000001</v>
      </c>
      <c r="F1600" s="369">
        <v>-371905.49</v>
      </c>
      <c r="G1600" s="369">
        <f>SUM(G1598:G1599)</f>
        <v>238456144.65000001</v>
      </c>
      <c r="H1600" s="369"/>
      <c r="I1600" s="369">
        <f>O1554</f>
        <v>60981875.379999995</v>
      </c>
      <c r="J1600" s="1251">
        <f>+J1584</f>
        <v>5.1799999999999999E-2</v>
      </c>
      <c r="K1600" s="369">
        <f>ROUND((D1600+G1600)/2*J1600/12,0)</f>
        <v>1027410</v>
      </c>
      <c r="L1600" s="369">
        <f>SUM(L1598:L1599)</f>
        <v>0</v>
      </c>
      <c r="M1600" s="369">
        <f>F1600</f>
        <v>-371905.49</v>
      </c>
      <c r="N1600" s="369">
        <v>-207760.95</v>
      </c>
      <c r="O1600" s="369">
        <f>SUM(O1598:O1599)</f>
        <v>61429618.940000005</v>
      </c>
    </row>
    <row r="1601" spans="1:15">
      <c r="A1601" s="361"/>
      <c r="B1601" s="365"/>
      <c r="D1601" s="369"/>
      <c r="E1601" s="369"/>
      <c r="F1601" s="369"/>
      <c r="G1601" s="369"/>
      <c r="H1601" s="369"/>
      <c r="I1601" s="369"/>
      <c r="J1601" s="1251"/>
      <c r="K1601" s="369"/>
      <c r="L1601" s="369"/>
      <c r="M1601" s="369"/>
      <c r="N1601" s="369"/>
      <c r="O1601" s="369"/>
    </row>
    <row r="1602" spans="1:15">
      <c r="A1602" s="361">
        <f>A1600+1</f>
        <v>16</v>
      </c>
      <c r="B1602" s="365">
        <v>382</v>
      </c>
      <c r="C1602" s="358" t="s">
        <v>1778</v>
      </c>
      <c r="D1602" s="369">
        <f>D1585</f>
        <v>266212.34412238962</v>
      </c>
      <c r="E1602" s="369">
        <f>E1585</f>
        <v>7023.1844213288405</v>
      </c>
      <c r="F1602" s="369">
        <f>F1585</f>
        <v>-729.50327554230375</v>
      </c>
      <c r="G1602" s="369">
        <f>SUM(D1602:F1602)</f>
        <v>272506.02526817616</v>
      </c>
      <c r="H1602" s="369"/>
      <c r="I1602" s="369">
        <f>I1585</f>
        <v>-75656.278364437982</v>
      </c>
      <c r="J1602" s="1251"/>
      <c r="K1602" s="369">
        <f>K1585</f>
        <v>511.78</v>
      </c>
      <c r="L1602" s="369">
        <v>0</v>
      </c>
      <c r="M1602" s="369">
        <f>M1585</f>
        <v>-729.50327554230375</v>
      </c>
      <c r="N1602" s="369">
        <f>N1585</f>
        <v>0</v>
      </c>
      <c r="O1602" s="369">
        <f>I1602+K1602+L1602+M1602+N1602</f>
        <v>-75874.001639980284</v>
      </c>
    </row>
    <row r="1603" spans="1:15">
      <c r="A1603" s="361">
        <f>A1602+1</f>
        <v>17</v>
      </c>
      <c r="B1603" s="365">
        <v>382</v>
      </c>
      <c r="C1603" s="358" t="s">
        <v>1624</v>
      </c>
      <c r="D1603" s="923">
        <f>D1604-D1602</f>
        <v>10801057.367275443</v>
      </c>
      <c r="E1603" s="923">
        <f>E1604-E1602</f>
        <v>21026.112527279125</v>
      </c>
      <c r="F1603" s="923">
        <f>F1604-F1602</f>
        <v>-2183.997605699924</v>
      </c>
      <c r="G1603" s="923">
        <f>SUM(D1603:F1603)</f>
        <v>10819899.482197022</v>
      </c>
      <c r="H1603" s="369"/>
      <c r="I1603" s="923">
        <f>I1604-I1602</f>
        <v>6203674.6504323101</v>
      </c>
      <c r="J1603" s="1251"/>
      <c r="K1603" s="923">
        <f>K1604-K1602</f>
        <v>20540.22</v>
      </c>
      <c r="L1603" s="923">
        <v>0</v>
      </c>
      <c r="M1603" s="923">
        <f>M1604-M1602</f>
        <v>-2183.997605699924</v>
      </c>
      <c r="N1603" s="923">
        <f>N1604-N1602</f>
        <v>0</v>
      </c>
      <c r="O1603" s="923">
        <f>I1603+K1603+L1603+M1603+N1603</f>
        <v>6222030.8728266098</v>
      </c>
    </row>
    <row r="1604" spans="1:15">
      <c r="A1604" s="361">
        <f>A1603+1</f>
        <v>18</v>
      </c>
      <c r="B1604" s="365">
        <v>382</v>
      </c>
      <c r="C1604" s="358" t="s">
        <v>3081</v>
      </c>
      <c r="D1604" s="369">
        <f>G1558</f>
        <v>11067269.711397832</v>
      </c>
      <c r="E1604" s="369">
        <v>28049.296948607967</v>
      </c>
      <c r="F1604" s="369">
        <v>-2913.5008812422275</v>
      </c>
      <c r="G1604" s="369">
        <f>SUM(G1602:G1603)</f>
        <v>11092405.507465199</v>
      </c>
      <c r="H1604" s="369"/>
      <c r="I1604" s="369">
        <f>O1558</f>
        <v>6128018.3720678724</v>
      </c>
      <c r="J1604" s="1251">
        <f>+J1585</f>
        <v>2.2800000000000001E-2</v>
      </c>
      <c r="K1604" s="369">
        <f>ROUND((D1604+G1604)/2*J1604/12,0)</f>
        <v>21052</v>
      </c>
      <c r="L1604" s="369">
        <f>SUM(L1602:L1603)</f>
        <v>0</v>
      </c>
      <c r="M1604" s="369">
        <f>F1604</f>
        <v>-2913.5008812422275</v>
      </c>
      <c r="N1604" s="369">
        <v>0</v>
      </c>
      <c r="O1604" s="369">
        <f>SUM(O1602:O1603)</f>
        <v>6146156.8711866299</v>
      </c>
    </row>
    <row r="1605" spans="1:15">
      <c r="A1605" s="361"/>
      <c r="B1605" s="365"/>
      <c r="D1605" s="369"/>
      <c r="E1605" s="369"/>
      <c r="F1605" s="369"/>
      <c r="G1605" s="369"/>
      <c r="H1605" s="369"/>
      <c r="I1605" s="369"/>
      <c r="J1605" s="1251"/>
      <c r="K1605" s="369"/>
      <c r="L1605" s="369"/>
      <c r="M1605" s="369"/>
      <c r="N1605" s="369"/>
      <c r="O1605" s="369"/>
    </row>
    <row r="1606" spans="1:15">
      <c r="A1606" s="361">
        <f>A1604+1</f>
        <v>19</v>
      </c>
      <c r="B1606" s="365">
        <v>383</v>
      </c>
      <c r="C1606" s="358" t="s">
        <v>1779</v>
      </c>
      <c r="D1606" s="369">
        <f>D1586</f>
        <v>190894.66396201821</v>
      </c>
      <c r="E1606" s="369">
        <f>E1586</f>
        <v>6100.5784498439889</v>
      </c>
      <c r="F1606" s="369">
        <f>F1586</f>
        <v>-195.40218873707227</v>
      </c>
      <c r="G1606" s="369">
        <f>SUM(D1606:F1606)</f>
        <v>196799.84022312512</v>
      </c>
      <c r="H1606" s="369"/>
      <c r="I1606" s="369">
        <f>I1586</f>
        <v>-6735.5540798483889</v>
      </c>
      <c r="J1606" s="1251"/>
      <c r="K1606" s="369">
        <f>K1586</f>
        <v>358.62</v>
      </c>
      <c r="L1606" s="369">
        <v>0</v>
      </c>
      <c r="M1606" s="369">
        <f>M1586</f>
        <v>-195.40218873707227</v>
      </c>
      <c r="N1606" s="369">
        <f>N1586</f>
        <v>0</v>
      </c>
      <c r="O1606" s="369">
        <f>I1606+K1606+L1606+M1606+N1606</f>
        <v>-6572.3362685854609</v>
      </c>
    </row>
    <row r="1607" spans="1:15">
      <c r="A1607" s="361">
        <f>A1606+1</f>
        <v>20</v>
      </c>
      <c r="B1607" s="365">
        <v>383</v>
      </c>
      <c r="C1607" s="358" t="s">
        <v>1625</v>
      </c>
      <c r="D1607" s="923">
        <f>D1608-D1606</f>
        <v>7841242.5985313468</v>
      </c>
      <c r="E1607" s="923">
        <f>E1608-E1606</f>
        <v>35518.551550156008</v>
      </c>
      <c r="F1607" s="923">
        <f>F1608-F1606</f>
        <v>-1137.6629374455583</v>
      </c>
      <c r="G1607" s="923">
        <f>SUM(D1607:F1607)</f>
        <v>7875623.4871440576</v>
      </c>
      <c r="H1607" s="369"/>
      <c r="I1607" s="923">
        <f>I1608-I1606</f>
        <v>2762524.2480077492</v>
      </c>
      <c r="J1607" s="1251"/>
      <c r="K1607" s="923">
        <f>K1608-K1606</f>
        <v>14538.38</v>
      </c>
      <c r="L1607" s="923">
        <v>0</v>
      </c>
      <c r="M1607" s="923">
        <f>M1608-M1606</f>
        <v>-1137.6629374455583</v>
      </c>
      <c r="N1607" s="923">
        <f>N1608-N1606</f>
        <v>0</v>
      </c>
      <c r="O1607" s="923">
        <f>I1607+K1607+L1607+M1607+N1607</f>
        <v>2775924.9650703035</v>
      </c>
    </row>
    <row r="1608" spans="1:15">
      <c r="A1608" s="361">
        <f>A1607+1</f>
        <v>21</v>
      </c>
      <c r="B1608" s="365">
        <v>383</v>
      </c>
      <c r="C1608" s="358" t="s">
        <v>3082</v>
      </c>
      <c r="D1608" s="369">
        <f>G1562</f>
        <v>8032137.2624933645</v>
      </c>
      <c r="E1608" s="369">
        <v>41619.129999999997</v>
      </c>
      <c r="F1608" s="369">
        <v>-1333.0651261826306</v>
      </c>
      <c r="G1608" s="369">
        <f>SUM(G1606:G1607)</f>
        <v>8072423.3273671828</v>
      </c>
      <c r="H1608" s="369"/>
      <c r="I1608" s="369">
        <f>O1562</f>
        <v>2755788.6939279009</v>
      </c>
      <c r="J1608" s="1251">
        <f>+J1586</f>
        <v>2.2200000000000001E-2</v>
      </c>
      <c r="K1608" s="369">
        <f>ROUND((D1608+G1608)/2*J1608/12,0)</f>
        <v>14897</v>
      </c>
      <c r="L1608" s="369">
        <f>SUM(L1606:L1607)</f>
        <v>0</v>
      </c>
      <c r="M1608" s="369">
        <f>F1608</f>
        <v>-1333.0651261826306</v>
      </c>
      <c r="N1608" s="369">
        <v>0</v>
      </c>
      <c r="O1608" s="369">
        <f>SUM(O1606:O1607)</f>
        <v>2769352.6288017179</v>
      </c>
    </row>
    <row r="1611" spans="1:15" s="291" customFormat="1">
      <c r="A1611" s="1308" t="str">
        <f>$A$1</f>
        <v>COLUMBIA GAS OF KENTUCKY, INC.</v>
      </c>
      <c r="B1611" s="1308"/>
      <c r="C1611" s="1308"/>
      <c r="D1611" s="1308"/>
      <c r="E1611" s="1308"/>
      <c r="F1611" s="1308"/>
      <c r="G1611" s="1308"/>
      <c r="H1611" s="1308"/>
      <c r="I1611" s="1308"/>
      <c r="J1611" s="1308"/>
      <c r="K1611" s="1308"/>
      <c r="L1611" s="1308"/>
      <c r="M1611" s="1308"/>
      <c r="N1611" s="1308"/>
      <c r="O1611" s="1308"/>
    </row>
    <row r="1612" spans="1:15" s="291" customFormat="1">
      <c r="A1612" s="1308" t="str">
        <f>$A$2</f>
        <v>CASE NO. 2024 - 00092</v>
      </c>
      <c r="B1612" s="1308"/>
      <c r="C1612" s="1308"/>
      <c r="D1612" s="1308"/>
      <c r="E1612" s="1308"/>
      <c r="F1612" s="1308"/>
      <c r="G1612" s="1308"/>
      <c r="H1612" s="1308"/>
      <c r="I1612" s="1308"/>
      <c r="J1612" s="1308"/>
      <c r="K1612" s="1308"/>
      <c r="L1612" s="1308"/>
      <c r="M1612" s="1308"/>
      <c r="N1612" s="1308"/>
      <c r="O1612" s="1308"/>
    </row>
    <row r="1613" spans="1:15" s="291" customFormat="1">
      <c r="A1613" s="1308" t="str">
        <f>$A$3</f>
        <v>DETAIL OF ACTUAL &amp;  FORECASTED SMRP PLANT, ACCUMULATED RESERVE &amp; DEPRECIATION EXPENSE</v>
      </c>
      <c r="B1613" s="1308"/>
      <c r="C1613" s="1308"/>
      <c r="D1613" s="1308"/>
      <c r="E1613" s="1308"/>
      <c r="F1613" s="1308"/>
      <c r="G1613" s="1308"/>
      <c r="H1613" s="1308"/>
      <c r="I1613" s="1308"/>
      <c r="J1613" s="1308"/>
      <c r="K1613" s="1308"/>
      <c r="L1613" s="1308"/>
      <c r="M1613" s="1308"/>
      <c r="N1613" s="1308"/>
      <c r="O1613" s="1308"/>
    </row>
    <row r="1614" spans="1:15" s="291" customFormat="1">
      <c r="A1614" s="1308" t="str">
        <f>$A$4</f>
        <v>FROM JANUARY 01, 2023 THROUGH DECEMBER 31, 2025</v>
      </c>
      <c r="B1614" s="1308"/>
      <c r="C1614" s="1308"/>
      <c r="D1614" s="1308"/>
      <c r="E1614" s="1308"/>
      <c r="F1614" s="1308"/>
      <c r="G1614" s="1308"/>
      <c r="H1614" s="1308"/>
      <c r="I1614" s="1308"/>
      <c r="J1614" s="1308"/>
      <c r="K1614" s="1308"/>
      <c r="L1614" s="1308"/>
      <c r="M1614" s="1308"/>
      <c r="N1614" s="1308"/>
      <c r="O1614" s="1308"/>
    </row>
    <row r="1615" spans="1:15" s="291" customFormat="1">
      <c r="B1615" s="293"/>
    </row>
    <row r="1616" spans="1:15" s="291" customFormat="1">
      <c r="A1616" s="297" t="str">
        <f>'General Headers Index'!$B$34</f>
        <v xml:space="preserve">DATA: _X_ BASE PERIOD _X_ FORECASTED PERIOD     </v>
      </c>
      <c r="B1616" s="293"/>
      <c r="O1616" s="312" t="s">
        <v>2461</v>
      </c>
    </row>
    <row r="1617" spans="1:15" s="291" customFormat="1">
      <c r="A1617" s="297" t="str">
        <f>'General Headers Index'!$B$37</f>
        <v>TYPE OF FILING:___X___ORIGINAL______UPDATED</v>
      </c>
      <c r="B1617" s="293"/>
      <c r="O1617" s="312" t="s">
        <v>2258</v>
      </c>
    </row>
    <row r="1618" spans="1:15" s="291" customFormat="1">
      <c r="A1618" s="297" t="s">
        <v>2150</v>
      </c>
      <c r="B1618" s="293"/>
      <c r="O1618" s="312" t="str">
        <f>"WITNESS: "&amp;'General Headers Index'!$B$42</f>
        <v>WITNESS: GORE</v>
      </c>
    </row>
    <row r="1619" spans="1:15">
      <c r="A1619" s="918"/>
      <c r="B1619" s="918"/>
      <c r="C1619" s="918"/>
      <c r="D1619" s="918"/>
      <c r="E1619" s="918"/>
      <c r="F1619" s="918"/>
      <c r="G1619" s="918"/>
      <c r="H1619" s="918"/>
      <c r="I1619" s="918"/>
      <c r="J1619" s="918"/>
      <c r="K1619" s="918"/>
      <c r="L1619" s="918"/>
      <c r="M1619" s="918"/>
      <c r="N1619" s="918"/>
      <c r="O1619" s="918"/>
    </row>
    <row r="1620" spans="1:15">
      <c r="B1620" s="359"/>
      <c r="D1620" s="1312" t="s">
        <v>1768</v>
      </c>
      <c r="E1620" s="1312"/>
      <c r="F1620" s="1312"/>
      <c r="G1620" s="1312"/>
      <c r="I1620" s="1312" t="s">
        <v>1769</v>
      </c>
      <c r="J1620" s="1312"/>
      <c r="K1620" s="1312"/>
      <c r="L1620" s="1312"/>
      <c r="M1620" s="1312"/>
      <c r="N1620" s="1312"/>
      <c r="O1620" s="1312"/>
    </row>
    <row r="1621" spans="1:15">
      <c r="B1621" s="359"/>
      <c r="D1621" s="360">
        <f>G1575+1</f>
        <v>45992</v>
      </c>
      <c r="G1621" s="360">
        <f>D1621+30</f>
        <v>46022</v>
      </c>
      <c r="I1621" s="360">
        <f>D1621</f>
        <v>45992</v>
      </c>
      <c r="O1621" s="360">
        <f>G1621</f>
        <v>46022</v>
      </c>
    </row>
    <row r="1622" spans="1:15">
      <c r="B1622" s="359"/>
      <c r="D1622" s="361" t="s">
        <v>1757</v>
      </c>
      <c r="G1622" s="361" t="s">
        <v>1757</v>
      </c>
      <c r="I1622" s="361" t="s">
        <v>1758</v>
      </c>
      <c r="J1622" s="361" t="s">
        <v>488</v>
      </c>
      <c r="L1622" s="361" t="s">
        <v>1758</v>
      </c>
      <c r="O1622" s="361" t="s">
        <v>1758</v>
      </c>
    </row>
    <row r="1623" spans="1:15">
      <c r="A1623" s="361" t="s">
        <v>1770</v>
      </c>
      <c r="B1623" s="361" t="s">
        <v>368</v>
      </c>
      <c r="C1623" s="361"/>
      <c r="D1623" s="361" t="s">
        <v>437</v>
      </c>
      <c r="G1623" s="361" t="s">
        <v>439</v>
      </c>
      <c r="I1623" s="361" t="s">
        <v>437</v>
      </c>
      <c r="J1623" s="361" t="s">
        <v>1771</v>
      </c>
      <c r="K1623" s="361" t="s">
        <v>1772</v>
      </c>
      <c r="L1623" s="361" t="s">
        <v>1759</v>
      </c>
      <c r="N1623" s="361" t="s">
        <v>1760</v>
      </c>
      <c r="O1623" s="361" t="s">
        <v>439</v>
      </c>
    </row>
    <row r="1624" spans="1:15">
      <c r="A1624" s="364" t="s">
        <v>316</v>
      </c>
      <c r="B1624" s="364" t="s">
        <v>316</v>
      </c>
      <c r="C1624" s="364" t="s">
        <v>451</v>
      </c>
      <c r="D1624" s="364" t="s">
        <v>441</v>
      </c>
      <c r="E1624" s="364" t="s">
        <v>442</v>
      </c>
      <c r="F1624" s="364" t="s">
        <v>443</v>
      </c>
      <c r="G1624" s="364" t="s">
        <v>441</v>
      </c>
      <c r="I1624" s="364" t="s">
        <v>441</v>
      </c>
      <c r="J1624" s="364" t="s">
        <v>1773</v>
      </c>
      <c r="K1624" s="364" t="s">
        <v>1771</v>
      </c>
      <c r="L1624" s="364" t="s">
        <v>355</v>
      </c>
      <c r="M1624" s="364" t="s">
        <v>443</v>
      </c>
      <c r="N1624" s="364" t="s">
        <v>1763</v>
      </c>
      <c r="O1624" s="364" t="s">
        <v>441</v>
      </c>
    </row>
    <row r="1625" spans="1:15">
      <c r="B1625" s="359"/>
      <c r="D1625" s="361" t="s">
        <v>532</v>
      </c>
      <c r="E1625" s="361" t="s">
        <v>541</v>
      </c>
      <c r="F1625" s="361" t="s">
        <v>542</v>
      </c>
      <c r="G1625" s="361" t="s">
        <v>1764</v>
      </c>
      <c r="I1625" s="334" t="str">
        <f>"(5)"</f>
        <v>(5)</v>
      </c>
      <c r="J1625" s="334" t="str">
        <f>"(6)"</f>
        <v>(6)</v>
      </c>
      <c r="K1625" s="334" t="str">
        <f>"(7)=((1+4)/2*6/12))"</f>
        <v>(7)=((1+4)/2*6/12))</v>
      </c>
      <c r="L1625" s="334" t="str">
        <f>"(8)"</f>
        <v>(8)</v>
      </c>
      <c r="M1625" s="334" t="str">
        <f>"(9)"</f>
        <v>(9)</v>
      </c>
      <c r="N1625" s="334" t="str">
        <f>"(10)"</f>
        <v>(10)</v>
      </c>
      <c r="O1625" s="334" t="str">
        <f>"(11=5+7+8+9+10)"</f>
        <v>(11=5+7+8+9+10)</v>
      </c>
    </row>
    <row r="1626" spans="1:15">
      <c r="B1626" s="359"/>
      <c r="D1626" s="361" t="s">
        <v>320</v>
      </c>
      <c r="E1626" s="361" t="s">
        <v>320</v>
      </c>
      <c r="F1626" s="361" t="s">
        <v>320</v>
      </c>
      <c r="G1626" s="361" t="s">
        <v>320</v>
      </c>
      <c r="I1626" s="334" t="s">
        <v>320</v>
      </c>
      <c r="J1626" s="1250" t="s">
        <v>529</v>
      </c>
      <c r="K1626" s="334" t="s">
        <v>320</v>
      </c>
      <c r="L1626" s="334" t="s">
        <v>320</v>
      </c>
      <c r="M1626" s="334" t="s">
        <v>320</v>
      </c>
      <c r="N1626" s="334" t="s">
        <v>320</v>
      </c>
      <c r="O1626" s="334" t="s">
        <v>320</v>
      </c>
    </row>
    <row r="1627" spans="1:15">
      <c r="B1627" s="359"/>
      <c r="D1627" s="361"/>
      <c r="E1627" s="361"/>
      <c r="F1627" s="361"/>
      <c r="G1627" s="361"/>
      <c r="I1627" s="334"/>
      <c r="J1627" s="334"/>
      <c r="K1627" s="334"/>
      <c r="L1627" s="334"/>
      <c r="M1627" s="334"/>
      <c r="N1627" s="334"/>
      <c r="O1627" s="334"/>
    </row>
    <row r="1628" spans="1:15">
      <c r="A1628" s="361">
        <v>1</v>
      </c>
      <c r="B1628" s="365">
        <v>376</v>
      </c>
      <c r="C1628" s="358" t="s">
        <v>1775</v>
      </c>
      <c r="D1628" s="369">
        <f>G1582</f>
        <v>72571012.113544419</v>
      </c>
      <c r="E1628" s="369">
        <v>5060386.2799619054</v>
      </c>
      <c r="F1628" s="369">
        <v>-185134.41999999998</v>
      </c>
      <c r="G1628" s="369">
        <f>SUM(D1628:F1628)</f>
        <v>77446263.973506317</v>
      </c>
      <c r="H1628" s="369"/>
      <c r="I1628" s="369">
        <f>O1582</f>
        <v>1022887.9596097494</v>
      </c>
      <c r="J1628" s="1251">
        <f>+J1582</f>
        <v>1.7999999999999999E-2</v>
      </c>
      <c r="K1628" s="380">
        <f>ROUND((G1628+D1628)/2*J1628/12,2)</f>
        <v>112512.96000000001</v>
      </c>
      <c r="L1628" s="369">
        <v>0</v>
      </c>
      <c r="M1628" s="369">
        <f>F1628</f>
        <v>-185134.41999999998</v>
      </c>
      <c r="N1628" s="369">
        <v>0</v>
      </c>
      <c r="O1628" s="369">
        <f>I1628+K1628+L1628+M1628+N1628</f>
        <v>950266.49960974953</v>
      </c>
    </row>
    <row r="1629" spans="1:15">
      <c r="A1629" s="361">
        <f>A1628+1</f>
        <v>2</v>
      </c>
      <c r="B1629" s="365">
        <v>378.2</v>
      </c>
      <c r="C1629" s="358" t="s">
        <v>1776</v>
      </c>
      <c r="D1629" s="369">
        <f>G1583</f>
        <v>599780.62011021946</v>
      </c>
      <c r="E1629" s="369">
        <v>0</v>
      </c>
      <c r="F1629" s="369">
        <v>0</v>
      </c>
      <c r="G1629" s="369">
        <f>SUM(D1629:F1629)</f>
        <v>599780.62011021946</v>
      </c>
      <c r="H1629" s="369"/>
      <c r="I1629" s="369">
        <f>O1583</f>
        <v>-926618.98754116008</v>
      </c>
      <c r="J1629" s="1251">
        <f>+J1583</f>
        <v>3.3099999999999997E-2</v>
      </c>
      <c r="K1629" s="380">
        <f>ROUND((G1629+D1629)/2*J1629/12,2)</f>
        <v>1654.39</v>
      </c>
      <c r="L1629" s="369">
        <v>0</v>
      </c>
      <c r="M1629" s="369">
        <f>F1629</f>
        <v>0</v>
      </c>
      <c r="N1629" s="369">
        <v>0</v>
      </c>
      <c r="O1629" s="369">
        <f>I1629+K1629+L1629+M1629+N1629</f>
        <v>-924964.59754116007</v>
      </c>
    </row>
    <row r="1630" spans="1:15">
      <c r="A1630" s="361">
        <f>A1629+1</f>
        <v>3</v>
      </c>
      <c r="B1630" s="365">
        <v>380</v>
      </c>
      <c r="C1630" s="358" t="s">
        <v>1777</v>
      </c>
      <c r="D1630" s="369">
        <f>G1584</f>
        <v>29018342.056623582</v>
      </c>
      <c r="E1630" s="369">
        <v>628319.55854517303</v>
      </c>
      <c r="F1630" s="369">
        <v>-320328.85621654231</v>
      </c>
      <c r="G1630" s="369">
        <f>SUM(D1630:F1630)</f>
        <v>29326332.758952212</v>
      </c>
      <c r="H1630" s="369"/>
      <c r="I1630" s="369">
        <f>O1584</f>
        <v>-13844609.955206597</v>
      </c>
      <c r="J1630" s="1251">
        <f>+J1584</f>
        <v>5.1799999999999999E-2</v>
      </c>
      <c r="K1630" s="380">
        <f>ROUND((G1630+D1630)/2*J1630/12,2)</f>
        <v>125927.26</v>
      </c>
      <c r="L1630" s="369">
        <v>0</v>
      </c>
      <c r="M1630" s="369">
        <f>F1630</f>
        <v>-320328.85621654231</v>
      </c>
      <c r="N1630" s="369">
        <v>-192542.854608069</v>
      </c>
      <c r="O1630" s="369">
        <f>I1630+K1630+L1630+M1630+N1630</f>
        <v>-14231554.406031208</v>
      </c>
    </row>
    <row r="1631" spans="1:15">
      <c r="A1631" s="361">
        <f>A1630+1</f>
        <v>4</v>
      </c>
      <c r="B1631" s="365">
        <v>382</v>
      </c>
      <c r="C1631" s="358" t="s">
        <v>1778</v>
      </c>
      <c r="D1631" s="369">
        <f>G1585</f>
        <v>272506.02526817616</v>
      </c>
      <c r="E1631" s="369">
        <v>9992.588260506378</v>
      </c>
      <c r="F1631" s="369">
        <v>-245.01900170740694</v>
      </c>
      <c r="G1631" s="369">
        <f>SUM(D1631:F1631)</f>
        <v>282253.59452697512</v>
      </c>
      <c r="H1631" s="369"/>
      <c r="I1631" s="369">
        <f>O1585</f>
        <v>-75874.001639980284</v>
      </c>
      <c r="J1631" s="1251">
        <f>+J1585</f>
        <v>2.2800000000000001E-2</v>
      </c>
      <c r="K1631" s="380">
        <f>ROUND((G1631+D1631)/2*J1631/12,2)</f>
        <v>527.02</v>
      </c>
      <c r="L1631" s="369">
        <v>0</v>
      </c>
      <c r="M1631" s="369">
        <f>F1631</f>
        <v>-245.01900170740694</v>
      </c>
      <c r="N1631" s="369">
        <v>0</v>
      </c>
      <c r="O1631" s="369">
        <f>I1631+K1631+L1631+M1631+N1631</f>
        <v>-75592.000641687686</v>
      </c>
    </row>
    <row r="1632" spans="1:15">
      <c r="A1632" s="361">
        <f>A1631+1</f>
        <v>5</v>
      </c>
      <c r="B1632" s="365">
        <v>383</v>
      </c>
      <c r="C1632" s="358" t="s">
        <v>1779</v>
      </c>
      <c r="D1632" s="923">
        <f>G1586</f>
        <v>196799.84022312512</v>
      </c>
      <c r="E1632" s="923">
        <v>6692.7782169623069</v>
      </c>
      <c r="F1632" s="923">
        <v>-61.623159913471262</v>
      </c>
      <c r="G1632" s="923">
        <f>SUM(D1632:F1632)</f>
        <v>203430.99528017396</v>
      </c>
      <c r="H1632" s="369"/>
      <c r="I1632" s="923">
        <f>O1586</f>
        <v>-6572.3362685854609</v>
      </c>
      <c r="J1632" s="1251">
        <f>+J1586</f>
        <v>2.2200000000000001E-2</v>
      </c>
      <c r="K1632" s="925">
        <f>ROUND((G1632+D1632)/2*J1632/12,2)</f>
        <v>370.21</v>
      </c>
      <c r="L1632" s="923">
        <v>0</v>
      </c>
      <c r="M1632" s="923">
        <f>F1632</f>
        <v>-61.623159913471262</v>
      </c>
      <c r="N1632" s="923">
        <v>0</v>
      </c>
      <c r="O1632" s="923">
        <f>I1632+K1632+L1632+M1632+N1632</f>
        <v>-6263.7494284989325</v>
      </c>
    </row>
    <row r="1633" spans="1:19">
      <c r="A1633" s="361">
        <f>A1632+1</f>
        <v>6</v>
      </c>
      <c r="C1633" s="358" t="s">
        <v>3077</v>
      </c>
      <c r="D1633" s="369">
        <f>SUM(D1628:D1632)</f>
        <v>102658440.65576951</v>
      </c>
      <c r="E1633" s="369">
        <f>SUM(E1628:E1632)</f>
        <v>5705391.2049845476</v>
      </c>
      <c r="F1633" s="369">
        <f>SUM(F1628:F1632)</f>
        <v>-505769.91837816319</v>
      </c>
      <c r="G1633" s="369">
        <f>SUM(G1628:G1632)</f>
        <v>107858061.9423759</v>
      </c>
      <c r="H1633" s="369"/>
      <c r="I1633" s="369">
        <f>SUM(I1628:I1632)</f>
        <v>-13830787.321046574</v>
      </c>
      <c r="J1633" s="369"/>
      <c r="K1633" s="369">
        <f>SUM(K1628:K1632)</f>
        <v>240991.83999999997</v>
      </c>
      <c r="L1633" s="369">
        <f t="shared" ref="L1633" si="35">SUM(L1628:L1632)</f>
        <v>0</v>
      </c>
      <c r="M1633" s="369">
        <f>SUM(M1628:M1632)</f>
        <v>-505769.91837816319</v>
      </c>
      <c r="N1633" s="369">
        <f>SUM(N1628:N1632)</f>
        <v>-192542.854608069</v>
      </c>
      <c r="O1633" s="369">
        <f>SUM(O1628:O1632)</f>
        <v>-14288108.254032806</v>
      </c>
    </row>
    <row r="1634" spans="1:19">
      <c r="A1634" s="361"/>
      <c r="D1634" s="369"/>
      <c r="E1634" s="369"/>
      <c r="F1634" s="369"/>
      <c r="G1634" s="369"/>
      <c r="H1634" s="369"/>
      <c r="I1634" s="369"/>
      <c r="J1634" s="369"/>
      <c r="K1634" s="369"/>
      <c r="L1634" s="369"/>
      <c r="M1634" s="369"/>
      <c r="N1634" s="369"/>
      <c r="O1634" s="369"/>
    </row>
    <row r="1635" spans="1:19">
      <c r="A1635" s="361"/>
      <c r="D1635" s="369"/>
      <c r="E1635" s="369"/>
      <c r="F1635" s="369"/>
      <c r="G1635" s="369"/>
      <c r="H1635" s="369"/>
      <c r="I1635" s="369"/>
      <c r="J1635" s="369"/>
      <c r="K1635" s="369"/>
      <c r="L1635" s="369"/>
      <c r="M1635" s="369"/>
      <c r="N1635" s="369"/>
      <c r="O1635" s="369"/>
    </row>
    <row r="1636" spans="1:19">
      <c r="A1636" s="361">
        <f>A1633+1</f>
        <v>7</v>
      </c>
      <c r="B1636" s="365">
        <v>376</v>
      </c>
      <c r="C1636" s="358" t="s">
        <v>1775</v>
      </c>
      <c r="D1636" s="369">
        <f>D1628</f>
        <v>72571012.113544419</v>
      </c>
      <c r="E1636" s="369">
        <f>E1628</f>
        <v>5060386.2799619054</v>
      </c>
      <c r="F1636" s="369">
        <f>F1628</f>
        <v>-185134.41999999998</v>
      </c>
      <c r="G1636" s="369">
        <f>SUM(D1636:F1636)</f>
        <v>77446263.973506317</v>
      </c>
      <c r="H1636" s="369"/>
      <c r="I1636" s="369">
        <f>I1628</f>
        <v>1022887.9596097494</v>
      </c>
      <c r="J1636" s="1251"/>
      <c r="K1636" s="369">
        <f>K1628</f>
        <v>112512.96000000001</v>
      </c>
      <c r="L1636" s="369">
        <v>0</v>
      </c>
      <c r="M1636" s="369">
        <f>M1628</f>
        <v>-185134.41999999998</v>
      </c>
      <c r="N1636" s="369">
        <f>N1628</f>
        <v>0</v>
      </c>
      <c r="O1636" s="369">
        <f>I1636+K1636+L1636+M1636+N1636</f>
        <v>950266.49960974953</v>
      </c>
      <c r="R1636" s="938"/>
    </row>
    <row r="1637" spans="1:19">
      <c r="A1637" s="361">
        <f>A1636+1</f>
        <v>8</v>
      </c>
      <c r="B1637" s="365">
        <v>376</v>
      </c>
      <c r="C1637" s="358" t="s">
        <v>1621</v>
      </c>
      <c r="D1637" s="923">
        <f>D1638-D1636</f>
        <v>424761468.61645555</v>
      </c>
      <c r="E1637" s="923">
        <f>E1638-E1636</f>
        <v>2899295.3900380945</v>
      </c>
      <c r="F1637" s="923">
        <f>F1638-F1636</f>
        <v>-256845.93</v>
      </c>
      <c r="G1637" s="923">
        <f>SUM(D1637:F1637)</f>
        <v>427403918.07649362</v>
      </c>
      <c r="H1637" s="369"/>
      <c r="I1637" s="923">
        <f>I1638-I1636</f>
        <v>92449835.022901356</v>
      </c>
      <c r="J1637" s="1251"/>
      <c r="K1637" s="923">
        <f>K1638-K1636</f>
        <v>639124.04</v>
      </c>
      <c r="L1637" s="923">
        <v>0</v>
      </c>
      <c r="M1637" s="923">
        <f>M1638-M1636</f>
        <v>-256845.93</v>
      </c>
      <c r="N1637" s="923">
        <f>N1638-N1636</f>
        <v>-12053.58</v>
      </c>
      <c r="O1637" s="923">
        <f>I1637+K1637+L1637+M1637+N1637</f>
        <v>92820059.552901357</v>
      </c>
      <c r="R1637" s="938"/>
    </row>
    <row r="1638" spans="1:19">
      <c r="A1638" s="361">
        <f>A1637+1</f>
        <v>9</v>
      </c>
      <c r="B1638" s="365">
        <v>376</v>
      </c>
      <c r="C1638" s="358" t="s">
        <v>3078</v>
      </c>
      <c r="D1638" s="369">
        <f>G1592</f>
        <v>497332480.72999996</v>
      </c>
      <c r="E1638" s="369">
        <v>7959681.6699999999</v>
      </c>
      <c r="F1638" s="369">
        <v>-441980.35</v>
      </c>
      <c r="G1638" s="369">
        <f>SUM(G1636:G1637)</f>
        <v>504850182.04999995</v>
      </c>
      <c r="H1638" s="369"/>
      <c r="I1638" s="369">
        <f>O1592</f>
        <v>93472722.982511103</v>
      </c>
      <c r="J1638" s="1251">
        <f>+J1628</f>
        <v>1.7999999999999999E-2</v>
      </c>
      <c r="K1638" s="369">
        <f>ROUND((D1638+G1638)/2*J1638/12,0)</f>
        <v>751637</v>
      </c>
      <c r="L1638" s="369">
        <f>SUM(L1636:L1637)</f>
        <v>0</v>
      </c>
      <c r="M1638" s="369">
        <f>F1638</f>
        <v>-441980.35</v>
      </c>
      <c r="N1638" s="369">
        <v>-12053.58</v>
      </c>
      <c r="O1638" s="369">
        <f>SUM(O1636:O1637)</f>
        <v>93770326.052511111</v>
      </c>
      <c r="R1638" s="938"/>
      <c r="S1638" s="385"/>
    </row>
    <row r="1639" spans="1:19">
      <c r="A1639" s="361"/>
      <c r="B1639" s="365"/>
      <c r="D1639" s="369"/>
      <c r="E1639" s="369"/>
      <c r="F1639" s="369"/>
      <c r="G1639" s="369"/>
      <c r="H1639" s="369"/>
      <c r="I1639" s="369"/>
      <c r="J1639" s="1251"/>
      <c r="K1639" s="369"/>
      <c r="L1639" s="369"/>
      <c r="M1639" s="369"/>
      <c r="N1639" s="369"/>
      <c r="O1639" s="369"/>
      <c r="R1639" s="938"/>
    </row>
    <row r="1640" spans="1:19">
      <c r="A1640" s="361">
        <f>A1638+1</f>
        <v>10</v>
      </c>
      <c r="B1640" s="365">
        <v>378.2</v>
      </c>
      <c r="C1640" s="358" t="s">
        <v>1776</v>
      </c>
      <c r="D1640" s="369">
        <f>D1629</f>
        <v>599780.62011021946</v>
      </c>
      <c r="E1640" s="369">
        <f>E1629</f>
        <v>0</v>
      </c>
      <c r="F1640" s="369">
        <f>F1629</f>
        <v>0</v>
      </c>
      <c r="G1640" s="369">
        <f>SUM(D1640:F1640)</f>
        <v>599780.62011021946</v>
      </c>
      <c r="H1640" s="369"/>
      <c r="I1640" s="369">
        <f>I1629</f>
        <v>-926618.98754116008</v>
      </c>
      <c r="J1640" s="1251"/>
      <c r="K1640" s="369">
        <f>K1629</f>
        <v>1654.39</v>
      </c>
      <c r="L1640" s="369">
        <v>0</v>
      </c>
      <c r="M1640" s="369">
        <f>M1629</f>
        <v>0</v>
      </c>
      <c r="N1640" s="369">
        <f>N1629</f>
        <v>0</v>
      </c>
      <c r="O1640" s="369">
        <f>I1640+K1640+L1640+M1640+N1640</f>
        <v>-924964.59754116007</v>
      </c>
      <c r="R1640" s="938"/>
    </row>
    <row r="1641" spans="1:19">
      <c r="A1641" s="361">
        <f>A1640+1</f>
        <v>11</v>
      </c>
      <c r="B1641" s="365">
        <v>378.2</v>
      </c>
      <c r="C1641" s="358" t="s">
        <v>1622</v>
      </c>
      <c r="D1641" s="923">
        <f>D1642-D1640</f>
        <v>30644327.01780517</v>
      </c>
      <c r="E1641" s="923">
        <f>E1642-E1640</f>
        <v>331314.88363513269</v>
      </c>
      <c r="F1641" s="923">
        <f>F1642-F1640</f>
        <v>-28299.704542173553</v>
      </c>
      <c r="G1641" s="923">
        <f>SUM(D1641:F1641)</f>
        <v>30947342.196898129</v>
      </c>
      <c r="H1641" s="369"/>
      <c r="I1641" s="923">
        <f>I1642-I1640</f>
        <v>2868848.6043852726</v>
      </c>
      <c r="J1641" s="1251"/>
      <c r="K1641" s="923">
        <f>K1642-K1640</f>
        <v>84945.61</v>
      </c>
      <c r="L1641" s="923">
        <v>0</v>
      </c>
      <c r="M1641" s="923">
        <f>M1642-M1640</f>
        <v>-28299.704542173553</v>
      </c>
      <c r="N1641" s="923">
        <f>N1642-N1640</f>
        <v>-55580.422928028122</v>
      </c>
      <c r="O1641" s="923">
        <f>I1641+K1641+L1641+M1641+N1641</f>
        <v>2869914.0869150707</v>
      </c>
      <c r="R1641" s="938"/>
    </row>
    <row r="1642" spans="1:19">
      <c r="A1642" s="361">
        <f>A1641+1</f>
        <v>12</v>
      </c>
      <c r="B1642" s="365">
        <v>378.2</v>
      </c>
      <c r="C1642" s="358" t="s">
        <v>3079</v>
      </c>
      <c r="D1642" s="369">
        <f>G1596</f>
        <v>31244107.637915391</v>
      </c>
      <c r="E1642" s="369">
        <v>331314.88363513269</v>
      </c>
      <c r="F1642" s="369">
        <v>-28299.704542173553</v>
      </c>
      <c r="G1642" s="369">
        <f>SUM(G1640:G1641)</f>
        <v>31547122.81700835</v>
      </c>
      <c r="H1642" s="369"/>
      <c r="I1642" s="369">
        <f>O1596</f>
        <v>1942229.6168441125</v>
      </c>
      <c r="J1642" s="1251">
        <f>+J1629</f>
        <v>3.3099999999999997E-2</v>
      </c>
      <c r="K1642" s="369">
        <f>ROUND((D1642+G1642)/2*J1642/12,0)</f>
        <v>86600</v>
      </c>
      <c r="L1642" s="369">
        <f>SUM(L1640:L1641)</f>
        <v>0</v>
      </c>
      <c r="M1642" s="369">
        <f>F1642</f>
        <v>-28299.704542173553</v>
      </c>
      <c r="N1642" s="369">
        <v>-55580.422928028122</v>
      </c>
      <c r="O1642" s="369">
        <f>SUM(O1640:O1641)</f>
        <v>1944949.4893739107</v>
      </c>
      <c r="R1642" s="938"/>
      <c r="S1642" s="385"/>
    </row>
    <row r="1643" spans="1:19">
      <c r="A1643" s="361"/>
      <c r="B1643" s="365"/>
      <c r="D1643" s="369"/>
      <c r="E1643" s="369"/>
      <c r="F1643" s="369"/>
      <c r="G1643" s="369"/>
      <c r="H1643" s="369"/>
      <c r="I1643" s="369"/>
      <c r="J1643" s="1251"/>
      <c r="K1643" s="369"/>
      <c r="L1643" s="369"/>
      <c r="M1643" s="369"/>
      <c r="N1643" s="369"/>
      <c r="O1643" s="369"/>
      <c r="R1643" s="938"/>
    </row>
    <row r="1644" spans="1:19">
      <c r="A1644" s="361">
        <f>A1642+1</f>
        <v>13</v>
      </c>
      <c r="B1644" s="365">
        <v>380</v>
      </c>
      <c r="C1644" s="358" t="s">
        <v>1777</v>
      </c>
      <c r="D1644" s="369">
        <f>D1630</f>
        <v>29018342.056623582</v>
      </c>
      <c r="E1644" s="369">
        <f>E1630</f>
        <v>628319.55854517303</v>
      </c>
      <c r="F1644" s="369">
        <f>F1630</f>
        <v>-320328.85621654231</v>
      </c>
      <c r="G1644" s="369">
        <f>SUM(D1644:F1644)</f>
        <v>29326332.758952212</v>
      </c>
      <c r="H1644" s="369"/>
      <c r="I1644" s="369">
        <f>I1630</f>
        <v>-13844609.955206597</v>
      </c>
      <c r="J1644" s="1251"/>
      <c r="K1644" s="369">
        <f>K1630</f>
        <v>125927.26</v>
      </c>
      <c r="L1644" s="369">
        <v>0</v>
      </c>
      <c r="M1644" s="369">
        <f>M1630</f>
        <v>-320328.85621654231</v>
      </c>
      <c r="N1644" s="369">
        <f>N1630</f>
        <v>-192542.854608069</v>
      </c>
      <c r="O1644" s="369">
        <f>I1644+K1644+L1644+M1644+N1644</f>
        <v>-14231554.406031208</v>
      </c>
      <c r="R1644" s="938"/>
    </row>
    <row r="1645" spans="1:19">
      <c r="A1645" s="361">
        <f>A1644+1</f>
        <v>14</v>
      </c>
      <c r="B1645" s="365">
        <v>380</v>
      </c>
      <c r="C1645" s="358" t="s">
        <v>1623</v>
      </c>
      <c r="D1645" s="923">
        <f>D1646-D1644</f>
        <v>209437802.59337643</v>
      </c>
      <c r="E1645" s="923">
        <f>E1646-E1644</f>
        <v>655089.27145482705</v>
      </c>
      <c r="F1645" s="923">
        <f>F1646-F1644</f>
        <v>-70377.043783457659</v>
      </c>
      <c r="G1645" s="923">
        <f>SUM(D1645:F1645)</f>
        <v>210022514.82104781</v>
      </c>
      <c r="H1645" s="369"/>
      <c r="I1645" s="923">
        <f>I1646-I1644</f>
        <v>75274228.8952066</v>
      </c>
      <c r="J1645" s="1251"/>
      <c r="K1645" s="923">
        <f>K1646-K1644</f>
        <v>905334.74</v>
      </c>
      <c r="L1645" s="923">
        <v>0</v>
      </c>
      <c r="M1645" s="923">
        <f>M1646-M1644</f>
        <v>-70377.043783457659</v>
      </c>
      <c r="N1645" s="923">
        <f>N1646-N1644</f>
        <v>-78993.995391930977</v>
      </c>
      <c r="O1645" s="923">
        <f>I1645+K1645+L1645+M1645+N1645</f>
        <v>76030192.596031204</v>
      </c>
      <c r="R1645" s="938"/>
    </row>
    <row r="1646" spans="1:19">
      <c r="A1646" s="361">
        <f>A1645+1</f>
        <v>15</v>
      </c>
      <c r="B1646" s="365">
        <v>380</v>
      </c>
      <c r="C1646" s="358" t="s">
        <v>3080</v>
      </c>
      <c r="D1646" s="369">
        <f>G1600</f>
        <v>238456144.65000001</v>
      </c>
      <c r="E1646" s="369">
        <v>1283408.83</v>
      </c>
      <c r="F1646" s="369">
        <v>-390705.89999999997</v>
      </c>
      <c r="G1646" s="369">
        <f>SUM(G1644:G1645)</f>
        <v>239348847.58000001</v>
      </c>
      <c r="H1646" s="369"/>
      <c r="I1646" s="369">
        <f>O1600</f>
        <v>61429618.940000005</v>
      </c>
      <c r="J1646" s="1251">
        <f>+J1630</f>
        <v>5.1799999999999999E-2</v>
      </c>
      <c r="K1646" s="369">
        <f>ROUND((D1646+G1646)/2*J1646/12,0)</f>
        <v>1031262</v>
      </c>
      <c r="L1646" s="369">
        <f>SUM(L1644:L1645)</f>
        <v>0</v>
      </c>
      <c r="M1646" s="369">
        <f>F1646</f>
        <v>-390705.89999999997</v>
      </c>
      <c r="N1646" s="369">
        <v>-271536.84999999998</v>
      </c>
      <c r="O1646" s="369">
        <f>SUM(O1644:O1645)</f>
        <v>61798638.189999998</v>
      </c>
      <c r="R1646" s="938"/>
      <c r="S1646" s="385"/>
    </row>
    <row r="1647" spans="1:19">
      <c r="A1647" s="361"/>
      <c r="B1647" s="365"/>
      <c r="D1647" s="369"/>
      <c r="E1647" s="369"/>
      <c r="F1647" s="369"/>
      <c r="G1647" s="369"/>
      <c r="H1647" s="369"/>
      <c r="I1647" s="369"/>
      <c r="J1647" s="1251"/>
      <c r="K1647" s="369"/>
      <c r="L1647" s="369"/>
      <c r="M1647" s="369"/>
      <c r="N1647" s="369"/>
      <c r="O1647" s="369"/>
      <c r="R1647" s="938"/>
    </row>
    <row r="1648" spans="1:19">
      <c r="A1648" s="361">
        <f>A1646+1</f>
        <v>16</v>
      </c>
      <c r="B1648" s="365">
        <v>382</v>
      </c>
      <c r="C1648" s="358" t="s">
        <v>1778</v>
      </c>
      <c r="D1648" s="369">
        <f>D1631</f>
        <v>272506.02526817616</v>
      </c>
      <c r="E1648" s="369">
        <f>E1631</f>
        <v>9992.588260506378</v>
      </c>
      <c r="F1648" s="369">
        <f>F1631</f>
        <v>-245.01900170740694</v>
      </c>
      <c r="G1648" s="369">
        <f>SUM(D1648:F1648)</f>
        <v>282253.59452697512</v>
      </c>
      <c r="H1648" s="369"/>
      <c r="I1648" s="369">
        <f>I1631</f>
        <v>-75874.001639980284</v>
      </c>
      <c r="J1648" s="1251"/>
      <c r="K1648" s="369">
        <f>K1631</f>
        <v>527.02</v>
      </c>
      <c r="L1648" s="369">
        <v>0</v>
      </c>
      <c r="M1648" s="369">
        <f>M1631</f>
        <v>-245.01900170740694</v>
      </c>
      <c r="N1648" s="369">
        <f>N1631</f>
        <v>0</v>
      </c>
      <c r="O1648" s="369">
        <f>I1648+K1648+L1648+M1648+N1648</f>
        <v>-75592.000641687686</v>
      </c>
      <c r="R1648" s="938"/>
    </row>
    <row r="1649" spans="1:19">
      <c r="A1649" s="361">
        <f>A1648+1</f>
        <v>17</v>
      </c>
      <c r="B1649" s="365">
        <v>382</v>
      </c>
      <c r="C1649" s="358" t="s">
        <v>1624</v>
      </c>
      <c r="D1649" s="923">
        <f>D1650-D1648</f>
        <v>10819899.482197022</v>
      </c>
      <c r="E1649" s="923">
        <f>E1650-E1648</f>
        <v>29915.957292265153</v>
      </c>
      <c r="F1649" s="923">
        <f>F1650-F1648</f>
        <v>-733.54148092365995</v>
      </c>
      <c r="G1649" s="923">
        <f>SUM(D1649:F1649)</f>
        <v>10849081.898008363</v>
      </c>
      <c r="H1649" s="369"/>
      <c r="I1649" s="923">
        <f>I1650-I1648</f>
        <v>6222030.8728266098</v>
      </c>
      <c r="J1649" s="1251"/>
      <c r="K1649" s="923">
        <f>K1650-K1648</f>
        <v>20585.98</v>
      </c>
      <c r="L1649" s="923">
        <v>0</v>
      </c>
      <c r="M1649" s="923">
        <f>M1650-M1648</f>
        <v>-733.54148092365995</v>
      </c>
      <c r="N1649" s="923">
        <f>N1650-N1648</f>
        <v>-139</v>
      </c>
      <c r="O1649" s="923">
        <f>I1649+K1649+L1649+M1649+N1649</f>
        <v>6241744.3113456862</v>
      </c>
      <c r="R1649" s="938"/>
    </row>
    <row r="1650" spans="1:19">
      <c r="A1650" s="361">
        <f>A1649+1</f>
        <v>18</v>
      </c>
      <c r="B1650" s="365">
        <v>382</v>
      </c>
      <c r="C1650" s="358" t="s">
        <v>3081</v>
      </c>
      <c r="D1650" s="369">
        <f>G1604</f>
        <v>11092405.507465199</v>
      </c>
      <c r="E1650" s="369">
        <v>39908.545552771531</v>
      </c>
      <c r="F1650" s="369">
        <v>-978.56048263106686</v>
      </c>
      <c r="G1650" s="369">
        <f>SUM(G1648:G1649)</f>
        <v>11131335.492535338</v>
      </c>
      <c r="H1650" s="369"/>
      <c r="I1650" s="369">
        <f>O1604</f>
        <v>6146156.8711866299</v>
      </c>
      <c r="J1650" s="1251">
        <f>+J1631</f>
        <v>2.2800000000000001E-2</v>
      </c>
      <c r="K1650" s="369">
        <f>ROUND((D1650+G1650)/2*J1650/12,0)</f>
        <v>21113</v>
      </c>
      <c r="L1650" s="369">
        <f>SUM(L1648:L1649)</f>
        <v>0</v>
      </c>
      <c r="M1650" s="369">
        <f>F1650</f>
        <v>-978.56048263106686</v>
      </c>
      <c r="N1650" s="369">
        <v>-139</v>
      </c>
      <c r="O1650" s="369">
        <f>SUM(O1648:O1649)</f>
        <v>6166152.3107039984</v>
      </c>
      <c r="R1650" s="938"/>
      <c r="S1650" s="385"/>
    </row>
    <row r="1651" spans="1:19">
      <c r="A1651" s="361"/>
      <c r="B1651" s="365"/>
      <c r="D1651" s="369"/>
      <c r="E1651" s="369"/>
      <c r="F1651" s="369"/>
      <c r="G1651" s="369"/>
      <c r="H1651" s="369"/>
      <c r="I1651" s="369"/>
      <c r="J1651" s="1251"/>
      <c r="K1651" s="369"/>
      <c r="L1651" s="369"/>
      <c r="M1651" s="369"/>
      <c r="N1651" s="369"/>
      <c r="O1651" s="369"/>
      <c r="R1651" s="938"/>
    </row>
    <row r="1652" spans="1:19">
      <c r="A1652" s="361">
        <f>A1650+1</f>
        <v>19</v>
      </c>
      <c r="B1652" s="365">
        <v>383</v>
      </c>
      <c r="C1652" s="358" t="s">
        <v>1779</v>
      </c>
      <c r="D1652" s="369">
        <f>D1632</f>
        <v>196799.84022312512</v>
      </c>
      <c r="E1652" s="369">
        <f>E1632</f>
        <v>6692.7782169623069</v>
      </c>
      <c r="F1652" s="369">
        <f>F1632</f>
        <v>-61.623159913471262</v>
      </c>
      <c r="G1652" s="369">
        <f>SUM(D1652:F1652)</f>
        <v>203430.99528017396</v>
      </c>
      <c r="H1652" s="369"/>
      <c r="I1652" s="369">
        <f>I1632</f>
        <v>-6572.3362685854609</v>
      </c>
      <c r="J1652" s="1251"/>
      <c r="K1652" s="369">
        <f>K1632</f>
        <v>370.21</v>
      </c>
      <c r="L1652" s="369">
        <v>0</v>
      </c>
      <c r="M1652" s="369">
        <f>M1632</f>
        <v>-61.623159913471262</v>
      </c>
      <c r="N1652" s="369">
        <f>N1632</f>
        <v>0</v>
      </c>
      <c r="O1652" s="369">
        <f>I1652+K1652+L1652+M1652+N1652</f>
        <v>-6263.7494284989325</v>
      </c>
      <c r="R1652" s="938"/>
    </row>
    <row r="1653" spans="1:19">
      <c r="A1653" s="361">
        <f>A1652+1</f>
        <v>20</v>
      </c>
      <c r="B1653" s="365">
        <v>383</v>
      </c>
      <c r="C1653" s="358" t="s">
        <v>1625</v>
      </c>
      <c r="D1653" s="923">
        <f>D1654-D1652</f>
        <v>7875623.4871440576</v>
      </c>
      <c r="E1653" s="923">
        <f>E1654-E1652</f>
        <v>38966.431783037689</v>
      </c>
      <c r="F1653" s="923">
        <f>F1654-F1652</f>
        <v>-358.77993780392245</v>
      </c>
      <c r="G1653" s="923">
        <f>SUM(D1653:F1653)</f>
        <v>7914231.1389892912</v>
      </c>
      <c r="H1653" s="369"/>
      <c r="I1653" s="923">
        <f>I1654-I1652</f>
        <v>2775924.9650703035</v>
      </c>
      <c r="J1653" s="1251"/>
      <c r="K1653" s="923">
        <f>K1654-K1652</f>
        <v>14605.79</v>
      </c>
      <c r="L1653" s="923">
        <v>0</v>
      </c>
      <c r="M1653" s="923">
        <f>M1654-M1652</f>
        <v>-358.77993780392245</v>
      </c>
      <c r="N1653" s="923">
        <f>N1654-N1652</f>
        <v>0</v>
      </c>
      <c r="O1653" s="923">
        <f>I1653+K1653+L1653+M1653+N1653</f>
        <v>2790171.9751324998</v>
      </c>
      <c r="R1653" s="938"/>
    </row>
    <row r="1654" spans="1:19">
      <c r="A1654" s="361">
        <f>A1653+1</f>
        <v>21</v>
      </c>
      <c r="B1654" s="365">
        <v>383</v>
      </c>
      <c r="C1654" s="358" t="s">
        <v>3082</v>
      </c>
      <c r="D1654" s="369">
        <f>G1608</f>
        <v>8072423.3273671828</v>
      </c>
      <c r="E1654" s="369">
        <v>45659.21</v>
      </c>
      <c r="F1654" s="369">
        <v>-420.40309771739373</v>
      </c>
      <c r="G1654" s="369">
        <f>SUM(G1652:G1653)</f>
        <v>8117662.1342694648</v>
      </c>
      <c r="H1654" s="369"/>
      <c r="I1654" s="369">
        <f>O1608</f>
        <v>2769352.6288017179</v>
      </c>
      <c r="J1654" s="1251">
        <f>+J1632</f>
        <v>2.2200000000000001E-2</v>
      </c>
      <c r="K1654" s="369">
        <f>ROUND((D1654+G1654)/2*J1654/12,0)</f>
        <v>14976</v>
      </c>
      <c r="L1654" s="369">
        <f>SUM(L1652:L1653)</f>
        <v>0</v>
      </c>
      <c r="M1654" s="369">
        <f>F1654</f>
        <v>-420.40309771739373</v>
      </c>
      <c r="N1654" s="369">
        <v>0</v>
      </c>
      <c r="O1654" s="369">
        <f>SUM(O1652:O1653)</f>
        <v>2783908.2257040008</v>
      </c>
      <c r="R1654" s="938"/>
      <c r="S1654" s="385"/>
    </row>
  </sheetData>
  <mergeCells count="216">
    <mergeCell ref="A1611:O1611"/>
    <mergeCell ref="A1612:O1612"/>
    <mergeCell ref="A1613:O1613"/>
    <mergeCell ref="A1614:O1614"/>
    <mergeCell ref="D1620:G1620"/>
    <mergeCell ref="I1620:O1620"/>
    <mergeCell ref="A1565:O1565"/>
    <mergeCell ref="A1566:O1566"/>
    <mergeCell ref="A1567:O1567"/>
    <mergeCell ref="A1568:O1568"/>
    <mergeCell ref="D1574:G1574"/>
    <mergeCell ref="I1574:O1574"/>
    <mergeCell ref="A1519:O1519"/>
    <mergeCell ref="A1520:O1520"/>
    <mergeCell ref="A1521:O1521"/>
    <mergeCell ref="A1522:O1522"/>
    <mergeCell ref="D1528:G1528"/>
    <mergeCell ref="I1528:O1528"/>
    <mergeCell ref="A1473:O1473"/>
    <mergeCell ref="A1474:O1474"/>
    <mergeCell ref="A1475:O1475"/>
    <mergeCell ref="A1476:O1476"/>
    <mergeCell ref="D1482:G1482"/>
    <mergeCell ref="I1482:O1482"/>
    <mergeCell ref="A1427:O1427"/>
    <mergeCell ref="A1428:O1428"/>
    <mergeCell ref="A1429:O1429"/>
    <mergeCell ref="A1430:O1430"/>
    <mergeCell ref="D1436:G1436"/>
    <mergeCell ref="I1436:O1436"/>
    <mergeCell ref="A1381:O1381"/>
    <mergeCell ref="A1382:O1382"/>
    <mergeCell ref="A1383:O1383"/>
    <mergeCell ref="A1384:O1384"/>
    <mergeCell ref="D1390:G1390"/>
    <mergeCell ref="I1390:O1390"/>
    <mergeCell ref="A1335:O1335"/>
    <mergeCell ref="A1336:O1336"/>
    <mergeCell ref="A1337:O1337"/>
    <mergeCell ref="A1338:O1338"/>
    <mergeCell ref="D1344:G1344"/>
    <mergeCell ref="I1344:O1344"/>
    <mergeCell ref="A1289:O1289"/>
    <mergeCell ref="A1290:O1290"/>
    <mergeCell ref="A1291:O1291"/>
    <mergeCell ref="A1292:O1292"/>
    <mergeCell ref="D1298:G1298"/>
    <mergeCell ref="I1298:O1298"/>
    <mergeCell ref="A1243:O1243"/>
    <mergeCell ref="A1244:O1244"/>
    <mergeCell ref="A1245:O1245"/>
    <mergeCell ref="A1246:O1246"/>
    <mergeCell ref="D1252:G1252"/>
    <mergeCell ref="I1252:O1252"/>
    <mergeCell ref="A1197:O1197"/>
    <mergeCell ref="A1198:O1198"/>
    <mergeCell ref="A1199:O1199"/>
    <mergeCell ref="A1200:O1200"/>
    <mergeCell ref="D1206:G1206"/>
    <mergeCell ref="I1206:O1206"/>
    <mergeCell ref="A1151:O1151"/>
    <mergeCell ref="A1152:O1152"/>
    <mergeCell ref="A1153:O1153"/>
    <mergeCell ref="A1154:O1154"/>
    <mergeCell ref="D1160:G1160"/>
    <mergeCell ref="I1160:O1160"/>
    <mergeCell ref="A1105:O1105"/>
    <mergeCell ref="A1106:O1106"/>
    <mergeCell ref="A1107:O1107"/>
    <mergeCell ref="A1108:O1108"/>
    <mergeCell ref="D1114:G1114"/>
    <mergeCell ref="I1114:O1114"/>
    <mergeCell ref="A1059:O1059"/>
    <mergeCell ref="A1060:O1060"/>
    <mergeCell ref="A1061:O1061"/>
    <mergeCell ref="A1062:O1062"/>
    <mergeCell ref="D1068:G1068"/>
    <mergeCell ref="I1068:O1068"/>
    <mergeCell ref="A1013:O1013"/>
    <mergeCell ref="A1014:O1014"/>
    <mergeCell ref="A1015:O1015"/>
    <mergeCell ref="A1016:O1016"/>
    <mergeCell ref="D1022:G1022"/>
    <mergeCell ref="I1022:O1022"/>
    <mergeCell ref="A967:O967"/>
    <mergeCell ref="A968:O968"/>
    <mergeCell ref="A969:O969"/>
    <mergeCell ref="A970:O970"/>
    <mergeCell ref="D976:G976"/>
    <mergeCell ref="I976:O976"/>
    <mergeCell ref="A921:O921"/>
    <mergeCell ref="A922:O922"/>
    <mergeCell ref="A923:O923"/>
    <mergeCell ref="A924:O924"/>
    <mergeCell ref="D930:G930"/>
    <mergeCell ref="I930:O930"/>
    <mergeCell ref="A875:O875"/>
    <mergeCell ref="A876:O876"/>
    <mergeCell ref="A877:O877"/>
    <mergeCell ref="A878:O878"/>
    <mergeCell ref="D884:G884"/>
    <mergeCell ref="I884:O884"/>
    <mergeCell ref="A829:O829"/>
    <mergeCell ref="A830:O830"/>
    <mergeCell ref="A831:O831"/>
    <mergeCell ref="A832:O832"/>
    <mergeCell ref="D838:G838"/>
    <mergeCell ref="I838:O838"/>
    <mergeCell ref="A783:O783"/>
    <mergeCell ref="A784:O784"/>
    <mergeCell ref="A785:O785"/>
    <mergeCell ref="A786:O786"/>
    <mergeCell ref="D792:G792"/>
    <mergeCell ref="I792:O792"/>
    <mergeCell ref="A737:O737"/>
    <mergeCell ref="A738:O738"/>
    <mergeCell ref="A739:O739"/>
    <mergeCell ref="A740:O740"/>
    <mergeCell ref="D746:G746"/>
    <mergeCell ref="I746:O746"/>
    <mergeCell ref="A691:O691"/>
    <mergeCell ref="A692:O692"/>
    <mergeCell ref="A693:O693"/>
    <mergeCell ref="A694:O694"/>
    <mergeCell ref="D700:G700"/>
    <mergeCell ref="I700:O700"/>
    <mergeCell ref="A645:O645"/>
    <mergeCell ref="A646:O646"/>
    <mergeCell ref="A647:O647"/>
    <mergeCell ref="A648:O648"/>
    <mergeCell ref="D654:G654"/>
    <mergeCell ref="I654:O654"/>
    <mergeCell ref="A599:O599"/>
    <mergeCell ref="A600:O600"/>
    <mergeCell ref="A601:O601"/>
    <mergeCell ref="A602:O602"/>
    <mergeCell ref="D608:G608"/>
    <mergeCell ref="I608:O608"/>
    <mergeCell ref="A553:O553"/>
    <mergeCell ref="A554:O554"/>
    <mergeCell ref="A555:O555"/>
    <mergeCell ref="A556:O556"/>
    <mergeCell ref="D562:G562"/>
    <mergeCell ref="I562:O562"/>
    <mergeCell ref="A507:O507"/>
    <mergeCell ref="A508:O508"/>
    <mergeCell ref="A509:O509"/>
    <mergeCell ref="A510:O510"/>
    <mergeCell ref="D516:G516"/>
    <mergeCell ref="I516:O516"/>
    <mergeCell ref="A461:O461"/>
    <mergeCell ref="A462:O462"/>
    <mergeCell ref="A463:O463"/>
    <mergeCell ref="A464:O464"/>
    <mergeCell ref="D470:G470"/>
    <mergeCell ref="I470:O470"/>
    <mergeCell ref="A415:O415"/>
    <mergeCell ref="A416:O416"/>
    <mergeCell ref="A417:O417"/>
    <mergeCell ref="A418:O418"/>
    <mergeCell ref="D424:G424"/>
    <mergeCell ref="I424:O424"/>
    <mergeCell ref="A369:O369"/>
    <mergeCell ref="A370:O370"/>
    <mergeCell ref="A371:O371"/>
    <mergeCell ref="A372:O372"/>
    <mergeCell ref="D378:G378"/>
    <mergeCell ref="I378:O378"/>
    <mergeCell ref="A323:O323"/>
    <mergeCell ref="A324:O324"/>
    <mergeCell ref="A325:O325"/>
    <mergeCell ref="A326:O326"/>
    <mergeCell ref="D332:G332"/>
    <mergeCell ref="I332:O332"/>
    <mergeCell ref="A277:O277"/>
    <mergeCell ref="A278:O278"/>
    <mergeCell ref="A279:O279"/>
    <mergeCell ref="A280:O280"/>
    <mergeCell ref="D286:G286"/>
    <mergeCell ref="I286:O286"/>
    <mergeCell ref="A231:O231"/>
    <mergeCell ref="A232:O232"/>
    <mergeCell ref="A233:O233"/>
    <mergeCell ref="A234:O234"/>
    <mergeCell ref="D240:G240"/>
    <mergeCell ref="I240:O240"/>
    <mergeCell ref="A185:O185"/>
    <mergeCell ref="A186:O186"/>
    <mergeCell ref="A187:O187"/>
    <mergeCell ref="A188:O188"/>
    <mergeCell ref="D194:G194"/>
    <mergeCell ref="I194:O194"/>
    <mergeCell ref="A139:O139"/>
    <mergeCell ref="A140:O140"/>
    <mergeCell ref="A141:O141"/>
    <mergeCell ref="A142:O142"/>
    <mergeCell ref="D148:G148"/>
    <mergeCell ref="I148:O148"/>
    <mergeCell ref="A93:O93"/>
    <mergeCell ref="A94:O94"/>
    <mergeCell ref="A95:O95"/>
    <mergeCell ref="A96:O96"/>
    <mergeCell ref="D102:G102"/>
    <mergeCell ref="I102:O102"/>
    <mergeCell ref="A47:O47"/>
    <mergeCell ref="A48:O48"/>
    <mergeCell ref="A49:O49"/>
    <mergeCell ref="A50:O50"/>
    <mergeCell ref="D56:G56"/>
    <mergeCell ref="I56:O56"/>
    <mergeCell ref="A1:O1"/>
    <mergeCell ref="A2:O2"/>
    <mergeCell ref="A3:O3"/>
    <mergeCell ref="A4:O4"/>
    <mergeCell ref="D10:G10"/>
    <mergeCell ref="I10:O10"/>
  </mergeCells>
  <printOptions horizontalCentered="1"/>
  <pageMargins left="0.5" right="0.5" top="0.75" bottom="0.5" header="0.3" footer="0.3"/>
  <pageSetup scale="55" fitToHeight="36" orientation="landscape" r:id="rId1"/>
  <rowBreaks count="35" manualBreakCount="35">
    <brk id="46" max="14" man="1"/>
    <brk id="92" max="14" man="1"/>
    <brk id="138" max="14" man="1"/>
    <brk id="184" max="14" man="1"/>
    <brk id="230" max="14" man="1"/>
    <brk id="276" max="14" man="1"/>
    <brk id="322" max="14" man="1"/>
    <brk id="368" max="14" man="1"/>
    <brk id="414" max="14" man="1"/>
    <brk id="460" max="14" man="1"/>
    <brk id="506" max="14" man="1"/>
    <brk id="552" max="14" man="1"/>
    <brk id="598" max="14" man="1"/>
    <brk id="644" max="14" man="1"/>
    <brk id="690" max="14" man="1"/>
    <brk id="736" max="14" man="1"/>
    <brk id="782" max="14" man="1"/>
    <brk id="828" max="14" man="1"/>
    <brk id="874" max="14" man="1"/>
    <brk id="920" max="14" man="1"/>
    <brk id="966" max="14" man="1"/>
    <brk id="1012" max="14" man="1"/>
    <brk id="1058" max="14" man="1"/>
    <brk id="1104" max="14" man="1"/>
    <brk id="1150" max="14" man="1"/>
    <brk id="1196" max="14" man="1"/>
    <brk id="1241" max="14" man="1"/>
    <brk id="1288" max="14" man="1"/>
    <brk id="1334" max="14" man="1"/>
    <brk id="1380" max="14" man="1"/>
    <brk id="1426" max="14" man="1"/>
    <brk id="1472" max="14" man="1"/>
    <brk id="1518" max="14" man="1"/>
    <brk id="1564" max="14" man="1"/>
    <brk id="1610"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57"/>
  <sheetViews>
    <sheetView topLeftCell="A4" zoomScaleNormal="100" zoomScaleSheetLayoutView="100" workbookViewId="0">
      <selection activeCell="E16" sqref="E16"/>
    </sheetView>
  </sheetViews>
  <sheetFormatPr defaultColWidth="9.33203125" defaultRowHeight="12.75"/>
  <cols>
    <col min="1" max="1" width="9" style="950" bestFit="1" customWidth="1"/>
    <col min="2" max="2" width="9" style="950" customWidth="1"/>
    <col min="3" max="3" width="36.6640625" style="949" bestFit="1" customWidth="1"/>
    <col min="4" max="4" width="18.1640625" style="950" bestFit="1" customWidth="1"/>
    <col min="5" max="7" width="13.6640625" style="949" bestFit="1" customWidth="1"/>
    <col min="8" max="8" width="15.6640625" style="949" bestFit="1" customWidth="1"/>
    <col min="9" max="9" width="13.6640625" style="949" bestFit="1" customWidth="1"/>
    <col min="10" max="10" width="15.6640625" style="949" bestFit="1" customWidth="1"/>
    <col min="11" max="11" width="14" style="949" bestFit="1" customWidth="1"/>
    <col min="12" max="12" width="13.6640625" style="949" bestFit="1" customWidth="1"/>
    <col min="13" max="13" width="15.33203125" style="949" bestFit="1" customWidth="1"/>
    <col min="14" max="14" width="13.6640625" style="949" bestFit="1" customWidth="1"/>
    <col min="15" max="15" width="14.83203125" style="949" customWidth="1"/>
    <col min="16" max="16" width="13.6640625" style="949" bestFit="1" customWidth="1"/>
    <col min="17" max="17" width="14.6640625" style="949" customWidth="1"/>
    <col min="18" max="16384" width="9.33203125" style="949"/>
  </cols>
  <sheetData>
    <row r="1" spans="1:17" s="291" customFormat="1">
      <c r="A1" s="1308" t="str">
        <f>'General Headers Index'!B4</f>
        <v>COLUMBIA GAS OF KENTUCKY, INC.</v>
      </c>
      <c r="B1" s="1308"/>
      <c r="C1" s="1308"/>
      <c r="D1" s="1308"/>
      <c r="E1" s="1308"/>
      <c r="F1" s="1308"/>
      <c r="G1" s="1308"/>
      <c r="H1" s="1308"/>
      <c r="I1" s="1308"/>
      <c r="J1" s="1308"/>
      <c r="K1" s="1308"/>
      <c r="L1" s="1308"/>
      <c r="M1" s="1308"/>
      <c r="N1" s="1308"/>
      <c r="O1" s="1308"/>
      <c r="P1" s="1308"/>
      <c r="Q1" s="1308"/>
    </row>
    <row r="2" spans="1:17" s="291" customFormat="1">
      <c r="A2" s="1308" t="str">
        <f>'General Headers Index'!B6</f>
        <v>CASE NO. 2024 - 00092</v>
      </c>
      <c r="B2" s="1308"/>
      <c r="C2" s="1308"/>
      <c r="D2" s="1308"/>
      <c r="E2" s="1308"/>
      <c r="F2" s="1308"/>
      <c r="G2" s="1308"/>
      <c r="H2" s="1308"/>
      <c r="I2" s="1308"/>
      <c r="J2" s="1308"/>
      <c r="K2" s="1308"/>
      <c r="L2" s="1308"/>
      <c r="M2" s="1308"/>
      <c r="N2" s="1308"/>
      <c r="O2" s="1308"/>
      <c r="P2" s="1308"/>
      <c r="Q2" s="1308"/>
    </row>
    <row r="3" spans="1:17" s="291" customFormat="1">
      <c r="A3" s="1308" t="s">
        <v>2259</v>
      </c>
      <c r="B3" s="1308"/>
      <c r="C3" s="1308"/>
      <c r="D3" s="1308"/>
      <c r="E3" s="1308"/>
      <c r="F3" s="1308"/>
      <c r="G3" s="1308"/>
      <c r="H3" s="1308"/>
      <c r="I3" s="1308"/>
      <c r="J3" s="1308"/>
      <c r="K3" s="1308"/>
      <c r="L3" s="1308"/>
      <c r="M3" s="1308"/>
      <c r="N3" s="1308"/>
      <c r="O3" s="1308"/>
      <c r="P3" s="1308"/>
      <c r="Q3" s="1308"/>
    </row>
    <row r="4" spans="1:17" s="291" customFormat="1">
      <c r="A4" s="1309" t="str">
        <f>'General Headers Index'!B24</f>
        <v>FROM JANUARY 01, 2024 THROUGH DECEMBER 31, 2025</v>
      </c>
      <c r="B4" s="1309"/>
      <c r="C4" s="1309"/>
      <c r="D4" s="1309"/>
      <c r="E4" s="1309"/>
      <c r="F4" s="1309"/>
      <c r="G4" s="1309"/>
      <c r="H4" s="1309"/>
      <c r="I4" s="1309"/>
      <c r="J4" s="1309"/>
      <c r="K4" s="1309"/>
      <c r="L4" s="1309"/>
      <c r="M4" s="1309"/>
      <c r="N4" s="1309"/>
      <c r="O4" s="1309"/>
      <c r="P4" s="1309"/>
      <c r="Q4" s="1309"/>
    </row>
    <row r="5" spans="1:17" s="291" customFormat="1">
      <c r="C5" s="293"/>
      <c r="P5" s="312"/>
    </row>
    <row r="6" spans="1:17" s="291" customFormat="1">
      <c r="A6" s="297" t="str">
        <f>'General Headers Index'!B34</f>
        <v xml:space="preserve">DATA: _X_ BASE PERIOD _X_ FORECASTED PERIOD     </v>
      </c>
      <c r="B6" s="297"/>
      <c r="C6" s="293"/>
      <c r="P6" s="312"/>
      <c r="Q6" s="312" t="s">
        <v>2465</v>
      </c>
    </row>
    <row r="7" spans="1:17" s="291" customFormat="1">
      <c r="A7" s="297" t="str">
        <f>'General Headers Index'!B37</f>
        <v>TYPE OF FILING:___X___ORIGINAL______UPDATED</v>
      </c>
      <c r="B7" s="297"/>
      <c r="C7" s="293"/>
      <c r="P7" s="312"/>
      <c r="Q7" s="312" t="s">
        <v>722</v>
      </c>
    </row>
    <row r="8" spans="1:17" s="291" customFormat="1">
      <c r="A8" s="297" t="s">
        <v>2150</v>
      </c>
      <c r="B8" s="297"/>
      <c r="C8" s="293"/>
      <c r="Q8" s="312" t="str">
        <f>"WITNESS: "&amp;'General Headers Index'!B42</f>
        <v>WITNESS: GORE</v>
      </c>
    </row>
    <row r="9" spans="1:17" s="948" customFormat="1">
      <c r="A9" s="941"/>
      <c r="B9" s="941"/>
      <c r="C9" s="942"/>
      <c r="D9" s="943"/>
      <c r="E9" s="942"/>
      <c r="F9" s="942"/>
      <c r="G9" s="942"/>
      <c r="H9" s="944"/>
      <c r="I9" s="942"/>
      <c r="J9" s="942"/>
      <c r="K9" s="945"/>
      <c r="L9" s="942"/>
      <c r="M9" s="942"/>
      <c r="N9" s="945"/>
      <c r="O9" s="946"/>
      <c r="P9" s="946"/>
      <c r="Q9" s="947"/>
    </row>
    <row r="10" spans="1:17">
      <c r="A10" s="361" t="s">
        <v>1770</v>
      </c>
      <c r="B10" s="361" t="s">
        <v>368</v>
      </c>
      <c r="C10" s="389"/>
      <c r="D10" s="361" t="s">
        <v>1759</v>
      </c>
      <c r="E10" s="390"/>
      <c r="F10" s="390"/>
      <c r="G10" s="390"/>
      <c r="H10" s="390"/>
      <c r="I10" s="390"/>
      <c r="J10" s="390"/>
      <c r="K10" s="390"/>
      <c r="L10" s="390"/>
      <c r="M10" s="390"/>
      <c r="N10" s="390"/>
      <c r="O10" s="390"/>
      <c r="P10" s="390"/>
      <c r="Q10" s="390"/>
    </row>
    <row r="11" spans="1:17">
      <c r="A11" s="921" t="s">
        <v>316</v>
      </c>
      <c r="B11" s="921" t="s">
        <v>316</v>
      </c>
      <c r="C11" s="921" t="s">
        <v>451</v>
      </c>
      <c r="D11" s="921" t="s">
        <v>2271</v>
      </c>
      <c r="E11" s="921" t="s">
        <v>2260</v>
      </c>
      <c r="F11" s="921" t="s">
        <v>2261</v>
      </c>
      <c r="G11" s="921" t="s">
        <v>2262</v>
      </c>
      <c r="H11" s="921" t="s">
        <v>2263</v>
      </c>
      <c r="I11" s="921" t="s">
        <v>894</v>
      </c>
      <c r="J11" s="921" t="s">
        <v>2264</v>
      </c>
      <c r="K11" s="921" t="s">
        <v>2265</v>
      </c>
      <c r="L11" s="921" t="s">
        <v>2266</v>
      </c>
      <c r="M11" s="921" t="s">
        <v>2267</v>
      </c>
      <c r="N11" s="921" t="s">
        <v>2268</v>
      </c>
      <c r="O11" s="921" t="s">
        <v>2269</v>
      </c>
      <c r="P11" s="921" t="s">
        <v>2270</v>
      </c>
      <c r="Q11" s="921" t="s">
        <v>349</v>
      </c>
    </row>
    <row r="12" spans="1:17">
      <c r="D12" s="391"/>
      <c r="E12" s="835" t="s">
        <v>532</v>
      </c>
      <c r="F12" s="835">
        <f>E12-1</f>
        <v>-2</v>
      </c>
      <c r="G12" s="835">
        <f t="shared" ref="G12:Q12" si="0">F12-1</f>
        <v>-3</v>
      </c>
      <c r="H12" s="835">
        <f t="shared" si="0"/>
        <v>-4</v>
      </c>
      <c r="I12" s="835">
        <f t="shared" si="0"/>
        <v>-5</v>
      </c>
      <c r="J12" s="835">
        <f t="shared" si="0"/>
        <v>-6</v>
      </c>
      <c r="K12" s="835">
        <f t="shared" si="0"/>
        <v>-7</v>
      </c>
      <c r="L12" s="835">
        <f t="shared" si="0"/>
        <v>-8</v>
      </c>
      <c r="M12" s="835">
        <f t="shared" si="0"/>
        <v>-9</v>
      </c>
      <c r="N12" s="835">
        <f t="shared" si="0"/>
        <v>-10</v>
      </c>
      <c r="O12" s="835">
        <f t="shared" si="0"/>
        <v>-11</v>
      </c>
      <c r="P12" s="835">
        <f t="shared" si="0"/>
        <v>-12</v>
      </c>
      <c r="Q12" s="835">
        <f t="shared" si="0"/>
        <v>-13</v>
      </c>
    </row>
    <row r="13" spans="1:17">
      <c r="D13" s="391"/>
      <c r="E13" s="361" t="s">
        <v>320</v>
      </c>
      <c r="F13" s="361" t="s">
        <v>320</v>
      </c>
      <c r="G13" s="361" t="s">
        <v>320</v>
      </c>
      <c r="H13" s="361" t="s">
        <v>320</v>
      </c>
      <c r="I13" s="361" t="s">
        <v>320</v>
      </c>
      <c r="J13" s="361" t="s">
        <v>320</v>
      </c>
      <c r="K13" s="361" t="s">
        <v>320</v>
      </c>
      <c r="L13" s="361" t="s">
        <v>320</v>
      </c>
      <c r="M13" s="361" t="s">
        <v>320</v>
      </c>
      <c r="N13" s="361" t="s">
        <v>320</v>
      </c>
      <c r="O13" s="361" t="s">
        <v>320</v>
      </c>
      <c r="P13" s="361" t="s">
        <v>320</v>
      </c>
      <c r="Q13" s="361" t="s">
        <v>320</v>
      </c>
    </row>
    <row r="14" spans="1:17">
      <c r="A14" s="361">
        <v>1</v>
      </c>
      <c r="C14" s="393" t="s">
        <v>2047</v>
      </c>
      <c r="D14" s="391"/>
      <c r="E14" s="392"/>
      <c r="F14" s="392"/>
      <c r="G14" s="392"/>
      <c r="H14" s="392"/>
      <c r="I14" s="392"/>
      <c r="J14" s="392"/>
      <c r="K14" s="392"/>
      <c r="L14" s="392"/>
      <c r="M14" s="392"/>
      <c r="N14" s="392"/>
      <c r="O14" s="392"/>
      <c r="P14" s="392"/>
      <c r="Q14" s="392"/>
    </row>
    <row r="15" spans="1:17">
      <c r="A15" s="361">
        <f>+A14+1</f>
        <v>2</v>
      </c>
      <c r="B15" s="365">
        <v>303.3</v>
      </c>
      <c r="C15" s="220" t="s">
        <v>2048</v>
      </c>
      <c r="D15" s="394">
        <v>180</v>
      </c>
      <c r="E15" s="395">
        <v>0</v>
      </c>
      <c r="F15" s="395">
        <v>0</v>
      </c>
      <c r="G15" s="395">
        <v>0</v>
      </c>
      <c r="H15" s="395">
        <v>0</v>
      </c>
      <c r="I15" s="395">
        <v>0</v>
      </c>
      <c r="J15" s="395">
        <v>0</v>
      </c>
      <c r="K15" s="395">
        <v>0</v>
      </c>
      <c r="L15" s="395">
        <v>0</v>
      </c>
      <c r="M15" s="395">
        <v>0</v>
      </c>
      <c r="N15" s="395">
        <v>0</v>
      </c>
      <c r="O15" s="395">
        <v>0</v>
      </c>
      <c r="P15" s="395">
        <v>0</v>
      </c>
      <c r="Q15" s="395">
        <f>SUM(E15:P15)</f>
        <v>0</v>
      </c>
    </row>
    <row r="16" spans="1:17">
      <c r="A16" s="361">
        <f>+A15+1</f>
        <v>3</v>
      </c>
      <c r="B16" s="365">
        <v>303.3</v>
      </c>
      <c r="C16" s="220" t="s">
        <v>2049</v>
      </c>
      <c r="D16" s="394">
        <v>60</v>
      </c>
      <c r="E16" s="951">
        <v>40225.480000000003</v>
      </c>
      <c r="F16" s="951">
        <v>42429.279999999999</v>
      </c>
      <c r="G16" s="951">
        <v>126243.23999999999</v>
      </c>
      <c r="H16" s="951">
        <v>184077</v>
      </c>
      <c r="I16" s="951">
        <v>79811</v>
      </c>
      <c r="J16" s="951">
        <v>574250</v>
      </c>
      <c r="K16" s="951">
        <v>1089068</v>
      </c>
      <c r="L16" s="951">
        <v>138184</v>
      </c>
      <c r="M16" s="951">
        <v>12791</v>
      </c>
      <c r="N16" s="951">
        <v>197898</v>
      </c>
      <c r="O16" s="951">
        <v>730728</v>
      </c>
      <c r="P16" s="951">
        <v>721090</v>
      </c>
      <c r="Q16" s="951">
        <f>SUM(E16:P16)</f>
        <v>3936795</v>
      </c>
    </row>
    <row r="17" spans="1:17">
      <c r="A17" s="361">
        <f>+A16+1</f>
        <v>4</v>
      </c>
      <c r="B17" s="365">
        <v>303.3</v>
      </c>
      <c r="C17" s="220" t="s">
        <v>2050</v>
      </c>
      <c r="D17" s="365"/>
      <c r="E17" s="396">
        <f>SUM(E15:E16)</f>
        <v>40225.480000000003</v>
      </c>
      <c r="F17" s="396">
        <f t="shared" ref="F17:Q17" si="1">SUM(F15:F16)</f>
        <v>42429.279999999999</v>
      </c>
      <c r="G17" s="396">
        <f t="shared" si="1"/>
        <v>126243.23999999999</v>
      </c>
      <c r="H17" s="396">
        <f t="shared" si="1"/>
        <v>184077</v>
      </c>
      <c r="I17" s="396">
        <f t="shared" si="1"/>
        <v>79811</v>
      </c>
      <c r="J17" s="396">
        <f t="shared" si="1"/>
        <v>574250</v>
      </c>
      <c r="K17" s="396">
        <f t="shared" si="1"/>
        <v>1089068</v>
      </c>
      <c r="L17" s="396">
        <f t="shared" si="1"/>
        <v>138184</v>
      </c>
      <c r="M17" s="396">
        <f t="shared" si="1"/>
        <v>12791</v>
      </c>
      <c r="N17" s="396">
        <f t="shared" si="1"/>
        <v>197898</v>
      </c>
      <c r="O17" s="396">
        <f t="shared" si="1"/>
        <v>730728</v>
      </c>
      <c r="P17" s="396">
        <f t="shared" si="1"/>
        <v>721090</v>
      </c>
      <c r="Q17" s="396">
        <f t="shared" si="1"/>
        <v>3936795</v>
      </c>
    </row>
    <row r="18" spans="1:17">
      <c r="A18" s="361"/>
      <c r="B18" s="365"/>
      <c r="C18" s="220"/>
      <c r="D18" s="365"/>
      <c r="E18" s="395"/>
      <c r="F18" s="395"/>
      <c r="G18" s="395"/>
      <c r="H18" s="395"/>
      <c r="I18" s="395"/>
      <c r="J18" s="395"/>
      <c r="K18" s="395"/>
      <c r="L18" s="395"/>
      <c r="M18" s="395"/>
      <c r="N18" s="395"/>
      <c r="O18" s="395"/>
      <c r="P18" s="395"/>
      <c r="Q18" s="395"/>
    </row>
    <row r="19" spans="1:17">
      <c r="A19" s="361">
        <f>+A17+1</f>
        <v>5</v>
      </c>
      <c r="B19" s="365">
        <v>303.99</v>
      </c>
      <c r="C19" s="220" t="s">
        <v>2048</v>
      </c>
      <c r="D19" s="394" t="s">
        <v>2279</v>
      </c>
      <c r="E19" s="395">
        <v>0</v>
      </c>
      <c r="F19" s="395">
        <v>0</v>
      </c>
      <c r="G19" s="395">
        <v>0</v>
      </c>
      <c r="H19" s="395">
        <v>0</v>
      </c>
      <c r="I19" s="395">
        <v>0</v>
      </c>
      <c r="J19" s="395">
        <v>0</v>
      </c>
      <c r="K19" s="395">
        <v>0</v>
      </c>
      <c r="L19" s="395">
        <v>0</v>
      </c>
      <c r="M19" s="395">
        <v>0</v>
      </c>
      <c r="N19" s="395">
        <v>0</v>
      </c>
      <c r="O19" s="395">
        <v>0</v>
      </c>
      <c r="P19" s="395">
        <v>0</v>
      </c>
      <c r="Q19" s="395">
        <f>SUM(E19:P19)</f>
        <v>0</v>
      </c>
    </row>
    <row r="20" spans="1:17">
      <c r="A20" s="361">
        <f>+A19+1</f>
        <v>6</v>
      </c>
      <c r="B20" s="365">
        <v>303.99</v>
      </c>
      <c r="C20" s="220" t="s">
        <v>2049</v>
      </c>
      <c r="D20" s="394">
        <v>60</v>
      </c>
      <c r="E20" s="951">
        <v>30384.3</v>
      </c>
      <c r="F20" s="951">
        <v>3396.66</v>
      </c>
      <c r="G20" s="951">
        <v>10618.257945117266</v>
      </c>
      <c r="H20" s="951">
        <v>4906.1673746638562</v>
      </c>
      <c r="I20" s="951">
        <v>6258.0188111107018</v>
      </c>
      <c r="J20" s="951">
        <v>51358.467174310499</v>
      </c>
      <c r="K20" s="951">
        <v>5415.6353020317774</v>
      </c>
      <c r="L20" s="951">
        <v>10835.120203137652</v>
      </c>
      <c r="M20" s="951">
        <v>1002.965519295847</v>
      </c>
      <c r="N20" s="951">
        <v>15517.312203905918</v>
      </c>
      <c r="O20" s="951">
        <v>57296.850432090447</v>
      </c>
      <c r="P20" s="951">
        <v>19175.777584525305</v>
      </c>
      <c r="Q20" s="951">
        <f>SUM(E20:P20)</f>
        <v>216165.53255018924</v>
      </c>
    </row>
    <row r="21" spans="1:17">
      <c r="A21" s="361">
        <f>+A20+1</f>
        <v>7</v>
      </c>
      <c r="B21" s="365">
        <v>303.99</v>
      </c>
      <c r="C21" s="220" t="s">
        <v>2051</v>
      </c>
      <c r="D21" s="394"/>
      <c r="E21" s="396">
        <f>SUM(E19:E20)</f>
        <v>30384.3</v>
      </c>
      <c r="F21" s="396">
        <f t="shared" ref="F21:Q21" si="2">SUM(F19:F20)</f>
        <v>3396.66</v>
      </c>
      <c r="G21" s="396">
        <f t="shared" si="2"/>
        <v>10618.257945117266</v>
      </c>
      <c r="H21" s="396">
        <f t="shared" si="2"/>
        <v>4906.1673746638562</v>
      </c>
      <c r="I21" s="396">
        <f t="shared" si="2"/>
        <v>6258.0188111107018</v>
      </c>
      <c r="J21" s="396">
        <f t="shared" si="2"/>
        <v>51358.467174310499</v>
      </c>
      <c r="K21" s="396">
        <f t="shared" si="2"/>
        <v>5415.6353020317774</v>
      </c>
      <c r="L21" s="396">
        <f t="shared" si="2"/>
        <v>10835.120203137652</v>
      </c>
      <c r="M21" s="396">
        <f t="shared" si="2"/>
        <v>1002.965519295847</v>
      </c>
      <c r="N21" s="396">
        <f t="shared" si="2"/>
        <v>15517.312203905918</v>
      </c>
      <c r="O21" s="396">
        <f t="shared" si="2"/>
        <v>57296.850432090447</v>
      </c>
      <c r="P21" s="396">
        <f t="shared" si="2"/>
        <v>19175.777584525305</v>
      </c>
      <c r="Q21" s="396">
        <f t="shared" si="2"/>
        <v>216165.53255018924</v>
      </c>
    </row>
    <row r="22" spans="1:17">
      <c r="A22" s="361"/>
      <c r="B22" s="365"/>
      <c r="C22" s="220"/>
      <c r="D22" s="394"/>
      <c r="E22" s="395"/>
      <c r="F22" s="395"/>
      <c r="G22" s="395"/>
      <c r="H22" s="395"/>
      <c r="I22" s="395"/>
      <c r="J22" s="395"/>
      <c r="K22" s="395"/>
      <c r="L22" s="395"/>
      <c r="M22" s="395"/>
      <c r="N22" s="395"/>
      <c r="O22" s="395"/>
      <c r="P22" s="395"/>
      <c r="Q22" s="395"/>
    </row>
    <row r="23" spans="1:17">
      <c r="A23" s="361">
        <f>+A21+1</f>
        <v>8</v>
      </c>
      <c r="B23" s="365"/>
      <c r="C23" s="393" t="s">
        <v>2052</v>
      </c>
      <c r="D23" s="394"/>
      <c r="E23" s="395"/>
      <c r="F23" s="395"/>
      <c r="G23" s="395"/>
      <c r="H23" s="395"/>
      <c r="I23" s="395"/>
      <c r="J23" s="395"/>
      <c r="K23" s="395"/>
      <c r="L23" s="395"/>
      <c r="M23" s="395"/>
      <c r="N23" s="395"/>
      <c r="O23" s="395"/>
      <c r="P23" s="395"/>
      <c r="Q23" s="395"/>
    </row>
    <row r="24" spans="1:17">
      <c r="A24" s="361">
        <f>+A23+1</f>
        <v>9</v>
      </c>
      <c r="B24" s="365">
        <v>303.3</v>
      </c>
      <c r="C24" s="220" t="s">
        <v>2048</v>
      </c>
      <c r="D24" s="394">
        <v>180</v>
      </c>
      <c r="E24" s="395">
        <v>99764.670704999982</v>
      </c>
      <c r="F24" s="395">
        <v>0</v>
      </c>
      <c r="G24" s="395">
        <v>0</v>
      </c>
      <c r="H24" s="395">
        <v>2227920.4219440091</v>
      </c>
      <c r="I24" s="395">
        <v>47451.18275</v>
      </c>
      <c r="J24" s="395">
        <v>27436.61565</v>
      </c>
      <c r="K24" s="395">
        <v>23263.340899999999</v>
      </c>
      <c r="L24" s="395">
        <v>23263.340899999999</v>
      </c>
      <c r="M24" s="395">
        <v>23263.340899999999</v>
      </c>
      <c r="N24" s="395">
        <v>23263.340899999999</v>
      </c>
      <c r="O24" s="395">
        <v>0</v>
      </c>
      <c r="P24" s="395">
        <v>0</v>
      </c>
      <c r="Q24" s="395">
        <f>SUM(E24:P24)</f>
        <v>2495626.25464901</v>
      </c>
    </row>
    <row r="25" spans="1:17">
      <c r="A25" s="361">
        <f>+A24+1</f>
        <v>10</v>
      </c>
      <c r="B25" s="365">
        <v>303.3</v>
      </c>
      <c r="C25" s="220" t="s">
        <v>2049</v>
      </c>
      <c r="D25" s="394">
        <v>60</v>
      </c>
      <c r="E25" s="951">
        <v>202087</v>
      </c>
      <c r="F25" s="951">
        <v>99476</v>
      </c>
      <c r="G25" s="951">
        <v>138481</v>
      </c>
      <c r="H25" s="951">
        <v>48625</v>
      </c>
      <c r="I25" s="951">
        <v>62024</v>
      </c>
      <c r="J25" s="951">
        <v>1142145</v>
      </c>
      <c r="K25" s="951">
        <v>284874</v>
      </c>
      <c r="L25" s="951">
        <v>107388</v>
      </c>
      <c r="M25" s="951">
        <v>9940</v>
      </c>
      <c r="N25" s="951">
        <v>153793</v>
      </c>
      <c r="O25" s="951">
        <v>567873</v>
      </c>
      <c r="P25" s="951">
        <v>190053</v>
      </c>
      <c r="Q25" s="951">
        <f>SUM(E25:P25)</f>
        <v>3006759</v>
      </c>
    </row>
    <row r="26" spans="1:17">
      <c r="A26" s="361">
        <f>+A25+1</f>
        <v>11</v>
      </c>
      <c r="B26" s="365"/>
      <c r="C26" s="220" t="s">
        <v>2050</v>
      </c>
      <c r="D26" s="394"/>
      <c r="E26" s="396">
        <f>SUM(E24:E25)</f>
        <v>301851.670705</v>
      </c>
      <c r="F26" s="396">
        <f t="shared" ref="F26:Q26" si="3">SUM(F24:F25)</f>
        <v>99476</v>
      </c>
      <c r="G26" s="396">
        <f t="shared" si="3"/>
        <v>138481</v>
      </c>
      <c r="H26" s="396">
        <f t="shared" si="3"/>
        <v>2276545.4219440091</v>
      </c>
      <c r="I26" s="396">
        <f t="shared" si="3"/>
        <v>109475.18275000001</v>
      </c>
      <c r="J26" s="396">
        <f t="shared" si="3"/>
        <v>1169581.6156500001</v>
      </c>
      <c r="K26" s="396">
        <f t="shared" si="3"/>
        <v>308137.34090000001</v>
      </c>
      <c r="L26" s="396">
        <f t="shared" si="3"/>
        <v>130651.3409</v>
      </c>
      <c r="M26" s="396">
        <f t="shared" si="3"/>
        <v>33203.340899999996</v>
      </c>
      <c r="N26" s="396">
        <f t="shared" si="3"/>
        <v>177056.34090000001</v>
      </c>
      <c r="O26" s="396">
        <f t="shared" si="3"/>
        <v>567873</v>
      </c>
      <c r="P26" s="396">
        <f t="shared" si="3"/>
        <v>190053</v>
      </c>
      <c r="Q26" s="396">
        <f t="shared" si="3"/>
        <v>5502385.2546490096</v>
      </c>
    </row>
    <row r="27" spans="1:17">
      <c r="A27" s="361"/>
      <c r="B27" s="365"/>
      <c r="C27" s="220"/>
      <c r="D27" s="394"/>
      <c r="E27" s="395"/>
      <c r="F27" s="395"/>
      <c r="G27" s="395"/>
      <c r="H27" s="395"/>
      <c r="I27" s="395"/>
      <c r="J27" s="395"/>
      <c r="K27" s="395"/>
      <c r="L27" s="395"/>
      <c r="M27" s="395"/>
      <c r="N27" s="395"/>
      <c r="O27" s="395"/>
      <c r="P27" s="395"/>
      <c r="Q27" s="395"/>
    </row>
    <row r="28" spans="1:17">
      <c r="A28" s="361">
        <f>+A26+1</f>
        <v>12</v>
      </c>
      <c r="B28" s="365">
        <v>303.99</v>
      </c>
      <c r="C28" s="220" t="s">
        <v>2048</v>
      </c>
      <c r="D28" s="394" t="s">
        <v>2279</v>
      </c>
      <c r="E28" s="395">
        <v>146817.58608445531</v>
      </c>
      <c r="F28" s="395">
        <v>0</v>
      </c>
      <c r="G28" s="395">
        <v>0</v>
      </c>
      <c r="H28" s="395">
        <v>2088787.3252869197</v>
      </c>
      <c r="I28" s="395">
        <v>102828.47482999999</v>
      </c>
      <c r="J28" s="395">
        <v>6561.6811300000008</v>
      </c>
      <c r="K28" s="395">
        <v>2087.2022299999999</v>
      </c>
      <c r="L28" s="395">
        <v>2136.0119899999995</v>
      </c>
      <c r="M28" s="395">
        <v>2066.1249000000003</v>
      </c>
      <c r="N28" s="395">
        <v>259116.42248000001</v>
      </c>
      <c r="O28" s="395"/>
      <c r="P28" s="395"/>
      <c r="Q28" s="395">
        <f>SUM(E28:P28)</f>
        <v>2610400.8289313754</v>
      </c>
    </row>
    <row r="29" spans="1:17">
      <c r="A29" s="361">
        <f>+A28+1</f>
        <v>13</v>
      </c>
      <c r="B29" s="365">
        <v>303.99</v>
      </c>
      <c r="C29" s="220" t="s">
        <v>2049</v>
      </c>
      <c r="D29" s="394">
        <v>60</v>
      </c>
      <c r="E29" s="951">
        <v>12751.613176418385</v>
      </c>
      <c r="F29" s="951">
        <v>6276.8592533725496</v>
      </c>
      <c r="G29" s="951">
        <v>8738.1004285808722</v>
      </c>
      <c r="H29" s="951">
        <v>3068.2399413513112</v>
      </c>
      <c r="I29" s="951">
        <v>3913.6665758968843</v>
      </c>
      <c r="J29" s="951">
        <v>11129.040406995369</v>
      </c>
      <c r="K29" s="951">
        <v>3386.8531732724555</v>
      </c>
      <c r="L29" s="951">
        <v>6776.1138252824539</v>
      </c>
      <c r="M29" s="951">
        <v>627.23886714372838</v>
      </c>
      <c r="N29" s="951">
        <v>9704.28308914029</v>
      </c>
      <c r="O29" s="951">
        <v>35832.549439146882</v>
      </c>
      <c r="P29" s="951">
        <v>11992.229819786944</v>
      </c>
      <c r="Q29" s="951">
        <f>SUM(E29:P29)</f>
        <v>114196.78799638813</v>
      </c>
    </row>
    <row r="30" spans="1:17">
      <c r="A30" s="361">
        <f>+A29+1</f>
        <v>14</v>
      </c>
      <c r="B30" s="365"/>
      <c r="C30" s="220" t="s">
        <v>2051</v>
      </c>
      <c r="D30" s="394"/>
      <c r="E30" s="396">
        <f>SUM(E28:E29)</f>
        <v>159569.19926087369</v>
      </c>
      <c r="F30" s="396">
        <f t="shared" ref="F30:Q30" si="4">SUM(F28:F29)</f>
        <v>6276.8592533725496</v>
      </c>
      <c r="G30" s="396">
        <f t="shared" si="4"/>
        <v>8738.1004285808722</v>
      </c>
      <c r="H30" s="396">
        <f t="shared" si="4"/>
        <v>2091855.5652282711</v>
      </c>
      <c r="I30" s="396">
        <f t="shared" si="4"/>
        <v>106742.14140589688</v>
      </c>
      <c r="J30" s="396">
        <f t="shared" si="4"/>
        <v>17690.72153699537</v>
      </c>
      <c r="K30" s="396">
        <f t="shared" si="4"/>
        <v>5474.0554032724558</v>
      </c>
      <c r="L30" s="396">
        <f t="shared" si="4"/>
        <v>8912.1258152824539</v>
      </c>
      <c r="M30" s="396">
        <f t="shared" si="4"/>
        <v>2693.3637671437286</v>
      </c>
      <c r="N30" s="396">
        <f t="shared" si="4"/>
        <v>268820.70556914032</v>
      </c>
      <c r="O30" s="396">
        <f t="shared" si="4"/>
        <v>35832.549439146882</v>
      </c>
      <c r="P30" s="396">
        <f t="shared" si="4"/>
        <v>11992.229819786944</v>
      </c>
      <c r="Q30" s="396">
        <f t="shared" si="4"/>
        <v>2724597.6169277634</v>
      </c>
    </row>
    <row r="31" spans="1:17">
      <c r="A31" s="361"/>
      <c r="B31" s="365"/>
      <c r="C31" s="220"/>
      <c r="D31" s="365"/>
      <c r="E31" s="395"/>
      <c r="F31" s="395"/>
      <c r="G31" s="395"/>
      <c r="H31" s="395"/>
      <c r="I31" s="395"/>
      <c r="J31" s="395"/>
      <c r="K31" s="395"/>
      <c r="L31" s="395"/>
      <c r="M31" s="395"/>
      <c r="N31" s="395"/>
      <c r="O31" s="395"/>
      <c r="P31" s="395"/>
      <c r="Q31" s="395"/>
    </row>
    <row r="32" spans="1:17">
      <c r="A32" s="361"/>
      <c r="B32" s="365"/>
      <c r="C32" s="220"/>
      <c r="D32" s="365"/>
      <c r="E32" s="397"/>
      <c r="F32" s="397"/>
      <c r="G32" s="397"/>
      <c r="H32" s="397"/>
      <c r="I32" s="397"/>
      <c r="J32" s="397"/>
      <c r="K32" s="397"/>
      <c r="L32" s="397"/>
      <c r="M32" s="397"/>
      <c r="N32" s="397"/>
      <c r="O32" s="397"/>
      <c r="P32" s="397"/>
      <c r="Q32" s="397"/>
    </row>
    <row r="33" spans="1:17">
      <c r="A33" s="361">
        <f>+A30+1</f>
        <v>15</v>
      </c>
      <c r="B33" s="365"/>
      <c r="C33" s="189" t="s">
        <v>2053</v>
      </c>
      <c r="D33" s="365"/>
      <c r="E33" s="395"/>
      <c r="F33" s="395"/>
      <c r="G33" s="395"/>
      <c r="H33" s="395"/>
      <c r="I33" s="395"/>
      <c r="J33" s="395"/>
      <c r="K33" s="395"/>
      <c r="L33" s="395"/>
      <c r="M33" s="395"/>
      <c r="N33" s="395"/>
      <c r="O33" s="395"/>
      <c r="P33" s="395"/>
      <c r="Q33" s="395"/>
    </row>
    <row r="34" spans="1:17">
      <c r="A34" s="361">
        <f>+A33+1</f>
        <v>16</v>
      </c>
      <c r="B34" s="365">
        <v>303</v>
      </c>
      <c r="C34" s="220" t="s">
        <v>2054</v>
      </c>
      <c r="D34" s="365"/>
      <c r="E34" s="395">
        <v>0</v>
      </c>
      <c r="F34" s="395"/>
      <c r="G34" s="395"/>
      <c r="H34" s="395"/>
      <c r="I34" s="395"/>
      <c r="J34" s="395"/>
      <c r="K34" s="395"/>
      <c r="L34" s="395"/>
      <c r="M34" s="395"/>
      <c r="N34" s="395"/>
      <c r="O34" s="395"/>
      <c r="P34" s="395"/>
      <c r="Q34" s="395"/>
    </row>
    <row r="35" spans="1:17">
      <c r="A35" s="361">
        <f>+A34+1</f>
        <v>17</v>
      </c>
      <c r="B35" s="365">
        <v>303.3</v>
      </c>
      <c r="C35" s="220" t="s">
        <v>2055</v>
      </c>
      <c r="D35" s="365"/>
      <c r="E35" s="395">
        <v>365404.52999999997</v>
      </c>
      <c r="F35" s="395">
        <v>17430.859999999997</v>
      </c>
      <c r="G35" s="395">
        <v>4260.66</v>
      </c>
      <c r="H35" s="395">
        <v>1759024.9</v>
      </c>
      <c r="I35" s="395">
        <v>29287.239999999998</v>
      </c>
      <c r="J35" s="395">
        <v>208391.25999999998</v>
      </c>
      <c r="K35" s="395">
        <v>384711.06</v>
      </c>
      <c r="L35" s="395">
        <v>42648.62</v>
      </c>
      <c r="M35" s="395">
        <v>11181.699999999999</v>
      </c>
      <c r="N35" s="395">
        <v>40480.840000000004</v>
      </c>
      <c r="O35" s="395">
        <v>328263.83999999997</v>
      </c>
      <c r="P35" s="395">
        <v>149532.32</v>
      </c>
      <c r="Q35" s="395">
        <f>SUM(E35:P35)</f>
        <v>3340617.8299999996</v>
      </c>
    </row>
    <row r="36" spans="1:17">
      <c r="A36" s="361">
        <f>+A35+1</f>
        <v>18</v>
      </c>
      <c r="B36" s="365">
        <v>303.99</v>
      </c>
      <c r="C36" s="220" t="s">
        <v>2056</v>
      </c>
      <c r="D36" s="365"/>
      <c r="E36" s="952">
        <v>30037.06</v>
      </c>
      <c r="F36" s="952">
        <v>16750.91</v>
      </c>
      <c r="G36" s="952">
        <v>0</v>
      </c>
      <c r="H36" s="952">
        <v>0</v>
      </c>
      <c r="I36" s="952">
        <v>86.21</v>
      </c>
      <c r="J36" s="952">
        <v>14359.44</v>
      </c>
      <c r="K36" s="952">
        <v>27374.639999999999</v>
      </c>
      <c r="L36" s="952">
        <v>0</v>
      </c>
      <c r="M36" s="952">
        <v>0</v>
      </c>
      <c r="N36" s="952">
        <v>79.48</v>
      </c>
      <c r="O36" s="952">
        <v>161353.98000000001</v>
      </c>
      <c r="P36" s="952">
        <v>0</v>
      </c>
      <c r="Q36" s="952">
        <f>SUM(E36:P36)</f>
        <v>250041.72000000003</v>
      </c>
    </row>
    <row r="37" spans="1:17">
      <c r="A37" s="361">
        <f>+A36+1</f>
        <v>19</v>
      </c>
      <c r="B37" s="365"/>
      <c r="C37" s="398" t="s">
        <v>2057</v>
      </c>
      <c r="D37" s="365"/>
      <c r="E37" s="396">
        <f>SUM(E34:E36)</f>
        <v>395441.58999999997</v>
      </c>
      <c r="F37" s="396">
        <f t="shared" ref="F37:Q37" si="5">SUM(F34:F36)</f>
        <v>34181.769999999997</v>
      </c>
      <c r="G37" s="396">
        <f t="shared" si="5"/>
        <v>4260.66</v>
      </c>
      <c r="H37" s="396">
        <f t="shared" si="5"/>
        <v>1759024.9</v>
      </c>
      <c r="I37" s="396">
        <f t="shared" si="5"/>
        <v>29373.449999999997</v>
      </c>
      <c r="J37" s="396">
        <f t="shared" si="5"/>
        <v>222750.69999999998</v>
      </c>
      <c r="K37" s="396">
        <f t="shared" si="5"/>
        <v>412085.7</v>
      </c>
      <c r="L37" s="396">
        <f t="shared" si="5"/>
        <v>42648.62</v>
      </c>
      <c r="M37" s="396">
        <f t="shared" si="5"/>
        <v>11181.699999999999</v>
      </c>
      <c r="N37" s="396">
        <f t="shared" si="5"/>
        <v>40560.320000000007</v>
      </c>
      <c r="O37" s="396">
        <f t="shared" si="5"/>
        <v>489617.81999999995</v>
      </c>
      <c r="P37" s="396">
        <f t="shared" si="5"/>
        <v>149532.32</v>
      </c>
      <c r="Q37" s="396">
        <f t="shared" si="5"/>
        <v>3590659.55</v>
      </c>
    </row>
    <row r="38" spans="1:17">
      <c r="A38" s="361"/>
      <c r="B38" s="365"/>
      <c r="C38" s="398"/>
      <c r="D38" s="365"/>
      <c r="E38" s="395"/>
      <c r="F38" s="397"/>
      <c r="G38" s="397"/>
      <c r="H38" s="397"/>
      <c r="I38" s="397"/>
      <c r="J38" s="397"/>
      <c r="K38" s="397"/>
      <c r="L38" s="397"/>
      <c r="M38" s="397"/>
      <c r="N38" s="397"/>
      <c r="O38" s="397"/>
      <c r="P38" s="397"/>
      <c r="Q38" s="397"/>
    </row>
    <row r="39" spans="1:17">
      <c r="A39" s="361">
        <f>+A37+1</f>
        <v>20</v>
      </c>
      <c r="B39" s="365"/>
      <c r="C39" s="189" t="s">
        <v>2058</v>
      </c>
      <c r="D39" s="365"/>
      <c r="E39" s="395"/>
      <c r="F39" s="395"/>
      <c r="G39" s="395"/>
      <c r="H39" s="395"/>
      <c r="I39" s="395"/>
      <c r="J39" s="395"/>
      <c r="K39" s="395"/>
      <c r="L39" s="395"/>
      <c r="M39" s="395"/>
      <c r="N39" s="395"/>
      <c r="O39" s="395"/>
      <c r="P39" s="395"/>
      <c r="Q39" s="395"/>
    </row>
    <row r="40" spans="1:17">
      <c r="A40" s="361">
        <f>+A39+1</f>
        <v>21</v>
      </c>
      <c r="B40" s="365">
        <v>303</v>
      </c>
      <c r="C40" s="220" t="s">
        <v>2054</v>
      </c>
      <c r="D40" s="365"/>
      <c r="E40" s="395"/>
      <c r="F40" s="395"/>
      <c r="G40" s="395"/>
      <c r="H40" s="395"/>
      <c r="I40" s="395"/>
      <c r="J40" s="395">
        <v>15187.61</v>
      </c>
      <c r="K40" s="395"/>
      <c r="L40" s="395"/>
      <c r="M40" s="395"/>
      <c r="N40" s="395"/>
      <c r="O40" s="395"/>
      <c r="P40" s="395"/>
      <c r="Q40" s="395">
        <f>SUM(E40:P40)</f>
        <v>15187.61</v>
      </c>
    </row>
    <row r="41" spans="1:17">
      <c r="A41" s="361">
        <f>+A40+1</f>
        <v>22</v>
      </c>
      <c r="B41" s="365">
        <v>303.3</v>
      </c>
      <c r="C41" s="220" t="s">
        <v>2055</v>
      </c>
      <c r="D41" s="365"/>
      <c r="E41" s="395">
        <v>270166.99000000005</v>
      </c>
      <c r="F41" s="395">
        <v>35698.9</v>
      </c>
      <c r="G41" s="395">
        <v>84261.430000000022</v>
      </c>
      <c r="H41" s="395">
        <v>16342.539999999999</v>
      </c>
      <c r="I41" s="395">
        <v>211510.36000000002</v>
      </c>
      <c r="J41" s="395">
        <v>48469.320000000007</v>
      </c>
      <c r="K41" s="395">
        <v>110228.52999999998</v>
      </c>
      <c r="L41" s="395">
        <v>54486.85</v>
      </c>
      <c r="M41" s="395">
        <v>144955.91</v>
      </c>
      <c r="N41" s="395">
        <v>33306.92</v>
      </c>
      <c r="O41" s="395">
        <v>42616.780000000006</v>
      </c>
      <c r="P41" s="395">
        <v>116937.47</v>
      </c>
      <c r="Q41" s="395">
        <f>SUM(E41:P41)</f>
        <v>1168982</v>
      </c>
    </row>
    <row r="42" spans="1:17">
      <c r="A42" s="361">
        <f>+A41+1</f>
        <v>23</v>
      </c>
      <c r="B42" s="365">
        <v>303.99</v>
      </c>
      <c r="C42" s="220" t="s">
        <v>2056</v>
      </c>
      <c r="D42" s="365"/>
      <c r="E42" s="952">
        <v>23782.54</v>
      </c>
      <c r="F42" s="952">
        <v>53945.760000000002</v>
      </c>
      <c r="G42" s="952">
        <v>0</v>
      </c>
      <c r="H42" s="952">
        <v>8519.7799999999988</v>
      </c>
      <c r="I42" s="952">
        <v>7455.12</v>
      </c>
      <c r="J42" s="952">
        <v>0</v>
      </c>
      <c r="K42" s="952">
        <v>9526.1</v>
      </c>
      <c r="L42" s="952">
        <v>32787.81</v>
      </c>
      <c r="M42" s="952">
        <v>0</v>
      </c>
      <c r="N42" s="952">
        <v>7246.56</v>
      </c>
      <c r="O42" s="952">
        <v>0</v>
      </c>
      <c r="P42" s="952">
        <v>4442.0200000000004</v>
      </c>
      <c r="Q42" s="952">
        <f>SUM(E42:P42)</f>
        <v>147705.68999999997</v>
      </c>
    </row>
    <row r="43" spans="1:17">
      <c r="A43" s="361">
        <f>+A42+1</f>
        <v>24</v>
      </c>
      <c r="B43" s="365"/>
      <c r="C43" s="398" t="s">
        <v>2057</v>
      </c>
      <c r="D43" s="365"/>
      <c r="E43" s="396">
        <f t="shared" ref="E43:J43" si="6">SUM(E40:E42)</f>
        <v>293949.53000000003</v>
      </c>
      <c r="F43" s="396">
        <f t="shared" si="6"/>
        <v>89644.66</v>
      </c>
      <c r="G43" s="396">
        <f t="shared" si="6"/>
        <v>84261.430000000022</v>
      </c>
      <c r="H43" s="396">
        <f t="shared" si="6"/>
        <v>24862.32</v>
      </c>
      <c r="I43" s="396">
        <f t="shared" si="6"/>
        <v>218965.48</v>
      </c>
      <c r="J43" s="396">
        <f t="shared" si="6"/>
        <v>63656.930000000008</v>
      </c>
      <c r="K43" s="396">
        <f t="shared" ref="K43:Q43" si="7">SUM(K40:K42)</f>
        <v>119754.62999999999</v>
      </c>
      <c r="L43" s="396">
        <f t="shared" si="7"/>
        <v>87274.66</v>
      </c>
      <c r="M43" s="396">
        <f t="shared" si="7"/>
        <v>144955.91</v>
      </c>
      <c r="N43" s="396">
        <f t="shared" si="7"/>
        <v>40553.479999999996</v>
      </c>
      <c r="O43" s="396">
        <f t="shared" si="7"/>
        <v>42616.780000000006</v>
      </c>
      <c r="P43" s="396">
        <f t="shared" si="7"/>
        <v>121379.49</v>
      </c>
      <c r="Q43" s="396">
        <f t="shared" si="7"/>
        <v>1331875.3</v>
      </c>
    </row>
    <row r="44" spans="1:17">
      <c r="A44" s="361"/>
      <c r="B44" s="365"/>
      <c r="C44" s="398"/>
      <c r="D44" s="365"/>
      <c r="E44" s="395"/>
      <c r="F44" s="395"/>
      <c r="G44" s="395"/>
      <c r="H44" s="395"/>
      <c r="I44" s="395"/>
      <c r="J44" s="395"/>
      <c r="K44" s="395"/>
      <c r="L44" s="395"/>
      <c r="M44" s="395"/>
      <c r="N44" s="395"/>
      <c r="O44" s="395"/>
      <c r="P44" s="395"/>
      <c r="Q44" s="395"/>
    </row>
    <row r="45" spans="1:17">
      <c r="A45" s="361"/>
      <c r="B45" s="365"/>
      <c r="C45" s="220"/>
      <c r="D45" s="365"/>
      <c r="E45" s="397"/>
      <c r="F45" s="397"/>
      <c r="G45" s="397"/>
      <c r="H45" s="397"/>
      <c r="I45" s="397"/>
      <c r="J45" s="397"/>
      <c r="K45" s="397"/>
      <c r="L45" s="397"/>
      <c r="M45" s="397"/>
      <c r="N45" s="397"/>
      <c r="O45" s="397"/>
      <c r="P45" s="397"/>
      <c r="Q45" s="397"/>
    </row>
    <row r="46" spans="1:17">
      <c r="A46" s="361">
        <f>+A43+1</f>
        <v>25</v>
      </c>
      <c r="B46" s="365"/>
      <c r="C46" s="189" t="s">
        <v>2059</v>
      </c>
      <c r="D46" s="365"/>
      <c r="E46" s="395"/>
      <c r="F46" s="395"/>
      <c r="G46" s="395"/>
      <c r="H46" s="395"/>
      <c r="I46" s="395"/>
      <c r="J46" s="395"/>
      <c r="K46" s="395"/>
      <c r="L46" s="395"/>
      <c r="M46" s="395"/>
      <c r="N46" s="395"/>
      <c r="O46" s="395"/>
      <c r="P46" s="395"/>
      <c r="Q46" s="395"/>
    </row>
    <row r="47" spans="1:17">
      <c r="A47" s="361">
        <f>+A46+1</f>
        <v>26</v>
      </c>
      <c r="B47" s="365">
        <v>303</v>
      </c>
      <c r="C47" s="220" t="s">
        <v>2054</v>
      </c>
      <c r="D47" s="365"/>
      <c r="E47" s="395">
        <v>267.59780555555557</v>
      </c>
      <c r="F47" s="395">
        <v>267.59780555555557</v>
      </c>
      <c r="G47" s="395">
        <v>267.59780555555557</v>
      </c>
      <c r="H47" s="395">
        <v>267.59780555555557</v>
      </c>
      <c r="I47" s="395">
        <v>267.59780555555557</v>
      </c>
      <c r="J47" s="395">
        <v>267.59780555555557</v>
      </c>
      <c r="K47" s="395">
        <v>267.59780555555557</v>
      </c>
      <c r="L47" s="395">
        <v>267.59780555555557</v>
      </c>
      <c r="M47" s="395">
        <v>267.59780555555557</v>
      </c>
      <c r="N47" s="395">
        <v>267.59780555555557</v>
      </c>
      <c r="O47" s="395">
        <v>267.59780555555557</v>
      </c>
      <c r="P47" s="395">
        <v>267.59780555555557</v>
      </c>
      <c r="Q47" s="395">
        <f>SUM(E47:P47)</f>
        <v>3211.173666666667</v>
      </c>
    </row>
    <row r="48" spans="1:17">
      <c r="A48" s="361">
        <f>+A47+1</f>
        <v>27</v>
      </c>
      <c r="B48" s="365">
        <v>303.3</v>
      </c>
      <c r="C48" s="220" t="s">
        <v>2055</v>
      </c>
      <c r="D48" s="365"/>
      <c r="E48" s="395">
        <v>206031.19000000006</v>
      </c>
      <c r="F48" s="395">
        <v>207717.51000000024</v>
      </c>
      <c r="G48" s="395">
        <v>137859.56699999998</v>
      </c>
      <c r="H48" s="395">
        <v>194438.80900000018</v>
      </c>
      <c r="I48" s="395">
        <v>194653.59066666686</v>
      </c>
      <c r="J48" s="395">
        <v>195156.59900000016</v>
      </c>
      <c r="K48" s="395">
        <v>205452.51233333349</v>
      </c>
      <c r="L48" s="395">
        <v>215219.88233333349</v>
      </c>
      <c r="M48" s="395">
        <v>216036.93233333351</v>
      </c>
      <c r="N48" s="395">
        <v>214543.06400000016</v>
      </c>
      <c r="O48" s="395">
        <v>218317.45900000012</v>
      </c>
      <c r="P48" s="395">
        <v>227150.31233333345</v>
      </c>
      <c r="Q48" s="395">
        <f>SUM(E48:P48)</f>
        <v>2432577.4280000017</v>
      </c>
    </row>
    <row r="49" spans="1:17">
      <c r="A49" s="361">
        <f>+A48+1</f>
        <v>28</v>
      </c>
      <c r="B49" s="365">
        <v>303.99</v>
      </c>
      <c r="C49" s="220" t="s">
        <v>2056</v>
      </c>
      <c r="D49" s="365"/>
      <c r="E49" s="951">
        <v>34758.990000000005</v>
      </c>
      <c r="F49" s="951">
        <v>34708.969999999994</v>
      </c>
      <c r="G49" s="951">
        <v>34797.455499999996</v>
      </c>
      <c r="H49" s="951">
        <v>34926.825728122189</v>
      </c>
      <c r="I49" s="951">
        <v>35018.210613003655</v>
      </c>
      <c r="J49" s="951">
        <v>35227.417996215503</v>
      </c>
      <c r="K49" s="951">
        <v>35193.615516851685</v>
      </c>
      <c r="L49" s="951">
        <v>35329.03847939476</v>
      </c>
      <c r="M49" s="951">
        <v>35427.689193748374</v>
      </c>
      <c r="N49" s="951">
        <v>35563.958174775064</v>
      </c>
      <c r="O49" s="951">
        <v>33387.012863408352</v>
      </c>
      <c r="P49" s="951">
        <v>33826.082596880144</v>
      </c>
      <c r="Q49" s="395">
        <f>SUM(E49:P49)</f>
        <v>418165.26666239975</v>
      </c>
    </row>
    <row r="50" spans="1:17">
      <c r="A50" s="361">
        <f>+A49+1</f>
        <v>29</v>
      </c>
      <c r="B50" s="365"/>
      <c r="C50" s="220" t="s">
        <v>2060</v>
      </c>
      <c r="D50" s="365"/>
      <c r="E50" s="396">
        <f>SUM(E47:E49)</f>
        <v>241057.77780555561</v>
      </c>
      <c r="F50" s="396">
        <f t="shared" ref="F50:Q50" si="8">SUM(F47:F49)</f>
        <v>242694.0778055558</v>
      </c>
      <c r="G50" s="396">
        <f t="shared" si="8"/>
        <v>172924.62030555552</v>
      </c>
      <c r="H50" s="396">
        <f t="shared" si="8"/>
        <v>229633.23253367795</v>
      </c>
      <c r="I50" s="396">
        <f t="shared" si="8"/>
        <v>229939.39908522606</v>
      </c>
      <c r="J50" s="396">
        <f t="shared" si="8"/>
        <v>230651.61480177124</v>
      </c>
      <c r="K50" s="396">
        <f t="shared" si="8"/>
        <v>240913.72565574074</v>
      </c>
      <c r="L50" s="396">
        <f t="shared" si="8"/>
        <v>250816.51861828379</v>
      </c>
      <c r="M50" s="396">
        <f t="shared" si="8"/>
        <v>251732.21933263744</v>
      </c>
      <c r="N50" s="396">
        <f t="shared" si="8"/>
        <v>250374.61998033078</v>
      </c>
      <c r="O50" s="396">
        <f t="shared" si="8"/>
        <v>251972.06966896402</v>
      </c>
      <c r="P50" s="396">
        <f t="shared" si="8"/>
        <v>261243.99273576916</v>
      </c>
      <c r="Q50" s="396">
        <f t="shared" si="8"/>
        <v>2853953.8683290682</v>
      </c>
    </row>
    <row r="51" spans="1:17">
      <c r="A51" s="361"/>
      <c r="B51" s="365"/>
      <c r="C51" s="220"/>
      <c r="D51" s="365"/>
      <c r="E51" s="395"/>
      <c r="F51" s="395"/>
      <c r="G51" s="395"/>
      <c r="H51" s="395"/>
      <c r="I51" s="395"/>
      <c r="J51" s="395"/>
      <c r="K51" s="395"/>
      <c r="L51" s="395"/>
      <c r="M51" s="395"/>
      <c r="N51" s="395"/>
      <c r="O51" s="395"/>
      <c r="P51" s="395"/>
      <c r="Q51" s="395"/>
    </row>
    <row r="52" spans="1:17">
      <c r="A52" s="361">
        <f>+A50+1</f>
        <v>30</v>
      </c>
      <c r="B52" s="365"/>
      <c r="C52" s="189" t="s">
        <v>2061</v>
      </c>
      <c r="D52" s="365"/>
      <c r="E52" s="395"/>
      <c r="F52" s="395"/>
      <c r="G52" s="395"/>
      <c r="H52" s="395"/>
      <c r="I52" s="395"/>
      <c r="J52" s="395"/>
      <c r="K52" s="395"/>
      <c r="L52" s="395"/>
      <c r="M52" s="395"/>
      <c r="N52" s="395"/>
      <c r="O52" s="395"/>
      <c r="P52" s="395"/>
      <c r="Q52" s="395"/>
    </row>
    <row r="53" spans="1:17">
      <c r="A53" s="361">
        <f>+A52+1</f>
        <v>31</v>
      </c>
      <c r="B53" s="365">
        <v>303</v>
      </c>
      <c r="C53" s="220" t="s">
        <v>2054</v>
      </c>
      <c r="D53" s="365"/>
      <c r="E53" s="395">
        <v>267.59780555555557</v>
      </c>
      <c r="F53" s="395">
        <v>267.59780555555557</v>
      </c>
      <c r="G53" s="395">
        <v>267.59780555555557</v>
      </c>
      <c r="H53" s="395">
        <v>267.59780555555557</v>
      </c>
      <c r="I53" s="395">
        <v>246.50390277777777</v>
      </c>
      <c r="J53" s="395">
        <v>225.41</v>
      </c>
      <c r="K53" s="395">
        <v>225.41</v>
      </c>
      <c r="L53" s="395">
        <v>225.41</v>
      </c>
      <c r="M53" s="395">
        <v>225.41</v>
      </c>
      <c r="N53" s="395">
        <v>225.41</v>
      </c>
      <c r="O53" s="395">
        <v>225.41</v>
      </c>
      <c r="P53" s="395">
        <v>206.82</v>
      </c>
      <c r="Q53" s="395">
        <f>SUM(E53:P53)</f>
        <v>2876.1751250000002</v>
      </c>
    </row>
    <row r="54" spans="1:17">
      <c r="A54" s="361">
        <f>+A53+1</f>
        <v>32</v>
      </c>
      <c r="B54" s="365">
        <v>303.3</v>
      </c>
      <c r="C54" s="220" t="s">
        <v>2055</v>
      </c>
      <c r="D54" s="365"/>
      <c r="E54" s="395">
        <v>229484.70808529179</v>
      </c>
      <c r="F54" s="395">
        <v>231264.12717058347</v>
      </c>
      <c r="G54" s="395">
        <v>232399.21717058343</v>
      </c>
      <c r="H54" s="395">
        <v>238232.89667598344</v>
      </c>
      <c r="I54" s="395">
        <v>243224.06335568897</v>
      </c>
      <c r="J54" s="395">
        <v>251835.54168457788</v>
      </c>
      <c r="K54" s="395">
        <v>262245.07989721675</v>
      </c>
      <c r="L54" s="395">
        <v>263962.94067999459</v>
      </c>
      <c r="M54" s="395">
        <v>263574.76479610562</v>
      </c>
      <c r="N54" s="395">
        <v>264410.64224555012</v>
      </c>
      <c r="O54" s="395">
        <v>269133.65097027231</v>
      </c>
      <c r="P54" s="395">
        <v>273314.32597027224</v>
      </c>
      <c r="Q54" s="395">
        <f>SUM(E54:P54)</f>
        <v>3023081.9587021205</v>
      </c>
    </row>
    <row r="55" spans="1:17">
      <c r="A55" s="361">
        <f>+A54+1</f>
        <v>33</v>
      </c>
      <c r="B55" s="365">
        <v>303.99</v>
      </c>
      <c r="C55" s="220" t="s">
        <v>2056</v>
      </c>
      <c r="D55" s="365"/>
      <c r="E55" s="952">
        <v>34304.587212541679</v>
      </c>
      <c r="F55" s="952">
        <v>34877.242675443587</v>
      </c>
      <c r="G55" s="952">
        <v>34931.367339459874</v>
      </c>
      <c r="H55" s="952">
        <v>47633.131590227109</v>
      </c>
      <c r="I55" s="952">
        <v>61000.435897345429</v>
      </c>
      <c r="J55" s="952">
        <v>61722.605967722164</v>
      </c>
      <c r="K55" s="952">
        <v>61544.932395316428</v>
      </c>
      <c r="L55" s="952">
        <v>61382.606312218537</v>
      </c>
      <c r="M55" s="952">
        <v>61411.01969799459</v>
      </c>
      <c r="N55" s="952">
        <v>63154.85541554098</v>
      </c>
      <c r="O55" s="952">
        <v>65201.917325732844</v>
      </c>
      <c r="P55" s="952">
        <v>65185.302152890625</v>
      </c>
      <c r="Q55" s="951">
        <f>SUM(E55:P55)</f>
        <v>652350.00398243382</v>
      </c>
    </row>
    <row r="56" spans="1:17">
      <c r="A56" s="361">
        <f>+A55+1</f>
        <v>34</v>
      </c>
      <c r="C56" s="220" t="s">
        <v>2062</v>
      </c>
      <c r="E56" s="396">
        <f>SUM(E53:E55)</f>
        <v>264056.89310338901</v>
      </c>
      <c r="F56" s="396">
        <f t="shared" ref="F56:Q56" si="9">SUM(F53:F55)</f>
        <v>266408.96765158261</v>
      </c>
      <c r="G56" s="396">
        <f t="shared" si="9"/>
        <v>267598.18231559888</v>
      </c>
      <c r="H56" s="396">
        <f t="shared" si="9"/>
        <v>286133.62607176614</v>
      </c>
      <c r="I56" s="396">
        <f t="shared" si="9"/>
        <v>304471.00315581216</v>
      </c>
      <c r="J56" s="396">
        <f t="shared" si="9"/>
        <v>313783.55765230005</v>
      </c>
      <c r="K56" s="396">
        <f t="shared" si="9"/>
        <v>324015.42229253316</v>
      </c>
      <c r="L56" s="396">
        <f t="shared" si="9"/>
        <v>325570.95699221309</v>
      </c>
      <c r="M56" s="396">
        <f t="shared" si="9"/>
        <v>325211.19449410017</v>
      </c>
      <c r="N56" s="396">
        <f t="shared" si="9"/>
        <v>327790.90766109107</v>
      </c>
      <c r="O56" s="396">
        <f t="shared" si="9"/>
        <v>334560.97829600511</v>
      </c>
      <c r="P56" s="396">
        <f t="shared" si="9"/>
        <v>338706.44812316285</v>
      </c>
      <c r="Q56" s="396">
        <f t="shared" si="9"/>
        <v>3678308.1378095541</v>
      </c>
    </row>
    <row r="57" spans="1:17">
      <c r="A57" s="361"/>
      <c r="E57" s="392"/>
      <c r="F57" s="392"/>
      <c r="G57" s="392"/>
      <c r="H57" s="392"/>
      <c r="I57" s="392"/>
      <c r="J57" s="392"/>
      <c r="K57" s="392"/>
      <c r="L57" s="392"/>
      <c r="M57" s="392"/>
      <c r="N57" s="392"/>
      <c r="O57" s="392"/>
      <c r="P57" s="392"/>
      <c r="Q57" s="392"/>
    </row>
  </sheetData>
  <mergeCells count="4">
    <mergeCell ref="A1:Q1"/>
    <mergeCell ref="A2:Q2"/>
    <mergeCell ref="A3:Q3"/>
    <mergeCell ref="A4:Q4"/>
  </mergeCells>
  <printOptions horizontalCentered="1"/>
  <pageMargins left="0.5" right="0.5" top="0.75" bottom="0.5" header="0.3" footer="0.3"/>
  <pageSetup scale="6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78"/>
  <sheetViews>
    <sheetView topLeftCell="A51" zoomScaleNormal="100" zoomScaleSheetLayoutView="100" workbookViewId="0">
      <selection activeCell="E33" sqref="E33"/>
    </sheetView>
  </sheetViews>
  <sheetFormatPr defaultColWidth="9.33203125" defaultRowHeight="12.75"/>
  <cols>
    <col min="1" max="1" width="9.33203125" style="953"/>
    <col min="2" max="2" width="21.6640625" style="953" customWidth="1"/>
    <col min="3" max="3" width="61.6640625" style="953" bestFit="1" customWidth="1"/>
    <col min="4" max="5" width="22.6640625" style="220" bestFit="1" customWidth="1"/>
    <col min="6" max="6" width="19" style="220" bestFit="1" customWidth="1"/>
    <col min="7" max="16384" width="9.33203125" style="948"/>
  </cols>
  <sheetData>
    <row r="1" spans="1:16" s="291" customFormat="1">
      <c r="A1" s="1308" t="str">
        <f>'General Headers Index'!B4</f>
        <v>COLUMBIA GAS OF KENTUCKY, INC.</v>
      </c>
      <c r="B1" s="1308"/>
      <c r="C1" s="1308"/>
      <c r="D1" s="1308"/>
      <c r="E1" s="1308"/>
      <c r="F1" s="1308"/>
    </row>
    <row r="2" spans="1:16" s="291" customFormat="1">
      <c r="A2" s="1308" t="str">
        <f>'General Headers Index'!B6</f>
        <v>CASE NO. 2024 - 00092</v>
      </c>
      <c r="B2" s="1308"/>
      <c r="C2" s="1308"/>
      <c r="D2" s="1308"/>
      <c r="E2" s="1308"/>
      <c r="F2" s="1308"/>
    </row>
    <row r="3" spans="1:16" s="291" customFormat="1">
      <c r="A3" s="1308" t="s">
        <v>2467</v>
      </c>
      <c r="B3" s="1308"/>
      <c r="C3" s="1308"/>
      <c r="D3" s="1308"/>
      <c r="E3" s="1308"/>
      <c r="F3" s="1308"/>
      <c r="G3" s="357"/>
      <c r="H3" s="357"/>
      <c r="I3" s="357"/>
      <c r="J3" s="357"/>
      <c r="K3" s="357"/>
      <c r="L3" s="357"/>
      <c r="M3" s="357"/>
      <c r="N3" s="357"/>
      <c r="O3" s="357"/>
      <c r="P3" s="357"/>
    </row>
    <row r="4" spans="1:16" s="291" customFormat="1">
      <c r="A4" s="1309" t="str">
        <f>'General Headers Index'!B15</f>
        <v>FOR THE TWELVE MONTHS ENDED DECEMBER 31, 2025</v>
      </c>
      <c r="B4" s="1309"/>
      <c r="C4" s="1309"/>
      <c r="D4" s="1309"/>
      <c r="E4" s="1309"/>
      <c r="F4" s="1309"/>
      <c r="G4" s="399"/>
      <c r="H4" s="399"/>
      <c r="I4" s="399"/>
      <c r="J4" s="399"/>
      <c r="K4" s="399"/>
      <c r="L4" s="399"/>
      <c r="M4" s="399"/>
      <c r="N4" s="399"/>
      <c r="O4" s="399"/>
      <c r="P4" s="399"/>
    </row>
    <row r="5" spans="1:16" s="291" customFormat="1">
      <c r="B5" s="293"/>
      <c r="O5" s="312"/>
    </row>
    <row r="6" spans="1:16" s="291" customFormat="1">
      <c r="A6" s="297" t="str">
        <f>'General Headers Index'!B33</f>
        <v xml:space="preserve">DATA: ___ BASE PERIOD _X_ FORECASTED PERIOD     </v>
      </c>
      <c r="B6" s="293"/>
      <c r="F6" s="312" t="s">
        <v>2466</v>
      </c>
      <c r="O6" s="312"/>
    </row>
    <row r="7" spans="1:16" s="291" customFormat="1">
      <c r="A7" s="297" t="str">
        <f>'General Headers Index'!B37</f>
        <v>TYPE OF FILING:___X___ORIGINAL______UPDATED</v>
      </c>
      <c r="B7" s="293"/>
      <c r="F7" s="312" t="s">
        <v>722</v>
      </c>
      <c r="O7" s="312"/>
    </row>
    <row r="8" spans="1:16" s="291" customFormat="1">
      <c r="A8" s="297" t="s">
        <v>2470</v>
      </c>
      <c r="B8" s="293"/>
      <c r="F8" s="312" t="str">
        <f>"WITNESS: "&amp;'General Headers Index'!B42</f>
        <v>WITNESS: GORE</v>
      </c>
    </row>
    <row r="9" spans="1:16" ht="12" customHeight="1">
      <c r="A9" s="946"/>
      <c r="B9" s="946"/>
      <c r="C9" s="946"/>
      <c r="D9" s="884"/>
      <c r="E9" s="884"/>
      <c r="F9" s="884"/>
    </row>
    <row r="10" spans="1:16">
      <c r="D10" s="217"/>
      <c r="E10" s="217" t="s">
        <v>1758</v>
      </c>
    </row>
    <row r="11" spans="1:16">
      <c r="A11" s="361" t="s">
        <v>1770</v>
      </c>
      <c r="B11" s="361" t="s">
        <v>368</v>
      </c>
      <c r="C11" s="824"/>
      <c r="D11" s="400" t="s">
        <v>488</v>
      </c>
      <c r="E11" s="217" t="s">
        <v>1759</v>
      </c>
      <c r="F11" s="217" t="s">
        <v>349</v>
      </c>
    </row>
    <row r="12" spans="1:16">
      <c r="A12" s="921" t="s">
        <v>316</v>
      </c>
      <c r="B12" s="921" t="s">
        <v>316</v>
      </c>
      <c r="C12" s="921" t="s">
        <v>451</v>
      </c>
      <c r="D12" s="885" t="s">
        <v>520</v>
      </c>
      <c r="E12" s="885" t="s">
        <v>433</v>
      </c>
      <c r="F12" s="885" t="s">
        <v>488</v>
      </c>
    </row>
    <row r="13" spans="1:16">
      <c r="A13" s="358"/>
      <c r="D13" s="300" t="s">
        <v>532</v>
      </c>
      <c r="E13" s="300" t="s">
        <v>541</v>
      </c>
      <c r="F13" s="300" t="s">
        <v>542</v>
      </c>
    </row>
    <row r="14" spans="1:16">
      <c r="A14" s="358"/>
      <c r="D14" s="300" t="s">
        <v>320</v>
      </c>
      <c r="E14" s="300" t="s">
        <v>320</v>
      </c>
      <c r="F14" s="300" t="s">
        <v>320</v>
      </c>
    </row>
    <row r="15" spans="1:16">
      <c r="A15" s="361">
        <v>1</v>
      </c>
      <c r="B15" s="362" t="s">
        <v>373</v>
      </c>
      <c r="C15" s="358"/>
    </row>
    <row r="16" spans="1:16">
      <c r="A16" s="361">
        <f>+A15+1</f>
        <v>2</v>
      </c>
      <c r="B16" s="401">
        <v>301</v>
      </c>
      <c r="C16" s="358" t="s">
        <v>374</v>
      </c>
      <c r="D16" s="348">
        <f>+'WPB-2.1.C Plant Detail'!K2754+'WPB-2.1.C Plant Detail'!K2868+'WPB-2.1.C Plant Detail'!K2982+'WPB-2.1.C Plant Detail'!K3096+'WPB-2.1.C Plant Detail'!K3210+'WPB-2.1.C Plant Detail'!K3324+'WPB-2.1.C Plant Detail'!K3438+'WPB-2.1.C Plant Detail'!K3552+'WPB-2.1.C Plant Detail'!K3666+'WPB-2.1.C Plant Detail'!K3780+'WPB-2.1.C Plant Detail'!K3894+'WPB-2.1.C Plant Detail'!K4008</f>
        <v>0</v>
      </c>
      <c r="E16" s="348">
        <f>+'WPB-2.1.C Plant Detail'!L2754+'WPB-2.1.C Plant Detail'!L2868+'WPB-2.1.C Plant Detail'!L2982+'WPB-2.1.C Plant Detail'!L3096+'WPB-2.1.C Plant Detail'!L3210+'WPB-2.1.C Plant Detail'!L3324+'WPB-2.1.C Plant Detail'!L3438+'WPB-2.1.C Plant Detail'!L3552+'WPB-2.1.C Plant Detail'!L3666+'WPB-2.1.C Plant Detail'!L3780+'WPB-2.1.C Plant Detail'!L3894+'WPB-2.1.C Plant Detail'!L4008</f>
        <v>0</v>
      </c>
      <c r="F16" s="348">
        <f t="shared" ref="F16:F21" si="0">+D16+E16</f>
        <v>0</v>
      </c>
    </row>
    <row r="17" spans="1:6">
      <c r="A17" s="361">
        <f t="shared" ref="A17:A22" si="1">+A16+1</f>
        <v>3</v>
      </c>
      <c r="B17" s="401">
        <v>303</v>
      </c>
      <c r="C17" s="358" t="s">
        <v>375</v>
      </c>
      <c r="D17" s="348">
        <f>+'WPB-2.1.C Plant Detail'!K2755+'WPB-2.1.C Plant Detail'!K2869+'WPB-2.1.C Plant Detail'!K2983+'WPB-2.1.C Plant Detail'!K3097+'WPB-2.1.C Plant Detail'!K3211+'WPB-2.1.C Plant Detail'!K3325+'WPB-2.1.C Plant Detail'!K3439+'WPB-2.1.C Plant Detail'!K3553+'WPB-2.1.C Plant Detail'!K3667+'WPB-2.1.C Plant Detail'!K3781+'WPB-2.1.C Plant Detail'!K3895+'WPB-2.1.C Plant Detail'!K4009</f>
        <v>2876.1751250000002</v>
      </c>
      <c r="E17" s="348">
        <f>+'WPB-2.1.C Plant Detail'!L2755+'WPB-2.1.C Plant Detail'!L2869+'WPB-2.1.C Plant Detail'!L2983+'WPB-2.1.C Plant Detail'!L3097+'WPB-2.1.C Plant Detail'!L3211+'WPB-2.1.C Plant Detail'!L3325+'WPB-2.1.C Plant Detail'!L3439+'WPB-2.1.C Plant Detail'!L3553+'WPB-2.1.C Plant Detail'!L3667+'WPB-2.1.C Plant Detail'!L3781+'WPB-2.1.C Plant Detail'!L3895+'WPB-2.1.C Plant Detail'!L4009</f>
        <v>0</v>
      </c>
      <c r="F17" s="348">
        <f t="shared" si="0"/>
        <v>2876.1751250000002</v>
      </c>
    </row>
    <row r="18" spans="1:6">
      <c r="A18" s="361">
        <f t="shared" si="1"/>
        <v>4</v>
      </c>
      <c r="B18" s="401">
        <v>303.10000000000002</v>
      </c>
      <c r="C18" s="358" t="s">
        <v>376</v>
      </c>
      <c r="D18" s="348">
        <f>+'WPB-2.1.C Plant Detail'!K2756+'WPB-2.1.C Plant Detail'!K2870+'WPB-2.1.C Plant Detail'!K2984+'WPB-2.1.C Plant Detail'!K3098+'WPB-2.1.C Plant Detail'!K3212+'WPB-2.1.C Plant Detail'!K3326+'WPB-2.1.C Plant Detail'!K3440+'WPB-2.1.C Plant Detail'!K3554+'WPB-2.1.C Plant Detail'!K3668+'WPB-2.1.C Plant Detail'!K3782+'WPB-2.1.C Plant Detail'!K3896+'WPB-2.1.C Plant Detail'!K4010</f>
        <v>0</v>
      </c>
      <c r="E18" s="348">
        <f>+'WPB-2.1.C Plant Detail'!L2756+'WPB-2.1.C Plant Detail'!L2870+'WPB-2.1.C Plant Detail'!L2984+'WPB-2.1.C Plant Detail'!L3098+'WPB-2.1.C Plant Detail'!L3212+'WPB-2.1.C Plant Detail'!L3326+'WPB-2.1.C Plant Detail'!L3440+'WPB-2.1.C Plant Detail'!L3554+'WPB-2.1.C Plant Detail'!L3668+'WPB-2.1.C Plant Detail'!L3782+'WPB-2.1.C Plant Detail'!L3896+'WPB-2.1.C Plant Detail'!L4010</f>
        <v>0</v>
      </c>
      <c r="F18" s="348">
        <f t="shared" si="0"/>
        <v>0</v>
      </c>
    </row>
    <row r="19" spans="1:6">
      <c r="A19" s="361">
        <f t="shared" si="1"/>
        <v>5</v>
      </c>
      <c r="B19" s="401">
        <v>303.2</v>
      </c>
      <c r="C19" s="358" t="s">
        <v>377</v>
      </c>
      <c r="D19" s="348">
        <f>+'WPB-2.1.C Plant Detail'!K2757+'WPB-2.1.C Plant Detail'!K2871+'WPB-2.1.C Plant Detail'!K2985+'WPB-2.1.C Plant Detail'!K3099+'WPB-2.1.C Plant Detail'!K3213+'WPB-2.1.C Plant Detail'!K3327+'WPB-2.1.C Plant Detail'!K3441+'WPB-2.1.C Plant Detail'!K3555+'WPB-2.1.C Plant Detail'!K3669+'WPB-2.1.C Plant Detail'!K3783+'WPB-2.1.C Plant Detail'!K3897+'WPB-2.1.C Plant Detail'!K4011</f>
        <v>0</v>
      </c>
      <c r="E19" s="348">
        <f>+'WPB-2.1.C Plant Detail'!L2757+'WPB-2.1.C Plant Detail'!L2871+'WPB-2.1.C Plant Detail'!L2985+'WPB-2.1.C Plant Detail'!L3099+'WPB-2.1.C Plant Detail'!L3213+'WPB-2.1.C Plant Detail'!L3327+'WPB-2.1.C Plant Detail'!L3441+'WPB-2.1.C Plant Detail'!L3555+'WPB-2.1.C Plant Detail'!L3669+'WPB-2.1.C Plant Detail'!L3783+'WPB-2.1.C Plant Detail'!L3897+'WPB-2.1.C Plant Detail'!L4011</f>
        <v>0</v>
      </c>
      <c r="F19" s="348">
        <f t="shared" si="0"/>
        <v>0</v>
      </c>
    </row>
    <row r="20" spans="1:6">
      <c r="A20" s="361">
        <f t="shared" si="1"/>
        <v>6</v>
      </c>
      <c r="B20" s="401">
        <v>303.3</v>
      </c>
      <c r="C20" s="358" t="s">
        <v>378</v>
      </c>
      <c r="D20" s="348">
        <f>+'WPB-2.1.C Plant Detail'!K2758+'WPB-2.1.C Plant Detail'!K2872+'WPB-2.1.C Plant Detail'!K2986+'WPB-2.1.C Plant Detail'!K3100+'WPB-2.1.C Plant Detail'!K3214+'WPB-2.1.C Plant Detail'!K3328+'WPB-2.1.C Plant Detail'!K3442+'WPB-2.1.C Plant Detail'!K3556+'WPB-2.1.C Plant Detail'!K3670+'WPB-2.1.C Plant Detail'!K3784+'WPB-2.1.C Plant Detail'!K3898+'WPB-2.1.C Plant Detail'!K4012</f>
        <v>3023081.9587021205</v>
      </c>
      <c r="E20" s="348">
        <f>+'WPB-2.1.C Plant Detail'!L2758+'WPB-2.1.C Plant Detail'!L2872+'WPB-2.1.C Plant Detail'!L2986+'WPB-2.1.C Plant Detail'!L3100+'WPB-2.1.C Plant Detail'!L3214+'WPB-2.1.C Plant Detail'!L3328+'WPB-2.1.C Plant Detail'!L3442+'WPB-2.1.C Plant Detail'!L3556+'WPB-2.1.C Plant Detail'!L3670+'WPB-2.1.C Plant Detail'!L3784+'WPB-2.1.C Plant Detail'!L3898+'WPB-2.1.C Plant Detail'!L4012</f>
        <v>0</v>
      </c>
      <c r="F20" s="348">
        <f t="shared" si="0"/>
        <v>3023081.9587021205</v>
      </c>
    </row>
    <row r="21" spans="1:6">
      <c r="A21" s="361">
        <f t="shared" si="1"/>
        <v>7</v>
      </c>
      <c r="B21" s="401">
        <v>303.99</v>
      </c>
      <c r="C21" s="358" t="s">
        <v>1129</v>
      </c>
      <c r="D21" s="954">
        <f>+'WPB-2.1.C Plant Detail'!K2759+'WPB-2.1.C Plant Detail'!K2873+'WPB-2.1.C Plant Detail'!K2987+'WPB-2.1.C Plant Detail'!K3101+'WPB-2.1.C Plant Detail'!K3215+'WPB-2.1.C Plant Detail'!K3329+'WPB-2.1.C Plant Detail'!K3443+'WPB-2.1.C Plant Detail'!K3557+'WPB-2.1.C Plant Detail'!K3671+'WPB-2.1.C Plant Detail'!K3785+'WPB-2.1.C Plant Detail'!K3899+'WPB-2.1.C Plant Detail'!K4013</f>
        <v>652350.00398243382</v>
      </c>
      <c r="E21" s="954">
        <f>+'WPB-2.1.C Plant Detail'!L2759+'WPB-2.1.C Plant Detail'!L2873+'WPB-2.1.C Plant Detail'!L2987+'WPB-2.1.C Plant Detail'!L3101+'WPB-2.1.C Plant Detail'!L3215+'WPB-2.1.C Plant Detail'!L3329+'WPB-2.1.C Plant Detail'!L3443+'WPB-2.1.C Plant Detail'!L3557+'WPB-2.1.C Plant Detail'!L3671+'WPB-2.1.C Plant Detail'!L3785+'WPB-2.1.C Plant Detail'!L3899+'WPB-2.1.C Plant Detail'!L4013</f>
        <v>0</v>
      </c>
      <c r="F21" s="954">
        <f t="shared" si="0"/>
        <v>652350.00398243382</v>
      </c>
    </row>
    <row r="22" spans="1:6">
      <c r="A22" s="361">
        <f t="shared" si="1"/>
        <v>8</v>
      </c>
      <c r="B22" s="367"/>
      <c r="C22" s="358" t="s">
        <v>379</v>
      </c>
      <c r="D22" s="348">
        <f>SUM(D16:D21)</f>
        <v>3678308.1378095541</v>
      </c>
      <c r="E22" s="348">
        <f>SUM(E16:E21)</f>
        <v>0</v>
      </c>
      <c r="F22" s="348">
        <f>SUM(F16:F21)</f>
        <v>3678308.1378095541</v>
      </c>
    </row>
    <row r="23" spans="1:6">
      <c r="A23" s="361"/>
      <c r="B23" s="367"/>
      <c r="C23" s="368"/>
      <c r="D23" s="348"/>
      <c r="E23" s="348"/>
      <c r="F23" s="348"/>
    </row>
    <row r="24" spans="1:6">
      <c r="A24" s="361">
        <f>+A22+1</f>
        <v>9</v>
      </c>
      <c r="B24" s="362" t="s">
        <v>1600</v>
      </c>
      <c r="C24" s="368"/>
      <c r="D24" s="348"/>
      <c r="E24" s="348"/>
      <c r="F24" s="348"/>
    </row>
    <row r="25" spans="1:6">
      <c r="A25" s="361">
        <f>+A24+1</f>
        <v>10</v>
      </c>
      <c r="B25" s="401">
        <v>374.1</v>
      </c>
      <c r="C25" s="358" t="s">
        <v>382</v>
      </c>
      <c r="D25" s="348">
        <f>+'WPB-2.1.C Plant Detail'!K2763+'WPB-2.1.C Plant Detail'!K2877+'WPB-2.1.C Plant Detail'!K2991+'WPB-2.1.C Plant Detail'!K3105+'WPB-2.1.C Plant Detail'!K3219+'WPB-2.1.C Plant Detail'!K3333+'WPB-2.1.C Plant Detail'!K3447+'WPB-2.1.C Plant Detail'!K3561+'WPB-2.1.C Plant Detail'!K3675+'WPB-2.1.C Plant Detail'!K3789+'WPB-2.1.C Plant Detail'!K3903+'WPB-2.1.C Plant Detail'!K4017</f>
        <v>0</v>
      </c>
      <c r="E25" s="348">
        <f>+'WPB-2.1.C Plant Detail'!L2763+'WPB-2.1.C Plant Detail'!L2877+'WPB-2.1.C Plant Detail'!L2991+'WPB-2.1.C Plant Detail'!L3105+'WPB-2.1.C Plant Detail'!L3219+'WPB-2.1.C Plant Detail'!L3333+'WPB-2.1.C Plant Detail'!L3447+'WPB-2.1.C Plant Detail'!L3561+'WPB-2.1.C Plant Detail'!L3675+'WPB-2.1.C Plant Detail'!L3789+'WPB-2.1.C Plant Detail'!L3903+'WPB-2.1.C Plant Detail'!L4017</f>
        <v>0</v>
      </c>
      <c r="F25" s="348">
        <f t="shared" ref="F25:F54" si="2">+D25+E25</f>
        <v>0</v>
      </c>
    </row>
    <row r="26" spans="1:6">
      <c r="A26" s="361">
        <f t="shared" ref="A26:A76" si="3">+A25+1</f>
        <v>11</v>
      </c>
      <c r="B26" s="401">
        <v>374.2</v>
      </c>
      <c r="C26" s="358" t="s">
        <v>383</v>
      </c>
      <c r="D26" s="348">
        <f>+'WPB-2.1.C Plant Detail'!K2764+'WPB-2.1.C Plant Detail'!K2878+'WPB-2.1.C Plant Detail'!K2992+'WPB-2.1.C Plant Detail'!K3106+'WPB-2.1.C Plant Detail'!K3220+'WPB-2.1.C Plant Detail'!K3334+'WPB-2.1.C Plant Detail'!K3448+'WPB-2.1.C Plant Detail'!K3562+'WPB-2.1.C Plant Detail'!K3676+'WPB-2.1.C Plant Detail'!K3790+'WPB-2.1.C Plant Detail'!K3904+'WPB-2.1.C Plant Detail'!K4018</f>
        <v>0</v>
      </c>
      <c r="E26" s="348">
        <f>+'WPB-2.1.C Plant Detail'!L2764+'WPB-2.1.C Plant Detail'!L2878+'WPB-2.1.C Plant Detail'!L2992+'WPB-2.1.C Plant Detail'!L3106+'WPB-2.1.C Plant Detail'!L3220+'WPB-2.1.C Plant Detail'!L3334+'WPB-2.1.C Plant Detail'!L3448+'WPB-2.1.C Plant Detail'!L3562+'WPB-2.1.C Plant Detail'!L3676+'WPB-2.1.C Plant Detail'!L3790+'WPB-2.1.C Plant Detail'!L3904+'WPB-2.1.C Plant Detail'!L4018</f>
        <v>0</v>
      </c>
      <c r="F26" s="348">
        <f t="shared" si="2"/>
        <v>0</v>
      </c>
    </row>
    <row r="27" spans="1:6">
      <c r="A27" s="361">
        <f t="shared" si="3"/>
        <v>12</v>
      </c>
      <c r="B27" s="401">
        <v>374.4</v>
      </c>
      <c r="C27" s="358" t="s">
        <v>384</v>
      </c>
      <c r="D27" s="348">
        <f>+'WPB-2.1.C Plant Detail'!K2765+'WPB-2.1.C Plant Detail'!K2879+'WPB-2.1.C Plant Detail'!K2993+'WPB-2.1.C Plant Detail'!K3107+'WPB-2.1.C Plant Detail'!K3221+'WPB-2.1.C Plant Detail'!K3335+'WPB-2.1.C Plant Detail'!K3449+'WPB-2.1.C Plant Detail'!K3563+'WPB-2.1.C Plant Detail'!K3677+'WPB-2.1.C Plant Detail'!K3791+'WPB-2.1.C Plant Detail'!K3905+'WPB-2.1.C Plant Detail'!K4019</f>
        <v>42761</v>
      </c>
      <c r="E27" s="348">
        <f>+'WPB-2.1.C Plant Detail'!L2765+'WPB-2.1.C Plant Detail'!L2879+'WPB-2.1.C Plant Detail'!L2993+'WPB-2.1.C Plant Detail'!L3107+'WPB-2.1.C Plant Detail'!L3221+'WPB-2.1.C Plant Detail'!L3335+'WPB-2.1.C Plant Detail'!L3449+'WPB-2.1.C Plant Detail'!L3563+'WPB-2.1.C Plant Detail'!L3677+'WPB-2.1.C Plant Detail'!L3791+'WPB-2.1.C Plant Detail'!L3905+'WPB-2.1.C Plant Detail'!L4019</f>
        <v>0</v>
      </c>
      <c r="F27" s="348">
        <f t="shared" si="2"/>
        <v>42761</v>
      </c>
    </row>
    <row r="28" spans="1:6">
      <c r="A28" s="361">
        <f t="shared" si="3"/>
        <v>13</v>
      </c>
      <c r="B28" s="401">
        <v>374.5</v>
      </c>
      <c r="C28" s="358" t="s">
        <v>385</v>
      </c>
      <c r="D28" s="348">
        <f>+'WPB-2.1.C Plant Detail'!K2766+'WPB-2.1.C Plant Detail'!K2880+'WPB-2.1.C Plant Detail'!K2994+'WPB-2.1.C Plant Detail'!K3108+'WPB-2.1.C Plant Detail'!K3222+'WPB-2.1.C Plant Detail'!K3336+'WPB-2.1.C Plant Detail'!K3450+'WPB-2.1.C Plant Detail'!K3564+'WPB-2.1.C Plant Detail'!K3678+'WPB-2.1.C Plant Detail'!K3792+'WPB-2.1.C Plant Detail'!K3906+'WPB-2.1.C Plant Detail'!K4020</f>
        <v>29328</v>
      </c>
      <c r="E28" s="348">
        <f>+'WPB-2.1.C Plant Detail'!L2766+'WPB-2.1.C Plant Detail'!L2880+'WPB-2.1.C Plant Detail'!L2994+'WPB-2.1.C Plant Detail'!L3108+'WPB-2.1.C Plant Detail'!L3222+'WPB-2.1.C Plant Detail'!L3336+'WPB-2.1.C Plant Detail'!L3450+'WPB-2.1.C Plant Detail'!L3564+'WPB-2.1.C Plant Detail'!L3678+'WPB-2.1.C Plant Detail'!L3792+'WPB-2.1.C Plant Detail'!L3906+'WPB-2.1.C Plant Detail'!L4020</f>
        <v>0</v>
      </c>
      <c r="F28" s="348">
        <f t="shared" si="2"/>
        <v>29328</v>
      </c>
    </row>
    <row r="29" spans="1:6">
      <c r="A29" s="361">
        <f t="shared" si="3"/>
        <v>14</v>
      </c>
      <c r="B29" s="401">
        <v>375.2</v>
      </c>
      <c r="C29" s="358" t="s">
        <v>386</v>
      </c>
      <c r="D29" s="348">
        <f>+'WPB-2.1.C Plant Detail'!K2767+'WPB-2.1.C Plant Detail'!K2881+'WPB-2.1.C Plant Detail'!K2995+'WPB-2.1.C Plant Detail'!K3109+'WPB-2.1.C Plant Detail'!K3223+'WPB-2.1.C Plant Detail'!K3337+'WPB-2.1.C Plant Detail'!K3451+'WPB-2.1.C Plant Detail'!K3565+'WPB-2.1.C Plant Detail'!K3679+'WPB-2.1.C Plant Detail'!K3793+'WPB-2.1.C Plant Detail'!K3907+'WPB-2.1.C Plant Detail'!K4021</f>
        <v>48</v>
      </c>
      <c r="E29" s="348">
        <f>+'WPB-2.1.C Plant Detail'!L2767+'WPB-2.1.C Plant Detail'!L2881+'WPB-2.1.C Plant Detail'!L2995+'WPB-2.1.C Plant Detail'!L3109+'WPB-2.1.C Plant Detail'!L3223+'WPB-2.1.C Plant Detail'!L3337+'WPB-2.1.C Plant Detail'!L3451+'WPB-2.1.C Plant Detail'!L3565+'WPB-2.1.C Plant Detail'!L3679+'WPB-2.1.C Plant Detail'!L3793+'WPB-2.1.C Plant Detail'!L3907+'WPB-2.1.C Plant Detail'!L4021</f>
        <v>0</v>
      </c>
      <c r="F29" s="348">
        <f t="shared" si="2"/>
        <v>48</v>
      </c>
    </row>
    <row r="30" spans="1:6">
      <c r="A30" s="361">
        <f t="shared" si="3"/>
        <v>15</v>
      </c>
      <c r="B30" s="401">
        <v>375.3</v>
      </c>
      <c r="C30" s="358" t="s">
        <v>387</v>
      </c>
      <c r="D30" s="348">
        <f>+'WPB-2.1.C Plant Detail'!K2768+'WPB-2.1.C Plant Detail'!K2882+'WPB-2.1.C Plant Detail'!K2996+'WPB-2.1.C Plant Detail'!K3110+'WPB-2.1.C Plant Detail'!K3224+'WPB-2.1.C Plant Detail'!K3338+'WPB-2.1.C Plant Detail'!K3452+'WPB-2.1.C Plant Detail'!K3566+'WPB-2.1.C Plant Detail'!K3680+'WPB-2.1.C Plant Detail'!K3794+'WPB-2.1.C Plant Detail'!K3908+'WPB-2.1.C Plant Detail'!K4022</f>
        <v>0</v>
      </c>
      <c r="E30" s="348">
        <f>+'WPB-2.1.C Plant Detail'!L2768+'WPB-2.1.C Plant Detail'!L2882+'WPB-2.1.C Plant Detail'!L2996+'WPB-2.1.C Plant Detail'!L3110+'WPB-2.1.C Plant Detail'!L3224+'WPB-2.1.C Plant Detail'!L3338+'WPB-2.1.C Plant Detail'!L3452+'WPB-2.1.C Plant Detail'!L3566+'WPB-2.1.C Plant Detail'!L3680+'WPB-2.1.C Plant Detail'!L3794+'WPB-2.1.C Plant Detail'!L3908+'WPB-2.1.C Plant Detail'!L4022</f>
        <v>0</v>
      </c>
      <c r="F30" s="348">
        <f t="shared" si="2"/>
        <v>0</v>
      </c>
    </row>
    <row r="31" spans="1:6">
      <c r="A31" s="361">
        <f t="shared" si="3"/>
        <v>16</v>
      </c>
      <c r="B31" s="401">
        <v>375.4</v>
      </c>
      <c r="C31" s="358" t="s">
        <v>388</v>
      </c>
      <c r="D31" s="348">
        <f>+'WPB-2.1.C Plant Detail'!K2769+'WPB-2.1.C Plant Detail'!K2883+'WPB-2.1.C Plant Detail'!K2997+'WPB-2.1.C Plant Detail'!K3111+'WPB-2.1.C Plant Detail'!K3225+'WPB-2.1.C Plant Detail'!K3339+'WPB-2.1.C Plant Detail'!K3453+'WPB-2.1.C Plant Detail'!K3567+'WPB-2.1.C Plant Detail'!K3681+'WPB-2.1.C Plant Detail'!K3795+'WPB-2.1.C Plant Detail'!K3909+'WPB-2.1.C Plant Detail'!K4023</f>
        <v>95474</v>
      </c>
      <c r="E31" s="348">
        <f>+'WPB-2.1.C Plant Detail'!L2769+'WPB-2.1.C Plant Detail'!L2883+'WPB-2.1.C Plant Detail'!L2997+'WPB-2.1.C Plant Detail'!L3111+'WPB-2.1.C Plant Detail'!L3225+'WPB-2.1.C Plant Detail'!L3339+'WPB-2.1.C Plant Detail'!L3453+'WPB-2.1.C Plant Detail'!L3567+'WPB-2.1.C Plant Detail'!L3681+'WPB-2.1.C Plant Detail'!L3795+'WPB-2.1.C Plant Detail'!L3909+'WPB-2.1.C Plant Detail'!L4023</f>
        <v>0</v>
      </c>
      <c r="F31" s="348">
        <f t="shared" si="2"/>
        <v>95474</v>
      </c>
    </row>
    <row r="32" spans="1:6">
      <c r="A32" s="361">
        <f t="shared" si="3"/>
        <v>17</v>
      </c>
      <c r="B32" s="401">
        <v>375.6</v>
      </c>
      <c r="C32" s="358" t="s">
        <v>389</v>
      </c>
      <c r="D32" s="348">
        <f>+'WPB-2.1.C Plant Detail'!K2770+'WPB-2.1.C Plant Detail'!K2884+'WPB-2.1.C Plant Detail'!K2998+'WPB-2.1.C Plant Detail'!K3112+'WPB-2.1.C Plant Detail'!K3226+'WPB-2.1.C Plant Detail'!K3340+'WPB-2.1.C Plant Detail'!K3454+'WPB-2.1.C Plant Detail'!K3568+'WPB-2.1.C Plant Detail'!K3682+'WPB-2.1.C Plant Detail'!K3796+'WPB-2.1.C Plant Detail'!K3910+'WPB-2.1.C Plant Detail'!K4024</f>
        <v>0</v>
      </c>
      <c r="E32" s="348">
        <f>+'WPB-2.1.C Plant Detail'!L2770+'WPB-2.1.C Plant Detail'!L2884+'WPB-2.1.C Plant Detail'!L2998+'WPB-2.1.C Plant Detail'!L3112+'WPB-2.1.C Plant Detail'!L3226+'WPB-2.1.C Plant Detail'!L3340+'WPB-2.1.C Plant Detail'!L3454+'WPB-2.1.C Plant Detail'!L3568+'WPB-2.1.C Plant Detail'!L3682+'WPB-2.1.C Plant Detail'!L3796+'WPB-2.1.C Plant Detail'!L3910+'WPB-2.1.C Plant Detail'!L4024</f>
        <v>0</v>
      </c>
      <c r="F32" s="348">
        <f t="shared" si="2"/>
        <v>0</v>
      </c>
    </row>
    <row r="33" spans="1:6">
      <c r="A33" s="361">
        <f t="shared" si="3"/>
        <v>18</v>
      </c>
      <c r="B33" s="401">
        <v>375.7</v>
      </c>
      <c r="C33" s="358" t="s">
        <v>390</v>
      </c>
      <c r="D33" s="348">
        <f>+'WPB-2.1.C Plant Detail'!K2771+'WPB-2.1.C Plant Detail'!K2885+'WPB-2.1.C Plant Detail'!K2999+'WPB-2.1.C Plant Detail'!K3113+'WPB-2.1.C Plant Detail'!K3227+'WPB-2.1.C Plant Detail'!K3341+'WPB-2.1.C Plant Detail'!K3455+'WPB-2.1.C Plant Detail'!K3569+'WPB-2.1.C Plant Detail'!K3683+'WPB-2.1.C Plant Detail'!K3797+'WPB-2.1.C Plant Detail'!K3911+'WPB-2.1.C Plant Detail'!K4025</f>
        <v>244370</v>
      </c>
      <c r="E33" s="348">
        <f>+'WPB-2.1.C Plant Detail'!L2771+'WPB-2.1.C Plant Detail'!L2885+'WPB-2.1.C Plant Detail'!L2999+'WPB-2.1.C Plant Detail'!L3113+'WPB-2.1.C Plant Detail'!L3227+'WPB-2.1.C Plant Detail'!L3341+'WPB-2.1.C Plant Detail'!L3455+'WPB-2.1.C Plant Detail'!L3569+'WPB-2.1.C Plant Detail'!L3683+'WPB-2.1.C Plant Detail'!L3797+'WPB-2.1.C Plant Detail'!L3911+'WPB-2.1.C Plant Detail'!L4025</f>
        <v>0</v>
      </c>
      <c r="F33" s="348">
        <f t="shared" si="2"/>
        <v>244370</v>
      </c>
    </row>
    <row r="34" spans="1:6">
      <c r="A34" s="361">
        <f t="shared" si="3"/>
        <v>19</v>
      </c>
      <c r="B34" s="401">
        <v>375.71</v>
      </c>
      <c r="C34" s="358" t="s">
        <v>391</v>
      </c>
      <c r="D34" s="348">
        <f>+'WPB-2.1.C Plant Detail'!K2772+'WPB-2.1.C Plant Detail'!K2886+'WPB-2.1.C Plant Detail'!K3000+'WPB-2.1.C Plant Detail'!K3114+'WPB-2.1.C Plant Detail'!K3228+'WPB-2.1.C Plant Detail'!K3342+'WPB-2.1.C Plant Detail'!K3456+'WPB-2.1.C Plant Detail'!K3570+'WPB-2.1.C Plant Detail'!K3684+'WPB-2.1.C Plant Detail'!K3798+'WPB-2.1.C Plant Detail'!K3912+'WPB-2.1.C Plant Detail'!K4026</f>
        <v>56922.48</v>
      </c>
      <c r="E34" s="348">
        <f>+'WPB-2.1.C Plant Detail'!L2772+'WPB-2.1.C Plant Detail'!L2886+'WPB-2.1.C Plant Detail'!L3000+'WPB-2.1.C Plant Detail'!L3114+'WPB-2.1.C Plant Detail'!L3228+'WPB-2.1.C Plant Detail'!L3342+'WPB-2.1.C Plant Detail'!L3456+'WPB-2.1.C Plant Detail'!L3570+'WPB-2.1.C Plant Detail'!L3684+'WPB-2.1.C Plant Detail'!L3798+'WPB-2.1.C Plant Detail'!L3912+'WPB-2.1.C Plant Detail'!L4026</f>
        <v>0</v>
      </c>
      <c r="F34" s="348">
        <f t="shared" si="2"/>
        <v>56922.48</v>
      </c>
    </row>
    <row r="35" spans="1:6">
      <c r="A35" s="361">
        <f t="shared" si="3"/>
        <v>20</v>
      </c>
      <c r="B35" s="401">
        <v>375.8</v>
      </c>
      <c r="C35" s="358" t="s">
        <v>392</v>
      </c>
      <c r="D35" s="348">
        <f>+'WPB-2.1.C Plant Detail'!K2773+'WPB-2.1.C Plant Detail'!K2887+'WPB-2.1.C Plant Detail'!K3001+'WPB-2.1.C Plant Detail'!K3115+'WPB-2.1.C Plant Detail'!K3229+'WPB-2.1.C Plant Detail'!K3343+'WPB-2.1.C Plant Detail'!K3457+'WPB-2.1.C Plant Detail'!K3571+'WPB-2.1.C Plant Detail'!K3685+'WPB-2.1.C Plant Detail'!K3799+'WPB-2.1.C Plant Detail'!K3913+'WPB-2.1.C Plant Detail'!K4027</f>
        <v>2784</v>
      </c>
      <c r="E35" s="348">
        <f>+'WPB-2.1.C Plant Detail'!L2773+'WPB-2.1.C Plant Detail'!L2887+'WPB-2.1.C Plant Detail'!L3001+'WPB-2.1.C Plant Detail'!L3115+'WPB-2.1.C Plant Detail'!L3229+'WPB-2.1.C Plant Detail'!L3343+'WPB-2.1.C Plant Detail'!L3457+'WPB-2.1.C Plant Detail'!L3571+'WPB-2.1.C Plant Detail'!L3685+'WPB-2.1.C Plant Detail'!L3799+'WPB-2.1.C Plant Detail'!L3913+'WPB-2.1.C Plant Detail'!L4027</f>
        <v>0</v>
      </c>
      <c r="F35" s="348">
        <f t="shared" si="2"/>
        <v>2784</v>
      </c>
    </row>
    <row r="36" spans="1:6">
      <c r="A36" s="361">
        <f t="shared" si="3"/>
        <v>21</v>
      </c>
      <c r="B36" s="401">
        <v>376</v>
      </c>
      <c r="C36" s="358" t="s">
        <v>1621</v>
      </c>
      <c r="D36" s="348">
        <f>+'WPB-2.1.C Plant Detail'!K2774+'WPB-2.1.C Plant Detail'!K2888+'WPB-2.1.C Plant Detail'!K3002+'WPB-2.1.C Plant Detail'!K3116+'WPB-2.1.C Plant Detail'!K3230+'WPB-2.1.C Plant Detail'!K3344+'WPB-2.1.C Plant Detail'!K3458+'WPB-2.1.C Plant Detail'!K3572+'WPB-2.1.C Plant Detail'!K3686+'WPB-2.1.C Plant Detail'!K3800+'WPB-2.1.C Plant Detail'!K3914+'WPB-2.1.C Plant Detail'!K4028</f>
        <v>7619839.2200000007</v>
      </c>
      <c r="E36" s="348">
        <f>+'WPB-2.1.C Plant Detail'!L2774+'WPB-2.1.C Plant Detail'!L2888+'WPB-2.1.C Plant Detail'!L3002+'WPB-2.1.C Plant Detail'!L3116+'WPB-2.1.C Plant Detail'!L3230+'WPB-2.1.C Plant Detail'!L3344+'WPB-2.1.C Plant Detail'!L3458+'WPB-2.1.C Plant Detail'!L3572+'WPB-2.1.C Plant Detail'!L3686+'WPB-2.1.C Plant Detail'!L3800+'WPB-2.1.C Plant Detail'!L3914+'WPB-2.1.C Plant Detail'!L4028</f>
        <v>0</v>
      </c>
      <c r="F36" s="348">
        <f t="shared" si="2"/>
        <v>7619839.2200000007</v>
      </c>
    </row>
    <row r="37" spans="1:6">
      <c r="A37" s="361">
        <f t="shared" si="3"/>
        <v>22</v>
      </c>
      <c r="B37" s="401">
        <v>378.1</v>
      </c>
      <c r="C37" s="358" t="s">
        <v>394</v>
      </c>
      <c r="D37" s="348">
        <f>+'WPB-2.1.C Plant Detail'!K2775+'WPB-2.1.C Plant Detail'!K2889+'WPB-2.1.C Plant Detail'!K3003+'WPB-2.1.C Plant Detail'!K3117+'WPB-2.1.C Plant Detail'!K3231+'WPB-2.1.C Plant Detail'!K3345+'WPB-2.1.C Plant Detail'!K3459+'WPB-2.1.C Plant Detail'!K3573+'WPB-2.1.C Plant Detail'!K3687+'WPB-2.1.C Plant Detail'!K3801+'WPB-2.1.C Plant Detail'!K3915+'WPB-2.1.C Plant Detail'!K4029</f>
        <v>-5700</v>
      </c>
      <c r="E37" s="348">
        <f>+'WPB-2.1.C Plant Detail'!L2775+'WPB-2.1.C Plant Detail'!L2889+'WPB-2.1.C Plant Detail'!L3003+'WPB-2.1.C Plant Detail'!L3117+'WPB-2.1.C Plant Detail'!L3231+'WPB-2.1.C Plant Detail'!L3345+'WPB-2.1.C Plant Detail'!L3459+'WPB-2.1.C Plant Detail'!L3573+'WPB-2.1.C Plant Detail'!L3687+'WPB-2.1.C Plant Detail'!L3801+'WPB-2.1.C Plant Detail'!L3915+'WPB-2.1.C Plant Detail'!L4029</f>
        <v>0</v>
      </c>
      <c r="F37" s="348">
        <f t="shared" si="2"/>
        <v>-5700</v>
      </c>
    </row>
    <row r="38" spans="1:6">
      <c r="A38" s="361">
        <f t="shared" si="3"/>
        <v>23</v>
      </c>
      <c r="B38" s="401">
        <v>378.2</v>
      </c>
      <c r="C38" s="358" t="s">
        <v>1622</v>
      </c>
      <c r="D38" s="348">
        <f>+'WPB-2.1.C Plant Detail'!K2776+'WPB-2.1.C Plant Detail'!K2890+'WPB-2.1.C Plant Detail'!K3004+'WPB-2.1.C Plant Detail'!K3118+'WPB-2.1.C Plant Detail'!K3232+'WPB-2.1.C Plant Detail'!K3346+'WPB-2.1.C Plant Detail'!K3460+'WPB-2.1.C Plant Detail'!K3574+'WPB-2.1.C Plant Detail'!K3688+'WPB-2.1.C Plant Detail'!K3802+'WPB-2.1.C Plant Detail'!K3916+'WPB-2.1.C Plant Detail'!K4030</f>
        <v>978778.32</v>
      </c>
      <c r="E38" s="348">
        <f>+'WPB-2.1.C Plant Detail'!L2776+'WPB-2.1.C Plant Detail'!L2890+'WPB-2.1.C Plant Detail'!L3004+'WPB-2.1.C Plant Detail'!L3118+'WPB-2.1.C Plant Detail'!L3232+'WPB-2.1.C Plant Detail'!L3346+'WPB-2.1.C Plant Detail'!L3460+'WPB-2.1.C Plant Detail'!L3574+'WPB-2.1.C Plant Detail'!L3688+'WPB-2.1.C Plant Detail'!L3802+'WPB-2.1.C Plant Detail'!L3916+'WPB-2.1.C Plant Detail'!L4030</f>
        <v>0</v>
      </c>
      <c r="F38" s="348">
        <f t="shared" si="2"/>
        <v>978778.32</v>
      </c>
    </row>
    <row r="39" spans="1:6">
      <c r="A39" s="361">
        <f t="shared" si="3"/>
        <v>24</v>
      </c>
      <c r="B39" s="401">
        <v>378.3</v>
      </c>
      <c r="C39" s="358" t="s">
        <v>396</v>
      </c>
      <c r="D39" s="348">
        <f>+'WPB-2.1.C Plant Detail'!K2777+'WPB-2.1.C Plant Detail'!K2891+'WPB-2.1.C Plant Detail'!K3005+'WPB-2.1.C Plant Detail'!K3119+'WPB-2.1.C Plant Detail'!K3233+'WPB-2.1.C Plant Detail'!K3347+'WPB-2.1.C Plant Detail'!K3461+'WPB-2.1.C Plant Detail'!K3575+'WPB-2.1.C Plant Detail'!K3689+'WPB-2.1.C Plant Detail'!K3803+'WPB-2.1.C Plant Detail'!K3917+'WPB-2.1.C Plant Detail'!K4031</f>
        <v>1500</v>
      </c>
      <c r="E39" s="348">
        <f>+'WPB-2.1.C Plant Detail'!L2777+'WPB-2.1.C Plant Detail'!L2891+'WPB-2.1.C Plant Detail'!L3005+'WPB-2.1.C Plant Detail'!L3119+'WPB-2.1.C Plant Detail'!L3233+'WPB-2.1.C Plant Detail'!L3347+'WPB-2.1.C Plant Detail'!L3461+'WPB-2.1.C Plant Detail'!L3575+'WPB-2.1.C Plant Detail'!L3689+'WPB-2.1.C Plant Detail'!L3803+'WPB-2.1.C Plant Detail'!L3917+'WPB-2.1.C Plant Detail'!L4031</f>
        <v>0</v>
      </c>
      <c r="F39" s="348">
        <f t="shared" si="2"/>
        <v>1500</v>
      </c>
    </row>
    <row r="40" spans="1:6">
      <c r="A40" s="361">
        <f t="shared" si="3"/>
        <v>25</v>
      </c>
      <c r="B40" s="401">
        <v>379.1</v>
      </c>
      <c r="C40" s="358" t="s">
        <v>397</v>
      </c>
      <c r="D40" s="348">
        <f>+'WPB-2.1.C Plant Detail'!K2778+'WPB-2.1.C Plant Detail'!K2892+'WPB-2.1.C Plant Detail'!K3006+'WPB-2.1.C Plant Detail'!K3120+'WPB-2.1.C Plant Detail'!K3234+'WPB-2.1.C Plant Detail'!K3348+'WPB-2.1.C Plant Detail'!K3462+'WPB-2.1.C Plant Detail'!K3576+'WPB-2.1.C Plant Detail'!K3690+'WPB-2.1.C Plant Detail'!K3804+'WPB-2.1.C Plant Detail'!K3918+'WPB-2.1.C Plant Detail'!K4032</f>
        <v>39480</v>
      </c>
      <c r="E40" s="348">
        <f>+'WPB-2.1.C Plant Detail'!L2778+'WPB-2.1.C Plant Detail'!L2892+'WPB-2.1.C Plant Detail'!L3006+'WPB-2.1.C Plant Detail'!L3120+'WPB-2.1.C Plant Detail'!L3234+'WPB-2.1.C Plant Detail'!L3348+'WPB-2.1.C Plant Detail'!L3462+'WPB-2.1.C Plant Detail'!L3576+'WPB-2.1.C Plant Detail'!L3690+'WPB-2.1.C Plant Detail'!L3804+'WPB-2.1.C Plant Detail'!L3918+'WPB-2.1.C Plant Detail'!L4032</f>
        <v>0</v>
      </c>
      <c r="F40" s="348">
        <f t="shared" si="2"/>
        <v>39480</v>
      </c>
    </row>
    <row r="41" spans="1:6">
      <c r="A41" s="361">
        <f t="shared" si="3"/>
        <v>26</v>
      </c>
      <c r="B41" s="401">
        <v>380</v>
      </c>
      <c r="C41" s="358" t="s">
        <v>1623</v>
      </c>
      <c r="D41" s="348">
        <f>+'WPB-2.1.C Plant Detail'!K2779+'WPB-2.1.C Plant Detail'!K2893+'WPB-2.1.C Plant Detail'!K3007+'WPB-2.1.C Plant Detail'!K3121+'WPB-2.1.C Plant Detail'!K3235+'WPB-2.1.C Plant Detail'!K3349+'WPB-2.1.C Plant Detail'!K3463+'WPB-2.1.C Plant Detail'!K3577+'WPB-2.1.C Plant Detail'!K3691+'WPB-2.1.C Plant Detail'!K3805+'WPB-2.1.C Plant Detail'!K3919+'WPB-2.1.C Plant Detail'!K4033</f>
        <v>10721393.67</v>
      </c>
      <c r="E41" s="348">
        <f>+'WPB-2.1.C Plant Detail'!L2779+'WPB-2.1.C Plant Detail'!L2893+'WPB-2.1.C Plant Detail'!L3007+'WPB-2.1.C Plant Detail'!L3121+'WPB-2.1.C Plant Detail'!L3235+'WPB-2.1.C Plant Detail'!L3349+'WPB-2.1.C Plant Detail'!L3463+'WPB-2.1.C Plant Detail'!L3577+'WPB-2.1.C Plant Detail'!L3691+'WPB-2.1.C Plant Detail'!L3805+'WPB-2.1.C Plant Detail'!L3919+'WPB-2.1.C Plant Detail'!L4033</f>
        <v>0</v>
      </c>
      <c r="F41" s="348">
        <f t="shared" si="2"/>
        <v>10721393.67</v>
      </c>
    </row>
    <row r="42" spans="1:6">
      <c r="A42" s="361">
        <f t="shared" si="3"/>
        <v>27</v>
      </c>
      <c r="B42" s="401">
        <v>381</v>
      </c>
      <c r="C42" s="358" t="s">
        <v>399</v>
      </c>
      <c r="D42" s="348">
        <f>+'WPB-2.1.C Plant Detail'!K2780+'WPB-2.1.C Plant Detail'!K2894+'WPB-2.1.C Plant Detail'!K3008+'WPB-2.1.C Plant Detail'!K3122+'WPB-2.1.C Plant Detail'!K3236+'WPB-2.1.C Plant Detail'!K3350+'WPB-2.1.C Plant Detail'!K3464+'WPB-2.1.C Plant Detail'!K3578+'WPB-2.1.C Plant Detail'!K3692+'WPB-2.1.C Plant Detail'!K3806+'WPB-2.1.C Plant Detail'!K3920+'WPB-2.1.C Plant Detail'!K4034</f>
        <v>745856</v>
      </c>
      <c r="E42" s="348">
        <f>+'WPB-2.1.C Plant Detail'!L2780+'WPB-2.1.C Plant Detail'!L2894+'WPB-2.1.C Plant Detail'!L3008+'WPB-2.1.C Plant Detail'!L3122+'WPB-2.1.C Plant Detail'!L3236+'WPB-2.1.C Plant Detail'!L3350+'WPB-2.1.C Plant Detail'!L3464+'WPB-2.1.C Plant Detail'!L3578+'WPB-2.1.C Plant Detail'!L3692+'WPB-2.1.C Plant Detail'!L3806+'WPB-2.1.C Plant Detail'!L3920+'WPB-2.1.C Plant Detail'!L4034</f>
        <v>0</v>
      </c>
      <c r="F42" s="348">
        <f t="shared" si="2"/>
        <v>745856</v>
      </c>
    </row>
    <row r="43" spans="1:6">
      <c r="A43" s="361">
        <f t="shared" si="3"/>
        <v>28</v>
      </c>
      <c r="B43" s="401">
        <v>381.1</v>
      </c>
      <c r="C43" s="358" t="s">
        <v>2366</v>
      </c>
      <c r="D43" s="348">
        <f>+'WPB-2.1.C Plant Detail'!K2781+'WPB-2.1.C Plant Detail'!K2895+'WPB-2.1.C Plant Detail'!K3009+'WPB-2.1.C Plant Detail'!K3123+'WPB-2.1.C Plant Detail'!K3237+'WPB-2.1.C Plant Detail'!K3351+'WPB-2.1.C Plant Detail'!K3465+'WPB-2.1.C Plant Detail'!K3579+'WPB-2.1.C Plant Detail'!K3693+'WPB-2.1.C Plant Detail'!K3807+'WPB-2.1.C Plant Detail'!K3921+'WPB-2.1.C Plant Detail'!K4035</f>
        <v>677700</v>
      </c>
      <c r="E43" s="348">
        <f>+'WPB-2.1.C Plant Detail'!L2781+'WPB-2.1.C Plant Detail'!L2895+'WPB-2.1.C Plant Detail'!L3009+'WPB-2.1.C Plant Detail'!L3123+'WPB-2.1.C Plant Detail'!L3237+'WPB-2.1.C Plant Detail'!L3351+'WPB-2.1.C Plant Detail'!L3465+'WPB-2.1.C Plant Detail'!L3579+'WPB-2.1.C Plant Detail'!L3693+'WPB-2.1.C Plant Detail'!L3807+'WPB-2.1.C Plant Detail'!L3921+'WPB-2.1.C Plant Detail'!L4035</f>
        <v>0</v>
      </c>
      <c r="F43" s="348">
        <f t="shared" si="2"/>
        <v>677700</v>
      </c>
    </row>
    <row r="44" spans="1:6">
      <c r="A44" s="361">
        <f t="shared" si="3"/>
        <v>29</v>
      </c>
      <c r="B44" s="401">
        <v>382</v>
      </c>
      <c r="C44" s="358" t="s">
        <v>1624</v>
      </c>
      <c r="D44" s="348">
        <f>+'WPB-2.1.C Plant Detail'!K2782+'WPB-2.1.C Plant Detail'!K2896+'WPB-2.1.C Plant Detail'!K3010+'WPB-2.1.C Plant Detail'!K3124+'WPB-2.1.C Plant Detail'!K3238+'WPB-2.1.C Plant Detail'!K3352+'WPB-2.1.C Plant Detail'!K3466+'WPB-2.1.C Plant Detail'!K3580+'WPB-2.1.C Plant Detail'!K3694+'WPB-2.1.C Plant Detail'!K3808+'WPB-2.1.C Plant Detail'!K3922+'WPB-2.1.C Plant Detail'!K4036</f>
        <v>244863.75</v>
      </c>
      <c r="E44" s="348">
        <f>+'WPB-2.1.C Plant Detail'!L2782+'WPB-2.1.C Plant Detail'!L2896+'WPB-2.1.C Plant Detail'!L3010+'WPB-2.1.C Plant Detail'!L3124+'WPB-2.1.C Plant Detail'!L3238+'WPB-2.1.C Plant Detail'!L3352+'WPB-2.1.C Plant Detail'!L3466+'WPB-2.1.C Plant Detail'!L3580+'WPB-2.1.C Plant Detail'!L3694+'WPB-2.1.C Plant Detail'!L3808+'WPB-2.1.C Plant Detail'!L3922+'WPB-2.1.C Plant Detail'!L4036</f>
        <v>0</v>
      </c>
      <c r="F44" s="348">
        <f t="shared" si="2"/>
        <v>244863.75</v>
      </c>
    </row>
    <row r="45" spans="1:6">
      <c r="A45" s="361">
        <f t="shared" si="3"/>
        <v>30</v>
      </c>
      <c r="B45" s="401">
        <v>383</v>
      </c>
      <c r="C45" s="358" t="s">
        <v>1625</v>
      </c>
      <c r="D45" s="348">
        <f>+'WPB-2.1.C Plant Detail'!K2783+'WPB-2.1.C Plant Detail'!K2897+'WPB-2.1.C Plant Detail'!K3011+'WPB-2.1.C Plant Detail'!K3125+'WPB-2.1.C Plant Detail'!K3239+'WPB-2.1.C Plant Detail'!K3353+'WPB-2.1.C Plant Detail'!K3467+'WPB-2.1.C Plant Detail'!K3581+'WPB-2.1.C Plant Detail'!K3695+'WPB-2.1.C Plant Detail'!K3809+'WPB-2.1.C Plant Detail'!K3923+'WPB-2.1.C Plant Detail'!K4037</f>
        <v>171842.73</v>
      </c>
      <c r="E45" s="348">
        <f>+'WPB-2.1.C Plant Detail'!L2783+'WPB-2.1.C Plant Detail'!L2897+'WPB-2.1.C Plant Detail'!L3011+'WPB-2.1.C Plant Detail'!L3125+'WPB-2.1.C Plant Detail'!L3239+'WPB-2.1.C Plant Detail'!L3353+'WPB-2.1.C Plant Detail'!L3467+'WPB-2.1.C Plant Detail'!L3581+'WPB-2.1.C Plant Detail'!L3695+'WPB-2.1.C Plant Detail'!L3809+'WPB-2.1.C Plant Detail'!L3923+'WPB-2.1.C Plant Detail'!L4037</f>
        <v>0</v>
      </c>
      <c r="F45" s="348">
        <f t="shared" si="2"/>
        <v>171842.73</v>
      </c>
    </row>
    <row r="46" spans="1:6">
      <c r="A46" s="361">
        <f t="shared" si="3"/>
        <v>31</v>
      </c>
      <c r="B46" s="401">
        <v>384</v>
      </c>
      <c r="C46" s="358" t="s">
        <v>402</v>
      </c>
      <c r="D46" s="348">
        <f>+'WPB-2.1.C Plant Detail'!K2784+'WPB-2.1.C Plant Detail'!K2898+'WPB-2.1.C Plant Detail'!K3012+'WPB-2.1.C Plant Detail'!K3126+'WPB-2.1.C Plant Detail'!K3240+'WPB-2.1.C Plant Detail'!K3354+'WPB-2.1.C Plant Detail'!K3468+'WPB-2.1.C Plant Detail'!K3582+'WPB-2.1.C Plant Detail'!K3696+'WPB-2.1.C Plant Detail'!K3810+'WPB-2.1.C Plant Detail'!K3924+'WPB-2.1.C Plant Detail'!K4038</f>
        <v>41496</v>
      </c>
      <c r="E46" s="348">
        <f>+'WPB-2.1.C Plant Detail'!L2784+'WPB-2.1.C Plant Detail'!L2898+'WPB-2.1.C Plant Detail'!L3012+'WPB-2.1.C Plant Detail'!L3126+'WPB-2.1.C Plant Detail'!L3240+'WPB-2.1.C Plant Detail'!L3354+'WPB-2.1.C Plant Detail'!L3468+'WPB-2.1.C Plant Detail'!L3582+'WPB-2.1.C Plant Detail'!L3696+'WPB-2.1.C Plant Detail'!L3810+'WPB-2.1.C Plant Detail'!L3924+'WPB-2.1.C Plant Detail'!L4038</f>
        <v>0</v>
      </c>
      <c r="F46" s="348">
        <f t="shared" si="2"/>
        <v>41496</v>
      </c>
    </row>
    <row r="47" spans="1:6">
      <c r="A47" s="361">
        <f t="shared" si="3"/>
        <v>32</v>
      </c>
      <c r="B47" s="401">
        <v>385</v>
      </c>
      <c r="C47" s="358" t="s">
        <v>403</v>
      </c>
      <c r="D47" s="348">
        <f>+'WPB-2.1.C Plant Detail'!K2785+'WPB-2.1.C Plant Detail'!K2899+'WPB-2.1.C Plant Detail'!K3013+'WPB-2.1.C Plant Detail'!K3127+'WPB-2.1.C Plant Detail'!K3241+'WPB-2.1.C Plant Detail'!K3355+'WPB-2.1.C Plant Detail'!K3469+'WPB-2.1.C Plant Detail'!K3583+'WPB-2.1.C Plant Detail'!K3697+'WPB-2.1.C Plant Detail'!K3811+'WPB-2.1.C Plant Detail'!K3925+'WPB-2.1.C Plant Detail'!K4039</f>
        <v>348056</v>
      </c>
      <c r="E47" s="348">
        <f>+'WPB-2.1.C Plant Detail'!L2785+'WPB-2.1.C Plant Detail'!L2899+'WPB-2.1.C Plant Detail'!L3013+'WPB-2.1.C Plant Detail'!L3127+'WPB-2.1.C Plant Detail'!L3241+'WPB-2.1.C Plant Detail'!L3355+'WPB-2.1.C Plant Detail'!L3469+'WPB-2.1.C Plant Detail'!L3583+'WPB-2.1.C Plant Detail'!L3697+'WPB-2.1.C Plant Detail'!L3811+'WPB-2.1.C Plant Detail'!L3925+'WPB-2.1.C Plant Detail'!L4039</f>
        <v>0</v>
      </c>
      <c r="F47" s="348">
        <f t="shared" si="2"/>
        <v>348056</v>
      </c>
    </row>
    <row r="48" spans="1:6">
      <c r="A48" s="361">
        <f t="shared" si="3"/>
        <v>33</v>
      </c>
      <c r="B48" s="401">
        <v>387.2</v>
      </c>
      <c r="C48" s="358" t="s">
        <v>404</v>
      </c>
      <c r="D48" s="348">
        <f>+'WPB-2.1.C Plant Detail'!K2786+'WPB-2.1.C Plant Detail'!K2900+'WPB-2.1.C Plant Detail'!K3014+'WPB-2.1.C Plant Detail'!K3128+'WPB-2.1.C Plant Detail'!K3242+'WPB-2.1.C Plant Detail'!K3356+'WPB-2.1.C Plant Detail'!K3470+'WPB-2.1.C Plant Detail'!K3584+'WPB-2.1.C Plant Detail'!K3698+'WPB-2.1.C Plant Detail'!K3812+'WPB-2.1.C Plant Detail'!K3926+'WPB-2.1.C Plant Detail'!K4040</f>
        <v>0</v>
      </c>
      <c r="E48" s="348">
        <f>+'WPB-2.1.C Plant Detail'!L2786+'WPB-2.1.C Plant Detail'!L2900+'WPB-2.1.C Plant Detail'!L3014+'WPB-2.1.C Plant Detail'!L3128+'WPB-2.1.C Plant Detail'!L3242+'WPB-2.1.C Plant Detail'!L3356+'WPB-2.1.C Plant Detail'!L3470+'WPB-2.1.C Plant Detail'!L3584+'WPB-2.1.C Plant Detail'!L3698+'WPB-2.1.C Plant Detail'!L3812+'WPB-2.1.C Plant Detail'!L3926+'WPB-2.1.C Plant Detail'!L4040</f>
        <v>0</v>
      </c>
      <c r="F48" s="348">
        <f t="shared" si="2"/>
        <v>0</v>
      </c>
    </row>
    <row r="49" spans="1:6">
      <c r="A49" s="361">
        <f t="shared" si="3"/>
        <v>34</v>
      </c>
      <c r="B49" s="401">
        <v>387.41</v>
      </c>
      <c r="C49" s="358" t="s">
        <v>405</v>
      </c>
      <c r="D49" s="348">
        <f>+'WPB-2.1.C Plant Detail'!K2787+'WPB-2.1.C Plant Detail'!K2901+'WPB-2.1.C Plant Detail'!K3015+'WPB-2.1.C Plant Detail'!K3129+'WPB-2.1.C Plant Detail'!K3243+'WPB-2.1.C Plant Detail'!K3357+'WPB-2.1.C Plant Detail'!K3471+'WPB-2.1.C Plant Detail'!K3585+'WPB-2.1.C Plant Detail'!K3699+'WPB-2.1.C Plant Detail'!K3813+'WPB-2.1.C Plant Detail'!K3927+'WPB-2.1.C Plant Detail'!K4041</f>
        <v>12924</v>
      </c>
      <c r="E49" s="348">
        <f>+'WPB-2.1.C Plant Detail'!L2787+'WPB-2.1.C Plant Detail'!L2901+'WPB-2.1.C Plant Detail'!L3015+'WPB-2.1.C Plant Detail'!L3129+'WPB-2.1.C Plant Detail'!L3243+'WPB-2.1.C Plant Detail'!L3357+'WPB-2.1.C Plant Detail'!L3471+'WPB-2.1.C Plant Detail'!L3585+'WPB-2.1.C Plant Detail'!L3699+'WPB-2.1.C Plant Detail'!L3813+'WPB-2.1.C Plant Detail'!L3927+'WPB-2.1.C Plant Detail'!L4041</f>
        <v>0</v>
      </c>
      <c r="F49" s="348">
        <f t="shared" si="2"/>
        <v>12924</v>
      </c>
    </row>
    <row r="50" spans="1:6">
      <c r="A50" s="361">
        <f t="shared" si="3"/>
        <v>35</v>
      </c>
      <c r="B50" s="401">
        <v>387.42</v>
      </c>
      <c r="C50" s="358" t="s">
        <v>406</v>
      </c>
      <c r="D50" s="348">
        <f>+'WPB-2.1.C Plant Detail'!K2788+'WPB-2.1.C Plant Detail'!K2902+'WPB-2.1.C Plant Detail'!K3016+'WPB-2.1.C Plant Detail'!K3130+'WPB-2.1.C Plant Detail'!K3244+'WPB-2.1.C Plant Detail'!K3358+'WPB-2.1.C Plant Detail'!K3472+'WPB-2.1.C Plant Detail'!K3586+'WPB-2.1.C Plant Detail'!K3700+'WPB-2.1.C Plant Detail'!K3814+'WPB-2.1.C Plant Detail'!K3928+'WPB-2.1.C Plant Detail'!K4042</f>
        <v>20796</v>
      </c>
      <c r="E50" s="348">
        <f>+'WPB-2.1.C Plant Detail'!L2788+'WPB-2.1.C Plant Detail'!L2902+'WPB-2.1.C Plant Detail'!L3016+'WPB-2.1.C Plant Detail'!L3130+'WPB-2.1.C Plant Detail'!L3244+'WPB-2.1.C Plant Detail'!L3358+'WPB-2.1.C Plant Detail'!L3472+'WPB-2.1.C Plant Detail'!L3586+'WPB-2.1.C Plant Detail'!L3700+'WPB-2.1.C Plant Detail'!L3814+'WPB-2.1.C Plant Detail'!L3928+'WPB-2.1.C Plant Detail'!L4042</f>
        <v>0</v>
      </c>
      <c r="F50" s="348">
        <f t="shared" si="2"/>
        <v>20796</v>
      </c>
    </row>
    <row r="51" spans="1:6">
      <c r="A51" s="361">
        <f t="shared" si="3"/>
        <v>36</v>
      </c>
      <c r="B51" s="401">
        <v>387.44</v>
      </c>
      <c r="C51" s="358" t="s">
        <v>407</v>
      </c>
      <c r="D51" s="348">
        <f>+'WPB-2.1.C Plant Detail'!K2789+'WPB-2.1.C Plant Detail'!K2903+'WPB-2.1.C Plant Detail'!K3017+'WPB-2.1.C Plant Detail'!K3131+'WPB-2.1.C Plant Detail'!K3245+'WPB-2.1.C Plant Detail'!K3359+'WPB-2.1.C Plant Detail'!K3473+'WPB-2.1.C Plant Detail'!K3587+'WPB-2.1.C Plant Detail'!K3701+'WPB-2.1.C Plant Detail'!K3815+'WPB-2.1.C Plant Detail'!K3929+'WPB-2.1.C Plant Detail'!K4043</f>
        <v>6180</v>
      </c>
      <c r="E51" s="348">
        <f>+'WPB-2.1.C Plant Detail'!L2789+'WPB-2.1.C Plant Detail'!L2903+'WPB-2.1.C Plant Detail'!L3017+'WPB-2.1.C Plant Detail'!L3131+'WPB-2.1.C Plant Detail'!L3245+'WPB-2.1.C Plant Detail'!L3359+'WPB-2.1.C Plant Detail'!L3473+'WPB-2.1.C Plant Detail'!L3587+'WPB-2.1.C Plant Detail'!L3701+'WPB-2.1.C Plant Detail'!L3815+'WPB-2.1.C Plant Detail'!L3929+'WPB-2.1.C Plant Detail'!L4043</f>
        <v>0</v>
      </c>
      <c r="F51" s="348">
        <f t="shared" si="2"/>
        <v>6180</v>
      </c>
    </row>
    <row r="52" spans="1:6">
      <c r="A52" s="361">
        <f t="shared" si="3"/>
        <v>37</v>
      </c>
      <c r="B52" s="401">
        <v>387.45</v>
      </c>
      <c r="C52" s="358" t="s">
        <v>408</v>
      </c>
      <c r="D52" s="348">
        <f>+'WPB-2.1.C Plant Detail'!K2790+'WPB-2.1.C Plant Detail'!K2904+'WPB-2.1.C Plant Detail'!K3018+'WPB-2.1.C Plant Detail'!K3132+'WPB-2.1.C Plant Detail'!K3246+'WPB-2.1.C Plant Detail'!K3360+'WPB-2.1.C Plant Detail'!K3474+'WPB-2.1.C Plant Detail'!K3588+'WPB-2.1.C Plant Detail'!K3702+'WPB-2.1.C Plant Detail'!K3816+'WPB-2.1.C Plant Detail'!K3930+'WPB-2.1.C Plant Detail'!K4044</f>
        <v>322980</v>
      </c>
      <c r="E52" s="348">
        <f>+'WPB-2.1.C Plant Detail'!L2790+'WPB-2.1.C Plant Detail'!L2904+'WPB-2.1.C Plant Detail'!L3018+'WPB-2.1.C Plant Detail'!L3132+'WPB-2.1.C Plant Detail'!L3246+'WPB-2.1.C Plant Detail'!L3360+'WPB-2.1.C Plant Detail'!L3474+'WPB-2.1.C Plant Detail'!L3588+'WPB-2.1.C Plant Detail'!L3702+'WPB-2.1.C Plant Detail'!L3816+'WPB-2.1.C Plant Detail'!L3930+'WPB-2.1.C Plant Detail'!L4044</f>
        <v>0</v>
      </c>
      <c r="F52" s="348">
        <f t="shared" si="2"/>
        <v>322980</v>
      </c>
    </row>
    <row r="53" spans="1:6">
      <c r="A53" s="361">
        <f t="shared" si="3"/>
        <v>38</v>
      </c>
      <c r="B53" s="401">
        <v>387.46</v>
      </c>
      <c r="C53" s="358" t="s">
        <v>409</v>
      </c>
      <c r="D53" s="348">
        <f>+'WPB-2.1.C Plant Detail'!K2791+'WPB-2.1.C Plant Detail'!K2905+'WPB-2.1.C Plant Detail'!K3019+'WPB-2.1.C Plant Detail'!K3133+'WPB-2.1.C Plant Detail'!K3247+'WPB-2.1.C Plant Detail'!K3361+'WPB-2.1.C Plant Detail'!K3475+'WPB-2.1.C Plant Detail'!K3589+'WPB-2.1.C Plant Detail'!K3703+'WPB-2.1.C Plant Detail'!K3817+'WPB-2.1.C Plant Detail'!K3931+'WPB-2.1.C Plant Detail'!K4045</f>
        <v>5640</v>
      </c>
      <c r="E53" s="348">
        <f>+'WPB-2.1.C Plant Detail'!L2791+'WPB-2.1.C Plant Detail'!L2905+'WPB-2.1.C Plant Detail'!L3019+'WPB-2.1.C Plant Detail'!L3133+'WPB-2.1.C Plant Detail'!L3247+'WPB-2.1.C Plant Detail'!L3361+'WPB-2.1.C Plant Detail'!L3475+'WPB-2.1.C Plant Detail'!L3589+'WPB-2.1.C Plant Detail'!L3703+'WPB-2.1.C Plant Detail'!L3817+'WPB-2.1.C Plant Detail'!L3931+'WPB-2.1.C Plant Detail'!L4045</f>
        <v>0</v>
      </c>
      <c r="F53" s="348">
        <f t="shared" si="2"/>
        <v>5640</v>
      </c>
    </row>
    <row r="54" spans="1:6">
      <c r="A54" s="361">
        <f t="shared" si="3"/>
        <v>39</v>
      </c>
      <c r="B54" s="401">
        <v>387.5</v>
      </c>
      <c r="C54" s="358" t="s">
        <v>1075</v>
      </c>
      <c r="D54" s="954">
        <f>+'WPB-2.1.C Plant Detail'!K2792+'WPB-2.1.C Plant Detail'!K2906+'WPB-2.1.C Plant Detail'!K3020+'WPB-2.1.C Plant Detail'!K3134+'WPB-2.1.C Plant Detail'!K3248+'WPB-2.1.C Plant Detail'!K3362+'WPB-2.1.C Plant Detail'!K3476+'WPB-2.1.C Plant Detail'!K3590+'WPB-2.1.C Plant Detail'!K3704+'WPB-2.1.C Plant Detail'!K3818+'WPB-2.1.C Plant Detail'!K3932+'WPB-2.1.C Plant Detail'!K4046</f>
        <v>32136</v>
      </c>
      <c r="E54" s="954">
        <f>+'WPB-2.1.C Plant Detail'!L2792+'WPB-2.1.C Plant Detail'!L2906+'WPB-2.1.C Plant Detail'!L3020+'WPB-2.1.C Plant Detail'!L3134+'WPB-2.1.C Plant Detail'!L3248+'WPB-2.1.C Plant Detail'!L3362+'WPB-2.1.C Plant Detail'!L3476+'WPB-2.1.C Plant Detail'!L3590+'WPB-2.1.C Plant Detail'!L3704+'WPB-2.1.C Plant Detail'!L3818+'WPB-2.1.C Plant Detail'!L3932+'WPB-2.1.C Plant Detail'!L4046</f>
        <v>0</v>
      </c>
      <c r="F54" s="954">
        <f t="shared" si="2"/>
        <v>32136</v>
      </c>
    </row>
    <row r="55" spans="1:6">
      <c r="A55" s="361">
        <f t="shared" si="3"/>
        <v>40</v>
      </c>
      <c r="B55" s="359"/>
      <c r="C55" s="358" t="s">
        <v>1601</v>
      </c>
      <c r="D55" s="348">
        <f>SUM(D25:D54)</f>
        <v>22457449.170000002</v>
      </c>
      <c r="E55" s="348">
        <f>SUM(E25:E54)</f>
        <v>0</v>
      </c>
      <c r="F55" s="348">
        <f>SUM(F25:F54)</f>
        <v>22457449.170000002</v>
      </c>
    </row>
    <row r="56" spans="1:6">
      <c r="A56" s="361"/>
      <c r="B56" s="359"/>
      <c r="C56" s="358"/>
      <c r="D56" s="348"/>
      <c r="E56" s="348"/>
      <c r="F56" s="348"/>
    </row>
    <row r="57" spans="1:6">
      <c r="A57" s="361">
        <f>+A55+1</f>
        <v>41</v>
      </c>
      <c r="B57" s="301" t="s">
        <v>411</v>
      </c>
      <c r="C57" s="220"/>
      <c r="D57" s="348"/>
      <c r="E57" s="348"/>
      <c r="F57" s="348"/>
    </row>
    <row r="58" spans="1:6">
      <c r="A58" s="361">
        <f t="shared" si="3"/>
        <v>42</v>
      </c>
      <c r="B58" s="401">
        <v>391.1</v>
      </c>
      <c r="C58" s="220" t="s">
        <v>412</v>
      </c>
      <c r="D58" s="348">
        <f>+'WPB-2.1.C Plant Detail'!K2813+'WPB-2.1.C Plant Detail'!K2927+'WPB-2.1.C Plant Detail'!K3041+'WPB-2.1.C Plant Detail'!K3155+'WPB-2.1.C Plant Detail'!K3269+'WPB-2.1.C Plant Detail'!K3383+'WPB-2.1.C Plant Detail'!K3497+'WPB-2.1.C Plant Detail'!K3611+'WPB-2.1.C Plant Detail'!K3725+'WPB-2.1.C Plant Detail'!K3839+'WPB-2.1.C Plant Detail'!K3953+'WPB-2.1.C Plant Detail'!K4067</f>
        <v>46092</v>
      </c>
      <c r="E58" s="348">
        <f>+'WPB-2.1.C Plant Detail'!L2813+'WPB-2.1.C Plant Detail'!L2927+'WPB-2.1.C Plant Detail'!L3041+'WPB-2.1.C Plant Detail'!L3155+'WPB-2.1.C Plant Detail'!L3269+'WPB-2.1.C Plant Detail'!L3383+'WPB-2.1.C Plant Detail'!L3497+'WPB-2.1.C Plant Detail'!L3611+'WPB-2.1.C Plant Detail'!L3725+'WPB-2.1.C Plant Detail'!L3839+'WPB-2.1.C Plant Detail'!L3953+'WPB-2.1.C Plant Detail'!L4067</f>
        <v>57772.999999999993</v>
      </c>
      <c r="F58" s="348">
        <f t="shared" ref="F58:F71" si="4">+D58+E58</f>
        <v>103865</v>
      </c>
    </row>
    <row r="59" spans="1:6">
      <c r="A59" s="361">
        <f t="shared" si="3"/>
        <v>43</v>
      </c>
      <c r="B59" s="401">
        <v>391.11</v>
      </c>
      <c r="C59" s="220" t="s">
        <v>413</v>
      </c>
      <c r="D59" s="348">
        <f>+'WPB-2.1.C Plant Detail'!K2814+'WPB-2.1.C Plant Detail'!K2928+'WPB-2.1.C Plant Detail'!K3042+'WPB-2.1.C Plant Detail'!K3156+'WPB-2.1.C Plant Detail'!K3270+'WPB-2.1.C Plant Detail'!K3384+'WPB-2.1.C Plant Detail'!K3498+'WPB-2.1.C Plant Detail'!K3612+'WPB-2.1.C Plant Detail'!K3726+'WPB-2.1.C Plant Detail'!K3840+'WPB-2.1.C Plant Detail'!K3954+'WPB-2.1.C Plant Detail'!K4068</f>
        <v>0</v>
      </c>
      <c r="E59" s="348">
        <f>+'WPB-2.1.C Plant Detail'!L2814+'WPB-2.1.C Plant Detail'!L2928+'WPB-2.1.C Plant Detail'!L3042+'WPB-2.1.C Plant Detail'!L3156+'WPB-2.1.C Plant Detail'!L3270+'WPB-2.1.C Plant Detail'!L3384+'WPB-2.1.C Plant Detail'!L3498+'WPB-2.1.C Plant Detail'!L3612+'WPB-2.1.C Plant Detail'!L3726+'WPB-2.1.C Plant Detail'!L3840+'WPB-2.1.C Plant Detail'!L3954+'WPB-2.1.C Plant Detail'!L4068</f>
        <v>6311.0000000000009</v>
      </c>
      <c r="F59" s="348">
        <f t="shared" si="4"/>
        <v>6311.0000000000009</v>
      </c>
    </row>
    <row r="60" spans="1:6">
      <c r="A60" s="361">
        <f t="shared" si="3"/>
        <v>44</v>
      </c>
      <c r="B60" s="401">
        <v>391.12</v>
      </c>
      <c r="C60" s="220" t="s">
        <v>414</v>
      </c>
      <c r="D60" s="348">
        <f>+'WPB-2.1.C Plant Detail'!K2815+'WPB-2.1.C Plant Detail'!K2929+'WPB-2.1.C Plant Detail'!K3043+'WPB-2.1.C Plant Detail'!K3157+'WPB-2.1.C Plant Detail'!K3271+'WPB-2.1.C Plant Detail'!K3385+'WPB-2.1.C Plant Detail'!K3499+'WPB-2.1.C Plant Detail'!K3613+'WPB-2.1.C Plant Detail'!K3727+'WPB-2.1.C Plant Detail'!K3841+'WPB-2.1.C Plant Detail'!K3955+'WPB-2.1.C Plant Detail'!K4069</f>
        <v>7428</v>
      </c>
      <c r="E60" s="348">
        <f>+'WPB-2.1.C Plant Detail'!L2815+'WPB-2.1.C Plant Detail'!L2929+'WPB-2.1.C Plant Detail'!L3043+'WPB-2.1.C Plant Detail'!L3157+'WPB-2.1.C Plant Detail'!L3271+'WPB-2.1.C Plant Detail'!L3385+'WPB-2.1.C Plant Detail'!L3499+'WPB-2.1.C Plant Detail'!L3613+'WPB-2.1.C Plant Detail'!L3727+'WPB-2.1.C Plant Detail'!L3841+'WPB-2.1.C Plant Detail'!L3955+'WPB-2.1.C Plant Detail'!L4069</f>
        <v>5475</v>
      </c>
      <c r="F60" s="348">
        <f t="shared" si="4"/>
        <v>12903</v>
      </c>
    </row>
    <row r="61" spans="1:6">
      <c r="A61" s="361">
        <f t="shared" si="3"/>
        <v>45</v>
      </c>
      <c r="B61" s="401">
        <v>392.2</v>
      </c>
      <c r="C61" s="220" t="s">
        <v>524</v>
      </c>
      <c r="D61" s="348">
        <f>+'WPB-2.1.C Plant Detail'!K2816+'WPB-2.1.C Plant Detail'!K2930+'WPB-2.1.C Plant Detail'!K3044+'WPB-2.1.C Plant Detail'!K3158+'WPB-2.1.C Plant Detail'!K3272+'WPB-2.1.C Plant Detail'!K3386+'WPB-2.1.C Plant Detail'!K3500+'WPB-2.1.C Plant Detail'!K3614+'WPB-2.1.C Plant Detail'!K3728+'WPB-2.1.C Plant Detail'!K3842+'WPB-2.1.C Plant Detail'!K3956+'WPB-2.1.C Plant Detail'!K4070</f>
        <v>444</v>
      </c>
      <c r="E61" s="348">
        <f>+'WPB-2.1.C Plant Detail'!L2816+'WPB-2.1.C Plant Detail'!L2930+'WPB-2.1.C Plant Detail'!L3044+'WPB-2.1.C Plant Detail'!L3158+'WPB-2.1.C Plant Detail'!L3272+'WPB-2.1.C Plant Detail'!L3386+'WPB-2.1.C Plant Detail'!L3500+'WPB-2.1.C Plant Detail'!L3614+'WPB-2.1.C Plant Detail'!L3728+'WPB-2.1.C Plant Detail'!L3842+'WPB-2.1.C Plant Detail'!L3956+'WPB-2.1.C Plant Detail'!L4070</f>
        <v>0</v>
      </c>
      <c r="F61" s="348">
        <f t="shared" si="4"/>
        <v>444</v>
      </c>
    </row>
    <row r="62" spans="1:6">
      <c r="A62" s="361">
        <f t="shared" si="3"/>
        <v>46</v>
      </c>
      <c r="B62" s="401">
        <v>392.21</v>
      </c>
      <c r="C62" s="220" t="s">
        <v>415</v>
      </c>
      <c r="D62" s="348">
        <f>+'WPB-2.1.C Plant Detail'!K2817+'WPB-2.1.C Plant Detail'!K2931+'WPB-2.1.C Plant Detail'!K3045+'WPB-2.1.C Plant Detail'!K3159+'WPB-2.1.C Plant Detail'!K3273+'WPB-2.1.C Plant Detail'!K3387+'WPB-2.1.C Plant Detail'!K3501+'WPB-2.1.C Plant Detail'!K3615+'WPB-2.1.C Plant Detail'!K3729+'WPB-2.1.C Plant Detail'!K3843+'WPB-2.1.C Plant Detail'!K3957+'WPB-2.1.C Plant Detail'!K4071</f>
        <v>216</v>
      </c>
      <c r="E62" s="348">
        <f>+'WPB-2.1.C Plant Detail'!L2817+'WPB-2.1.C Plant Detail'!L2931+'WPB-2.1.C Plant Detail'!L3045+'WPB-2.1.C Plant Detail'!L3159+'WPB-2.1.C Plant Detail'!L3273+'WPB-2.1.C Plant Detail'!L3387+'WPB-2.1.C Plant Detail'!L3501+'WPB-2.1.C Plant Detail'!L3615+'WPB-2.1.C Plant Detail'!L3729+'WPB-2.1.C Plant Detail'!L3843+'WPB-2.1.C Plant Detail'!L3957+'WPB-2.1.C Plant Detail'!L4071</f>
        <v>0</v>
      </c>
      <c r="F62" s="348">
        <f t="shared" si="4"/>
        <v>216</v>
      </c>
    </row>
    <row r="63" spans="1:6">
      <c r="A63" s="361">
        <f t="shared" si="3"/>
        <v>47</v>
      </c>
      <c r="B63" s="401">
        <v>393</v>
      </c>
      <c r="C63" s="220" t="s">
        <v>416</v>
      </c>
      <c r="D63" s="348">
        <f>+'WPB-2.1.C Plant Detail'!K2818+'WPB-2.1.C Plant Detail'!K2932+'WPB-2.1.C Plant Detail'!K3046+'WPB-2.1.C Plant Detail'!K3160+'WPB-2.1.C Plant Detail'!K3274+'WPB-2.1.C Plant Detail'!K3388+'WPB-2.1.C Plant Detail'!K3502+'WPB-2.1.C Plant Detail'!K3616+'WPB-2.1.C Plant Detail'!K3730+'WPB-2.1.C Plant Detail'!K3844+'WPB-2.1.C Plant Detail'!K3958+'WPB-2.1.C Plant Detail'!K4072</f>
        <v>0</v>
      </c>
      <c r="E63" s="348">
        <f>+'WPB-2.1.C Plant Detail'!L2818+'WPB-2.1.C Plant Detail'!L2932+'WPB-2.1.C Plant Detail'!L3046+'WPB-2.1.C Plant Detail'!L3160+'WPB-2.1.C Plant Detail'!L3274+'WPB-2.1.C Plant Detail'!L3388+'WPB-2.1.C Plant Detail'!L3502+'WPB-2.1.C Plant Detail'!L3616+'WPB-2.1.C Plant Detail'!L3730+'WPB-2.1.C Plant Detail'!L3844+'WPB-2.1.C Plant Detail'!L3958+'WPB-2.1.C Plant Detail'!L4072</f>
        <v>0</v>
      </c>
      <c r="F63" s="348">
        <f t="shared" si="4"/>
        <v>0</v>
      </c>
    </row>
    <row r="64" spans="1:6">
      <c r="A64" s="361">
        <f t="shared" si="3"/>
        <v>48</v>
      </c>
      <c r="B64" s="401">
        <v>394.1</v>
      </c>
      <c r="C64" s="220" t="s">
        <v>417</v>
      </c>
      <c r="D64" s="348">
        <f>+'WPB-2.1.C Plant Detail'!K2819+'WPB-2.1.C Plant Detail'!K2933+'WPB-2.1.C Plant Detail'!K3047+'WPB-2.1.C Plant Detail'!K3161+'WPB-2.1.C Plant Detail'!K3275+'WPB-2.1.C Plant Detail'!K3389+'WPB-2.1.C Plant Detail'!K3503+'WPB-2.1.C Plant Detail'!K3617+'WPB-2.1.C Plant Detail'!K3731+'WPB-2.1.C Plant Detail'!K3845+'WPB-2.1.C Plant Detail'!K3959+'WPB-2.1.C Plant Detail'!K4073</f>
        <v>384</v>
      </c>
      <c r="E64" s="348">
        <f>+'WPB-2.1.C Plant Detail'!L2819+'WPB-2.1.C Plant Detail'!L2933+'WPB-2.1.C Plant Detail'!L3047+'WPB-2.1.C Plant Detail'!L3161+'WPB-2.1.C Plant Detail'!L3275+'WPB-2.1.C Plant Detail'!L3389+'WPB-2.1.C Plant Detail'!L3503+'WPB-2.1.C Plant Detail'!L3617+'WPB-2.1.C Plant Detail'!L3731+'WPB-2.1.C Plant Detail'!L3845+'WPB-2.1.C Plant Detail'!L3959+'WPB-2.1.C Plant Detail'!L4073</f>
        <v>0</v>
      </c>
      <c r="F64" s="348">
        <f t="shared" si="4"/>
        <v>384</v>
      </c>
    </row>
    <row r="65" spans="1:6">
      <c r="A65" s="361">
        <f t="shared" si="3"/>
        <v>49</v>
      </c>
      <c r="B65" s="401">
        <v>394.11</v>
      </c>
      <c r="C65" s="220" t="s">
        <v>418</v>
      </c>
      <c r="D65" s="348">
        <f>+'WPB-2.1.C Plant Detail'!K2820+'WPB-2.1.C Plant Detail'!K2934+'WPB-2.1.C Plant Detail'!K3048+'WPB-2.1.C Plant Detail'!K3162+'WPB-2.1.C Plant Detail'!K3276+'WPB-2.1.C Plant Detail'!K3390+'WPB-2.1.C Plant Detail'!K3504+'WPB-2.1.C Plant Detail'!K3618+'WPB-2.1.C Plant Detail'!K3732+'WPB-2.1.C Plant Detail'!K3846+'WPB-2.1.C Plant Detail'!K3960+'WPB-2.1.C Plant Detail'!K4074</f>
        <v>0</v>
      </c>
      <c r="E65" s="348">
        <f>+'WPB-2.1.C Plant Detail'!L2820+'WPB-2.1.C Plant Detail'!L2934+'WPB-2.1.C Plant Detail'!L3048+'WPB-2.1.C Plant Detail'!L3162+'WPB-2.1.C Plant Detail'!L3276+'WPB-2.1.C Plant Detail'!L3390+'WPB-2.1.C Plant Detail'!L3504+'WPB-2.1.C Plant Detail'!L3618+'WPB-2.1.C Plant Detail'!L3732+'WPB-2.1.C Plant Detail'!L3846+'WPB-2.1.C Plant Detail'!L3960+'WPB-2.1.C Plant Detail'!L4074</f>
        <v>0</v>
      </c>
      <c r="F65" s="348">
        <f t="shared" si="4"/>
        <v>0</v>
      </c>
    </row>
    <row r="66" spans="1:6">
      <c r="A66" s="361">
        <f t="shared" si="3"/>
        <v>50</v>
      </c>
      <c r="B66" s="401">
        <v>394.13</v>
      </c>
      <c r="C66" s="220" t="s">
        <v>515</v>
      </c>
      <c r="D66" s="348">
        <f>+'WPB-2.1.C Plant Detail'!K2821+'WPB-2.1.C Plant Detail'!K2935+'WPB-2.1.C Plant Detail'!K3049+'WPB-2.1.C Plant Detail'!K3163+'WPB-2.1.C Plant Detail'!K3277+'WPB-2.1.C Plant Detail'!K3391+'WPB-2.1.C Plant Detail'!K3505+'WPB-2.1.C Plant Detail'!K3619+'WPB-2.1.C Plant Detail'!K3733+'WPB-2.1.C Plant Detail'!K3847+'WPB-2.1.C Plant Detail'!K3961+'WPB-2.1.C Plant Detail'!K4075</f>
        <v>0</v>
      </c>
      <c r="E66" s="348">
        <f>+'WPB-2.1.C Plant Detail'!L2821+'WPB-2.1.C Plant Detail'!L2935+'WPB-2.1.C Plant Detail'!L3049+'WPB-2.1.C Plant Detail'!L3163+'WPB-2.1.C Plant Detail'!L3277+'WPB-2.1.C Plant Detail'!L3391+'WPB-2.1.C Plant Detail'!L3505+'WPB-2.1.C Plant Detail'!L3619+'WPB-2.1.C Plant Detail'!L3733+'WPB-2.1.C Plant Detail'!L3847+'WPB-2.1.C Plant Detail'!L3961+'WPB-2.1.C Plant Detail'!L4075</f>
        <v>-9468</v>
      </c>
      <c r="F66" s="348">
        <f t="shared" si="4"/>
        <v>-9468</v>
      </c>
    </row>
    <row r="67" spans="1:6">
      <c r="A67" s="361">
        <f t="shared" si="3"/>
        <v>51</v>
      </c>
      <c r="B67" s="401">
        <v>394.2</v>
      </c>
      <c r="C67" s="220" t="s">
        <v>420</v>
      </c>
      <c r="D67" s="348">
        <f>+'WPB-2.1.C Plant Detail'!K2822+'WPB-2.1.C Plant Detail'!K2936+'WPB-2.1.C Plant Detail'!K3050+'WPB-2.1.C Plant Detail'!K3164+'WPB-2.1.C Plant Detail'!K3278+'WPB-2.1.C Plant Detail'!K3392+'WPB-2.1.C Plant Detail'!K3506+'WPB-2.1.C Plant Detail'!K3620+'WPB-2.1.C Plant Detail'!K3734+'WPB-2.1.C Plant Detail'!K3848+'WPB-2.1.C Plant Detail'!K3962+'WPB-2.1.C Plant Detail'!K4076</f>
        <v>0</v>
      </c>
      <c r="E67" s="348">
        <f>+'WPB-2.1.C Plant Detail'!L2822+'WPB-2.1.C Plant Detail'!L2936+'WPB-2.1.C Plant Detail'!L3050+'WPB-2.1.C Plant Detail'!L3164+'WPB-2.1.C Plant Detail'!L3278+'WPB-2.1.C Plant Detail'!L3392+'WPB-2.1.C Plant Detail'!L3506+'WPB-2.1.C Plant Detail'!L3620+'WPB-2.1.C Plant Detail'!L3734+'WPB-2.1.C Plant Detail'!L3848+'WPB-2.1.C Plant Detail'!L3962+'WPB-2.1.C Plant Detail'!L4076</f>
        <v>0</v>
      </c>
      <c r="F67" s="348">
        <f t="shared" si="4"/>
        <v>0</v>
      </c>
    </row>
    <row r="68" spans="1:6">
      <c r="A68" s="361">
        <f t="shared" si="3"/>
        <v>52</v>
      </c>
      <c r="B68" s="401">
        <v>394.3</v>
      </c>
      <c r="C68" s="220" t="s">
        <v>1602</v>
      </c>
      <c r="D68" s="348">
        <f>+'WPB-2.1.C Plant Detail'!K2823+'WPB-2.1.C Plant Detail'!K2937+'WPB-2.1.C Plant Detail'!K3051+'WPB-2.1.C Plant Detail'!K3165+'WPB-2.1.C Plant Detail'!K3279+'WPB-2.1.C Plant Detail'!K3393+'WPB-2.1.C Plant Detail'!K3507+'WPB-2.1.C Plant Detail'!K3621+'WPB-2.1.C Plant Detail'!K3735+'WPB-2.1.C Plant Detail'!K3849+'WPB-2.1.C Plant Detail'!K3963+'WPB-2.1.C Plant Detail'!K4077</f>
        <v>246189</v>
      </c>
      <c r="E68" s="348">
        <f>+'WPB-2.1.C Plant Detail'!L2823+'WPB-2.1.C Plant Detail'!L2937+'WPB-2.1.C Plant Detail'!L3051+'WPB-2.1.C Plant Detail'!L3165+'WPB-2.1.C Plant Detail'!L3279+'WPB-2.1.C Plant Detail'!L3393+'WPB-2.1.C Plant Detail'!L3507+'WPB-2.1.C Plant Detail'!L3621+'WPB-2.1.C Plant Detail'!L3735+'WPB-2.1.C Plant Detail'!L3849+'WPB-2.1.C Plant Detail'!L3963+'WPB-2.1.C Plant Detail'!L4077</f>
        <v>0</v>
      </c>
      <c r="F68" s="348">
        <f t="shared" si="4"/>
        <v>246189</v>
      </c>
    </row>
    <row r="69" spans="1:6">
      <c r="A69" s="361">
        <f t="shared" si="3"/>
        <v>53</v>
      </c>
      <c r="B69" s="401">
        <v>395</v>
      </c>
      <c r="C69" s="220" t="s">
        <v>422</v>
      </c>
      <c r="D69" s="348">
        <f>+'WPB-2.1.C Plant Detail'!K2824+'WPB-2.1.C Plant Detail'!K2938+'WPB-2.1.C Plant Detail'!K3052+'WPB-2.1.C Plant Detail'!K3166+'WPB-2.1.C Plant Detail'!K3280+'WPB-2.1.C Plant Detail'!K3394+'WPB-2.1.C Plant Detail'!K3508+'WPB-2.1.C Plant Detail'!K3622+'WPB-2.1.C Plant Detail'!K3736+'WPB-2.1.C Plant Detail'!K3850+'WPB-2.1.C Plant Detail'!K3964+'WPB-2.1.C Plant Detail'!K4078</f>
        <v>0</v>
      </c>
      <c r="E69" s="348">
        <f>+'WPB-2.1.C Plant Detail'!L2824+'WPB-2.1.C Plant Detail'!L2938+'WPB-2.1.C Plant Detail'!L3052+'WPB-2.1.C Plant Detail'!L3166+'WPB-2.1.C Plant Detail'!L3280+'WPB-2.1.C Plant Detail'!L3394+'WPB-2.1.C Plant Detail'!L3508+'WPB-2.1.C Plant Detail'!L3622+'WPB-2.1.C Plant Detail'!L3736+'WPB-2.1.C Plant Detail'!L3850+'WPB-2.1.C Plant Detail'!L3964+'WPB-2.1.C Plant Detail'!L4078</f>
        <v>-33</v>
      </c>
      <c r="F69" s="348">
        <f t="shared" si="4"/>
        <v>-33</v>
      </c>
    </row>
    <row r="70" spans="1:6">
      <c r="A70" s="361">
        <f t="shared" si="3"/>
        <v>54</v>
      </c>
      <c r="B70" s="401">
        <v>396</v>
      </c>
      <c r="C70" s="220" t="s">
        <v>423</v>
      </c>
      <c r="D70" s="348">
        <f>+'WPB-2.1.C Plant Detail'!K2825+'WPB-2.1.C Plant Detail'!K2939+'WPB-2.1.C Plant Detail'!K3053+'WPB-2.1.C Plant Detail'!K3167+'WPB-2.1.C Plant Detail'!K3281+'WPB-2.1.C Plant Detail'!K3395+'WPB-2.1.C Plant Detail'!K3509+'WPB-2.1.C Plant Detail'!K3623+'WPB-2.1.C Plant Detail'!K3737+'WPB-2.1.C Plant Detail'!K3851+'WPB-2.1.C Plant Detail'!K3965+'WPB-2.1.C Plant Detail'!K4079</f>
        <v>0</v>
      </c>
      <c r="E70" s="348">
        <f>+'WPB-2.1.C Plant Detail'!L2825+'WPB-2.1.C Plant Detail'!L2939+'WPB-2.1.C Plant Detail'!L3053+'WPB-2.1.C Plant Detail'!L3167+'WPB-2.1.C Plant Detail'!L3281+'WPB-2.1.C Plant Detail'!L3395+'WPB-2.1.C Plant Detail'!L3509+'WPB-2.1.C Plant Detail'!L3623+'WPB-2.1.C Plant Detail'!L3737+'WPB-2.1.C Plant Detail'!L3851+'WPB-2.1.C Plant Detail'!L3965+'WPB-2.1.C Plant Detail'!L4079</f>
        <v>0</v>
      </c>
      <c r="F70" s="348">
        <f t="shared" si="4"/>
        <v>0</v>
      </c>
    </row>
    <row r="71" spans="1:6">
      <c r="A71" s="361">
        <f t="shared" si="3"/>
        <v>55</v>
      </c>
      <c r="B71" s="401">
        <v>398</v>
      </c>
      <c r="C71" s="220" t="s">
        <v>424</v>
      </c>
      <c r="D71" s="954">
        <f>+'WPB-2.1.C Plant Detail'!K2826+'WPB-2.1.C Plant Detail'!K2940+'WPB-2.1.C Plant Detail'!K3054+'WPB-2.1.C Plant Detail'!K3168+'WPB-2.1.C Plant Detail'!K3282+'WPB-2.1.C Plant Detail'!K3396+'WPB-2.1.C Plant Detail'!K3510+'WPB-2.1.C Plant Detail'!K3624+'WPB-2.1.C Plant Detail'!K3738+'WPB-2.1.C Plant Detail'!K3852+'WPB-2.1.C Plant Detail'!K3966+'WPB-2.1.C Plant Detail'!K4080</f>
        <v>9876</v>
      </c>
      <c r="E71" s="954">
        <f>+'WPB-2.1.C Plant Detail'!L2826+'WPB-2.1.C Plant Detail'!L2940+'WPB-2.1.C Plant Detail'!L3054+'WPB-2.1.C Plant Detail'!L3168+'WPB-2.1.C Plant Detail'!L3282+'WPB-2.1.C Plant Detail'!L3396+'WPB-2.1.C Plant Detail'!L3510+'WPB-2.1.C Plant Detail'!L3624+'WPB-2.1.C Plant Detail'!L3738+'WPB-2.1.C Plant Detail'!L3852+'WPB-2.1.C Plant Detail'!L3966+'WPB-2.1.C Plant Detail'!L4080</f>
        <v>3181.9999999999995</v>
      </c>
      <c r="F71" s="954">
        <f t="shared" si="4"/>
        <v>13058</v>
      </c>
    </row>
    <row r="72" spans="1:6">
      <c r="A72" s="361">
        <f t="shared" si="3"/>
        <v>56</v>
      </c>
      <c r="B72" s="401"/>
      <c r="C72" s="220" t="s">
        <v>425</v>
      </c>
      <c r="D72" s="348">
        <f>SUM(D58:D71)</f>
        <v>310629</v>
      </c>
      <c r="E72" s="348">
        <f>SUM(E58:E71)</f>
        <v>63240</v>
      </c>
      <c r="F72" s="348">
        <f>SUM(F58:F71)</f>
        <v>373869</v>
      </c>
    </row>
    <row r="73" spans="1:6">
      <c r="A73" s="361"/>
      <c r="B73" s="401"/>
      <c r="C73" s="220"/>
      <c r="D73" s="348"/>
      <c r="E73" s="348"/>
      <c r="F73" s="348"/>
    </row>
    <row r="74" spans="1:6">
      <c r="A74" s="361">
        <f>+A72+1</f>
        <v>57</v>
      </c>
      <c r="B74" s="301" t="s">
        <v>1038</v>
      </c>
      <c r="C74" s="220"/>
      <c r="D74" s="348"/>
      <c r="E74" s="348"/>
      <c r="F74" s="348"/>
    </row>
    <row r="75" spans="1:6">
      <c r="A75" s="361">
        <f t="shared" si="3"/>
        <v>58</v>
      </c>
      <c r="B75" s="401">
        <v>378.21</v>
      </c>
      <c r="C75" s="220" t="s">
        <v>1037</v>
      </c>
      <c r="D75" s="954">
        <f>+'WPB-2.1.C Plant Detail'!K2830+'WPB-2.1.C Plant Detail'!K2944+'WPB-2.1.C Plant Detail'!K3058+'WPB-2.1.C Plant Detail'!K3172+'WPB-2.1.C Plant Detail'!K3286+'WPB-2.1.C Plant Detail'!K3400+'WPB-2.1.C Plant Detail'!K3514+'WPB-2.1.C Plant Detail'!K3628+'WPB-2.1.C Plant Detail'!K3742+'WPB-2.1.C Plant Detail'!K3856+'WPB-2.1.C Plant Detail'!K3970+'WPB-2.1.C Plant Detail'!K4084</f>
        <v>-25730.039999999994</v>
      </c>
      <c r="E75" s="954">
        <f>+'WPB-2.1.C Plant Detail'!L2830+'WPB-2.1.C Plant Detail'!L2944+'WPB-2.1.C Plant Detail'!L3058+'WPB-2.1.C Plant Detail'!L3172+'WPB-2.1.C Plant Detail'!L3286+'WPB-2.1.C Plant Detail'!L3400+'WPB-2.1.C Plant Detail'!L3514+'WPB-2.1.C Plant Detail'!L3628+'WPB-2.1.C Plant Detail'!L3742+'WPB-2.1.C Plant Detail'!L3856+'WPB-2.1.C Plant Detail'!L3970+'WPB-2.1.C Plant Detail'!L4084</f>
        <v>0</v>
      </c>
      <c r="F75" s="954">
        <f>+D75+E75</f>
        <v>-25730.039999999994</v>
      </c>
    </row>
    <row r="76" spans="1:6">
      <c r="A76" s="361">
        <f t="shared" si="3"/>
        <v>59</v>
      </c>
      <c r="B76" s="220"/>
      <c r="C76" s="220" t="s">
        <v>1579</v>
      </c>
      <c r="D76" s="348">
        <f>+D75</f>
        <v>-25730.039999999994</v>
      </c>
      <c r="E76" s="348">
        <f>+E75</f>
        <v>0</v>
      </c>
      <c r="F76" s="348">
        <f>+F75</f>
        <v>-25730.039999999994</v>
      </c>
    </row>
    <row r="77" spans="1:6">
      <c r="A77" s="361"/>
      <c r="B77" s="220"/>
      <c r="C77" s="220"/>
      <c r="D77" s="348"/>
      <c r="E77" s="348"/>
      <c r="F77" s="348"/>
    </row>
    <row r="78" spans="1:6">
      <c r="A78" s="361">
        <f>+A76+1</f>
        <v>60</v>
      </c>
      <c r="B78" s="220"/>
      <c r="C78" s="220" t="s">
        <v>2037</v>
      </c>
      <c r="D78" s="402">
        <f>+D22+D55+D72+D76</f>
        <v>26420656.267809555</v>
      </c>
      <c r="E78" s="402">
        <f>+E22+E55+E72+E76</f>
        <v>63240</v>
      </c>
      <c r="F78" s="402">
        <f>+F22+F55+F72+F76</f>
        <v>26483896.267809555</v>
      </c>
    </row>
  </sheetData>
  <mergeCells count="4">
    <mergeCell ref="A1:F1"/>
    <mergeCell ref="A2:F2"/>
    <mergeCell ref="A3:F3"/>
    <mergeCell ref="A4:F4"/>
  </mergeCells>
  <printOptions horizontalCentered="1"/>
  <pageMargins left="0.5" right="0.5" top="0.75" bottom="0.5" header="0.3" footer="0.3"/>
  <pageSetup scale="7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O28"/>
  <sheetViews>
    <sheetView zoomScaleNormal="100" zoomScaleSheetLayoutView="106" workbookViewId="0">
      <selection activeCell="I11" sqref="I11"/>
    </sheetView>
  </sheetViews>
  <sheetFormatPr defaultColWidth="9.6640625" defaultRowHeight="12.75"/>
  <cols>
    <col min="1" max="1" width="7.6640625" style="220" customWidth="1"/>
    <col min="2" max="2" width="3.6640625" style="220" customWidth="1"/>
    <col min="3" max="3" width="7.5" style="220" bestFit="1" customWidth="1"/>
    <col min="4" max="4" width="3.6640625" style="220" customWidth="1"/>
    <col min="5" max="5" width="11.5" style="220" bestFit="1" customWidth="1"/>
    <col min="6" max="6" width="3.6640625" style="220" customWidth="1"/>
    <col min="7" max="7" width="15.5" style="220" bestFit="1" customWidth="1"/>
    <col min="8" max="8" width="3.6640625" style="220" customWidth="1"/>
    <col min="9" max="9" width="18.5" style="220" bestFit="1" customWidth="1"/>
    <col min="10" max="10" width="3.6640625" style="220" customWidth="1"/>
    <col min="11" max="11" width="15.6640625" style="220" customWidth="1"/>
    <col min="12" max="12" width="3.6640625" style="220" customWidth="1"/>
    <col min="13" max="13" width="19.33203125" style="220" bestFit="1" customWidth="1"/>
    <col min="14" max="14" width="3.6640625" style="220" customWidth="1"/>
    <col min="15" max="15" width="32" style="220" bestFit="1" customWidth="1"/>
    <col min="16" max="16384" width="9.6640625" style="220"/>
  </cols>
  <sheetData>
    <row r="1" spans="1:15">
      <c r="A1" s="1306" t="str">
        <f>'General Headers Index'!B4</f>
        <v>COLUMBIA GAS OF KENTUCKY, INC.</v>
      </c>
      <c r="B1" s="1306"/>
      <c r="C1" s="1306"/>
      <c r="D1" s="1306"/>
      <c r="E1" s="1306"/>
      <c r="F1" s="1306"/>
      <c r="G1" s="1306"/>
      <c r="H1" s="1306"/>
      <c r="I1" s="1306"/>
      <c r="J1" s="1306"/>
      <c r="K1" s="1306"/>
      <c r="L1" s="1306"/>
      <c r="M1" s="1306"/>
      <c r="N1" s="1306"/>
      <c r="O1" s="1306"/>
    </row>
    <row r="2" spans="1:15">
      <c r="A2" s="1306" t="str">
        <f>'General Headers Index'!B6</f>
        <v>CASE NO. 2024 - 00092</v>
      </c>
      <c r="B2" s="1306"/>
      <c r="C2" s="1306"/>
      <c r="D2" s="1306"/>
      <c r="E2" s="1306"/>
      <c r="F2" s="1306"/>
      <c r="G2" s="1306"/>
      <c r="H2" s="1306"/>
      <c r="I2" s="1306"/>
      <c r="J2" s="1306"/>
      <c r="K2" s="1306"/>
      <c r="L2" s="1306"/>
      <c r="M2" s="1306"/>
      <c r="N2" s="1306"/>
      <c r="O2" s="1306"/>
    </row>
    <row r="3" spans="1:15">
      <c r="A3" s="1306" t="s">
        <v>426</v>
      </c>
      <c r="B3" s="1306"/>
      <c r="C3" s="1306"/>
      <c r="D3" s="1306"/>
      <c r="E3" s="1306"/>
      <c r="F3" s="1306"/>
      <c r="G3" s="1306"/>
      <c r="H3" s="1306"/>
      <c r="I3" s="1306"/>
      <c r="J3" s="1306"/>
      <c r="K3" s="1306"/>
      <c r="L3" s="1306"/>
      <c r="M3" s="1306"/>
      <c r="N3" s="1306"/>
      <c r="O3" s="1306"/>
    </row>
    <row r="4" spans="1:15">
      <c r="A4" s="1306" t="str">
        <f>'General Headers Index'!B10</f>
        <v>AS OF AUGUST 31, 2024</v>
      </c>
      <c r="B4" s="1306"/>
      <c r="C4" s="1306"/>
      <c r="D4" s="1306"/>
      <c r="E4" s="1306"/>
      <c r="F4" s="1306"/>
      <c r="G4" s="1306"/>
      <c r="H4" s="1306"/>
      <c r="I4" s="1306"/>
      <c r="J4" s="1306"/>
      <c r="K4" s="1306"/>
      <c r="L4" s="1306"/>
      <c r="M4" s="1306"/>
      <c r="N4" s="1306"/>
      <c r="O4" s="1306"/>
    </row>
    <row r="6" spans="1:15">
      <c r="A6" s="229" t="s">
        <v>2787</v>
      </c>
      <c r="M6" s="229"/>
      <c r="O6" s="326" t="s">
        <v>427</v>
      </c>
    </row>
    <row r="7" spans="1:15">
      <c r="A7" s="229" t="str">
        <f>'General Headers Index'!B37</f>
        <v>TYPE OF FILING:___X___ORIGINAL______UPDATED</v>
      </c>
      <c r="M7" s="229"/>
      <c r="O7" s="326" t="s">
        <v>309</v>
      </c>
    </row>
    <row r="8" spans="1:15">
      <c r="A8" s="229" t="s">
        <v>573</v>
      </c>
      <c r="M8" s="229"/>
      <c r="O8" s="326" t="str">
        <f>"WITNESS: "&amp;'General Headers Index'!B42</f>
        <v>WITNESS: GORE</v>
      </c>
    </row>
    <row r="9" spans="1:15">
      <c r="A9" s="955"/>
      <c r="B9" s="884"/>
      <c r="C9" s="884"/>
      <c r="D9" s="884"/>
      <c r="E9" s="884"/>
      <c r="F9" s="884"/>
      <c r="G9" s="884"/>
      <c r="H9" s="884"/>
      <c r="I9" s="884"/>
      <c r="J9" s="884"/>
      <c r="K9" s="884"/>
      <c r="L9" s="884"/>
      <c r="M9" s="955"/>
      <c r="N9" s="884"/>
      <c r="O9" s="956"/>
    </row>
    <row r="10" spans="1:15">
      <c r="G10" s="217" t="s">
        <v>349</v>
      </c>
      <c r="O10" s="217" t="s">
        <v>428</v>
      </c>
    </row>
    <row r="11" spans="1:15">
      <c r="A11" s="217" t="s">
        <v>313</v>
      </c>
      <c r="C11" s="217" t="s">
        <v>368</v>
      </c>
      <c r="E11" s="217" t="s">
        <v>429</v>
      </c>
      <c r="G11" s="217" t="s">
        <v>353</v>
      </c>
      <c r="I11" s="217" t="s">
        <v>350</v>
      </c>
      <c r="K11" s="217" t="s">
        <v>350</v>
      </c>
      <c r="M11" s="217" t="s">
        <v>430</v>
      </c>
      <c r="O11" s="217" t="s">
        <v>431</v>
      </c>
    </row>
    <row r="12" spans="1:15">
      <c r="A12" s="890" t="s">
        <v>316</v>
      </c>
      <c r="B12" s="892"/>
      <c r="C12" s="890" t="s">
        <v>316</v>
      </c>
      <c r="D12" s="892"/>
      <c r="E12" s="890" t="s">
        <v>432</v>
      </c>
      <c r="F12" s="892"/>
      <c r="G12" s="890" t="s">
        <v>433</v>
      </c>
      <c r="H12" s="892"/>
      <c r="I12" s="890" t="s">
        <v>354</v>
      </c>
      <c r="J12" s="892"/>
      <c r="K12" s="890" t="s">
        <v>355</v>
      </c>
      <c r="L12" s="892"/>
      <c r="M12" s="890" t="s">
        <v>434</v>
      </c>
      <c r="N12" s="892"/>
      <c r="O12" s="890" t="s">
        <v>433</v>
      </c>
    </row>
    <row r="13" spans="1:15">
      <c r="G13" s="217"/>
      <c r="K13" s="217"/>
    </row>
    <row r="15" spans="1:15">
      <c r="G15" s="328"/>
      <c r="I15" s="329"/>
      <c r="J15" s="328"/>
      <c r="K15" s="328"/>
      <c r="L15" s="328"/>
      <c r="M15" s="328"/>
      <c r="O15" s="328"/>
    </row>
    <row r="16" spans="1:15">
      <c r="G16" s="328"/>
      <c r="J16" s="328"/>
      <c r="K16" s="328"/>
      <c r="L16" s="328"/>
      <c r="M16" s="328"/>
    </row>
    <row r="17" spans="5:15">
      <c r="E17" s="1306" t="s">
        <v>1062</v>
      </c>
      <c r="F17" s="1306"/>
      <c r="G17" s="1306"/>
      <c r="H17" s="1306"/>
      <c r="I17" s="1306"/>
      <c r="J17" s="1306"/>
      <c r="K17" s="1306"/>
      <c r="L17" s="1306"/>
      <c r="M17" s="1306"/>
      <c r="N17" s="1306"/>
      <c r="O17" s="328"/>
    </row>
    <row r="18" spans="5:15">
      <c r="E18" s="1306" t="s">
        <v>1136</v>
      </c>
      <c r="F18" s="1306"/>
      <c r="G18" s="1306"/>
      <c r="H18" s="1306"/>
      <c r="I18" s="1306"/>
      <c r="J18" s="1306"/>
      <c r="K18" s="1306"/>
      <c r="L18" s="1306"/>
      <c r="M18" s="1306"/>
      <c r="N18" s="1306"/>
      <c r="O18" s="328"/>
    </row>
    <row r="19" spans="5:15">
      <c r="G19" s="328"/>
      <c r="I19" s="329"/>
      <c r="J19" s="328"/>
      <c r="K19" s="328"/>
      <c r="L19" s="328"/>
      <c r="M19" s="328"/>
      <c r="O19" s="328"/>
    </row>
    <row r="20" spans="5:15">
      <c r="G20" s="328"/>
      <c r="J20" s="328"/>
      <c r="K20" s="328"/>
      <c r="L20" s="328"/>
      <c r="M20" s="328"/>
      <c r="O20" s="328"/>
    </row>
    <row r="21" spans="5:15">
      <c r="G21" s="328"/>
      <c r="I21" s="329"/>
      <c r="J21" s="328"/>
      <c r="K21" s="328"/>
      <c r="L21" s="328"/>
      <c r="M21" s="328"/>
      <c r="O21" s="328"/>
    </row>
    <row r="22" spans="5:15">
      <c r="G22" s="328"/>
      <c r="J22" s="328"/>
      <c r="K22" s="328"/>
      <c r="L22" s="328"/>
      <c r="M22" s="328"/>
      <c r="O22" s="328"/>
    </row>
    <row r="23" spans="5:15">
      <c r="G23" s="328"/>
      <c r="I23" s="329"/>
      <c r="J23" s="328"/>
      <c r="K23" s="328"/>
      <c r="L23" s="328"/>
      <c r="M23" s="328"/>
      <c r="O23" s="328"/>
    </row>
    <row r="24" spans="5:15">
      <c r="G24" s="328"/>
      <c r="J24" s="328"/>
      <c r="K24" s="328"/>
      <c r="L24" s="328"/>
      <c r="M24" s="328"/>
      <c r="O24" s="328"/>
    </row>
    <row r="25" spans="5:15">
      <c r="G25" s="328"/>
      <c r="I25" s="329"/>
      <c r="J25" s="328"/>
      <c r="K25" s="328"/>
      <c r="L25" s="328"/>
      <c r="M25" s="328"/>
      <c r="O25" s="328"/>
    </row>
    <row r="26" spans="5:15">
      <c r="G26" s="328"/>
      <c r="J26" s="328"/>
      <c r="K26" s="328"/>
      <c r="L26" s="328"/>
      <c r="M26" s="328"/>
      <c r="O26" s="328"/>
    </row>
    <row r="27" spans="5:15">
      <c r="G27" s="328"/>
      <c r="I27" s="329"/>
      <c r="J27" s="328"/>
      <c r="K27" s="328"/>
      <c r="L27" s="328"/>
      <c r="M27" s="328"/>
      <c r="O27" s="328"/>
    </row>
    <row r="28" spans="5:15">
      <c r="G28" s="328"/>
      <c r="J28" s="328"/>
      <c r="K28" s="328"/>
      <c r="L28" s="328"/>
      <c r="M28" s="328"/>
      <c r="O28" s="328"/>
    </row>
  </sheetData>
  <mergeCells count="6">
    <mergeCell ref="E18:N18"/>
    <mergeCell ref="A1:O1"/>
    <mergeCell ref="A2:O2"/>
    <mergeCell ref="A3:O3"/>
    <mergeCell ref="A4:O4"/>
    <mergeCell ref="E17:N17"/>
  </mergeCells>
  <printOptions horizontalCentered="1"/>
  <pageMargins left="0.5" right="0.5" top="0.75" bottom="0.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28"/>
  <sheetViews>
    <sheetView zoomScaleNormal="100" zoomScaleSheetLayoutView="100" workbookViewId="0">
      <selection activeCell="I13" sqref="I13"/>
    </sheetView>
  </sheetViews>
  <sheetFormatPr defaultColWidth="9.6640625" defaultRowHeight="12.75"/>
  <cols>
    <col min="1" max="1" width="7.6640625" style="220" customWidth="1"/>
    <col min="2" max="2" width="3.6640625" style="220" customWidth="1"/>
    <col min="3" max="3" width="7.5" style="220" bestFit="1" customWidth="1"/>
    <col min="4" max="4" width="3.6640625" style="220" customWidth="1"/>
    <col min="5" max="5" width="11.5" style="220" bestFit="1" customWidth="1"/>
    <col min="6" max="6" width="3.6640625" style="220" customWidth="1"/>
    <col min="7" max="7" width="15.5" style="220" bestFit="1" customWidth="1"/>
    <col min="8" max="8" width="3.6640625" style="220" customWidth="1"/>
    <col min="9" max="9" width="18.5" style="220" bestFit="1" customWidth="1"/>
    <col min="10" max="10" width="3.6640625" style="220" customWidth="1"/>
    <col min="11" max="11" width="15.6640625" style="220" customWidth="1"/>
    <col min="12" max="12" width="3.6640625" style="220" customWidth="1"/>
    <col min="13" max="13" width="19.33203125" style="220" bestFit="1" customWidth="1"/>
    <col min="14" max="14" width="3.6640625" style="220" customWidth="1"/>
    <col min="15" max="15" width="32" style="220" bestFit="1" customWidth="1"/>
    <col min="16" max="16384" width="9.6640625" style="220"/>
  </cols>
  <sheetData>
    <row r="1" spans="1:19">
      <c r="A1" s="1306" t="str">
        <f>'General Headers Index'!B4</f>
        <v>COLUMBIA GAS OF KENTUCKY, INC.</v>
      </c>
      <c r="B1" s="1306"/>
      <c r="C1" s="1306"/>
      <c r="D1" s="1306"/>
      <c r="E1" s="1306"/>
      <c r="F1" s="1306"/>
      <c r="G1" s="1306"/>
      <c r="H1" s="1306"/>
      <c r="I1" s="1306"/>
      <c r="J1" s="1306"/>
      <c r="K1" s="1306"/>
      <c r="L1" s="1306"/>
      <c r="M1" s="1306"/>
      <c r="N1" s="1306"/>
      <c r="O1" s="1306"/>
      <c r="S1" s="220" t="s">
        <v>1139</v>
      </c>
    </row>
    <row r="2" spans="1:19">
      <c r="A2" s="1306" t="str">
        <f>'General Headers Index'!B6</f>
        <v>CASE NO. 2024 - 00092</v>
      </c>
      <c r="B2" s="1306"/>
      <c r="C2" s="1306"/>
      <c r="D2" s="1306"/>
      <c r="E2" s="1306"/>
      <c r="F2" s="1306"/>
      <c r="G2" s="1306"/>
      <c r="H2" s="1306"/>
      <c r="I2" s="1306"/>
      <c r="J2" s="1306"/>
      <c r="K2" s="1306"/>
      <c r="L2" s="1306"/>
      <c r="M2" s="1306"/>
      <c r="N2" s="1306"/>
      <c r="O2" s="1306"/>
    </row>
    <row r="3" spans="1:19">
      <c r="A3" s="1306" t="s">
        <v>426</v>
      </c>
      <c r="B3" s="1306"/>
      <c r="C3" s="1306"/>
      <c r="D3" s="1306"/>
      <c r="E3" s="1306"/>
      <c r="F3" s="1306"/>
      <c r="G3" s="1306"/>
      <c r="H3" s="1306"/>
      <c r="I3" s="1306"/>
      <c r="J3" s="1306"/>
      <c r="K3" s="1306"/>
      <c r="L3" s="1306"/>
      <c r="M3" s="1306"/>
      <c r="N3" s="1306"/>
      <c r="O3" s="1306"/>
    </row>
    <row r="4" spans="1:19">
      <c r="A4" s="1306" t="str">
        <f>'General Headers Index'!B17</f>
        <v>AS OF DECEMBER 31, 2025</v>
      </c>
      <c r="B4" s="1306"/>
      <c r="C4" s="1306"/>
      <c r="D4" s="1306"/>
      <c r="E4" s="1306"/>
      <c r="F4" s="1306"/>
      <c r="G4" s="1306"/>
      <c r="H4" s="1306"/>
      <c r="I4" s="1306"/>
      <c r="J4" s="1306"/>
      <c r="K4" s="1306"/>
      <c r="L4" s="1306"/>
      <c r="M4" s="1306"/>
      <c r="N4" s="1306"/>
      <c r="O4" s="1306"/>
    </row>
    <row r="6" spans="1:19">
      <c r="A6" s="229" t="s">
        <v>2788</v>
      </c>
      <c r="M6" s="229"/>
      <c r="O6" s="326" t="s">
        <v>427</v>
      </c>
    </row>
    <row r="7" spans="1:19">
      <c r="A7" s="229" t="str">
        <f>'General Headers Index'!B37</f>
        <v>TYPE OF FILING:___X___ORIGINAL______UPDATED</v>
      </c>
      <c r="M7" s="229"/>
      <c r="O7" s="326" t="s">
        <v>650</v>
      </c>
    </row>
    <row r="8" spans="1:19">
      <c r="A8" s="229" t="s">
        <v>573</v>
      </c>
      <c r="M8" s="229"/>
      <c r="O8" s="326" t="str">
        <f>"WITNESS: "&amp;'General Headers Index'!B42</f>
        <v>WITNESS: GORE</v>
      </c>
    </row>
    <row r="9" spans="1:19">
      <c r="A9" s="837"/>
      <c r="B9" s="836"/>
      <c r="C9" s="836"/>
      <c r="D9" s="836"/>
      <c r="E9" s="836"/>
      <c r="F9" s="836"/>
      <c r="G9" s="836"/>
      <c r="H9" s="836"/>
      <c r="I9" s="836"/>
      <c r="J9" s="836"/>
      <c r="K9" s="836"/>
      <c r="L9" s="836"/>
      <c r="M9" s="837"/>
      <c r="N9" s="836"/>
      <c r="O9" s="838"/>
    </row>
    <row r="10" spans="1:19">
      <c r="G10" s="217" t="s">
        <v>349</v>
      </c>
      <c r="O10" s="217" t="s">
        <v>428</v>
      </c>
    </row>
    <row r="11" spans="1:19">
      <c r="A11" s="217" t="s">
        <v>313</v>
      </c>
      <c r="C11" s="217" t="s">
        <v>368</v>
      </c>
      <c r="E11" s="217" t="s">
        <v>429</v>
      </c>
      <c r="G11" s="217" t="s">
        <v>353</v>
      </c>
      <c r="I11" s="217" t="s">
        <v>350</v>
      </c>
      <c r="K11" s="217" t="s">
        <v>350</v>
      </c>
      <c r="M11" s="217" t="s">
        <v>430</v>
      </c>
      <c r="O11" s="217" t="s">
        <v>431</v>
      </c>
    </row>
    <row r="12" spans="1:19">
      <c r="A12" s="890" t="s">
        <v>316</v>
      </c>
      <c r="B12" s="892"/>
      <c r="C12" s="890" t="s">
        <v>316</v>
      </c>
      <c r="D12" s="892"/>
      <c r="E12" s="890" t="s">
        <v>432</v>
      </c>
      <c r="F12" s="892"/>
      <c r="G12" s="890" t="s">
        <v>433</v>
      </c>
      <c r="H12" s="892"/>
      <c r="I12" s="890" t="s">
        <v>354</v>
      </c>
      <c r="J12" s="892"/>
      <c r="K12" s="890" t="s">
        <v>355</v>
      </c>
      <c r="L12" s="892"/>
      <c r="M12" s="890" t="s">
        <v>434</v>
      </c>
      <c r="N12" s="892"/>
      <c r="O12" s="890" t="s">
        <v>433</v>
      </c>
    </row>
    <row r="13" spans="1:19">
      <c r="G13" s="217"/>
      <c r="K13" s="217"/>
    </row>
    <row r="15" spans="1:19">
      <c r="G15" s="328"/>
      <c r="I15" s="329"/>
      <c r="J15" s="328"/>
      <c r="K15" s="328"/>
      <c r="L15" s="328"/>
      <c r="M15" s="328"/>
      <c r="O15" s="328"/>
    </row>
    <row r="16" spans="1:19">
      <c r="G16" s="328"/>
      <c r="J16" s="328"/>
      <c r="K16" s="328"/>
      <c r="L16" s="328"/>
      <c r="M16" s="328"/>
    </row>
    <row r="17" spans="5:15">
      <c r="E17" s="1306" t="s">
        <v>1062</v>
      </c>
      <c r="F17" s="1306"/>
      <c r="G17" s="1306"/>
      <c r="H17" s="1306"/>
      <c r="I17" s="1306"/>
      <c r="J17" s="1306"/>
      <c r="K17" s="1306"/>
      <c r="L17" s="1306"/>
      <c r="M17" s="1306"/>
      <c r="N17" s="1306"/>
      <c r="O17" s="328"/>
    </row>
    <row r="18" spans="5:15">
      <c r="E18" s="1306" t="s">
        <v>1136</v>
      </c>
      <c r="F18" s="1306"/>
      <c r="G18" s="1306"/>
      <c r="H18" s="1306"/>
      <c r="I18" s="1306"/>
      <c r="J18" s="1306"/>
      <c r="K18" s="1306"/>
      <c r="L18" s="1306"/>
      <c r="M18" s="1306"/>
      <c r="N18" s="1306"/>
      <c r="O18" s="328"/>
    </row>
    <row r="19" spans="5:15">
      <c r="G19" s="328"/>
      <c r="I19" s="329"/>
      <c r="J19" s="328"/>
      <c r="K19" s="328"/>
      <c r="L19" s="328"/>
      <c r="M19" s="328"/>
      <c r="O19" s="328"/>
    </row>
    <row r="20" spans="5:15">
      <c r="G20" s="328"/>
      <c r="J20" s="328"/>
      <c r="K20" s="328"/>
      <c r="L20" s="328"/>
      <c r="M20" s="328"/>
      <c r="O20" s="328"/>
    </row>
    <row r="21" spans="5:15">
      <c r="G21" s="328"/>
      <c r="I21" s="329"/>
      <c r="J21" s="328"/>
      <c r="K21" s="328"/>
      <c r="L21" s="328"/>
      <c r="M21" s="328"/>
      <c r="O21" s="328"/>
    </row>
    <row r="22" spans="5:15">
      <c r="G22" s="328"/>
      <c r="J22" s="328"/>
      <c r="K22" s="328"/>
      <c r="L22" s="328"/>
      <c r="M22" s="328"/>
      <c r="O22" s="328"/>
    </row>
    <row r="23" spans="5:15">
      <c r="G23" s="328"/>
      <c r="I23" s="329"/>
      <c r="J23" s="328"/>
      <c r="K23" s="328"/>
      <c r="L23" s="328"/>
      <c r="M23" s="328"/>
      <c r="O23" s="328"/>
    </row>
    <row r="24" spans="5:15">
      <c r="G24" s="328"/>
      <c r="J24" s="328"/>
      <c r="K24" s="328"/>
      <c r="L24" s="328"/>
      <c r="M24" s="328"/>
      <c r="O24" s="328"/>
    </row>
    <row r="25" spans="5:15">
      <c r="G25" s="328"/>
      <c r="I25" s="329"/>
      <c r="J25" s="328"/>
      <c r="K25" s="328"/>
      <c r="L25" s="328"/>
      <c r="M25" s="328"/>
      <c r="O25" s="328"/>
    </row>
    <row r="26" spans="5:15">
      <c r="G26" s="328"/>
      <c r="J26" s="328"/>
      <c r="K26" s="328"/>
      <c r="L26" s="328"/>
      <c r="M26" s="328"/>
      <c r="O26" s="328"/>
    </row>
    <row r="27" spans="5:15">
      <c r="G27" s="328"/>
      <c r="I27" s="329"/>
      <c r="J27" s="328"/>
      <c r="K27" s="328"/>
      <c r="L27" s="328"/>
      <c r="M27" s="328"/>
      <c r="O27" s="328"/>
    </row>
    <row r="28" spans="5:15">
      <c r="G28" s="328"/>
      <c r="J28" s="328"/>
      <c r="K28" s="328"/>
      <c r="L28" s="328"/>
      <c r="M28" s="328"/>
      <c r="O28" s="328"/>
    </row>
  </sheetData>
  <mergeCells count="6">
    <mergeCell ref="E18:N18"/>
    <mergeCell ref="A1:O1"/>
    <mergeCell ref="A2:O2"/>
    <mergeCell ref="A3:O3"/>
    <mergeCell ref="A4:O4"/>
    <mergeCell ref="E17:N17"/>
  </mergeCells>
  <printOptions horizontalCentered="1"/>
  <pageMargins left="0.5" right="0.5" top="0.75" bottom="0.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40"/>
  <sheetViews>
    <sheetView zoomScaleNormal="100" zoomScaleSheetLayoutView="100" workbookViewId="0">
      <selection activeCell="C19" sqref="C19"/>
    </sheetView>
  </sheetViews>
  <sheetFormatPr defaultColWidth="8.33203125" defaultRowHeight="12.75"/>
  <cols>
    <col min="1" max="1" width="5.6640625" style="334" customWidth="1"/>
    <col min="2" max="2" width="12.1640625" style="386" customWidth="1"/>
    <col min="3" max="3" width="54" style="386" customWidth="1"/>
    <col min="4" max="4" width="19.6640625" style="386" bestFit="1" customWidth="1"/>
    <col min="5" max="5" width="14.1640625" style="386" customWidth="1"/>
    <col min="6" max="6" width="18.1640625" style="386" bestFit="1" customWidth="1"/>
    <col min="7" max="7" width="14.6640625" style="386" bestFit="1" customWidth="1"/>
    <col min="8" max="8" width="20.5" style="386" customWidth="1"/>
    <col min="9" max="9" width="15.6640625" style="386" bestFit="1" customWidth="1"/>
    <col min="10" max="10" width="16.1640625" style="227" customWidth="1"/>
    <col min="11" max="11" width="15.1640625" style="227" bestFit="1" customWidth="1"/>
    <col min="12" max="12" width="3.5" style="227" customWidth="1"/>
    <col min="13" max="13" width="8.33203125" style="386"/>
    <col min="14" max="15" width="18.6640625" style="386" bestFit="1" customWidth="1"/>
    <col min="16" max="16" width="9" style="386" bestFit="1" customWidth="1"/>
    <col min="17" max="16384" width="8.33203125" style="386"/>
  </cols>
  <sheetData>
    <row r="1" spans="1:11">
      <c r="A1" s="1313" t="str">
        <f>'General Headers Index'!B4</f>
        <v>COLUMBIA GAS OF KENTUCKY, INC.</v>
      </c>
      <c r="B1" s="1313"/>
      <c r="C1" s="1313"/>
      <c r="D1" s="1313"/>
      <c r="E1" s="1313"/>
      <c r="F1" s="1313"/>
      <c r="G1" s="1313"/>
      <c r="H1" s="1313"/>
    </row>
    <row r="2" spans="1:11">
      <c r="A2" s="1313" t="str">
        <f>'General Headers Index'!B6</f>
        <v>CASE NO. 2024 - 00092</v>
      </c>
      <c r="B2" s="1313"/>
      <c r="C2" s="1313"/>
      <c r="D2" s="1313"/>
      <c r="E2" s="1313"/>
      <c r="F2" s="1313"/>
      <c r="G2" s="1313"/>
      <c r="H2" s="1313"/>
    </row>
    <row r="3" spans="1:11">
      <c r="A3" s="1313" t="s">
        <v>435</v>
      </c>
      <c r="B3" s="1313"/>
      <c r="C3" s="1313"/>
      <c r="D3" s="1313"/>
      <c r="E3" s="1313"/>
      <c r="F3" s="1313"/>
      <c r="G3" s="1313"/>
      <c r="H3" s="1313"/>
    </row>
    <row r="4" spans="1:11">
      <c r="A4" s="1313" t="str">
        <f>'General Headers Index'!B13</f>
        <v>SEPTEMBER 2023 TO AUGUST 2024</v>
      </c>
      <c r="B4" s="1313"/>
      <c r="C4" s="1313"/>
      <c r="D4" s="1313"/>
      <c r="E4" s="1313"/>
      <c r="F4" s="1313"/>
      <c r="G4" s="1313"/>
      <c r="H4" s="1313"/>
    </row>
    <row r="6" spans="1:11">
      <c r="A6" s="229" t="s">
        <v>2787</v>
      </c>
      <c r="H6" s="388" t="s">
        <v>436</v>
      </c>
    </row>
    <row r="7" spans="1:11">
      <c r="A7" s="229" t="str">
        <f>'General Headers Index'!B37</f>
        <v>TYPE OF FILING:___X___ORIGINAL______UPDATED</v>
      </c>
      <c r="H7" s="388" t="s">
        <v>536</v>
      </c>
    </row>
    <row r="8" spans="1:11">
      <c r="A8" s="403" t="s">
        <v>2469</v>
      </c>
      <c r="H8" s="326" t="str">
        <f>"WITNESS: "&amp;'General Headers Index'!B42</f>
        <v>WITNESS: GORE</v>
      </c>
      <c r="J8" s="957"/>
      <c r="K8" s="957"/>
    </row>
    <row r="9" spans="1:11">
      <c r="A9" s="403"/>
      <c r="H9" s="388"/>
      <c r="J9" s="957"/>
      <c r="K9" s="957"/>
    </row>
    <row r="10" spans="1:11">
      <c r="A10" s="404"/>
      <c r="B10" s="405"/>
      <c r="C10" s="405"/>
      <c r="D10" s="404" t="s">
        <v>502</v>
      </c>
      <c r="E10" s="405"/>
      <c r="F10" s="405"/>
      <c r="G10" s="406"/>
      <c r="H10" s="404" t="s">
        <v>502</v>
      </c>
      <c r="K10" s="957"/>
    </row>
    <row r="11" spans="1:11">
      <c r="A11" s="334" t="s">
        <v>313</v>
      </c>
      <c r="B11" s="334" t="s">
        <v>368</v>
      </c>
      <c r="C11" s="334"/>
      <c r="D11" s="334" t="s">
        <v>437</v>
      </c>
      <c r="H11" s="334" t="s">
        <v>439</v>
      </c>
      <c r="K11" s="957"/>
    </row>
    <row r="12" spans="1:11">
      <c r="A12" s="958" t="s">
        <v>316</v>
      </c>
      <c r="B12" s="958" t="s">
        <v>316</v>
      </c>
      <c r="C12" s="958" t="s">
        <v>440</v>
      </c>
      <c r="D12" s="958" t="s">
        <v>441</v>
      </c>
      <c r="E12" s="958" t="s">
        <v>442</v>
      </c>
      <c r="F12" s="958" t="s">
        <v>443</v>
      </c>
      <c r="G12" s="958" t="s">
        <v>676</v>
      </c>
      <c r="H12" s="958" t="s">
        <v>441</v>
      </c>
      <c r="K12" s="957"/>
    </row>
    <row r="13" spans="1:11">
      <c r="B13" s="334"/>
      <c r="C13" s="387"/>
      <c r="D13" s="300" t="s">
        <v>532</v>
      </c>
      <c r="E13" s="300" t="s">
        <v>541</v>
      </c>
      <c r="F13" s="300" t="s">
        <v>542</v>
      </c>
      <c r="G13" s="300" t="s">
        <v>668</v>
      </c>
      <c r="H13" s="300" t="s">
        <v>2635</v>
      </c>
      <c r="K13" s="957"/>
    </row>
    <row r="14" spans="1:11">
      <c r="D14" s="334" t="s">
        <v>320</v>
      </c>
      <c r="E14" s="334" t="s">
        <v>320</v>
      </c>
      <c r="F14" s="334" t="s">
        <v>320</v>
      </c>
      <c r="G14" s="334" t="s">
        <v>320</v>
      </c>
      <c r="H14" s="334" t="s">
        <v>320</v>
      </c>
      <c r="K14" s="957"/>
    </row>
    <row r="15" spans="1:11">
      <c r="D15" s="334"/>
      <c r="E15" s="334"/>
      <c r="F15" s="334"/>
      <c r="G15" s="334"/>
      <c r="H15" s="334"/>
      <c r="K15" s="957"/>
    </row>
    <row r="16" spans="1:11">
      <c r="A16" s="334">
        <v>1</v>
      </c>
      <c r="B16" s="407" t="s">
        <v>595</v>
      </c>
      <c r="C16" s="408"/>
      <c r="J16" s="1314"/>
      <c r="K16" s="1314"/>
    </row>
    <row r="17" spans="1:16">
      <c r="A17" s="334">
        <f>A16+1</f>
        <v>2</v>
      </c>
      <c r="C17" s="407" t="s">
        <v>373</v>
      </c>
    </row>
    <row r="18" spans="1:16">
      <c r="A18" s="334">
        <f t="shared" ref="A18:A24" si="0">A17+1</f>
        <v>3</v>
      </c>
      <c r="B18" s="294">
        <v>301</v>
      </c>
      <c r="C18" s="304" t="s">
        <v>596</v>
      </c>
      <c r="D18" s="313">
        <f>'WPB-2.1.C Plant Detail'!D930</f>
        <v>521.20000000000005</v>
      </c>
      <c r="E18" s="328">
        <f>'WPB-2.1.C Plant Detail'!E930+'WPB-2.1.C Plant Detail'!E1044+'WPB-2.1.C Plant Detail'!E1158+'WPB-2.1.C Plant Detail'!E1272+'WPB-2.1.C Plant Detail'!E1386+'WPB-2.1.C Plant Detail'!E1500+'WPB-2.1.C Plant Detail'!E1614+'WPB-2.1.C Plant Detail'!E1728+'WPB-2.1.C Plant Detail'!E1842+'WPB-2.1.C Plant Detail'!E1956+'WPB-2.1.C Plant Detail'!E2070+'WPB-2.1.C Plant Detail'!E2184</f>
        <v>0</v>
      </c>
      <c r="F18" s="328">
        <f>'WPB-2.1.C Plant Detail'!F930+'WPB-2.1.C Plant Detail'!F1044+'WPB-2.1.C Plant Detail'!F1158+'WPB-2.1.C Plant Detail'!F1272+'WPB-2.1.C Plant Detail'!F1386+'WPB-2.1.C Plant Detail'!F1500+'WPB-2.1.C Plant Detail'!F1614+'WPB-2.1.C Plant Detail'!F1728+'WPB-2.1.C Plant Detail'!F1842+'WPB-2.1.C Plant Detail'!F1956+'WPB-2.1.C Plant Detail'!F2070+'WPB-2.1.C Plant Detail'!F2184</f>
        <v>0</v>
      </c>
      <c r="G18" s="328">
        <v>0</v>
      </c>
      <c r="H18" s="372">
        <f t="shared" ref="H18:H23" si="1">SUM(D18:G18)</f>
        <v>521.20000000000005</v>
      </c>
      <c r="I18" s="372"/>
      <c r="J18" s="416"/>
      <c r="K18" s="416"/>
      <c r="L18" s="416"/>
      <c r="N18" s="412"/>
      <c r="O18" s="412"/>
      <c r="P18" s="409"/>
    </row>
    <row r="19" spans="1:16">
      <c r="A19" s="334">
        <f t="shared" si="0"/>
        <v>4</v>
      </c>
      <c r="B19" s="294">
        <v>303</v>
      </c>
      <c r="C19" s="304" t="s">
        <v>597</v>
      </c>
      <c r="D19" s="313">
        <f>'WPB-2.1.C Plant Detail'!D931</f>
        <v>96334.51</v>
      </c>
      <c r="E19" s="328">
        <f>'WPB-2.1.C Plant Detail'!E931+'WPB-2.1.C Plant Detail'!E1045+'WPB-2.1.C Plant Detail'!E1159+'WPB-2.1.C Plant Detail'!E1273+'WPB-2.1.C Plant Detail'!E1387+'WPB-2.1.C Plant Detail'!E1501+'WPB-2.1.C Plant Detail'!E1615+'WPB-2.1.C Plant Detail'!E1729+'WPB-2.1.C Plant Detail'!E1843+'WPB-2.1.C Plant Detail'!E1957+'WPB-2.1.C Plant Detail'!E2071+'WPB-2.1.C Plant Detail'!E2185</f>
        <v>0</v>
      </c>
      <c r="F19" s="328">
        <f>'WPB-2.1.C Plant Detail'!F931+'WPB-2.1.C Plant Detail'!F1045+'WPB-2.1.C Plant Detail'!F1159+'WPB-2.1.C Plant Detail'!F1273+'WPB-2.1.C Plant Detail'!F1387+'WPB-2.1.C Plant Detail'!F1501+'WPB-2.1.C Plant Detail'!F1615+'WPB-2.1.C Plant Detail'!F1729+'WPB-2.1.C Plant Detail'!F1843+'WPB-2.1.C Plant Detail'!F1957+'WPB-2.1.C Plant Detail'!F2071+'WPB-2.1.C Plant Detail'!F2185</f>
        <v>0</v>
      </c>
      <c r="G19" s="328">
        <v>0</v>
      </c>
      <c r="H19" s="372">
        <f t="shared" si="1"/>
        <v>96334.51</v>
      </c>
      <c r="I19" s="372"/>
      <c r="J19" s="416"/>
      <c r="K19" s="416"/>
      <c r="L19" s="416"/>
      <c r="N19" s="412"/>
      <c r="O19" s="412"/>
      <c r="P19" s="409"/>
    </row>
    <row r="20" spans="1:16">
      <c r="A20" s="334">
        <f t="shared" si="0"/>
        <v>5</v>
      </c>
      <c r="B20" s="294">
        <v>303.10000000000002</v>
      </c>
      <c r="C20" s="304" t="s">
        <v>598</v>
      </c>
      <c r="D20" s="313">
        <f>'WPB-2.1.C Plant Detail'!D932</f>
        <v>943.27</v>
      </c>
      <c r="E20" s="328">
        <f>'WPB-2.1.C Plant Detail'!E932+'WPB-2.1.C Plant Detail'!E1046+'WPB-2.1.C Plant Detail'!E1160+'WPB-2.1.C Plant Detail'!E1274+'WPB-2.1.C Plant Detail'!E1388+'WPB-2.1.C Plant Detail'!E1502+'WPB-2.1.C Plant Detail'!E1616+'WPB-2.1.C Plant Detail'!E1730+'WPB-2.1.C Plant Detail'!E1844+'WPB-2.1.C Plant Detail'!E1958+'WPB-2.1.C Plant Detail'!E2072+'WPB-2.1.C Plant Detail'!E2186</f>
        <v>0</v>
      </c>
      <c r="F20" s="328">
        <f>'WPB-2.1.C Plant Detail'!F932+'WPB-2.1.C Plant Detail'!F1046+'WPB-2.1.C Plant Detail'!F1160+'WPB-2.1.C Plant Detail'!F1274+'WPB-2.1.C Plant Detail'!F1388+'WPB-2.1.C Plant Detail'!F1502+'WPB-2.1.C Plant Detail'!F1616+'WPB-2.1.C Plant Detail'!F1730+'WPB-2.1.C Plant Detail'!F1844+'WPB-2.1.C Plant Detail'!F1958+'WPB-2.1.C Plant Detail'!F2072+'WPB-2.1.C Plant Detail'!F2186</f>
        <v>0</v>
      </c>
      <c r="G20" s="328">
        <v>0</v>
      </c>
      <c r="H20" s="372">
        <f t="shared" si="1"/>
        <v>943.27</v>
      </c>
      <c r="I20" s="372"/>
      <c r="J20" s="416"/>
      <c r="K20" s="416"/>
      <c r="L20" s="416"/>
      <c r="N20" s="412"/>
      <c r="O20" s="412"/>
      <c r="P20" s="409"/>
    </row>
    <row r="21" spans="1:16">
      <c r="A21" s="334">
        <f t="shared" si="0"/>
        <v>6</v>
      </c>
      <c r="B21" s="294">
        <v>303.2</v>
      </c>
      <c r="C21" s="304" t="s">
        <v>599</v>
      </c>
      <c r="D21" s="313">
        <f>'WPB-2.1.C Plant Detail'!D933</f>
        <v>0</v>
      </c>
      <c r="E21" s="328">
        <f>'WPB-2.1.C Plant Detail'!E933+'WPB-2.1.C Plant Detail'!E1047+'WPB-2.1.C Plant Detail'!E1161+'WPB-2.1.C Plant Detail'!E1275+'WPB-2.1.C Plant Detail'!E1389+'WPB-2.1.C Plant Detail'!E1503+'WPB-2.1.C Plant Detail'!E1617+'WPB-2.1.C Plant Detail'!E1731+'WPB-2.1.C Plant Detail'!E1845+'WPB-2.1.C Plant Detail'!E1959+'WPB-2.1.C Plant Detail'!E2073+'WPB-2.1.C Plant Detail'!E2187</f>
        <v>0</v>
      </c>
      <c r="F21" s="328">
        <f>'WPB-2.1.C Plant Detail'!F933+'WPB-2.1.C Plant Detail'!F1047+'WPB-2.1.C Plant Detail'!F1161+'WPB-2.1.C Plant Detail'!F1275+'WPB-2.1.C Plant Detail'!F1389+'WPB-2.1.C Plant Detail'!F1503+'WPB-2.1.C Plant Detail'!F1617+'WPB-2.1.C Plant Detail'!F1731+'WPB-2.1.C Plant Detail'!F1845+'WPB-2.1.C Plant Detail'!F1959+'WPB-2.1.C Plant Detail'!F2073+'WPB-2.1.C Plant Detail'!F2187</f>
        <v>0</v>
      </c>
      <c r="G21" s="328">
        <v>0</v>
      </c>
      <c r="H21" s="372">
        <f t="shared" si="1"/>
        <v>0</v>
      </c>
      <c r="I21" s="372"/>
      <c r="J21" s="416"/>
      <c r="K21" s="416"/>
      <c r="L21" s="416"/>
      <c r="N21" s="412"/>
      <c r="O21" s="412"/>
      <c r="P21" s="409"/>
    </row>
    <row r="22" spans="1:16">
      <c r="A22" s="334">
        <f t="shared" si="0"/>
        <v>7</v>
      </c>
      <c r="B22" s="294">
        <v>303.3</v>
      </c>
      <c r="C22" s="304" t="s">
        <v>600</v>
      </c>
      <c r="D22" s="313">
        <f>'WPB-2.1.C Plant Detail'!D934</f>
        <v>12577227.530000001</v>
      </c>
      <c r="E22" s="328">
        <f>'WPB-2.1.C Plant Detail'!E934+'WPB-2.1.C Plant Detail'!E1048+'WPB-2.1.C Plant Detail'!E1162+'WPB-2.1.C Plant Detail'!E1276+'WPB-2.1.C Plant Detail'!E1390+'WPB-2.1.C Plant Detail'!E1504+'WPB-2.1.C Plant Detail'!E1618+'WPB-2.1.C Plant Detail'!E1732+'WPB-2.1.C Plant Detail'!E1846+'WPB-2.1.C Plant Detail'!E1960+'WPB-2.1.C Plant Detail'!E2074+'WPB-2.1.C Plant Detail'!E2188</f>
        <v>3051090.6</v>
      </c>
      <c r="F22" s="328">
        <f>'WPB-2.1.C Plant Detail'!F934+'WPB-2.1.C Plant Detail'!F1048+'WPB-2.1.C Plant Detail'!F1162+'WPB-2.1.C Plant Detail'!F1276+'WPB-2.1.C Plant Detail'!F1390+'WPB-2.1.C Plant Detail'!F1504+'WPB-2.1.C Plant Detail'!F1618+'WPB-2.1.C Plant Detail'!F1732+'WPB-2.1.C Plant Detail'!F1846+'WPB-2.1.C Plant Detail'!F1960+'WPB-2.1.C Plant Detail'!F2074+'WPB-2.1.C Plant Detail'!F2188</f>
        <v>-3062568.42</v>
      </c>
      <c r="G22" s="328">
        <v>0</v>
      </c>
      <c r="H22" s="372">
        <f t="shared" si="1"/>
        <v>12565749.710000001</v>
      </c>
      <c r="I22" s="372"/>
      <c r="J22" s="416"/>
      <c r="K22" s="416"/>
      <c r="L22" s="416"/>
      <c r="O22" s="412"/>
      <c r="P22" s="409"/>
    </row>
    <row r="23" spans="1:16">
      <c r="A23" s="334">
        <f t="shared" si="0"/>
        <v>8</v>
      </c>
      <c r="B23" s="294">
        <v>303.99</v>
      </c>
      <c r="C23" s="304" t="s">
        <v>1135</v>
      </c>
      <c r="D23" s="896">
        <f>'WPB-2.1.C Plant Detail'!D935</f>
        <v>1956565.7100000002</v>
      </c>
      <c r="E23" s="894">
        <f>'WPB-2.1.C Plant Detail'!E935+'WPB-2.1.C Plant Detail'!E1049+'WPB-2.1.C Plant Detail'!E1163+'WPB-2.1.C Plant Detail'!E1277+'WPB-2.1.C Plant Detail'!E1391+'WPB-2.1.C Plant Detail'!E1505+'WPB-2.1.C Plant Detail'!E1619+'WPB-2.1.C Plant Detail'!E1733+'WPB-2.1.C Plant Detail'!E1847+'WPB-2.1.C Plant Detail'!E1961+'WPB-2.1.C Plant Detail'!E2075+'WPB-2.1.C Plant Detail'!E2189</f>
        <v>278837.28681037173</v>
      </c>
      <c r="F23" s="894">
        <f>'WPB-2.1.C Plant Detail'!F935+'WPB-2.1.C Plant Detail'!F1049+'WPB-2.1.C Plant Detail'!F1163+'WPB-2.1.C Plant Detail'!F1277+'WPB-2.1.C Plant Detail'!F1391+'WPB-2.1.C Plant Detail'!F1505+'WPB-2.1.C Plant Detail'!F1619+'WPB-2.1.C Plant Detail'!F1733+'WPB-2.1.C Plant Detail'!F1847+'WPB-2.1.C Plant Detail'!F1961+'WPB-2.1.C Plant Detail'!F2075+'WPB-2.1.C Plant Detail'!F2189</f>
        <v>-140812.67000000001</v>
      </c>
      <c r="G23" s="894">
        <v>0</v>
      </c>
      <c r="H23" s="959">
        <f t="shared" si="1"/>
        <v>2094590.3268103721</v>
      </c>
      <c r="I23" s="372"/>
      <c r="J23" s="416"/>
      <c r="K23" s="416"/>
      <c r="L23" s="416"/>
      <c r="N23" s="412"/>
      <c r="O23" s="412"/>
      <c r="P23" s="409"/>
    </row>
    <row r="24" spans="1:16">
      <c r="A24" s="334">
        <f t="shared" si="0"/>
        <v>9</v>
      </c>
      <c r="B24" s="294"/>
      <c r="C24" s="304" t="s">
        <v>601</v>
      </c>
      <c r="D24" s="372">
        <f>SUM(D18:D23)</f>
        <v>14631592.220000003</v>
      </c>
      <c r="E24" s="372">
        <f>SUM(E18:E23)</f>
        <v>3329927.8868103717</v>
      </c>
      <c r="F24" s="372">
        <f>SUM(F18:F23)</f>
        <v>-3203381.09</v>
      </c>
      <c r="G24" s="372">
        <f>SUM(G18:G23)</f>
        <v>0</v>
      </c>
      <c r="H24" s="372">
        <f>SUM(H18:H23)</f>
        <v>14758139.016810372</v>
      </c>
      <c r="I24" s="372"/>
      <c r="J24" s="416"/>
      <c r="N24" s="412"/>
      <c r="O24" s="412"/>
      <c r="P24" s="409"/>
    </row>
    <row r="25" spans="1:16">
      <c r="D25" s="372"/>
      <c r="E25" s="372"/>
      <c r="F25" s="372"/>
      <c r="G25" s="372"/>
      <c r="H25" s="372"/>
      <c r="I25" s="372"/>
      <c r="J25" s="416"/>
      <c r="N25" s="412"/>
      <c r="O25" s="412"/>
      <c r="P25" s="409"/>
    </row>
    <row r="26" spans="1:16">
      <c r="A26" s="334">
        <f>A24+1</f>
        <v>10</v>
      </c>
      <c r="C26" s="407" t="s">
        <v>381</v>
      </c>
      <c r="D26" s="372"/>
      <c r="E26" s="372"/>
      <c r="F26" s="372"/>
      <c r="G26" s="372"/>
      <c r="H26" s="372"/>
      <c r="I26" s="372"/>
      <c r="J26" s="416"/>
      <c r="N26" s="412"/>
      <c r="P26" s="409"/>
    </row>
    <row r="27" spans="1:16">
      <c r="A27" s="334">
        <f>A26+1</f>
        <v>11</v>
      </c>
      <c r="B27" s="294">
        <v>374.1</v>
      </c>
      <c r="C27" s="304" t="s">
        <v>602</v>
      </c>
      <c r="D27" s="313">
        <f>'WPB-2.1.C Plant Detail'!D939</f>
        <v>206</v>
      </c>
      <c r="E27" s="328">
        <f>'WPB-2.1.C Plant Detail'!E939+'WPB-2.1.C Plant Detail'!E1053+'WPB-2.1.C Plant Detail'!E1167+'WPB-2.1.C Plant Detail'!E1281+'WPB-2.1.C Plant Detail'!E1395+'WPB-2.1.C Plant Detail'!E1509+'WPB-2.1.C Plant Detail'!E1623+'WPB-2.1.C Plant Detail'!E1737+'WPB-2.1.C Plant Detail'!E1851+'WPB-2.1.C Plant Detail'!E1965+'WPB-2.1.C Plant Detail'!E2079+'WPB-2.1.C Plant Detail'!E2193</f>
        <v>0</v>
      </c>
      <c r="F27" s="328">
        <f>'WPB-2.1.C Plant Detail'!F939+'WPB-2.1.C Plant Detail'!F1053+'WPB-2.1.C Plant Detail'!F1167+'WPB-2.1.C Plant Detail'!F1281+'WPB-2.1.C Plant Detail'!F1395+'WPB-2.1.C Plant Detail'!F1509+'WPB-2.1.C Plant Detail'!F1623+'WPB-2.1.C Plant Detail'!F1737+'WPB-2.1.C Plant Detail'!F1851+'WPB-2.1.C Plant Detail'!F1965+'WPB-2.1.C Plant Detail'!F2079+'WPB-2.1.C Plant Detail'!F2193</f>
        <v>-0.6</v>
      </c>
      <c r="G27" s="328">
        <v>0</v>
      </c>
      <c r="H27" s="372">
        <f t="shared" ref="H27:H43" si="2">SUM(D27:G27)</f>
        <v>205.4</v>
      </c>
      <c r="I27" s="372"/>
      <c r="J27" s="416"/>
      <c r="N27" s="412"/>
      <c r="O27" s="412"/>
      <c r="P27" s="409"/>
    </row>
    <row r="28" spans="1:16">
      <c r="A28" s="334">
        <f t="shared" ref="A28:A57" si="3">A27+1</f>
        <v>12</v>
      </c>
      <c r="B28" s="294">
        <v>374.2</v>
      </c>
      <c r="C28" s="304" t="s">
        <v>603</v>
      </c>
      <c r="D28" s="313">
        <f>'WPB-2.1.C Plant Detail'!D940</f>
        <v>876986.66</v>
      </c>
      <c r="E28" s="328">
        <f>'WPB-2.1.C Plant Detail'!E940+'WPB-2.1.C Plant Detail'!E1054+'WPB-2.1.C Plant Detail'!E1168+'WPB-2.1.C Plant Detail'!E1282+'WPB-2.1.C Plant Detail'!E1396+'WPB-2.1.C Plant Detail'!E1510+'WPB-2.1.C Plant Detail'!E1624+'WPB-2.1.C Plant Detail'!E1738+'WPB-2.1.C Plant Detail'!E1852+'WPB-2.1.C Plant Detail'!E1966+'WPB-2.1.C Plant Detail'!E2080+'WPB-2.1.C Plant Detail'!E2194</f>
        <v>0</v>
      </c>
      <c r="F28" s="328">
        <f>'WPB-2.1.C Plant Detail'!F940+'WPB-2.1.C Plant Detail'!F1054+'WPB-2.1.C Plant Detail'!F1168+'WPB-2.1.C Plant Detail'!F1282+'WPB-2.1.C Plant Detail'!F1396+'WPB-2.1.C Plant Detail'!F1510+'WPB-2.1.C Plant Detail'!F1624+'WPB-2.1.C Plant Detail'!F1738+'WPB-2.1.C Plant Detail'!F1852+'WPB-2.1.C Plant Detail'!F1966+'WPB-2.1.C Plant Detail'!F2080+'WPB-2.1.C Plant Detail'!F2194</f>
        <v>0</v>
      </c>
      <c r="G28" s="328">
        <v>0</v>
      </c>
      <c r="H28" s="372">
        <f t="shared" si="2"/>
        <v>876986.66</v>
      </c>
      <c r="I28" s="372"/>
      <c r="J28" s="416"/>
      <c r="N28" s="412"/>
      <c r="O28" s="412"/>
      <c r="P28" s="409"/>
    </row>
    <row r="29" spans="1:16">
      <c r="A29" s="334">
        <f t="shared" si="3"/>
        <v>13</v>
      </c>
      <c r="B29" s="294">
        <v>374.4</v>
      </c>
      <c r="C29" s="304" t="s">
        <v>604</v>
      </c>
      <c r="D29" s="313">
        <f>'WPB-2.1.C Plant Detail'!D941</f>
        <v>2861108.18</v>
      </c>
      <c r="E29" s="328">
        <f>'WPB-2.1.C Plant Detail'!E941+'WPB-2.1.C Plant Detail'!E1055+'WPB-2.1.C Plant Detail'!E1169+'WPB-2.1.C Plant Detail'!E1283+'WPB-2.1.C Plant Detail'!E1397+'WPB-2.1.C Plant Detail'!E1511+'WPB-2.1.C Plant Detail'!E1625+'WPB-2.1.C Plant Detail'!E1739+'WPB-2.1.C Plant Detail'!E1853+'WPB-2.1.C Plant Detail'!E1967+'WPB-2.1.C Plant Detail'!E2081+'WPB-2.1.C Plant Detail'!E2195</f>
        <v>244593.19999999998</v>
      </c>
      <c r="F29" s="328">
        <f>'WPB-2.1.C Plant Detail'!F941+'WPB-2.1.C Plant Detail'!F1055+'WPB-2.1.C Plant Detail'!F1169+'WPB-2.1.C Plant Detail'!F1283+'WPB-2.1.C Plant Detail'!F1397+'WPB-2.1.C Plant Detail'!F1511+'WPB-2.1.C Plant Detail'!F1625+'WPB-2.1.C Plant Detail'!F1739+'WPB-2.1.C Plant Detail'!F1853+'WPB-2.1.C Plant Detail'!F1967+'WPB-2.1.C Plant Detail'!F2081+'WPB-2.1.C Plant Detail'!F2195</f>
        <v>-0.16</v>
      </c>
      <c r="G29" s="328">
        <v>0</v>
      </c>
      <c r="H29" s="372">
        <f t="shared" si="2"/>
        <v>3105701.22</v>
      </c>
      <c r="I29" s="372"/>
      <c r="J29" s="416"/>
      <c r="N29" s="412"/>
      <c r="O29" s="412"/>
      <c r="P29" s="409"/>
    </row>
    <row r="30" spans="1:16">
      <c r="A30" s="334">
        <f t="shared" si="3"/>
        <v>14</v>
      </c>
      <c r="B30" s="294">
        <v>374.5</v>
      </c>
      <c r="C30" s="304" t="s">
        <v>605</v>
      </c>
      <c r="D30" s="313">
        <f>'WPB-2.1.C Plant Detail'!D942</f>
        <v>2666577.16</v>
      </c>
      <c r="E30" s="328">
        <f>'WPB-2.1.C Plant Detail'!E942+'WPB-2.1.C Plant Detail'!E1056+'WPB-2.1.C Plant Detail'!E1170+'WPB-2.1.C Plant Detail'!E1284+'WPB-2.1.C Plant Detail'!E1398+'WPB-2.1.C Plant Detail'!E1512+'WPB-2.1.C Plant Detail'!E1626+'WPB-2.1.C Plant Detail'!E1740+'WPB-2.1.C Plant Detail'!E1854+'WPB-2.1.C Plant Detail'!E1968+'WPB-2.1.C Plant Detail'!E2082+'WPB-2.1.C Plant Detail'!E2196</f>
        <v>0</v>
      </c>
      <c r="F30" s="328">
        <f>'WPB-2.1.C Plant Detail'!F942+'WPB-2.1.C Plant Detail'!F1056+'WPB-2.1.C Plant Detail'!F1170+'WPB-2.1.C Plant Detail'!F1284+'WPB-2.1.C Plant Detail'!F1398+'WPB-2.1.C Plant Detail'!F1512+'WPB-2.1.C Plant Detail'!F1626+'WPB-2.1.C Plant Detail'!F1740+'WPB-2.1.C Plant Detail'!F1854+'WPB-2.1.C Plant Detail'!F1968+'WPB-2.1.C Plant Detail'!F2082+'WPB-2.1.C Plant Detail'!F2196</f>
        <v>0</v>
      </c>
      <c r="G30" s="328">
        <v>0</v>
      </c>
      <c r="H30" s="372">
        <f t="shared" si="2"/>
        <v>2666577.16</v>
      </c>
      <c r="I30" s="372"/>
      <c r="J30" s="416"/>
      <c r="N30" s="412"/>
      <c r="O30" s="412"/>
      <c r="P30" s="409"/>
    </row>
    <row r="31" spans="1:16">
      <c r="A31" s="334">
        <f t="shared" si="3"/>
        <v>15</v>
      </c>
      <c r="B31" s="294">
        <v>375.2</v>
      </c>
      <c r="C31" s="304" t="s">
        <v>606</v>
      </c>
      <c r="D31" s="313">
        <f>'WPB-2.1.C Plant Detail'!D943</f>
        <v>2124.98</v>
      </c>
      <c r="E31" s="328">
        <f>'WPB-2.1.C Plant Detail'!E943+'WPB-2.1.C Plant Detail'!E1057+'WPB-2.1.C Plant Detail'!E1171+'WPB-2.1.C Plant Detail'!E1285+'WPB-2.1.C Plant Detail'!E1399+'WPB-2.1.C Plant Detail'!E1513+'WPB-2.1.C Plant Detail'!E1627+'WPB-2.1.C Plant Detail'!E1741+'WPB-2.1.C Plant Detail'!E1855+'WPB-2.1.C Plant Detail'!E1969+'WPB-2.1.C Plant Detail'!E2083+'WPB-2.1.C Plant Detail'!E2197</f>
        <v>0</v>
      </c>
      <c r="F31" s="328">
        <f>'WPB-2.1.C Plant Detail'!F943+'WPB-2.1.C Plant Detail'!F1057+'WPB-2.1.C Plant Detail'!F1171+'WPB-2.1.C Plant Detail'!F1285+'WPB-2.1.C Plant Detail'!F1399+'WPB-2.1.C Plant Detail'!F1513+'WPB-2.1.C Plant Detail'!F1627+'WPB-2.1.C Plant Detail'!F1741+'WPB-2.1.C Plant Detail'!F1855+'WPB-2.1.C Plant Detail'!F1969+'WPB-2.1.C Plant Detail'!F2083+'WPB-2.1.C Plant Detail'!F2197</f>
        <v>0</v>
      </c>
      <c r="G31" s="328">
        <v>0</v>
      </c>
      <c r="H31" s="372">
        <f t="shared" si="2"/>
        <v>2124.98</v>
      </c>
      <c r="I31" s="372"/>
      <c r="J31" s="416"/>
      <c r="N31" s="412"/>
      <c r="O31" s="412"/>
      <c r="P31" s="409"/>
    </row>
    <row r="32" spans="1:16">
      <c r="A32" s="334">
        <f t="shared" si="3"/>
        <v>16</v>
      </c>
      <c r="B32" s="294">
        <v>375.3</v>
      </c>
      <c r="C32" s="304" t="s">
        <v>607</v>
      </c>
      <c r="D32" s="313">
        <f>'WPB-2.1.C Plant Detail'!D944</f>
        <v>0</v>
      </c>
      <c r="E32" s="328">
        <f>'WPB-2.1.C Plant Detail'!E944+'WPB-2.1.C Plant Detail'!E1058+'WPB-2.1.C Plant Detail'!E1172+'WPB-2.1.C Plant Detail'!E1286+'WPB-2.1.C Plant Detail'!E1400+'WPB-2.1.C Plant Detail'!E1514+'WPB-2.1.C Plant Detail'!E1628+'WPB-2.1.C Plant Detail'!E1742+'WPB-2.1.C Plant Detail'!E1856+'WPB-2.1.C Plant Detail'!E1970+'WPB-2.1.C Plant Detail'!E2084+'WPB-2.1.C Plant Detail'!E2198</f>
        <v>0</v>
      </c>
      <c r="F32" s="328">
        <f>'WPB-2.1.C Plant Detail'!F944+'WPB-2.1.C Plant Detail'!F1058+'WPB-2.1.C Plant Detail'!F1172+'WPB-2.1.C Plant Detail'!F1286+'WPB-2.1.C Plant Detail'!F1400+'WPB-2.1.C Plant Detail'!F1514+'WPB-2.1.C Plant Detail'!F1628+'WPB-2.1.C Plant Detail'!F1742+'WPB-2.1.C Plant Detail'!F1856+'WPB-2.1.C Plant Detail'!F1970+'WPB-2.1.C Plant Detail'!F2084+'WPB-2.1.C Plant Detail'!F2198</f>
        <v>0</v>
      </c>
      <c r="G32" s="328">
        <v>0</v>
      </c>
      <c r="H32" s="372">
        <f t="shared" si="2"/>
        <v>0</v>
      </c>
      <c r="I32" s="372"/>
      <c r="J32" s="416"/>
      <c r="N32" s="412"/>
      <c r="O32" s="412"/>
      <c r="P32" s="409"/>
    </row>
    <row r="33" spans="1:16">
      <c r="A33" s="334">
        <f t="shared" si="3"/>
        <v>17</v>
      </c>
      <c r="B33" s="294">
        <v>375.4</v>
      </c>
      <c r="C33" s="304" t="s">
        <v>608</v>
      </c>
      <c r="D33" s="313">
        <f>'WPB-2.1.C Plant Detail'!D945</f>
        <v>2987096.9299999992</v>
      </c>
      <c r="E33" s="328">
        <f>'WPB-2.1.C Plant Detail'!E945+'WPB-2.1.C Plant Detail'!E1059+'WPB-2.1.C Plant Detail'!E1173+'WPB-2.1.C Plant Detail'!E1287+'WPB-2.1.C Plant Detail'!E1401+'WPB-2.1.C Plant Detail'!E1515+'WPB-2.1.C Plant Detail'!E1629+'WPB-2.1.C Plant Detail'!E1743+'WPB-2.1.C Plant Detail'!E1857+'WPB-2.1.C Plant Detail'!E1971+'WPB-2.1.C Plant Detail'!E2085+'WPB-2.1.C Plant Detail'!E2199</f>
        <v>348728.29000000004</v>
      </c>
      <c r="F33" s="328">
        <f>'WPB-2.1.C Plant Detail'!F945+'WPB-2.1.C Plant Detail'!F1059+'WPB-2.1.C Plant Detail'!F1173+'WPB-2.1.C Plant Detail'!F1287+'WPB-2.1.C Plant Detail'!F1401+'WPB-2.1.C Plant Detail'!F1515+'WPB-2.1.C Plant Detail'!F1629+'WPB-2.1.C Plant Detail'!F1743+'WPB-2.1.C Plant Detail'!F1857+'WPB-2.1.C Plant Detail'!F1971+'WPB-2.1.C Plant Detail'!F2085+'WPB-2.1.C Plant Detail'!F2199</f>
        <v>-25176.959999999999</v>
      </c>
      <c r="G33" s="328">
        <v>0</v>
      </c>
      <c r="H33" s="372">
        <f t="shared" si="2"/>
        <v>3310648.2599999993</v>
      </c>
      <c r="I33" s="372"/>
      <c r="J33" s="416"/>
      <c r="N33" s="412"/>
      <c r="O33" s="412"/>
      <c r="P33" s="409"/>
    </row>
    <row r="34" spans="1:16">
      <c r="A34" s="334">
        <f t="shared" si="3"/>
        <v>18</v>
      </c>
      <c r="B34" s="294">
        <v>375.6</v>
      </c>
      <c r="C34" s="304" t="s">
        <v>609</v>
      </c>
      <c r="D34" s="313">
        <f>'WPB-2.1.C Plant Detail'!D946</f>
        <v>0</v>
      </c>
      <c r="E34" s="328">
        <f>'WPB-2.1.C Plant Detail'!E946+'WPB-2.1.C Plant Detail'!E1060+'WPB-2.1.C Plant Detail'!E1174+'WPB-2.1.C Plant Detail'!E1288+'WPB-2.1.C Plant Detail'!E1402+'WPB-2.1.C Plant Detail'!E1516+'WPB-2.1.C Plant Detail'!E1630+'WPB-2.1.C Plant Detail'!E1744+'WPB-2.1.C Plant Detail'!E1858+'WPB-2.1.C Plant Detail'!E1972+'WPB-2.1.C Plant Detail'!E2086+'WPB-2.1.C Plant Detail'!E2200</f>
        <v>0</v>
      </c>
      <c r="F34" s="328">
        <f>'WPB-2.1.C Plant Detail'!F946+'WPB-2.1.C Plant Detail'!F1060+'WPB-2.1.C Plant Detail'!F1174+'WPB-2.1.C Plant Detail'!F1288+'WPB-2.1.C Plant Detail'!F1402+'WPB-2.1.C Plant Detail'!F1516+'WPB-2.1.C Plant Detail'!F1630+'WPB-2.1.C Plant Detail'!F1744+'WPB-2.1.C Plant Detail'!F1858+'WPB-2.1.C Plant Detail'!F1972+'WPB-2.1.C Plant Detail'!F2086+'WPB-2.1.C Plant Detail'!F2200</f>
        <v>0</v>
      </c>
      <c r="G34" s="328">
        <v>0</v>
      </c>
      <c r="H34" s="372">
        <f t="shared" si="2"/>
        <v>0</v>
      </c>
      <c r="I34" s="372"/>
      <c r="J34" s="416"/>
      <c r="N34" s="412"/>
      <c r="O34" s="412"/>
      <c r="P34" s="409"/>
    </row>
    <row r="35" spans="1:16">
      <c r="A35" s="334">
        <f t="shared" si="3"/>
        <v>19</v>
      </c>
      <c r="B35" s="294">
        <v>375.7</v>
      </c>
      <c r="C35" s="304" t="s">
        <v>610</v>
      </c>
      <c r="D35" s="313">
        <f>'WPB-2.1.C Plant Detail'!D947</f>
        <v>9423416.1899999995</v>
      </c>
      <c r="E35" s="328">
        <f>'WPB-2.1.C Plant Detail'!E947+'WPB-2.1.C Plant Detail'!E1061+'WPB-2.1.C Plant Detail'!E1175+'WPB-2.1.C Plant Detail'!E1289+'WPB-2.1.C Plant Detail'!E1403+'WPB-2.1.C Plant Detail'!E1517+'WPB-2.1.C Plant Detail'!E1631+'WPB-2.1.C Plant Detail'!E1745+'WPB-2.1.C Plant Detail'!E1859+'WPB-2.1.C Plant Detail'!E1973+'WPB-2.1.C Plant Detail'!E2087+'WPB-2.1.C Plant Detail'!E2201</f>
        <v>236747.82000000004</v>
      </c>
      <c r="F35" s="328">
        <f>'WPB-2.1.C Plant Detail'!F947+'WPB-2.1.C Plant Detail'!F1061+'WPB-2.1.C Plant Detail'!F1175+'WPB-2.1.C Plant Detail'!F1289+'WPB-2.1.C Plant Detail'!F1403+'WPB-2.1.C Plant Detail'!F1517+'WPB-2.1.C Plant Detail'!F1631+'WPB-2.1.C Plant Detail'!F1745+'WPB-2.1.C Plant Detail'!F1859+'WPB-2.1.C Plant Detail'!F1973+'WPB-2.1.C Plant Detail'!F2087+'WPB-2.1.C Plant Detail'!F2201</f>
        <v>-6808.5</v>
      </c>
      <c r="G35" s="328">
        <v>0</v>
      </c>
      <c r="H35" s="372">
        <f t="shared" si="2"/>
        <v>9653355.5099999998</v>
      </c>
      <c r="I35" s="372"/>
      <c r="J35" s="416"/>
      <c r="N35" s="412"/>
      <c r="O35" s="412"/>
      <c r="P35" s="409"/>
    </row>
    <row r="36" spans="1:16">
      <c r="A36" s="334">
        <f t="shared" si="3"/>
        <v>20</v>
      </c>
      <c r="B36" s="294">
        <v>375.71</v>
      </c>
      <c r="C36" s="304" t="s">
        <v>611</v>
      </c>
      <c r="D36" s="313">
        <f>'WPB-2.1.C Plant Detail'!D948</f>
        <v>880994.59</v>
      </c>
      <c r="E36" s="328">
        <f>'WPB-2.1.C Plant Detail'!E948+'WPB-2.1.C Plant Detail'!E1062+'WPB-2.1.C Plant Detail'!E1176+'WPB-2.1.C Plant Detail'!E1290+'WPB-2.1.C Plant Detail'!E1404+'WPB-2.1.C Plant Detail'!E1518+'WPB-2.1.C Plant Detail'!E1632+'WPB-2.1.C Plant Detail'!E1746+'WPB-2.1.C Plant Detail'!E1860+'WPB-2.1.C Plant Detail'!E1974+'WPB-2.1.C Plant Detail'!E2088+'WPB-2.1.C Plant Detail'!E2202</f>
        <v>0</v>
      </c>
      <c r="F36" s="328">
        <f>'WPB-2.1.C Plant Detail'!F948+'WPB-2.1.C Plant Detail'!F1062+'WPB-2.1.C Plant Detail'!F1176+'WPB-2.1.C Plant Detail'!F1290+'WPB-2.1.C Plant Detail'!F1404+'WPB-2.1.C Plant Detail'!F1518+'WPB-2.1.C Plant Detail'!F1632+'WPB-2.1.C Plant Detail'!F1746+'WPB-2.1.C Plant Detail'!F1860+'WPB-2.1.C Plant Detail'!F1974+'WPB-2.1.C Plant Detail'!F2088+'WPB-2.1.C Plant Detail'!F2202</f>
        <v>0</v>
      </c>
      <c r="G36" s="328">
        <v>0</v>
      </c>
      <c r="H36" s="372">
        <f t="shared" si="2"/>
        <v>880994.59</v>
      </c>
      <c r="I36" s="372"/>
      <c r="J36" s="416"/>
      <c r="N36" s="412"/>
      <c r="O36" s="412"/>
      <c r="P36" s="409"/>
    </row>
    <row r="37" spans="1:16">
      <c r="A37" s="334">
        <f t="shared" si="3"/>
        <v>21</v>
      </c>
      <c r="B37" s="294">
        <v>375.8</v>
      </c>
      <c r="C37" s="304" t="s">
        <v>612</v>
      </c>
      <c r="D37" s="313">
        <f>'WPB-2.1.C Plant Detail'!D949</f>
        <v>132125.04</v>
      </c>
      <c r="E37" s="328">
        <f>'WPB-2.1.C Plant Detail'!E949+'WPB-2.1.C Plant Detail'!E1063+'WPB-2.1.C Plant Detail'!E1177+'WPB-2.1.C Plant Detail'!E1291+'WPB-2.1.C Plant Detail'!E1405+'WPB-2.1.C Plant Detail'!E1519+'WPB-2.1.C Plant Detail'!E1633+'WPB-2.1.C Plant Detail'!E1747+'WPB-2.1.C Plant Detail'!E1861+'WPB-2.1.C Plant Detail'!E1975+'WPB-2.1.C Plant Detail'!E2089+'WPB-2.1.C Plant Detail'!E2203</f>
        <v>0</v>
      </c>
      <c r="F37" s="328">
        <f>'WPB-2.1.C Plant Detail'!F949+'WPB-2.1.C Plant Detail'!F1063+'WPB-2.1.C Plant Detail'!F1177+'WPB-2.1.C Plant Detail'!F1291+'WPB-2.1.C Plant Detail'!F1405+'WPB-2.1.C Plant Detail'!F1519+'WPB-2.1.C Plant Detail'!F1633+'WPB-2.1.C Plant Detail'!F1747+'WPB-2.1.C Plant Detail'!F1861+'WPB-2.1.C Plant Detail'!F1975+'WPB-2.1.C Plant Detail'!F2089+'WPB-2.1.C Plant Detail'!F2203</f>
        <v>0</v>
      </c>
      <c r="G37" s="328">
        <v>0</v>
      </c>
      <c r="H37" s="372">
        <f t="shared" si="2"/>
        <v>132125.04</v>
      </c>
      <c r="I37" s="372"/>
      <c r="J37" s="416"/>
      <c r="N37" s="412"/>
      <c r="O37" s="412"/>
      <c r="P37" s="409"/>
    </row>
    <row r="38" spans="1:16">
      <c r="A38" s="334">
        <f t="shared" si="3"/>
        <v>22</v>
      </c>
      <c r="B38" s="294">
        <v>376</v>
      </c>
      <c r="C38" s="220" t="s">
        <v>2889</v>
      </c>
      <c r="D38" s="313">
        <f>'WPB-2.1.C Plant Detail'!D950</f>
        <v>404890818.35999995</v>
      </c>
      <c r="E38" s="328">
        <f>'WPB-2.1.C Plant Detail'!E950+'WPB-2.1.C Plant Detail'!E1064+'WPB-2.1.C Plant Detail'!E1178+'WPB-2.1.C Plant Detail'!E1292+'WPB-2.1.C Plant Detail'!E1406+'WPB-2.1.C Plant Detail'!E1520+'WPB-2.1.C Plant Detail'!E1634+'WPB-2.1.C Plant Detail'!E1748+'WPB-2.1.C Plant Detail'!E1862+'WPB-2.1.C Plant Detail'!E1976+'WPB-2.1.C Plant Detail'!E2090+'WPB-2.1.C Plant Detail'!E2204</f>
        <v>12049754.607431831</v>
      </c>
      <c r="F38" s="328">
        <f>'WPB-2.1.C Plant Detail'!F950+'WPB-2.1.C Plant Detail'!F1064+'WPB-2.1.C Plant Detail'!F1178+'WPB-2.1.C Plant Detail'!F1292+'WPB-2.1.C Plant Detail'!F1406+'WPB-2.1.C Plant Detail'!F1520+'WPB-2.1.C Plant Detail'!F1634+'WPB-2.1.C Plant Detail'!F1748+'WPB-2.1.C Plant Detail'!F1862+'WPB-2.1.C Plant Detail'!F1976+'WPB-2.1.C Plant Detail'!F2090+'WPB-2.1.C Plant Detail'!F2204</f>
        <v>-1331095.5360257302</v>
      </c>
      <c r="G38" s="328">
        <v>0</v>
      </c>
      <c r="H38" s="372">
        <f t="shared" si="2"/>
        <v>415609477.43140608</v>
      </c>
      <c r="I38" s="372"/>
      <c r="J38" s="416"/>
      <c r="N38" s="412"/>
      <c r="O38" s="412"/>
      <c r="P38" s="409"/>
    </row>
    <row r="39" spans="1:16">
      <c r="A39" s="334">
        <f t="shared" si="3"/>
        <v>23</v>
      </c>
      <c r="B39" s="294">
        <v>378.1</v>
      </c>
      <c r="C39" s="304" t="s">
        <v>613</v>
      </c>
      <c r="D39" s="313">
        <f>'WPB-2.1.C Plant Detail'!D951</f>
        <v>571573.2300000001</v>
      </c>
      <c r="E39" s="328">
        <f>'WPB-2.1.C Plant Detail'!E951+'WPB-2.1.C Plant Detail'!E1065+'WPB-2.1.C Plant Detail'!E1179+'WPB-2.1.C Plant Detail'!E1293+'WPB-2.1.C Plant Detail'!E1407+'WPB-2.1.C Plant Detail'!E1521+'WPB-2.1.C Plant Detail'!E1635+'WPB-2.1.C Plant Detail'!E1749+'WPB-2.1.C Plant Detail'!E1863+'WPB-2.1.C Plant Detail'!E1977+'WPB-2.1.C Plant Detail'!E2091+'WPB-2.1.C Plant Detail'!E2205</f>
        <v>0</v>
      </c>
      <c r="F39" s="328">
        <f>'WPB-2.1.C Plant Detail'!F951+'WPB-2.1.C Plant Detail'!F1065+'WPB-2.1.C Plant Detail'!F1179+'WPB-2.1.C Plant Detail'!F1293+'WPB-2.1.C Plant Detail'!F1407+'WPB-2.1.C Plant Detail'!F1521+'WPB-2.1.C Plant Detail'!F1635+'WPB-2.1.C Plant Detail'!F1749+'WPB-2.1.C Plant Detail'!F1863+'WPB-2.1.C Plant Detail'!F1977+'WPB-2.1.C Plant Detail'!F2091+'WPB-2.1.C Plant Detail'!F2205</f>
        <v>-444973.09</v>
      </c>
      <c r="G39" s="328">
        <v>0</v>
      </c>
      <c r="H39" s="372">
        <f t="shared" si="2"/>
        <v>126600.14000000007</v>
      </c>
      <c r="I39" s="372"/>
      <c r="J39" s="416"/>
      <c r="N39" s="412"/>
      <c r="O39" s="412"/>
      <c r="P39" s="409"/>
    </row>
    <row r="40" spans="1:16">
      <c r="A40" s="334">
        <f t="shared" si="3"/>
        <v>24</v>
      </c>
      <c r="B40" s="294">
        <v>378.2</v>
      </c>
      <c r="C40" s="220" t="s">
        <v>2890</v>
      </c>
      <c r="D40" s="313">
        <f>'WPB-2.1.C Plant Detail'!D952</f>
        <v>25274999.670000002</v>
      </c>
      <c r="E40" s="328">
        <f>'WPB-2.1.C Plant Detail'!E952+'WPB-2.1.C Plant Detail'!E1066+'WPB-2.1.C Plant Detail'!E1180+'WPB-2.1.C Plant Detail'!E1294+'WPB-2.1.C Plant Detail'!E1408+'WPB-2.1.C Plant Detail'!E1522+'WPB-2.1.C Plant Detail'!E1636+'WPB-2.1.C Plant Detail'!E1750+'WPB-2.1.C Plant Detail'!E1864+'WPB-2.1.C Plant Detail'!E1978+'WPB-2.1.C Plant Detail'!E2092+'WPB-2.1.C Plant Detail'!E2206</f>
        <v>2155716.8778516497</v>
      </c>
      <c r="F40" s="328">
        <f>'WPB-2.1.C Plant Detail'!F952+'WPB-2.1.C Plant Detail'!F1066+'WPB-2.1.C Plant Detail'!F1180+'WPB-2.1.C Plant Detail'!F1294+'WPB-2.1.C Plant Detail'!F1408+'WPB-2.1.C Plant Detail'!F1522+'WPB-2.1.C Plant Detail'!F1636+'WPB-2.1.C Plant Detail'!F1750+'WPB-2.1.C Plant Detail'!F1864+'WPB-2.1.C Plant Detail'!F1978+'WPB-2.1.C Plant Detail'!F2092+'WPB-2.1.C Plant Detail'!F2206</f>
        <v>-26558.96594531084</v>
      </c>
      <c r="G40" s="328">
        <v>0</v>
      </c>
      <c r="H40" s="372">
        <f t="shared" si="2"/>
        <v>27404157.581906341</v>
      </c>
      <c r="I40" s="372"/>
      <c r="J40" s="416"/>
      <c r="N40" s="412"/>
      <c r="O40" s="412"/>
      <c r="P40" s="409"/>
    </row>
    <row r="41" spans="1:16">
      <c r="A41" s="334">
        <f t="shared" si="3"/>
        <v>25</v>
      </c>
      <c r="B41" s="294">
        <v>378.3</v>
      </c>
      <c r="C41" s="304" t="s">
        <v>614</v>
      </c>
      <c r="D41" s="313">
        <f>'WPB-2.1.C Plant Detail'!D953</f>
        <v>45443.08</v>
      </c>
      <c r="E41" s="328">
        <f>'WPB-2.1.C Plant Detail'!E953+'WPB-2.1.C Plant Detail'!E1067+'WPB-2.1.C Plant Detail'!E1181+'WPB-2.1.C Plant Detail'!E1295+'WPB-2.1.C Plant Detail'!E1409+'WPB-2.1.C Plant Detail'!E1523+'WPB-2.1.C Plant Detail'!E1637+'WPB-2.1.C Plant Detail'!E1751+'WPB-2.1.C Plant Detail'!E1865+'WPB-2.1.C Plant Detail'!E1979+'WPB-2.1.C Plant Detail'!E2093+'WPB-2.1.C Plant Detail'!E2207</f>
        <v>0</v>
      </c>
      <c r="F41" s="328">
        <f>'WPB-2.1.C Plant Detail'!F953+'WPB-2.1.C Plant Detail'!F1067+'WPB-2.1.C Plant Detail'!F1181+'WPB-2.1.C Plant Detail'!F1295+'WPB-2.1.C Plant Detail'!F1409+'WPB-2.1.C Plant Detail'!F1523+'WPB-2.1.C Plant Detail'!F1637+'WPB-2.1.C Plant Detail'!F1751+'WPB-2.1.C Plant Detail'!F1865+'WPB-2.1.C Plant Detail'!F1979+'WPB-2.1.C Plant Detail'!F2093+'WPB-2.1.C Plant Detail'!F2207</f>
        <v>0</v>
      </c>
      <c r="G41" s="328">
        <v>0</v>
      </c>
      <c r="H41" s="372">
        <f t="shared" si="2"/>
        <v>45443.08</v>
      </c>
      <c r="I41" s="372"/>
      <c r="J41" s="416"/>
      <c r="N41" s="412"/>
      <c r="O41" s="412"/>
      <c r="P41" s="409"/>
    </row>
    <row r="42" spans="1:16">
      <c r="A42" s="334">
        <f t="shared" si="3"/>
        <v>26</v>
      </c>
      <c r="B42" s="294">
        <v>379.1</v>
      </c>
      <c r="C42" s="304" t="s">
        <v>615</v>
      </c>
      <c r="D42" s="313">
        <f>'WPB-2.1.C Plant Detail'!D954</f>
        <v>1554144.06</v>
      </c>
      <c r="E42" s="328">
        <f>'WPB-2.1.C Plant Detail'!E954+'WPB-2.1.C Plant Detail'!E1068+'WPB-2.1.C Plant Detail'!E1182+'WPB-2.1.C Plant Detail'!E1296+'WPB-2.1.C Plant Detail'!E1410+'WPB-2.1.C Plant Detail'!E1524+'WPB-2.1.C Plant Detail'!E1638+'WPB-2.1.C Plant Detail'!E1752+'WPB-2.1.C Plant Detail'!E1866+'WPB-2.1.C Plant Detail'!E1980+'WPB-2.1.C Plant Detail'!E2094+'WPB-2.1.C Plant Detail'!E2208</f>
        <v>0</v>
      </c>
      <c r="F42" s="328">
        <f>'WPB-2.1.C Plant Detail'!F954+'WPB-2.1.C Plant Detail'!F1068+'WPB-2.1.C Plant Detail'!F1182+'WPB-2.1.C Plant Detail'!F1296+'WPB-2.1.C Plant Detail'!F1410+'WPB-2.1.C Plant Detail'!F1524+'WPB-2.1.C Plant Detail'!F1638+'WPB-2.1.C Plant Detail'!F1752+'WPB-2.1.C Plant Detail'!F1866+'WPB-2.1.C Plant Detail'!F1980+'WPB-2.1.C Plant Detail'!F2094+'WPB-2.1.C Plant Detail'!F2208</f>
        <v>0</v>
      </c>
      <c r="G42" s="328">
        <v>0</v>
      </c>
      <c r="H42" s="372">
        <f t="shared" si="2"/>
        <v>1554144.06</v>
      </c>
      <c r="I42" s="372"/>
      <c r="J42" s="416"/>
      <c r="N42" s="412"/>
      <c r="O42" s="412"/>
      <c r="P42" s="409"/>
    </row>
    <row r="43" spans="1:16">
      <c r="A43" s="334">
        <f t="shared" si="3"/>
        <v>27</v>
      </c>
      <c r="B43" s="294">
        <v>380</v>
      </c>
      <c r="C43" s="220" t="s">
        <v>2888</v>
      </c>
      <c r="D43" s="313">
        <f>'WPB-2.1.C Plant Detail'!D955</f>
        <v>198125758.45603326</v>
      </c>
      <c r="E43" s="328">
        <f>'WPB-2.1.C Plant Detail'!E955+'WPB-2.1.C Plant Detail'!E1069+'WPB-2.1.C Plant Detail'!E1183+'WPB-2.1.C Plant Detail'!E1297+'WPB-2.1.C Plant Detail'!E1411+'WPB-2.1.C Plant Detail'!E1525+'WPB-2.1.C Plant Detail'!E1639+'WPB-2.1.C Plant Detail'!E1753+'WPB-2.1.C Plant Detail'!E1867+'WPB-2.1.C Plant Detail'!E1981+'WPB-2.1.C Plant Detail'!E2095+'WPB-2.1.C Plant Detail'!E2209</f>
        <v>6390028.0099999998</v>
      </c>
      <c r="F43" s="328">
        <f>'WPB-2.1.C Plant Detail'!F955+'WPB-2.1.C Plant Detail'!F1069+'WPB-2.1.C Plant Detail'!F1183+'WPB-2.1.C Plant Detail'!F1297+'WPB-2.1.C Plant Detail'!F1411+'WPB-2.1.C Plant Detail'!F1525+'WPB-2.1.C Plant Detail'!F1639+'WPB-2.1.C Plant Detail'!F1753+'WPB-2.1.C Plant Detail'!F1867+'WPB-2.1.C Plant Detail'!F1981+'WPB-2.1.C Plant Detail'!F2095+'WPB-2.1.C Plant Detail'!F2209</f>
        <v>-657466.5273862679</v>
      </c>
      <c r="G43" s="328">
        <v>0</v>
      </c>
      <c r="H43" s="372">
        <f t="shared" si="2"/>
        <v>203858319.93864697</v>
      </c>
      <c r="I43" s="372"/>
      <c r="J43" s="416"/>
      <c r="N43" s="412"/>
      <c r="O43" s="412"/>
      <c r="P43" s="409"/>
    </row>
    <row r="44" spans="1:16">
      <c r="A44" s="334">
        <f t="shared" si="3"/>
        <v>28</v>
      </c>
      <c r="B44" s="294">
        <v>381</v>
      </c>
      <c r="C44" s="304" t="s">
        <v>616</v>
      </c>
      <c r="D44" s="313">
        <f>'WPB-2.1.C Plant Detail'!D956</f>
        <v>18140436.200000003</v>
      </c>
      <c r="E44" s="328">
        <f>'WPB-2.1.C Plant Detail'!E956+'WPB-2.1.C Plant Detail'!E1070+'WPB-2.1.C Plant Detail'!E1184+'WPB-2.1.C Plant Detail'!E1298+'WPB-2.1.C Plant Detail'!E1412+'WPB-2.1.C Plant Detail'!E1526+'WPB-2.1.C Plant Detail'!E1640+'WPB-2.1.C Plant Detail'!E1754+'WPB-2.1.C Plant Detail'!E1868+'WPB-2.1.C Plant Detail'!E1982+'WPB-2.1.C Plant Detail'!E2096+'WPB-2.1.C Plant Detail'!E2210</f>
        <v>2650085.23</v>
      </c>
      <c r="F44" s="328">
        <f>'WPB-2.1.C Plant Detail'!F956+'WPB-2.1.C Plant Detail'!F1070+'WPB-2.1.C Plant Detail'!F1184+'WPB-2.1.C Plant Detail'!F1298+'WPB-2.1.C Plant Detail'!F1412+'WPB-2.1.C Plant Detail'!F1526+'WPB-2.1.C Plant Detail'!F1640+'WPB-2.1.C Plant Detail'!F1754+'WPB-2.1.C Plant Detail'!F1868+'WPB-2.1.C Plant Detail'!F1982+'WPB-2.1.C Plant Detail'!F2096+'WPB-2.1.C Plant Detail'!F2210</f>
        <v>-1152620</v>
      </c>
      <c r="G44" s="328">
        <v>0</v>
      </c>
      <c r="H44" s="372">
        <f t="shared" ref="H44:H56" si="4">SUM(D44:G44)</f>
        <v>19637901.430000003</v>
      </c>
      <c r="I44" s="372"/>
      <c r="J44" s="416"/>
      <c r="P44" s="409"/>
    </row>
    <row r="45" spans="1:16">
      <c r="A45" s="334">
        <f t="shared" si="3"/>
        <v>29</v>
      </c>
      <c r="B45" s="294">
        <v>381.1</v>
      </c>
      <c r="C45" s="304" t="s">
        <v>2891</v>
      </c>
      <c r="D45" s="313">
        <f>'WPB-2.1.C Plant Detail'!D957</f>
        <v>9980854.4800000004</v>
      </c>
      <c r="E45" s="328">
        <f>'WPB-2.1.C Plant Detail'!E957+'WPB-2.1.C Plant Detail'!E1071+'WPB-2.1.C Plant Detail'!E1185+'WPB-2.1.C Plant Detail'!E1299+'WPB-2.1.C Plant Detail'!E1413+'WPB-2.1.C Plant Detail'!E1527+'WPB-2.1.C Plant Detail'!E1641+'WPB-2.1.C Plant Detail'!E1755+'WPB-2.1.C Plant Detail'!E1869+'WPB-2.1.C Plant Detail'!E1983+'WPB-2.1.C Plant Detail'!E2097+'WPB-2.1.C Plant Detail'!E2211</f>
        <v>0</v>
      </c>
      <c r="F45" s="328">
        <f>'WPB-2.1.C Plant Detail'!F957+'WPB-2.1.C Plant Detail'!F1071+'WPB-2.1.C Plant Detail'!F1185+'WPB-2.1.C Plant Detail'!F1299+'WPB-2.1.C Plant Detail'!F1413+'WPB-2.1.C Plant Detail'!F1527+'WPB-2.1.C Plant Detail'!F1641+'WPB-2.1.C Plant Detail'!F1755+'WPB-2.1.C Plant Detail'!F1869+'WPB-2.1.C Plant Detail'!F1983+'WPB-2.1.C Plant Detail'!F2097+'WPB-2.1.C Plant Detail'!F2211</f>
        <v>0</v>
      </c>
      <c r="G45" s="328">
        <v>0</v>
      </c>
      <c r="H45" s="372">
        <f t="shared" si="4"/>
        <v>9980854.4800000004</v>
      </c>
      <c r="I45" s="372"/>
      <c r="J45" s="416"/>
      <c r="N45" s="412"/>
      <c r="O45" s="412"/>
      <c r="P45" s="409"/>
    </row>
    <row r="46" spans="1:16">
      <c r="A46" s="334">
        <f t="shared" si="3"/>
        <v>30</v>
      </c>
      <c r="B46" s="294">
        <v>382</v>
      </c>
      <c r="C46" s="220" t="s">
        <v>2892</v>
      </c>
      <c r="D46" s="313">
        <f>'WPB-2.1.C Plant Detail'!D958</f>
        <v>10245635.59</v>
      </c>
      <c r="E46" s="328">
        <f>'WPB-2.1.C Plant Detail'!E958+'WPB-2.1.C Plant Detail'!E1072+'WPB-2.1.C Plant Detail'!E1186+'WPB-2.1.C Plant Detail'!E1300+'WPB-2.1.C Plant Detail'!E1414+'WPB-2.1.C Plant Detail'!E1528+'WPB-2.1.C Plant Detail'!E1642+'WPB-2.1.C Plant Detail'!E1756+'WPB-2.1.C Plant Detail'!E1870+'WPB-2.1.C Plant Detail'!E1984+'WPB-2.1.C Plant Detail'!E2098+'WPB-2.1.C Plant Detail'!E2212</f>
        <v>369101.6</v>
      </c>
      <c r="F46" s="328">
        <f>'WPB-2.1.C Plant Detail'!F958+'WPB-2.1.C Plant Detail'!F1072+'WPB-2.1.C Plant Detail'!F1186+'WPB-2.1.C Plant Detail'!F1300+'WPB-2.1.C Plant Detail'!F1414+'WPB-2.1.C Plant Detail'!F1528+'WPB-2.1.C Plant Detail'!F1642+'WPB-2.1.C Plant Detail'!F1756+'WPB-2.1.C Plant Detail'!F1870+'WPB-2.1.C Plant Detail'!F1984+'WPB-2.1.C Plant Detail'!F2098+'WPB-2.1.C Plant Detail'!F2212</f>
        <v>-9232.2973561774961</v>
      </c>
      <c r="G46" s="328">
        <v>0</v>
      </c>
      <c r="H46" s="372">
        <f t="shared" si="4"/>
        <v>10605504.892643822</v>
      </c>
      <c r="I46" s="372"/>
      <c r="J46" s="416"/>
      <c r="N46" s="412"/>
      <c r="O46" s="412"/>
      <c r="P46" s="409"/>
    </row>
    <row r="47" spans="1:16">
      <c r="A47" s="334">
        <f t="shared" si="3"/>
        <v>31</v>
      </c>
      <c r="B47" s="294">
        <v>383</v>
      </c>
      <c r="C47" s="220" t="s">
        <v>2893</v>
      </c>
      <c r="D47" s="313">
        <f>'WPB-2.1.C Plant Detail'!D959</f>
        <v>7222271.4199999999</v>
      </c>
      <c r="E47" s="328">
        <f>'WPB-2.1.C Plant Detail'!E959+'WPB-2.1.C Plant Detail'!E1073+'WPB-2.1.C Plant Detail'!E1187+'WPB-2.1.C Plant Detail'!E1301+'WPB-2.1.C Plant Detail'!E1415+'WPB-2.1.C Plant Detail'!E1529+'WPB-2.1.C Plant Detail'!E1643+'WPB-2.1.C Plant Detail'!E1757+'WPB-2.1.C Plant Detail'!E1871+'WPB-2.1.C Plant Detail'!E1985+'WPB-2.1.C Plant Detail'!E2099+'WPB-2.1.C Plant Detail'!E2213</f>
        <v>248337.78078224516</v>
      </c>
      <c r="F47" s="328">
        <f>'WPB-2.1.C Plant Detail'!F959+'WPB-2.1.C Plant Detail'!F1073+'WPB-2.1.C Plant Detail'!F1187+'WPB-2.1.C Plant Detail'!F1301+'WPB-2.1.C Plant Detail'!F1415+'WPB-2.1.C Plant Detail'!F1529+'WPB-2.1.C Plant Detail'!F1643+'WPB-2.1.C Plant Detail'!F1757+'WPB-2.1.C Plant Detail'!F1871+'WPB-2.1.C Plant Detail'!F1985+'WPB-2.1.C Plant Detail'!F2099+'WPB-2.1.C Plant Detail'!F2213</f>
        <v>-3127.3594710725306</v>
      </c>
      <c r="G47" s="328">
        <v>0</v>
      </c>
      <c r="H47" s="372">
        <f t="shared" si="4"/>
        <v>7467481.8413111726</v>
      </c>
      <c r="I47" s="372"/>
      <c r="J47" s="416"/>
      <c r="N47" s="412"/>
      <c r="O47" s="412"/>
      <c r="P47" s="409"/>
    </row>
    <row r="48" spans="1:16">
      <c r="A48" s="334">
        <f t="shared" si="3"/>
        <v>32</v>
      </c>
      <c r="B48" s="294">
        <v>384</v>
      </c>
      <c r="C48" s="304" t="s">
        <v>617</v>
      </c>
      <c r="D48" s="313">
        <f>'WPB-2.1.C Plant Detail'!D960</f>
        <v>2085058.65</v>
      </c>
      <c r="E48" s="328">
        <f>'WPB-2.1.C Plant Detail'!E960+'WPB-2.1.C Plant Detail'!E1074+'WPB-2.1.C Plant Detail'!E1188+'WPB-2.1.C Plant Detail'!E1302+'WPB-2.1.C Plant Detail'!E1416+'WPB-2.1.C Plant Detail'!E1530+'WPB-2.1.C Plant Detail'!E1644+'WPB-2.1.C Plant Detail'!E1758+'WPB-2.1.C Plant Detail'!E1872+'WPB-2.1.C Plant Detail'!E1986+'WPB-2.1.C Plant Detail'!E2100+'WPB-2.1.C Plant Detail'!E2214</f>
        <v>105.92999999999998</v>
      </c>
      <c r="F48" s="328">
        <f>'WPB-2.1.C Plant Detail'!F960+'WPB-2.1.C Plant Detail'!F1074+'WPB-2.1.C Plant Detail'!F1188+'WPB-2.1.C Plant Detail'!F1302+'WPB-2.1.C Plant Detail'!F1416+'WPB-2.1.C Plant Detail'!F1530+'WPB-2.1.C Plant Detail'!F1644+'WPB-2.1.C Plant Detail'!F1758+'WPB-2.1.C Plant Detail'!F1872+'WPB-2.1.C Plant Detail'!F1986+'WPB-2.1.C Plant Detail'!F2100+'WPB-2.1.C Plant Detail'!F2214</f>
        <v>0</v>
      </c>
      <c r="G48" s="328">
        <v>0</v>
      </c>
      <c r="H48" s="372">
        <f t="shared" si="4"/>
        <v>2085164.5799999998</v>
      </c>
      <c r="I48" s="372"/>
      <c r="J48" s="416"/>
      <c r="N48" s="412"/>
      <c r="O48" s="412"/>
      <c r="P48" s="409"/>
    </row>
    <row r="49" spans="1:16">
      <c r="A49" s="334">
        <f t="shared" si="3"/>
        <v>33</v>
      </c>
      <c r="B49" s="294">
        <v>385</v>
      </c>
      <c r="C49" s="304" t="s">
        <v>618</v>
      </c>
      <c r="D49" s="313">
        <f>'WPB-2.1.C Plant Detail'!D961</f>
        <v>6051819.120000001</v>
      </c>
      <c r="E49" s="328">
        <f>'WPB-2.1.C Plant Detail'!E961+'WPB-2.1.C Plant Detail'!E1075+'WPB-2.1.C Plant Detail'!E1189+'WPB-2.1.C Plant Detail'!E1303+'WPB-2.1.C Plant Detail'!E1417+'WPB-2.1.C Plant Detail'!E1531+'WPB-2.1.C Plant Detail'!E1645+'WPB-2.1.C Plant Detail'!E1759+'WPB-2.1.C Plant Detail'!E1873+'WPB-2.1.C Plant Detail'!E1987+'WPB-2.1.C Plant Detail'!E2101+'WPB-2.1.C Plant Detail'!E2215</f>
        <v>213563.88</v>
      </c>
      <c r="F49" s="328">
        <f>'WPB-2.1.C Plant Detail'!F961+'WPB-2.1.C Plant Detail'!F1075+'WPB-2.1.C Plant Detail'!F1189+'WPB-2.1.C Plant Detail'!F1303+'WPB-2.1.C Plant Detail'!F1417+'WPB-2.1.C Plant Detail'!F1531+'WPB-2.1.C Plant Detail'!F1645+'WPB-2.1.C Plant Detail'!F1759+'WPB-2.1.C Plant Detail'!F1873+'WPB-2.1.C Plant Detail'!F1987+'WPB-2.1.C Plant Detail'!F2101+'WPB-2.1.C Plant Detail'!F2215</f>
        <v>-60914.71</v>
      </c>
      <c r="G49" s="328">
        <v>0</v>
      </c>
      <c r="H49" s="372">
        <f t="shared" si="4"/>
        <v>6204468.290000001</v>
      </c>
      <c r="I49" s="372"/>
      <c r="J49" s="416"/>
      <c r="N49" s="412"/>
      <c r="O49" s="412"/>
      <c r="P49" s="409"/>
    </row>
    <row r="50" spans="1:16">
      <c r="A50" s="334">
        <f t="shared" si="3"/>
        <v>34</v>
      </c>
      <c r="B50" s="294">
        <v>387.2</v>
      </c>
      <c r="C50" s="304" t="s">
        <v>619</v>
      </c>
      <c r="D50" s="313">
        <f>'WPB-2.1.C Plant Detail'!D962</f>
        <v>0</v>
      </c>
      <c r="E50" s="328">
        <f>'WPB-2.1.C Plant Detail'!E962+'WPB-2.1.C Plant Detail'!E1076+'WPB-2.1.C Plant Detail'!E1190+'WPB-2.1.C Plant Detail'!E1304+'WPB-2.1.C Plant Detail'!E1418+'WPB-2.1.C Plant Detail'!E1532+'WPB-2.1.C Plant Detail'!E1646+'WPB-2.1.C Plant Detail'!E1760+'WPB-2.1.C Plant Detail'!E1874+'WPB-2.1.C Plant Detail'!E1988+'WPB-2.1.C Plant Detail'!E2102+'WPB-2.1.C Plant Detail'!E2216</f>
        <v>0</v>
      </c>
      <c r="F50" s="328">
        <f>'WPB-2.1.C Plant Detail'!F962+'WPB-2.1.C Plant Detail'!F1076+'WPB-2.1.C Plant Detail'!F1190+'WPB-2.1.C Plant Detail'!F1304+'WPB-2.1.C Plant Detail'!F1418+'WPB-2.1.C Plant Detail'!F1532+'WPB-2.1.C Plant Detail'!F1646+'WPB-2.1.C Plant Detail'!F1760+'WPB-2.1.C Plant Detail'!F1874+'WPB-2.1.C Plant Detail'!F1988+'WPB-2.1.C Plant Detail'!F2102+'WPB-2.1.C Plant Detail'!F2216</f>
        <v>0</v>
      </c>
      <c r="G50" s="328">
        <v>0</v>
      </c>
      <c r="H50" s="372">
        <f t="shared" si="4"/>
        <v>0</v>
      </c>
      <c r="I50" s="372"/>
      <c r="J50" s="416"/>
      <c r="N50" s="412"/>
      <c r="O50" s="412"/>
      <c r="P50" s="409"/>
    </row>
    <row r="51" spans="1:16">
      <c r="A51" s="334">
        <f t="shared" si="3"/>
        <v>35</v>
      </c>
      <c r="B51" s="294">
        <v>387.41</v>
      </c>
      <c r="C51" s="304" t="s">
        <v>620</v>
      </c>
      <c r="D51" s="313">
        <f>'WPB-2.1.C Plant Detail'!D963</f>
        <v>260538.46000000008</v>
      </c>
      <c r="E51" s="328">
        <f>'WPB-2.1.C Plant Detail'!E963+'WPB-2.1.C Plant Detail'!E1077+'WPB-2.1.C Plant Detail'!E1191+'WPB-2.1.C Plant Detail'!E1305+'WPB-2.1.C Plant Detail'!E1419+'WPB-2.1.C Plant Detail'!E1533+'WPB-2.1.C Plant Detail'!E1647+'WPB-2.1.C Plant Detail'!E1761+'WPB-2.1.C Plant Detail'!E1875+'WPB-2.1.C Plant Detail'!E1989+'WPB-2.1.C Plant Detail'!E2103+'WPB-2.1.C Plant Detail'!E2217</f>
        <v>0</v>
      </c>
      <c r="F51" s="328">
        <f>'WPB-2.1.C Plant Detail'!F963+'WPB-2.1.C Plant Detail'!F1077+'WPB-2.1.C Plant Detail'!F1191+'WPB-2.1.C Plant Detail'!F1305+'WPB-2.1.C Plant Detail'!F1419+'WPB-2.1.C Plant Detail'!F1533+'WPB-2.1.C Plant Detail'!F1647+'WPB-2.1.C Plant Detail'!F1761+'WPB-2.1.C Plant Detail'!F1875+'WPB-2.1.C Plant Detail'!F1989+'WPB-2.1.C Plant Detail'!F2103+'WPB-2.1.C Plant Detail'!F2217</f>
        <v>0</v>
      </c>
      <c r="G51" s="328">
        <v>0</v>
      </c>
      <c r="H51" s="372">
        <f t="shared" si="4"/>
        <v>260538.46000000008</v>
      </c>
      <c r="I51" s="372"/>
      <c r="J51" s="416"/>
      <c r="N51" s="412"/>
      <c r="O51" s="412"/>
      <c r="P51" s="409"/>
    </row>
    <row r="52" spans="1:16">
      <c r="A52" s="334">
        <f t="shared" si="3"/>
        <v>36</v>
      </c>
      <c r="B52" s="294">
        <v>387.42</v>
      </c>
      <c r="C52" s="304" t="s">
        <v>621</v>
      </c>
      <c r="D52" s="313">
        <f>'WPB-2.1.C Plant Detail'!D964</f>
        <v>419367.40000000008</v>
      </c>
      <c r="E52" s="328">
        <f>'WPB-2.1.C Plant Detail'!E964+'WPB-2.1.C Plant Detail'!E1078+'WPB-2.1.C Plant Detail'!E1192+'WPB-2.1.C Plant Detail'!E1306+'WPB-2.1.C Plant Detail'!E1420+'WPB-2.1.C Plant Detail'!E1534+'WPB-2.1.C Plant Detail'!E1648+'WPB-2.1.C Plant Detail'!E1762+'WPB-2.1.C Plant Detail'!E1876+'WPB-2.1.C Plant Detail'!E1990+'WPB-2.1.C Plant Detail'!E2104+'WPB-2.1.C Plant Detail'!E2218</f>
        <v>0</v>
      </c>
      <c r="F52" s="328">
        <f>'WPB-2.1.C Plant Detail'!F964+'WPB-2.1.C Plant Detail'!F1078+'WPB-2.1.C Plant Detail'!F1192+'WPB-2.1.C Plant Detail'!F1306+'WPB-2.1.C Plant Detail'!F1420+'WPB-2.1.C Plant Detail'!F1534+'WPB-2.1.C Plant Detail'!F1648+'WPB-2.1.C Plant Detail'!F1762+'WPB-2.1.C Plant Detail'!F1876+'WPB-2.1.C Plant Detail'!F1990+'WPB-2.1.C Plant Detail'!F2104+'WPB-2.1.C Plant Detail'!F2218</f>
        <v>0</v>
      </c>
      <c r="G52" s="328">
        <v>0</v>
      </c>
      <c r="H52" s="372">
        <f t="shared" si="4"/>
        <v>419367.40000000008</v>
      </c>
      <c r="I52" s="372"/>
      <c r="J52" s="416"/>
      <c r="N52" s="412"/>
      <c r="O52" s="412"/>
      <c r="P52" s="409"/>
    </row>
    <row r="53" spans="1:16">
      <c r="A53" s="334">
        <f t="shared" si="3"/>
        <v>37</v>
      </c>
      <c r="B53" s="294">
        <v>387.44</v>
      </c>
      <c r="C53" s="304" t="s">
        <v>622</v>
      </c>
      <c r="D53" s="313">
        <f>'WPB-2.1.C Plant Detail'!D965</f>
        <v>124678.76000000001</v>
      </c>
      <c r="E53" s="328">
        <f>'WPB-2.1.C Plant Detail'!E965+'WPB-2.1.C Plant Detail'!E1079+'WPB-2.1.C Plant Detail'!E1193+'WPB-2.1.C Plant Detail'!E1307+'WPB-2.1.C Plant Detail'!E1421+'WPB-2.1.C Plant Detail'!E1535+'WPB-2.1.C Plant Detail'!E1649+'WPB-2.1.C Plant Detail'!E1763+'WPB-2.1.C Plant Detail'!E1877+'WPB-2.1.C Plant Detail'!E1991+'WPB-2.1.C Plant Detail'!E2105+'WPB-2.1.C Plant Detail'!E2219</f>
        <v>0</v>
      </c>
      <c r="F53" s="328">
        <f>'WPB-2.1.C Plant Detail'!F965+'WPB-2.1.C Plant Detail'!F1079+'WPB-2.1.C Plant Detail'!F1193+'WPB-2.1.C Plant Detail'!F1307+'WPB-2.1.C Plant Detail'!F1421+'WPB-2.1.C Plant Detail'!F1535+'WPB-2.1.C Plant Detail'!F1649+'WPB-2.1.C Plant Detail'!F1763+'WPB-2.1.C Plant Detail'!F1877+'WPB-2.1.C Plant Detail'!F1991+'WPB-2.1.C Plant Detail'!F2105+'WPB-2.1.C Plant Detail'!F2219</f>
        <v>0</v>
      </c>
      <c r="G53" s="328">
        <v>0</v>
      </c>
      <c r="H53" s="372">
        <f t="shared" si="4"/>
        <v>124678.76000000001</v>
      </c>
      <c r="I53" s="372"/>
      <c r="J53" s="416"/>
      <c r="N53" s="412"/>
      <c r="O53" s="412"/>
      <c r="P53" s="409"/>
    </row>
    <row r="54" spans="1:16">
      <c r="A54" s="334">
        <f t="shared" si="3"/>
        <v>38</v>
      </c>
      <c r="B54" s="294">
        <v>387.45</v>
      </c>
      <c r="C54" s="304" t="s">
        <v>623</v>
      </c>
      <c r="D54" s="313">
        <f>'WPB-2.1.C Plant Detail'!D966</f>
        <v>5795180.3799999999</v>
      </c>
      <c r="E54" s="328">
        <f>'WPB-2.1.C Plant Detail'!E966+'WPB-2.1.C Plant Detail'!E1080+'WPB-2.1.C Plant Detail'!E1194+'WPB-2.1.C Plant Detail'!E1308+'WPB-2.1.C Plant Detail'!E1422+'WPB-2.1.C Plant Detail'!E1536+'WPB-2.1.C Plant Detail'!E1650+'WPB-2.1.C Plant Detail'!E1764+'WPB-2.1.C Plant Detail'!E1878+'WPB-2.1.C Plant Detail'!E1992+'WPB-2.1.C Plant Detail'!E2106+'WPB-2.1.C Plant Detail'!E2220</f>
        <v>573690.78</v>
      </c>
      <c r="F54" s="328">
        <f>'WPB-2.1.C Plant Detail'!F966+'WPB-2.1.C Plant Detail'!F1080+'WPB-2.1.C Plant Detail'!F1194+'WPB-2.1.C Plant Detail'!F1308+'WPB-2.1.C Plant Detail'!F1422+'WPB-2.1.C Plant Detail'!F1536+'WPB-2.1.C Plant Detail'!F1650+'WPB-2.1.C Plant Detail'!F1764+'WPB-2.1.C Plant Detail'!F1878+'WPB-2.1.C Plant Detail'!F1992+'WPB-2.1.C Plant Detail'!F2106+'WPB-2.1.C Plant Detail'!F2220</f>
        <v>-249845.23</v>
      </c>
      <c r="G54" s="328">
        <v>0</v>
      </c>
      <c r="H54" s="372">
        <f t="shared" si="4"/>
        <v>6119025.9299999997</v>
      </c>
      <c r="I54" s="372"/>
      <c r="J54" s="416"/>
      <c r="N54" s="412"/>
      <c r="O54" s="412"/>
      <c r="P54" s="409"/>
    </row>
    <row r="55" spans="1:16">
      <c r="A55" s="334">
        <f t="shared" si="3"/>
        <v>39</v>
      </c>
      <c r="B55" s="294">
        <v>387.46</v>
      </c>
      <c r="C55" s="304" t="s">
        <v>624</v>
      </c>
      <c r="D55" s="313">
        <f>'WPB-2.1.C Plant Detail'!D967</f>
        <v>113644.47</v>
      </c>
      <c r="E55" s="328">
        <f>'WPB-2.1.C Plant Detail'!E967+'WPB-2.1.C Plant Detail'!E1081+'WPB-2.1.C Plant Detail'!E1195+'WPB-2.1.C Plant Detail'!E1309+'WPB-2.1.C Plant Detail'!E1423+'WPB-2.1.C Plant Detail'!E1537+'WPB-2.1.C Plant Detail'!E1651+'WPB-2.1.C Plant Detail'!E1765+'WPB-2.1.C Plant Detail'!E1879+'WPB-2.1.C Plant Detail'!E1993+'WPB-2.1.C Plant Detail'!E2107+'WPB-2.1.C Plant Detail'!E2221</f>
        <v>0</v>
      </c>
      <c r="F55" s="328">
        <f>'WPB-2.1.C Plant Detail'!F967+'WPB-2.1.C Plant Detail'!F1081+'WPB-2.1.C Plant Detail'!F1195+'WPB-2.1.C Plant Detail'!F1309+'WPB-2.1.C Plant Detail'!F1423+'WPB-2.1.C Plant Detail'!F1537+'WPB-2.1.C Plant Detail'!F1651+'WPB-2.1.C Plant Detail'!F1765+'WPB-2.1.C Plant Detail'!F1879+'WPB-2.1.C Plant Detail'!F1993+'WPB-2.1.C Plant Detail'!F2107+'WPB-2.1.C Plant Detail'!F2221</f>
        <v>0</v>
      </c>
      <c r="G55" s="328">
        <v>0</v>
      </c>
      <c r="H55" s="372">
        <f t="shared" si="4"/>
        <v>113644.47</v>
      </c>
      <c r="I55" s="372"/>
      <c r="J55" s="416"/>
      <c r="N55" s="412"/>
      <c r="O55" s="412"/>
      <c r="P55" s="409"/>
    </row>
    <row r="56" spans="1:16">
      <c r="A56" s="334">
        <f t="shared" si="3"/>
        <v>40</v>
      </c>
      <c r="B56" s="294">
        <v>387.5</v>
      </c>
      <c r="C56" s="304" t="s">
        <v>1076</v>
      </c>
      <c r="D56" s="896">
        <f>'WPB-2.1.C Plant Detail'!D968</f>
        <v>238072.69</v>
      </c>
      <c r="E56" s="894">
        <f>'WPB-2.1.C Plant Detail'!E968+'WPB-2.1.C Plant Detail'!E1082+'WPB-2.1.C Plant Detail'!E1196+'WPB-2.1.C Plant Detail'!E1310+'WPB-2.1.C Plant Detail'!E1424+'WPB-2.1.C Plant Detail'!E1538+'WPB-2.1.C Plant Detail'!E1652+'WPB-2.1.C Plant Detail'!E1766+'WPB-2.1.C Plant Detail'!E1880+'WPB-2.1.C Plant Detail'!E1994+'WPB-2.1.C Plant Detail'!E2108+'WPB-2.1.C Plant Detail'!E2222</f>
        <v>0</v>
      </c>
      <c r="F56" s="894">
        <f>'WPB-2.1.C Plant Detail'!F968+'WPB-2.1.C Plant Detail'!F1082+'WPB-2.1.C Plant Detail'!F1196+'WPB-2.1.C Plant Detail'!F1310+'WPB-2.1.C Plant Detail'!F1424+'WPB-2.1.C Plant Detail'!F1538+'WPB-2.1.C Plant Detail'!F1652+'WPB-2.1.C Plant Detail'!F1766+'WPB-2.1.C Plant Detail'!F1880+'WPB-2.1.C Plant Detail'!F1994+'WPB-2.1.C Plant Detail'!F2108+'WPB-2.1.C Plant Detail'!F2222</f>
        <v>0</v>
      </c>
      <c r="G56" s="894">
        <v>0</v>
      </c>
      <c r="H56" s="922">
        <f t="shared" si="4"/>
        <v>238072.69</v>
      </c>
      <c r="I56" s="372"/>
      <c r="J56" s="416"/>
      <c r="N56" s="412"/>
      <c r="O56" s="412"/>
      <c r="P56" s="409"/>
    </row>
    <row r="57" spans="1:16">
      <c r="A57" s="334">
        <f t="shared" si="3"/>
        <v>41</v>
      </c>
      <c r="C57" s="387" t="s">
        <v>625</v>
      </c>
      <c r="D57" s="372">
        <f>SUM(D44:D56,D27:D43)</f>
        <v>710970930.20603323</v>
      </c>
      <c r="E57" s="372">
        <f>SUM(E44:E56,E27:E43)</f>
        <v>25480454.006065726</v>
      </c>
      <c r="F57" s="372">
        <f>SUM(F44:F56,F27:F43)</f>
        <v>-3967819.936184559</v>
      </c>
      <c r="G57" s="372">
        <f>SUM(G44:G56,G27:G43)</f>
        <v>0</v>
      </c>
      <c r="H57" s="372">
        <f>SUM(H44:H56,H27:H43)</f>
        <v>732483564.27591443</v>
      </c>
      <c r="I57" s="372"/>
      <c r="J57" s="416"/>
      <c r="N57" s="412"/>
      <c r="O57" s="412"/>
      <c r="P57" s="409"/>
    </row>
    <row r="58" spans="1:16">
      <c r="D58" s="372"/>
      <c r="E58" s="372"/>
      <c r="F58" s="372"/>
      <c r="G58" s="372"/>
      <c r="H58" s="372"/>
      <c r="I58" s="372"/>
      <c r="J58" s="416"/>
      <c r="N58" s="412"/>
      <c r="O58" s="412"/>
      <c r="P58" s="409"/>
    </row>
    <row r="59" spans="1:16">
      <c r="A59" s="1313" t="str">
        <f>A1</f>
        <v>COLUMBIA GAS OF KENTUCKY, INC.</v>
      </c>
      <c r="B59" s="1313"/>
      <c r="C59" s="1313"/>
      <c r="D59" s="1313"/>
      <c r="E59" s="1313"/>
      <c r="F59" s="1313"/>
      <c r="G59" s="1313"/>
      <c r="H59" s="1313"/>
      <c r="P59" s="409"/>
    </row>
    <row r="60" spans="1:16">
      <c r="A60" s="1313" t="str">
        <f>A2</f>
        <v>CASE NO. 2024 - 00092</v>
      </c>
      <c r="B60" s="1313"/>
      <c r="C60" s="1313"/>
      <c r="D60" s="1313"/>
      <c r="E60" s="1313"/>
      <c r="F60" s="1313"/>
      <c r="G60" s="1313"/>
      <c r="H60" s="1313"/>
      <c r="P60" s="409"/>
    </row>
    <row r="61" spans="1:16">
      <c r="A61" s="1313" t="str">
        <f>A3</f>
        <v>GROSS ADDITIONS, RETIREMENTS, AND TRANSFERS</v>
      </c>
      <c r="B61" s="1313"/>
      <c r="C61" s="1313"/>
      <c r="D61" s="1313"/>
      <c r="E61" s="1313"/>
      <c r="F61" s="1313"/>
      <c r="G61" s="1313"/>
      <c r="H61" s="1313"/>
      <c r="P61" s="409"/>
    </row>
    <row r="62" spans="1:16">
      <c r="A62" s="1313" t="str">
        <f>A4</f>
        <v>SEPTEMBER 2023 TO AUGUST 2024</v>
      </c>
      <c r="B62" s="1313"/>
      <c r="C62" s="1313"/>
      <c r="D62" s="1313"/>
      <c r="E62" s="1313"/>
      <c r="F62" s="1313"/>
      <c r="G62" s="1313"/>
      <c r="H62" s="1313"/>
      <c r="P62" s="409"/>
    </row>
    <row r="63" spans="1:16">
      <c r="P63" s="409"/>
    </row>
    <row r="64" spans="1:16">
      <c r="A64" s="229" t="str">
        <f>A6</f>
        <v>DATA:__X___BASE PERIOD______FORECASTED PERIOD</v>
      </c>
      <c r="H64" s="388" t="s">
        <v>436</v>
      </c>
      <c r="P64" s="409"/>
    </row>
    <row r="65" spans="1:16">
      <c r="A65" s="229" t="str">
        <f>A7</f>
        <v>TYPE OF FILING:___X___ORIGINAL______UPDATED</v>
      </c>
      <c r="H65" s="388" t="s">
        <v>537</v>
      </c>
      <c r="P65" s="409"/>
    </row>
    <row r="66" spans="1:16">
      <c r="A66" s="229" t="str">
        <f>A8</f>
        <v>WORKPAPER REFERENCE NO(S).: WPB-2.1.C</v>
      </c>
      <c r="H66" s="326" t="str">
        <f>"WITNESS: "&amp;'General Headers Index'!B42</f>
        <v>WITNESS: GORE</v>
      </c>
      <c r="P66" s="409"/>
    </row>
    <row r="67" spans="1:16">
      <c r="A67" s="403"/>
      <c r="H67" s="388"/>
      <c r="J67" s="957"/>
      <c r="K67" s="957"/>
      <c r="P67" s="409"/>
    </row>
    <row r="68" spans="1:16">
      <c r="A68" s="404"/>
      <c r="B68" s="405"/>
      <c r="C68" s="405"/>
      <c r="D68" s="404" t="s">
        <v>502</v>
      </c>
      <c r="E68" s="405"/>
      <c r="F68" s="405"/>
      <c r="G68" s="406"/>
      <c r="H68" s="404" t="s">
        <v>502</v>
      </c>
      <c r="K68" s="957"/>
      <c r="P68" s="409"/>
    </row>
    <row r="69" spans="1:16">
      <c r="A69" s="334" t="s">
        <v>313</v>
      </c>
      <c r="B69" s="334" t="s">
        <v>368</v>
      </c>
      <c r="C69" s="334"/>
      <c r="D69" s="334" t="s">
        <v>437</v>
      </c>
      <c r="H69" s="334" t="s">
        <v>439</v>
      </c>
      <c r="K69" s="957"/>
      <c r="P69" s="409"/>
    </row>
    <row r="70" spans="1:16">
      <c r="A70" s="958" t="s">
        <v>316</v>
      </c>
      <c r="B70" s="958" t="s">
        <v>316</v>
      </c>
      <c r="C70" s="958" t="s">
        <v>440</v>
      </c>
      <c r="D70" s="958" t="s">
        <v>441</v>
      </c>
      <c r="E70" s="958" t="s">
        <v>442</v>
      </c>
      <c r="F70" s="958" t="s">
        <v>443</v>
      </c>
      <c r="G70" s="958" t="s">
        <v>676</v>
      </c>
      <c r="H70" s="958" t="s">
        <v>441</v>
      </c>
      <c r="K70" s="957"/>
      <c r="P70" s="409"/>
    </row>
    <row r="71" spans="1:16">
      <c r="B71" s="334"/>
      <c r="C71" s="387"/>
      <c r="D71" s="300" t="s">
        <v>532</v>
      </c>
      <c r="E71" s="300" t="s">
        <v>541</v>
      </c>
      <c r="F71" s="300" t="s">
        <v>542</v>
      </c>
      <c r="G71" s="300" t="s">
        <v>668</v>
      </c>
      <c r="H71" s="300" t="s">
        <v>2635</v>
      </c>
      <c r="K71" s="957"/>
      <c r="P71" s="409"/>
    </row>
    <row r="72" spans="1:16">
      <c r="D72" s="334" t="s">
        <v>320</v>
      </c>
      <c r="E72" s="334" t="s">
        <v>320</v>
      </c>
      <c r="F72" s="334" t="s">
        <v>320</v>
      </c>
      <c r="G72" s="334" t="s">
        <v>320</v>
      </c>
      <c r="H72" s="334" t="s">
        <v>320</v>
      </c>
      <c r="P72" s="409"/>
    </row>
    <row r="73" spans="1:16">
      <c r="D73" s="334"/>
      <c r="E73" s="334"/>
      <c r="F73" s="334"/>
      <c r="G73" s="334"/>
      <c r="H73" s="334"/>
      <c r="P73" s="409"/>
    </row>
    <row r="74" spans="1:16">
      <c r="A74" s="334">
        <v>1</v>
      </c>
      <c r="C74" s="407" t="s">
        <v>411</v>
      </c>
      <c r="D74" s="372"/>
      <c r="E74" s="372"/>
      <c r="F74" s="372"/>
      <c r="G74" s="372"/>
      <c r="H74" s="372"/>
      <c r="I74" s="372"/>
      <c r="J74" s="416"/>
      <c r="N74" s="412"/>
      <c r="O74" s="412"/>
      <c r="P74" s="409"/>
    </row>
    <row r="75" spans="1:16">
      <c r="A75" s="334">
        <f>A74+1</f>
        <v>2</v>
      </c>
      <c r="B75" s="1264">
        <v>391.1</v>
      </c>
      <c r="C75" s="304" t="s">
        <v>626</v>
      </c>
      <c r="D75" s="372">
        <f>'WPB-2.1.C Plant Detail'!D989</f>
        <v>820366.66</v>
      </c>
      <c r="E75" s="372">
        <f>'WPB-2.1.C Plant Detail'!E989+'WPB-2.1.C Plant Detail'!E1103+'WPB-2.1.C Plant Detail'!E1217+'WPB-2.1.C Plant Detail'!E1331+'WPB-2.1.C Plant Detail'!E1445+'WPB-2.1.C Plant Detail'!E1559+'WPB-2.1.C Plant Detail'!E1673+'WPB-2.1.C Plant Detail'!E1787+'WPB-2.1.C Plant Detail'!E1901+'WPB-2.1.C Plant Detail'!E2015+'WPB-2.1.C Plant Detail'!E2129+'WPB-2.1.C Plant Detail'!E2243</f>
        <v>103149.67</v>
      </c>
      <c r="F75" s="372">
        <f>'WPB-2.1.C Plant Detail'!F989+'WPB-2.1.C Plant Detail'!F1103+'WPB-2.1.C Plant Detail'!F1217+'WPB-2.1.C Plant Detail'!F1331+'WPB-2.1.C Plant Detail'!F1445+'WPB-2.1.C Plant Detail'!F1559+'WPB-2.1.C Plant Detail'!F1673+'WPB-2.1.C Plant Detail'!F1787+'WPB-2.1.C Plant Detail'!F1901+'WPB-2.1.C Plant Detail'!F2015+'WPB-2.1.C Plant Detail'!F2129+'WPB-2.1.C Plant Detail'!F2243</f>
        <v>-1775</v>
      </c>
      <c r="G75" s="372">
        <v>0</v>
      </c>
      <c r="H75" s="372">
        <f t="shared" ref="H75:H88" si="5">SUM(D75:G75)</f>
        <v>921741.33000000007</v>
      </c>
      <c r="I75" s="372"/>
      <c r="J75" s="416"/>
      <c r="N75" s="412"/>
      <c r="O75" s="412"/>
      <c r="P75" s="409"/>
    </row>
    <row r="76" spans="1:16">
      <c r="A76" s="334">
        <f t="shared" ref="A76:A89" si="6">A75+1</f>
        <v>3</v>
      </c>
      <c r="B76" s="1264">
        <v>391.11</v>
      </c>
      <c r="C76" s="304" t="s">
        <v>627</v>
      </c>
      <c r="D76" s="372">
        <f>'WPB-2.1.C Plant Detail'!D990</f>
        <v>0</v>
      </c>
      <c r="E76" s="372">
        <f>'WPB-2.1.C Plant Detail'!E990+'WPB-2.1.C Plant Detail'!E1104+'WPB-2.1.C Plant Detail'!E1218+'WPB-2.1.C Plant Detail'!E1332+'WPB-2.1.C Plant Detail'!E1446+'WPB-2.1.C Plant Detail'!E1560+'WPB-2.1.C Plant Detail'!E1674+'WPB-2.1.C Plant Detail'!E1788+'WPB-2.1.C Plant Detail'!E1902+'WPB-2.1.C Plant Detail'!E2016+'WPB-2.1.C Plant Detail'!E2130+'WPB-2.1.C Plant Detail'!E2244</f>
        <v>0</v>
      </c>
      <c r="F76" s="372">
        <f>'WPB-2.1.C Plant Detail'!F990+'WPB-2.1.C Plant Detail'!F1104+'WPB-2.1.C Plant Detail'!F1218+'WPB-2.1.C Plant Detail'!F1332+'WPB-2.1.C Plant Detail'!F1446+'WPB-2.1.C Plant Detail'!F1560+'WPB-2.1.C Plant Detail'!F1674+'WPB-2.1.C Plant Detail'!F1788+'WPB-2.1.C Plant Detail'!F1902+'WPB-2.1.C Plant Detail'!F2016+'WPB-2.1.C Plant Detail'!F2130+'WPB-2.1.C Plant Detail'!F2244</f>
        <v>0</v>
      </c>
      <c r="G76" s="372">
        <v>0</v>
      </c>
      <c r="H76" s="372">
        <f t="shared" si="5"/>
        <v>0</v>
      </c>
      <c r="I76" s="372"/>
      <c r="J76" s="416"/>
      <c r="N76" s="412"/>
      <c r="O76" s="412"/>
      <c r="P76" s="409"/>
    </row>
    <row r="77" spans="1:16">
      <c r="A77" s="334">
        <f t="shared" si="6"/>
        <v>4</v>
      </c>
      <c r="B77" s="1264">
        <v>391.12</v>
      </c>
      <c r="C77" s="304" t="s">
        <v>628</v>
      </c>
      <c r="D77" s="372">
        <f>'WPB-2.1.C Plant Detail'!D991</f>
        <v>91133.260000000009</v>
      </c>
      <c r="E77" s="372">
        <f>'WPB-2.1.C Plant Detail'!E991+'WPB-2.1.C Plant Detail'!E1105+'WPB-2.1.C Plant Detail'!E1219+'WPB-2.1.C Plant Detail'!E1333+'WPB-2.1.C Plant Detail'!E1447+'WPB-2.1.C Plant Detail'!E1561+'WPB-2.1.C Plant Detail'!E1675+'WPB-2.1.C Plant Detail'!E1789+'WPB-2.1.C Plant Detail'!E1903+'WPB-2.1.C Plant Detail'!E2017+'WPB-2.1.C Plant Detail'!E2131+'WPB-2.1.C Plant Detail'!E2245</f>
        <v>0</v>
      </c>
      <c r="F77" s="372">
        <f>'WPB-2.1.C Plant Detail'!F991+'WPB-2.1.C Plant Detail'!F1105+'WPB-2.1.C Plant Detail'!F1219+'WPB-2.1.C Plant Detail'!F1333+'WPB-2.1.C Plant Detail'!F1447+'WPB-2.1.C Plant Detail'!F1561+'WPB-2.1.C Plant Detail'!F1675+'WPB-2.1.C Plant Detail'!F1789+'WPB-2.1.C Plant Detail'!F1903+'WPB-2.1.C Plant Detail'!F2017+'WPB-2.1.C Plant Detail'!F2131+'WPB-2.1.C Plant Detail'!F2245</f>
        <v>-54003.68</v>
      </c>
      <c r="G77" s="372">
        <v>0</v>
      </c>
      <c r="H77" s="372">
        <f t="shared" si="5"/>
        <v>37129.580000000009</v>
      </c>
      <c r="I77" s="372"/>
      <c r="J77" s="416"/>
      <c r="N77" s="412"/>
      <c r="O77" s="412"/>
      <c r="P77" s="409"/>
    </row>
    <row r="78" spans="1:16">
      <c r="A78" s="334">
        <f t="shared" si="6"/>
        <v>5</v>
      </c>
      <c r="B78" s="1264">
        <v>392.2</v>
      </c>
      <c r="C78" s="304" t="s">
        <v>629</v>
      </c>
      <c r="D78" s="372">
        <f>'WPB-2.1.C Plant Detail'!D992</f>
        <v>95778</v>
      </c>
      <c r="E78" s="372">
        <f>'WPB-2.1.C Plant Detail'!E992+'WPB-2.1.C Plant Detail'!E1106+'WPB-2.1.C Plant Detail'!E1220+'WPB-2.1.C Plant Detail'!E1334+'WPB-2.1.C Plant Detail'!E1448+'WPB-2.1.C Plant Detail'!E1562+'WPB-2.1.C Plant Detail'!E1676+'WPB-2.1.C Plant Detail'!E1790+'WPB-2.1.C Plant Detail'!E1904+'WPB-2.1.C Plant Detail'!E2018+'WPB-2.1.C Plant Detail'!E2132+'WPB-2.1.C Plant Detail'!E2246</f>
        <v>0</v>
      </c>
      <c r="F78" s="372">
        <f>'WPB-2.1.C Plant Detail'!F992+'WPB-2.1.C Plant Detail'!F1106+'WPB-2.1.C Plant Detail'!F1220+'WPB-2.1.C Plant Detail'!F1334+'WPB-2.1.C Plant Detail'!F1448+'WPB-2.1.C Plant Detail'!F1562+'WPB-2.1.C Plant Detail'!F1676+'WPB-2.1.C Plant Detail'!F1790+'WPB-2.1.C Plant Detail'!F1904+'WPB-2.1.C Plant Detail'!F2018+'WPB-2.1.C Plant Detail'!F2132+'WPB-2.1.C Plant Detail'!F2246</f>
        <v>-46853.599999999999</v>
      </c>
      <c r="G78" s="372">
        <v>0</v>
      </c>
      <c r="H78" s="372">
        <f t="shared" si="5"/>
        <v>48924.4</v>
      </c>
      <c r="I78" s="372"/>
      <c r="J78" s="416"/>
      <c r="N78" s="412"/>
      <c r="O78" s="412"/>
      <c r="P78" s="409"/>
    </row>
    <row r="79" spans="1:16">
      <c r="A79" s="334">
        <f t="shared" si="6"/>
        <v>6</v>
      </c>
      <c r="B79" s="1264">
        <v>392.21</v>
      </c>
      <c r="C79" s="304" t="s">
        <v>630</v>
      </c>
      <c r="D79" s="372">
        <f>'WPB-2.1.C Plant Detail'!D993</f>
        <v>24462.2</v>
      </c>
      <c r="E79" s="372">
        <f>'WPB-2.1.C Plant Detail'!E993+'WPB-2.1.C Plant Detail'!E1107+'WPB-2.1.C Plant Detail'!E1221+'WPB-2.1.C Plant Detail'!E1335+'WPB-2.1.C Plant Detail'!E1449+'WPB-2.1.C Plant Detail'!E1563+'WPB-2.1.C Plant Detail'!E1677+'WPB-2.1.C Plant Detail'!E1791+'WPB-2.1.C Plant Detail'!E1905+'WPB-2.1.C Plant Detail'!E2019+'WPB-2.1.C Plant Detail'!E2133+'WPB-2.1.C Plant Detail'!E2247</f>
        <v>0</v>
      </c>
      <c r="F79" s="372">
        <f>'WPB-2.1.C Plant Detail'!F993+'WPB-2.1.C Plant Detail'!F1107+'WPB-2.1.C Plant Detail'!F1221+'WPB-2.1.C Plant Detail'!F1335+'WPB-2.1.C Plant Detail'!F1449+'WPB-2.1.C Plant Detail'!F1563+'WPB-2.1.C Plant Detail'!F1677+'WPB-2.1.C Plant Detail'!F1791+'WPB-2.1.C Plant Detail'!F1905+'WPB-2.1.C Plant Detail'!F2019+'WPB-2.1.C Plant Detail'!F2133+'WPB-2.1.C Plant Detail'!F2247</f>
        <v>0</v>
      </c>
      <c r="G79" s="372">
        <v>0</v>
      </c>
      <c r="H79" s="372">
        <f t="shared" si="5"/>
        <v>24462.2</v>
      </c>
      <c r="I79" s="372"/>
      <c r="J79" s="416"/>
      <c r="N79" s="412"/>
      <c r="O79" s="412"/>
      <c r="P79" s="409"/>
    </row>
    <row r="80" spans="1:16">
      <c r="A80" s="334">
        <f t="shared" si="6"/>
        <v>7</v>
      </c>
      <c r="B80" s="1264">
        <v>393</v>
      </c>
      <c r="C80" s="304" t="s">
        <v>631</v>
      </c>
      <c r="D80" s="372">
        <f>'WPB-2.1.C Plant Detail'!D994</f>
        <v>0</v>
      </c>
      <c r="E80" s="372">
        <f>'WPB-2.1.C Plant Detail'!E994+'WPB-2.1.C Plant Detail'!E1108+'WPB-2.1.C Plant Detail'!E1222+'WPB-2.1.C Plant Detail'!E1336+'WPB-2.1.C Plant Detail'!E1450+'WPB-2.1.C Plant Detail'!E1564+'WPB-2.1.C Plant Detail'!E1678+'WPB-2.1.C Plant Detail'!E1792+'WPB-2.1.C Plant Detail'!E1906+'WPB-2.1.C Plant Detail'!E2020+'WPB-2.1.C Plant Detail'!E2134+'WPB-2.1.C Plant Detail'!E2248</f>
        <v>0</v>
      </c>
      <c r="F80" s="372">
        <f>'WPB-2.1.C Plant Detail'!F994+'WPB-2.1.C Plant Detail'!F1108+'WPB-2.1.C Plant Detail'!F1222+'WPB-2.1.C Plant Detail'!F1336+'WPB-2.1.C Plant Detail'!F1450+'WPB-2.1.C Plant Detail'!F1564+'WPB-2.1.C Plant Detail'!F1678+'WPB-2.1.C Plant Detail'!F1792+'WPB-2.1.C Plant Detail'!F1906+'WPB-2.1.C Plant Detail'!F2020+'WPB-2.1.C Plant Detail'!F2134+'WPB-2.1.C Plant Detail'!F2248</f>
        <v>0</v>
      </c>
      <c r="G80" s="372">
        <v>0</v>
      </c>
      <c r="H80" s="372">
        <f t="shared" si="5"/>
        <v>0</v>
      </c>
      <c r="I80" s="372"/>
      <c r="J80" s="416"/>
      <c r="N80" s="412"/>
      <c r="O80" s="412"/>
      <c r="P80" s="409"/>
    </row>
    <row r="81" spans="1:16">
      <c r="A81" s="334">
        <f t="shared" si="6"/>
        <v>8</v>
      </c>
      <c r="B81" s="1264">
        <v>394.1</v>
      </c>
      <c r="C81" s="304" t="s">
        <v>632</v>
      </c>
      <c r="D81" s="372">
        <f>'WPB-2.1.C Plant Detail'!D995</f>
        <v>9739</v>
      </c>
      <c r="E81" s="372">
        <f>'WPB-2.1.C Plant Detail'!E995+'WPB-2.1.C Plant Detail'!E1109+'WPB-2.1.C Plant Detail'!E1223+'WPB-2.1.C Plant Detail'!E1337+'WPB-2.1.C Plant Detail'!E1451+'WPB-2.1.C Plant Detail'!E1565+'WPB-2.1.C Plant Detail'!E1679+'WPB-2.1.C Plant Detail'!E1793+'WPB-2.1.C Plant Detail'!E1907+'WPB-2.1.C Plant Detail'!E2021+'WPB-2.1.C Plant Detail'!E2135+'WPB-2.1.C Plant Detail'!E2249</f>
        <v>0</v>
      </c>
      <c r="F81" s="372">
        <f>'WPB-2.1.C Plant Detail'!F995+'WPB-2.1.C Plant Detail'!F1109+'WPB-2.1.C Plant Detail'!F1223+'WPB-2.1.C Plant Detail'!F1337+'WPB-2.1.C Plant Detail'!F1451+'WPB-2.1.C Plant Detail'!F1565+'WPB-2.1.C Plant Detail'!F1679+'WPB-2.1.C Plant Detail'!F1793+'WPB-2.1.C Plant Detail'!F1907+'WPB-2.1.C Plant Detail'!F2021+'WPB-2.1.C Plant Detail'!F2135+'WPB-2.1.C Plant Detail'!F2249</f>
        <v>0</v>
      </c>
      <c r="G81" s="372">
        <v>0</v>
      </c>
      <c r="H81" s="372">
        <f t="shared" si="5"/>
        <v>9739</v>
      </c>
      <c r="I81" s="372"/>
      <c r="J81" s="416"/>
      <c r="N81" s="412"/>
      <c r="O81" s="412"/>
      <c r="P81" s="409"/>
    </row>
    <row r="82" spans="1:16">
      <c r="A82" s="334">
        <f t="shared" si="6"/>
        <v>9</v>
      </c>
      <c r="B82" s="1264">
        <v>394.11</v>
      </c>
      <c r="C82" s="304" t="s">
        <v>633</v>
      </c>
      <c r="D82" s="372">
        <f>'WPB-2.1.C Plant Detail'!D996</f>
        <v>0</v>
      </c>
      <c r="E82" s="372">
        <f>'WPB-2.1.C Plant Detail'!E996+'WPB-2.1.C Plant Detail'!E1110+'WPB-2.1.C Plant Detail'!E1224+'WPB-2.1.C Plant Detail'!E1338+'WPB-2.1.C Plant Detail'!E1452+'WPB-2.1.C Plant Detail'!E1566+'WPB-2.1.C Plant Detail'!E1680+'WPB-2.1.C Plant Detail'!E1794+'WPB-2.1.C Plant Detail'!E1908+'WPB-2.1.C Plant Detail'!E2022+'WPB-2.1.C Plant Detail'!E2136+'WPB-2.1.C Plant Detail'!E2250</f>
        <v>0</v>
      </c>
      <c r="F82" s="372">
        <f>'WPB-2.1.C Plant Detail'!F996+'WPB-2.1.C Plant Detail'!F1110+'WPB-2.1.C Plant Detail'!F1224+'WPB-2.1.C Plant Detail'!F1338+'WPB-2.1.C Plant Detail'!F1452+'WPB-2.1.C Plant Detail'!F1566+'WPB-2.1.C Plant Detail'!F1680+'WPB-2.1.C Plant Detail'!F1794+'WPB-2.1.C Plant Detail'!F1908+'WPB-2.1.C Plant Detail'!F2022+'WPB-2.1.C Plant Detail'!F2136+'WPB-2.1.C Plant Detail'!F2250</f>
        <v>0</v>
      </c>
      <c r="G82" s="372">
        <v>0</v>
      </c>
      <c r="H82" s="372">
        <f t="shared" si="5"/>
        <v>0</v>
      </c>
      <c r="I82" s="372"/>
      <c r="J82" s="416"/>
      <c r="N82" s="412"/>
      <c r="O82" s="412"/>
      <c r="P82" s="409"/>
    </row>
    <row r="83" spans="1:16">
      <c r="A83" s="334">
        <f t="shared" si="6"/>
        <v>10</v>
      </c>
      <c r="B83" s="1264">
        <v>394.13</v>
      </c>
      <c r="C83" s="304" t="s">
        <v>634</v>
      </c>
      <c r="D83" s="372">
        <f>'WPB-2.1.C Plant Detail'!D997</f>
        <v>0</v>
      </c>
      <c r="E83" s="372">
        <f>'WPB-2.1.C Plant Detail'!E997+'WPB-2.1.C Plant Detail'!E1111+'WPB-2.1.C Plant Detail'!E1225+'WPB-2.1.C Plant Detail'!E1339+'WPB-2.1.C Plant Detail'!E1453+'WPB-2.1.C Plant Detail'!E1567+'WPB-2.1.C Plant Detail'!E1681+'WPB-2.1.C Plant Detail'!E1795+'WPB-2.1.C Plant Detail'!E1909+'WPB-2.1.C Plant Detail'!E2023+'WPB-2.1.C Plant Detail'!E2137+'WPB-2.1.C Plant Detail'!E2251</f>
        <v>0</v>
      </c>
      <c r="F83" s="372">
        <f>'WPB-2.1.C Plant Detail'!F997+'WPB-2.1.C Plant Detail'!F1111+'WPB-2.1.C Plant Detail'!F1225+'WPB-2.1.C Plant Detail'!F1339+'WPB-2.1.C Plant Detail'!F1453+'WPB-2.1.C Plant Detail'!F1567+'WPB-2.1.C Plant Detail'!F1681+'WPB-2.1.C Plant Detail'!F1795+'WPB-2.1.C Plant Detail'!F1909+'WPB-2.1.C Plant Detail'!F2023+'WPB-2.1.C Plant Detail'!F2137+'WPB-2.1.C Plant Detail'!F2251</f>
        <v>0</v>
      </c>
      <c r="G83" s="372">
        <v>0</v>
      </c>
      <c r="H83" s="372">
        <f t="shared" si="5"/>
        <v>0</v>
      </c>
      <c r="I83" s="372"/>
      <c r="J83" s="416"/>
      <c r="N83" s="412"/>
      <c r="O83" s="412"/>
      <c r="P83" s="409"/>
    </row>
    <row r="84" spans="1:16">
      <c r="A84" s="334">
        <f t="shared" si="6"/>
        <v>11</v>
      </c>
      <c r="B84" s="1264">
        <v>394.2</v>
      </c>
      <c r="C84" s="304" t="s">
        <v>635</v>
      </c>
      <c r="D84" s="372">
        <f>'WPB-2.1.C Plant Detail'!D998</f>
        <v>0</v>
      </c>
      <c r="E84" s="372">
        <f>'WPB-2.1.C Plant Detail'!E998+'WPB-2.1.C Plant Detail'!E1112+'WPB-2.1.C Plant Detail'!E1226+'WPB-2.1.C Plant Detail'!E1340+'WPB-2.1.C Plant Detail'!E1454+'WPB-2.1.C Plant Detail'!E1568+'WPB-2.1.C Plant Detail'!E1682+'WPB-2.1.C Plant Detail'!E1796+'WPB-2.1.C Plant Detail'!E1910+'WPB-2.1.C Plant Detail'!E2024+'WPB-2.1.C Plant Detail'!E2138+'WPB-2.1.C Plant Detail'!E2252</f>
        <v>0</v>
      </c>
      <c r="F84" s="372">
        <f>'WPB-2.1.C Plant Detail'!F998+'WPB-2.1.C Plant Detail'!F1112+'WPB-2.1.C Plant Detail'!F1226+'WPB-2.1.C Plant Detail'!F1340+'WPB-2.1.C Plant Detail'!F1454+'WPB-2.1.C Plant Detail'!F1568+'WPB-2.1.C Plant Detail'!F1682+'WPB-2.1.C Plant Detail'!F1796+'WPB-2.1.C Plant Detail'!F1910+'WPB-2.1.C Plant Detail'!F2024+'WPB-2.1.C Plant Detail'!F2138+'WPB-2.1.C Plant Detail'!F2252</f>
        <v>0</v>
      </c>
      <c r="G84" s="372">
        <v>0</v>
      </c>
      <c r="H84" s="372">
        <f t="shared" si="5"/>
        <v>0</v>
      </c>
      <c r="I84" s="372"/>
      <c r="J84" s="416"/>
      <c r="N84" s="412"/>
      <c r="O84" s="412"/>
      <c r="P84" s="409"/>
    </row>
    <row r="85" spans="1:16">
      <c r="A85" s="334">
        <f t="shared" si="6"/>
        <v>12</v>
      </c>
      <c r="B85" s="1264">
        <v>394.3</v>
      </c>
      <c r="C85" s="304" t="s">
        <v>636</v>
      </c>
      <c r="D85" s="372">
        <f>'WPB-2.1.C Plant Detail'!D999</f>
        <v>4948318.3100000005</v>
      </c>
      <c r="E85" s="372">
        <f>'WPB-2.1.C Plant Detail'!E999+'WPB-2.1.C Plant Detail'!E1113+'WPB-2.1.C Plant Detail'!E1227+'WPB-2.1.C Plant Detail'!E1341+'WPB-2.1.C Plant Detail'!E1455+'WPB-2.1.C Plant Detail'!E1569+'WPB-2.1.C Plant Detail'!E1683+'WPB-2.1.C Plant Detail'!E1797+'WPB-2.1.C Plant Detail'!E1911+'WPB-2.1.C Plant Detail'!E2025+'WPB-2.1.C Plant Detail'!E2139+'WPB-2.1.C Plant Detail'!E2253</f>
        <v>406535.68999999994</v>
      </c>
      <c r="F85" s="372">
        <f>'WPB-2.1.C Plant Detail'!F999+'WPB-2.1.C Plant Detail'!F1113+'WPB-2.1.C Plant Detail'!F1227+'WPB-2.1.C Plant Detail'!F1341+'WPB-2.1.C Plant Detail'!F1455+'WPB-2.1.C Plant Detail'!F1569+'WPB-2.1.C Plant Detail'!F1683+'WPB-2.1.C Plant Detail'!F1797+'WPB-2.1.C Plant Detail'!F1911+'WPB-2.1.C Plant Detail'!F2025+'WPB-2.1.C Plant Detail'!F2139+'WPB-2.1.C Plant Detail'!F2253</f>
        <v>-110180.34000000001</v>
      </c>
      <c r="G85" s="372">
        <v>0</v>
      </c>
      <c r="H85" s="372">
        <f t="shared" si="5"/>
        <v>5244673.66</v>
      </c>
      <c r="I85" s="372"/>
      <c r="J85" s="416"/>
      <c r="N85" s="412"/>
      <c r="O85" s="412"/>
      <c r="P85" s="409"/>
    </row>
    <row r="86" spans="1:16">
      <c r="A86" s="334">
        <f t="shared" si="6"/>
        <v>13</v>
      </c>
      <c r="B86" s="1264">
        <v>395</v>
      </c>
      <c r="C86" s="304" t="s">
        <v>637</v>
      </c>
      <c r="D86" s="372">
        <f>'WPB-2.1.C Plant Detail'!D1000</f>
        <v>4162.05</v>
      </c>
      <c r="E86" s="372">
        <f>'WPB-2.1.C Plant Detail'!E1000+'WPB-2.1.C Plant Detail'!E1114+'WPB-2.1.C Plant Detail'!E1228+'WPB-2.1.C Plant Detail'!E1342+'WPB-2.1.C Plant Detail'!E1456+'WPB-2.1.C Plant Detail'!E1570+'WPB-2.1.C Plant Detail'!E1684+'WPB-2.1.C Plant Detail'!E1798+'WPB-2.1.C Plant Detail'!E1912+'WPB-2.1.C Plant Detail'!E2026+'WPB-2.1.C Plant Detail'!E2140+'WPB-2.1.C Plant Detail'!E2254</f>
        <v>0</v>
      </c>
      <c r="F86" s="372">
        <f>'WPB-2.1.C Plant Detail'!F1000+'WPB-2.1.C Plant Detail'!F1114+'WPB-2.1.C Plant Detail'!F1228+'WPB-2.1.C Plant Detail'!F1342+'WPB-2.1.C Plant Detail'!F1456+'WPB-2.1.C Plant Detail'!F1570+'WPB-2.1.C Plant Detail'!F1684+'WPB-2.1.C Plant Detail'!F1798+'WPB-2.1.C Plant Detail'!F1912+'WPB-2.1.C Plant Detail'!F2026+'WPB-2.1.C Plant Detail'!F2140+'WPB-2.1.C Plant Detail'!F2254</f>
        <v>-4162.05</v>
      </c>
      <c r="G86" s="372">
        <v>0</v>
      </c>
      <c r="H86" s="372">
        <f t="shared" si="5"/>
        <v>0</v>
      </c>
      <c r="I86" s="372"/>
      <c r="J86" s="416"/>
      <c r="N86" s="412"/>
      <c r="O86" s="412"/>
      <c r="P86" s="409"/>
    </row>
    <row r="87" spans="1:16">
      <c r="A87" s="334">
        <f t="shared" si="6"/>
        <v>14</v>
      </c>
      <c r="B87" s="1264">
        <v>396</v>
      </c>
      <c r="C87" s="304" t="s">
        <v>638</v>
      </c>
      <c r="D87" s="372">
        <f>'WPB-2.1.C Plant Detail'!D1001</f>
        <v>185547</v>
      </c>
      <c r="E87" s="372">
        <f>'WPB-2.1.C Plant Detail'!E1001+'WPB-2.1.C Plant Detail'!E1115+'WPB-2.1.C Plant Detail'!E1229+'WPB-2.1.C Plant Detail'!E1343+'WPB-2.1.C Plant Detail'!E1457+'WPB-2.1.C Plant Detail'!E1571+'WPB-2.1.C Plant Detail'!E1685+'WPB-2.1.C Plant Detail'!E1799+'WPB-2.1.C Plant Detail'!E1913+'WPB-2.1.C Plant Detail'!E2027+'WPB-2.1.C Plant Detail'!E2141+'WPB-2.1.C Plant Detail'!E2255</f>
        <v>0</v>
      </c>
      <c r="F87" s="372">
        <f>'WPB-2.1.C Plant Detail'!F1001+'WPB-2.1.C Plant Detail'!F1115+'WPB-2.1.C Plant Detail'!F1229+'WPB-2.1.C Plant Detail'!F1343+'WPB-2.1.C Plant Detail'!F1457+'WPB-2.1.C Plant Detail'!F1571+'WPB-2.1.C Plant Detail'!F1685+'WPB-2.1.C Plant Detail'!F1799+'WPB-2.1.C Plant Detail'!F1913+'WPB-2.1.C Plant Detail'!F2027+'WPB-2.1.C Plant Detail'!F2141+'WPB-2.1.C Plant Detail'!F2255</f>
        <v>0</v>
      </c>
      <c r="G87" s="372">
        <v>0</v>
      </c>
      <c r="H87" s="372">
        <f t="shared" si="5"/>
        <v>185547</v>
      </c>
      <c r="I87" s="372"/>
      <c r="J87" s="416"/>
      <c r="N87" s="412"/>
      <c r="O87" s="412"/>
      <c r="P87" s="409"/>
    </row>
    <row r="88" spans="1:16">
      <c r="A88" s="334">
        <f t="shared" si="6"/>
        <v>15</v>
      </c>
      <c r="B88" s="1264">
        <v>398</v>
      </c>
      <c r="C88" s="304" t="s">
        <v>639</v>
      </c>
      <c r="D88" s="922">
        <f>'WPB-2.1.C Plant Detail'!D1002</f>
        <v>148028.20000000001</v>
      </c>
      <c r="E88" s="922">
        <f>'WPB-2.1.C Plant Detail'!E1002+'WPB-2.1.C Plant Detail'!E1116+'WPB-2.1.C Plant Detail'!E1230+'WPB-2.1.C Plant Detail'!E1344+'WPB-2.1.C Plant Detail'!E1458+'WPB-2.1.C Plant Detail'!E1572+'WPB-2.1.C Plant Detail'!E1686+'WPB-2.1.C Plant Detail'!E1800+'WPB-2.1.C Plant Detail'!E1914+'WPB-2.1.C Plant Detail'!E2028+'WPB-2.1.C Plant Detail'!E2142+'WPB-2.1.C Plant Detail'!E2256</f>
        <v>0</v>
      </c>
      <c r="F88" s="922">
        <f>'WPB-2.1.C Plant Detail'!F1002+'WPB-2.1.C Plant Detail'!F1116+'WPB-2.1.C Plant Detail'!F1230+'WPB-2.1.C Plant Detail'!F1344+'WPB-2.1.C Plant Detail'!F1458+'WPB-2.1.C Plant Detail'!F1572+'WPB-2.1.C Plant Detail'!F1686+'WPB-2.1.C Plant Detail'!F1800+'WPB-2.1.C Plant Detail'!F1914+'WPB-2.1.C Plant Detail'!F2028+'WPB-2.1.C Plant Detail'!F2142+'WPB-2.1.C Plant Detail'!F2256</f>
        <v>0</v>
      </c>
      <c r="G88" s="922">
        <v>0</v>
      </c>
      <c r="H88" s="959">
        <f t="shared" si="5"/>
        <v>148028.20000000001</v>
      </c>
      <c r="I88" s="372"/>
      <c r="J88" s="416"/>
      <c r="N88" s="412"/>
      <c r="O88" s="412"/>
      <c r="P88" s="409"/>
    </row>
    <row r="89" spans="1:16">
      <c r="A89" s="334">
        <f t="shared" si="6"/>
        <v>16</v>
      </c>
      <c r="B89" s="388"/>
      <c r="C89" s="387" t="s">
        <v>640</v>
      </c>
      <c r="D89" s="372">
        <f>SUM(D75:D88)</f>
        <v>6327534.6800000006</v>
      </c>
      <c r="E89" s="372">
        <f>SUM(E75:E88)</f>
        <v>509685.35999999993</v>
      </c>
      <c r="F89" s="372">
        <f>SUM(F75:F88)</f>
        <v>-216974.66999999998</v>
      </c>
      <c r="G89" s="372">
        <f>SUM(G75:G88)</f>
        <v>0</v>
      </c>
      <c r="H89" s="372">
        <f>SUM(H75:H88)</f>
        <v>6620245.3700000001</v>
      </c>
      <c r="I89" s="372"/>
      <c r="J89" s="416"/>
      <c r="N89" s="412"/>
      <c r="O89" s="412"/>
      <c r="P89" s="409"/>
    </row>
    <row r="90" spans="1:16">
      <c r="B90" s="388"/>
      <c r="C90" s="387"/>
      <c r="D90" s="372"/>
      <c r="E90" s="372"/>
      <c r="F90" s="372"/>
      <c r="G90" s="372"/>
      <c r="H90" s="372"/>
      <c r="I90" s="372"/>
      <c r="J90" s="416"/>
      <c r="N90" s="412"/>
      <c r="O90" s="412"/>
      <c r="P90" s="409"/>
    </row>
    <row r="91" spans="1:16">
      <c r="A91" s="334">
        <f>A89+1</f>
        <v>17</v>
      </c>
      <c r="B91" s="388"/>
      <c r="C91" s="407" t="s">
        <v>1038</v>
      </c>
      <c r="D91" s="372"/>
      <c r="E91" s="372"/>
      <c r="F91" s="372"/>
      <c r="G91" s="372"/>
      <c r="H91" s="372"/>
      <c r="I91" s="372"/>
      <c r="J91" s="416"/>
      <c r="N91" s="412"/>
      <c r="O91" s="412"/>
      <c r="P91" s="409"/>
    </row>
    <row r="92" spans="1:16">
      <c r="A92" s="334">
        <f>A91+1</f>
        <v>18</v>
      </c>
      <c r="B92" s="388">
        <v>378.21</v>
      </c>
      <c r="C92" s="387" t="s">
        <v>1036</v>
      </c>
      <c r="D92" s="922">
        <f>'WPB-2.1.C Plant Detail'!D1006</f>
        <v>-777092</v>
      </c>
      <c r="E92" s="922">
        <v>0</v>
      </c>
      <c r="F92" s="922">
        <v>0</v>
      </c>
      <c r="G92" s="922">
        <v>0</v>
      </c>
      <c r="H92" s="959">
        <f>SUM(D92:G92)</f>
        <v>-777092</v>
      </c>
      <c r="I92" s="372"/>
      <c r="J92" s="416"/>
      <c r="N92" s="412"/>
      <c r="O92" s="412"/>
      <c r="P92" s="409"/>
    </row>
    <row r="93" spans="1:16" s="332" customFormat="1">
      <c r="A93" s="220"/>
      <c r="B93" s="1265"/>
      <c r="C93" s="220" t="s">
        <v>1781</v>
      </c>
      <c r="D93" s="328">
        <f>SUM(D92)</f>
        <v>-777092</v>
      </c>
      <c r="E93" s="328">
        <f>SUM(E92)</f>
        <v>0</v>
      </c>
      <c r="F93" s="328">
        <f>SUM(F92)</f>
        <v>0</v>
      </c>
      <c r="G93" s="328">
        <f>SUM(G92)</f>
        <v>0</v>
      </c>
      <c r="H93" s="328">
        <f>SUM(H92)</f>
        <v>-777092</v>
      </c>
    </row>
    <row r="94" spans="1:16">
      <c r="B94" s="388"/>
      <c r="D94" s="372"/>
      <c r="E94" s="372"/>
      <c r="F94" s="372"/>
      <c r="G94" s="372"/>
      <c r="H94" s="372"/>
      <c r="I94" s="372"/>
      <c r="J94" s="416"/>
      <c r="N94" s="412"/>
      <c r="O94" s="412"/>
      <c r="P94" s="409"/>
    </row>
    <row r="95" spans="1:16">
      <c r="A95" s="334">
        <f>A92+1</f>
        <v>19</v>
      </c>
      <c r="B95" s="388"/>
      <c r="C95" s="387" t="s">
        <v>2894</v>
      </c>
      <c r="D95" s="410">
        <f>D89+D57+D24+D93</f>
        <v>731152965.10603321</v>
      </c>
      <c r="E95" s="410">
        <f>E89+E57+E24+E93</f>
        <v>29320067.252876095</v>
      </c>
      <c r="F95" s="410">
        <f>F89+F57+F24+F93</f>
        <v>-7388175.6961845588</v>
      </c>
      <c r="G95" s="410">
        <f>G89+G57+G24+G93</f>
        <v>0</v>
      </c>
      <c r="H95" s="410">
        <f>H89+H57+H24+H93</f>
        <v>753084856.66272485</v>
      </c>
      <c r="I95" s="372"/>
      <c r="J95" s="416"/>
      <c r="N95" s="412"/>
      <c r="O95" s="412"/>
      <c r="P95" s="409"/>
    </row>
    <row r="96" spans="1:16">
      <c r="B96" s="388"/>
      <c r="C96" s="387"/>
      <c r="D96" s="372"/>
      <c r="E96" s="372"/>
      <c r="F96" s="372"/>
      <c r="G96" s="372"/>
      <c r="H96" s="372"/>
      <c r="I96" s="372"/>
      <c r="J96" s="416"/>
    </row>
    <row r="97" spans="1:10">
      <c r="A97" s="520">
        <f>+A95+1</f>
        <v>20</v>
      </c>
      <c r="B97" s="522"/>
      <c r="C97" s="839" t="s">
        <v>1774</v>
      </c>
    </row>
    <row r="98" spans="1:10">
      <c r="A98" s="520">
        <f>+A97+1</f>
        <v>21</v>
      </c>
      <c r="B98" s="1266">
        <v>376</v>
      </c>
      <c r="C98" s="411" t="s">
        <v>576</v>
      </c>
      <c r="D98" s="372">
        <f>'WPB-2.1.C Plant Detail'!D1017</f>
        <v>16984710.07</v>
      </c>
      <c r="E98" s="372">
        <f>'WPB-2.1.C Plant Detail'!E1017+'WPB-2.1.C Plant Detail'!E1131+'WPB-2.1.C Plant Detail'!E1245+'WPB-2.1.C Plant Detail'!E1359+'WPB-2.1.C Plant Detail'!E1473+'WPB-2.1.C Plant Detail'!E1587+'WPB-2.1.C Plant Detail'!E1701+'WPB-2.1.C Plant Detail'!E1815+'WPB-2.1.C Plant Detail'!E1929+'WPB-2.1.C Plant Detail'!E2043+'WPB-2.1.C Plant Detail'!E2157+'WPB-2.1.C Plant Detail'!E2271</f>
        <v>24514060.062568169</v>
      </c>
      <c r="F98" s="372">
        <f>'WPB-2.1.C Plant Detail'!F1017+'WPB-2.1.C Plant Detail'!F1131+'WPB-2.1.C Plant Detail'!F1245+'WPB-2.1.C Plant Detail'!F1359+'WPB-2.1.C Plant Detail'!F1473+'WPB-2.1.C Plant Detail'!F1587+'WPB-2.1.C Plant Detail'!F1701+'WPB-2.1.C Plant Detail'!F1815+'WPB-2.1.C Plant Detail'!F1929+'WPB-2.1.C Plant Detail'!F2043+'WPB-2.1.C Plant Detail'!F2157+'WPB-2.1.C Plant Detail'!F2271</f>
        <v>-353209.99397426972</v>
      </c>
      <c r="G98" s="413">
        <v>0</v>
      </c>
      <c r="H98" s="372">
        <f>SUM(D98:G98)</f>
        <v>41145560.138593897</v>
      </c>
      <c r="I98" s="372"/>
      <c r="J98" s="416"/>
    </row>
    <row r="99" spans="1:10">
      <c r="A99" s="520">
        <f t="shared" ref="A99:A103" si="7">+A98+1</f>
        <v>22</v>
      </c>
      <c r="B99" s="1266">
        <v>378.2</v>
      </c>
      <c r="C99" s="411" t="s">
        <v>2915</v>
      </c>
      <c r="D99" s="372">
        <f>'WPB-2.1.C Plant Detail'!D1018</f>
        <v>-305365.35000000003</v>
      </c>
      <c r="E99" s="372">
        <f>'WPB-2.1.C Plant Detail'!E1018+'WPB-2.1.C Plant Detail'!E1132+'WPB-2.1.C Plant Detail'!E1246+'WPB-2.1.C Plant Detail'!E1360+'WPB-2.1.C Plant Detail'!E1474+'WPB-2.1.C Plant Detail'!E1588+'WPB-2.1.C Plant Detail'!E1702+'WPB-2.1.C Plant Detail'!E1816+'WPB-2.1.C Plant Detail'!E1930+'WPB-2.1.C Plant Detail'!E2044+'WPB-2.1.C Plant Detail'!E2158+'WPB-2.1.C Plant Detail'!E2272</f>
        <v>1004233.0421483504</v>
      </c>
      <c r="F99" s="372">
        <f>'WPB-2.1.C Plant Detail'!F1018+'WPB-2.1.C Plant Detail'!F1132+'WPB-2.1.C Plant Detail'!F1246+'WPB-2.1.C Plant Detail'!F1360+'WPB-2.1.C Plant Detail'!F1474+'WPB-2.1.C Plant Detail'!F1588+'WPB-2.1.C Plant Detail'!F1702+'WPB-2.1.C Plant Detail'!F1816+'WPB-2.1.C Plant Detail'!F1930+'WPB-2.1.C Plant Detail'!F2044+'WPB-2.1.C Plant Detail'!F2158+'WPB-2.1.C Plant Detail'!F2272</f>
        <v>-262093.82405468915</v>
      </c>
      <c r="G99" s="413">
        <v>0</v>
      </c>
      <c r="H99" s="372">
        <f t="shared" ref="H99:H102" si="8">SUM(D99:G99)</f>
        <v>436773.86809366127</v>
      </c>
      <c r="I99" s="372"/>
      <c r="J99" s="416"/>
    </row>
    <row r="100" spans="1:10">
      <c r="A100" s="520">
        <f t="shared" si="7"/>
        <v>23</v>
      </c>
      <c r="B100" s="1266">
        <v>380</v>
      </c>
      <c r="C100" s="411" t="s">
        <v>398</v>
      </c>
      <c r="D100" s="372">
        <f>'WPB-2.1.C Plant Detail'!D1019</f>
        <v>6815965.7139667226</v>
      </c>
      <c r="E100" s="372">
        <f>'WPB-2.1.C Plant Detail'!E1019+'WPB-2.1.C Plant Detail'!E1133+'WPB-2.1.C Plant Detail'!E1247+'WPB-2.1.C Plant Detail'!E1361+'WPB-2.1.C Plant Detail'!E1475+'WPB-2.1.C Plant Detail'!E1589+'WPB-2.1.C Plant Detail'!E1703+'WPB-2.1.C Plant Detail'!E1817+'WPB-2.1.C Plant Detail'!E1931+'WPB-2.1.C Plant Detail'!E2045+'WPB-2.1.C Plant Detail'!E2159+'WPB-2.1.C Plant Detail'!E2273</f>
        <v>15459706.74</v>
      </c>
      <c r="F100" s="372">
        <f>'WPB-2.1.C Plant Detail'!F1019+'WPB-2.1.C Plant Detail'!F1133+'WPB-2.1.C Plant Detail'!F1247+'WPB-2.1.C Plant Detail'!F1361+'WPB-2.1.C Plant Detail'!F1475+'WPB-2.1.C Plant Detail'!F1589+'WPB-2.1.C Plant Detail'!F1703+'WPB-2.1.C Plant Detail'!F1817+'WPB-2.1.C Plant Detail'!F1931+'WPB-2.1.C Plant Detail'!F2045+'WPB-2.1.C Plant Detail'!F2159+'WPB-2.1.C Plant Detail'!F2273</f>
        <v>-3855235.882613732</v>
      </c>
      <c r="G100" s="413">
        <v>0</v>
      </c>
      <c r="H100" s="372">
        <f t="shared" si="8"/>
        <v>18420436.571352988</v>
      </c>
      <c r="I100" s="372"/>
      <c r="J100" s="416"/>
    </row>
    <row r="101" spans="1:10">
      <c r="A101" s="520">
        <f t="shared" si="7"/>
        <v>24</v>
      </c>
      <c r="B101" s="1266">
        <v>382</v>
      </c>
      <c r="C101" s="411" t="s">
        <v>2916</v>
      </c>
      <c r="D101" s="372">
        <f>'WPB-2.1.C Plant Detail'!D1020</f>
        <v>5957.5799999999963</v>
      </c>
      <c r="E101" s="372">
        <f>'WPB-2.1.C Plant Detail'!E1020+'WPB-2.1.C Plant Detail'!E1134+'WPB-2.1.C Plant Detail'!E1248+'WPB-2.1.C Plant Detail'!E1362+'WPB-2.1.C Plant Detail'!E1476+'WPB-2.1.C Plant Detail'!E1590+'WPB-2.1.C Plant Detail'!E1704+'WPB-2.1.C Plant Detail'!E1818+'WPB-2.1.C Plant Detail'!E1932+'WPB-2.1.C Plant Detail'!E2046+'WPB-2.1.C Plant Detail'!E2160+'WPB-2.1.C Plant Detail'!E2274</f>
        <v>221719.48</v>
      </c>
      <c r="F101" s="372">
        <f>'WPB-2.1.C Plant Detail'!F1020+'WPB-2.1.C Plant Detail'!F1134+'WPB-2.1.C Plant Detail'!F1248+'WPB-2.1.C Plant Detail'!F1362+'WPB-2.1.C Plant Detail'!F1476+'WPB-2.1.C Plant Detail'!F1590+'WPB-2.1.C Plant Detail'!F1704+'WPB-2.1.C Plant Detail'!F1818+'WPB-2.1.C Plant Detail'!F1932+'WPB-2.1.C Plant Detail'!F2046+'WPB-2.1.C Plant Detail'!F2160+'WPB-2.1.C Plant Detail'!F2274</f>
        <v>-37957.092643822507</v>
      </c>
      <c r="G101" s="413">
        <v>0</v>
      </c>
      <c r="H101" s="372">
        <f t="shared" si="8"/>
        <v>189719.96735617748</v>
      </c>
      <c r="I101" s="372"/>
      <c r="J101" s="416"/>
    </row>
    <row r="102" spans="1:10">
      <c r="A102" s="520">
        <f t="shared" si="7"/>
        <v>25</v>
      </c>
      <c r="B102" s="1266">
        <v>383</v>
      </c>
      <c r="C102" s="411" t="s">
        <v>2917</v>
      </c>
      <c r="D102" s="372">
        <f>'WPB-2.1.C Plant Detail'!D1021</f>
        <v>-4563.13</v>
      </c>
      <c r="E102" s="372">
        <f>'WPB-2.1.C Plant Detail'!E1021+'WPB-2.1.C Plant Detail'!E1135+'WPB-2.1.C Plant Detail'!E1249+'WPB-2.1.C Plant Detail'!E1363+'WPB-2.1.C Plant Detail'!E1477+'WPB-2.1.C Plant Detail'!E1591+'WPB-2.1.C Plant Detail'!E1705+'WPB-2.1.C Plant Detail'!E1819+'WPB-2.1.C Plant Detail'!E1933+'WPB-2.1.C Plant Detail'!E2047+'WPB-2.1.C Plant Detail'!E2161+'WPB-2.1.C Plant Detail'!E2275</f>
        <v>95018.159217754874</v>
      </c>
      <c r="F102" s="372">
        <f>'WPB-2.1.C Plant Detail'!F1021+'WPB-2.1.C Plant Detail'!F1135+'WPB-2.1.C Plant Detail'!F1249+'WPB-2.1.C Plant Detail'!F1363+'WPB-2.1.C Plant Detail'!F1477+'WPB-2.1.C Plant Detail'!F1591+'WPB-2.1.C Plant Detail'!F1705+'WPB-2.1.C Plant Detail'!F1819+'WPB-2.1.C Plant Detail'!F1933+'WPB-2.1.C Plant Detail'!F2047+'WPB-2.1.C Plant Detail'!F2161+'WPB-2.1.C Plant Detail'!F2275</f>
        <v>-4484.8405289274688</v>
      </c>
      <c r="G102" s="413">
        <v>0</v>
      </c>
      <c r="H102" s="372">
        <f t="shared" si="8"/>
        <v>85970.188688827402</v>
      </c>
      <c r="I102" s="372"/>
      <c r="J102" s="416"/>
    </row>
    <row r="103" spans="1:10">
      <c r="A103" s="520">
        <f t="shared" si="7"/>
        <v>26</v>
      </c>
      <c r="B103" s="411"/>
      <c r="C103" s="411" t="s">
        <v>1783</v>
      </c>
      <c r="D103" s="323">
        <f>SUM(D98:D102)</f>
        <v>23496704.883966722</v>
      </c>
      <c r="E103" s="323">
        <f t="shared" ref="E103:H103" si="9">SUM(E98:E102)</f>
        <v>41294737.483934268</v>
      </c>
      <c r="F103" s="323">
        <f t="shared" si="9"/>
        <v>-4512981.6338154413</v>
      </c>
      <c r="G103" s="323">
        <f t="shared" si="9"/>
        <v>0</v>
      </c>
      <c r="H103" s="323">
        <f t="shared" si="9"/>
        <v>60278460.734085552</v>
      </c>
      <c r="I103" s="372"/>
      <c r="J103" s="416"/>
    </row>
    <row r="104" spans="1:10">
      <c r="A104" s="520"/>
      <c r="B104" s="411"/>
      <c r="C104" s="411"/>
      <c r="D104" s="411"/>
      <c r="E104" s="411"/>
      <c r="F104" s="411"/>
      <c r="G104" s="411"/>
      <c r="H104" s="411"/>
      <c r="I104" s="372"/>
      <c r="J104" s="416"/>
    </row>
    <row r="105" spans="1:10">
      <c r="A105" s="520">
        <f>+A103+1</f>
        <v>27</v>
      </c>
      <c r="B105" s="411"/>
      <c r="C105" s="411" t="s">
        <v>447</v>
      </c>
      <c r="D105" s="414">
        <f>+D103+D95</f>
        <v>754649669.98999989</v>
      </c>
      <c r="E105" s="414">
        <f>+E103+E95</f>
        <v>70614804.736810356</v>
      </c>
      <c r="F105" s="414">
        <f>+F103+F95</f>
        <v>-11901157.33</v>
      </c>
      <c r="G105" s="414">
        <f>+G103+G94</f>
        <v>0</v>
      </c>
      <c r="H105" s="414">
        <f>+H103+H95</f>
        <v>813363317.39681041</v>
      </c>
      <c r="I105" s="372"/>
      <c r="J105" s="416"/>
    </row>
    <row r="106" spans="1:10">
      <c r="D106" s="372"/>
      <c r="E106" s="372"/>
      <c r="F106" s="372"/>
      <c r="G106" s="372"/>
      <c r="H106" s="372"/>
      <c r="I106" s="372"/>
      <c r="J106" s="416"/>
    </row>
    <row r="107" spans="1:10">
      <c r="D107" s="372"/>
      <c r="E107" s="372"/>
      <c r="F107" s="372"/>
      <c r="G107" s="372"/>
      <c r="H107" s="372"/>
      <c r="I107" s="372"/>
      <c r="J107" s="416"/>
    </row>
    <row r="108" spans="1:10">
      <c r="D108" s="372"/>
      <c r="E108" s="372"/>
      <c r="F108" s="372"/>
      <c r="G108" s="372"/>
      <c r="H108" s="372"/>
      <c r="I108" s="372"/>
      <c r="J108" s="416"/>
    </row>
    <row r="109" spans="1:10">
      <c r="D109" s="372"/>
      <c r="E109" s="372"/>
      <c r="F109" s="372"/>
      <c r="G109" s="372"/>
      <c r="H109" s="372"/>
      <c r="I109" s="372"/>
      <c r="J109" s="416"/>
    </row>
    <row r="110" spans="1:10">
      <c r="D110" s="372"/>
      <c r="E110" s="372"/>
      <c r="F110" s="372"/>
      <c r="G110" s="372"/>
      <c r="H110" s="372"/>
      <c r="I110" s="372"/>
      <c r="J110" s="416"/>
    </row>
    <row r="111" spans="1:10">
      <c r="D111" s="372"/>
      <c r="E111" s="372"/>
      <c r="F111" s="372"/>
      <c r="G111" s="372"/>
      <c r="H111" s="372"/>
      <c r="I111" s="372"/>
      <c r="J111" s="416"/>
    </row>
    <row r="112" spans="1:10">
      <c r="D112" s="372"/>
      <c r="E112" s="372"/>
      <c r="F112" s="372"/>
      <c r="G112" s="372"/>
      <c r="H112" s="372"/>
      <c r="I112" s="372"/>
      <c r="J112" s="416"/>
    </row>
    <row r="113" spans="4:10">
      <c r="D113" s="372"/>
      <c r="E113" s="372"/>
      <c r="F113" s="372"/>
      <c r="G113" s="372"/>
      <c r="H113" s="372"/>
      <c r="I113" s="372"/>
      <c r="J113" s="416"/>
    </row>
    <row r="114" spans="4:10">
      <c r="D114" s="372"/>
      <c r="E114" s="372"/>
      <c r="F114" s="372"/>
      <c r="G114" s="372"/>
      <c r="H114" s="372"/>
      <c r="I114" s="372"/>
      <c r="J114" s="416"/>
    </row>
    <row r="115" spans="4:10">
      <c r="D115" s="372"/>
      <c r="E115" s="372"/>
      <c r="F115" s="372"/>
      <c r="G115" s="372"/>
      <c r="H115" s="372"/>
      <c r="I115" s="372"/>
      <c r="J115" s="416"/>
    </row>
    <row r="116" spans="4:10">
      <c r="D116" s="372"/>
      <c r="E116" s="372"/>
      <c r="F116" s="372"/>
      <c r="G116" s="372"/>
      <c r="H116" s="372"/>
      <c r="I116" s="372"/>
      <c r="J116" s="416"/>
    </row>
    <row r="117" spans="4:10">
      <c r="D117" s="372"/>
      <c r="E117" s="372"/>
      <c r="F117" s="372"/>
      <c r="G117" s="372"/>
      <c r="H117" s="372"/>
      <c r="I117" s="372"/>
      <c r="J117" s="416"/>
    </row>
    <row r="118" spans="4:10">
      <c r="D118" s="372"/>
      <c r="E118" s="372"/>
      <c r="F118" s="372"/>
      <c r="G118" s="372"/>
      <c r="H118" s="372"/>
      <c r="I118" s="372"/>
      <c r="J118" s="416"/>
    </row>
    <row r="119" spans="4:10">
      <c r="D119" s="372"/>
      <c r="E119" s="372"/>
      <c r="F119" s="372"/>
      <c r="G119" s="372"/>
      <c r="H119" s="372"/>
      <c r="I119" s="372"/>
      <c r="J119" s="416"/>
    </row>
    <row r="120" spans="4:10">
      <c r="D120" s="372"/>
      <c r="E120" s="372"/>
      <c r="F120" s="372"/>
      <c r="G120" s="372"/>
      <c r="H120" s="372"/>
      <c r="I120" s="372"/>
      <c r="J120" s="416"/>
    </row>
    <row r="121" spans="4:10">
      <c r="D121" s="372"/>
      <c r="E121" s="372"/>
      <c r="F121" s="372"/>
      <c r="G121" s="372"/>
      <c r="H121" s="372"/>
      <c r="I121" s="372"/>
      <c r="J121" s="416"/>
    </row>
    <row r="122" spans="4:10">
      <c r="D122" s="372"/>
      <c r="E122" s="372"/>
      <c r="F122" s="372"/>
      <c r="G122" s="372"/>
      <c r="H122" s="372"/>
      <c r="I122" s="372"/>
      <c r="J122" s="416"/>
    </row>
    <row r="123" spans="4:10">
      <c r="D123" s="372"/>
      <c r="E123" s="372"/>
      <c r="F123" s="372"/>
      <c r="G123" s="372"/>
      <c r="H123" s="372"/>
      <c r="I123" s="372"/>
      <c r="J123" s="416"/>
    </row>
    <row r="124" spans="4:10">
      <c r="D124" s="372"/>
      <c r="E124" s="372"/>
      <c r="F124" s="372"/>
      <c r="G124" s="372"/>
      <c r="H124" s="372"/>
      <c r="I124" s="372"/>
      <c r="J124" s="416"/>
    </row>
    <row r="125" spans="4:10">
      <c r="D125" s="372"/>
      <c r="E125" s="372"/>
      <c r="F125" s="372"/>
      <c r="G125" s="372"/>
      <c r="H125" s="372"/>
      <c r="I125" s="372"/>
      <c r="J125" s="416"/>
    </row>
    <row r="126" spans="4:10">
      <c r="D126" s="372"/>
      <c r="E126" s="372"/>
      <c r="F126" s="372"/>
      <c r="G126" s="372"/>
      <c r="H126" s="372"/>
      <c r="I126" s="372"/>
      <c r="J126" s="416"/>
    </row>
    <row r="127" spans="4:10">
      <c r="D127" s="372"/>
      <c r="E127" s="372"/>
      <c r="F127" s="372"/>
      <c r="G127" s="372"/>
      <c r="H127" s="372"/>
      <c r="I127" s="372"/>
      <c r="J127" s="416"/>
    </row>
    <row r="128" spans="4:10">
      <c r="D128" s="372"/>
      <c r="E128" s="372"/>
      <c r="F128" s="372"/>
      <c r="G128" s="372"/>
      <c r="H128" s="372"/>
      <c r="I128" s="372"/>
      <c r="J128" s="416"/>
    </row>
    <row r="129" spans="4:10">
      <c r="D129" s="372"/>
      <c r="E129" s="372"/>
      <c r="F129" s="372"/>
      <c r="G129" s="372"/>
      <c r="H129" s="372"/>
      <c r="I129" s="372"/>
      <c r="J129" s="416"/>
    </row>
    <row r="130" spans="4:10">
      <c r="D130" s="372"/>
      <c r="E130" s="372"/>
      <c r="F130" s="372"/>
      <c r="G130" s="372"/>
      <c r="H130" s="372"/>
      <c r="I130" s="372"/>
      <c r="J130" s="416"/>
    </row>
    <row r="131" spans="4:10">
      <c r="D131" s="372"/>
      <c r="E131" s="372"/>
      <c r="F131" s="372"/>
      <c r="G131" s="372"/>
      <c r="H131" s="372"/>
      <c r="I131" s="372"/>
      <c r="J131" s="416"/>
    </row>
    <row r="132" spans="4:10">
      <c r="D132" s="372"/>
      <c r="E132" s="372"/>
      <c r="F132" s="372"/>
      <c r="G132" s="372"/>
      <c r="H132" s="372"/>
      <c r="I132" s="372"/>
      <c r="J132" s="416"/>
    </row>
    <row r="133" spans="4:10">
      <c r="D133" s="372"/>
      <c r="E133" s="372"/>
      <c r="F133" s="372"/>
      <c r="G133" s="372"/>
      <c r="H133" s="372"/>
      <c r="I133" s="372"/>
      <c r="J133" s="416"/>
    </row>
    <row r="134" spans="4:10">
      <c r="D134" s="372"/>
      <c r="E134" s="372"/>
      <c r="F134" s="372"/>
      <c r="G134" s="372"/>
      <c r="H134" s="372"/>
      <c r="I134" s="372"/>
      <c r="J134" s="416"/>
    </row>
    <row r="135" spans="4:10">
      <c r="D135" s="372"/>
      <c r="E135" s="372"/>
      <c r="F135" s="372"/>
      <c r="G135" s="372"/>
      <c r="H135" s="372"/>
      <c r="I135" s="372"/>
      <c r="J135" s="416"/>
    </row>
    <row r="136" spans="4:10">
      <c r="D136" s="372"/>
      <c r="E136" s="372"/>
      <c r="F136" s="372"/>
      <c r="G136" s="372"/>
      <c r="H136" s="372"/>
      <c r="I136" s="372"/>
      <c r="J136" s="416"/>
    </row>
    <row r="137" spans="4:10">
      <c r="D137" s="372"/>
      <c r="E137" s="372"/>
      <c r="F137" s="372"/>
      <c r="G137" s="372"/>
      <c r="H137" s="372"/>
      <c r="I137" s="372"/>
      <c r="J137" s="416"/>
    </row>
    <row r="138" spans="4:10">
      <c r="D138" s="372"/>
      <c r="E138" s="372"/>
      <c r="F138" s="372"/>
      <c r="G138" s="372"/>
      <c r="H138" s="372"/>
      <c r="I138" s="372"/>
      <c r="J138" s="416"/>
    </row>
    <row r="139" spans="4:10">
      <c r="D139" s="372"/>
      <c r="E139" s="372"/>
      <c r="F139" s="372"/>
      <c r="G139" s="372"/>
      <c r="H139" s="372"/>
      <c r="I139" s="372"/>
      <c r="J139" s="416"/>
    </row>
    <row r="140" spans="4:10">
      <c r="D140" s="372"/>
      <c r="E140" s="372"/>
      <c r="F140" s="372"/>
      <c r="G140" s="372"/>
      <c r="H140" s="372"/>
      <c r="I140" s="372"/>
      <c r="J140" s="416"/>
    </row>
  </sheetData>
  <mergeCells count="9">
    <mergeCell ref="A59:H59"/>
    <mergeCell ref="A60:H60"/>
    <mergeCell ref="A61:H61"/>
    <mergeCell ref="A62:H62"/>
    <mergeCell ref="A1:H1"/>
    <mergeCell ref="A2:H2"/>
    <mergeCell ref="A3:H3"/>
    <mergeCell ref="A4:H4"/>
    <mergeCell ref="J16:K16"/>
  </mergeCells>
  <printOptions horizontalCentered="1"/>
  <pageMargins left="0.5" right="0.5" top="0.75" bottom="0.5" header="0.3" footer="0.3"/>
  <pageSetup scale="76" fitToHeight="2" orientation="portrait" r:id="rId1"/>
  <rowBreaks count="1" manualBreakCount="1">
    <brk id="58"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23"/>
  <sheetViews>
    <sheetView workbookViewId="0">
      <selection sqref="A1:XFD1048576"/>
    </sheetView>
  </sheetViews>
  <sheetFormatPr defaultRowHeight="15"/>
  <cols>
    <col min="1" max="1" width="4.33203125" style="90" customWidth="1"/>
    <col min="2" max="2" width="50.33203125" style="90" bestFit="1" customWidth="1"/>
    <col min="3" max="3" width="17.6640625" style="90" bestFit="1" customWidth="1"/>
    <col min="4" max="15" width="18.6640625" style="90" bestFit="1" customWidth="1"/>
    <col min="16" max="16" width="24.6640625" style="90" bestFit="1" customWidth="1"/>
    <col min="17" max="17" width="28.6640625" style="90" bestFit="1" customWidth="1"/>
    <col min="18" max="18" width="16.6640625" style="90" bestFit="1" customWidth="1"/>
    <col min="19" max="19" width="16.5" style="90" bestFit="1" customWidth="1"/>
    <col min="20" max="256" width="9.33203125" style="90"/>
    <col min="257" max="257" width="4.33203125" style="90" customWidth="1"/>
    <col min="258" max="258" width="50.33203125" style="90" bestFit="1" customWidth="1"/>
    <col min="259" max="271" width="17.6640625" style="90" bestFit="1" customWidth="1"/>
    <col min="272" max="272" width="24.6640625" style="90" bestFit="1" customWidth="1"/>
    <col min="273" max="273" width="28.6640625" style="90" bestFit="1" customWidth="1"/>
    <col min="274" max="274" width="9.33203125" style="90"/>
    <col min="275" max="275" width="16.5" style="90" bestFit="1" customWidth="1"/>
    <col min="276" max="512" width="9.33203125" style="90"/>
    <col min="513" max="513" width="4.33203125" style="90" customWidth="1"/>
    <col min="514" max="514" width="50.33203125" style="90" bestFit="1" customWidth="1"/>
    <col min="515" max="527" width="17.6640625" style="90" bestFit="1" customWidth="1"/>
    <col min="528" max="528" width="24.6640625" style="90" bestFit="1" customWidth="1"/>
    <col min="529" max="529" width="28.6640625" style="90" bestFit="1" customWidth="1"/>
    <col min="530" max="530" width="9.33203125" style="90"/>
    <col min="531" max="531" width="16.5" style="90" bestFit="1" customWidth="1"/>
    <col min="532" max="768" width="9.33203125" style="90"/>
    <col min="769" max="769" width="4.33203125" style="90" customWidth="1"/>
    <col min="770" max="770" width="50.33203125" style="90" bestFit="1" customWidth="1"/>
    <col min="771" max="783" width="17.6640625" style="90" bestFit="1" customWidth="1"/>
    <col min="784" max="784" width="24.6640625" style="90" bestFit="1" customWidth="1"/>
    <col min="785" max="785" width="28.6640625" style="90" bestFit="1" customWidth="1"/>
    <col min="786" max="786" width="9.33203125" style="90"/>
    <col min="787" max="787" width="16.5" style="90" bestFit="1" customWidth="1"/>
    <col min="788" max="1024" width="9.33203125" style="90"/>
    <col min="1025" max="1025" width="4.33203125" style="90" customWidth="1"/>
    <col min="1026" max="1026" width="50.33203125" style="90" bestFit="1" customWidth="1"/>
    <col min="1027" max="1039" width="17.6640625" style="90" bestFit="1" customWidth="1"/>
    <col min="1040" max="1040" width="24.6640625" style="90" bestFit="1" customWidth="1"/>
    <col min="1041" max="1041" width="28.6640625" style="90" bestFit="1" customWidth="1"/>
    <col min="1042" max="1042" width="9.33203125" style="90"/>
    <col min="1043" max="1043" width="16.5" style="90" bestFit="1" customWidth="1"/>
    <col min="1044" max="1280" width="9.33203125" style="90"/>
    <col min="1281" max="1281" width="4.33203125" style="90" customWidth="1"/>
    <col min="1282" max="1282" width="50.33203125" style="90" bestFit="1" customWidth="1"/>
    <col min="1283" max="1295" width="17.6640625" style="90" bestFit="1" customWidth="1"/>
    <col min="1296" max="1296" width="24.6640625" style="90" bestFit="1" customWidth="1"/>
    <col min="1297" max="1297" width="28.6640625" style="90" bestFit="1" customWidth="1"/>
    <col min="1298" max="1298" width="9.33203125" style="90"/>
    <col min="1299" max="1299" width="16.5" style="90" bestFit="1" customWidth="1"/>
    <col min="1300" max="1536" width="9.33203125" style="90"/>
    <col min="1537" max="1537" width="4.33203125" style="90" customWidth="1"/>
    <col min="1538" max="1538" width="50.33203125" style="90" bestFit="1" customWidth="1"/>
    <col min="1539" max="1551" width="17.6640625" style="90" bestFit="1" customWidth="1"/>
    <col min="1552" max="1552" width="24.6640625" style="90" bestFit="1" customWidth="1"/>
    <col min="1553" max="1553" width="28.6640625" style="90" bestFit="1" customWidth="1"/>
    <col min="1554" max="1554" width="9.33203125" style="90"/>
    <col min="1555" max="1555" width="16.5" style="90" bestFit="1" customWidth="1"/>
    <col min="1556" max="1792" width="9.33203125" style="90"/>
    <col min="1793" max="1793" width="4.33203125" style="90" customWidth="1"/>
    <col min="1794" max="1794" width="50.33203125" style="90" bestFit="1" customWidth="1"/>
    <col min="1795" max="1807" width="17.6640625" style="90" bestFit="1" customWidth="1"/>
    <col min="1808" max="1808" width="24.6640625" style="90" bestFit="1" customWidth="1"/>
    <col min="1809" max="1809" width="28.6640625" style="90" bestFit="1" customWidth="1"/>
    <col min="1810" max="1810" width="9.33203125" style="90"/>
    <col min="1811" max="1811" width="16.5" style="90" bestFit="1" customWidth="1"/>
    <col min="1812" max="2048" width="9.33203125" style="90"/>
    <col min="2049" max="2049" width="4.33203125" style="90" customWidth="1"/>
    <col min="2050" max="2050" width="50.33203125" style="90" bestFit="1" customWidth="1"/>
    <col min="2051" max="2063" width="17.6640625" style="90" bestFit="1" customWidth="1"/>
    <col min="2064" max="2064" width="24.6640625" style="90" bestFit="1" customWidth="1"/>
    <col min="2065" max="2065" width="28.6640625" style="90" bestFit="1" customWidth="1"/>
    <col min="2066" max="2066" width="9.33203125" style="90"/>
    <col min="2067" max="2067" width="16.5" style="90" bestFit="1" customWidth="1"/>
    <col min="2068" max="2304" width="9.33203125" style="90"/>
    <col min="2305" max="2305" width="4.33203125" style="90" customWidth="1"/>
    <col min="2306" max="2306" width="50.33203125" style="90" bestFit="1" customWidth="1"/>
    <col min="2307" max="2319" width="17.6640625" style="90" bestFit="1" customWidth="1"/>
    <col min="2320" max="2320" width="24.6640625" style="90" bestFit="1" customWidth="1"/>
    <col min="2321" max="2321" width="28.6640625" style="90" bestFit="1" customWidth="1"/>
    <col min="2322" max="2322" width="9.33203125" style="90"/>
    <col min="2323" max="2323" width="16.5" style="90" bestFit="1" customWidth="1"/>
    <col min="2324" max="2560" width="9.33203125" style="90"/>
    <col min="2561" max="2561" width="4.33203125" style="90" customWidth="1"/>
    <col min="2562" max="2562" width="50.33203125" style="90" bestFit="1" customWidth="1"/>
    <col min="2563" max="2575" width="17.6640625" style="90" bestFit="1" customWidth="1"/>
    <col min="2576" max="2576" width="24.6640625" style="90" bestFit="1" customWidth="1"/>
    <col min="2577" max="2577" width="28.6640625" style="90" bestFit="1" customWidth="1"/>
    <col min="2578" max="2578" width="9.33203125" style="90"/>
    <col min="2579" max="2579" width="16.5" style="90" bestFit="1" customWidth="1"/>
    <col min="2580" max="2816" width="9.33203125" style="90"/>
    <col min="2817" max="2817" width="4.33203125" style="90" customWidth="1"/>
    <col min="2818" max="2818" width="50.33203125" style="90" bestFit="1" customWidth="1"/>
    <col min="2819" max="2831" width="17.6640625" style="90" bestFit="1" customWidth="1"/>
    <col min="2832" max="2832" width="24.6640625" style="90" bestFit="1" customWidth="1"/>
    <col min="2833" max="2833" width="28.6640625" style="90" bestFit="1" customWidth="1"/>
    <col min="2834" max="2834" width="9.33203125" style="90"/>
    <col min="2835" max="2835" width="16.5" style="90" bestFit="1" customWidth="1"/>
    <col min="2836" max="3072" width="9.33203125" style="90"/>
    <col min="3073" max="3073" width="4.33203125" style="90" customWidth="1"/>
    <col min="3074" max="3074" width="50.33203125" style="90" bestFit="1" customWidth="1"/>
    <col min="3075" max="3087" width="17.6640625" style="90" bestFit="1" customWidth="1"/>
    <col min="3088" max="3088" width="24.6640625" style="90" bestFit="1" customWidth="1"/>
    <col min="3089" max="3089" width="28.6640625" style="90" bestFit="1" customWidth="1"/>
    <col min="3090" max="3090" width="9.33203125" style="90"/>
    <col min="3091" max="3091" width="16.5" style="90" bestFit="1" customWidth="1"/>
    <col min="3092" max="3328" width="9.33203125" style="90"/>
    <col min="3329" max="3329" width="4.33203125" style="90" customWidth="1"/>
    <col min="3330" max="3330" width="50.33203125" style="90" bestFit="1" customWidth="1"/>
    <col min="3331" max="3343" width="17.6640625" style="90" bestFit="1" customWidth="1"/>
    <col min="3344" max="3344" width="24.6640625" style="90" bestFit="1" customWidth="1"/>
    <col min="3345" max="3345" width="28.6640625" style="90" bestFit="1" customWidth="1"/>
    <col min="3346" max="3346" width="9.33203125" style="90"/>
    <col min="3347" max="3347" width="16.5" style="90" bestFit="1" customWidth="1"/>
    <col min="3348" max="3584" width="9.33203125" style="90"/>
    <col min="3585" max="3585" width="4.33203125" style="90" customWidth="1"/>
    <col min="3586" max="3586" width="50.33203125" style="90" bestFit="1" customWidth="1"/>
    <col min="3587" max="3599" width="17.6640625" style="90" bestFit="1" customWidth="1"/>
    <col min="3600" max="3600" width="24.6640625" style="90" bestFit="1" customWidth="1"/>
    <col min="3601" max="3601" width="28.6640625" style="90" bestFit="1" customWidth="1"/>
    <col min="3602" max="3602" width="9.33203125" style="90"/>
    <col min="3603" max="3603" width="16.5" style="90" bestFit="1" customWidth="1"/>
    <col min="3604" max="3840" width="9.33203125" style="90"/>
    <col min="3841" max="3841" width="4.33203125" style="90" customWidth="1"/>
    <col min="3842" max="3842" width="50.33203125" style="90" bestFit="1" customWidth="1"/>
    <col min="3843" max="3855" width="17.6640625" style="90" bestFit="1" customWidth="1"/>
    <col min="3856" max="3856" width="24.6640625" style="90" bestFit="1" customWidth="1"/>
    <col min="3857" max="3857" width="28.6640625" style="90" bestFit="1" customWidth="1"/>
    <col min="3858" max="3858" width="9.33203125" style="90"/>
    <col min="3859" max="3859" width="16.5" style="90" bestFit="1" customWidth="1"/>
    <col min="3860" max="4096" width="9.33203125" style="90"/>
    <col min="4097" max="4097" width="4.33203125" style="90" customWidth="1"/>
    <col min="4098" max="4098" width="50.33203125" style="90" bestFit="1" customWidth="1"/>
    <col min="4099" max="4111" width="17.6640625" style="90" bestFit="1" customWidth="1"/>
    <col min="4112" max="4112" width="24.6640625" style="90" bestFit="1" customWidth="1"/>
    <col min="4113" max="4113" width="28.6640625" style="90" bestFit="1" customWidth="1"/>
    <col min="4114" max="4114" width="9.33203125" style="90"/>
    <col min="4115" max="4115" width="16.5" style="90" bestFit="1" customWidth="1"/>
    <col min="4116" max="4352" width="9.33203125" style="90"/>
    <col min="4353" max="4353" width="4.33203125" style="90" customWidth="1"/>
    <col min="4354" max="4354" width="50.33203125" style="90" bestFit="1" customWidth="1"/>
    <col min="4355" max="4367" width="17.6640625" style="90" bestFit="1" customWidth="1"/>
    <col min="4368" max="4368" width="24.6640625" style="90" bestFit="1" customWidth="1"/>
    <col min="4369" max="4369" width="28.6640625" style="90" bestFit="1" customWidth="1"/>
    <col min="4370" max="4370" width="9.33203125" style="90"/>
    <col min="4371" max="4371" width="16.5" style="90" bestFit="1" customWidth="1"/>
    <col min="4372" max="4608" width="9.33203125" style="90"/>
    <col min="4609" max="4609" width="4.33203125" style="90" customWidth="1"/>
    <col min="4610" max="4610" width="50.33203125" style="90" bestFit="1" customWidth="1"/>
    <col min="4611" max="4623" width="17.6640625" style="90" bestFit="1" customWidth="1"/>
    <col min="4624" max="4624" width="24.6640625" style="90" bestFit="1" customWidth="1"/>
    <col min="4625" max="4625" width="28.6640625" style="90" bestFit="1" customWidth="1"/>
    <col min="4626" max="4626" width="9.33203125" style="90"/>
    <col min="4627" max="4627" width="16.5" style="90" bestFit="1" customWidth="1"/>
    <col min="4628" max="4864" width="9.33203125" style="90"/>
    <col min="4865" max="4865" width="4.33203125" style="90" customWidth="1"/>
    <col min="4866" max="4866" width="50.33203125" style="90" bestFit="1" customWidth="1"/>
    <col min="4867" max="4879" width="17.6640625" style="90" bestFit="1" customWidth="1"/>
    <col min="4880" max="4880" width="24.6640625" style="90" bestFit="1" customWidth="1"/>
    <col min="4881" max="4881" width="28.6640625" style="90" bestFit="1" customWidth="1"/>
    <col min="4882" max="4882" width="9.33203125" style="90"/>
    <col min="4883" max="4883" width="16.5" style="90" bestFit="1" customWidth="1"/>
    <col min="4884" max="5120" width="9.33203125" style="90"/>
    <col min="5121" max="5121" width="4.33203125" style="90" customWidth="1"/>
    <col min="5122" max="5122" width="50.33203125" style="90" bestFit="1" customWidth="1"/>
    <col min="5123" max="5135" width="17.6640625" style="90" bestFit="1" customWidth="1"/>
    <col min="5136" max="5136" width="24.6640625" style="90" bestFit="1" customWidth="1"/>
    <col min="5137" max="5137" width="28.6640625" style="90" bestFit="1" customWidth="1"/>
    <col min="5138" max="5138" width="9.33203125" style="90"/>
    <col min="5139" max="5139" width="16.5" style="90" bestFit="1" customWidth="1"/>
    <col min="5140" max="5376" width="9.33203125" style="90"/>
    <col min="5377" max="5377" width="4.33203125" style="90" customWidth="1"/>
    <col min="5378" max="5378" width="50.33203125" style="90" bestFit="1" customWidth="1"/>
    <col min="5379" max="5391" width="17.6640625" style="90" bestFit="1" customWidth="1"/>
    <col min="5392" max="5392" width="24.6640625" style="90" bestFit="1" customWidth="1"/>
    <col min="5393" max="5393" width="28.6640625" style="90" bestFit="1" customWidth="1"/>
    <col min="5394" max="5394" width="9.33203125" style="90"/>
    <col min="5395" max="5395" width="16.5" style="90" bestFit="1" customWidth="1"/>
    <col min="5396" max="5632" width="9.33203125" style="90"/>
    <col min="5633" max="5633" width="4.33203125" style="90" customWidth="1"/>
    <col min="5634" max="5634" width="50.33203125" style="90" bestFit="1" customWidth="1"/>
    <col min="5635" max="5647" width="17.6640625" style="90" bestFit="1" customWidth="1"/>
    <col min="5648" max="5648" width="24.6640625" style="90" bestFit="1" customWidth="1"/>
    <col min="5649" max="5649" width="28.6640625" style="90" bestFit="1" customWidth="1"/>
    <col min="5650" max="5650" width="9.33203125" style="90"/>
    <col min="5651" max="5651" width="16.5" style="90" bestFit="1" customWidth="1"/>
    <col min="5652" max="5888" width="9.33203125" style="90"/>
    <col min="5889" max="5889" width="4.33203125" style="90" customWidth="1"/>
    <col min="5890" max="5890" width="50.33203125" style="90" bestFit="1" customWidth="1"/>
    <col min="5891" max="5903" width="17.6640625" style="90" bestFit="1" customWidth="1"/>
    <col min="5904" max="5904" width="24.6640625" style="90" bestFit="1" customWidth="1"/>
    <col min="5905" max="5905" width="28.6640625" style="90" bestFit="1" customWidth="1"/>
    <col min="5906" max="5906" width="9.33203125" style="90"/>
    <col min="5907" max="5907" width="16.5" style="90" bestFit="1" customWidth="1"/>
    <col min="5908" max="6144" width="9.33203125" style="90"/>
    <col min="6145" max="6145" width="4.33203125" style="90" customWidth="1"/>
    <col min="6146" max="6146" width="50.33203125" style="90" bestFit="1" customWidth="1"/>
    <col min="6147" max="6159" width="17.6640625" style="90" bestFit="1" customWidth="1"/>
    <col min="6160" max="6160" width="24.6640625" style="90" bestFit="1" customWidth="1"/>
    <col min="6161" max="6161" width="28.6640625" style="90" bestFit="1" customWidth="1"/>
    <col min="6162" max="6162" width="9.33203125" style="90"/>
    <col min="6163" max="6163" width="16.5" style="90" bestFit="1" customWidth="1"/>
    <col min="6164" max="6400" width="9.33203125" style="90"/>
    <col min="6401" max="6401" width="4.33203125" style="90" customWidth="1"/>
    <col min="6402" max="6402" width="50.33203125" style="90" bestFit="1" customWidth="1"/>
    <col min="6403" max="6415" width="17.6640625" style="90" bestFit="1" customWidth="1"/>
    <col min="6416" max="6416" width="24.6640625" style="90" bestFit="1" customWidth="1"/>
    <col min="6417" max="6417" width="28.6640625" style="90" bestFit="1" customWidth="1"/>
    <col min="6418" max="6418" width="9.33203125" style="90"/>
    <col min="6419" max="6419" width="16.5" style="90" bestFit="1" customWidth="1"/>
    <col min="6420" max="6656" width="9.33203125" style="90"/>
    <col min="6657" max="6657" width="4.33203125" style="90" customWidth="1"/>
    <col min="6658" max="6658" width="50.33203125" style="90" bestFit="1" customWidth="1"/>
    <col min="6659" max="6671" width="17.6640625" style="90" bestFit="1" customWidth="1"/>
    <col min="6672" max="6672" width="24.6640625" style="90" bestFit="1" customWidth="1"/>
    <col min="6673" max="6673" width="28.6640625" style="90" bestFit="1" customWidth="1"/>
    <col min="6674" max="6674" width="9.33203125" style="90"/>
    <col min="6675" max="6675" width="16.5" style="90" bestFit="1" customWidth="1"/>
    <col min="6676" max="6912" width="9.33203125" style="90"/>
    <col min="6913" max="6913" width="4.33203125" style="90" customWidth="1"/>
    <col min="6914" max="6914" width="50.33203125" style="90" bestFit="1" customWidth="1"/>
    <col min="6915" max="6927" width="17.6640625" style="90" bestFit="1" customWidth="1"/>
    <col min="6928" max="6928" width="24.6640625" style="90" bestFit="1" customWidth="1"/>
    <col min="6929" max="6929" width="28.6640625" style="90" bestFit="1" customWidth="1"/>
    <col min="6930" max="6930" width="9.33203125" style="90"/>
    <col min="6931" max="6931" width="16.5" style="90" bestFit="1" customWidth="1"/>
    <col min="6932" max="7168" width="9.33203125" style="90"/>
    <col min="7169" max="7169" width="4.33203125" style="90" customWidth="1"/>
    <col min="7170" max="7170" width="50.33203125" style="90" bestFit="1" customWidth="1"/>
    <col min="7171" max="7183" width="17.6640625" style="90" bestFit="1" customWidth="1"/>
    <col min="7184" max="7184" width="24.6640625" style="90" bestFit="1" customWidth="1"/>
    <col min="7185" max="7185" width="28.6640625" style="90" bestFit="1" customWidth="1"/>
    <col min="7186" max="7186" width="9.33203125" style="90"/>
    <col min="7187" max="7187" width="16.5" style="90" bestFit="1" customWidth="1"/>
    <col min="7188" max="7424" width="9.33203125" style="90"/>
    <col min="7425" max="7425" width="4.33203125" style="90" customWidth="1"/>
    <col min="7426" max="7426" width="50.33203125" style="90" bestFit="1" customWidth="1"/>
    <col min="7427" max="7439" width="17.6640625" style="90" bestFit="1" customWidth="1"/>
    <col min="7440" max="7440" width="24.6640625" style="90" bestFit="1" customWidth="1"/>
    <col min="7441" max="7441" width="28.6640625" style="90" bestFit="1" customWidth="1"/>
    <col min="7442" max="7442" width="9.33203125" style="90"/>
    <col min="7443" max="7443" width="16.5" style="90" bestFit="1" customWidth="1"/>
    <col min="7444" max="7680" width="9.33203125" style="90"/>
    <col min="7681" max="7681" width="4.33203125" style="90" customWidth="1"/>
    <col min="7682" max="7682" width="50.33203125" style="90" bestFit="1" customWidth="1"/>
    <col min="7683" max="7695" width="17.6640625" style="90" bestFit="1" customWidth="1"/>
    <col min="7696" max="7696" width="24.6640625" style="90" bestFit="1" customWidth="1"/>
    <col min="7697" max="7697" width="28.6640625" style="90" bestFit="1" customWidth="1"/>
    <col min="7698" max="7698" width="9.33203125" style="90"/>
    <col min="7699" max="7699" width="16.5" style="90" bestFit="1" customWidth="1"/>
    <col min="7700" max="7936" width="9.33203125" style="90"/>
    <col min="7937" max="7937" width="4.33203125" style="90" customWidth="1"/>
    <col min="7938" max="7938" width="50.33203125" style="90" bestFit="1" customWidth="1"/>
    <col min="7939" max="7951" width="17.6640625" style="90" bestFit="1" customWidth="1"/>
    <col min="7952" max="7952" width="24.6640625" style="90" bestFit="1" customWidth="1"/>
    <col min="7953" max="7953" width="28.6640625" style="90" bestFit="1" customWidth="1"/>
    <col min="7954" max="7954" width="9.33203125" style="90"/>
    <col min="7955" max="7955" width="16.5" style="90" bestFit="1" customWidth="1"/>
    <col min="7956" max="8192" width="9.33203125" style="90"/>
    <col min="8193" max="8193" width="4.33203125" style="90" customWidth="1"/>
    <col min="8194" max="8194" width="50.33203125" style="90" bestFit="1" customWidth="1"/>
    <col min="8195" max="8207" width="17.6640625" style="90" bestFit="1" customWidth="1"/>
    <col min="8208" max="8208" width="24.6640625" style="90" bestFit="1" customWidth="1"/>
    <col min="8209" max="8209" width="28.6640625" style="90" bestFit="1" customWidth="1"/>
    <col min="8210" max="8210" width="9.33203125" style="90"/>
    <col min="8211" max="8211" width="16.5" style="90" bestFit="1" customWidth="1"/>
    <col min="8212" max="8448" width="9.33203125" style="90"/>
    <col min="8449" max="8449" width="4.33203125" style="90" customWidth="1"/>
    <col min="8450" max="8450" width="50.33203125" style="90" bestFit="1" customWidth="1"/>
    <col min="8451" max="8463" width="17.6640625" style="90" bestFit="1" customWidth="1"/>
    <col min="8464" max="8464" width="24.6640625" style="90" bestFit="1" customWidth="1"/>
    <col min="8465" max="8465" width="28.6640625" style="90" bestFit="1" customWidth="1"/>
    <col min="8466" max="8466" width="9.33203125" style="90"/>
    <col min="8467" max="8467" width="16.5" style="90" bestFit="1" customWidth="1"/>
    <col min="8468" max="8704" width="9.33203125" style="90"/>
    <col min="8705" max="8705" width="4.33203125" style="90" customWidth="1"/>
    <col min="8706" max="8706" width="50.33203125" style="90" bestFit="1" customWidth="1"/>
    <col min="8707" max="8719" width="17.6640625" style="90" bestFit="1" customWidth="1"/>
    <col min="8720" max="8720" width="24.6640625" style="90" bestFit="1" customWidth="1"/>
    <col min="8721" max="8721" width="28.6640625" style="90" bestFit="1" customWidth="1"/>
    <col min="8722" max="8722" width="9.33203125" style="90"/>
    <col min="8723" max="8723" width="16.5" style="90" bestFit="1" customWidth="1"/>
    <col min="8724" max="8960" width="9.33203125" style="90"/>
    <col min="8961" max="8961" width="4.33203125" style="90" customWidth="1"/>
    <col min="8962" max="8962" width="50.33203125" style="90" bestFit="1" customWidth="1"/>
    <col min="8963" max="8975" width="17.6640625" style="90" bestFit="1" customWidth="1"/>
    <col min="8976" max="8976" width="24.6640625" style="90" bestFit="1" customWidth="1"/>
    <col min="8977" max="8977" width="28.6640625" style="90" bestFit="1" customWidth="1"/>
    <col min="8978" max="8978" width="9.33203125" style="90"/>
    <col min="8979" max="8979" width="16.5" style="90" bestFit="1" customWidth="1"/>
    <col min="8980" max="9216" width="9.33203125" style="90"/>
    <col min="9217" max="9217" width="4.33203125" style="90" customWidth="1"/>
    <col min="9218" max="9218" width="50.33203125" style="90" bestFit="1" customWidth="1"/>
    <col min="9219" max="9231" width="17.6640625" style="90" bestFit="1" customWidth="1"/>
    <col min="9232" max="9232" width="24.6640625" style="90" bestFit="1" customWidth="1"/>
    <col min="9233" max="9233" width="28.6640625" style="90" bestFit="1" customWidth="1"/>
    <col min="9234" max="9234" width="9.33203125" style="90"/>
    <col min="9235" max="9235" width="16.5" style="90" bestFit="1" customWidth="1"/>
    <col min="9236" max="9472" width="9.33203125" style="90"/>
    <col min="9473" max="9473" width="4.33203125" style="90" customWidth="1"/>
    <col min="9474" max="9474" width="50.33203125" style="90" bestFit="1" customWidth="1"/>
    <col min="9475" max="9487" width="17.6640625" style="90" bestFit="1" customWidth="1"/>
    <col min="9488" max="9488" width="24.6640625" style="90" bestFit="1" customWidth="1"/>
    <col min="9489" max="9489" width="28.6640625" style="90" bestFit="1" customWidth="1"/>
    <col min="9490" max="9490" width="9.33203125" style="90"/>
    <col min="9491" max="9491" width="16.5" style="90" bestFit="1" customWidth="1"/>
    <col min="9492" max="9728" width="9.33203125" style="90"/>
    <col min="9729" max="9729" width="4.33203125" style="90" customWidth="1"/>
    <col min="9730" max="9730" width="50.33203125" style="90" bestFit="1" customWidth="1"/>
    <col min="9731" max="9743" width="17.6640625" style="90" bestFit="1" customWidth="1"/>
    <col min="9744" max="9744" width="24.6640625" style="90" bestFit="1" customWidth="1"/>
    <col min="9745" max="9745" width="28.6640625" style="90" bestFit="1" customWidth="1"/>
    <col min="9746" max="9746" width="9.33203125" style="90"/>
    <col min="9747" max="9747" width="16.5" style="90" bestFit="1" customWidth="1"/>
    <col min="9748" max="9984" width="9.33203125" style="90"/>
    <col min="9985" max="9985" width="4.33203125" style="90" customWidth="1"/>
    <col min="9986" max="9986" width="50.33203125" style="90" bestFit="1" customWidth="1"/>
    <col min="9987" max="9999" width="17.6640625" style="90" bestFit="1" customWidth="1"/>
    <col min="10000" max="10000" width="24.6640625" style="90" bestFit="1" customWidth="1"/>
    <col min="10001" max="10001" width="28.6640625" style="90" bestFit="1" customWidth="1"/>
    <col min="10002" max="10002" width="9.33203125" style="90"/>
    <col min="10003" max="10003" width="16.5" style="90" bestFit="1" customWidth="1"/>
    <col min="10004" max="10240" width="9.33203125" style="90"/>
    <col min="10241" max="10241" width="4.33203125" style="90" customWidth="1"/>
    <col min="10242" max="10242" width="50.33203125" style="90" bestFit="1" customWidth="1"/>
    <col min="10243" max="10255" width="17.6640625" style="90" bestFit="1" customWidth="1"/>
    <col min="10256" max="10256" width="24.6640625" style="90" bestFit="1" customWidth="1"/>
    <col min="10257" max="10257" width="28.6640625" style="90" bestFit="1" customWidth="1"/>
    <col min="10258" max="10258" width="9.33203125" style="90"/>
    <col min="10259" max="10259" width="16.5" style="90" bestFit="1" customWidth="1"/>
    <col min="10260" max="10496" width="9.33203125" style="90"/>
    <col min="10497" max="10497" width="4.33203125" style="90" customWidth="1"/>
    <col min="10498" max="10498" width="50.33203125" style="90" bestFit="1" customWidth="1"/>
    <col min="10499" max="10511" width="17.6640625" style="90" bestFit="1" customWidth="1"/>
    <col min="10512" max="10512" width="24.6640625" style="90" bestFit="1" customWidth="1"/>
    <col min="10513" max="10513" width="28.6640625" style="90" bestFit="1" customWidth="1"/>
    <col min="10514" max="10514" width="9.33203125" style="90"/>
    <col min="10515" max="10515" width="16.5" style="90" bestFit="1" customWidth="1"/>
    <col min="10516" max="10752" width="9.33203125" style="90"/>
    <col min="10753" max="10753" width="4.33203125" style="90" customWidth="1"/>
    <col min="10754" max="10754" width="50.33203125" style="90" bestFit="1" customWidth="1"/>
    <col min="10755" max="10767" width="17.6640625" style="90" bestFit="1" customWidth="1"/>
    <col min="10768" max="10768" width="24.6640625" style="90" bestFit="1" customWidth="1"/>
    <col min="10769" max="10769" width="28.6640625" style="90" bestFit="1" customWidth="1"/>
    <col min="10770" max="10770" width="9.33203125" style="90"/>
    <col min="10771" max="10771" width="16.5" style="90" bestFit="1" customWidth="1"/>
    <col min="10772" max="11008" width="9.33203125" style="90"/>
    <col min="11009" max="11009" width="4.33203125" style="90" customWidth="1"/>
    <col min="11010" max="11010" width="50.33203125" style="90" bestFit="1" customWidth="1"/>
    <col min="11011" max="11023" width="17.6640625" style="90" bestFit="1" customWidth="1"/>
    <col min="11024" max="11024" width="24.6640625" style="90" bestFit="1" customWidth="1"/>
    <col min="11025" max="11025" width="28.6640625" style="90" bestFit="1" customWidth="1"/>
    <col min="11026" max="11026" width="9.33203125" style="90"/>
    <col min="11027" max="11027" width="16.5" style="90" bestFit="1" customWidth="1"/>
    <col min="11028" max="11264" width="9.33203125" style="90"/>
    <col min="11265" max="11265" width="4.33203125" style="90" customWidth="1"/>
    <col min="11266" max="11266" width="50.33203125" style="90" bestFit="1" customWidth="1"/>
    <col min="11267" max="11279" width="17.6640625" style="90" bestFit="1" customWidth="1"/>
    <col min="11280" max="11280" width="24.6640625" style="90" bestFit="1" customWidth="1"/>
    <col min="11281" max="11281" width="28.6640625" style="90" bestFit="1" customWidth="1"/>
    <col min="11282" max="11282" width="9.33203125" style="90"/>
    <col min="11283" max="11283" width="16.5" style="90" bestFit="1" customWidth="1"/>
    <col min="11284" max="11520" width="9.33203125" style="90"/>
    <col min="11521" max="11521" width="4.33203125" style="90" customWidth="1"/>
    <col min="11522" max="11522" width="50.33203125" style="90" bestFit="1" customWidth="1"/>
    <col min="11523" max="11535" width="17.6640625" style="90" bestFit="1" customWidth="1"/>
    <col min="11536" max="11536" width="24.6640625" style="90" bestFit="1" customWidth="1"/>
    <col min="11537" max="11537" width="28.6640625" style="90" bestFit="1" customWidth="1"/>
    <col min="11538" max="11538" width="9.33203125" style="90"/>
    <col min="11539" max="11539" width="16.5" style="90" bestFit="1" customWidth="1"/>
    <col min="11540" max="11776" width="9.33203125" style="90"/>
    <col min="11777" max="11777" width="4.33203125" style="90" customWidth="1"/>
    <col min="11778" max="11778" width="50.33203125" style="90" bestFit="1" customWidth="1"/>
    <col min="11779" max="11791" width="17.6640625" style="90" bestFit="1" customWidth="1"/>
    <col min="11792" max="11792" width="24.6640625" style="90" bestFit="1" customWidth="1"/>
    <col min="11793" max="11793" width="28.6640625" style="90" bestFit="1" customWidth="1"/>
    <col min="11794" max="11794" width="9.33203125" style="90"/>
    <col min="11795" max="11795" width="16.5" style="90" bestFit="1" customWidth="1"/>
    <col min="11796" max="12032" width="9.33203125" style="90"/>
    <col min="12033" max="12033" width="4.33203125" style="90" customWidth="1"/>
    <col min="12034" max="12034" width="50.33203125" style="90" bestFit="1" customWidth="1"/>
    <col min="12035" max="12047" width="17.6640625" style="90" bestFit="1" customWidth="1"/>
    <col min="12048" max="12048" width="24.6640625" style="90" bestFit="1" customWidth="1"/>
    <col min="12049" max="12049" width="28.6640625" style="90" bestFit="1" customWidth="1"/>
    <col min="12050" max="12050" width="9.33203125" style="90"/>
    <col min="12051" max="12051" width="16.5" style="90" bestFit="1" customWidth="1"/>
    <col min="12052" max="12288" width="9.33203125" style="90"/>
    <col min="12289" max="12289" width="4.33203125" style="90" customWidth="1"/>
    <col min="12290" max="12290" width="50.33203125" style="90" bestFit="1" customWidth="1"/>
    <col min="12291" max="12303" width="17.6640625" style="90" bestFit="1" customWidth="1"/>
    <col min="12304" max="12304" width="24.6640625" style="90" bestFit="1" customWidth="1"/>
    <col min="12305" max="12305" width="28.6640625" style="90" bestFit="1" customWidth="1"/>
    <col min="12306" max="12306" width="9.33203125" style="90"/>
    <col min="12307" max="12307" width="16.5" style="90" bestFit="1" customWidth="1"/>
    <col min="12308" max="12544" width="9.33203125" style="90"/>
    <col min="12545" max="12545" width="4.33203125" style="90" customWidth="1"/>
    <col min="12546" max="12546" width="50.33203125" style="90" bestFit="1" customWidth="1"/>
    <col min="12547" max="12559" width="17.6640625" style="90" bestFit="1" customWidth="1"/>
    <col min="12560" max="12560" width="24.6640625" style="90" bestFit="1" customWidth="1"/>
    <col min="12561" max="12561" width="28.6640625" style="90" bestFit="1" customWidth="1"/>
    <col min="12562" max="12562" width="9.33203125" style="90"/>
    <col min="12563" max="12563" width="16.5" style="90" bestFit="1" customWidth="1"/>
    <col min="12564" max="12800" width="9.33203125" style="90"/>
    <col min="12801" max="12801" width="4.33203125" style="90" customWidth="1"/>
    <col min="12802" max="12802" width="50.33203125" style="90" bestFit="1" customWidth="1"/>
    <col min="12803" max="12815" width="17.6640625" style="90" bestFit="1" customWidth="1"/>
    <col min="12816" max="12816" width="24.6640625" style="90" bestFit="1" customWidth="1"/>
    <col min="12817" max="12817" width="28.6640625" style="90" bestFit="1" customWidth="1"/>
    <col min="12818" max="12818" width="9.33203125" style="90"/>
    <col min="12819" max="12819" width="16.5" style="90" bestFit="1" customWidth="1"/>
    <col min="12820" max="13056" width="9.33203125" style="90"/>
    <col min="13057" max="13057" width="4.33203125" style="90" customWidth="1"/>
    <col min="13058" max="13058" width="50.33203125" style="90" bestFit="1" customWidth="1"/>
    <col min="13059" max="13071" width="17.6640625" style="90" bestFit="1" customWidth="1"/>
    <col min="13072" max="13072" width="24.6640625" style="90" bestFit="1" customWidth="1"/>
    <col min="13073" max="13073" width="28.6640625" style="90" bestFit="1" customWidth="1"/>
    <col min="13074" max="13074" width="9.33203125" style="90"/>
    <col min="13075" max="13075" width="16.5" style="90" bestFit="1" customWidth="1"/>
    <col min="13076" max="13312" width="9.33203125" style="90"/>
    <col min="13313" max="13313" width="4.33203125" style="90" customWidth="1"/>
    <col min="13314" max="13314" width="50.33203125" style="90" bestFit="1" customWidth="1"/>
    <col min="13315" max="13327" width="17.6640625" style="90" bestFit="1" customWidth="1"/>
    <col min="13328" max="13328" width="24.6640625" style="90" bestFit="1" customWidth="1"/>
    <col min="13329" max="13329" width="28.6640625" style="90" bestFit="1" customWidth="1"/>
    <col min="13330" max="13330" width="9.33203125" style="90"/>
    <col min="13331" max="13331" width="16.5" style="90" bestFit="1" customWidth="1"/>
    <col min="13332" max="13568" width="9.33203125" style="90"/>
    <col min="13569" max="13569" width="4.33203125" style="90" customWidth="1"/>
    <col min="13570" max="13570" width="50.33203125" style="90" bestFit="1" customWidth="1"/>
    <col min="13571" max="13583" width="17.6640625" style="90" bestFit="1" customWidth="1"/>
    <col min="13584" max="13584" width="24.6640625" style="90" bestFit="1" customWidth="1"/>
    <col min="13585" max="13585" width="28.6640625" style="90" bestFit="1" customWidth="1"/>
    <col min="13586" max="13586" width="9.33203125" style="90"/>
    <col min="13587" max="13587" width="16.5" style="90" bestFit="1" customWidth="1"/>
    <col min="13588" max="13824" width="9.33203125" style="90"/>
    <col min="13825" max="13825" width="4.33203125" style="90" customWidth="1"/>
    <col min="13826" max="13826" width="50.33203125" style="90" bestFit="1" customWidth="1"/>
    <col min="13827" max="13839" width="17.6640625" style="90" bestFit="1" customWidth="1"/>
    <col min="13840" max="13840" width="24.6640625" style="90" bestFit="1" customWidth="1"/>
    <col min="13841" max="13841" width="28.6640625" style="90" bestFit="1" customWidth="1"/>
    <col min="13842" max="13842" width="9.33203125" style="90"/>
    <col min="13843" max="13843" width="16.5" style="90" bestFit="1" customWidth="1"/>
    <col min="13844" max="14080" width="9.33203125" style="90"/>
    <col min="14081" max="14081" width="4.33203125" style="90" customWidth="1"/>
    <col min="14082" max="14082" width="50.33203125" style="90" bestFit="1" customWidth="1"/>
    <col min="14083" max="14095" width="17.6640625" style="90" bestFit="1" customWidth="1"/>
    <col min="14096" max="14096" width="24.6640625" style="90" bestFit="1" customWidth="1"/>
    <col min="14097" max="14097" width="28.6640625" style="90" bestFit="1" customWidth="1"/>
    <col min="14098" max="14098" width="9.33203125" style="90"/>
    <col min="14099" max="14099" width="16.5" style="90" bestFit="1" customWidth="1"/>
    <col min="14100" max="14336" width="9.33203125" style="90"/>
    <col min="14337" max="14337" width="4.33203125" style="90" customWidth="1"/>
    <col min="14338" max="14338" width="50.33203125" style="90" bestFit="1" customWidth="1"/>
    <col min="14339" max="14351" width="17.6640625" style="90" bestFit="1" customWidth="1"/>
    <col min="14352" max="14352" width="24.6640625" style="90" bestFit="1" customWidth="1"/>
    <col min="14353" max="14353" width="28.6640625" style="90" bestFit="1" customWidth="1"/>
    <col min="14354" max="14354" width="9.33203125" style="90"/>
    <col min="14355" max="14355" width="16.5" style="90" bestFit="1" customWidth="1"/>
    <col min="14356" max="14592" width="9.33203125" style="90"/>
    <col min="14593" max="14593" width="4.33203125" style="90" customWidth="1"/>
    <col min="14594" max="14594" width="50.33203125" style="90" bestFit="1" customWidth="1"/>
    <col min="14595" max="14607" width="17.6640625" style="90" bestFit="1" customWidth="1"/>
    <col min="14608" max="14608" width="24.6640625" style="90" bestFit="1" customWidth="1"/>
    <col min="14609" max="14609" width="28.6640625" style="90" bestFit="1" customWidth="1"/>
    <col min="14610" max="14610" width="9.33203125" style="90"/>
    <col min="14611" max="14611" width="16.5" style="90" bestFit="1" customWidth="1"/>
    <col min="14612" max="14848" width="9.33203125" style="90"/>
    <col min="14849" max="14849" width="4.33203125" style="90" customWidth="1"/>
    <col min="14850" max="14850" width="50.33203125" style="90" bestFit="1" customWidth="1"/>
    <col min="14851" max="14863" width="17.6640625" style="90" bestFit="1" customWidth="1"/>
    <col min="14864" max="14864" width="24.6640625" style="90" bestFit="1" customWidth="1"/>
    <col min="14865" max="14865" width="28.6640625" style="90" bestFit="1" customWidth="1"/>
    <col min="14866" max="14866" width="9.33203125" style="90"/>
    <col min="14867" max="14867" width="16.5" style="90" bestFit="1" customWidth="1"/>
    <col min="14868" max="15104" width="9.33203125" style="90"/>
    <col min="15105" max="15105" width="4.33203125" style="90" customWidth="1"/>
    <col min="15106" max="15106" width="50.33203125" style="90" bestFit="1" customWidth="1"/>
    <col min="15107" max="15119" width="17.6640625" style="90" bestFit="1" customWidth="1"/>
    <col min="15120" max="15120" width="24.6640625" style="90" bestFit="1" customWidth="1"/>
    <col min="15121" max="15121" width="28.6640625" style="90" bestFit="1" customWidth="1"/>
    <col min="15122" max="15122" width="9.33203125" style="90"/>
    <col min="15123" max="15123" width="16.5" style="90" bestFit="1" customWidth="1"/>
    <col min="15124" max="15360" width="9.33203125" style="90"/>
    <col min="15361" max="15361" width="4.33203125" style="90" customWidth="1"/>
    <col min="15362" max="15362" width="50.33203125" style="90" bestFit="1" customWidth="1"/>
    <col min="15363" max="15375" width="17.6640625" style="90" bestFit="1" customWidth="1"/>
    <col min="15376" max="15376" width="24.6640625" style="90" bestFit="1" customWidth="1"/>
    <col min="15377" max="15377" width="28.6640625" style="90" bestFit="1" customWidth="1"/>
    <col min="15378" max="15378" width="9.33203125" style="90"/>
    <col min="15379" max="15379" width="16.5" style="90" bestFit="1" customWidth="1"/>
    <col min="15380" max="15616" width="9.33203125" style="90"/>
    <col min="15617" max="15617" width="4.33203125" style="90" customWidth="1"/>
    <col min="15618" max="15618" width="50.33203125" style="90" bestFit="1" customWidth="1"/>
    <col min="15619" max="15631" width="17.6640625" style="90" bestFit="1" customWidth="1"/>
    <col min="15632" max="15632" width="24.6640625" style="90" bestFit="1" customWidth="1"/>
    <col min="15633" max="15633" width="28.6640625" style="90" bestFit="1" customWidth="1"/>
    <col min="15634" max="15634" width="9.33203125" style="90"/>
    <col min="15635" max="15635" width="16.5" style="90" bestFit="1" customWidth="1"/>
    <col min="15636" max="15872" width="9.33203125" style="90"/>
    <col min="15873" max="15873" width="4.33203125" style="90" customWidth="1"/>
    <col min="15874" max="15874" width="50.33203125" style="90" bestFit="1" customWidth="1"/>
    <col min="15875" max="15887" width="17.6640625" style="90" bestFit="1" customWidth="1"/>
    <col min="15888" max="15888" width="24.6640625" style="90" bestFit="1" customWidth="1"/>
    <col min="15889" max="15889" width="28.6640625" style="90" bestFit="1" customWidth="1"/>
    <col min="15890" max="15890" width="9.33203125" style="90"/>
    <col min="15891" max="15891" width="16.5" style="90" bestFit="1" customWidth="1"/>
    <col min="15892" max="16128" width="9.33203125" style="90"/>
    <col min="16129" max="16129" width="4.33203125" style="90" customWidth="1"/>
    <col min="16130" max="16130" width="50.33203125" style="90" bestFit="1" customWidth="1"/>
    <col min="16131" max="16143" width="17.6640625" style="90" bestFit="1" customWidth="1"/>
    <col min="16144" max="16144" width="24.6640625" style="90" bestFit="1" customWidth="1"/>
    <col min="16145" max="16145" width="28.6640625" style="90" bestFit="1" customWidth="1"/>
    <col min="16146" max="16146" width="9.33203125" style="90"/>
    <col min="16147" max="16147" width="16.5" style="90" bestFit="1" customWidth="1"/>
    <col min="16148" max="16384" width="9.33203125" style="90"/>
  </cols>
  <sheetData>
    <row r="1" spans="1:17" ht="15.75">
      <c r="Q1" s="91" t="s">
        <v>1750</v>
      </c>
    </row>
    <row r="2" spans="1:17" ht="15.75">
      <c r="N2" s="91"/>
      <c r="Q2" s="91" t="s">
        <v>1728</v>
      </c>
    </row>
    <row r="3" spans="1:17" ht="15.75">
      <c r="B3" s="92" t="s">
        <v>1729</v>
      </c>
      <c r="N3" s="91"/>
      <c r="Q3" s="91" t="s">
        <v>1730</v>
      </c>
    </row>
    <row r="4" spans="1:17" ht="15.75">
      <c r="A4" s="1290" t="s">
        <v>1731</v>
      </c>
      <c r="B4" s="1290"/>
      <c r="C4" s="1290"/>
      <c r="D4" s="1290"/>
      <c r="E4" s="1290"/>
      <c r="F4" s="1290"/>
      <c r="G4" s="1290"/>
      <c r="H4" s="1290"/>
      <c r="I4" s="1290"/>
      <c r="J4" s="1290"/>
      <c r="K4" s="1290"/>
      <c r="L4" s="1290"/>
      <c r="M4" s="1290"/>
      <c r="N4" s="1290"/>
      <c r="O4" s="1290"/>
      <c r="P4" s="1290"/>
      <c r="Q4" s="1290"/>
    </row>
    <row r="5" spans="1:17" ht="15.75">
      <c r="A5" s="1290" t="s">
        <v>1732</v>
      </c>
      <c r="B5" s="1290"/>
      <c r="C5" s="1290"/>
      <c r="D5" s="1290"/>
      <c r="E5" s="1290"/>
      <c r="F5" s="1290"/>
      <c r="G5" s="1290"/>
      <c r="H5" s="1290"/>
      <c r="I5" s="1290"/>
      <c r="J5" s="1290"/>
      <c r="K5" s="1290"/>
      <c r="L5" s="1290"/>
      <c r="M5" s="1290"/>
      <c r="N5" s="1290"/>
      <c r="O5" s="1290"/>
      <c r="P5" s="1290"/>
      <c r="Q5" s="1290"/>
    </row>
    <row r="6" spans="1:17" ht="15.75">
      <c r="A6" s="1290" t="s">
        <v>1733</v>
      </c>
      <c r="B6" s="1290"/>
      <c r="C6" s="1290"/>
      <c r="D6" s="1290"/>
      <c r="E6" s="1290"/>
      <c r="F6" s="1290"/>
      <c r="G6" s="1290"/>
      <c r="H6" s="1290"/>
      <c r="I6" s="1290"/>
      <c r="J6" s="1290"/>
      <c r="K6" s="1290"/>
      <c r="L6" s="1290"/>
      <c r="M6" s="1290"/>
      <c r="N6" s="1290"/>
      <c r="O6" s="1290"/>
      <c r="P6" s="1290"/>
      <c r="Q6" s="1290"/>
    </row>
    <row r="7" spans="1:17" ht="15.75">
      <c r="A7" s="93"/>
      <c r="B7" s="93"/>
      <c r="C7" s="93"/>
      <c r="D7" s="93"/>
      <c r="E7" s="93"/>
      <c r="F7" s="93"/>
      <c r="G7" s="93"/>
      <c r="H7" s="93"/>
      <c r="I7" s="93"/>
      <c r="J7" s="93"/>
      <c r="K7" s="93"/>
      <c r="L7" s="93"/>
      <c r="M7" s="93"/>
      <c r="N7" s="93"/>
      <c r="O7" s="93"/>
      <c r="P7" s="93"/>
      <c r="Q7" s="94"/>
    </row>
    <row r="8" spans="1:17">
      <c r="P8" s="95"/>
    </row>
    <row r="9" spans="1:17" ht="15.75">
      <c r="D9" s="1291"/>
      <c r="E9" s="1291"/>
      <c r="F9" s="1291"/>
      <c r="G9" s="1291"/>
      <c r="H9" s="1291"/>
      <c r="I9" s="1291"/>
      <c r="J9" s="1291"/>
      <c r="K9" s="1291"/>
      <c r="L9" s="96"/>
      <c r="M9" s="96"/>
      <c r="P9" s="97"/>
    </row>
    <row r="10" spans="1:17" ht="15.75">
      <c r="C10" s="93">
        <v>2022</v>
      </c>
      <c r="D10" s="93">
        <f>+C10+1</f>
        <v>2023</v>
      </c>
      <c r="E10" s="93">
        <f t="shared" ref="E10:Q10" si="0">+D10</f>
        <v>2023</v>
      </c>
      <c r="F10" s="93">
        <f t="shared" si="0"/>
        <v>2023</v>
      </c>
      <c r="G10" s="93">
        <f t="shared" si="0"/>
        <v>2023</v>
      </c>
      <c r="H10" s="93">
        <f t="shared" si="0"/>
        <v>2023</v>
      </c>
      <c r="I10" s="93">
        <f t="shared" si="0"/>
        <v>2023</v>
      </c>
      <c r="J10" s="93">
        <f t="shared" si="0"/>
        <v>2023</v>
      </c>
      <c r="K10" s="93">
        <f t="shared" si="0"/>
        <v>2023</v>
      </c>
      <c r="L10" s="93">
        <f t="shared" si="0"/>
        <v>2023</v>
      </c>
      <c r="M10" s="93">
        <f t="shared" si="0"/>
        <v>2023</v>
      </c>
      <c r="N10" s="93">
        <f t="shared" si="0"/>
        <v>2023</v>
      </c>
      <c r="O10" s="93">
        <f t="shared" si="0"/>
        <v>2023</v>
      </c>
      <c r="P10" s="93">
        <f t="shared" si="0"/>
        <v>2023</v>
      </c>
      <c r="Q10" s="93">
        <f t="shared" si="0"/>
        <v>2023</v>
      </c>
    </row>
    <row r="11" spans="1:17" ht="15.75">
      <c r="C11" s="93" t="s">
        <v>1274</v>
      </c>
      <c r="D11" s="93" t="s">
        <v>1264</v>
      </c>
      <c r="E11" s="93" t="s">
        <v>1265</v>
      </c>
      <c r="F11" s="93" t="s">
        <v>1266</v>
      </c>
      <c r="G11" s="93" t="s">
        <v>1267</v>
      </c>
      <c r="H11" s="93" t="s">
        <v>94</v>
      </c>
      <c r="I11" s="93" t="s">
        <v>1268</v>
      </c>
      <c r="J11" s="93" t="s">
        <v>1269</v>
      </c>
      <c r="K11" s="93" t="s">
        <v>1270</v>
      </c>
      <c r="L11" s="93" t="s">
        <v>1271</v>
      </c>
      <c r="M11" s="93" t="s">
        <v>1272</v>
      </c>
      <c r="N11" s="93" t="s">
        <v>1273</v>
      </c>
      <c r="O11" s="93" t="s">
        <v>1274</v>
      </c>
      <c r="P11" s="93" t="s">
        <v>1734</v>
      </c>
      <c r="Q11" s="93" t="s">
        <v>671</v>
      </c>
    </row>
    <row r="12" spans="1:17" ht="15.75">
      <c r="C12" s="93" t="s">
        <v>1735</v>
      </c>
      <c r="D12" s="93" t="s">
        <v>648</v>
      </c>
      <c r="E12" s="93" t="s">
        <v>648</v>
      </c>
      <c r="F12" s="93" t="s">
        <v>648</v>
      </c>
      <c r="G12" s="93" t="s">
        <v>648</v>
      </c>
      <c r="H12" s="93" t="s">
        <v>648</v>
      </c>
      <c r="I12" s="93" t="s">
        <v>648</v>
      </c>
      <c r="J12" s="93" t="s">
        <v>648</v>
      </c>
      <c r="K12" s="93" t="s">
        <v>648</v>
      </c>
      <c r="L12" s="93" t="s">
        <v>648</v>
      </c>
      <c r="M12" s="93" t="s">
        <v>648</v>
      </c>
      <c r="N12" s="93" t="s">
        <v>1736</v>
      </c>
      <c r="O12" s="93" t="s">
        <v>1736</v>
      </c>
      <c r="P12" s="94"/>
      <c r="Q12" s="94"/>
    </row>
    <row r="13" spans="1:17" ht="15.75">
      <c r="C13" s="94"/>
    </row>
    <row r="14" spans="1:17">
      <c r="B14" s="98" t="s">
        <v>644</v>
      </c>
    </row>
    <row r="15" spans="1:17">
      <c r="B15" s="90" t="s">
        <v>1737</v>
      </c>
      <c r="C15" s="99">
        <v>0</v>
      </c>
      <c r="D15" s="99">
        <v>0</v>
      </c>
      <c r="E15" s="99">
        <v>0</v>
      </c>
      <c r="F15" s="99">
        <v>0</v>
      </c>
      <c r="G15" s="99">
        <v>0</v>
      </c>
      <c r="H15" s="99">
        <v>0</v>
      </c>
      <c r="I15" s="99">
        <v>0</v>
      </c>
      <c r="J15" s="99">
        <v>0</v>
      </c>
      <c r="K15" s="99">
        <v>0</v>
      </c>
      <c r="L15" s="99">
        <v>0</v>
      </c>
      <c r="M15" s="99">
        <v>0</v>
      </c>
      <c r="N15" s="99">
        <v>0</v>
      </c>
      <c r="O15" s="99">
        <v>0</v>
      </c>
      <c r="P15" s="100">
        <f>SUM(C15:O15)</f>
        <v>0</v>
      </c>
    </row>
    <row r="16" spans="1:17">
      <c r="B16" s="90" t="s">
        <v>1738</v>
      </c>
      <c r="C16" s="99">
        <v>0</v>
      </c>
      <c r="D16" s="99">
        <v>0</v>
      </c>
      <c r="E16" s="99">
        <v>0</v>
      </c>
      <c r="F16" s="99">
        <v>0</v>
      </c>
      <c r="G16" s="99">
        <v>0</v>
      </c>
      <c r="H16" s="99">
        <v>0</v>
      </c>
      <c r="I16" s="99">
        <v>0</v>
      </c>
      <c r="J16" s="99">
        <v>0</v>
      </c>
      <c r="K16" s="99">
        <v>0</v>
      </c>
      <c r="L16" s="99">
        <v>0</v>
      </c>
      <c r="M16" s="99">
        <v>0</v>
      </c>
      <c r="N16" s="99">
        <v>0</v>
      </c>
      <c r="O16" s="99">
        <v>0</v>
      </c>
      <c r="P16" s="100">
        <f>SUM(C16:O16)</f>
        <v>0</v>
      </c>
    </row>
    <row r="17" spans="2:17">
      <c r="B17" s="90" t="s">
        <v>1739</v>
      </c>
      <c r="C17" s="99">
        <v>0</v>
      </c>
      <c r="D17" s="99">
        <v>0</v>
      </c>
      <c r="E17" s="99">
        <v>0</v>
      </c>
      <c r="F17" s="99">
        <v>0</v>
      </c>
      <c r="G17" s="99">
        <v>0</v>
      </c>
      <c r="H17" s="99">
        <v>0</v>
      </c>
      <c r="I17" s="99">
        <v>0</v>
      </c>
      <c r="J17" s="99">
        <v>0</v>
      </c>
      <c r="K17" s="99">
        <v>0</v>
      </c>
      <c r="L17" s="99">
        <v>0</v>
      </c>
      <c r="M17" s="99">
        <v>0</v>
      </c>
      <c r="N17" s="99">
        <v>0</v>
      </c>
      <c r="O17" s="99">
        <v>0</v>
      </c>
      <c r="P17" s="100">
        <f>SUM(C17:O17)</f>
        <v>0</v>
      </c>
    </row>
    <row r="18" spans="2:17">
      <c r="B18" s="90" t="s">
        <v>1740</v>
      </c>
      <c r="C18" s="99">
        <v>0</v>
      </c>
      <c r="D18" s="99">
        <v>0</v>
      </c>
      <c r="E18" s="99">
        <v>0</v>
      </c>
      <c r="F18" s="99">
        <v>0</v>
      </c>
      <c r="G18" s="99">
        <v>0</v>
      </c>
      <c r="H18" s="99">
        <v>0</v>
      </c>
      <c r="I18" s="99">
        <v>0</v>
      </c>
      <c r="J18" s="99">
        <v>0</v>
      </c>
      <c r="K18" s="99">
        <v>0</v>
      </c>
      <c r="L18" s="99">
        <v>0</v>
      </c>
      <c r="M18" s="99">
        <v>0</v>
      </c>
      <c r="N18" s="99">
        <v>0</v>
      </c>
      <c r="O18" s="99">
        <v>0</v>
      </c>
      <c r="P18" s="100">
        <f>SUM(C18:O18)</f>
        <v>0</v>
      </c>
    </row>
    <row r="19" spans="2:17">
      <c r="B19" s="90" t="s">
        <v>1741</v>
      </c>
      <c r="C19" s="99">
        <v>0</v>
      </c>
      <c r="D19" s="99">
        <v>0</v>
      </c>
      <c r="E19" s="99">
        <v>0</v>
      </c>
      <c r="F19" s="99">
        <v>0</v>
      </c>
      <c r="G19" s="99">
        <v>0</v>
      </c>
      <c r="H19" s="99">
        <v>0</v>
      </c>
      <c r="I19" s="99">
        <v>0</v>
      </c>
      <c r="J19" s="99">
        <v>0</v>
      </c>
      <c r="K19" s="99">
        <v>0</v>
      </c>
      <c r="L19" s="99">
        <v>0</v>
      </c>
      <c r="M19" s="99">
        <v>0</v>
      </c>
      <c r="N19" s="99">
        <v>0</v>
      </c>
      <c r="O19" s="99">
        <v>0</v>
      </c>
      <c r="P19" s="100">
        <f>SUM(C19:O19)</f>
        <v>0</v>
      </c>
    </row>
    <row r="20" spans="2:17">
      <c r="B20" s="90" t="s">
        <v>1742</v>
      </c>
      <c r="C20" s="101">
        <f>SUM(C15:C19)</f>
        <v>0</v>
      </c>
      <c r="D20" s="101">
        <f t="shared" ref="D20:O20" si="1">SUM(D15:D19)</f>
        <v>0</v>
      </c>
      <c r="E20" s="101">
        <f t="shared" si="1"/>
        <v>0</v>
      </c>
      <c r="F20" s="101">
        <f t="shared" si="1"/>
        <v>0</v>
      </c>
      <c r="G20" s="101">
        <f t="shared" si="1"/>
        <v>0</v>
      </c>
      <c r="H20" s="101">
        <f t="shared" si="1"/>
        <v>0</v>
      </c>
      <c r="I20" s="101">
        <f t="shared" si="1"/>
        <v>0</v>
      </c>
      <c r="J20" s="101">
        <f t="shared" si="1"/>
        <v>0</v>
      </c>
      <c r="K20" s="101">
        <f t="shared" si="1"/>
        <v>0</v>
      </c>
      <c r="L20" s="101">
        <f t="shared" si="1"/>
        <v>0</v>
      </c>
      <c r="M20" s="101">
        <f t="shared" si="1"/>
        <v>0</v>
      </c>
      <c r="N20" s="101">
        <f>SUM(N15:N19)</f>
        <v>0</v>
      </c>
      <c r="O20" s="101">
        <f t="shared" si="1"/>
        <v>0</v>
      </c>
      <c r="P20" s="101"/>
    </row>
    <row r="21" spans="2:17">
      <c r="B21" s="90" t="s">
        <v>1743</v>
      </c>
      <c r="C21" s="102">
        <f>+C20</f>
        <v>0</v>
      </c>
      <c r="D21" s="102">
        <f t="shared" ref="D21:O21" si="2">+D20+C21</f>
        <v>0</v>
      </c>
      <c r="E21" s="102">
        <f t="shared" si="2"/>
        <v>0</v>
      </c>
      <c r="F21" s="102">
        <f t="shared" si="2"/>
        <v>0</v>
      </c>
      <c r="G21" s="102">
        <f t="shared" si="2"/>
        <v>0</v>
      </c>
      <c r="H21" s="102">
        <f t="shared" si="2"/>
        <v>0</v>
      </c>
      <c r="I21" s="102">
        <f t="shared" si="2"/>
        <v>0</v>
      </c>
      <c r="J21" s="102">
        <f t="shared" si="2"/>
        <v>0</v>
      </c>
      <c r="K21" s="102">
        <f t="shared" si="2"/>
        <v>0</v>
      </c>
      <c r="L21" s="102">
        <f t="shared" si="2"/>
        <v>0</v>
      </c>
      <c r="M21" s="102">
        <f t="shared" si="2"/>
        <v>0</v>
      </c>
      <c r="N21" s="102">
        <f t="shared" si="2"/>
        <v>0</v>
      </c>
      <c r="O21" s="102">
        <f t="shared" si="2"/>
        <v>0</v>
      </c>
      <c r="P21" s="102">
        <f>SUM(P15:P19)</f>
        <v>0</v>
      </c>
      <c r="Q21" s="100">
        <f>AVERAGE(C21:O21)</f>
        <v>0</v>
      </c>
    </row>
    <row r="23" spans="2:17">
      <c r="B23" s="98" t="s">
        <v>645</v>
      </c>
    </row>
    <row r="24" spans="2:17">
      <c r="B24" s="90" t="s">
        <v>1737</v>
      </c>
      <c r="C24" s="99">
        <v>0</v>
      </c>
      <c r="D24" s="99">
        <v>0</v>
      </c>
      <c r="E24" s="99">
        <v>0</v>
      </c>
      <c r="F24" s="99">
        <v>0</v>
      </c>
      <c r="G24" s="99">
        <v>0</v>
      </c>
      <c r="H24" s="99">
        <v>0</v>
      </c>
      <c r="I24" s="99">
        <v>0</v>
      </c>
      <c r="J24" s="99">
        <v>0</v>
      </c>
      <c r="K24" s="99">
        <v>0</v>
      </c>
      <c r="L24" s="99">
        <v>0</v>
      </c>
      <c r="M24" s="99">
        <v>0</v>
      </c>
      <c r="N24" s="99">
        <v>0</v>
      </c>
      <c r="O24" s="99">
        <v>0</v>
      </c>
      <c r="P24" s="100">
        <f>SUM(C24:O24)</f>
        <v>0</v>
      </c>
    </row>
    <row r="25" spans="2:17">
      <c r="B25" s="90" t="s">
        <v>1738</v>
      </c>
      <c r="C25" s="99">
        <v>0</v>
      </c>
      <c r="D25" s="99">
        <v>0</v>
      </c>
      <c r="E25" s="99">
        <v>0</v>
      </c>
      <c r="F25" s="99">
        <v>0</v>
      </c>
      <c r="G25" s="99">
        <v>0</v>
      </c>
      <c r="H25" s="99">
        <v>0</v>
      </c>
      <c r="I25" s="99">
        <v>0</v>
      </c>
      <c r="J25" s="99">
        <v>0</v>
      </c>
      <c r="K25" s="99">
        <v>0</v>
      </c>
      <c r="L25" s="99">
        <v>0</v>
      </c>
      <c r="M25" s="99">
        <v>0</v>
      </c>
      <c r="N25" s="99">
        <v>0</v>
      </c>
      <c r="O25" s="99">
        <v>0</v>
      </c>
      <c r="P25" s="100">
        <f>SUM(C25:O25)</f>
        <v>0</v>
      </c>
    </row>
    <row r="26" spans="2:17">
      <c r="B26" s="90" t="s">
        <v>1744</v>
      </c>
      <c r="C26" s="99"/>
      <c r="D26" s="99"/>
      <c r="E26" s="99"/>
      <c r="F26" s="99"/>
      <c r="G26" s="99"/>
      <c r="H26" s="99"/>
      <c r="I26" s="99"/>
      <c r="J26" s="99"/>
      <c r="K26" s="99"/>
      <c r="L26" s="99"/>
      <c r="M26" s="99"/>
      <c r="N26" s="99"/>
      <c r="O26" s="99"/>
      <c r="P26" s="100">
        <f>SUM(C26:O26)</f>
        <v>0</v>
      </c>
    </row>
    <row r="27" spans="2:17">
      <c r="B27" s="90" t="s">
        <v>1740</v>
      </c>
      <c r="C27" s="99">
        <v>0</v>
      </c>
      <c r="D27" s="99">
        <v>0</v>
      </c>
      <c r="E27" s="99">
        <v>0</v>
      </c>
      <c r="F27" s="99">
        <v>0</v>
      </c>
      <c r="G27" s="99">
        <v>0</v>
      </c>
      <c r="H27" s="99">
        <v>0</v>
      </c>
      <c r="I27" s="99">
        <v>0</v>
      </c>
      <c r="J27" s="99">
        <v>0</v>
      </c>
      <c r="K27" s="99">
        <v>0</v>
      </c>
      <c r="L27" s="99">
        <v>0</v>
      </c>
      <c r="M27" s="99">
        <v>0</v>
      </c>
      <c r="N27" s="99">
        <v>0</v>
      </c>
      <c r="O27" s="99">
        <v>0</v>
      </c>
      <c r="P27" s="100">
        <f>SUM(C27:O27)</f>
        <v>0</v>
      </c>
    </row>
    <row r="28" spans="2:17">
      <c r="B28" s="90" t="s">
        <v>1741</v>
      </c>
      <c r="C28" s="99">
        <v>0</v>
      </c>
      <c r="D28" s="99">
        <v>0</v>
      </c>
      <c r="E28" s="99">
        <v>0</v>
      </c>
      <c r="F28" s="99">
        <v>0</v>
      </c>
      <c r="G28" s="99">
        <v>0</v>
      </c>
      <c r="H28" s="99">
        <v>0</v>
      </c>
      <c r="I28" s="99">
        <v>0</v>
      </c>
      <c r="J28" s="99">
        <v>0</v>
      </c>
      <c r="K28" s="99">
        <v>0</v>
      </c>
      <c r="L28" s="99">
        <v>0</v>
      </c>
      <c r="M28" s="99">
        <v>0</v>
      </c>
      <c r="N28" s="99">
        <v>0</v>
      </c>
      <c r="O28" s="99">
        <v>0</v>
      </c>
      <c r="P28" s="100">
        <f>SUM(C28:O28)</f>
        <v>0</v>
      </c>
    </row>
    <row r="29" spans="2:17">
      <c r="B29" s="90" t="s">
        <v>1745</v>
      </c>
      <c r="C29" s="101">
        <f>SUM(C24:C28)</f>
        <v>0</v>
      </c>
      <c r="D29" s="101">
        <f t="shared" ref="D29:O29" si="3">SUM(D24:D28)</f>
        <v>0</v>
      </c>
      <c r="E29" s="101">
        <f t="shared" si="3"/>
        <v>0</v>
      </c>
      <c r="F29" s="101">
        <f t="shared" si="3"/>
        <v>0</v>
      </c>
      <c r="G29" s="101">
        <f t="shared" si="3"/>
        <v>0</v>
      </c>
      <c r="H29" s="101">
        <f t="shared" si="3"/>
        <v>0</v>
      </c>
      <c r="I29" s="101">
        <f t="shared" si="3"/>
        <v>0</v>
      </c>
      <c r="J29" s="101">
        <f t="shared" si="3"/>
        <v>0</v>
      </c>
      <c r="K29" s="101">
        <f t="shared" si="3"/>
        <v>0</v>
      </c>
      <c r="L29" s="101">
        <f t="shared" si="3"/>
        <v>0</v>
      </c>
      <c r="M29" s="101">
        <f t="shared" si="3"/>
        <v>0</v>
      </c>
      <c r="N29" s="101">
        <f t="shared" si="3"/>
        <v>0</v>
      </c>
      <c r="O29" s="101">
        <f t="shared" si="3"/>
        <v>0</v>
      </c>
      <c r="P29" s="101"/>
    </row>
    <row r="30" spans="2:17">
      <c r="B30" s="90" t="s">
        <v>1746</v>
      </c>
      <c r="C30" s="102">
        <f>+C29</f>
        <v>0</v>
      </c>
      <c r="D30" s="102">
        <f t="shared" ref="D30:O30" si="4">+D29+C30</f>
        <v>0</v>
      </c>
      <c r="E30" s="102">
        <f t="shared" si="4"/>
        <v>0</v>
      </c>
      <c r="F30" s="102">
        <f t="shared" si="4"/>
        <v>0</v>
      </c>
      <c r="G30" s="102">
        <f t="shared" si="4"/>
        <v>0</v>
      </c>
      <c r="H30" s="102">
        <f t="shared" si="4"/>
        <v>0</v>
      </c>
      <c r="I30" s="102">
        <f t="shared" si="4"/>
        <v>0</v>
      </c>
      <c r="J30" s="102">
        <f t="shared" si="4"/>
        <v>0</v>
      </c>
      <c r="K30" s="102">
        <f t="shared" si="4"/>
        <v>0</v>
      </c>
      <c r="L30" s="102">
        <f t="shared" si="4"/>
        <v>0</v>
      </c>
      <c r="M30" s="102">
        <f t="shared" si="4"/>
        <v>0</v>
      </c>
      <c r="N30" s="102">
        <f t="shared" si="4"/>
        <v>0</v>
      </c>
      <c r="O30" s="102">
        <f t="shared" si="4"/>
        <v>0</v>
      </c>
      <c r="P30" s="102">
        <f>SUM(P24:P28)</f>
        <v>0</v>
      </c>
      <c r="Q30" s="100">
        <f>AVERAGE(C30:O30)</f>
        <v>0</v>
      </c>
    </row>
    <row r="32" spans="2:17">
      <c r="B32" s="98" t="s">
        <v>1747</v>
      </c>
    </row>
    <row r="33" spans="1:17">
      <c r="B33" s="90" t="s">
        <v>1737</v>
      </c>
      <c r="C33" s="99">
        <v>0</v>
      </c>
      <c r="D33" s="103">
        <f t="shared" ref="D33:O37" si="5">+D15+D24</f>
        <v>0</v>
      </c>
      <c r="E33" s="103">
        <f t="shared" si="5"/>
        <v>0</v>
      </c>
      <c r="F33" s="103">
        <f t="shared" si="5"/>
        <v>0</v>
      </c>
      <c r="G33" s="103">
        <f t="shared" si="5"/>
        <v>0</v>
      </c>
      <c r="H33" s="103">
        <f t="shared" si="5"/>
        <v>0</v>
      </c>
      <c r="I33" s="103">
        <f t="shared" si="5"/>
        <v>0</v>
      </c>
      <c r="J33" s="103">
        <f t="shared" si="5"/>
        <v>0</v>
      </c>
      <c r="K33" s="103">
        <f t="shared" si="5"/>
        <v>0</v>
      </c>
      <c r="L33" s="103">
        <f t="shared" si="5"/>
        <v>0</v>
      </c>
      <c r="M33" s="103">
        <f t="shared" si="5"/>
        <v>0</v>
      </c>
      <c r="N33" s="103">
        <f t="shared" si="5"/>
        <v>0</v>
      </c>
      <c r="O33" s="103">
        <f t="shared" si="5"/>
        <v>0</v>
      </c>
      <c r="P33" s="100">
        <f>SUM(C33:O33)</f>
        <v>0</v>
      </c>
    </row>
    <row r="34" spans="1:17">
      <c r="B34" s="90" t="s">
        <v>1738</v>
      </c>
      <c r="C34" s="99">
        <v>0</v>
      </c>
      <c r="D34" s="103">
        <f t="shared" si="5"/>
        <v>0</v>
      </c>
      <c r="E34" s="103">
        <f t="shared" si="5"/>
        <v>0</v>
      </c>
      <c r="F34" s="103">
        <f t="shared" si="5"/>
        <v>0</v>
      </c>
      <c r="G34" s="103">
        <f t="shared" si="5"/>
        <v>0</v>
      </c>
      <c r="H34" s="103">
        <f t="shared" si="5"/>
        <v>0</v>
      </c>
      <c r="I34" s="103">
        <f t="shared" si="5"/>
        <v>0</v>
      </c>
      <c r="J34" s="103">
        <f t="shared" si="5"/>
        <v>0</v>
      </c>
      <c r="K34" s="103">
        <f t="shared" si="5"/>
        <v>0</v>
      </c>
      <c r="L34" s="103">
        <f t="shared" si="5"/>
        <v>0</v>
      </c>
      <c r="M34" s="103">
        <f t="shared" si="5"/>
        <v>0</v>
      </c>
      <c r="N34" s="103">
        <f t="shared" si="5"/>
        <v>0</v>
      </c>
      <c r="O34" s="103">
        <f t="shared" si="5"/>
        <v>0</v>
      </c>
      <c r="P34" s="100">
        <f>SUM(C34:O34)</f>
        <v>0</v>
      </c>
    </row>
    <row r="35" spans="1:17">
      <c r="B35" s="90" t="s">
        <v>1739</v>
      </c>
      <c r="C35" s="99">
        <v>0</v>
      </c>
      <c r="D35" s="103">
        <f t="shared" si="5"/>
        <v>0</v>
      </c>
      <c r="E35" s="103">
        <f t="shared" si="5"/>
        <v>0</v>
      </c>
      <c r="F35" s="103">
        <f t="shared" si="5"/>
        <v>0</v>
      </c>
      <c r="G35" s="103">
        <f t="shared" si="5"/>
        <v>0</v>
      </c>
      <c r="H35" s="103">
        <f t="shared" si="5"/>
        <v>0</v>
      </c>
      <c r="I35" s="103">
        <f t="shared" si="5"/>
        <v>0</v>
      </c>
      <c r="J35" s="103">
        <f t="shared" si="5"/>
        <v>0</v>
      </c>
      <c r="K35" s="103">
        <f t="shared" si="5"/>
        <v>0</v>
      </c>
      <c r="L35" s="103">
        <f t="shared" si="5"/>
        <v>0</v>
      </c>
      <c r="M35" s="103">
        <f t="shared" si="5"/>
        <v>0</v>
      </c>
      <c r="N35" s="103">
        <f t="shared" si="5"/>
        <v>0</v>
      </c>
      <c r="O35" s="103">
        <f t="shared" si="5"/>
        <v>0</v>
      </c>
      <c r="P35" s="100">
        <f>SUM(C35:O35)</f>
        <v>0</v>
      </c>
    </row>
    <row r="36" spans="1:17">
      <c r="B36" s="90" t="s">
        <v>1740</v>
      </c>
      <c r="C36" s="99">
        <v>0</v>
      </c>
      <c r="D36" s="103">
        <f t="shared" si="5"/>
        <v>0</v>
      </c>
      <c r="E36" s="103">
        <f t="shared" si="5"/>
        <v>0</v>
      </c>
      <c r="F36" s="103">
        <f t="shared" si="5"/>
        <v>0</v>
      </c>
      <c r="G36" s="103">
        <f t="shared" si="5"/>
        <v>0</v>
      </c>
      <c r="H36" s="103">
        <f t="shared" si="5"/>
        <v>0</v>
      </c>
      <c r="I36" s="103">
        <f t="shared" si="5"/>
        <v>0</v>
      </c>
      <c r="J36" s="103">
        <f t="shared" si="5"/>
        <v>0</v>
      </c>
      <c r="K36" s="103">
        <f t="shared" si="5"/>
        <v>0</v>
      </c>
      <c r="L36" s="103">
        <f t="shared" si="5"/>
        <v>0</v>
      </c>
      <c r="M36" s="103">
        <f t="shared" si="5"/>
        <v>0</v>
      </c>
      <c r="N36" s="103">
        <f t="shared" si="5"/>
        <v>0</v>
      </c>
      <c r="O36" s="103">
        <f t="shared" si="5"/>
        <v>0</v>
      </c>
      <c r="P36" s="100">
        <f>SUM(C36:O36)</f>
        <v>0</v>
      </c>
    </row>
    <row r="37" spans="1:17">
      <c r="B37" s="90" t="s">
        <v>1741</v>
      </c>
      <c r="C37" s="99">
        <v>0</v>
      </c>
      <c r="D37" s="103">
        <f t="shared" si="5"/>
        <v>0</v>
      </c>
      <c r="E37" s="103">
        <f t="shared" si="5"/>
        <v>0</v>
      </c>
      <c r="F37" s="103">
        <f t="shared" si="5"/>
        <v>0</v>
      </c>
      <c r="G37" s="103">
        <f t="shared" si="5"/>
        <v>0</v>
      </c>
      <c r="H37" s="103">
        <f t="shared" si="5"/>
        <v>0</v>
      </c>
      <c r="I37" s="103">
        <f t="shared" si="5"/>
        <v>0</v>
      </c>
      <c r="J37" s="103">
        <f t="shared" si="5"/>
        <v>0</v>
      </c>
      <c r="K37" s="103">
        <f t="shared" si="5"/>
        <v>0</v>
      </c>
      <c r="L37" s="103">
        <f t="shared" si="5"/>
        <v>0</v>
      </c>
      <c r="M37" s="103">
        <f t="shared" si="5"/>
        <v>0</v>
      </c>
      <c r="N37" s="103">
        <f t="shared" si="5"/>
        <v>0</v>
      </c>
      <c r="O37" s="103">
        <f t="shared" si="5"/>
        <v>0</v>
      </c>
      <c r="P37" s="100">
        <f>SUM(C37:O37)</f>
        <v>0</v>
      </c>
    </row>
    <row r="38" spans="1:17">
      <c r="B38" s="90" t="s">
        <v>1748</v>
      </c>
      <c r="C38" s="101">
        <f>SUM(C33:C37)</f>
        <v>0</v>
      </c>
      <c r="D38" s="101">
        <f t="shared" ref="D38:O38" si="6">SUM(D33:D37)</f>
        <v>0</v>
      </c>
      <c r="E38" s="101">
        <f t="shared" si="6"/>
        <v>0</v>
      </c>
      <c r="F38" s="101">
        <f t="shared" si="6"/>
        <v>0</v>
      </c>
      <c r="G38" s="101">
        <f t="shared" si="6"/>
        <v>0</v>
      </c>
      <c r="H38" s="101">
        <f t="shared" si="6"/>
        <v>0</v>
      </c>
      <c r="I38" s="101">
        <f t="shared" si="6"/>
        <v>0</v>
      </c>
      <c r="J38" s="101">
        <f t="shared" si="6"/>
        <v>0</v>
      </c>
      <c r="K38" s="101">
        <f t="shared" si="6"/>
        <v>0</v>
      </c>
      <c r="L38" s="101">
        <f t="shared" si="6"/>
        <v>0</v>
      </c>
      <c r="M38" s="101">
        <f t="shared" si="6"/>
        <v>0</v>
      </c>
      <c r="N38" s="101">
        <f t="shared" si="6"/>
        <v>0</v>
      </c>
      <c r="O38" s="101">
        <f t="shared" si="6"/>
        <v>0</v>
      </c>
      <c r="P38" s="101"/>
    </row>
    <row r="39" spans="1:17">
      <c r="B39" s="90" t="s">
        <v>1749</v>
      </c>
      <c r="C39" s="102">
        <f>+C38</f>
        <v>0</v>
      </c>
      <c r="D39" s="102">
        <f t="shared" ref="D39:O39" si="7">+D38+C39</f>
        <v>0</v>
      </c>
      <c r="E39" s="102">
        <f t="shared" si="7"/>
        <v>0</v>
      </c>
      <c r="F39" s="102">
        <f t="shared" si="7"/>
        <v>0</v>
      </c>
      <c r="G39" s="102">
        <f t="shared" si="7"/>
        <v>0</v>
      </c>
      <c r="H39" s="102">
        <f t="shared" si="7"/>
        <v>0</v>
      </c>
      <c r="I39" s="102">
        <f t="shared" si="7"/>
        <v>0</v>
      </c>
      <c r="J39" s="102">
        <f t="shared" si="7"/>
        <v>0</v>
      </c>
      <c r="K39" s="102">
        <f t="shared" si="7"/>
        <v>0</v>
      </c>
      <c r="L39" s="102">
        <f t="shared" si="7"/>
        <v>0</v>
      </c>
      <c r="M39" s="102">
        <f t="shared" si="7"/>
        <v>0</v>
      </c>
      <c r="N39" s="102">
        <f t="shared" si="7"/>
        <v>0</v>
      </c>
      <c r="O39" s="102">
        <f t="shared" si="7"/>
        <v>0</v>
      </c>
      <c r="P39" s="102">
        <f>SUM(P33:P37)</f>
        <v>0</v>
      </c>
      <c r="Q39" s="100">
        <f>AVERAGE(C39:O39)</f>
        <v>0</v>
      </c>
    </row>
    <row r="40" spans="1:17">
      <c r="C40" s="102"/>
      <c r="D40" s="102"/>
      <c r="E40" s="102"/>
      <c r="F40" s="102"/>
      <c r="G40" s="102"/>
      <c r="H40" s="102"/>
      <c r="I40" s="102"/>
      <c r="J40" s="102"/>
      <c r="K40" s="102"/>
      <c r="L40" s="102"/>
      <c r="M40" s="102"/>
      <c r="N40" s="102"/>
      <c r="O40" s="102"/>
      <c r="P40" s="102"/>
      <c r="Q40" s="100"/>
    </row>
    <row r="41" spans="1:17">
      <c r="C41" s="102"/>
      <c r="D41" s="102"/>
      <c r="E41" s="102"/>
      <c r="F41" s="102"/>
      <c r="G41" s="102"/>
      <c r="H41" s="102"/>
      <c r="I41" s="102"/>
      <c r="J41" s="102"/>
      <c r="K41" s="102"/>
      <c r="L41" s="102"/>
      <c r="M41" s="102"/>
      <c r="N41" s="102"/>
      <c r="O41" s="102"/>
      <c r="P41" s="102"/>
      <c r="Q41" s="100"/>
    </row>
    <row r="42" spans="1:17">
      <c r="C42" s="102"/>
      <c r="D42" s="102"/>
      <c r="E42" s="102"/>
      <c r="F42" s="102"/>
      <c r="G42" s="102"/>
      <c r="H42" s="102"/>
      <c r="I42" s="102"/>
      <c r="J42" s="102"/>
      <c r="K42" s="102"/>
      <c r="L42" s="102"/>
      <c r="M42" s="102"/>
      <c r="N42" s="102"/>
      <c r="O42" s="102"/>
      <c r="P42" s="102"/>
      <c r="Q42" s="100"/>
    </row>
    <row r="44" spans="1:17" ht="15.75">
      <c r="Q44" s="91" t="s">
        <v>1750</v>
      </c>
    </row>
    <row r="45" spans="1:17" ht="15.75">
      <c r="N45" s="91"/>
      <c r="Q45" s="91" t="s">
        <v>1728</v>
      </c>
    </row>
    <row r="46" spans="1:17" ht="15.75">
      <c r="N46" s="91"/>
      <c r="Q46" s="91" t="s">
        <v>1751</v>
      </c>
    </row>
    <row r="47" spans="1:17" ht="15.75">
      <c r="A47" s="1290" t="s">
        <v>1731</v>
      </c>
      <c r="B47" s="1290"/>
      <c r="C47" s="1290"/>
      <c r="D47" s="1290"/>
      <c r="E47" s="1290"/>
      <c r="F47" s="1290"/>
      <c r="G47" s="1290"/>
      <c r="H47" s="1290"/>
      <c r="I47" s="1290"/>
      <c r="J47" s="1290"/>
      <c r="K47" s="1290"/>
      <c r="L47" s="1290"/>
      <c r="M47" s="1290"/>
      <c r="N47" s="1290"/>
      <c r="O47" s="1290"/>
      <c r="P47" s="1290"/>
      <c r="Q47" s="1290"/>
    </row>
    <row r="48" spans="1:17" ht="15.75">
      <c r="A48" s="1290" t="s">
        <v>1732</v>
      </c>
      <c r="B48" s="1290"/>
      <c r="C48" s="1290"/>
      <c r="D48" s="1290"/>
      <c r="E48" s="1290"/>
      <c r="F48" s="1290"/>
      <c r="G48" s="1290"/>
      <c r="H48" s="1290"/>
      <c r="I48" s="1290"/>
      <c r="J48" s="1290"/>
      <c r="K48" s="1290"/>
      <c r="L48" s="1290"/>
      <c r="M48" s="1290"/>
      <c r="N48" s="1290"/>
      <c r="O48" s="1290"/>
      <c r="P48" s="1290"/>
      <c r="Q48" s="1290"/>
    </row>
    <row r="49" spans="1:19" ht="15.75">
      <c r="A49" s="1290" t="s">
        <v>1752</v>
      </c>
      <c r="B49" s="1290"/>
      <c r="C49" s="1290"/>
      <c r="D49" s="1290"/>
      <c r="E49" s="1290"/>
      <c r="F49" s="1290"/>
      <c r="G49" s="1290"/>
      <c r="H49" s="1290"/>
      <c r="I49" s="1290"/>
      <c r="J49" s="1290"/>
      <c r="K49" s="1290"/>
      <c r="L49" s="1290"/>
      <c r="M49" s="1290"/>
      <c r="N49" s="1290"/>
      <c r="O49" s="1290"/>
      <c r="P49" s="1290"/>
      <c r="Q49" s="1290"/>
    </row>
    <row r="53" spans="1:19" ht="15.75">
      <c r="C53" s="93">
        <f>+Q10</f>
        <v>2023</v>
      </c>
      <c r="D53" s="93">
        <f>+C53+1</f>
        <v>2024</v>
      </c>
      <c r="E53" s="93">
        <f>+D53</f>
        <v>2024</v>
      </c>
      <c r="F53" s="93">
        <f t="shared" ref="F53:Q53" si="8">+E53</f>
        <v>2024</v>
      </c>
      <c r="G53" s="93">
        <f t="shared" si="8"/>
        <v>2024</v>
      </c>
      <c r="H53" s="93">
        <f t="shared" si="8"/>
        <v>2024</v>
      </c>
      <c r="I53" s="93">
        <f t="shared" si="8"/>
        <v>2024</v>
      </c>
      <c r="J53" s="93">
        <f t="shared" si="8"/>
        <v>2024</v>
      </c>
      <c r="K53" s="93">
        <f t="shared" si="8"/>
        <v>2024</v>
      </c>
      <c r="L53" s="93">
        <f t="shared" si="8"/>
        <v>2024</v>
      </c>
      <c r="M53" s="93">
        <f t="shared" si="8"/>
        <v>2024</v>
      </c>
      <c r="N53" s="93">
        <f t="shared" si="8"/>
        <v>2024</v>
      </c>
      <c r="O53" s="93">
        <f t="shared" si="8"/>
        <v>2024</v>
      </c>
      <c r="P53" s="93">
        <f t="shared" si="8"/>
        <v>2024</v>
      </c>
      <c r="Q53" s="93">
        <f t="shared" si="8"/>
        <v>2024</v>
      </c>
    </row>
    <row r="54" spans="1:19" ht="15.75">
      <c r="C54" s="93" t="s">
        <v>1274</v>
      </c>
      <c r="D54" s="93" t="s">
        <v>1264</v>
      </c>
      <c r="E54" s="93" t="s">
        <v>1265</v>
      </c>
      <c r="F54" s="93" t="s">
        <v>1266</v>
      </c>
      <c r="G54" s="93" t="s">
        <v>1267</v>
      </c>
      <c r="H54" s="93" t="s">
        <v>94</v>
      </c>
      <c r="I54" s="93" t="s">
        <v>1268</v>
      </c>
      <c r="J54" s="93" t="s">
        <v>1269</v>
      </c>
      <c r="K54" s="93" t="s">
        <v>1270</v>
      </c>
      <c r="L54" s="93" t="s">
        <v>1271</v>
      </c>
      <c r="M54" s="93" t="s">
        <v>1272</v>
      </c>
      <c r="N54" s="93" t="s">
        <v>1273</v>
      </c>
      <c r="O54" s="93" t="s">
        <v>1274</v>
      </c>
      <c r="P54" s="93" t="s">
        <v>1734</v>
      </c>
      <c r="Q54" s="93" t="s">
        <v>671</v>
      </c>
    </row>
    <row r="55" spans="1:19" ht="15.75">
      <c r="C55" s="93" t="s">
        <v>1735</v>
      </c>
      <c r="D55" s="93" t="s">
        <v>1736</v>
      </c>
      <c r="E55" s="93" t="s">
        <v>1736</v>
      </c>
      <c r="F55" s="93" t="s">
        <v>1736</v>
      </c>
      <c r="G55" s="93" t="s">
        <v>1736</v>
      </c>
      <c r="H55" s="93" t="s">
        <v>1736</v>
      </c>
      <c r="I55" s="93" t="s">
        <v>1736</v>
      </c>
      <c r="J55" s="93" t="s">
        <v>1736</v>
      </c>
      <c r="K55" s="93" t="s">
        <v>1736</v>
      </c>
      <c r="L55" s="93" t="s">
        <v>1736</v>
      </c>
      <c r="M55" s="93" t="s">
        <v>1736</v>
      </c>
      <c r="N55" s="93" t="s">
        <v>1736</v>
      </c>
      <c r="O55" s="93" t="s">
        <v>1736</v>
      </c>
      <c r="P55" s="94"/>
      <c r="Q55" s="94"/>
    </row>
    <row r="57" spans="1:19">
      <c r="B57" s="98" t="s">
        <v>644</v>
      </c>
    </row>
    <row r="58" spans="1:19">
      <c r="B58" s="90" t="s">
        <v>1737</v>
      </c>
      <c r="C58" s="99">
        <f>+P15</f>
        <v>0</v>
      </c>
      <c r="D58" s="99">
        <v>493561.91</v>
      </c>
      <c r="E58" s="99">
        <v>631073.57999999996</v>
      </c>
      <c r="F58" s="99">
        <v>2429478.0099999998</v>
      </c>
      <c r="G58" s="99">
        <v>1085099.0430508142</v>
      </c>
      <c r="H58" s="99">
        <v>1715794.2553764428</v>
      </c>
      <c r="I58" s="99">
        <v>1857378.4875855374</v>
      </c>
      <c r="J58" s="99">
        <v>1190107.9726593986</v>
      </c>
      <c r="K58" s="99">
        <v>1137187.6338959769</v>
      </c>
      <c r="L58" s="99">
        <v>2783904.0244020014</v>
      </c>
      <c r="M58" s="99">
        <v>3427744.7341480013</v>
      </c>
      <c r="N58" s="99">
        <v>1808638.0889471162</v>
      </c>
      <c r="O58" s="99">
        <v>3267355.6289632525</v>
      </c>
      <c r="P58" s="100">
        <f>SUM(C58:O58)</f>
        <v>21827323.369028538</v>
      </c>
      <c r="S58" s="100"/>
    </row>
    <row r="59" spans="1:19">
      <c r="B59" s="90" t="s">
        <v>1738</v>
      </c>
      <c r="C59" s="99">
        <f>+P16</f>
        <v>0</v>
      </c>
      <c r="D59" s="99">
        <v>0</v>
      </c>
      <c r="E59" s="99">
        <v>26957</v>
      </c>
      <c r="F59" s="99">
        <v>207785.36</v>
      </c>
      <c r="G59" s="99">
        <v>99194.37712408138</v>
      </c>
      <c r="H59" s="99">
        <v>372549.15617829165</v>
      </c>
      <c r="I59" s="99">
        <v>14630.75963536322</v>
      </c>
      <c r="J59" s="99">
        <v>265825.43520575226</v>
      </c>
      <c r="K59" s="99">
        <v>17290.954004861935</v>
      </c>
      <c r="L59" s="99">
        <v>57075.666214932549</v>
      </c>
      <c r="M59" s="99">
        <v>39486.911132408895</v>
      </c>
      <c r="N59" s="99">
        <v>75803.69957783568</v>
      </c>
      <c r="O59" s="99">
        <v>146303.31484207869</v>
      </c>
      <c r="P59" s="100">
        <f>SUM(C59:O59)</f>
        <v>1322902.6339156062</v>
      </c>
      <c r="S59" s="100"/>
    </row>
    <row r="60" spans="1:19">
      <c r="B60" s="90" t="s">
        <v>1739</v>
      </c>
      <c r="C60" s="99">
        <f>+P17</f>
        <v>0</v>
      </c>
      <c r="D60" s="99">
        <v>528444.89</v>
      </c>
      <c r="E60" s="99">
        <v>965406.04</v>
      </c>
      <c r="F60" s="99">
        <v>1525237.13</v>
      </c>
      <c r="G60" s="99">
        <v>1659435.52</v>
      </c>
      <c r="H60" s="99">
        <v>1791521.11</v>
      </c>
      <c r="I60" s="99">
        <v>1661620.43</v>
      </c>
      <c r="J60" s="99">
        <v>1343019.56</v>
      </c>
      <c r="K60" s="99">
        <v>1738824.36</v>
      </c>
      <c r="L60" s="99">
        <v>1694212.25</v>
      </c>
      <c r="M60" s="99">
        <v>1342617.55</v>
      </c>
      <c r="N60" s="99">
        <v>1229330.0759411473</v>
      </c>
      <c r="O60" s="99">
        <v>1237369.0651950168</v>
      </c>
      <c r="P60" s="100">
        <f>SUM(C60:O60)</f>
        <v>16717037.981136164</v>
      </c>
      <c r="S60" s="100"/>
    </row>
    <row r="61" spans="1:19">
      <c r="B61" s="90" t="s">
        <v>1740</v>
      </c>
      <c r="C61" s="99">
        <f>+P18</f>
        <v>0</v>
      </c>
      <c r="D61" s="99">
        <v>99666.4</v>
      </c>
      <c r="E61" s="99">
        <v>46199.51</v>
      </c>
      <c r="F61" s="99">
        <v>212.62</v>
      </c>
      <c r="G61" s="99">
        <v>2709.61</v>
      </c>
      <c r="H61" s="99">
        <v>2537.27</v>
      </c>
      <c r="I61" s="99">
        <v>1480.79</v>
      </c>
      <c r="J61" s="99">
        <v>5205.8500000000004</v>
      </c>
      <c r="K61" s="99">
        <v>15573.38</v>
      </c>
      <c r="L61" s="99">
        <v>5131.59</v>
      </c>
      <c r="M61" s="99">
        <v>1619.13</v>
      </c>
      <c r="N61" s="99">
        <v>14809.990125341212</v>
      </c>
      <c r="O61" s="99">
        <v>25917.849043321596</v>
      </c>
      <c r="P61" s="100">
        <f>SUM(C61:O61)</f>
        <v>221063.98916866281</v>
      </c>
      <c r="S61" s="100"/>
    </row>
    <row r="62" spans="1:19">
      <c r="B62" s="90" t="s">
        <v>1741</v>
      </c>
      <c r="C62" s="99">
        <f>+P19</f>
        <v>0</v>
      </c>
      <c r="D62" s="99">
        <v>7763.63</v>
      </c>
      <c r="E62" s="99">
        <v>16342.16</v>
      </c>
      <c r="F62" s="99">
        <v>29826.93</v>
      </c>
      <c r="G62" s="99">
        <v>10408.2463812639</v>
      </c>
      <c r="H62" s="99">
        <v>5930.7625181521398</v>
      </c>
      <c r="I62" s="99">
        <v>9872.4492643543435</v>
      </c>
      <c r="J62" s="99">
        <v>6364.1495223158836</v>
      </c>
      <c r="K62" s="99">
        <v>8509.8315316685985</v>
      </c>
      <c r="L62" s="99">
        <v>14593.285307749693</v>
      </c>
      <c r="M62" s="99">
        <v>14245.31337707861</v>
      </c>
      <c r="N62" s="99">
        <v>14051.992559498034</v>
      </c>
      <c r="O62" s="99">
        <v>16927.243246591654</v>
      </c>
      <c r="P62" s="100">
        <f>SUM(C62:O62)</f>
        <v>154835.99370867288</v>
      </c>
      <c r="S62" s="100"/>
    </row>
    <row r="63" spans="1:19">
      <c r="B63" s="90" t="s">
        <v>1742</v>
      </c>
      <c r="C63" s="101"/>
      <c r="D63" s="101">
        <f t="shared" ref="D63:O63" si="9">SUM(D58:D62)</f>
        <v>1129436.8299999998</v>
      </c>
      <c r="E63" s="101">
        <f t="shared" si="9"/>
        <v>1685978.29</v>
      </c>
      <c r="F63" s="101">
        <f t="shared" si="9"/>
        <v>4192540.05</v>
      </c>
      <c r="G63" s="101">
        <f t="shared" si="9"/>
        <v>2856846.7965561589</v>
      </c>
      <c r="H63" s="101">
        <f t="shared" si="9"/>
        <v>3888332.5540728867</v>
      </c>
      <c r="I63" s="101">
        <f t="shared" si="9"/>
        <v>3544982.9164852551</v>
      </c>
      <c r="J63" s="101">
        <f t="shared" si="9"/>
        <v>2810522.9673874667</v>
      </c>
      <c r="K63" s="101">
        <f t="shared" si="9"/>
        <v>2917386.1594325076</v>
      </c>
      <c r="L63" s="101">
        <f t="shared" si="9"/>
        <v>4554916.8159246836</v>
      </c>
      <c r="M63" s="101">
        <f t="shared" si="9"/>
        <v>4825713.6386574889</v>
      </c>
      <c r="N63" s="101">
        <f t="shared" si="9"/>
        <v>3142633.8471509386</v>
      </c>
      <c r="O63" s="101">
        <f t="shared" si="9"/>
        <v>4693873.1012902614</v>
      </c>
      <c r="P63" s="101"/>
      <c r="S63" s="100"/>
    </row>
    <row r="64" spans="1:19">
      <c r="B64" s="90" t="s">
        <v>1743</v>
      </c>
      <c r="C64" s="102">
        <f>SUM(C58:C62)</f>
        <v>0</v>
      </c>
      <c r="D64" s="102">
        <f t="shared" ref="D64:O64" si="10">+D63+C64</f>
        <v>1129436.8299999998</v>
      </c>
      <c r="E64" s="102">
        <f t="shared" si="10"/>
        <v>2815415.12</v>
      </c>
      <c r="F64" s="102">
        <f t="shared" si="10"/>
        <v>7007955.1699999999</v>
      </c>
      <c r="G64" s="102">
        <f t="shared" si="10"/>
        <v>9864801.9665561579</v>
      </c>
      <c r="H64" s="102">
        <f t="shared" si="10"/>
        <v>13753134.520629045</v>
      </c>
      <c r="I64" s="102">
        <f t="shared" si="10"/>
        <v>17298117.437114298</v>
      </c>
      <c r="J64" s="102">
        <f t="shared" si="10"/>
        <v>20108640.404501766</v>
      </c>
      <c r="K64" s="102">
        <f t="shared" si="10"/>
        <v>23026026.563934274</v>
      </c>
      <c r="L64" s="102">
        <f t="shared" si="10"/>
        <v>27580943.379858956</v>
      </c>
      <c r="M64" s="102">
        <f t="shared" si="10"/>
        <v>32406657.018516444</v>
      </c>
      <c r="N64" s="102">
        <f t="shared" si="10"/>
        <v>35549290.86566738</v>
      </c>
      <c r="O64" s="102">
        <f t="shared" si="10"/>
        <v>40243163.966957644</v>
      </c>
      <c r="P64" s="102">
        <f>SUM(P58:P62)</f>
        <v>40243163.966957644</v>
      </c>
      <c r="Q64" s="100">
        <f>AVERAGE(C64:O64)</f>
        <v>17752583.326441228</v>
      </c>
    </row>
    <row r="66" spans="2:17">
      <c r="B66" s="98" t="s">
        <v>645</v>
      </c>
    </row>
    <row r="67" spans="2:17">
      <c r="B67" s="90" t="s">
        <v>1737</v>
      </c>
      <c r="C67" s="99">
        <f>+P24</f>
        <v>0</v>
      </c>
      <c r="D67" s="99">
        <v>0</v>
      </c>
      <c r="E67" s="99">
        <v>-56908.2</v>
      </c>
      <c r="F67" s="99">
        <v>-799.82350260522298</v>
      </c>
      <c r="G67" s="99">
        <v>-5865.2104164145521</v>
      </c>
      <c r="H67" s="99">
        <v>-8774.2712834546182</v>
      </c>
      <c r="I67" s="99">
        <v>-1945.5473091633708</v>
      </c>
      <c r="J67" s="99">
        <v>-7052.2056015152011</v>
      </c>
      <c r="K67" s="99">
        <v>-1219.9458611167438</v>
      </c>
      <c r="L67" s="99">
        <v>-22782.86</v>
      </c>
      <c r="M67" s="99">
        <v>-22963.05</v>
      </c>
      <c r="N67" s="99">
        <v>-28291.125201744471</v>
      </c>
      <c r="O67" s="99">
        <v>-114056.75634620605</v>
      </c>
      <c r="P67" s="100">
        <f>SUM(C67:O67)</f>
        <v>-270658.99552222027</v>
      </c>
    </row>
    <row r="68" spans="2:17">
      <c r="B68" s="90" t="s">
        <v>1738</v>
      </c>
      <c r="C68" s="99">
        <f>+P25</f>
        <v>0</v>
      </c>
      <c r="D68" s="99">
        <v>-164.58</v>
      </c>
      <c r="E68" s="99">
        <v>-10808.47</v>
      </c>
      <c r="F68" s="99">
        <v>-18669.759999999998</v>
      </c>
      <c r="G68" s="99">
        <v>-14286.84987086611</v>
      </c>
      <c r="H68" s="99">
        <v>-21330.138679792384</v>
      </c>
      <c r="I68" s="99">
        <v>-32162.548412264143</v>
      </c>
      <c r="J68" s="99">
        <v>-56110.765664551844</v>
      </c>
      <c r="K68" s="99">
        <v>-23514.051427214676</v>
      </c>
      <c r="L68" s="99">
        <v>-42480.748564683585</v>
      </c>
      <c r="M68" s="99">
        <v>-26692.364387453785</v>
      </c>
      <c r="N68" s="99">
        <v>-47655.24780919504</v>
      </c>
      <c r="O68" s="99">
        <v>-38834.478989365198</v>
      </c>
      <c r="P68" s="100">
        <f>SUM(C68:O68)</f>
        <v>-332710.00380538678</v>
      </c>
    </row>
    <row r="69" spans="2:17">
      <c r="B69" s="90" t="s">
        <v>1739</v>
      </c>
      <c r="C69" s="99">
        <f>+P26</f>
        <v>0</v>
      </c>
      <c r="D69" s="99">
        <v>-80627.679999999993</v>
      </c>
      <c r="E69" s="99">
        <v>-142561.49</v>
      </c>
      <c r="F69" s="99">
        <v>-588253.96</v>
      </c>
      <c r="G69" s="99">
        <v>-437686.54688831879</v>
      </c>
      <c r="H69" s="99">
        <v>-444461.42472238117</v>
      </c>
      <c r="I69" s="99">
        <v>-507119.27730182611</v>
      </c>
      <c r="J69" s="99">
        <v>-397350.93850979803</v>
      </c>
      <c r="K69" s="99">
        <v>-290648.80179505283</v>
      </c>
      <c r="L69" s="99">
        <v>-433456.48261251091</v>
      </c>
      <c r="M69" s="99">
        <v>-452192.31972346077</v>
      </c>
      <c r="N69" s="99">
        <v>-524944.83527071134</v>
      </c>
      <c r="O69" s="99">
        <v>-546965.25067789725</v>
      </c>
      <c r="P69" s="100">
        <f>SUM(C69:O69)</f>
        <v>-4846269.0075019579</v>
      </c>
    </row>
    <row r="70" spans="2:17">
      <c r="B70" s="90" t="s">
        <v>1740</v>
      </c>
      <c r="C70" s="99">
        <f>+P27</f>
        <v>0</v>
      </c>
      <c r="D70" s="99">
        <v>-1867.38</v>
      </c>
      <c r="E70" s="99">
        <v>-2576.42</v>
      </c>
      <c r="F70" s="99">
        <v>-1895.6328350574754</v>
      </c>
      <c r="G70" s="99">
        <v>-1153.1400000000001</v>
      </c>
      <c r="H70" s="99">
        <v>-2789.4988054685391</v>
      </c>
      <c r="I70" s="99">
        <v>-3262.1136766504192</v>
      </c>
      <c r="J70" s="99">
        <v>-3153.1324736359516</v>
      </c>
      <c r="K70" s="99">
        <v>-4519.7548530101176</v>
      </c>
      <c r="L70" s="99">
        <v>-2821.4321866759965</v>
      </c>
      <c r="M70" s="99">
        <v>-2426.5231699966289</v>
      </c>
      <c r="N70" s="99">
        <v>-3076.4472412953423</v>
      </c>
      <c r="O70" s="99">
        <v>-368.52939989722609</v>
      </c>
      <c r="P70" s="100">
        <f>SUM(C70:O70)</f>
        <v>-29910.004641687698</v>
      </c>
    </row>
    <row r="71" spans="2:17">
      <c r="B71" s="90" t="s">
        <v>1741</v>
      </c>
      <c r="C71" s="99">
        <f>+P28</f>
        <v>0</v>
      </c>
      <c r="D71" s="99">
        <v>-270.10000000000002</v>
      </c>
      <c r="E71" s="99">
        <v>-489.95</v>
      </c>
      <c r="F71" s="99">
        <v>-135.42223561193455</v>
      </c>
      <c r="G71" s="99">
        <v>-150.10353352433253</v>
      </c>
      <c r="H71" s="99">
        <v>-252.63437805489215</v>
      </c>
      <c r="I71" s="99">
        <v>-245.63339923034246</v>
      </c>
      <c r="J71" s="99">
        <v>-390.19</v>
      </c>
      <c r="K71" s="99">
        <v>-244.94698250596784</v>
      </c>
      <c r="L71" s="99">
        <v>-309.5274216469432</v>
      </c>
      <c r="M71" s="99">
        <v>-273.35892377927576</v>
      </c>
      <c r="N71" s="99">
        <v>-428.96557714444043</v>
      </c>
      <c r="O71" s="99">
        <v>-61.175977000806</v>
      </c>
      <c r="P71" s="100">
        <f>SUM(C71:O71)</f>
        <v>-3252.0084284989352</v>
      </c>
    </row>
    <row r="72" spans="2:17">
      <c r="B72" s="90" t="s">
        <v>1745</v>
      </c>
      <c r="C72" s="101"/>
      <c r="D72" s="101">
        <f t="shared" ref="D72:O72" si="11">SUM(D67:D71)</f>
        <v>-82929.740000000005</v>
      </c>
      <c r="E72" s="101">
        <f t="shared" si="11"/>
        <v>-213344.53</v>
      </c>
      <c r="F72" s="101">
        <f t="shared" si="11"/>
        <v>-609754.59857327456</v>
      </c>
      <c r="G72" s="101">
        <f t="shared" si="11"/>
        <v>-459141.85070912377</v>
      </c>
      <c r="H72" s="101">
        <f t="shared" si="11"/>
        <v>-477607.96786915162</v>
      </c>
      <c r="I72" s="101">
        <f t="shared" si="11"/>
        <v>-544735.12009913439</v>
      </c>
      <c r="J72" s="101">
        <f t="shared" si="11"/>
        <v>-464057.23224950104</v>
      </c>
      <c r="K72" s="101">
        <f t="shared" si="11"/>
        <v>-320147.5009189003</v>
      </c>
      <c r="L72" s="101">
        <f t="shared" si="11"/>
        <v>-501851.05078551744</v>
      </c>
      <c r="M72" s="101">
        <f t="shared" si="11"/>
        <v>-504547.61620469042</v>
      </c>
      <c r="N72" s="101">
        <f t="shared" si="11"/>
        <v>-604396.62110009068</v>
      </c>
      <c r="O72" s="101">
        <f t="shared" si="11"/>
        <v>-700286.19139036653</v>
      </c>
      <c r="P72" s="101"/>
    </row>
    <row r="73" spans="2:17">
      <c r="B73" s="90" t="s">
        <v>1746</v>
      </c>
      <c r="C73" s="102">
        <f>SUM(C67:C71)</f>
        <v>0</v>
      </c>
      <c r="D73" s="102">
        <f t="shared" ref="D73:O73" si="12">+D72+C73</f>
        <v>-82929.740000000005</v>
      </c>
      <c r="E73" s="102">
        <f t="shared" si="12"/>
        <v>-296274.27</v>
      </c>
      <c r="F73" s="102">
        <f t="shared" si="12"/>
        <v>-906028.86857327458</v>
      </c>
      <c r="G73" s="102">
        <f t="shared" si="12"/>
        <v>-1365170.7192823985</v>
      </c>
      <c r="H73" s="102">
        <f t="shared" si="12"/>
        <v>-1842778.6871515501</v>
      </c>
      <c r="I73" s="102">
        <f t="shared" si="12"/>
        <v>-2387513.8072506846</v>
      </c>
      <c r="J73" s="102">
        <f t="shared" si="12"/>
        <v>-2851571.0395001858</v>
      </c>
      <c r="K73" s="102">
        <f t="shared" si="12"/>
        <v>-3171718.5404190859</v>
      </c>
      <c r="L73" s="102">
        <f t="shared" si="12"/>
        <v>-3673569.5912046032</v>
      </c>
      <c r="M73" s="102">
        <f t="shared" si="12"/>
        <v>-4178117.2074092934</v>
      </c>
      <c r="N73" s="102">
        <f t="shared" si="12"/>
        <v>-4782513.8285093838</v>
      </c>
      <c r="O73" s="102">
        <f t="shared" si="12"/>
        <v>-5482800.0198997501</v>
      </c>
      <c r="P73" s="102">
        <f>SUM(P67:P71)</f>
        <v>-5482800.019899752</v>
      </c>
      <c r="Q73" s="100">
        <f>AVERAGE(C73:O73)</f>
        <v>-2386229.7168615544</v>
      </c>
    </row>
    <row r="75" spans="2:17">
      <c r="B75" s="98" t="s">
        <v>1747</v>
      </c>
    </row>
    <row r="76" spans="2:17">
      <c r="B76" s="90" t="s">
        <v>1737</v>
      </c>
      <c r="C76" s="99">
        <f>+P33</f>
        <v>0</v>
      </c>
      <c r="D76" s="103">
        <f t="shared" ref="D76:O80" si="13">+D58+D67</f>
        <v>493561.91</v>
      </c>
      <c r="E76" s="103">
        <f t="shared" si="13"/>
        <v>574165.38</v>
      </c>
      <c r="F76" s="103">
        <f t="shared" si="13"/>
        <v>2428678.1864973945</v>
      </c>
      <c r="G76" s="103">
        <f t="shared" si="13"/>
        <v>1079233.8326343996</v>
      </c>
      <c r="H76" s="103">
        <f t="shared" si="13"/>
        <v>1707019.9840929881</v>
      </c>
      <c r="I76" s="103">
        <f t="shared" si="13"/>
        <v>1855432.9402763741</v>
      </c>
      <c r="J76" s="103">
        <f t="shared" si="13"/>
        <v>1183055.7670578833</v>
      </c>
      <c r="K76" s="103">
        <f t="shared" si="13"/>
        <v>1135967.6880348602</v>
      </c>
      <c r="L76" s="103">
        <f t="shared" si="13"/>
        <v>2761121.1644020015</v>
      </c>
      <c r="M76" s="103">
        <f t="shared" si="13"/>
        <v>3404781.6841480015</v>
      </c>
      <c r="N76" s="103">
        <f t="shared" si="13"/>
        <v>1780346.9637453717</v>
      </c>
      <c r="O76" s="103">
        <f t="shared" si="13"/>
        <v>3153298.8726170463</v>
      </c>
      <c r="P76" s="100">
        <f>SUM(C76:O76)</f>
        <v>21556664.373506323</v>
      </c>
    </row>
    <row r="77" spans="2:17">
      <c r="B77" s="90" t="s">
        <v>1738</v>
      </c>
      <c r="C77" s="99">
        <f>+P34</f>
        <v>0</v>
      </c>
      <c r="D77" s="103">
        <f t="shared" si="13"/>
        <v>-164.58</v>
      </c>
      <c r="E77" s="103">
        <f t="shared" si="13"/>
        <v>16148.53</v>
      </c>
      <c r="F77" s="103">
        <f t="shared" si="13"/>
        <v>189115.59999999998</v>
      </c>
      <c r="G77" s="103">
        <f t="shared" si="13"/>
        <v>84907.527253215274</v>
      </c>
      <c r="H77" s="103">
        <f t="shared" si="13"/>
        <v>351219.01749849925</v>
      </c>
      <c r="I77" s="103">
        <f t="shared" si="13"/>
        <v>-17531.788776900925</v>
      </c>
      <c r="J77" s="103">
        <f t="shared" si="13"/>
        <v>209714.66954120042</v>
      </c>
      <c r="K77" s="103">
        <f t="shared" si="13"/>
        <v>-6223.097422352741</v>
      </c>
      <c r="L77" s="103">
        <f t="shared" si="13"/>
        <v>14594.917650248964</v>
      </c>
      <c r="M77" s="103">
        <f t="shared" si="13"/>
        <v>12794.546744955111</v>
      </c>
      <c r="N77" s="103">
        <f t="shared" si="13"/>
        <v>28148.45176864064</v>
      </c>
      <c r="O77" s="103">
        <f t="shared" si="13"/>
        <v>107468.8358527135</v>
      </c>
      <c r="P77" s="100">
        <f>SUM(C77:O77)</f>
        <v>990192.63011021935</v>
      </c>
    </row>
    <row r="78" spans="2:17">
      <c r="B78" s="90" t="s">
        <v>1739</v>
      </c>
      <c r="C78" s="99">
        <f>+P35</f>
        <v>0</v>
      </c>
      <c r="D78" s="103">
        <f t="shared" si="13"/>
        <v>447817.21</v>
      </c>
      <c r="E78" s="103">
        <f t="shared" si="13"/>
        <v>822844.55</v>
      </c>
      <c r="F78" s="103">
        <f t="shared" si="13"/>
        <v>936983.16999999993</v>
      </c>
      <c r="G78" s="103">
        <f t="shared" si="13"/>
        <v>1221748.9731116812</v>
      </c>
      <c r="H78" s="103">
        <f t="shared" si="13"/>
        <v>1347059.6852776189</v>
      </c>
      <c r="I78" s="103">
        <f t="shared" si="13"/>
        <v>1154501.1526981739</v>
      </c>
      <c r="J78" s="103">
        <f t="shared" si="13"/>
        <v>945668.62149020203</v>
      </c>
      <c r="K78" s="103">
        <f t="shared" si="13"/>
        <v>1448175.5582049473</v>
      </c>
      <c r="L78" s="103">
        <f t="shared" si="13"/>
        <v>1260755.7673874891</v>
      </c>
      <c r="M78" s="103">
        <f t="shared" si="13"/>
        <v>890425.23027653922</v>
      </c>
      <c r="N78" s="103">
        <f t="shared" si="13"/>
        <v>704385.24067043595</v>
      </c>
      <c r="O78" s="103">
        <f t="shared" si="13"/>
        <v>690403.81451711955</v>
      </c>
      <c r="P78" s="100">
        <f>SUM(C78:O78)</f>
        <v>11870768.973634208</v>
      </c>
    </row>
    <row r="79" spans="2:17">
      <c r="B79" s="90" t="s">
        <v>1740</v>
      </c>
      <c r="C79" s="99">
        <f>+P36</f>
        <v>0</v>
      </c>
      <c r="D79" s="103">
        <f t="shared" si="13"/>
        <v>97799.01999999999</v>
      </c>
      <c r="E79" s="103">
        <f t="shared" si="13"/>
        <v>43623.090000000004</v>
      </c>
      <c r="F79" s="103">
        <f t="shared" si="13"/>
        <v>-1683.0128350574755</v>
      </c>
      <c r="G79" s="103">
        <f t="shared" si="13"/>
        <v>1556.47</v>
      </c>
      <c r="H79" s="103">
        <f t="shared" si="13"/>
        <v>-252.22880546853912</v>
      </c>
      <c r="I79" s="103">
        <f t="shared" si="13"/>
        <v>-1781.3236766504192</v>
      </c>
      <c r="J79" s="103">
        <f t="shared" si="13"/>
        <v>2052.7175263640488</v>
      </c>
      <c r="K79" s="103">
        <f t="shared" si="13"/>
        <v>11053.625146989882</v>
      </c>
      <c r="L79" s="103">
        <f t="shared" si="13"/>
        <v>2310.1578133240037</v>
      </c>
      <c r="M79" s="103">
        <f t="shared" si="13"/>
        <v>-807.39316999662879</v>
      </c>
      <c r="N79" s="103">
        <f t="shared" si="13"/>
        <v>11733.54288404587</v>
      </c>
      <c r="O79" s="103">
        <f t="shared" si="13"/>
        <v>25549.319643424369</v>
      </c>
      <c r="P79" s="100">
        <f>SUM(C79:O79)</f>
        <v>191153.98452697511</v>
      </c>
    </row>
    <row r="80" spans="2:17">
      <c r="B80" s="90" t="s">
        <v>1741</v>
      </c>
      <c r="C80" s="99">
        <f>+P37</f>
        <v>0</v>
      </c>
      <c r="D80" s="103">
        <f t="shared" si="13"/>
        <v>7493.53</v>
      </c>
      <c r="E80" s="103">
        <f t="shared" si="13"/>
        <v>15852.21</v>
      </c>
      <c r="F80" s="103">
        <f t="shared" si="13"/>
        <v>29691.507764388065</v>
      </c>
      <c r="G80" s="103">
        <f t="shared" si="13"/>
        <v>10258.142847739568</v>
      </c>
      <c r="H80" s="103">
        <f t="shared" si="13"/>
        <v>5678.1281400972475</v>
      </c>
      <c r="I80" s="103">
        <f t="shared" si="13"/>
        <v>9626.815865124001</v>
      </c>
      <c r="J80" s="103">
        <f t="shared" si="13"/>
        <v>5973.959522315884</v>
      </c>
      <c r="K80" s="103">
        <f t="shared" si="13"/>
        <v>8264.8845491626307</v>
      </c>
      <c r="L80" s="103">
        <f t="shared" si="13"/>
        <v>14283.75788610275</v>
      </c>
      <c r="M80" s="103">
        <f t="shared" si="13"/>
        <v>13971.954453299335</v>
      </c>
      <c r="N80" s="103">
        <f t="shared" si="13"/>
        <v>13623.026982353593</v>
      </c>
      <c r="O80" s="103">
        <f t="shared" si="13"/>
        <v>16866.067269590847</v>
      </c>
      <c r="P80" s="100">
        <f>SUM(C80:O80)</f>
        <v>151583.98528017395</v>
      </c>
    </row>
    <row r="81" spans="1:17">
      <c r="B81" s="90" t="s">
        <v>1748</v>
      </c>
      <c r="C81" s="101"/>
      <c r="D81" s="101">
        <f t="shared" ref="D81:O81" si="14">SUM(D76:D80)</f>
        <v>1046507.0900000001</v>
      </c>
      <c r="E81" s="101">
        <f t="shared" si="14"/>
        <v>1472633.76</v>
      </c>
      <c r="F81" s="101">
        <f t="shared" si="14"/>
        <v>3582785.4514267249</v>
      </c>
      <c r="G81" s="101">
        <f t="shared" si="14"/>
        <v>2397704.9458470359</v>
      </c>
      <c r="H81" s="101">
        <f t="shared" si="14"/>
        <v>3410724.5862037349</v>
      </c>
      <c r="I81" s="101">
        <f t="shared" si="14"/>
        <v>3000247.7963861208</v>
      </c>
      <c r="J81" s="101">
        <f t="shared" si="14"/>
        <v>2346465.7351379655</v>
      </c>
      <c r="K81" s="101">
        <f t="shared" si="14"/>
        <v>2597238.658513607</v>
      </c>
      <c r="L81" s="101">
        <f t="shared" si="14"/>
        <v>4053065.7651391663</v>
      </c>
      <c r="M81" s="101">
        <f t="shared" si="14"/>
        <v>4321166.0224527996</v>
      </c>
      <c r="N81" s="101">
        <f t="shared" si="14"/>
        <v>2538237.2260508477</v>
      </c>
      <c r="O81" s="101">
        <f t="shared" si="14"/>
        <v>3993586.9098998941</v>
      </c>
      <c r="P81" s="101"/>
    </row>
    <row r="82" spans="1:17">
      <c r="B82" s="90" t="s">
        <v>1749</v>
      </c>
      <c r="C82" s="102">
        <f>SUM(C76:C80)</f>
        <v>0</v>
      </c>
      <c r="D82" s="102">
        <f t="shared" ref="D82:O82" si="15">+D81+C82</f>
        <v>1046507.0900000001</v>
      </c>
      <c r="E82" s="102">
        <f t="shared" si="15"/>
        <v>2519140.85</v>
      </c>
      <c r="F82" s="102">
        <f t="shared" si="15"/>
        <v>6101926.3014267255</v>
      </c>
      <c r="G82" s="102">
        <f t="shared" si="15"/>
        <v>8499631.2472737618</v>
      </c>
      <c r="H82" s="102">
        <f t="shared" si="15"/>
        <v>11910355.833477497</v>
      </c>
      <c r="I82" s="102">
        <f t="shared" si="15"/>
        <v>14910603.629863618</v>
      </c>
      <c r="J82" s="102">
        <f t="shared" si="15"/>
        <v>17257069.365001582</v>
      </c>
      <c r="K82" s="102">
        <f t="shared" si="15"/>
        <v>19854308.023515187</v>
      </c>
      <c r="L82" s="102">
        <f t="shared" si="15"/>
        <v>23907373.788654353</v>
      </c>
      <c r="M82" s="102">
        <f t="shared" si="15"/>
        <v>28228539.811107151</v>
      </c>
      <c r="N82" s="102">
        <f t="shared" si="15"/>
        <v>30766777.037157997</v>
      </c>
      <c r="O82" s="102">
        <f t="shared" si="15"/>
        <v>34760363.947057888</v>
      </c>
      <c r="P82" s="102">
        <f>SUM(P76:P80)</f>
        <v>34760363.947057895</v>
      </c>
      <c r="Q82" s="100">
        <f>AVERAGE(C82:O82)</f>
        <v>15366353.609579679</v>
      </c>
    </row>
    <row r="87" spans="1:17" ht="15.75">
      <c r="B87" s="92" t="s">
        <v>1753</v>
      </c>
    </row>
    <row r="88" spans="1:17" ht="15.75">
      <c r="B88" s="92" t="s">
        <v>1754</v>
      </c>
    </row>
    <row r="90" spans="1:17" ht="15.75">
      <c r="A90" s="1290" t="s">
        <v>1731</v>
      </c>
      <c r="B90" s="1290"/>
      <c r="C90" s="1290"/>
      <c r="D90" s="1290"/>
      <c r="E90" s="1290"/>
      <c r="F90" s="1290"/>
      <c r="G90" s="1290"/>
      <c r="H90" s="1290"/>
      <c r="I90" s="1290"/>
      <c r="J90" s="1290"/>
      <c r="K90" s="1290"/>
      <c r="L90" s="1290"/>
      <c r="M90" s="1290"/>
      <c r="N90" s="1290"/>
      <c r="O90" s="1290"/>
      <c r="P90" s="1290"/>
      <c r="Q90" s="1290"/>
    </row>
    <row r="91" spans="1:17" ht="15.75">
      <c r="A91" s="1290" t="s">
        <v>1732</v>
      </c>
      <c r="B91" s="1290"/>
      <c r="C91" s="1290"/>
      <c r="D91" s="1290"/>
      <c r="E91" s="1290"/>
      <c r="F91" s="1290"/>
      <c r="G91" s="1290"/>
      <c r="H91" s="1290"/>
      <c r="I91" s="1290"/>
      <c r="J91" s="1290"/>
      <c r="K91" s="1290"/>
      <c r="L91" s="1290"/>
      <c r="M91" s="1290"/>
      <c r="N91" s="1290"/>
      <c r="O91" s="1290"/>
      <c r="P91" s="1290"/>
      <c r="Q91" s="1290"/>
    </row>
    <row r="92" spans="1:17" ht="15.75">
      <c r="A92" s="1290" t="s">
        <v>1755</v>
      </c>
      <c r="B92" s="1290"/>
      <c r="C92" s="1290"/>
      <c r="D92" s="1290"/>
      <c r="E92" s="1290"/>
      <c r="F92" s="1290"/>
      <c r="G92" s="1290"/>
      <c r="H92" s="1290"/>
      <c r="I92" s="1290"/>
      <c r="J92" s="1290"/>
      <c r="K92" s="1290"/>
      <c r="L92" s="1290"/>
      <c r="M92" s="1290"/>
      <c r="N92" s="1290"/>
      <c r="O92" s="1290"/>
      <c r="P92" s="1290"/>
      <c r="Q92" s="1290"/>
    </row>
    <row r="94" spans="1:17" ht="15.75">
      <c r="C94" s="93">
        <v>2024</v>
      </c>
      <c r="D94" s="93">
        <f>+C94+1</f>
        <v>2025</v>
      </c>
      <c r="E94" s="93">
        <f>+D94</f>
        <v>2025</v>
      </c>
      <c r="F94" s="93">
        <f t="shared" ref="F94:Q94" si="16">+E94</f>
        <v>2025</v>
      </c>
      <c r="G94" s="93">
        <f t="shared" si="16"/>
        <v>2025</v>
      </c>
      <c r="H94" s="93">
        <f t="shared" si="16"/>
        <v>2025</v>
      </c>
      <c r="I94" s="93">
        <f t="shared" si="16"/>
        <v>2025</v>
      </c>
      <c r="J94" s="93">
        <f t="shared" si="16"/>
        <v>2025</v>
      </c>
      <c r="K94" s="93">
        <f t="shared" si="16"/>
        <v>2025</v>
      </c>
      <c r="L94" s="93">
        <f t="shared" si="16"/>
        <v>2025</v>
      </c>
      <c r="M94" s="93">
        <f t="shared" si="16"/>
        <v>2025</v>
      </c>
      <c r="N94" s="93">
        <f t="shared" si="16"/>
        <v>2025</v>
      </c>
      <c r="O94" s="93">
        <f t="shared" si="16"/>
        <v>2025</v>
      </c>
      <c r="P94" s="93">
        <f t="shared" si="16"/>
        <v>2025</v>
      </c>
      <c r="Q94" s="93">
        <f t="shared" si="16"/>
        <v>2025</v>
      </c>
    </row>
    <row r="95" spans="1:17" ht="15.75">
      <c r="C95" s="93" t="s">
        <v>1274</v>
      </c>
      <c r="D95" s="93" t="s">
        <v>1264</v>
      </c>
      <c r="E95" s="93" t="s">
        <v>1265</v>
      </c>
      <c r="F95" s="93" t="s">
        <v>1266</v>
      </c>
      <c r="G95" s="93" t="s">
        <v>1267</v>
      </c>
      <c r="H95" s="93" t="s">
        <v>94</v>
      </c>
      <c r="I95" s="93" t="s">
        <v>1268</v>
      </c>
      <c r="J95" s="93" t="s">
        <v>1269</v>
      </c>
      <c r="K95" s="93" t="s">
        <v>1270</v>
      </c>
      <c r="L95" s="93" t="s">
        <v>1271</v>
      </c>
      <c r="M95" s="93" t="s">
        <v>1272</v>
      </c>
      <c r="N95" s="93" t="s">
        <v>1273</v>
      </c>
      <c r="O95" s="93" t="s">
        <v>1274</v>
      </c>
      <c r="P95" s="93" t="s">
        <v>1734</v>
      </c>
      <c r="Q95" s="93" t="s">
        <v>671</v>
      </c>
    </row>
    <row r="96" spans="1:17" ht="15.75">
      <c r="C96" s="93" t="s">
        <v>1735</v>
      </c>
      <c r="D96" s="93" t="s">
        <v>1736</v>
      </c>
      <c r="E96" s="93" t="s">
        <v>1736</v>
      </c>
      <c r="F96" s="93" t="s">
        <v>1736</v>
      </c>
      <c r="G96" s="93" t="s">
        <v>1736</v>
      </c>
      <c r="H96" s="93" t="s">
        <v>1736</v>
      </c>
      <c r="I96" s="93" t="s">
        <v>1736</v>
      </c>
      <c r="J96" s="93" t="s">
        <v>1736</v>
      </c>
      <c r="K96" s="93" t="s">
        <v>1736</v>
      </c>
      <c r="L96" s="93" t="s">
        <v>1736</v>
      </c>
      <c r="M96" s="93" t="s">
        <v>1736</v>
      </c>
      <c r="N96" s="93" t="s">
        <v>1736</v>
      </c>
      <c r="O96" s="93" t="s">
        <v>1736</v>
      </c>
      <c r="P96" s="94"/>
      <c r="Q96" s="94"/>
    </row>
    <row r="98" spans="2:18">
      <c r="B98" s="98" t="s">
        <v>644</v>
      </c>
    </row>
    <row r="99" spans="2:18">
      <c r="B99" s="90" t="s">
        <v>1737</v>
      </c>
      <c r="C99" s="99">
        <f>P58</f>
        <v>21827323.369028538</v>
      </c>
      <c r="D99" s="99">
        <v>1036201.476076917</v>
      </c>
      <c r="E99" s="99">
        <v>464438.82113693189</v>
      </c>
      <c r="F99" s="99">
        <v>1344935.7480756792</v>
      </c>
      <c r="G99" s="99">
        <v>875179.68362101738</v>
      </c>
      <c r="H99" s="99">
        <v>1374757.5040424867</v>
      </c>
      <c r="I99" s="99">
        <v>1487371.1222912024</v>
      </c>
      <c r="J99" s="99">
        <v>954069.18953638407</v>
      </c>
      <c r="K99" s="99">
        <v>910481.30181310291</v>
      </c>
      <c r="L99" s="99">
        <v>2234749.8234514864</v>
      </c>
      <c r="M99" s="99">
        <v>2404053.6683138874</v>
      </c>
      <c r="N99" s="99">
        <v>2101785.1362867048</v>
      </c>
      <c r="O99" s="99">
        <v>3441110.0653541991</v>
      </c>
      <c r="P99" s="100">
        <f>SUM(C99:O99)</f>
        <v>40456456.909028545</v>
      </c>
    </row>
    <row r="100" spans="2:18">
      <c r="B100" s="90" t="s">
        <v>1738</v>
      </c>
      <c r="C100" s="99">
        <f>P59</f>
        <v>1322902.6339156062</v>
      </c>
      <c r="D100" s="99">
        <v>41540.905055566625</v>
      </c>
      <c r="E100" s="99">
        <v>60855.228821908961</v>
      </c>
      <c r="F100" s="99">
        <v>127631.91858213584</v>
      </c>
      <c r="G100" s="99">
        <v>97202.269204860306</v>
      </c>
      <c r="H100" s="99">
        <v>345665.79222862277</v>
      </c>
      <c r="I100" s="99">
        <v>14336.931971146256</v>
      </c>
      <c r="J100" s="99">
        <v>260486.89717610815</v>
      </c>
      <c r="K100" s="99">
        <v>16943.701999227709</v>
      </c>
      <c r="L100" s="99">
        <v>53221.420126610166</v>
      </c>
      <c r="M100" s="99">
        <v>7638.104196317342</v>
      </c>
      <c r="N100" s="99">
        <v>22438.096513293953</v>
      </c>
      <c r="O100" s="99">
        <v>81106.954124202006</v>
      </c>
      <c r="P100" s="100">
        <f>SUM(C100:O100)</f>
        <v>2451970.8539156066</v>
      </c>
    </row>
    <row r="101" spans="2:18">
      <c r="B101" s="90" t="s">
        <v>1739</v>
      </c>
      <c r="C101" s="99">
        <f>P60</f>
        <v>16717037.981136164</v>
      </c>
      <c r="D101" s="99">
        <v>790330.96899058321</v>
      </c>
      <c r="E101" s="99">
        <v>906018.38786914607</v>
      </c>
      <c r="F101" s="99">
        <v>1250981.0547560793</v>
      </c>
      <c r="G101" s="99">
        <v>1379447.5240754103</v>
      </c>
      <c r="H101" s="99">
        <v>1430203.1199371915</v>
      </c>
      <c r="I101" s="99">
        <v>1281196.6971274011</v>
      </c>
      <c r="J101" s="99">
        <v>1116598.4504024552</v>
      </c>
      <c r="K101" s="99">
        <v>1454154.5941155255</v>
      </c>
      <c r="L101" s="99">
        <v>1301269.5031043594</v>
      </c>
      <c r="M101" s="99">
        <v>1423248.3207137496</v>
      </c>
      <c r="N101" s="99">
        <v>1031000.0059065742</v>
      </c>
      <c r="O101" s="99">
        <v>903170.59300152655</v>
      </c>
      <c r="P101" s="100">
        <f>SUM(C101:O101)</f>
        <v>30984657.201136168</v>
      </c>
    </row>
    <row r="102" spans="2:18">
      <c r="B102" s="90" t="s">
        <v>1740</v>
      </c>
      <c r="C102" s="99">
        <f>P61</f>
        <v>221063.98916866281</v>
      </c>
      <c r="D102" s="99">
        <v>7809.5174475700633</v>
      </c>
      <c r="E102" s="99">
        <v>7594.274471767787</v>
      </c>
      <c r="F102" s="99">
        <v>6960.2885844123593</v>
      </c>
      <c r="G102" s="99">
        <v>5953.7956290973734</v>
      </c>
      <c r="H102" s="99">
        <v>5850.6438941507422</v>
      </c>
      <c r="I102" s="99">
        <v>7719.413726951957</v>
      </c>
      <c r="J102" s="99">
        <v>9949.2327807152724</v>
      </c>
      <c r="K102" s="99">
        <v>16155.007707848134</v>
      </c>
      <c r="L102" s="99">
        <v>31037.591172458415</v>
      </c>
      <c r="M102" s="99">
        <v>36136.429879120718</v>
      </c>
      <c r="N102" s="99">
        <v>22084.777982704345</v>
      </c>
      <c r="O102" s="99">
        <v>31422.226723202872</v>
      </c>
      <c r="P102" s="100">
        <f>SUM(C102:O102)</f>
        <v>409737.18916866294</v>
      </c>
    </row>
    <row r="103" spans="2:18">
      <c r="B103" s="90" t="s">
        <v>1741</v>
      </c>
      <c r="C103" s="99">
        <f>P62</f>
        <v>154835.99370867288</v>
      </c>
      <c r="D103" s="99">
        <v>18221.600879393907</v>
      </c>
      <c r="E103" s="99">
        <v>13714.861371888421</v>
      </c>
      <c r="F103" s="99">
        <v>10055.701309678716</v>
      </c>
      <c r="G103" s="99">
        <v>8103.8882044258662</v>
      </c>
      <c r="H103" s="99">
        <v>4617.7074075246719</v>
      </c>
      <c r="I103" s="99">
        <v>7686.7151498462827</v>
      </c>
      <c r="J103" s="99">
        <v>4955.1436770307691</v>
      </c>
      <c r="K103" s="99">
        <v>6625.7773735335159</v>
      </c>
      <c r="L103" s="99">
        <v>15925.811207509456</v>
      </c>
      <c r="M103" s="99">
        <v>14064.693657555865</v>
      </c>
      <c r="N103" s="99">
        <v>13436.429476815412</v>
      </c>
      <c r="O103" s="99">
        <v>14740.740284797117</v>
      </c>
      <c r="P103" s="100">
        <f>SUM(C103:O103)</f>
        <v>286985.06370867282</v>
      </c>
    </row>
    <row r="104" spans="2:18">
      <c r="B104" s="90" t="s">
        <v>1742</v>
      </c>
      <c r="C104" s="101"/>
      <c r="D104" s="101">
        <f t="shared" ref="D104:O104" si="17">SUM(D99:D103)</f>
        <v>1894104.468450031</v>
      </c>
      <c r="E104" s="101">
        <f t="shared" si="17"/>
        <v>1452621.5736716429</v>
      </c>
      <c r="F104" s="101">
        <f t="shared" si="17"/>
        <v>2740564.7113079857</v>
      </c>
      <c r="G104" s="101">
        <f t="shared" si="17"/>
        <v>2365887.1607348113</v>
      </c>
      <c r="H104" s="101">
        <f t="shared" si="17"/>
        <v>3161094.7675099764</v>
      </c>
      <c r="I104" s="101">
        <f t="shared" si="17"/>
        <v>2798310.8802665481</v>
      </c>
      <c r="J104" s="101">
        <f t="shared" si="17"/>
        <v>2346058.9135726932</v>
      </c>
      <c r="K104" s="101">
        <f t="shared" si="17"/>
        <v>2404360.3830092382</v>
      </c>
      <c r="L104" s="101">
        <f t="shared" si="17"/>
        <v>3636204.149062424</v>
      </c>
      <c r="M104" s="101">
        <f t="shared" si="17"/>
        <v>3885141.2167606312</v>
      </c>
      <c r="N104" s="101">
        <f t="shared" si="17"/>
        <v>3190744.4461660925</v>
      </c>
      <c r="O104" s="101">
        <f t="shared" si="17"/>
        <v>4471550.5794879273</v>
      </c>
      <c r="P104" s="101"/>
      <c r="R104" s="100">
        <f>SUM(D104:O104)</f>
        <v>34346643.25</v>
      </c>
    </row>
    <row r="105" spans="2:18">
      <c r="B105" s="90" t="s">
        <v>1743</v>
      </c>
      <c r="C105" s="102">
        <f>SUM(C99:C103)</f>
        <v>40243163.966957644</v>
      </c>
      <c r="D105" s="102">
        <f t="shared" ref="D105:O105" si="18">+D104+C105</f>
        <v>42137268.435407676</v>
      </c>
      <c r="E105" s="102">
        <f t="shared" si="18"/>
        <v>43589890.009079322</v>
      </c>
      <c r="F105" s="102">
        <f t="shared" si="18"/>
        <v>46330454.72038731</v>
      </c>
      <c r="G105" s="102">
        <f t="shared" si="18"/>
        <v>48696341.88112212</v>
      </c>
      <c r="H105" s="102">
        <f t="shared" si="18"/>
        <v>51857436.648632094</v>
      </c>
      <c r="I105" s="102">
        <f t="shared" si="18"/>
        <v>54655747.528898641</v>
      </c>
      <c r="J105" s="102">
        <f t="shared" si="18"/>
        <v>57001806.442471333</v>
      </c>
      <c r="K105" s="102">
        <f t="shared" si="18"/>
        <v>59406166.825480573</v>
      </c>
      <c r="L105" s="102">
        <f t="shared" si="18"/>
        <v>63042370.974542998</v>
      </c>
      <c r="M105" s="102">
        <f t="shared" si="18"/>
        <v>66927512.191303626</v>
      </c>
      <c r="N105" s="102">
        <f t="shared" si="18"/>
        <v>70118256.637469724</v>
      </c>
      <c r="O105" s="102">
        <f t="shared" si="18"/>
        <v>74589807.216957659</v>
      </c>
      <c r="P105" s="102">
        <f>SUM(P99:P103)</f>
        <v>74589807.216957659</v>
      </c>
      <c r="Q105" s="100">
        <f>AVERAGE(C105:O105)</f>
        <v>55276632.575285442</v>
      </c>
    </row>
    <row r="107" spans="2:18">
      <c r="B107" s="98" t="s">
        <v>645</v>
      </c>
    </row>
    <row r="108" spans="2:18">
      <c r="B108" s="90" t="s">
        <v>1737</v>
      </c>
      <c r="C108" s="99">
        <f>P67</f>
        <v>-270658.99552222027</v>
      </c>
      <c r="D108" s="99">
        <v>-8683.6788274829396</v>
      </c>
      <c r="E108" s="99">
        <v>-370.66956062461901</v>
      </c>
      <c r="F108" s="99">
        <v>-638.78919565044202</v>
      </c>
      <c r="G108" s="99">
        <v>-4684.3247691751203</v>
      </c>
      <c r="H108" s="99">
        <v>-7007.6831667488796</v>
      </c>
      <c r="I108" s="99">
        <v>-1553.83606092127</v>
      </c>
      <c r="J108" s="99">
        <v>-5632.3335449382903</v>
      </c>
      <c r="K108" s="99">
        <v>-974.32525153551501</v>
      </c>
      <c r="L108" s="99">
        <v>-34699.595662220199</v>
      </c>
      <c r="M108" s="99">
        <v>-6178.8765051054097</v>
      </c>
      <c r="N108" s="99">
        <v>-9053.2002343579006</v>
      </c>
      <c r="O108" s="99">
        <v>-103088.195913239</v>
      </c>
      <c r="P108" s="100">
        <f>SUM(C108:O108)</f>
        <v>-453224.50421421987</v>
      </c>
    </row>
    <row r="109" spans="2:18">
      <c r="B109" s="90" t="s">
        <v>1738</v>
      </c>
      <c r="C109" s="99">
        <f>P68</f>
        <v>-332710.00380538678</v>
      </c>
      <c r="D109" s="99">
        <v>-114148.835669066</v>
      </c>
      <c r="E109" s="99">
        <v>-1192.99555586412</v>
      </c>
      <c r="F109" s="99">
        <v>-56082.203980228602</v>
      </c>
      <c r="G109" s="99">
        <v>-17221.715815118001</v>
      </c>
      <c r="H109" s="99">
        <v>0</v>
      </c>
      <c r="I109" s="99">
        <v>0</v>
      </c>
      <c r="J109" s="99">
        <v>0</v>
      </c>
      <c r="K109" s="99">
        <v>-19002.9665316922</v>
      </c>
      <c r="L109" s="99">
        <v>0</v>
      </c>
      <c r="M109" s="99">
        <v>-3098.6604776855702</v>
      </c>
      <c r="N109" s="99">
        <v>-129524.48702535201</v>
      </c>
      <c r="O109" s="99">
        <v>-6916.6125949939496</v>
      </c>
      <c r="P109" s="100">
        <f>SUM(C109:O109)</f>
        <v>-679898.4814553872</v>
      </c>
    </row>
    <row r="110" spans="2:18">
      <c r="B110" s="90" t="s">
        <v>1739</v>
      </c>
      <c r="C110" s="99">
        <f>P69</f>
        <v>-4846269.0075019579</v>
      </c>
      <c r="D110" s="99">
        <v>-243728.67955091188</v>
      </c>
      <c r="E110" s="99">
        <v>-258304.98918413173</v>
      </c>
      <c r="F110" s="99">
        <v>-262822.75140725856</v>
      </c>
      <c r="G110" s="99">
        <v>-414005.14044916927</v>
      </c>
      <c r="H110" s="99">
        <v>-419667.19092709274</v>
      </c>
      <c r="I110" s="99">
        <v>-477498.35306059348</v>
      </c>
      <c r="J110" s="99">
        <v>-375590.67620383459</v>
      </c>
      <c r="K110" s="99">
        <v>-274947.82528266346</v>
      </c>
      <c r="L110" s="99">
        <v>-419871.41298725846</v>
      </c>
      <c r="M110" s="99">
        <v>-414537.71731993172</v>
      </c>
      <c r="N110" s="99">
        <v>-559527.3118539548</v>
      </c>
      <c r="O110" s="99">
        <v>-587812.29437319934</v>
      </c>
      <c r="P110" s="100">
        <f>SUM(C110:O110)</f>
        <v>-9554583.3501019571</v>
      </c>
    </row>
    <row r="111" spans="2:18">
      <c r="B111" s="90" t="s">
        <v>1740</v>
      </c>
      <c r="C111" s="99">
        <f>P70</f>
        <v>-29910.004641687698</v>
      </c>
      <c r="D111" s="99">
        <v>-648.31378194822798</v>
      </c>
      <c r="E111" s="99">
        <v>-842.73304612172899</v>
      </c>
      <c r="F111" s="99">
        <v>-1134.7501273072</v>
      </c>
      <c r="G111" s="99">
        <v>-1859.3504603281999</v>
      </c>
      <c r="H111" s="99">
        <v>-1669.8297613803099</v>
      </c>
      <c r="I111" s="99">
        <v>-1952.7430847426699</v>
      </c>
      <c r="J111" s="99">
        <v>-1887.5055388911201</v>
      </c>
      <c r="K111" s="99">
        <v>-2705.5832226577099</v>
      </c>
      <c r="L111" s="99">
        <v>-2026.8820826879301</v>
      </c>
      <c r="M111" s="99">
        <v>-1867.6190586017301</v>
      </c>
      <c r="N111" s="99">
        <v>-2293.9619567841401</v>
      </c>
      <c r="O111" s="99">
        <v>-770.47531854903195</v>
      </c>
      <c r="P111" s="100">
        <f>SUM(C111:O111)</f>
        <v>-49569.7520816877</v>
      </c>
    </row>
    <row r="112" spans="2:18">
      <c r="B112" s="90" t="s">
        <v>1741</v>
      </c>
      <c r="C112" s="99">
        <f>P71</f>
        <v>-3252.0084284989352</v>
      </c>
      <c r="D112" s="99">
        <v>-141.12915769406001</v>
      </c>
      <c r="E112" s="99">
        <v>-87.315612056764493</v>
      </c>
      <c r="F112" s="99">
        <v>-105.692226354992</v>
      </c>
      <c r="G112" s="99">
        <v>-117.150455907403</v>
      </c>
      <c r="H112" s="99">
        <v>-197.172124280579</v>
      </c>
      <c r="I112" s="99">
        <v>-191.70810993103601</v>
      </c>
      <c r="J112" s="99">
        <v>-669.26995978680202</v>
      </c>
      <c r="K112" s="99">
        <v>-191.17238615215601</v>
      </c>
      <c r="L112" s="99">
        <v>-291.35457377797599</v>
      </c>
      <c r="M112" s="99">
        <v>-269.93114554831499</v>
      </c>
      <c r="N112" s="99">
        <v>-430.37029195947599</v>
      </c>
      <c r="O112" s="99">
        <v>-135.72405455044199</v>
      </c>
      <c r="P112" s="100">
        <f>SUM(C112:O112)</f>
        <v>-6079.9985264989364</v>
      </c>
    </row>
    <row r="113" spans="2:18">
      <c r="B113" s="90" t="s">
        <v>1745</v>
      </c>
      <c r="C113" s="101"/>
      <c r="D113" s="101">
        <f t="shared" ref="D113:O113" si="19">SUM(D108:D112)</f>
        <v>-367350.63698710309</v>
      </c>
      <c r="E113" s="101">
        <f t="shared" si="19"/>
        <v>-260798.70295879894</v>
      </c>
      <c r="F113" s="101">
        <f t="shared" si="19"/>
        <v>-320784.18693679979</v>
      </c>
      <c r="G113" s="101">
        <f t="shared" si="19"/>
        <v>-437887.68194969802</v>
      </c>
      <c r="H113" s="101">
        <f t="shared" si="19"/>
        <v>-428541.87597950257</v>
      </c>
      <c r="I113" s="101">
        <f t="shared" si="19"/>
        <v>-481196.64031618845</v>
      </c>
      <c r="J113" s="101">
        <f t="shared" si="19"/>
        <v>-383779.78524745081</v>
      </c>
      <c r="K113" s="101">
        <f t="shared" si="19"/>
        <v>-297821.87267470104</v>
      </c>
      <c r="L113" s="101">
        <f t="shared" si="19"/>
        <v>-456889.24530594458</v>
      </c>
      <c r="M113" s="101">
        <f t="shared" si="19"/>
        <v>-425952.80450687272</v>
      </c>
      <c r="N113" s="101">
        <f t="shared" si="19"/>
        <v>-700829.33136240835</v>
      </c>
      <c r="O113" s="101">
        <f t="shared" si="19"/>
        <v>-698723.30225453177</v>
      </c>
      <c r="P113" s="101"/>
      <c r="R113" s="100">
        <f>SUM(D113:O113)</f>
        <v>-5260556.0664799996</v>
      </c>
    </row>
    <row r="114" spans="2:18">
      <c r="B114" s="90" t="s">
        <v>1746</v>
      </c>
      <c r="C114" s="102">
        <f>SUM(C108:C112)</f>
        <v>-5482800.019899752</v>
      </c>
      <c r="D114" s="102">
        <f t="shared" ref="D114:O114" si="20">+D113+C114</f>
        <v>-5850150.6568868551</v>
      </c>
      <c r="E114" s="102">
        <f t="shared" si="20"/>
        <v>-6110949.3598456541</v>
      </c>
      <c r="F114" s="102">
        <f t="shared" si="20"/>
        <v>-6431733.5467824535</v>
      </c>
      <c r="G114" s="102">
        <f t="shared" si="20"/>
        <v>-6869621.2287321519</v>
      </c>
      <c r="H114" s="102">
        <f t="shared" si="20"/>
        <v>-7298163.1047116546</v>
      </c>
      <c r="I114" s="102">
        <f t="shared" si="20"/>
        <v>-7779359.7450278429</v>
      </c>
      <c r="J114" s="102">
        <f t="shared" si="20"/>
        <v>-8163139.5302752936</v>
      </c>
      <c r="K114" s="102">
        <f t="shared" si="20"/>
        <v>-8460961.4029499944</v>
      </c>
      <c r="L114" s="102">
        <f t="shared" si="20"/>
        <v>-8917850.6482559387</v>
      </c>
      <c r="M114" s="102">
        <f t="shared" si="20"/>
        <v>-9343803.4527628105</v>
      </c>
      <c r="N114" s="102">
        <f t="shared" si="20"/>
        <v>-10044632.784125218</v>
      </c>
      <c r="O114" s="102">
        <f t="shared" si="20"/>
        <v>-10743356.08637975</v>
      </c>
      <c r="P114" s="102">
        <f>SUM(P108:P112)</f>
        <v>-10743356.086379752</v>
      </c>
      <c r="Q114" s="100">
        <f>AVERAGE(C114:O114)</f>
        <v>-7807424.7358950283</v>
      </c>
    </row>
    <row r="116" spans="2:18">
      <c r="B116" s="98" t="s">
        <v>1747</v>
      </c>
    </row>
    <row r="117" spans="2:18">
      <c r="B117" s="90" t="s">
        <v>1737</v>
      </c>
      <c r="C117" s="99">
        <f>P76</f>
        <v>21556664.373506323</v>
      </c>
      <c r="D117" s="103">
        <f t="shared" ref="D117:O121" si="21">+D99+D108</f>
        <v>1027517.7972494341</v>
      </c>
      <c r="E117" s="103">
        <f t="shared" si="21"/>
        <v>464068.15157630725</v>
      </c>
      <c r="F117" s="103">
        <f t="shared" si="21"/>
        <v>1344296.9588800287</v>
      </c>
      <c r="G117" s="103">
        <f t="shared" si="21"/>
        <v>870495.35885184223</v>
      </c>
      <c r="H117" s="103">
        <f t="shared" si="21"/>
        <v>1367749.8208757378</v>
      </c>
      <c r="I117" s="103">
        <f t="shared" si="21"/>
        <v>1485817.2862302812</v>
      </c>
      <c r="J117" s="103">
        <f t="shared" si="21"/>
        <v>948436.85599144583</v>
      </c>
      <c r="K117" s="103">
        <f t="shared" si="21"/>
        <v>909506.9765615674</v>
      </c>
      <c r="L117" s="103">
        <f t="shared" si="21"/>
        <v>2200050.227789266</v>
      </c>
      <c r="M117" s="103">
        <f t="shared" si="21"/>
        <v>2397874.7918087821</v>
      </c>
      <c r="N117" s="103">
        <f t="shared" si="21"/>
        <v>2092731.9360523468</v>
      </c>
      <c r="O117" s="103">
        <f t="shared" si="21"/>
        <v>3338021.8694409602</v>
      </c>
      <c r="P117" s="100">
        <f>SUM(C117:O117)</f>
        <v>40003232.404814318</v>
      </c>
    </row>
    <row r="118" spans="2:18">
      <c r="B118" s="90" t="s">
        <v>1738</v>
      </c>
      <c r="C118" s="99">
        <f>P77</f>
        <v>990192.63011021935</v>
      </c>
      <c r="D118" s="103">
        <f t="shared" si="21"/>
        <v>-72607.930613499368</v>
      </c>
      <c r="E118" s="103">
        <f t="shared" si="21"/>
        <v>59662.233266044837</v>
      </c>
      <c r="F118" s="103">
        <f t="shared" si="21"/>
        <v>71549.714601907239</v>
      </c>
      <c r="G118" s="103">
        <f t="shared" si="21"/>
        <v>79980.553389742301</v>
      </c>
      <c r="H118" s="103">
        <f t="shared" si="21"/>
        <v>345665.79222862277</v>
      </c>
      <c r="I118" s="103">
        <f t="shared" si="21"/>
        <v>14336.931971146256</v>
      </c>
      <c r="J118" s="103">
        <f t="shared" si="21"/>
        <v>260486.89717610815</v>
      </c>
      <c r="K118" s="103">
        <f t="shared" si="21"/>
        <v>-2059.2645324644909</v>
      </c>
      <c r="L118" s="103">
        <f t="shared" si="21"/>
        <v>53221.420126610166</v>
      </c>
      <c r="M118" s="103">
        <f t="shared" si="21"/>
        <v>4539.4437186317718</v>
      </c>
      <c r="N118" s="103">
        <f t="shared" si="21"/>
        <v>-107086.39051205805</v>
      </c>
      <c r="O118" s="103">
        <f t="shared" si="21"/>
        <v>74190.341529208061</v>
      </c>
      <c r="P118" s="100">
        <f>SUM(C118:O118)</f>
        <v>1772072.3724602188</v>
      </c>
    </row>
    <row r="119" spans="2:18">
      <c r="B119" s="90" t="s">
        <v>1739</v>
      </c>
      <c r="C119" s="99">
        <f>P78</f>
        <v>11870768.973634208</v>
      </c>
      <c r="D119" s="103">
        <f t="shared" si="21"/>
        <v>546602.28943967132</v>
      </c>
      <c r="E119" s="103">
        <f t="shared" si="21"/>
        <v>647713.39868501434</v>
      </c>
      <c r="F119" s="103">
        <f t="shared" si="21"/>
        <v>988158.30334882077</v>
      </c>
      <c r="G119" s="103">
        <f t="shared" si="21"/>
        <v>965442.383626241</v>
      </c>
      <c r="H119" s="103">
        <f t="shared" si="21"/>
        <v>1010535.9290100988</v>
      </c>
      <c r="I119" s="103">
        <f t="shared" si="21"/>
        <v>803698.34406680765</v>
      </c>
      <c r="J119" s="103">
        <f t="shared" si="21"/>
        <v>741007.77419862058</v>
      </c>
      <c r="K119" s="103">
        <f t="shared" si="21"/>
        <v>1179206.7688328619</v>
      </c>
      <c r="L119" s="103">
        <f t="shared" si="21"/>
        <v>881398.09011710086</v>
      </c>
      <c r="M119" s="103">
        <f t="shared" si="21"/>
        <v>1008710.6033938179</v>
      </c>
      <c r="N119" s="103">
        <f t="shared" si="21"/>
        <v>471472.69405261939</v>
      </c>
      <c r="O119" s="103">
        <f t="shared" si="21"/>
        <v>315358.2986283272</v>
      </c>
      <c r="P119" s="100">
        <f>SUM(C119:O119)</f>
        <v>21430073.851034209</v>
      </c>
    </row>
    <row r="120" spans="2:18">
      <c r="B120" s="90" t="s">
        <v>1740</v>
      </c>
      <c r="C120" s="99">
        <f>P79</f>
        <v>191153.98452697511</v>
      </c>
      <c r="D120" s="103">
        <f t="shared" si="21"/>
        <v>7161.2036656218352</v>
      </c>
      <c r="E120" s="103">
        <f t="shared" si="21"/>
        <v>6751.5414256460581</v>
      </c>
      <c r="F120" s="103">
        <f t="shared" si="21"/>
        <v>5825.5384571051591</v>
      </c>
      <c r="G120" s="103">
        <f t="shared" si="21"/>
        <v>4094.4451687691735</v>
      </c>
      <c r="H120" s="103">
        <f t="shared" si="21"/>
        <v>4180.8141327704325</v>
      </c>
      <c r="I120" s="103">
        <f t="shared" si="21"/>
        <v>5766.6706422092866</v>
      </c>
      <c r="J120" s="103">
        <f t="shared" si="21"/>
        <v>8061.7272418241519</v>
      </c>
      <c r="K120" s="103">
        <f t="shared" si="21"/>
        <v>13449.424485190424</v>
      </c>
      <c r="L120" s="103">
        <f t="shared" si="21"/>
        <v>29010.709089770484</v>
      </c>
      <c r="M120" s="103">
        <f t="shared" si="21"/>
        <v>34268.810820518986</v>
      </c>
      <c r="N120" s="103">
        <f t="shared" si="21"/>
        <v>19790.816025920205</v>
      </c>
      <c r="O120" s="103">
        <f t="shared" si="21"/>
        <v>30651.751404653838</v>
      </c>
      <c r="P120" s="100">
        <f>SUM(C120:O120)</f>
        <v>360167.43708697514</v>
      </c>
    </row>
    <row r="121" spans="2:18">
      <c r="B121" s="90" t="s">
        <v>1741</v>
      </c>
      <c r="C121" s="99">
        <f>P80</f>
        <v>151583.98528017395</v>
      </c>
      <c r="D121" s="103">
        <f t="shared" si="21"/>
        <v>18080.471721699847</v>
      </c>
      <c r="E121" s="103">
        <f t="shared" si="21"/>
        <v>13627.545759831657</v>
      </c>
      <c r="F121" s="103">
        <f t="shared" si="21"/>
        <v>9950.0090833237246</v>
      </c>
      <c r="G121" s="103">
        <f t="shared" si="21"/>
        <v>7986.7377485184634</v>
      </c>
      <c r="H121" s="103">
        <f t="shared" si="21"/>
        <v>4420.5352832440931</v>
      </c>
      <c r="I121" s="103">
        <f t="shared" si="21"/>
        <v>7495.0070399152464</v>
      </c>
      <c r="J121" s="103">
        <f t="shared" si="21"/>
        <v>4285.8737172439669</v>
      </c>
      <c r="K121" s="103">
        <f t="shared" si="21"/>
        <v>6434.6049873813599</v>
      </c>
      <c r="L121" s="103">
        <f t="shared" si="21"/>
        <v>15634.456633731479</v>
      </c>
      <c r="M121" s="103">
        <f t="shared" si="21"/>
        <v>13794.76251200755</v>
      </c>
      <c r="N121" s="103">
        <f t="shared" si="21"/>
        <v>13006.059184855936</v>
      </c>
      <c r="O121" s="103">
        <f t="shared" si="21"/>
        <v>14605.016230246674</v>
      </c>
      <c r="P121" s="100">
        <f>SUM(C121:O121)</f>
        <v>280905.06518217397</v>
      </c>
    </row>
    <row r="122" spans="2:18">
      <c r="B122" s="90" t="s">
        <v>1748</v>
      </c>
      <c r="C122" s="101"/>
      <c r="D122" s="101">
        <f t="shared" ref="D122:O122" si="22">SUM(D117:D121)</f>
        <v>1526753.8314629279</v>
      </c>
      <c r="E122" s="101">
        <f t="shared" si="22"/>
        <v>1191822.870712844</v>
      </c>
      <c r="F122" s="101">
        <f t="shared" si="22"/>
        <v>2419780.5243711853</v>
      </c>
      <c r="G122" s="101">
        <f t="shared" si="22"/>
        <v>1927999.478785113</v>
      </c>
      <c r="H122" s="101">
        <f t="shared" si="22"/>
        <v>2732552.8915304742</v>
      </c>
      <c r="I122" s="101">
        <f t="shared" si="22"/>
        <v>2317114.2399503598</v>
      </c>
      <c r="J122" s="101">
        <f t="shared" si="22"/>
        <v>1962279.1283252428</v>
      </c>
      <c r="K122" s="101">
        <f t="shared" si="22"/>
        <v>2106538.5103345369</v>
      </c>
      <c r="L122" s="101">
        <f t="shared" si="22"/>
        <v>3179314.9037564788</v>
      </c>
      <c r="M122" s="101">
        <f t="shared" si="22"/>
        <v>3459188.4122537584</v>
      </c>
      <c r="N122" s="101">
        <f t="shared" si="22"/>
        <v>2489915.1148036839</v>
      </c>
      <c r="O122" s="101">
        <f t="shared" si="22"/>
        <v>3772827.2772333957</v>
      </c>
      <c r="P122" s="101"/>
      <c r="R122" s="100">
        <f>SUM(D122:O122)</f>
        <v>29086087.183520004</v>
      </c>
    </row>
    <row r="123" spans="2:18">
      <c r="B123" s="90" t="s">
        <v>1749</v>
      </c>
      <c r="C123" s="102">
        <f>SUM(C117:C121)</f>
        <v>34760363.947057895</v>
      </c>
      <c r="D123" s="102">
        <f t="shared" ref="D123:O123" si="23">+D122+C123</f>
        <v>36287117.778520823</v>
      </c>
      <c r="E123" s="102">
        <f t="shared" si="23"/>
        <v>37478940.649233669</v>
      </c>
      <c r="F123" s="102">
        <f t="shared" si="23"/>
        <v>39898721.173604853</v>
      </c>
      <c r="G123" s="102">
        <f t="shared" si="23"/>
        <v>41826720.652389966</v>
      </c>
      <c r="H123" s="102">
        <f t="shared" si="23"/>
        <v>44559273.543920442</v>
      </c>
      <c r="I123" s="102">
        <f t="shared" si="23"/>
        <v>46876387.783870801</v>
      </c>
      <c r="J123" s="102">
        <f t="shared" si="23"/>
        <v>48838666.912196048</v>
      </c>
      <c r="K123" s="102">
        <f t="shared" si="23"/>
        <v>50945205.422530584</v>
      </c>
      <c r="L123" s="102">
        <f t="shared" si="23"/>
        <v>54124520.326287061</v>
      </c>
      <c r="M123" s="102">
        <f t="shared" si="23"/>
        <v>57583708.738540821</v>
      </c>
      <c r="N123" s="102">
        <f t="shared" si="23"/>
        <v>60073623.853344508</v>
      </c>
      <c r="O123" s="102">
        <f t="shared" si="23"/>
        <v>63846451.130577907</v>
      </c>
      <c r="P123" s="102">
        <f>SUM(P117:P121)</f>
        <v>63846451.130577892</v>
      </c>
      <c r="Q123" s="100">
        <f>AVERAGE(C123:O123)</f>
        <v>47469207.839390412</v>
      </c>
    </row>
  </sheetData>
  <mergeCells count="10">
    <mergeCell ref="A49:Q49"/>
    <mergeCell ref="A90:Q90"/>
    <mergeCell ref="A91:Q91"/>
    <mergeCell ref="A92:Q92"/>
    <mergeCell ref="A4:Q4"/>
    <mergeCell ref="A5:Q5"/>
    <mergeCell ref="A6:Q6"/>
    <mergeCell ref="D9:K9"/>
    <mergeCell ref="A47:Q47"/>
    <mergeCell ref="A48:Q48"/>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40"/>
  <sheetViews>
    <sheetView topLeftCell="A77" zoomScaleNormal="100" zoomScaleSheetLayoutView="100" workbookViewId="0">
      <selection activeCell="E120" sqref="E120"/>
    </sheetView>
  </sheetViews>
  <sheetFormatPr defaultColWidth="8.33203125" defaultRowHeight="12.75"/>
  <cols>
    <col min="1" max="1" width="5.1640625" style="334" customWidth="1"/>
    <col min="2" max="2" width="12.1640625" style="386" customWidth="1"/>
    <col min="3" max="3" width="54.5" style="386" customWidth="1"/>
    <col min="4" max="4" width="17.5" style="386" bestFit="1" customWidth="1"/>
    <col min="5" max="5" width="16.1640625" style="386" bestFit="1" customWidth="1"/>
    <col min="6" max="6" width="17.5" style="386" bestFit="1" customWidth="1"/>
    <col min="7" max="7" width="14.6640625" style="386" bestFit="1" customWidth="1"/>
    <col min="8" max="8" width="21.6640625" style="386" customWidth="1"/>
    <col min="9" max="9" width="19" style="386" bestFit="1" customWidth="1"/>
    <col min="10" max="10" width="16.1640625" style="227" customWidth="1"/>
    <col min="11" max="11" width="15.1640625" style="227" bestFit="1" customWidth="1"/>
    <col min="12" max="12" width="3.5" style="227" customWidth="1"/>
    <col min="13" max="16384" width="8.33203125" style="386"/>
  </cols>
  <sheetData>
    <row r="1" spans="1:11">
      <c r="A1" s="1313" t="str">
        <f>'General Headers Index'!B4</f>
        <v>COLUMBIA GAS OF KENTUCKY, INC.</v>
      </c>
      <c r="B1" s="1313"/>
      <c r="C1" s="1313"/>
      <c r="D1" s="1313"/>
      <c r="E1" s="1313"/>
      <c r="F1" s="1313"/>
      <c r="G1" s="1313"/>
      <c r="H1" s="1313"/>
      <c r="I1" s="1313"/>
    </row>
    <row r="2" spans="1:11">
      <c r="A2" s="1313" t="str">
        <f>'General Headers Index'!B6</f>
        <v>CASE NO. 2024 - 00092</v>
      </c>
      <c r="B2" s="1313"/>
      <c r="C2" s="1313"/>
      <c r="D2" s="1313"/>
      <c r="E2" s="1313"/>
      <c r="F2" s="1313"/>
      <c r="G2" s="1313"/>
      <c r="H2" s="1313"/>
      <c r="I2" s="1313"/>
    </row>
    <row r="3" spans="1:11">
      <c r="A3" s="1313" t="s">
        <v>435</v>
      </c>
      <c r="B3" s="1313"/>
      <c r="C3" s="1313"/>
      <c r="D3" s="1313"/>
      <c r="E3" s="1313"/>
      <c r="F3" s="1313"/>
      <c r="G3" s="1313"/>
      <c r="H3" s="1313"/>
      <c r="I3" s="1313"/>
    </row>
    <row r="4" spans="1:11">
      <c r="A4" s="1313" t="str">
        <f>'General Headers Index'!B19</f>
        <v>JANUARY 2025 TO DECEMBER 2025</v>
      </c>
      <c r="B4" s="1313"/>
      <c r="C4" s="1313"/>
      <c r="D4" s="1313"/>
      <c r="E4" s="1313"/>
      <c r="F4" s="1313"/>
      <c r="G4" s="1313"/>
      <c r="H4" s="1313"/>
      <c r="I4" s="1313"/>
    </row>
    <row r="6" spans="1:11">
      <c r="A6" s="229" t="s">
        <v>2788</v>
      </c>
      <c r="I6" s="388" t="s">
        <v>436</v>
      </c>
    </row>
    <row r="7" spans="1:11">
      <c r="A7" s="229" t="str">
        <f>'General Headers Index'!B37</f>
        <v>TYPE OF FILING:___X___ORIGINAL______UPDATED</v>
      </c>
      <c r="I7" s="388" t="s">
        <v>251</v>
      </c>
    </row>
    <row r="8" spans="1:11">
      <c r="A8" s="403" t="s">
        <v>2469</v>
      </c>
      <c r="I8" s="326" t="str">
        <f>"WITNESS: "&amp;'General Headers Index'!B42</f>
        <v>WITNESS: GORE</v>
      </c>
      <c r="J8" s="957"/>
      <c r="K8" s="957"/>
    </row>
    <row r="9" spans="1:11">
      <c r="A9" s="403"/>
      <c r="H9" s="388"/>
      <c r="J9" s="957"/>
      <c r="K9" s="957"/>
    </row>
    <row r="10" spans="1:11">
      <c r="A10" s="404"/>
      <c r="B10" s="405"/>
      <c r="C10" s="405"/>
      <c r="D10" s="404" t="s">
        <v>688</v>
      </c>
      <c r="E10" s="405"/>
      <c r="F10" s="405"/>
      <c r="G10" s="406"/>
      <c r="H10" s="404" t="s">
        <v>688</v>
      </c>
      <c r="I10" s="404"/>
      <c r="K10" s="957"/>
    </row>
    <row r="11" spans="1:11">
      <c r="A11" s="334" t="s">
        <v>313</v>
      </c>
      <c r="B11" s="334" t="s">
        <v>368</v>
      </c>
      <c r="C11" s="334"/>
      <c r="D11" s="334" t="s">
        <v>437</v>
      </c>
      <c r="H11" s="334" t="s">
        <v>439</v>
      </c>
      <c r="I11" s="415" t="s">
        <v>352</v>
      </c>
      <c r="K11" s="957"/>
    </row>
    <row r="12" spans="1:11">
      <c r="A12" s="958" t="s">
        <v>316</v>
      </c>
      <c r="B12" s="958" t="s">
        <v>316</v>
      </c>
      <c r="C12" s="958" t="s">
        <v>440</v>
      </c>
      <c r="D12" s="958" t="s">
        <v>441</v>
      </c>
      <c r="E12" s="958" t="s">
        <v>442</v>
      </c>
      <c r="F12" s="958" t="s">
        <v>443</v>
      </c>
      <c r="G12" s="958" t="s">
        <v>676</v>
      </c>
      <c r="H12" s="958" t="s">
        <v>441</v>
      </c>
      <c r="I12" s="958" t="s">
        <v>312</v>
      </c>
      <c r="K12" s="957"/>
    </row>
    <row r="13" spans="1:11">
      <c r="B13" s="334"/>
      <c r="C13" s="387"/>
      <c r="D13" s="300" t="s">
        <v>532</v>
      </c>
      <c r="E13" s="300" t="s">
        <v>541</v>
      </c>
      <c r="F13" s="300" t="s">
        <v>542</v>
      </c>
      <c r="G13" s="300" t="s">
        <v>668</v>
      </c>
      <c r="H13" s="300" t="s">
        <v>2635</v>
      </c>
      <c r="I13" s="300" t="s">
        <v>670</v>
      </c>
      <c r="K13" s="957"/>
    </row>
    <row r="14" spans="1:11">
      <c r="D14" s="334" t="s">
        <v>320</v>
      </c>
      <c r="E14" s="334" t="s">
        <v>320</v>
      </c>
      <c r="F14" s="334" t="s">
        <v>320</v>
      </c>
      <c r="G14" s="334" t="s">
        <v>320</v>
      </c>
      <c r="H14" s="334" t="s">
        <v>320</v>
      </c>
      <c r="I14" s="334" t="s">
        <v>320</v>
      </c>
      <c r="K14" s="957"/>
    </row>
    <row r="15" spans="1:11">
      <c r="D15" s="334"/>
      <c r="E15" s="334"/>
      <c r="F15" s="334"/>
      <c r="G15" s="334"/>
      <c r="H15" s="334"/>
      <c r="I15" s="334"/>
      <c r="K15" s="957"/>
    </row>
    <row r="16" spans="1:11">
      <c r="A16" s="334">
        <v>1</v>
      </c>
      <c r="B16" s="407" t="s">
        <v>595</v>
      </c>
      <c r="C16" s="408"/>
      <c r="J16" s="1314"/>
      <c r="K16" s="1314"/>
    </row>
    <row r="17" spans="1:12">
      <c r="A17" s="334">
        <f>A16+1</f>
        <v>2</v>
      </c>
      <c r="C17" s="407" t="s">
        <v>373</v>
      </c>
    </row>
    <row r="18" spans="1:12">
      <c r="A18" s="334">
        <f t="shared" ref="A18:A24" si="0">A17+1</f>
        <v>3</v>
      </c>
      <c r="B18" s="294">
        <v>301</v>
      </c>
      <c r="C18" s="304" t="s">
        <v>596</v>
      </c>
      <c r="D18" s="372">
        <f>'WPB-2.1.C Plant Detail'!D2754</f>
        <v>521.20000000000005</v>
      </c>
      <c r="E18" s="372">
        <f>'WPB-2.1.C Plant Detail'!E2754+'WPB-2.1.C Plant Detail'!E2868+'WPB-2.1.C Plant Detail'!E2982+'WPB-2.1.C Plant Detail'!E3096+'WPB-2.1.C Plant Detail'!E3210+'WPB-2.1.C Plant Detail'!E3324+'WPB-2.1.C Plant Detail'!E3438+'WPB-2.1.C Plant Detail'!E3552+'WPB-2.1.C Plant Detail'!E3666+'WPB-2.1.C Plant Detail'!E3780+'WPB-2.1.C Plant Detail'!E3894+'WPB-2.1.C Plant Detail'!E4008</f>
        <v>0</v>
      </c>
      <c r="F18" s="372">
        <f>'WPB-2.1.C Plant Detail'!F2754+'WPB-2.1.C Plant Detail'!F2868+'WPB-2.1.C Plant Detail'!F2982+'WPB-2.1.C Plant Detail'!F3096+'WPB-2.1.C Plant Detail'!F3210+'WPB-2.1.C Plant Detail'!F3324+'WPB-2.1.C Plant Detail'!F3438+'WPB-2.1.C Plant Detail'!F3552+'WPB-2.1.C Plant Detail'!F3666+'WPB-2.1.C Plant Detail'!F3780+'WPB-2.1.C Plant Detail'!F3894+'WPB-2.1.C Plant Detail'!F4008</f>
        <v>0</v>
      </c>
      <c r="G18" s="372">
        <v>0</v>
      </c>
      <c r="H18" s="372">
        <f t="shared" ref="H18:H23" si="1">SUM(D18:G18)</f>
        <v>521.20000000000005</v>
      </c>
      <c r="I18" s="372">
        <f>'WPB-2.1.A 13 mo avg Forecast '!Q16</f>
        <v>521.19999999999993</v>
      </c>
      <c r="J18" s="416"/>
      <c r="K18" s="416"/>
    </row>
    <row r="19" spans="1:12">
      <c r="A19" s="334">
        <f t="shared" si="0"/>
        <v>4</v>
      </c>
      <c r="B19" s="294">
        <v>303</v>
      </c>
      <c r="C19" s="304" t="s">
        <v>597</v>
      </c>
      <c r="D19" s="372">
        <f>'WPB-2.1.C Plant Detail'!D2755</f>
        <v>96334.51</v>
      </c>
      <c r="E19" s="372">
        <f>'WPB-2.1.C Plant Detail'!E2755+'WPB-2.1.C Plant Detail'!E2869+'WPB-2.1.C Plant Detail'!E2983+'WPB-2.1.C Plant Detail'!E3097+'WPB-2.1.C Plant Detail'!E3211+'WPB-2.1.C Plant Detail'!E3325+'WPB-2.1.C Plant Detail'!E3439+'WPB-2.1.C Plant Detail'!E3553+'WPB-2.1.C Plant Detail'!E3667+'WPB-2.1.C Plant Detail'!E3781+'WPB-2.1.C Plant Detail'!E3895+'WPB-2.1.C Plant Detail'!E4009</f>
        <v>0</v>
      </c>
      <c r="F19" s="372">
        <f>'WPB-2.1.C Plant Detail'!F2755+'WPB-2.1.C Plant Detail'!F2869+'WPB-2.1.C Plant Detail'!F2983+'WPB-2.1.C Plant Detail'!F3097+'WPB-2.1.C Plant Detail'!F3211+'WPB-2.1.C Plant Detail'!F3325+'WPB-2.1.C Plant Detail'!F3439+'WPB-2.1.C Plant Detail'!F3553+'WPB-2.1.C Plant Detail'!F3667+'WPB-2.1.C Plant Detail'!F3781+'WPB-2.1.C Plant Detail'!F3895+'WPB-2.1.C Plant Detail'!F4009</f>
        <v>-15187.61</v>
      </c>
      <c r="G19" s="372">
        <v>0</v>
      </c>
      <c r="H19" s="372">
        <f t="shared" si="1"/>
        <v>81146.899999999994</v>
      </c>
      <c r="I19" s="372">
        <f>'WPB-2.1.A 13 mo avg Forecast '!Q17</f>
        <v>88156.566153846143</v>
      </c>
      <c r="J19" s="416"/>
      <c r="K19" s="416"/>
      <c r="L19" s="416"/>
    </row>
    <row r="20" spans="1:12">
      <c r="A20" s="334">
        <f t="shared" si="0"/>
        <v>5</v>
      </c>
      <c r="B20" s="294">
        <v>303.10000000000002</v>
      </c>
      <c r="C20" s="304" t="s">
        <v>598</v>
      </c>
      <c r="D20" s="372">
        <f>'WPB-2.1.C Plant Detail'!D2756</f>
        <v>943.27</v>
      </c>
      <c r="E20" s="372">
        <f>'WPB-2.1.C Plant Detail'!E2756+'WPB-2.1.C Plant Detail'!E2870+'WPB-2.1.C Plant Detail'!E2984+'WPB-2.1.C Plant Detail'!E3098+'WPB-2.1.C Plant Detail'!E3212+'WPB-2.1.C Plant Detail'!E3326+'WPB-2.1.C Plant Detail'!E3440+'WPB-2.1.C Plant Detail'!E3554+'WPB-2.1.C Plant Detail'!E3668+'WPB-2.1.C Plant Detail'!E3782+'WPB-2.1.C Plant Detail'!E3896+'WPB-2.1.C Plant Detail'!E4010</f>
        <v>0</v>
      </c>
      <c r="F20" s="372">
        <f>'WPB-2.1.C Plant Detail'!F2756+'WPB-2.1.C Plant Detail'!F2870+'WPB-2.1.C Plant Detail'!F2984+'WPB-2.1.C Plant Detail'!F3098+'WPB-2.1.C Plant Detail'!F3212+'WPB-2.1.C Plant Detail'!F3326+'WPB-2.1.C Plant Detail'!F3440+'WPB-2.1.C Plant Detail'!F3554+'WPB-2.1.C Plant Detail'!F3668+'WPB-2.1.C Plant Detail'!F3782+'WPB-2.1.C Plant Detail'!F3896+'WPB-2.1.C Plant Detail'!F4010</f>
        <v>0</v>
      </c>
      <c r="G20" s="372">
        <v>0</v>
      </c>
      <c r="H20" s="372">
        <f t="shared" si="1"/>
        <v>943.27</v>
      </c>
      <c r="I20" s="372">
        <f>'WPB-2.1.A 13 mo avg Forecast '!Q18</f>
        <v>943.27000000000032</v>
      </c>
      <c r="J20" s="416"/>
      <c r="K20" s="416"/>
      <c r="L20" s="416"/>
    </row>
    <row r="21" spans="1:12">
      <c r="A21" s="334">
        <f t="shared" si="0"/>
        <v>6</v>
      </c>
      <c r="B21" s="294">
        <v>303.2</v>
      </c>
      <c r="C21" s="304" t="s">
        <v>599</v>
      </c>
      <c r="D21" s="372">
        <f>'WPB-2.1.C Plant Detail'!D2757</f>
        <v>0</v>
      </c>
      <c r="E21" s="372">
        <f>'WPB-2.1.C Plant Detail'!E2757+'WPB-2.1.C Plant Detail'!E2871+'WPB-2.1.C Plant Detail'!E2985+'WPB-2.1.C Plant Detail'!E3099+'WPB-2.1.C Plant Detail'!E3213+'WPB-2.1.C Plant Detail'!E3327+'WPB-2.1.C Plant Detail'!E3441+'WPB-2.1.C Plant Detail'!E3555+'WPB-2.1.C Plant Detail'!E3669+'WPB-2.1.C Plant Detail'!E3783+'WPB-2.1.C Plant Detail'!E3897+'WPB-2.1.C Plant Detail'!E4011</f>
        <v>0</v>
      </c>
      <c r="F21" s="372">
        <f>'WPB-2.1.C Plant Detail'!F2757+'WPB-2.1.C Plant Detail'!F2871+'WPB-2.1.C Plant Detail'!F2985+'WPB-2.1.C Plant Detail'!F3099+'WPB-2.1.C Plant Detail'!F3213+'WPB-2.1.C Plant Detail'!F3327+'WPB-2.1.C Plant Detail'!F3441+'WPB-2.1.C Plant Detail'!F3555+'WPB-2.1.C Plant Detail'!F3669+'WPB-2.1.C Plant Detail'!F3783+'WPB-2.1.C Plant Detail'!F3897+'WPB-2.1.C Plant Detail'!F4011</f>
        <v>0</v>
      </c>
      <c r="G21" s="372">
        <v>0</v>
      </c>
      <c r="H21" s="372">
        <f t="shared" si="1"/>
        <v>0</v>
      </c>
      <c r="I21" s="372">
        <f>'WPB-2.1.A 13 mo avg Forecast '!Q19</f>
        <v>0</v>
      </c>
      <c r="J21" s="416"/>
      <c r="K21" s="416"/>
      <c r="L21" s="416"/>
    </row>
    <row r="22" spans="1:12">
      <c r="A22" s="334">
        <f t="shared" si="0"/>
        <v>7</v>
      </c>
      <c r="B22" s="294">
        <v>303.3</v>
      </c>
      <c r="C22" s="304" t="s">
        <v>600</v>
      </c>
      <c r="D22" s="372">
        <f>'WPB-2.1.C Plant Detail'!D2758</f>
        <v>13698798.010000004</v>
      </c>
      <c r="E22" s="372">
        <f>'WPB-2.1.C Plant Detail'!E2758+'WPB-2.1.C Plant Detail'!E2872+'WPB-2.1.C Plant Detail'!E2986+'WPB-2.1.C Plant Detail'!E3100+'WPB-2.1.C Plant Detail'!E3214+'WPB-2.1.C Plant Detail'!E3328+'WPB-2.1.C Plant Detail'!E3442+'WPB-2.1.C Plant Detail'!E3556+'WPB-2.1.C Plant Detail'!E3670+'WPB-2.1.C Plant Detail'!E3784+'WPB-2.1.C Plant Detail'!E3898+'WPB-2.1.C Plant Detail'!E4012</f>
        <v>5502385.2546490096</v>
      </c>
      <c r="F22" s="372">
        <f>'WPB-2.1.C Plant Detail'!F2758+'WPB-2.1.C Plant Detail'!F2872+'WPB-2.1.C Plant Detail'!F2986+'WPB-2.1.C Plant Detail'!F3100+'WPB-2.1.C Plant Detail'!F3214+'WPB-2.1.C Plant Detail'!F3328+'WPB-2.1.C Plant Detail'!F3442+'WPB-2.1.C Plant Detail'!F3556+'WPB-2.1.C Plant Detail'!F3670+'WPB-2.1.C Plant Detail'!F3784+'WPB-2.1.C Plant Detail'!F3898+'WPB-2.1.C Plant Detail'!F4012</f>
        <v>-1168982</v>
      </c>
      <c r="G22" s="372">
        <v>0</v>
      </c>
      <c r="H22" s="372">
        <f t="shared" si="1"/>
        <v>18032201.264649011</v>
      </c>
      <c r="I22" s="372">
        <f>'WPB-2.1.A 13 mo avg Forecast '!Q20</f>
        <v>16135215.843362007</v>
      </c>
      <c r="J22" s="416"/>
      <c r="K22" s="416"/>
      <c r="L22" s="416"/>
    </row>
    <row r="23" spans="1:12">
      <c r="A23" s="334">
        <f t="shared" si="0"/>
        <v>8</v>
      </c>
      <c r="B23" s="294">
        <v>303.99</v>
      </c>
      <c r="C23" s="304" t="s">
        <v>1135</v>
      </c>
      <c r="D23" s="922">
        <f>'WPB-2.1.C Plant Detail'!D2759</f>
        <v>2026149.7725501894</v>
      </c>
      <c r="E23" s="922">
        <f>'WPB-2.1.C Plant Detail'!E2759+'WPB-2.1.C Plant Detail'!E2873+'WPB-2.1.C Plant Detail'!E2987+'WPB-2.1.C Plant Detail'!E3101+'WPB-2.1.C Plant Detail'!E3215+'WPB-2.1.C Plant Detail'!E3329+'WPB-2.1.C Plant Detail'!E3443+'WPB-2.1.C Plant Detail'!E3557+'WPB-2.1.C Plant Detail'!E3671+'WPB-2.1.C Plant Detail'!E3785+'WPB-2.1.C Plant Detail'!E3899+'WPB-2.1.C Plant Detail'!E4013</f>
        <v>2724597.6169277634</v>
      </c>
      <c r="F23" s="922">
        <f>'WPB-2.1.C Plant Detail'!F2759+'WPB-2.1.C Plant Detail'!F2873+'WPB-2.1.C Plant Detail'!F2987+'WPB-2.1.C Plant Detail'!F3101+'WPB-2.1.C Plant Detail'!F3215+'WPB-2.1.C Plant Detail'!F3329+'WPB-2.1.C Plant Detail'!F3443+'WPB-2.1.C Plant Detail'!F3557+'WPB-2.1.C Plant Detail'!F3671+'WPB-2.1.C Plant Detail'!F3785+'WPB-2.1.C Plant Detail'!F3899+'WPB-2.1.C Plant Detail'!F4013</f>
        <v>-147705.68999999997</v>
      </c>
      <c r="G23" s="959">
        <v>0</v>
      </c>
      <c r="H23" s="959">
        <f t="shared" si="1"/>
        <v>4603041.6994779529</v>
      </c>
      <c r="I23" s="922">
        <f>'WPB-2.1.A 13 mo avg Forecast '!Q21</f>
        <v>3687044.9116451209</v>
      </c>
      <c r="J23" s="416"/>
      <c r="K23" s="416"/>
      <c r="L23" s="416"/>
    </row>
    <row r="24" spans="1:12">
      <c r="A24" s="334">
        <f t="shared" si="0"/>
        <v>9</v>
      </c>
      <c r="B24" s="294"/>
      <c r="C24" s="304" t="s">
        <v>601</v>
      </c>
      <c r="D24" s="372">
        <f t="shared" ref="D24:I24" si="2">SUM(D18:D23)</f>
        <v>15822746.762550194</v>
      </c>
      <c r="E24" s="372">
        <f t="shared" si="2"/>
        <v>8226982.871576773</v>
      </c>
      <c r="F24" s="372">
        <f t="shared" si="2"/>
        <v>-1331875.3</v>
      </c>
      <c r="G24" s="372">
        <f t="shared" si="2"/>
        <v>0</v>
      </c>
      <c r="H24" s="372">
        <f t="shared" si="2"/>
        <v>22717854.334126964</v>
      </c>
      <c r="I24" s="372">
        <f t="shared" si="2"/>
        <v>19911881.791160975</v>
      </c>
      <c r="J24" s="416"/>
    </row>
    <row r="25" spans="1:12">
      <c r="D25" s="372"/>
      <c r="E25" s="372"/>
      <c r="F25" s="372"/>
      <c r="G25" s="372"/>
      <c r="H25" s="372"/>
      <c r="I25" s="372"/>
      <c r="J25" s="416"/>
    </row>
    <row r="26" spans="1:12">
      <c r="A26" s="334">
        <f>A24+1</f>
        <v>10</v>
      </c>
      <c r="C26" s="301" t="s">
        <v>1600</v>
      </c>
      <c r="D26" s="372"/>
      <c r="E26" s="372"/>
      <c r="F26" s="372"/>
      <c r="G26" s="372"/>
      <c r="H26" s="372"/>
      <c r="I26" s="372"/>
      <c r="J26" s="416"/>
    </row>
    <row r="27" spans="1:12">
      <c r="A27" s="334">
        <f>A26+1</f>
        <v>11</v>
      </c>
      <c r="B27" s="294">
        <v>374.1</v>
      </c>
      <c r="C27" s="304" t="s">
        <v>602</v>
      </c>
      <c r="D27" s="372">
        <f>'WPB-2.1.C Plant Detail'!D2763</f>
        <v>205.4</v>
      </c>
      <c r="E27" s="372">
        <f>'WPB-2.1.C Plant Detail'!E2763+'WPB-2.1.C Plant Detail'!E2877+'WPB-2.1.C Plant Detail'!E2991+'WPB-2.1.C Plant Detail'!E3105+'WPB-2.1.C Plant Detail'!E3219+'WPB-2.1.C Plant Detail'!E3333+'WPB-2.1.C Plant Detail'!E3447+'WPB-2.1.C Plant Detail'!E3561+'WPB-2.1.C Plant Detail'!E3675+'WPB-2.1.C Plant Detail'!E3789+'WPB-2.1.C Plant Detail'!E3903+'WPB-2.1.C Plant Detail'!E4017</f>
        <v>0</v>
      </c>
      <c r="F27" s="372">
        <f>'WPB-2.1.C Plant Detail'!F2763+'WPB-2.1.C Plant Detail'!F2877+'WPB-2.1.C Plant Detail'!F2991+'WPB-2.1.C Plant Detail'!F3105+'WPB-2.1.C Plant Detail'!F3219+'WPB-2.1.C Plant Detail'!F3333+'WPB-2.1.C Plant Detail'!F3447+'WPB-2.1.C Plant Detail'!F3561+'WPB-2.1.C Plant Detail'!F3675+'WPB-2.1.C Plant Detail'!F3789+'WPB-2.1.C Plant Detail'!F3903+'WPB-2.1.C Plant Detail'!F4017</f>
        <v>0</v>
      </c>
      <c r="G27" s="372">
        <v>0</v>
      </c>
      <c r="H27" s="372">
        <f t="shared" ref="H27:H43" si="3">SUM(D27:G27)</f>
        <v>205.4</v>
      </c>
      <c r="I27" s="372">
        <f>'WPB-2.1.A 13 mo avg Forecast '!Q25</f>
        <v>205.40000000000006</v>
      </c>
      <c r="J27" s="416"/>
    </row>
    <row r="28" spans="1:12">
      <c r="A28" s="334">
        <f t="shared" ref="A28:A43" si="4">A27+1</f>
        <v>12</v>
      </c>
      <c r="B28" s="294">
        <v>374.2</v>
      </c>
      <c r="C28" s="304" t="s">
        <v>603</v>
      </c>
      <c r="D28" s="372">
        <f>'WPB-2.1.C Plant Detail'!D2764</f>
        <v>876986.66</v>
      </c>
      <c r="E28" s="372">
        <f>'WPB-2.1.C Plant Detail'!E2764+'WPB-2.1.C Plant Detail'!E2878+'WPB-2.1.C Plant Detail'!E2992+'WPB-2.1.C Plant Detail'!E3106+'WPB-2.1.C Plant Detail'!E3220+'WPB-2.1.C Plant Detail'!E3334+'WPB-2.1.C Plant Detail'!E3448+'WPB-2.1.C Plant Detail'!E3562+'WPB-2.1.C Plant Detail'!E3676+'WPB-2.1.C Plant Detail'!E3790+'WPB-2.1.C Plant Detail'!E3904+'WPB-2.1.C Plant Detail'!E4018</f>
        <v>0</v>
      </c>
      <c r="F28" s="372">
        <f>'WPB-2.1.C Plant Detail'!F2764+'WPB-2.1.C Plant Detail'!F2878+'WPB-2.1.C Plant Detail'!F2992+'WPB-2.1.C Plant Detail'!F3106+'WPB-2.1.C Plant Detail'!F3220+'WPB-2.1.C Plant Detail'!F3334+'WPB-2.1.C Plant Detail'!F3448+'WPB-2.1.C Plant Detail'!F3562+'WPB-2.1.C Plant Detail'!F3676+'WPB-2.1.C Plant Detail'!F3790+'WPB-2.1.C Plant Detail'!F3904+'WPB-2.1.C Plant Detail'!F4018</f>
        <v>0</v>
      </c>
      <c r="G28" s="372">
        <v>0</v>
      </c>
      <c r="H28" s="372">
        <f t="shared" si="3"/>
        <v>876986.66</v>
      </c>
      <c r="I28" s="372">
        <f>'WPB-2.1.A 13 mo avg Forecast '!Q26</f>
        <v>876986.66</v>
      </c>
      <c r="J28" s="416"/>
    </row>
    <row r="29" spans="1:12">
      <c r="A29" s="334">
        <f t="shared" si="4"/>
        <v>13</v>
      </c>
      <c r="B29" s="294">
        <v>374.4</v>
      </c>
      <c r="C29" s="304" t="s">
        <v>604</v>
      </c>
      <c r="D29" s="372">
        <f>'WPB-2.1.C Plant Detail'!D2765</f>
        <v>3138373.9800000004</v>
      </c>
      <c r="E29" s="372">
        <f>'WPB-2.1.C Plant Detail'!E2765+'WPB-2.1.C Plant Detail'!E2879+'WPB-2.1.C Plant Detail'!E2993+'WPB-2.1.C Plant Detail'!E3107+'WPB-2.1.C Plant Detail'!E3221+'WPB-2.1.C Plant Detail'!E3335+'WPB-2.1.C Plant Detail'!E3449+'WPB-2.1.C Plant Detail'!E3563+'WPB-2.1.C Plant Detail'!E3677+'WPB-2.1.C Plant Detail'!E3791+'WPB-2.1.C Plant Detail'!E3905+'WPB-2.1.C Plant Detail'!E4019</f>
        <v>191020</v>
      </c>
      <c r="F29" s="372">
        <f>'WPB-2.1.C Plant Detail'!F2765+'WPB-2.1.C Plant Detail'!F2879+'WPB-2.1.C Plant Detail'!F2993+'WPB-2.1.C Plant Detail'!F3107+'WPB-2.1.C Plant Detail'!F3221+'WPB-2.1.C Plant Detail'!F3335+'WPB-2.1.C Plant Detail'!F3449+'WPB-2.1.C Plant Detail'!F3563+'WPB-2.1.C Plant Detail'!F3677+'WPB-2.1.C Plant Detail'!F3791+'WPB-2.1.C Plant Detail'!F3905+'WPB-2.1.C Plant Detail'!F4019</f>
        <v>0</v>
      </c>
      <c r="G29" s="372">
        <v>0</v>
      </c>
      <c r="H29" s="372">
        <f t="shared" si="3"/>
        <v>3329393.9800000004</v>
      </c>
      <c r="I29" s="372">
        <f>'WPB-2.1.A 13 mo avg Forecast '!Q27</f>
        <v>3216702.4692307701</v>
      </c>
      <c r="J29" s="416"/>
    </row>
    <row r="30" spans="1:12">
      <c r="A30" s="334">
        <f t="shared" si="4"/>
        <v>14</v>
      </c>
      <c r="B30" s="294">
        <v>374.5</v>
      </c>
      <c r="C30" s="304" t="s">
        <v>605</v>
      </c>
      <c r="D30" s="372">
        <f>'WPB-2.1.C Plant Detail'!D2766</f>
        <v>2666577.16</v>
      </c>
      <c r="E30" s="372">
        <f>'WPB-2.1.C Plant Detail'!E2766+'WPB-2.1.C Plant Detail'!E2880+'WPB-2.1.C Plant Detail'!E2994+'WPB-2.1.C Plant Detail'!E3108+'WPB-2.1.C Plant Detail'!E3222+'WPB-2.1.C Plant Detail'!E3336+'WPB-2.1.C Plant Detail'!E3450+'WPB-2.1.C Plant Detail'!E3564+'WPB-2.1.C Plant Detail'!E3678+'WPB-2.1.C Plant Detail'!E3792+'WPB-2.1.C Plant Detail'!E3906+'WPB-2.1.C Plant Detail'!E4020</f>
        <v>0</v>
      </c>
      <c r="F30" s="372">
        <f>'WPB-2.1.C Plant Detail'!F2766+'WPB-2.1.C Plant Detail'!F2880+'WPB-2.1.C Plant Detail'!F2994+'WPB-2.1.C Plant Detail'!F3108+'WPB-2.1.C Plant Detail'!F3222+'WPB-2.1.C Plant Detail'!F3336+'WPB-2.1.C Plant Detail'!F3450+'WPB-2.1.C Plant Detail'!F3564+'WPB-2.1.C Plant Detail'!F3678+'WPB-2.1.C Plant Detail'!F3792+'WPB-2.1.C Plant Detail'!F3906+'WPB-2.1.C Plant Detail'!F4020</f>
        <v>0</v>
      </c>
      <c r="G30" s="372">
        <v>0</v>
      </c>
      <c r="H30" s="372">
        <f t="shared" si="3"/>
        <v>2666577.16</v>
      </c>
      <c r="I30" s="372">
        <f>'WPB-2.1.A 13 mo avg Forecast '!Q28</f>
        <v>2666577.1599999997</v>
      </c>
      <c r="J30" s="416"/>
    </row>
    <row r="31" spans="1:12">
      <c r="A31" s="334">
        <f t="shared" si="4"/>
        <v>15</v>
      </c>
      <c r="B31" s="294">
        <v>375.2</v>
      </c>
      <c r="C31" s="304" t="s">
        <v>606</v>
      </c>
      <c r="D31" s="372">
        <f>'WPB-2.1.C Plant Detail'!D2767</f>
        <v>2124.98</v>
      </c>
      <c r="E31" s="372">
        <f>'WPB-2.1.C Plant Detail'!E2767+'WPB-2.1.C Plant Detail'!E2881+'WPB-2.1.C Plant Detail'!E2995+'WPB-2.1.C Plant Detail'!E3109+'WPB-2.1.C Plant Detail'!E3223+'WPB-2.1.C Plant Detail'!E3337+'WPB-2.1.C Plant Detail'!E3451+'WPB-2.1.C Plant Detail'!E3565+'WPB-2.1.C Plant Detail'!E3679+'WPB-2.1.C Plant Detail'!E3793+'WPB-2.1.C Plant Detail'!E3907+'WPB-2.1.C Plant Detail'!E4021</f>
        <v>0</v>
      </c>
      <c r="F31" s="372">
        <f>'WPB-2.1.C Plant Detail'!F2767+'WPB-2.1.C Plant Detail'!F2881+'WPB-2.1.C Plant Detail'!F2995+'WPB-2.1.C Plant Detail'!F3109+'WPB-2.1.C Plant Detail'!F3223+'WPB-2.1.C Plant Detail'!F3337+'WPB-2.1.C Plant Detail'!F3451+'WPB-2.1.C Plant Detail'!F3565+'WPB-2.1.C Plant Detail'!F3679+'WPB-2.1.C Plant Detail'!F3793+'WPB-2.1.C Plant Detail'!F3907+'WPB-2.1.C Plant Detail'!F4021</f>
        <v>0</v>
      </c>
      <c r="G31" s="372">
        <v>0</v>
      </c>
      <c r="H31" s="372">
        <f t="shared" si="3"/>
        <v>2124.98</v>
      </c>
      <c r="I31" s="372">
        <f>'WPB-2.1.A 13 mo avg Forecast '!Q29</f>
        <v>2124.98</v>
      </c>
      <c r="J31" s="416"/>
    </row>
    <row r="32" spans="1:12">
      <c r="A32" s="334">
        <f t="shared" si="4"/>
        <v>16</v>
      </c>
      <c r="B32" s="294">
        <v>375.3</v>
      </c>
      <c r="C32" s="304" t="s">
        <v>607</v>
      </c>
      <c r="D32" s="372">
        <f>'WPB-2.1.C Plant Detail'!D2768</f>
        <v>0</v>
      </c>
      <c r="E32" s="372">
        <f>'WPB-2.1.C Plant Detail'!E2768+'WPB-2.1.C Plant Detail'!E2882+'WPB-2.1.C Plant Detail'!E2996+'WPB-2.1.C Plant Detail'!E3110+'WPB-2.1.C Plant Detail'!E3224+'WPB-2.1.C Plant Detail'!E3338+'WPB-2.1.C Plant Detail'!E3452+'WPB-2.1.C Plant Detail'!E3566+'WPB-2.1.C Plant Detail'!E3680+'WPB-2.1.C Plant Detail'!E3794+'WPB-2.1.C Plant Detail'!E3908+'WPB-2.1.C Plant Detail'!E4022</f>
        <v>0</v>
      </c>
      <c r="F32" s="372">
        <f>'WPB-2.1.C Plant Detail'!F2768+'WPB-2.1.C Plant Detail'!F2882+'WPB-2.1.C Plant Detail'!F2996+'WPB-2.1.C Plant Detail'!F3110+'WPB-2.1.C Plant Detail'!F3224+'WPB-2.1.C Plant Detail'!F3338+'WPB-2.1.C Plant Detail'!F3452+'WPB-2.1.C Plant Detail'!F3566+'WPB-2.1.C Plant Detail'!F3680+'WPB-2.1.C Plant Detail'!F3794+'WPB-2.1.C Plant Detail'!F3908+'WPB-2.1.C Plant Detail'!F4022</f>
        <v>0</v>
      </c>
      <c r="G32" s="372">
        <v>0</v>
      </c>
      <c r="H32" s="372">
        <f t="shared" si="3"/>
        <v>0</v>
      </c>
      <c r="I32" s="372">
        <f>'WPB-2.1.A 13 mo avg Forecast '!Q30</f>
        <v>0</v>
      </c>
      <c r="J32" s="416"/>
    </row>
    <row r="33" spans="1:10">
      <c r="A33" s="334">
        <f t="shared" si="4"/>
        <v>17</v>
      </c>
      <c r="B33" s="294">
        <v>375.4</v>
      </c>
      <c r="C33" s="304" t="s">
        <v>608</v>
      </c>
      <c r="D33" s="372">
        <f>'WPB-2.1.C Plant Detail'!D2769</f>
        <v>3419789.8399999985</v>
      </c>
      <c r="E33" s="372">
        <f>'WPB-2.1.C Plant Detail'!E2769+'WPB-2.1.C Plant Detail'!E2883+'WPB-2.1.C Plant Detail'!E2997+'WPB-2.1.C Plant Detail'!E3111+'WPB-2.1.C Plant Detail'!E3225+'WPB-2.1.C Plant Detail'!E3339+'WPB-2.1.C Plant Detail'!E3453+'WPB-2.1.C Plant Detail'!E3567+'WPB-2.1.C Plant Detail'!E3681+'WPB-2.1.C Plant Detail'!E3795+'WPB-2.1.C Plant Detail'!E3909+'WPB-2.1.C Plant Detail'!E4023</f>
        <v>1413293.6900000002</v>
      </c>
      <c r="F33" s="372">
        <f>'WPB-2.1.C Plant Detail'!F2769+'WPB-2.1.C Plant Detail'!F2883+'WPB-2.1.C Plant Detail'!F2997+'WPB-2.1.C Plant Detail'!F3111+'WPB-2.1.C Plant Detail'!F3225+'WPB-2.1.C Plant Detail'!F3339+'WPB-2.1.C Plant Detail'!F3453+'WPB-2.1.C Plant Detail'!F3567+'WPB-2.1.C Plant Detail'!F3681+'WPB-2.1.C Plant Detail'!F3795+'WPB-2.1.C Plant Detail'!F3909+'WPB-2.1.C Plant Detail'!F4023</f>
        <v>-248598.36</v>
      </c>
      <c r="G33" s="372">
        <v>0</v>
      </c>
      <c r="H33" s="372">
        <f t="shared" si="3"/>
        <v>4584485.1699999981</v>
      </c>
      <c r="I33" s="372">
        <f>'WPB-2.1.A 13 mo avg Forecast '!Q31</f>
        <v>3995284.3684615372</v>
      </c>
      <c r="J33" s="416"/>
    </row>
    <row r="34" spans="1:10">
      <c r="A34" s="334">
        <f t="shared" si="4"/>
        <v>18</v>
      </c>
      <c r="B34" s="294">
        <v>375.6</v>
      </c>
      <c r="C34" s="304" t="s">
        <v>609</v>
      </c>
      <c r="D34" s="372">
        <f>'WPB-2.1.C Plant Detail'!D2770</f>
        <v>0</v>
      </c>
      <c r="E34" s="372">
        <f>'WPB-2.1.C Plant Detail'!E2770+'WPB-2.1.C Plant Detail'!E2884+'WPB-2.1.C Plant Detail'!E2998+'WPB-2.1.C Plant Detail'!E3112+'WPB-2.1.C Plant Detail'!E3226+'WPB-2.1.C Plant Detail'!E3340+'WPB-2.1.C Plant Detail'!E3454+'WPB-2.1.C Plant Detail'!E3568+'WPB-2.1.C Plant Detail'!E3682+'WPB-2.1.C Plant Detail'!E3796+'WPB-2.1.C Plant Detail'!E3910+'WPB-2.1.C Plant Detail'!E4024</f>
        <v>0</v>
      </c>
      <c r="F34" s="372">
        <f>'WPB-2.1.C Plant Detail'!F2770+'WPB-2.1.C Plant Detail'!F2884+'WPB-2.1.C Plant Detail'!F2998+'WPB-2.1.C Plant Detail'!F3112+'WPB-2.1.C Plant Detail'!F3226+'WPB-2.1.C Plant Detail'!F3340+'WPB-2.1.C Plant Detail'!F3454+'WPB-2.1.C Plant Detail'!F3568+'WPB-2.1.C Plant Detail'!F3682+'WPB-2.1.C Plant Detail'!F3796+'WPB-2.1.C Plant Detail'!F3910+'WPB-2.1.C Plant Detail'!F4024</f>
        <v>0</v>
      </c>
      <c r="G34" s="372">
        <v>0</v>
      </c>
      <c r="H34" s="372">
        <f t="shared" si="3"/>
        <v>0</v>
      </c>
      <c r="I34" s="372">
        <f>'WPB-2.1.A 13 mo avg Forecast '!Q32</f>
        <v>0</v>
      </c>
      <c r="J34" s="416"/>
    </row>
    <row r="35" spans="1:10">
      <c r="A35" s="334">
        <f t="shared" si="4"/>
        <v>19</v>
      </c>
      <c r="B35" s="294">
        <v>375.7</v>
      </c>
      <c r="C35" s="304" t="s">
        <v>610</v>
      </c>
      <c r="D35" s="372">
        <f>'WPB-2.1.C Plant Detail'!D2771</f>
        <v>9688286.1499999985</v>
      </c>
      <c r="E35" s="372">
        <f>'WPB-2.1.C Plant Detail'!E2771+'WPB-2.1.C Plant Detail'!E2885+'WPB-2.1.C Plant Detail'!E2999+'WPB-2.1.C Plant Detail'!E3113+'WPB-2.1.C Plant Detail'!E3227+'WPB-2.1.C Plant Detail'!E3341+'WPB-2.1.C Plant Detail'!E3455+'WPB-2.1.C Plant Detail'!E3569+'WPB-2.1.C Plant Detail'!E3683+'WPB-2.1.C Plant Detail'!E3797+'WPB-2.1.C Plant Detail'!E3911+'WPB-2.1.C Plant Detail'!E4025</f>
        <v>122100.01</v>
      </c>
      <c r="F35" s="372">
        <f>'WPB-2.1.C Plant Detail'!F2771+'WPB-2.1.C Plant Detail'!F2885+'WPB-2.1.C Plant Detail'!F2999+'WPB-2.1.C Plant Detail'!F3113+'WPB-2.1.C Plant Detail'!F3227+'WPB-2.1.C Plant Detail'!F3341+'WPB-2.1.C Plant Detail'!F3455+'WPB-2.1.C Plant Detail'!F3569+'WPB-2.1.C Plant Detail'!F3683+'WPB-2.1.C Plant Detail'!F3797+'WPB-2.1.C Plant Detail'!F3911+'WPB-2.1.C Plant Detail'!F4025</f>
        <v>-1001.2199999999999</v>
      </c>
      <c r="G35" s="372">
        <v>0</v>
      </c>
      <c r="H35" s="372">
        <f t="shared" si="3"/>
        <v>9809384.9399999976</v>
      </c>
      <c r="I35" s="372">
        <f>'WPB-2.1.A 13 mo avg Forecast '!Q33</f>
        <v>9736915.6261538453</v>
      </c>
      <c r="J35" s="416"/>
    </row>
    <row r="36" spans="1:10">
      <c r="A36" s="334">
        <f t="shared" si="4"/>
        <v>20</v>
      </c>
      <c r="B36" s="294">
        <v>375.71</v>
      </c>
      <c r="C36" s="304" t="s">
        <v>611</v>
      </c>
      <c r="D36" s="372">
        <f>'WPB-2.1.C Plant Detail'!D2772</f>
        <v>880994.59</v>
      </c>
      <c r="E36" s="372">
        <f>'WPB-2.1.C Plant Detail'!E2772+'WPB-2.1.C Plant Detail'!E2886+'WPB-2.1.C Plant Detail'!E3000+'WPB-2.1.C Plant Detail'!E3114+'WPB-2.1.C Plant Detail'!E3228+'WPB-2.1.C Plant Detail'!E3342+'WPB-2.1.C Plant Detail'!E3456+'WPB-2.1.C Plant Detail'!E3570+'WPB-2.1.C Plant Detail'!E3684+'WPB-2.1.C Plant Detail'!E3798+'WPB-2.1.C Plant Detail'!E3912+'WPB-2.1.C Plant Detail'!E4026</f>
        <v>0</v>
      </c>
      <c r="F36" s="372">
        <f>'WPB-2.1.C Plant Detail'!F2772+'WPB-2.1.C Plant Detail'!F2886+'WPB-2.1.C Plant Detail'!F3000+'WPB-2.1.C Plant Detail'!F3114+'WPB-2.1.C Plant Detail'!F3228+'WPB-2.1.C Plant Detail'!F3342+'WPB-2.1.C Plant Detail'!F3456+'WPB-2.1.C Plant Detail'!F3570+'WPB-2.1.C Plant Detail'!F3684+'WPB-2.1.C Plant Detail'!F3798+'WPB-2.1.C Plant Detail'!F3912+'WPB-2.1.C Plant Detail'!F4026</f>
        <v>0</v>
      </c>
      <c r="G36" s="372">
        <v>0</v>
      </c>
      <c r="H36" s="372">
        <f t="shared" si="3"/>
        <v>880994.59</v>
      </c>
      <c r="I36" s="372">
        <f>'WPB-2.1.A 13 mo avg Forecast '!Q34</f>
        <v>880994.59</v>
      </c>
      <c r="J36" s="416"/>
    </row>
    <row r="37" spans="1:10">
      <c r="A37" s="334">
        <f t="shared" si="4"/>
        <v>21</v>
      </c>
      <c r="B37" s="294">
        <v>375.8</v>
      </c>
      <c r="C37" s="304" t="s">
        <v>612</v>
      </c>
      <c r="D37" s="372">
        <f>'WPB-2.1.C Plant Detail'!D2773</f>
        <v>132125.04</v>
      </c>
      <c r="E37" s="372">
        <f>'WPB-2.1.C Plant Detail'!E2773+'WPB-2.1.C Plant Detail'!E2887+'WPB-2.1.C Plant Detail'!E3001+'WPB-2.1.C Plant Detail'!E3115+'WPB-2.1.C Plant Detail'!E3229+'WPB-2.1.C Plant Detail'!E3343+'WPB-2.1.C Plant Detail'!E3457+'WPB-2.1.C Plant Detail'!E3571+'WPB-2.1.C Plant Detail'!E3685+'WPB-2.1.C Plant Detail'!E3799+'WPB-2.1.C Plant Detail'!E3913+'WPB-2.1.C Plant Detail'!E4027</f>
        <v>0</v>
      </c>
      <c r="F37" s="372">
        <f>'WPB-2.1.C Plant Detail'!F2773+'WPB-2.1.C Plant Detail'!F2887+'WPB-2.1.C Plant Detail'!F3001+'WPB-2.1.C Plant Detail'!F3115+'WPB-2.1.C Plant Detail'!F3229+'WPB-2.1.C Plant Detail'!F3343+'WPB-2.1.C Plant Detail'!F3457+'WPB-2.1.C Plant Detail'!F3571+'WPB-2.1.C Plant Detail'!F3685+'WPB-2.1.C Plant Detail'!F3799+'WPB-2.1.C Plant Detail'!F3913+'WPB-2.1.C Plant Detail'!F4027</f>
        <v>0</v>
      </c>
      <c r="G37" s="372">
        <v>0</v>
      </c>
      <c r="H37" s="372">
        <f t="shared" si="3"/>
        <v>132125.04</v>
      </c>
      <c r="I37" s="372">
        <f>'WPB-2.1.A 13 mo avg Forecast '!Q35</f>
        <v>132125.04</v>
      </c>
      <c r="J37" s="416"/>
    </row>
    <row r="38" spans="1:10">
      <c r="A38" s="334">
        <f t="shared" si="4"/>
        <v>22</v>
      </c>
      <c r="B38" s="294">
        <v>376</v>
      </c>
      <c r="C38" s="220" t="s">
        <v>2889</v>
      </c>
      <c r="D38" s="372">
        <f>'WPB-2.1.C Plant Detail'!D2774</f>
        <v>421629774.85649371</v>
      </c>
      <c r="E38" s="372">
        <f>'WPB-2.1.C Plant Detail'!E2774+'WPB-2.1.C Plant Detail'!E2888+'WPB-2.1.C Plant Detail'!E3002+'WPB-2.1.C Plant Detail'!E3116+'WPB-2.1.C Plant Detail'!E3230+'WPB-2.1.C Plant Detail'!E3344+'WPB-2.1.C Plant Detail'!E3458+'WPB-2.1.C Plant Detail'!E3572+'WPB-2.1.C Plant Detail'!E3686+'WPB-2.1.C Plant Detail'!E3800+'WPB-2.1.C Plant Detail'!E3914+'WPB-2.1.C Plant Detail'!E4028</f>
        <v>6639235.6299999999</v>
      </c>
      <c r="F38" s="372">
        <f>'WPB-2.1.C Plant Detail'!F2774+'WPB-2.1.C Plant Detail'!F2888+'WPB-2.1.C Plant Detail'!F3002+'WPB-2.1.C Plant Detail'!F3116+'WPB-2.1.C Plant Detail'!F3230+'WPB-2.1.C Plant Detail'!F3344+'WPB-2.1.C Plant Detail'!F3458+'WPB-2.1.C Plant Detail'!F3572+'WPB-2.1.C Plant Detail'!F3686+'WPB-2.1.C Plant Detail'!F3800+'WPB-2.1.C Plant Detail'!F3914+'WPB-2.1.C Plant Detail'!F4028</f>
        <v>-865092.40999999992</v>
      </c>
      <c r="G38" s="372">
        <v>0</v>
      </c>
      <c r="H38" s="372">
        <f t="shared" si="3"/>
        <v>427403918.07649368</v>
      </c>
      <c r="I38" s="372">
        <f>'WPB-2.1.A 13 mo avg Forecast '!Q36</f>
        <v>423416151.57083267</v>
      </c>
      <c r="J38" s="416"/>
    </row>
    <row r="39" spans="1:10">
      <c r="A39" s="334">
        <f t="shared" si="4"/>
        <v>23</v>
      </c>
      <c r="B39" s="294">
        <v>378.1</v>
      </c>
      <c r="C39" s="304" t="s">
        <v>613</v>
      </c>
      <c r="D39" s="372">
        <f>'WPB-2.1.C Plant Detail'!D2775</f>
        <v>-172291.25</v>
      </c>
      <c r="E39" s="372">
        <f>'WPB-2.1.C Plant Detail'!E2775+'WPB-2.1.C Plant Detail'!E2889+'WPB-2.1.C Plant Detail'!E3003+'WPB-2.1.C Plant Detail'!E3117+'WPB-2.1.C Plant Detail'!E3231+'WPB-2.1.C Plant Detail'!E3345+'WPB-2.1.C Plant Detail'!E3459+'WPB-2.1.C Plant Detail'!E3573+'WPB-2.1.C Plant Detail'!E3687+'WPB-2.1.C Plant Detail'!E3801+'WPB-2.1.C Plant Detail'!E3915+'WPB-2.1.C Plant Detail'!E4029</f>
        <v>0</v>
      </c>
      <c r="F39" s="372">
        <f>'WPB-2.1.C Plant Detail'!F2775+'WPB-2.1.C Plant Detail'!F2889+'WPB-2.1.C Plant Detail'!F3003+'WPB-2.1.C Plant Detail'!F3117+'WPB-2.1.C Plant Detail'!F3231+'WPB-2.1.C Plant Detail'!F3345+'WPB-2.1.C Plant Detail'!F3459+'WPB-2.1.C Plant Detail'!F3573+'WPB-2.1.C Plant Detail'!F3687+'WPB-2.1.C Plant Detail'!F3801+'WPB-2.1.C Plant Detail'!F3915+'WPB-2.1.C Plant Detail'!F4029</f>
        <v>0</v>
      </c>
      <c r="G39" s="372">
        <v>0</v>
      </c>
      <c r="H39" s="372">
        <f t="shared" si="3"/>
        <v>-172291.25</v>
      </c>
      <c r="I39" s="372">
        <f>'WPB-2.1.A 13 mo avg Forecast '!Q37</f>
        <v>-172291.25</v>
      </c>
      <c r="J39" s="416"/>
    </row>
    <row r="40" spans="1:10">
      <c r="A40" s="334">
        <f t="shared" si="4"/>
        <v>24</v>
      </c>
      <c r="B40" s="294">
        <v>378.2</v>
      </c>
      <c r="C40" s="220" t="s">
        <v>2890</v>
      </c>
      <c r="D40" s="372">
        <f>'WPB-2.1.C Plant Detail'!D2776</f>
        <v>27755737.239889771</v>
      </c>
      <c r="E40" s="372">
        <f>'WPB-2.1.C Plant Detail'!E2776+'WPB-2.1.C Plant Detail'!E2890+'WPB-2.1.C Plant Detail'!E3004+'WPB-2.1.C Plant Detail'!E3118+'WPB-2.1.C Plant Detail'!E3232+'WPB-2.1.C Plant Detail'!E3346+'WPB-2.1.C Plant Detail'!E3460+'WPB-2.1.C Plant Detail'!E3574+'WPB-2.1.C Plant Detail'!E3688+'WPB-2.1.C Plant Detail'!E3802+'WPB-2.1.C Plant Detail'!E3916+'WPB-2.1.C Plant Detail'!E4030</f>
        <v>4612145.8942083586</v>
      </c>
      <c r="F40" s="372">
        <f>'WPB-2.1.C Plant Detail'!F2776+'WPB-2.1.C Plant Detail'!F2890+'WPB-2.1.C Plant Detail'!F3004+'WPB-2.1.C Plant Detail'!F3118+'WPB-2.1.C Plant Detail'!F3232+'WPB-2.1.C Plant Detail'!F3346+'WPB-2.1.C Plant Detail'!F3460+'WPB-2.1.C Plant Detail'!F3574+'WPB-2.1.C Plant Detail'!F3688+'WPB-2.1.C Plant Detail'!F3802+'WPB-2.1.C Plant Detail'!F3916+'WPB-2.1.C Plant Detail'!F4030</f>
        <v>-1420540.9372</v>
      </c>
      <c r="G40" s="372">
        <v>0</v>
      </c>
      <c r="H40" s="372">
        <f t="shared" si="3"/>
        <v>30947342.196898129</v>
      </c>
      <c r="I40" s="372">
        <f>'WPB-2.1.A 13 mo avg Forecast '!Q38</f>
        <v>29553453.695415787</v>
      </c>
      <c r="J40" s="416"/>
    </row>
    <row r="41" spans="1:10">
      <c r="A41" s="334">
        <f t="shared" si="4"/>
        <v>25</v>
      </c>
      <c r="B41" s="294">
        <v>378.3</v>
      </c>
      <c r="C41" s="304" t="s">
        <v>614</v>
      </c>
      <c r="D41" s="372">
        <f>'WPB-2.1.C Plant Detail'!D2777</f>
        <v>45443.08</v>
      </c>
      <c r="E41" s="372">
        <f>'WPB-2.1.C Plant Detail'!E2777+'WPB-2.1.C Plant Detail'!E2891+'WPB-2.1.C Plant Detail'!E3005+'WPB-2.1.C Plant Detail'!E3119+'WPB-2.1.C Plant Detail'!E3233+'WPB-2.1.C Plant Detail'!E3347+'WPB-2.1.C Plant Detail'!E3461+'WPB-2.1.C Plant Detail'!E3575+'WPB-2.1.C Plant Detail'!E3689+'WPB-2.1.C Plant Detail'!E3803+'WPB-2.1.C Plant Detail'!E3917+'WPB-2.1.C Plant Detail'!E4031</f>
        <v>0</v>
      </c>
      <c r="F41" s="372">
        <f>'WPB-2.1.C Plant Detail'!F2777+'WPB-2.1.C Plant Detail'!F2891+'WPB-2.1.C Plant Detail'!F3005+'WPB-2.1.C Plant Detail'!F3119+'WPB-2.1.C Plant Detail'!F3233+'WPB-2.1.C Plant Detail'!F3347+'WPB-2.1.C Plant Detail'!F3461+'WPB-2.1.C Plant Detail'!F3575+'WPB-2.1.C Plant Detail'!F3689+'WPB-2.1.C Plant Detail'!F3803+'WPB-2.1.C Plant Detail'!F3917+'WPB-2.1.C Plant Detail'!F4031</f>
        <v>0</v>
      </c>
      <c r="G41" s="372">
        <v>0</v>
      </c>
      <c r="H41" s="372">
        <f t="shared" si="3"/>
        <v>45443.08</v>
      </c>
      <c r="I41" s="372">
        <f>'WPB-2.1.A 13 mo avg Forecast '!Q39</f>
        <v>45443.08</v>
      </c>
      <c r="J41" s="416"/>
    </row>
    <row r="42" spans="1:10">
      <c r="A42" s="334">
        <f t="shared" si="4"/>
        <v>26</v>
      </c>
      <c r="B42" s="294">
        <v>379.1</v>
      </c>
      <c r="C42" s="304" t="s">
        <v>615</v>
      </c>
      <c r="D42" s="372">
        <f>'WPB-2.1.C Plant Detail'!D2778</f>
        <v>1554144.06</v>
      </c>
      <c r="E42" s="372">
        <f>'WPB-2.1.C Plant Detail'!E2778+'WPB-2.1.C Plant Detail'!E2892+'WPB-2.1.C Plant Detail'!E3006+'WPB-2.1.C Plant Detail'!E3120+'WPB-2.1.C Plant Detail'!E3234+'WPB-2.1.C Plant Detail'!E3348+'WPB-2.1.C Plant Detail'!E3462+'WPB-2.1.C Plant Detail'!E3576+'WPB-2.1.C Plant Detail'!E3690+'WPB-2.1.C Plant Detail'!E3804+'WPB-2.1.C Plant Detail'!E3918+'WPB-2.1.C Plant Detail'!E4032</f>
        <v>0</v>
      </c>
      <c r="F42" s="372">
        <f>'WPB-2.1.C Plant Detail'!F2778+'WPB-2.1.C Plant Detail'!F2892+'WPB-2.1.C Plant Detail'!F3006+'WPB-2.1.C Plant Detail'!F3120+'WPB-2.1.C Plant Detail'!F3234+'WPB-2.1.C Plant Detail'!F3348+'WPB-2.1.C Plant Detail'!F3462+'WPB-2.1.C Plant Detail'!F3576+'WPB-2.1.C Plant Detail'!F3690+'WPB-2.1.C Plant Detail'!F3804+'WPB-2.1.C Plant Detail'!F3918+'WPB-2.1.C Plant Detail'!F4032</f>
        <v>0</v>
      </c>
      <c r="G42" s="372">
        <v>0</v>
      </c>
      <c r="H42" s="372">
        <f t="shared" si="3"/>
        <v>1554144.06</v>
      </c>
      <c r="I42" s="372">
        <f>'WPB-2.1.A 13 mo avg Forecast '!Q40</f>
        <v>1554144.06</v>
      </c>
      <c r="J42" s="416"/>
    </row>
    <row r="43" spans="1:10">
      <c r="A43" s="334">
        <f t="shared" si="4"/>
        <v>27</v>
      </c>
      <c r="B43" s="294">
        <v>380</v>
      </c>
      <c r="C43" s="220" t="s">
        <v>2888</v>
      </c>
      <c r="D43" s="372">
        <f>'WPB-2.1.C Plant Detail'!D2779</f>
        <v>204295634.9057954</v>
      </c>
      <c r="E43" s="372">
        <f>'WPB-2.1.C Plant Detail'!E2779+'WPB-2.1.C Plant Detail'!E2893+'WPB-2.1.C Plant Detail'!E3007+'WPB-2.1.C Plant Detail'!E3121+'WPB-2.1.C Plant Detail'!E3235+'WPB-2.1.C Plant Detail'!E3349+'WPB-2.1.C Plant Detail'!E3463+'WPB-2.1.C Plant Detail'!E3577+'WPB-2.1.C Plant Detail'!E3691+'WPB-2.1.C Plant Detail'!E3805+'WPB-2.1.C Plant Detail'!E3919+'WPB-2.1.C Plant Detail'!E4033</f>
        <v>6290592.5776633276</v>
      </c>
      <c r="F43" s="372">
        <f>'WPB-2.1.C Plant Detail'!F2779+'WPB-2.1.C Plant Detail'!F2893+'WPB-2.1.C Plant Detail'!F3007+'WPB-2.1.C Plant Detail'!F3121+'WPB-2.1.C Plant Detail'!F3235+'WPB-2.1.C Plant Detail'!F3349+'WPB-2.1.C Plant Detail'!F3463+'WPB-2.1.C Plant Detail'!F3577+'WPB-2.1.C Plant Detail'!F3691+'WPB-2.1.C Plant Detail'!F3805+'WPB-2.1.C Plant Detail'!F3919+'WPB-2.1.C Plant Detail'!F4033</f>
        <v>-563712.66241097043</v>
      </c>
      <c r="G43" s="372">
        <v>0</v>
      </c>
      <c r="H43" s="372">
        <f t="shared" si="3"/>
        <v>210022514.82104775</v>
      </c>
      <c r="I43" s="372">
        <f>'WPB-2.1.A 13 mo avg Forecast '!Q41</f>
        <v>206990733.67370528</v>
      </c>
      <c r="J43" s="416"/>
    </row>
    <row r="44" spans="1:10">
      <c r="A44" s="334">
        <v>1</v>
      </c>
      <c r="B44" s="294">
        <v>381</v>
      </c>
      <c r="C44" s="304" t="s">
        <v>616</v>
      </c>
      <c r="D44" s="372">
        <f>'WPB-2.1.C Plant Detail'!D2780</f>
        <v>20715923.100000005</v>
      </c>
      <c r="E44" s="372">
        <f>'WPB-2.1.C Plant Detail'!E2780+'WPB-2.1.C Plant Detail'!E2894+'WPB-2.1.C Plant Detail'!E3008+'WPB-2.1.C Plant Detail'!E3122+'WPB-2.1.C Plant Detail'!E3236+'WPB-2.1.C Plant Detail'!E3350+'WPB-2.1.C Plant Detail'!E3464+'WPB-2.1.C Plant Detail'!E3578+'WPB-2.1.C Plant Detail'!E3692+'WPB-2.1.C Plant Detail'!E3806+'WPB-2.1.C Plant Detail'!E3920+'WPB-2.1.C Plant Detail'!E4034</f>
        <v>968461.69080823532</v>
      </c>
      <c r="F44" s="372">
        <f>'WPB-2.1.C Plant Detail'!F2780+'WPB-2.1.C Plant Detail'!F2894+'WPB-2.1.C Plant Detail'!F3008+'WPB-2.1.C Plant Detail'!F3122+'WPB-2.1.C Plant Detail'!F3236+'WPB-2.1.C Plant Detail'!F3350+'WPB-2.1.C Plant Detail'!F3464+'WPB-2.1.C Plant Detail'!F3578+'WPB-2.1.C Plant Detail'!F3692+'WPB-2.1.C Plant Detail'!F3806+'WPB-2.1.C Plant Detail'!F3920+'WPB-2.1.C Plant Detail'!F4034</f>
        <v>-460116.15</v>
      </c>
      <c r="G44" s="372">
        <v>0</v>
      </c>
      <c r="H44" s="372">
        <f t="shared" ref="H44:H55" si="5">SUM(D44:G44)</f>
        <v>21224268.640808243</v>
      </c>
      <c r="I44" s="372">
        <f>'WPB-2.1.A 13 mo avg Forecast '!Q42</f>
        <v>20844456.254281364</v>
      </c>
      <c r="J44" s="416"/>
    </row>
    <row r="45" spans="1:10">
      <c r="A45" s="334">
        <f>A44+1</f>
        <v>2</v>
      </c>
      <c r="B45" s="294">
        <v>381.1</v>
      </c>
      <c r="C45" s="304" t="s">
        <v>2891</v>
      </c>
      <c r="D45" s="372">
        <f>'WPB-2.1.C Plant Detail'!D2781</f>
        <v>9980854.4800000004</v>
      </c>
      <c r="E45" s="372">
        <f>'WPB-2.1.C Plant Detail'!E2781+'WPB-2.1.C Plant Detail'!E2895+'WPB-2.1.C Plant Detail'!E3009+'WPB-2.1.C Plant Detail'!E3123+'WPB-2.1.C Plant Detail'!E3237+'WPB-2.1.C Plant Detail'!E3351+'WPB-2.1.C Plant Detail'!E3465+'WPB-2.1.C Plant Detail'!E3579+'WPB-2.1.C Plant Detail'!E3693+'WPB-2.1.C Plant Detail'!E3807+'WPB-2.1.C Plant Detail'!E3921+'WPB-2.1.C Plant Detail'!E4035</f>
        <v>0</v>
      </c>
      <c r="F45" s="372">
        <f>'WPB-2.1.C Plant Detail'!F2781+'WPB-2.1.C Plant Detail'!F2895+'WPB-2.1.C Plant Detail'!F3009+'WPB-2.1.C Plant Detail'!F3123+'WPB-2.1.C Plant Detail'!F3237+'WPB-2.1.C Plant Detail'!F3351+'WPB-2.1.C Plant Detail'!F3465+'WPB-2.1.C Plant Detail'!F3579+'WPB-2.1.C Plant Detail'!F3693+'WPB-2.1.C Plant Detail'!F3807+'WPB-2.1.C Plant Detail'!F3921+'WPB-2.1.C Plant Detail'!F4035</f>
        <v>0</v>
      </c>
      <c r="G45" s="372">
        <v>0</v>
      </c>
      <c r="H45" s="372">
        <f t="shared" si="5"/>
        <v>9980854.4800000004</v>
      </c>
      <c r="I45" s="372">
        <f>'WPB-2.1.A 13 mo avg Forecast '!Q43</f>
        <v>9980854.4800000023</v>
      </c>
      <c r="J45" s="416"/>
    </row>
    <row r="46" spans="1:10">
      <c r="A46" s="334">
        <f t="shared" ref="A46:A52" si="6">A45+1</f>
        <v>3</v>
      </c>
      <c r="B46" s="294">
        <v>382</v>
      </c>
      <c r="C46" s="220" t="s">
        <v>2892</v>
      </c>
      <c r="D46" s="372">
        <f>'WPB-2.1.C Plant Detail'!D2782</f>
        <v>10688170.345473025</v>
      </c>
      <c r="E46" s="372">
        <f>'WPB-2.1.C Plant Detail'!E2782+'WPB-2.1.C Plant Detail'!E2896+'WPB-2.1.C Plant Detail'!E3010+'WPB-2.1.C Plant Detail'!E3124+'WPB-2.1.C Plant Detail'!E3238+'WPB-2.1.C Plant Detail'!E3352+'WPB-2.1.C Plant Detail'!E3466+'WPB-2.1.C Plant Detail'!E3580+'WPB-2.1.C Plant Detail'!E3694+'WPB-2.1.C Plant Detail'!E3808+'WPB-2.1.C Plant Detail'!E3922+'WPB-2.1.C Plant Detail'!E4036</f>
        <v>179628.88183133947</v>
      </c>
      <c r="F46" s="372">
        <f>'WPB-2.1.C Plant Detail'!F2782+'WPB-2.1.C Plant Detail'!F2896+'WPB-2.1.C Plant Detail'!F3010+'WPB-2.1.C Plant Detail'!F3124+'WPB-2.1.C Plant Detail'!F3238+'WPB-2.1.C Plant Detail'!F3352+'WPB-2.1.C Plant Detail'!F3466+'WPB-2.1.C Plant Detail'!F3580+'WPB-2.1.C Plant Detail'!F3694+'WPB-2.1.C Plant Detail'!F3808+'WPB-2.1.C Plant Detail'!F3922+'WPB-2.1.C Plant Detail'!F4036</f>
        <v>-18717.329296000004</v>
      </c>
      <c r="G46" s="372">
        <v>0</v>
      </c>
      <c r="H46" s="372">
        <f t="shared" si="5"/>
        <v>10849081.898008363</v>
      </c>
      <c r="I46" s="372">
        <f>'WPB-2.1.A 13 mo avg Forecast '!Q44</f>
        <v>10741912.148293857</v>
      </c>
      <c r="J46" s="416"/>
    </row>
    <row r="47" spans="1:10">
      <c r="A47" s="334">
        <f t="shared" si="6"/>
        <v>4</v>
      </c>
      <c r="B47" s="294">
        <v>383</v>
      </c>
      <c r="C47" s="220" t="s">
        <v>2893</v>
      </c>
      <c r="D47" s="372">
        <f>'WPB-2.1.C Plant Detail'!D2783</f>
        <v>7572377.154719824</v>
      </c>
      <c r="E47" s="372">
        <f>'WPB-2.1.C Plant Detail'!E2783+'WPB-2.1.C Plant Detail'!E2897+'WPB-2.1.C Plant Detail'!E3011+'WPB-2.1.C Plant Detail'!E3125+'WPB-2.1.C Plant Detail'!E3239+'WPB-2.1.C Plant Detail'!E3353+'WPB-2.1.C Plant Detail'!E3467+'WPB-2.1.C Plant Detail'!E3581+'WPB-2.1.C Plant Detail'!E3695+'WPB-2.1.C Plant Detail'!E3809+'WPB-2.1.C Plant Detail'!E3923+'WPB-2.1.C Plant Detail'!E4037</f>
        <v>349329.63856546546</v>
      </c>
      <c r="F47" s="372">
        <f>'WPB-2.1.C Plant Detail'!F2783+'WPB-2.1.C Plant Detail'!F2897+'WPB-2.1.C Plant Detail'!F3011+'WPB-2.1.C Plant Detail'!F3125+'WPB-2.1.C Plant Detail'!F3239+'WPB-2.1.C Plant Detail'!F3353+'WPB-2.1.C Plant Detail'!F3467+'WPB-2.1.C Plant Detail'!F3581+'WPB-2.1.C Plant Detail'!F3695+'WPB-2.1.C Plant Detail'!F3809+'WPB-2.1.C Plant Detail'!F3923+'WPB-2.1.C Plant Detail'!F4037</f>
        <v>-7475.6542959999997</v>
      </c>
      <c r="G47" s="372">
        <v>0</v>
      </c>
      <c r="H47" s="372">
        <f t="shared" si="5"/>
        <v>7914231.1389892902</v>
      </c>
      <c r="I47" s="372">
        <f>'WPB-2.1.A 13 mo avg Forecast '!Q45</f>
        <v>7740847.6078520026</v>
      </c>
      <c r="J47" s="416"/>
    </row>
    <row r="48" spans="1:10">
      <c r="A48" s="334">
        <f t="shared" si="6"/>
        <v>5</v>
      </c>
      <c r="B48" s="294">
        <v>384</v>
      </c>
      <c r="C48" s="304" t="s">
        <v>617</v>
      </c>
      <c r="D48" s="372">
        <f>'WPB-2.1.C Plant Detail'!D2784</f>
        <v>2085217.6199999999</v>
      </c>
      <c r="E48" s="372">
        <f>'WPB-2.1.C Plant Detail'!E2784+'WPB-2.1.C Plant Detail'!E2898+'WPB-2.1.C Plant Detail'!E3012+'WPB-2.1.C Plant Detail'!E3126+'WPB-2.1.C Plant Detail'!E3240+'WPB-2.1.C Plant Detail'!E3354+'WPB-2.1.C Plant Detail'!E3468+'WPB-2.1.C Plant Detail'!E3582+'WPB-2.1.C Plant Detail'!E3696+'WPB-2.1.C Plant Detail'!E3810+'WPB-2.1.C Plant Detail'!E3924+'WPB-2.1.C Plant Detail'!E4038</f>
        <v>167.95999999999998</v>
      </c>
      <c r="F48" s="372">
        <f>'WPB-2.1.C Plant Detail'!F2784+'WPB-2.1.C Plant Detail'!F2898+'WPB-2.1.C Plant Detail'!F3012+'WPB-2.1.C Plant Detail'!F3126+'WPB-2.1.C Plant Detail'!F3240+'WPB-2.1.C Plant Detail'!F3354+'WPB-2.1.C Plant Detail'!F3468+'WPB-2.1.C Plant Detail'!F3582+'WPB-2.1.C Plant Detail'!F3696+'WPB-2.1.C Plant Detail'!F3810+'WPB-2.1.C Plant Detail'!F3924+'WPB-2.1.C Plant Detail'!F4038</f>
        <v>0</v>
      </c>
      <c r="G48" s="372">
        <v>0</v>
      </c>
      <c r="H48" s="372">
        <f t="shared" si="5"/>
        <v>2085385.5799999998</v>
      </c>
      <c r="I48" s="372">
        <f>'WPB-2.1.A 13 mo avg Forecast '!Q46</f>
        <v>2085301.5753846152</v>
      </c>
      <c r="J48" s="416"/>
    </row>
    <row r="49" spans="1:10">
      <c r="A49" s="334">
        <f t="shared" si="6"/>
        <v>6</v>
      </c>
      <c r="B49" s="294">
        <v>385</v>
      </c>
      <c r="C49" s="304" t="s">
        <v>618</v>
      </c>
      <c r="D49" s="372">
        <f>'WPB-2.1.C Plant Detail'!D2785</f>
        <v>6248645.1399999997</v>
      </c>
      <c r="E49" s="372">
        <f>'WPB-2.1.C Plant Detail'!E2785+'WPB-2.1.C Plant Detail'!E2899+'WPB-2.1.C Plant Detail'!E3013+'WPB-2.1.C Plant Detail'!E3127+'WPB-2.1.C Plant Detail'!E3241+'WPB-2.1.C Plant Detail'!E3355+'WPB-2.1.C Plant Detail'!E3469+'WPB-2.1.C Plant Detail'!E3583+'WPB-2.1.C Plant Detail'!E3697+'WPB-2.1.C Plant Detail'!E3811+'WPB-2.1.C Plant Detail'!E3925+'WPB-2.1.C Plant Detail'!E4039</f>
        <v>344500.99999999994</v>
      </c>
      <c r="F49" s="372">
        <f>'WPB-2.1.C Plant Detail'!F2785+'WPB-2.1.C Plant Detail'!F2899+'WPB-2.1.C Plant Detail'!F3013+'WPB-2.1.C Plant Detail'!F3127+'WPB-2.1.C Plant Detail'!F3241+'WPB-2.1.C Plant Detail'!F3355+'WPB-2.1.C Plant Detail'!F3469+'WPB-2.1.C Plant Detail'!F3583+'WPB-2.1.C Plant Detail'!F3697+'WPB-2.1.C Plant Detail'!F3811+'WPB-2.1.C Plant Detail'!F3925+'WPB-2.1.C Plant Detail'!F4039</f>
        <v>-107553.2</v>
      </c>
      <c r="G49" s="372">
        <v>0</v>
      </c>
      <c r="H49" s="372">
        <f t="shared" si="5"/>
        <v>6485592.9399999995</v>
      </c>
      <c r="I49" s="372">
        <f>'WPB-2.1.A 13 mo avg Forecast '!Q47</f>
        <v>6363314.383076922</v>
      </c>
      <c r="J49" s="416"/>
    </row>
    <row r="50" spans="1:10">
      <c r="A50" s="334">
        <f t="shared" si="6"/>
        <v>7</v>
      </c>
      <c r="B50" s="294">
        <v>387.2</v>
      </c>
      <c r="C50" s="304" t="s">
        <v>619</v>
      </c>
      <c r="D50" s="372">
        <f>'WPB-2.1.C Plant Detail'!D2786</f>
        <v>0</v>
      </c>
      <c r="E50" s="372">
        <f>'WPB-2.1.C Plant Detail'!E2786+'WPB-2.1.C Plant Detail'!E2900+'WPB-2.1.C Plant Detail'!E3014+'WPB-2.1.C Plant Detail'!E3128+'WPB-2.1.C Plant Detail'!E3242+'WPB-2.1.C Plant Detail'!E3356+'WPB-2.1.C Plant Detail'!E3470+'WPB-2.1.C Plant Detail'!E3584+'WPB-2.1.C Plant Detail'!E3698+'WPB-2.1.C Plant Detail'!E3812+'WPB-2.1.C Plant Detail'!E3926+'WPB-2.1.C Plant Detail'!E4040</f>
        <v>0</v>
      </c>
      <c r="F50" s="372">
        <f>'WPB-2.1.C Plant Detail'!F2786+'WPB-2.1.C Plant Detail'!F2900+'WPB-2.1.C Plant Detail'!F3014+'WPB-2.1.C Plant Detail'!F3128+'WPB-2.1.C Plant Detail'!F3242+'WPB-2.1.C Plant Detail'!F3356+'WPB-2.1.C Plant Detail'!F3470+'WPB-2.1.C Plant Detail'!F3584+'WPB-2.1.C Plant Detail'!F3698+'WPB-2.1.C Plant Detail'!F3812+'WPB-2.1.C Plant Detail'!F3926+'WPB-2.1.C Plant Detail'!F4040</f>
        <v>0</v>
      </c>
      <c r="G50" s="372">
        <v>0</v>
      </c>
      <c r="H50" s="372">
        <f t="shared" si="5"/>
        <v>0</v>
      </c>
      <c r="I50" s="372">
        <f>'WPB-2.1.A 13 mo avg Forecast '!Q48</f>
        <v>0</v>
      </c>
      <c r="J50" s="416"/>
    </row>
    <row r="51" spans="1:10">
      <c r="A51" s="334">
        <f t="shared" si="6"/>
        <v>8</v>
      </c>
      <c r="B51" s="294">
        <v>387.41</v>
      </c>
      <c r="C51" s="304" t="s">
        <v>620</v>
      </c>
      <c r="D51" s="372">
        <f>'WPB-2.1.C Plant Detail'!D2787</f>
        <v>260538.46000000008</v>
      </c>
      <c r="E51" s="372">
        <f>'WPB-2.1.C Plant Detail'!E2787+'WPB-2.1.C Plant Detail'!E2901+'WPB-2.1.C Plant Detail'!E3015+'WPB-2.1.C Plant Detail'!E3129+'WPB-2.1.C Plant Detail'!E3243+'WPB-2.1.C Plant Detail'!E3357+'WPB-2.1.C Plant Detail'!E3471+'WPB-2.1.C Plant Detail'!E3585+'WPB-2.1.C Plant Detail'!E3699+'WPB-2.1.C Plant Detail'!E3813+'WPB-2.1.C Plant Detail'!E3927+'WPB-2.1.C Plant Detail'!E4041</f>
        <v>0</v>
      </c>
      <c r="F51" s="372">
        <f>'WPB-2.1.C Plant Detail'!F2787+'WPB-2.1.C Plant Detail'!F2901+'WPB-2.1.C Plant Detail'!F3015+'WPB-2.1.C Plant Detail'!F3129+'WPB-2.1.C Plant Detail'!F3243+'WPB-2.1.C Plant Detail'!F3357+'WPB-2.1.C Plant Detail'!F3471+'WPB-2.1.C Plant Detail'!F3585+'WPB-2.1.C Plant Detail'!F3699+'WPB-2.1.C Plant Detail'!F3813+'WPB-2.1.C Plant Detail'!F3927+'WPB-2.1.C Plant Detail'!F4041</f>
        <v>0</v>
      </c>
      <c r="G51" s="372">
        <v>0</v>
      </c>
      <c r="H51" s="372">
        <f t="shared" si="5"/>
        <v>260538.46000000008</v>
      </c>
      <c r="I51" s="372">
        <f>'WPB-2.1.A 13 mo avg Forecast '!Q49</f>
        <v>260538.46</v>
      </c>
      <c r="J51" s="416"/>
    </row>
    <row r="52" spans="1:10">
      <c r="A52" s="334">
        <f t="shared" si="6"/>
        <v>9</v>
      </c>
      <c r="B52" s="294">
        <v>387.42</v>
      </c>
      <c r="C52" s="304" t="s">
        <v>621</v>
      </c>
      <c r="D52" s="372">
        <f>'WPB-2.1.C Plant Detail'!D2788</f>
        <v>419367.40000000008</v>
      </c>
      <c r="E52" s="372">
        <f>'WPB-2.1.C Plant Detail'!E2788+'WPB-2.1.C Plant Detail'!E2902+'WPB-2.1.C Plant Detail'!E3016+'WPB-2.1.C Plant Detail'!E3130+'WPB-2.1.C Plant Detail'!E3244+'WPB-2.1.C Plant Detail'!E3358+'WPB-2.1.C Plant Detail'!E3472+'WPB-2.1.C Plant Detail'!E3586+'WPB-2.1.C Plant Detail'!E3700+'WPB-2.1.C Plant Detail'!E3814+'WPB-2.1.C Plant Detail'!E3928+'WPB-2.1.C Plant Detail'!E4042</f>
        <v>0</v>
      </c>
      <c r="F52" s="372">
        <f>'WPB-2.1.C Plant Detail'!F2788+'WPB-2.1.C Plant Detail'!F2902+'WPB-2.1.C Plant Detail'!F3016+'WPB-2.1.C Plant Detail'!F3130+'WPB-2.1.C Plant Detail'!F3244+'WPB-2.1.C Plant Detail'!F3358+'WPB-2.1.C Plant Detail'!F3472+'WPB-2.1.C Plant Detail'!F3586+'WPB-2.1.C Plant Detail'!F3700+'WPB-2.1.C Plant Detail'!F3814+'WPB-2.1.C Plant Detail'!F3928+'WPB-2.1.C Plant Detail'!F4042</f>
        <v>0</v>
      </c>
      <c r="G52" s="372">
        <v>0</v>
      </c>
      <c r="H52" s="372">
        <f t="shared" si="5"/>
        <v>419367.40000000008</v>
      </c>
      <c r="I52" s="372">
        <f>'WPB-2.1.A 13 mo avg Forecast '!Q50</f>
        <v>419367.40000000008</v>
      </c>
      <c r="J52" s="416"/>
    </row>
    <row r="53" spans="1:10">
      <c r="A53" s="334">
        <f>A52+1</f>
        <v>10</v>
      </c>
      <c r="B53" s="294">
        <v>387.44</v>
      </c>
      <c r="C53" s="304" t="s">
        <v>622</v>
      </c>
      <c r="D53" s="372">
        <f>'WPB-2.1.C Plant Detail'!D2789</f>
        <v>124678.76000000001</v>
      </c>
      <c r="E53" s="372">
        <f>'WPB-2.1.C Plant Detail'!E2789+'WPB-2.1.C Plant Detail'!E2903+'WPB-2.1.C Plant Detail'!E3017+'WPB-2.1.C Plant Detail'!E3131+'WPB-2.1.C Plant Detail'!E3245+'WPB-2.1.C Plant Detail'!E3359+'WPB-2.1.C Plant Detail'!E3473+'WPB-2.1.C Plant Detail'!E3587+'WPB-2.1.C Plant Detail'!E3701+'WPB-2.1.C Plant Detail'!E3815+'WPB-2.1.C Plant Detail'!E3929+'WPB-2.1.C Plant Detail'!E4043</f>
        <v>0</v>
      </c>
      <c r="F53" s="372">
        <f>'WPB-2.1.C Plant Detail'!F2789+'WPB-2.1.C Plant Detail'!F2903+'WPB-2.1.C Plant Detail'!F3017+'WPB-2.1.C Plant Detail'!F3131+'WPB-2.1.C Plant Detail'!F3245+'WPB-2.1.C Plant Detail'!F3359+'WPB-2.1.C Plant Detail'!F3473+'WPB-2.1.C Plant Detail'!F3587+'WPB-2.1.C Plant Detail'!F3701+'WPB-2.1.C Plant Detail'!F3815+'WPB-2.1.C Plant Detail'!F3929+'WPB-2.1.C Plant Detail'!F4043</f>
        <v>0</v>
      </c>
      <c r="G53" s="372">
        <v>0</v>
      </c>
      <c r="H53" s="372">
        <f t="shared" si="5"/>
        <v>124678.76000000001</v>
      </c>
      <c r="I53" s="372">
        <f>'WPB-2.1.A 13 mo avg Forecast '!Q51</f>
        <v>124678.76000000001</v>
      </c>
      <c r="J53" s="416"/>
    </row>
    <row r="54" spans="1:10">
      <c r="A54" s="334">
        <f>A53+1</f>
        <v>11</v>
      </c>
      <c r="B54" s="294">
        <v>387.45</v>
      </c>
      <c r="C54" s="304" t="s">
        <v>623</v>
      </c>
      <c r="D54" s="372">
        <f>'WPB-2.1.C Plant Detail'!D2790</f>
        <v>6431312.1100000022</v>
      </c>
      <c r="E54" s="372">
        <f>'WPB-2.1.C Plant Detail'!E2790+'WPB-2.1.C Plant Detail'!E2904+'WPB-2.1.C Plant Detail'!E3018+'WPB-2.1.C Plant Detail'!E3132+'WPB-2.1.C Plant Detail'!E3246+'WPB-2.1.C Plant Detail'!E3360+'WPB-2.1.C Plant Detail'!E3474+'WPB-2.1.C Plant Detail'!E3588+'WPB-2.1.C Plant Detail'!E3702+'WPB-2.1.C Plant Detail'!E3816+'WPB-2.1.C Plant Detail'!E3930+'WPB-2.1.C Plant Detail'!E4044</f>
        <v>1265250.02</v>
      </c>
      <c r="F54" s="372">
        <f>'WPB-2.1.C Plant Detail'!F2790+'WPB-2.1.C Plant Detail'!F2904+'WPB-2.1.C Plant Detail'!F3018+'WPB-2.1.C Plant Detail'!F3132+'WPB-2.1.C Plant Detail'!F3246+'WPB-2.1.C Plant Detail'!F3360+'WPB-2.1.C Plant Detail'!F3474+'WPB-2.1.C Plant Detail'!F3588+'WPB-2.1.C Plant Detail'!F3702+'WPB-2.1.C Plant Detail'!F3816+'WPB-2.1.C Plant Detail'!F3930+'WPB-2.1.C Plant Detail'!F4044</f>
        <v>-574170.46</v>
      </c>
      <c r="G54" s="372">
        <v>0</v>
      </c>
      <c r="H54" s="372">
        <f t="shared" si="5"/>
        <v>7122391.6700000027</v>
      </c>
      <c r="I54" s="372">
        <f>'WPB-2.1.A 13 mo avg Forecast '!Q52</f>
        <v>6532093.9123076955</v>
      </c>
      <c r="J54" s="416"/>
    </row>
    <row r="55" spans="1:10">
      <c r="A55" s="334">
        <f>A54+1</f>
        <v>12</v>
      </c>
      <c r="B55" s="294">
        <v>387.46</v>
      </c>
      <c r="C55" s="304" t="s">
        <v>624</v>
      </c>
      <c r="D55" s="372">
        <f>'WPB-2.1.C Plant Detail'!D2791</f>
        <v>113644.47</v>
      </c>
      <c r="E55" s="372">
        <f>'WPB-2.1.C Plant Detail'!E2791+'WPB-2.1.C Plant Detail'!E2905+'WPB-2.1.C Plant Detail'!E3019+'WPB-2.1.C Plant Detail'!E3133+'WPB-2.1.C Plant Detail'!E3247+'WPB-2.1.C Plant Detail'!E3361+'WPB-2.1.C Plant Detail'!E3475+'WPB-2.1.C Plant Detail'!E3589+'WPB-2.1.C Plant Detail'!E3703+'WPB-2.1.C Plant Detail'!E3817+'WPB-2.1.C Plant Detail'!E3931+'WPB-2.1.C Plant Detail'!E4045</f>
        <v>0</v>
      </c>
      <c r="F55" s="372">
        <f>'WPB-2.1.C Plant Detail'!F2791+'WPB-2.1.C Plant Detail'!F2905+'WPB-2.1.C Plant Detail'!F3019+'WPB-2.1.C Plant Detail'!F3133+'WPB-2.1.C Plant Detail'!F3247+'WPB-2.1.C Plant Detail'!F3361+'WPB-2.1.C Plant Detail'!F3475+'WPB-2.1.C Plant Detail'!F3589+'WPB-2.1.C Plant Detail'!F3703+'WPB-2.1.C Plant Detail'!F3817+'WPB-2.1.C Plant Detail'!F3931+'WPB-2.1.C Plant Detail'!F4045</f>
        <v>0</v>
      </c>
      <c r="G55" s="372">
        <v>0</v>
      </c>
      <c r="H55" s="372">
        <f t="shared" si="5"/>
        <v>113644.47</v>
      </c>
      <c r="I55" s="372">
        <f>'WPB-2.1.A 13 mo avg Forecast '!Q53</f>
        <v>113644.46999999999</v>
      </c>
      <c r="J55" s="416"/>
    </row>
    <row r="56" spans="1:10">
      <c r="A56" s="334">
        <f>A55+1</f>
        <v>13</v>
      </c>
      <c r="B56" s="294">
        <v>387.5</v>
      </c>
      <c r="C56" s="304" t="s">
        <v>1076</v>
      </c>
      <c r="D56" s="922">
        <f>'WPB-2.1.C Plant Detail'!D2792</f>
        <v>238072.69</v>
      </c>
      <c r="E56" s="922">
        <f>'WPB-2.1.C Plant Detail'!E2792+'WPB-2.1.C Plant Detail'!E2906+'WPB-2.1.C Plant Detail'!E3020+'WPB-2.1.C Plant Detail'!E3134+'WPB-2.1.C Plant Detail'!E3248+'WPB-2.1.C Plant Detail'!E3362+'WPB-2.1.C Plant Detail'!E3476+'WPB-2.1.C Plant Detail'!E3590+'WPB-2.1.C Plant Detail'!E3704+'WPB-2.1.C Plant Detail'!E3818+'WPB-2.1.C Plant Detail'!E3932+'WPB-2.1.C Plant Detail'!E4046</f>
        <v>0</v>
      </c>
      <c r="F56" s="922">
        <f>'WPB-2.1.C Plant Detail'!F2792+'WPB-2.1.C Plant Detail'!F2906+'WPB-2.1.C Plant Detail'!F3020+'WPB-2.1.C Plant Detail'!F3134+'WPB-2.1.C Plant Detail'!F3248+'WPB-2.1.C Plant Detail'!F3362+'WPB-2.1.C Plant Detail'!F3476+'WPB-2.1.C Plant Detail'!F3590+'WPB-2.1.C Plant Detail'!F3704+'WPB-2.1.C Plant Detail'!F3818+'WPB-2.1.C Plant Detail'!F3932+'WPB-2.1.C Plant Detail'!F4046</f>
        <v>0</v>
      </c>
      <c r="G56" s="959">
        <v>0</v>
      </c>
      <c r="H56" s="959">
        <f>SUM(D56:G56)</f>
        <v>238072.69</v>
      </c>
      <c r="I56" s="922">
        <f>'WPB-2.1.A 13 mo avg Forecast '!Q54</f>
        <v>238072.68999999997</v>
      </c>
      <c r="J56" s="416"/>
    </row>
    <row r="57" spans="1:10">
      <c r="A57" s="334">
        <f>A56+1</f>
        <v>14</v>
      </c>
      <c r="C57" s="303" t="s">
        <v>1601</v>
      </c>
      <c r="D57" s="372">
        <f t="shared" ref="D57:I57" si="7">SUM(D44:D56,D27:D43)</f>
        <v>740792708.42237163</v>
      </c>
      <c r="E57" s="372">
        <f t="shared" si="7"/>
        <v>22375726.993076727</v>
      </c>
      <c r="F57" s="372">
        <f t="shared" si="7"/>
        <v>-4266978.38320297</v>
      </c>
      <c r="G57" s="372">
        <f t="shared" si="7"/>
        <v>0</v>
      </c>
      <c r="H57" s="372">
        <f t="shared" si="7"/>
        <v>758901457.03224552</v>
      </c>
      <c r="I57" s="372">
        <f t="shared" si="7"/>
        <v>748340633.26499629</v>
      </c>
      <c r="J57" s="416"/>
    </row>
    <row r="58" spans="1:10">
      <c r="D58" s="372"/>
      <c r="E58" s="372"/>
      <c r="F58" s="372"/>
      <c r="G58" s="372"/>
      <c r="H58" s="372"/>
      <c r="I58" s="372"/>
      <c r="J58" s="416"/>
    </row>
    <row r="59" spans="1:10">
      <c r="A59" s="1313" t="str">
        <f>A1</f>
        <v>COLUMBIA GAS OF KENTUCKY, INC.</v>
      </c>
      <c r="B59" s="1313"/>
      <c r="C59" s="1313"/>
      <c r="D59" s="1313"/>
      <c r="E59" s="1313"/>
      <c r="F59" s="1313"/>
      <c r="G59" s="1313"/>
      <c r="H59" s="1313"/>
      <c r="I59" s="1313"/>
    </row>
    <row r="60" spans="1:10">
      <c r="A60" s="1313" t="str">
        <f>A2</f>
        <v>CASE NO. 2024 - 00092</v>
      </c>
      <c r="B60" s="1313"/>
      <c r="C60" s="1313"/>
      <c r="D60" s="1313"/>
      <c r="E60" s="1313"/>
      <c r="F60" s="1313"/>
      <c r="G60" s="1313"/>
      <c r="H60" s="1313"/>
      <c r="I60" s="1313"/>
    </row>
    <row r="61" spans="1:10">
      <c r="A61" s="1313" t="str">
        <f>A3</f>
        <v>GROSS ADDITIONS, RETIREMENTS, AND TRANSFERS</v>
      </c>
      <c r="B61" s="1313"/>
      <c r="C61" s="1313"/>
      <c r="D61" s="1313"/>
      <c r="E61" s="1313"/>
      <c r="F61" s="1313"/>
      <c r="G61" s="1313"/>
      <c r="H61" s="1313"/>
      <c r="I61" s="1313"/>
    </row>
    <row r="62" spans="1:10">
      <c r="A62" s="1313" t="str">
        <f>A4</f>
        <v>JANUARY 2025 TO DECEMBER 2025</v>
      </c>
      <c r="B62" s="1313"/>
      <c r="C62" s="1313"/>
      <c r="D62" s="1313"/>
      <c r="E62" s="1313"/>
      <c r="F62" s="1313"/>
      <c r="G62" s="1313"/>
      <c r="H62" s="1313"/>
      <c r="I62" s="1313"/>
    </row>
    <row r="64" spans="1:10">
      <c r="A64" s="229" t="str">
        <f>A6</f>
        <v>DATA:_____BASE PERIOD___X___FORECASTED PERIOD</v>
      </c>
      <c r="I64" s="388" t="str">
        <f>I6</f>
        <v>SCHEDULE B-2.3</v>
      </c>
    </row>
    <row r="65" spans="1:11">
      <c r="A65" s="229" t="str">
        <f>A7</f>
        <v>TYPE OF FILING:___X___ORIGINAL______UPDATED</v>
      </c>
      <c r="I65" s="388" t="s">
        <v>287</v>
      </c>
    </row>
    <row r="66" spans="1:11">
      <c r="A66" s="229" t="str">
        <f>A8</f>
        <v>WORKPAPER REFERENCE NO(S).: WPB-2.1.C</v>
      </c>
      <c r="I66" s="326" t="str">
        <f>"WITNESS: "&amp;'General Headers Index'!B42</f>
        <v>WITNESS: GORE</v>
      </c>
    </row>
    <row r="67" spans="1:11">
      <c r="A67" s="403"/>
      <c r="H67" s="388"/>
      <c r="J67" s="957"/>
      <c r="K67" s="957"/>
    </row>
    <row r="68" spans="1:11">
      <c r="A68" s="404"/>
      <c r="B68" s="405"/>
      <c r="C68" s="405"/>
      <c r="D68" s="404" t="s">
        <v>688</v>
      </c>
      <c r="E68" s="405"/>
      <c r="F68" s="405"/>
      <c r="G68" s="406"/>
      <c r="H68" s="404" t="s">
        <v>688</v>
      </c>
      <c r="I68" s="404"/>
      <c r="K68" s="957"/>
    </row>
    <row r="69" spans="1:11">
      <c r="A69" s="334" t="s">
        <v>313</v>
      </c>
      <c r="B69" s="334" t="s">
        <v>368</v>
      </c>
      <c r="C69" s="334"/>
      <c r="D69" s="334" t="s">
        <v>437</v>
      </c>
      <c r="H69" s="334" t="s">
        <v>439</v>
      </c>
      <c r="I69" s="415" t="s">
        <v>352</v>
      </c>
      <c r="K69" s="957"/>
    </row>
    <row r="70" spans="1:11">
      <c r="A70" s="958" t="s">
        <v>316</v>
      </c>
      <c r="B70" s="958" t="s">
        <v>316</v>
      </c>
      <c r="C70" s="958" t="s">
        <v>440</v>
      </c>
      <c r="D70" s="958" t="s">
        <v>441</v>
      </c>
      <c r="E70" s="958" t="s">
        <v>442</v>
      </c>
      <c r="F70" s="958" t="s">
        <v>443</v>
      </c>
      <c r="G70" s="958" t="s">
        <v>676</v>
      </c>
      <c r="H70" s="958" t="s">
        <v>441</v>
      </c>
      <c r="I70" s="958" t="s">
        <v>312</v>
      </c>
      <c r="K70" s="957"/>
    </row>
    <row r="71" spans="1:11">
      <c r="B71" s="334"/>
      <c r="C71" s="387"/>
      <c r="D71" s="300" t="s">
        <v>532</v>
      </c>
      <c r="E71" s="300" t="s">
        <v>541</v>
      </c>
      <c r="F71" s="300" t="s">
        <v>542</v>
      </c>
      <c r="G71" s="300" t="s">
        <v>668</v>
      </c>
      <c r="H71" s="300" t="s">
        <v>2635</v>
      </c>
      <c r="I71" s="300" t="s">
        <v>670</v>
      </c>
      <c r="K71" s="957"/>
    </row>
    <row r="72" spans="1:11">
      <c r="D72" s="334" t="s">
        <v>320</v>
      </c>
      <c r="E72" s="334" t="s">
        <v>320</v>
      </c>
      <c r="F72" s="334" t="s">
        <v>320</v>
      </c>
      <c r="G72" s="334" t="s">
        <v>320</v>
      </c>
      <c r="H72" s="334" t="s">
        <v>320</v>
      </c>
      <c r="I72" s="334" t="s">
        <v>320</v>
      </c>
    </row>
    <row r="73" spans="1:11">
      <c r="D73" s="334"/>
      <c r="E73" s="334"/>
      <c r="F73" s="334"/>
      <c r="G73" s="334"/>
      <c r="H73" s="334"/>
    </row>
    <row r="74" spans="1:11">
      <c r="A74" s="334">
        <v>1</v>
      </c>
      <c r="C74" s="407" t="s">
        <v>411</v>
      </c>
      <c r="D74" s="372"/>
      <c r="E74" s="372"/>
      <c r="F74" s="372"/>
      <c r="G74" s="372"/>
      <c r="H74" s="372"/>
      <c r="I74" s="372"/>
      <c r="J74" s="416"/>
    </row>
    <row r="75" spans="1:11">
      <c r="A75" s="334">
        <f>A74+1</f>
        <v>2</v>
      </c>
      <c r="B75" s="293">
        <v>391.1</v>
      </c>
      <c r="C75" s="304" t="s">
        <v>626</v>
      </c>
      <c r="D75" s="372">
        <f>'WPB-2.1.C Plant Detail'!D2813</f>
        <v>921741.33000000007</v>
      </c>
      <c r="E75" s="372">
        <f>'WPB-2.1.C Plant Detail'!E2813+'WPB-2.1.C Plant Detail'!E2927+'WPB-2.1.C Plant Detail'!E3041+'WPB-2.1.C Plant Detail'!E3155+'WPB-2.1.C Plant Detail'!E3269+'WPB-2.1.C Plant Detail'!E3383+'WPB-2.1.C Plant Detail'!E3497+'WPB-2.1.C Plant Detail'!E3611+'WPB-2.1.C Plant Detail'!E3725+'WPB-2.1.C Plant Detail'!E3839+'WPB-2.1.C Plant Detail'!E3953+'WPB-2.1.C Plant Detail'!E4067</f>
        <v>0</v>
      </c>
      <c r="F75" s="372">
        <f>'WPB-2.1.C Plant Detail'!F2813+'WPB-2.1.C Plant Detail'!F2927+'WPB-2.1.C Plant Detail'!F3041+'WPB-2.1.C Plant Detail'!F3155+'WPB-2.1.C Plant Detail'!F3269+'WPB-2.1.C Plant Detail'!F3383+'WPB-2.1.C Plant Detail'!F3497+'WPB-2.1.C Plant Detail'!F3611+'WPB-2.1.C Plant Detail'!F3725+'WPB-2.1.C Plant Detail'!F3839+'WPB-2.1.C Plant Detail'!F3953+'WPB-2.1.C Plant Detail'!F4067</f>
        <v>0</v>
      </c>
      <c r="G75" s="372">
        <v>0</v>
      </c>
      <c r="H75" s="372">
        <f t="shared" ref="H75:H88" si="8">SUM(D75:G75)</f>
        <v>921741.33000000007</v>
      </c>
      <c r="I75" s="372">
        <f>'WPB-2.1.A 13 mo avg Forecast '!Q71</f>
        <v>921741.33000000007</v>
      </c>
      <c r="J75" s="416"/>
    </row>
    <row r="76" spans="1:11">
      <c r="A76" s="334">
        <f t="shared" ref="A76:A89" si="9">A75+1</f>
        <v>3</v>
      </c>
      <c r="B76" s="293">
        <v>391.11</v>
      </c>
      <c r="C76" s="304" t="s">
        <v>627</v>
      </c>
      <c r="D76" s="372">
        <f>'WPB-2.1.C Plant Detail'!D2814</f>
        <v>0</v>
      </c>
      <c r="E76" s="372">
        <f>'WPB-2.1.C Plant Detail'!E2814+'WPB-2.1.C Plant Detail'!E2928+'WPB-2.1.C Plant Detail'!E3042+'WPB-2.1.C Plant Detail'!E3156+'WPB-2.1.C Plant Detail'!E3270+'WPB-2.1.C Plant Detail'!E3384+'WPB-2.1.C Plant Detail'!E3498+'WPB-2.1.C Plant Detail'!E3612+'WPB-2.1.C Plant Detail'!E3726+'WPB-2.1.C Plant Detail'!E3840+'WPB-2.1.C Plant Detail'!E3954+'WPB-2.1.C Plant Detail'!E4068</f>
        <v>0</v>
      </c>
      <c r="F76" s="372">
        <f>'WPB-2.1.C Plant Detail'!F2814+'WPB-2.1.C Plant Detail'!F2928+'WPB-2.1.C Plant Detail'!F3042+'WPB-2.1.C Plant Detail'!F3156+'WPB-2.1.C Plant Detail'!F3270+'WPB-2.1.C Plant Detail'!F3384+'WPB-2.1.C Plant Detail'!F3498+'WPB-2.1.C Plant Detail'!F3612+'WPB-2.1.C Plant Detail'!F3726+'WPB-2.1.C Plant Detail'!F3840+'WPB-2.1.C Plant Detail'!F3954+'WPB-2.1.C Plant Detail'!F4068</f>
        <v>0</v>
      </c>
      <c r="G76" s="372">
        <v>0</v>
      </c>
      <c r="H76" s="372">
        <f t="shared" si="8"/>
        <v>0</v>
      </c>
      <c r="I76" s="372">
        <f>'WPB-2.1.A 13 mo avg Forecast '!Q72</f>
        <v>0</v>
      </c>
      <c r="J76" s="416"/>
    </row>
    <row r="77" spans="1:11">
      <c r="A77" s="334">
        <f t="shared" si="9"/>
        <v>4</v>
      </c>
      <c r="B77" s="293">
        <v>391.12</v>
      </c>
      <c r="C77" s="304" t="s">
        <v>628</v>
      </c>
      <c r="D77" s="372">
        <f>'WPB-2.1.C Plant Detail'!D2815</f>
        <v>37129.580000000009</v>
      </c>
      <c r="E77" s="372">
        <f>'WPB-2.1.C Plant Detail'!E2815+'WPB-2.1.C Plant Detail'!E2929+'WPB-2.1.C Plant Detail'!E3043+'WPB-2.1.C Plant Detail'!E3157+'WPB-2.1.C Plant Detail'!E3271+'WPB-2.1.C Plant Detail'!E3385+'WPB-2.1.C Plant Detail'!E3499+'WPB-2.1.C Plant Detail'!E3613+'WPB-2.1.C Plant Detail'!E3727+'WPB-2.1.C Plant Detail'!E3841+'WPB-2.1.C Plant Detail'!E3955+'WPB-2.1.C Plant Detail'!E4069</f>
        <v>0</v>
      </c>
      <c r="F77" s="372">
        <f>'WPB-2.1.C Plant Detail'!F2815+'WPB-2.1.C Plant Detail'!F2929+'WPB-2.1.C Plant Detail'!F3043+'WPB-2.1.C Plant Detail'!F3157+'WPB-2.1.C Plant Detail'!F3271+'WPB-2.1.C Plant Detail'!F3385+'WPB-2.1.C Plant Detail'!F3499+'WPB-2.1.C Plant Detail'!F3613+'WPB-2.1.C Plant Detail'!F3727+'WPB-2.1.C Plant Detail'!F3841+'WPB-2.1.C Plant Detail'!F3955+'WPB-2.1.C Plant Detail'!F4069</f>
        <v>0</v>
      </c>
      <c r="G77" s="372">
        <v>0</v>
      </c>
      <c r="H77" s="372">
        <f t="shared" si="8"/>
        <v>37129.580000000009</v>
      </c>
      <c r="I77" s="372">
        <f>'WPB-2.1.A 13 mo avg Forecast '!Q73</f>
        <v>37129.580000000009</v>
      </c>
      <c r="J77" s="416"/>
    </row>
    <row r="78" spans="1:11">
      <c r="A78" s="334">
        <f t="shared" si="9"/>
        <v>5</v>
      </c>
      <c r="B78" s="293">
        <v>392.2</v>
      </c>
      <c r="C78" s="304" t="s">
        <v>629</v>
      </c>
      <c r="D78" s="372">
        <f>'WPB-2.1.C Plant Detail'!D2816</f>
        <v>48924.4</v>
      </c>
      <c r="E78" s="372">
        <f>'WPB-2.1.C Plant Detail'!E2816+'WPB-2.1.C Plant Detail'!E2930+'WPB-2.1.C Plant Detail'!E3044+'WPB-2.1.C Plant Detail'!E3158+'WPB-2.1.C Plant Detail'!E3272+'WPB-2.1.C Plant Detail'!E3386+'WPB-2.1.C Plant Detail'!E3500+'WPB-2.1.C Plant Detail'!E3614+'WPB-2.1.C Plant Detail'!E3728+'WPB-2.1.C Plant Detail'!E3842+'WPB-2.1.C Plant Detail'!E3956+'WPB-2.1.C Plant Detail'!E4070</f>
        <v>0</v>
      </c>
      <c r="F78" s="372">
        <f>'WPB-2.1.C Plant Detail'!F2816+'WPB-2.1.C Plant Detail'!F2930+'WPB-2.1.C Plant Detail'!F3044+'WPB-2.1.C Plant Detail'!F3158+'WPB-2.1.C Plant Detail'!F3272+'WPB-2.1.C Plant Detail'!F3386+'WPB-2.1.C Plant Detail'!F3500+'WPB-2.1.C Plant Detail'!F3614+'WPB-2.1.C Plant Detail'!F3728+'WPB-2.1.C Plant Detail'!F3842+'WPB-2.1.C Plant Detail'!F3956+'WPB-2.1.C Plant Detail'!F4070</f>
        <v>0</v>
      </c>
      <c r="G78" s="372">
        <v>0</v>
      </c>
      <c r="H78" s="372">
        <f t="shared" si="8"/>
        <v>48924.4</v>
      </c>
      <c r="I78" s="372">
        <f>'WPB-2.1.A 13 mo avg Forecast '!Q74</f>
        <v>48924.400000000016</v>
      </c>
      <c r="J78" s="416"/>
    </row>
    <row r="79" spans="1:11">
      <c r="A79" s="334">
        <f t="shared" si="9"/>
        <v>6</v>
      </c>
      <c r="B79" s="293">
        <v>392.21</v>
      </c>
      <c r="C79" s="304" t="s">
        <v>630</v>
      </c>
      <c r="D79" s="372">
        <f>'WPB-2.1.C Plant Detail'!D2817</f>
        <v>24462.2</v>
      </c>
      <c r="E79" s="372">
        <f>'WPB-2.1.C Plant Detail'!E2817+'WPB-2.1.C Plant Detail'!E2931+'WPB-2.1.C Plant Detail'!E3045+'WPB-2.1.C Plant Detail'!E3159+'WPB-2.1.C Plant Detail'!E3273+'WPB-2.1.C Plant Detail'!E3387+'WPB-2.1.C Plant Detail'!E3501+'WPB-2.1.C Plant Detail'!E3615+'WPB-2.1.C Plant Detail'!E3729+'WPB-2.1.C Plant Detail'!E3843+'WPB-2.1.C Plant Detail'!E3957+'WPB-2.1.C Plant Detail'!E4071</f>
        <v>0</v>
      </c>
      <c r="F79" s="372">
        <f>'WPB-2.1.C Plant Detail'!F2817+'WPB-2.1.C Plant Detail'!F2931+'WPB-2.1.C Plant Detail'!F3045+'WPB-2.1.C Plant Detail'!F3159+'WPB-2.1.C Plant Detail'!F3273+'WPB-2.1.C Plant Detail'!F3387+'WPB-2.1.C Plant Detail'!F3501+'WPB-2.1.C Plant Detail'!F3615+'WPB-2.1.C Plant Detail'!F3729+'WPB-2.1.C Plant Detail'!F3843+'WPB-2.1.C Plant Detail'!F3957+'WPB-2.1.C Plant Detail'!F4071</f>
        <v>0</v>
      </c>
      <c r="G79" s="372">
        <v>0</v>
      </c>
      <c r="H79" s="372">
        <f t="shared" si="8"/>
        <v>24462.2</v>
      </c>
      <c r="I79" s="372">
        <f>'WPB-2.1.A 13 mo avg Forecast '!Q75</f>
        <v>24462.200000000008</v>
      </c>
      <c r="J79" s="416"/>
    </row>
    <row r="80" spans="1:11">
      <c r="A80" s="334">
        <f t="shared" si="9"/>
        <v>7</v>
      </c>
      <c r="B80" s="293">
        <v>393</v>
      </c>
      <c r="C80" s="304" t="s">
        <v>631</v>
      </c>
      <c r="D80" s="372">
        <f>'WPB-2.1.C Plant Detail'!D2818</f>
        <v>0</v>
      </c>
      <c r="E80" s="372">
        <f>'WPB-2.1.C Plant Detail'!E2818+'WPB-2.1.C Plant Detail'!E2932+'WPB-2.1.C Plant Detail'!E3046+'WPB-2.1.C Plant Detail'!E3160+'WPB-2.1.C Plant Detail'!E3274+'WPB-2.1.C Plant Detail'!E3388+'WPB-2.1.C Plant Detail'!E3502+'WPB-2.1.C Plant Detail'!E3616+'WPB-2.1.C Plant Detail'!E3730+'WPB-2.1.C Plant Detail'!E3844+'WPB-2.1.C Plant Detail'!E3958+'WPB-2.1.C Plant Detail'!E4072</f>
        <v>0</v>
      </c>
      <c r="F80" s="372">
        <f>'WPB-2.1.C Plant Detail'!F2818+'WPB-2.1.C Plant Detail'!F2932+'WPB-2.1.C Plant Detail'!F3046+'WPB-2.1.C Plant Detail'!F3160+'WPB-2.1.C Plant Detail'!F3274+'WPB-2.1.C Plant Detail'!F3388+'WPB-2.1.C Plant Detail'!F3502+'WPB-2.1.C Plant Detail'!F3616+'WPB-2.1.C Plant Detail'!F3730+'WPB-2.1.C Plant Detail'!F3844+'WPB-2.1.C Plant Detail'!F3958+'WPB-2.1.C Plant Detail'!F4072</f>
        <v>0</v>
      </c>
      <c r="G80" s="372">
        <v>0</v>
      </c>
      <c r="H80" s="372">
        <f t="shared" si="8"/>
        <v>0</v>
      </c>
      <c r="I80" s="372">
        <f>'WPB-2.1.A 13 mo avg Forecast '!Q76</f>
        <v>0</v>
      </c>
      <c r="J80" s="416"/>
    </row>
    <row r="81" spans="1:10">
      <c r="A81" s="334">
        <f t="shared" si="9"/>
        <v>8</v>
      </c>
      <c r="B81" s="293">
        <v>394.1</v>
      </c>
      <c r="C81" s="304" t="s">
        <v>632</v>
      </c>
      <c r="D81" s="372">
        <f>'WPB-2.1.C Plant Detail'!D2819</f>
        <v>9739</v>
      </c>
      <c r="E81" s="372">
        <f>'WPB-2.1.C Plant Detail'!E2819+'WPB-2.1.C Plant Detail'!E2933+'WPB-2.1.C Plant Detail'!E3047+'WPB-2.1.C Plant Detail'!E3161+'WPB-2.1.C Plant Detail'!E3275+'WPB-2.1.C Plant Detail'!E3389+'WPB-2.1.C Plant Detail'!E3503+'WPB-2.1.C Plant Detail'!E3617+'WPB-2.1.C Plant Detail'!E3731+'WPB-2.1.C Plant Detail'!E3845+'WPB-2.1.C Plant Detail'!E3959+'WPB-2.1.C Plant Detail'!E4073</f>
        <v>0</v>
      </c>
      <c r="F81" s="372">
        <f>'WPB-2.1.C Plant Detail'!F2819+'WPB-2.1.C Plant Detail'!F2933+'WPB-2.1.C Plant Detail'!F3047+'WPB-2.1.C Plant Detail'!F3161+'WPB-2.1.C Plant Detail'!F3275+'WPB-2.1.C Plant Detail'!F3389+'WPB-2.1.C Plant Detail'!F3503+'WPB-2.1.C Plant Detail'!F3617+'WPB-2.1.C Plant Detail'!F3731+'WPB-2.1.C Plant Detail'!F3845+'WPB-2.1.C Plant Detail'!F3959+'WPB-2.1.C Plant Detail'!F4073</f>
        <v>0</v>
      </c>
      <c r="G81" s="372">
        <v>0</v>
      </c>
      <c r="H81" s="372">
        <f t="shared" si="8"/>
        <v>9739</v>
      </c>
      <c r="I81" s="372">
        <f>'WPB-2.1.A 13 mo avg Forecast '!Q77</f>
        <v>9739</v>
      </c>
      <c r="J81" s="416"/>
    </row>
    <row r="82" spans="1:10">
      <c r="A82" s="334">
        <f t="shared" si="9"/>
        <v>9</v>
      </c>
      <c r="B82" s="293">
        <v>394.11</v>
      </c>
      <c r="C82" s="304" t="s">
        <v>633</v>
      </c>
      <c r="D82" s="372">
        <f>'WPB-2.1.C Plant Detail'!D2820</f>
        <v>0</v>
      </c>
      <c r="E82" s="372">
        <f>'WPB-2.1.C Plant Detail'!E2820+'WPB-2.1.C Plant Detail'!E2934+'WPB-2.1.C Plant Detail'!E3048+'WPB-2.1.C Plant Detail'!E3162+'WPB-2.1.C Plant Detail'!E3276+'WPB-2.1.C Plant Detail'!E3390+'WPB-2.1.C Plant Detail'!E3504+'WPB-2.1.C Plant Detail'!E3618+'WPB-2.1.C Plant Detail'!E3732+'WPB-2.1.C Plant Detail'!E3846+'WPB-2.1.C Plant Detail'!E3960+'WPB-2.1.C Plant Detail'!E4074</f>
        <v>0</v>
      </c>
      <c r="F82" s="372">
        <f>'WPB-2.1.C Plant Detail'!F2820+'WPB-2.1.C Plant Detail'!F2934+'WPB-2.1.C Plant Detail'!F3048+'WPB-2.1.C Plant Detail'!F3162+'WPB-2.1.C Plant Detail'!F3276+'WPB-2.1.C Plant Detail'!F3390+'WPB-2.1.C Plant Detail'!F3504+'WPB-2.1.C Plant Detail'!F3618+'WPB-2.1.C Plant Detail'!F3732+'WPB-2.1.C Plant Detail'!F3846+'WPB-2.1.C Plant Detail'!F3960+'WPB-2.1.C Plant Detail'!F4074</f>
        <v>0</v>
      </c>
      <c r="G82" s="372">
        <v>0</v>
      </c>
      <c r="H82" s="372">
        <f t="shared" si="8"/>
        <v>0</v>
      </c>
      <c r="I82" s="372">
        <f>'WPB-2.1.A 13 mo avg Forecast '!Q78</f>
        <v>0</v>
      </c>
      <c r="J82" s="416"/>
    </row>
    <row r="83" spans="1:10">
      <c r="A83" s="334">
        <f t="shared" si="9"/>
        <v>10</v>
      </c>
      <c r="B83" s="293">
        <v>394.13</v>
      </c>
      <c r="C83" s="304" t="s">
        <v>634</v>
      </c>
      <c r="D83" s="372">
        <f>'WPB-2.1.C Plant Detail'!D2821</f>
        <v>0</v>
      </c>
      <c r="E83" s="372">
        <f>'WPB-2.1.C Plant Detail'!E2821+'WPB-2.1.C Plant Detail'!E2935+'WPB-2.1.C Plant Detail'!E3049+'WPB-2.1.C Plant Detail'!E3163+'WPB-2.1.C Plant Detail'!E3277+'WPB-2.1.C Plant Detail'!E3391+'WPB-2.1.C Plant Detail'!E3505+'WPB-2.1.C Plant Detail'!E3619+'WPB-2.1.C Plant Detail'!E3733+'WPB-2.1.C Plant Detail'!E3847+'WPB-2.1.C Plant Detail'!E3961+'WPB-2.1.C Plant Detail'!E4075</f>
        <v>0</v>
      </c>
      <c r="F83" s="372">
        <f>'WPB-2.1.C Plant Detail'!F2821+'WPB-2.1.C Plant Detail'!F2935+'WPB-2.1.C Plant Detail'!F3049+'WPB-2.1.C Plant Detail'!F3163+'WPB-2.1.C Plant Detail'!F3277+'WPB-2.1.C Plant Detail'!F3391+'WPB-2.1.C Plant Detail'!F3505+'WPB-2.1.C Plant Detail'!F3619+'WPB-2.1.C Plant Detail'!F3733+'WPB-2.1.C Plant Detail'!F3847+'WPB-2.1.C Plant Detail'!F3961+'WPB-2.1.C Plant Detail'!F4075</f>
        <v>0</v>
      </c>
      <c r="G83" s="372">
        <v>0</v>
      </c>
      <c r="H83" s="372">
        <f t="shared" si="8"/>
        <v>0</v>
      </c>
      <c r="I83" s="372">
        <f>'WPB-2.1.A 13 mo avg Forecast '!Q79</f>
        <v>0</v>
      </c>
      <c r="J83" s="416"/>
    </row>
    <row r="84" spans="1:10">
      <c r="A84" s="334">
        <f t="shared" si="9"/>
        <v>11</v>
      </c>
      <c r="B84" s="293">
        <v>394.2</v>
      </c>
      <c r="C84" s="304" t="s">
        <v>635</v>
      </c>
      <c r="D84" s="372">
        <f>'WPB-2.1.C Plant Detail'!D2822</f>
        <v>0</v>
      </c>
      <c r="E84" s="372">
        <f>'WPB-2.1.C Plant Detail'!E2822+'WPB-2.1.C Plant Detail'!E2936+'WPB-2.1.C Plant Detail'!E3050+'WPB-2.1.C Plant Detail'!E3164+'WPB-2.1.C Plant Detail'!E3278+'WPB-2.1.C Plant Detail'!E3392+'WPB-2.1.C Plant Detail'!E3506+'WPB-2.1.C Plant Detail'!E3620+'WPB-2.1.C Plant Detail'!E3734+'WPB-2.1.C Plant Detail'!E3848+'WPB-2.1.C Plant Detail'!E3962+'WPB-2.1.C Plant Detail'!E4076</f>
        <v>0</v>
      </c>
      <c r="F84" s="372">
        <f>'WPB-2.1.C Plant Detail'!F2822+'WPB-2.1.C Plant Detail'!F2936+'WPB-2.1.C Plant Detail'!F3050+'WPB-2.1.C Plant Detail'!F3164+'WPB-2.1.C Plant Detail'!F3278+'WPB-2.1.C Plant Detail'!F3392+'WPB-2.1.C Plant Detail'!F3506+'WPB-2.1.C Plant Detail'!F3620+'WPB-2.1.C Plant Detail'!F3734+'WPB-2.1.C Plant Detail'!F3848+'WPB-2.1.C Plant Detail'!F3962+'WPB-2.1.C Plant Detail'!F4076</f>
        <v>0</v>
      </c>
      <c r="G84" s="372">
        <v>0</v>
      </c>
      <c r="H84" s="372">
        <f t="shared" si="8"/>
        <v>0</v>
      </c>
      <c r="I84" s="372">
        <f>'WPB-2.1.A 13 mo avg Forecast '!Q80</f>
        <v>0</v>
      </c>
      <c r="J84" s="416"/>
    </row>
    <row r="85" spans="1:10">
      <c r="A85" s="334">
        <f t="shared" si="9"/>
        <v>12</v>
      </c>
      <c r="B85" s="293">
        <v>394.3</v>
      </c>
      <c r="C85" s="304" t="s">
        <v>636</v>
      </c>
      <c r="D85" s="372">
        <f>'WPB-2.1.C Plant Detail'!D2823</f>
        <v>5308950.4100000011</v>
      </c>
      <c r="E85" s="372">
        <f>'WPB-2.1.C Plant Detail'!E2823+'WPB-2.1.C Plant Detail'!E2937+'WPB-2.1.C Plant Detail'!E3051+'WPB-2.1.C Plant Detail'!E3165+'WPB-2.1.C Plant Detail'!E3279+'WPB-2.1.C Plant Detail'!E3393+'WPB-2.1.C Plant Detail'!E3507+'WPB-2.1.C Plant Detail'!E3621+'WPB-2.1.C Plant Detail'!E3735+'WPB-2.1.C Plant Detail'!E3849+'WPB-2.1.C Plant Detail'!E3963+'WPB-2.1.C Plant Detail'!E4077</f>
        <v>2406247.0100000002</v>
      </c>
      <c r="F85" s="372">
        <f>'WPB-2.1.C Plant Detail'!F2823+'WPB-2.1.C Plant Detail'!F2937+'WPB-2.1.C Plant Detail'!F3051+'WPB-2.1.C Plant Detail'!F3165+'WPB-2.1.C Plant Detail'!F3279+'WPB-2.1.C Plant Detail'!F3393+'WPB-2.1.C Plant Detail'!F3507+'WPB-2.1.C Plant Detail'!F3621+'WPB-2.1.C Plant Detail'!F3735+'WPB-2.1.C Plant Detail'!F3849+'WPB-2.1.C Plant Detail'!F3963+'WPB-2.1.C Plant Detail'!F4077</f>
        <v>-652092.92999999993</v>
      </c>
      <c r="G85" s="372">
        <v>0</v>
      </c>
      <c r="H85" s="372">
        <f t="shared" si="8"/>
        <v>7063104.4900000021</v>
      </c>
      <c r="I85" s="372">
        <f>'WPB-2.1.A 13 mo avg Forecast '!Q81</f>
        <v>6157146.0984615386</v>
      </c>
      <c r="J85" s="416"/>
    </row>
    <row r="86" spans="1:10">
      <c r="A86" s="334">
        <f t="shared" si="9"/>
        <v>13</v>
      </c>
      <c r="B86" s="293">
        <v>395</v>
      </c>
      <c r="C86" s="304" t="s">
        <v>637</v>
      </c>
      <c r="D86" s="372">
        <f>'WPB-2.1.C Plant Detail'!D2824</f>
        <v>0</v>
      </c>
      <c r="E86" s="372">
        <f>'WPB-2.1.C Plant Detail'!E2824+'WPB-2.1.C Plant Detail'!E2938+'WPB-2.1.C Plant Detail'!E3052+'WPB-2.1.C Plant Detail'!E3166+'WPB-2.1.C Plant Detail'!E3280+'WPB-2.1.C Plant Detail'!E3394+'WPB-2.1.C Plant Detail'!E3508+'WPB-2.1.C Plant Detail'!E3622+'WPB-2.1.C Plant Detail'!E3736+'WPB-2.1.C Plant Detail'!E3850+'WPB-2.1.C Plant Detail'!E3964+'WPB-2.1.C Plant Detail'!E4078</f>
        <v>0</v>
      </c>
      <c r="F86" s="372">
        <f>'WPB-2.1.C Plant Detail'!F2824+'WPB-2.1.C Plant Detail'!F2938+'WPB-2.1.C Plant Detail'!F3052+'WPB-2.1.C Plant Detail'!F3166+'WPB-2.1.C Plant Detail'!F3280+'WPB-2.1.C Plant Detail'!F3394+'WPB-2.1.C Plant Detail'!F3508+'WPB-2.1.C Plant Detail'!F3622+'WPB-2.1.C Plant Detail'!F3736+'WPB-2.1.C Plant Detail'!F3850+'WPB-2.1.C Plant Detail'!F3964+'WPB-2.1.C Plant Detail'!F4078</f>
        <v>0</v>
      </c>
      <c r="G86" s="372">
        <v>0</v>
      </c>
      <c r="H86" s="372">
        <f t="shared" si="8"/>
        <v>0</v>
      </c>
      <c r="I86" s="372">
        <f>'WPB-2.1.A 13 mo avg Forecast '!Q82</f>
        <v>0</v>
      </c>
      <c r="J86" s="416"/>
    </row>
    <row r="87" spans="1:10">
      <c r="A87" s="334">
        <f t="shared" si="9"/>
        <v>14</v>
      </c>
      <c r="B87" s="293">
        <v>396</v>
      </c>
      <c r="C87" s="304" t="s">
        <v>638</v>
      </c>
      <c r="D87" s="372">
        <f>'WPB-2.1.C Plant Detail'!D2825</f>
        <v>185547</v>
      </c>
      <c r="E87" s="372">
        <f>'WPB-2.1.C Plant Detail'!E2825+'WPB-2.1.C Plant Detail'!E2939+'WPB-2.1.C Plant Detail'!E3053+'WPB-2.1.C Plant Detail'!E3167+'WPB-2.1.C Plant Detail'!E3281+'WPB-2.1.C Plant Detail'!E3395+'WPB-2.1.C Plant Detail'!E3509+'WPB-2.1.C Plant Detail'!E3623+'WPB-2.1.C Plant Detail'!E3737+'WPB-2.1.C Plant Detail'!E3851+'WPB-2.1.C Plant Detail'!E3965+'WPB-2.1.C Plant Detail'!E4079</f>
        <v>0</v>
      </c>
      <c r="F87" s="372">
        <f>'WPB-2.1.C Plant Detail'!F2825+'WPB-2.1.C Plant Detail'!F2939+'WPB-2.1.C Plant Detail'!F3053+'WPB-2.1.C Plant Detail'!F3167+'WPB-2.1.C Plant Detail'!F3281+'WPB-2.1.C Plant Detail'!F3395+'WPB-2.1.C Plant Detail'!F3509+'WPB-2.1.C Plant Detail'!F3623+'WPB-2.1.C Plant Detail'!F3737+'WPB-2.1.C Plant Detail'!F3851+'WPB-2.1.C Plant Detail'!F3965+'WPB-2.1.C Plant Detail'!F4079</f>
        <v>0</v>
      </c>
      <c r="G87" s="372">
        <v>0</v>
      </c>
      <c r="H87" s="372">
        <f t="shared" si="8"/>
        <v>185547</v>
      </c>
      <c r="I87" s="372">
        <f>'WPB-2.1.A 13 mo avg Forecast '!Q83</f>
        <v>185547</v>
      </c>
      <c r="J87" s="416"/>
    </row>
    <row r="88" spans="1:10">
      <c r="A88" s="334">
        <f t="shared" si="9"/>
        <v>15</v>
      </c>
      <c r="B88" s="293">
        <v>398</v>
      </c>
      <c r="C88" s="304" t="s">
        <v>639</v>
      </c>
      <c r="D88" s="922">
        <f>'WPB-2.1.C Plant Detail'!D2826</f>
        <v>148028.20000000001</v>
      </c>
      <c r="E88" s="922">
        <f>'WPB-2.1.C Plant Detail'!E2826+'WPB-2.1.C Plant Detail'!E2940+'WPB-2.1.C Plant Detail'!E3054+'WPB-2.1.C Plant Detail'!E3168+'WPB-2.1.C Plant Detail'!E3282+'WPB-2.1.C Plant Detail'!E3396+'WPB-2.1.C Plant Detail'!E3510+'WPB-2.1.C Plant Detail'!E3624+'WPB-2.1.C Plant Detail'!E3738+'WPB-2.1.C Plant Detail'!E3852+'WPB-2.1.C Plant Detail'!E3966+'WPB-2.1.C Plant Detail'!E4080</f>
        <v>0</v>
      </c>
      <c r="F88" s="922">
        <f>'WPB-2.1.C Plant Detail'!F2826+'WPB-2.1.C Plant Detail'!F2940+'WPB-2.1.C Plant Detail'!F3054+'WPB-2.1.C Plant Detail'!F3168+'WPB-2.1.C Plant Detail'!F3282+'WPB-2.1.C Plant Detail'!F3396+'WPB-2.1.C Plant Detail'!F3510+'WPB-2.1.C Plant Detail'!F3624+'WPB-2.1.C Plant Detail'!F3738+'WPB-2.1.C Plant Detail'!F3852+'WPB-2.1.C Plant Detail'!F3966+'WPB-2.1.C Plant Detail'!F4080</f>
        <v>0</v>
      </c>
      <c r="G88" s="959">
        <v>0</v>
      </c>
      <c r="H88" s="959">
        <f t="shared" si="8"/>
        <v>148028.20000000001</v>
      </c>
      <c r="I88" s="922">
        <f>'WPB-2.1.A 13 mo avg Forecast '!Q84</f>
        <v>148028.19999999998</v>
      </c>
      <c r="J88" s="416"/>
    </row>
    <row r="89" spans="1:10">
      <c r="A89" s="334">
        <f t="shared" si="9"/>
        <v>16</v>
      </c>
      <c r="C89" s="387" t="s">
        <v>640</v>
      </c>
      <c r="D89" s="372">
        <f t="shared" ref="D89:I89" si="10">SUM(D75:D88)</f>
        <v>6684522.120000001</v>
      </c>
      <c r="E89" s="372">
        <f t="shared" si="10"/>
        <v>2406247.0100000002</v>
      </c>
      <c r="F89" s="372">
        <f>SUM(F75:F88)</f>
        <v>-652092.92999999993</v>
      </c>
      <c r="G89" s="372">
        <f t="shared" si="10"/>
        <v>0</v>
      </c>
      <c r="H89" s="372">
        <f t="shared" si="10"/>
        <v>8438676.2000000011</v>
      </c>
      <c r="I89" s="372">
        <f t="shared" si="10"/>
        <v>7532717.8084615385</v>
      </c>
      <c r="J89" s="416"/>
    </row>
    <row r="90" spans="1:10">
      <c r="D90" s="372"/>
      <c r="E90" s="372"/>
      <c r="F90" s="372"/>
      <c r="G90" s="372"/>
      <c r="H90" s="372"/>
      <c r="I90" s="372"/>
      <c r="J90" s="416"/>
    </row>
    <row r="91" spans="1:10">
      <c r="A91" s="334">
        <f>A89+1</f>
        <v>17</v>
      </c>
      <c r="C91" s="407" t="s">
        <v>1038</v>
      </c>
      <c r="D91" s="372"/>
      <c r="E91" s="372"/>
      <c r="F91" s="372"/>
      <c r="G91" s="372"/>
      <c r="H91" s="372"/>
      <c r="I91" s="372"/>
      <c r="J91" s="416"/>
    </row>
    <row r="92" spans="1:10">
      <c r="A92" s="334">
        <f>A91+1</f>
        <v>18</v>
      </c>
      <c r="B92" s="386">
        <v>378.21</v>
      </c>
      <c r="C92" s="387" t="s">
        <v>1036</v>
      </c>
      <c r="D92" s="922">
        <f>'WPB-2.1.C Plant Detail'!D2830</f>
        <v>-777092</v>
      </c>
      <c r="E92" s="922">
        <v>0</v>
      </c>
      <c r="F92" s="922">
        <v>0</v>
      </c>
      <c r="G92" s="922">
        <v>0</v>
      </c>
      <c r="H92" s="922">
        <f>SUM(D92:G92)</f>
        <v>-777092</v>
      </c>
      <c r="I92" s="922">
        <f>'WPB-2.1.A 13 mo avg Forecast '!Q88</f>
        <v>-777092</v>
      </c>
      <c r="J92" s="416"/>
    </row>
    <row r="93" spans="1:10" s="332" customFormat="1">
      <c r="A93" s="220"/>
      <c r="B93" s="393"/>
      <c r="C93" s="220" t="s">
        <v>1781</v>
      </c>
      <c r="D93" s="328">
        <f t="shared" ref="D93:I93" si="11">SUM(D92)</f>
        <v>-777092</v>
      </c>
      <c r="E93" s="328">
        <f t="shared" si="11"/>
        <v>0</v>
      </c>
      <c r="F93" s="328">
        <f t="shared" si="11"/>
        <v>0</v>
      </c>
      <c r="G93" s="328">
        <f t="shared" si="11"/>
        <v>0</v>
      </c>
      <c r="H93" s="328">
        <f t="shared" si="11"/>
        <v>-777092</v>
      </c>
      <c r="I93" s="328">
        <f t="shared" si="11"/>
        <v>-777092</v>
      </c>
    </row>
    <row r="94" spans="1:10">
      <c r="C94" s="189"/>
      <c r="D94" s="372"/>
      <c r="E94" s="372"/>
      <c r="F94" s="372"/>
      <c r="G94" s="372"/>
      <c r="H94" s="372"/>
      <c r="I94" s="372"/>
      <c r="J94" s="416"/>
    </row>
    <row r="95" spans="1:10">
      <c r="A95" s="334">
        <f>A92+1</f>
        <v>19</v>
      </c>
      <c r="C95" s="220" t="s">
        <v>1782</v>
      </c>
      <c r="D95" s="410">
        <f t="shared" ref="D95:I95" si="12">D89+D57+D24+D93</f>
        <v>762522885.30492187</v>
      </c>
      <c r="E95" s="410">
        <f t="shared" si="12"/>
        <v>33008956.874653503</v>
      </c>
      <c r="F95" s="410">
        <f t="shared" si="12"/>
        <v>-6250946.6132029695</v>
      </c>
      <c r="G95" s="410">
        <f t="shared" si="12"/>
        <v>0</v>
      </c>
      <c r="H95" s="410">
        <f t="shared" si="12"/>
        <v>789280895.56637251</v>
      </c>
      <c r="I95" s="410">
        <f t="shared" si="12"/>
        <v>775008140.86461878</v>
      </c>
      <c r="J95" s="416"/>
    </row>
    <row r="96" spans="1:10">
      <c r="C96" s="387"/>
      <c r="D96" s="380"/>
      <c r="E96" s="380"/>
      <c r="F96" s="380"/>
      <c r="G96" s="380"/>
      <c r="H96" s="380"/>
      <c r="I96" s="380"/>
      <c r="J96" s="416"/>
    </row>
    <row r="97" spans="1:10">
      <c r="A97" s="411">
        <f>+A95+1</f>
        <v>20</v>
      </c>
      <c r="B97" s="411"/>
      <c r="C97" s="839" t="s">
        <v>1774</v>
      </c>
      <c r="D97" s="411"/>
    </row>
    <row r="98" spans="1:10">
      <c r="A98" s="411">
        <f>+A97+1</f>
        <v>21</v>
      </c>
      <c r="B98" s="412">
        <v>376</v>
      </c>
      <c r="C98" s="411" t="s">
        <v>576</v>
      </c>
      <c r="D98" s="372">
        <f>'WPB-2.1.C Plant Detail'!D2841</f>
        <v>52245108.823506333</v>
      </c>
      <c r="E98" s="372">
        <f>'WPB-2.1.C Plant Detail'!E2841+'WPB-2.1.C Plant Detail'!E2955+'WPB-2.1.C Plant Detail'!E3069+'WPB-2.1.C Plant Detail'!E3183+'WPB-2.1.C Plant Detail'!E3297+'WPB-2.1.C Plant Detail'!E3411+'WPB-2.1.C Plant Detail'!E3525+'WPB-2.1.C Plant Detail'!E3639+'WPB-2.1.C Plant Detail'!E3753+'WPB-2.1.C Plant Detail'!E3867+'WPB-2.1.C Plant Detail'!E3981+'WPB-2.1.C Plant Detail'!E4095</f>
        <v>25609859.390000001</v>
      </c>
      <c r="F98" s="372">
        <f>'WPB-2.1.C Plant Detail'!F2841+'WPB-2.1.C Plant Detail'!F2955+'WPB-2.1.C Plant Detail'!F3069+'WPB-2.1.C Plant Detail'!F3183+'WPB-2.1.C Plant Detail'!F3297+'WPB-2.1.C Plant Detail'!F3411+'WPB-2.1.C Plant Detail'!F3525+'WPB-2.1.C Plant Detail'!F3639+'WPB-2.1.C Plant Detail'!F3753+'WPB-2.1.C Plant Detail'!F3867+'WPB-2.1.C Plant Detail'!F3981+'WPB-2.1.C Plant Detail'!F4095</f>
        <v>-408704.23999999987</v>
      </c>
      <c r="G98" s="372">
        <v>0</v>
      </c>
      <c r="H98" s="372">
        <f t="shared" ref="H98:H102" si="13">SUM(D98:G98)</f>
        <v>77446263.973506346</v>
      </c>
      <c r="I98" s="372">
        <f>'WPB-2.1.A 13 mo avg Forecast '!Q94</f>
        <v>62010528.702244245</v>
      </c>
      <c r="J98" s="416"/>
    </row>
    <row r="99" spans="1:10">
      <c r="A99" s="411">
        <f t="shared" ref="A99:A103" si="14">+A98+1</f>
        <v>22</v>
      </c>
      <c r="B99" s="412">
        <v>378.2</v>
      </c>
      <c r="C99" s="411" t="s">
        <v>2915</v>
      </c>
      <c r="D99" s="372">
        <f>'WPB-2.1.C Plant Detail'!D2842</f>
        <v>599780.62011021946</v>
      </c>
      <c r="E99" s="372">
        <f>'WPB-2.1.C Plant Detail'!E2842+'WPB-2.1.C Plant Detail'!E2956+'WPB-2.1.C Plant Detail'!E3070+'WPB-2.1.C Plant Detail'!E3184+'WPB-2.1.C Plant Detail'!E3298+'WPB-2.1.C Plant Detail'!E3412+'WPB-2.1.C Plant Detail'!E3526+'WPB-2.1.C Plant Detail'!E3640+'WPB-2.1.C Plant Detail'!E3754+'WPB-2.1.C Plant Detail'!E3868+'WPB-2.1.C Plant Detail'!E3982+'WPB-2.1.C Plant Detail'!E4096</f>
        <v>0</v>
      </c>
      <c r="F99" s="372">
        <f>'WPB-2.1.C Plant Detail'!F2842+'WPB-2.1.C Plant Detail'!F2956+'WPB-2.1.C Plant Detail'!F3070+'WPB-2.1.C Plant Detail'!F3184+'WPB-2.1.C Plant Detail'!F3298+'WPB-2.1.C Plant Detail'!F3412+'WPB-2.1.C Plant Detail'!F3526+'WPB-2.1.C Plant Detail'!F3640+'WPB-2.1.C Plant Detail'!F3754+'WPB-2.1.C Plant Detail'!F3868+'WPB-2.1.C Plant Detail'!F3982+'WPB-2.1.C Plant Detail'!F4096</f>
        <v>0</v>
      </c>
      <c r="G99" s="372">
        <v>0</v>
      </c>
      <c r="H99" s="372">
        <f t="shared" si="13"/>
        <v>599780.62011021946</v>
      </c>
      <c r="I99" s="372">
        <f>'WPB-2.1.A 13 mo avg Forecast '!Q95</f>
        <v>599780.62011021946</v>
      </c>
      <c r="J99" s="416"/>
    </row>
    <row r="100" spans="1:10">
      <c r="A100" s="411">
        <f t="shared" si="14"/>
        <v>23</v>
      </c>
      <c r="B100" s="412">
        <v>380</v>
      </c>
      <c r="C100" s="411" t="s">
        <v>398</v>
      </c>
      <c r="D100" s="372">
        <f>'WPB-2.1.C Plant Detail'!D2843</f>
        <v>21966406.624204569</v>
      </c>
      <c r="E100" s="372">
        <f>'WPB-2.1.C Plant Detail'!E2843+'WPB-2.1.C Plant Detail'!E2957+'WPB-2.1.C Plant Detail'!E3071+'WPB-2.1.C Plant Detail'!E3185+'WPB-2.1.C Plant Detail'!E3299+'WPB-2.1.C Plant Detail'!E3413+'WPB-2.1.C Plant Detail'!E3527+'WPB-2.1.C Plant Detail'!E3641+'WPB-2.1.C Plant Detail'!E3755+'WPB-2.1.C Plant Detail'!E3869+'WPB-2.1.C Plant Detail'!E3983+'WPB-2.1.C Plant Detail'!E4097</f>
        <v>9925726.4123366717</v>
      </c>
      <c r="F100" s="372">
        <f>'WPB-2.1.C Plant Detail'!F2843+'WPB-2.1.C Plant Detail'!F2957+'WPB-2.1.C Plant Detail'!F3071+'WPB-2.1.C Plant Detail'!F3185+'WPB-2.1.C Plant Detail'!F3299+'WPB-2.1.C Plant Detail'!F3413+'WPB-2.1.C Plant Detail'!F3527+'WPB-2.1.C Plant Detail'!F3641+'WPB-2.1.C Plant Detail'!F3755+'WPB-2.1.C Plant Detail'!F3869+'WPB-2.1.C Plant Detail'!F3983+'WPB-2.1.C Plant Detail'!F4097</f>
        <v>-2565800.2775890296</v>
      </c>
      <c r="G100" s="372">
        <v>0</v>
      </c>
      <c r="H100" s="372">
        <f t="shared" si="13"/>
        <v>29326332.758952208</v>
      </c>
      <c r="I100" s="372">
        <f>'WPB-2.1.A 13 mo avg Forecast '!Q96</f>
        <v>25711526.350910101</v>
      </c>
      <c r="J100" s="416"/>
    </row>
    <row r="101" spans="1:10">
      <c r="A101" s="411">
        <f t="shared" si="14"/>
        <v>24</v>
      </c>
      <c r="B101" s="412">
        <v>382</v>
      </c>
      <c r="C101" s="411" t="s">
        <v>2916</v>
      </c>
      <c r="D101" s="372">
        <f>'WPB-2.1.C Plant Detail'!D2844</f>
        <v>228505.5945269751</v>
      </c>
      <c r="E101" s="372">
        <f>'WPB-2.1.C Plant Detail'!E2844+'WPB-2.1.C Plant Detail'!E2958+'WPB-2.1.C Plant Detail'!E3072+'WPB-2.1.C Plant Detail'!E3186+'WPB-2.1.C Plant Detail'!E3300+'WPB-2.1.C Plant Detail'!E3414+'WPB-2.1.C Plant Detail'!E3528+'WPB-2.1.C Plant Detail'!E3642+'WPB-2.1.C Plant Detail'!E3756+'WPB-2.1.C Plant Detail'!E3870+'WPB-2.1.C Plant Detail'!E3984+'WPB-2.1.C Plant Detail'!E4098</f>
        <v>60000.000000000015</v>
      </c>
      <c r="F101" s="372">
        <f>'WPB-2.1.C Plant Detail'!F2844+'WPB-2.1.C Plant Detail'!F2958+'WPB-2.1.C Plant Detail'!F3072+'WPB-2.1.C Plant Detail'!F3186+'WPB-2.1.C Plant Detail'!F3300+'WPB-2.1.C Plant Detail'!F3414+'WPB-2.1.C Plant Detail'!F3528+'WPB-2.1.C Plant Detail'!F3642+'WPB-2.1.C Plant Detail'!F3756+'WPB-2.1.C Plant Detail'!F3870+'WPB-2.1.C Plant Detail'!F3984+'WPB-2.1.C Plant Detail'!F4098</f>
        <v>-6252</v>
      </c>
      <c r="G101" s="372">
        <v>0</v>
      </c>
      <c r="H101" s="372">
        <f t="shared" si="13"/>
        <v>282253.59452697512</v>
      </c>
      <c r="I101" s="372">
        <f>'WPB-2.1.A 13 mo avg Forecast '!Q97</f>
        <v>246456.53916738307</v>
      </c>
      <c r="J101" s="416"/>
    </row>
    <row r="102" spans="1:10">
      <c r="A102" s="411">
        <f t="shared" si="14"/>
        <v>25</v>
      </c>
      <c r="B102" s="412">
        <v>383</v>
      </c>
      <c r="C102" s="411" t="s">
        <v>2917</v>
      </c>
      <c r="D102" s="372">
        <f>'WPB-2.1.C Plant Detail'!D2845</f>
        <v>144714.99528017396</v>
      </c>
      <c r="E102" s="372">
        <f>'WPB-2.1.C Plant Detail'!E2845+'WPB-2.1.C Plant Detail'!E2959+'WPB-2.1.C Plant Detail'!E3073+'WPB-2.1.C Plant Detail'!E3187+'WPB-2.1.C Plant Detail'!E3301+'WPB-2.1.C Plant Detail'!E3415+'WPB-2.1.C Plant Detail'!E3529+'WPB-2.1.C Plant Detail'!E3643+'WPB-2.1.C Plant Detail'!E3757+'WPB-2.1.C Plant Detail'!E3871+'WPB-2.1.C Plant Detail'!E3985+'WPB-2.1.C Plant Detail'!E4099</f>
        <v>60000</v>
      </c>
      <c r="F102" s="372">
        <f>'WPB-2.1.C Plant Detail'!F2845+'WPB-2.1.C Plant Detail'!F2959+'WPB-2.1.C Plant Detail'!F3073+'WPB-2.1.C Plant Detail'!F3187+'WPB-2.1.C Plant Detail'!F3301+'WPB-2.1.C Plant Detail'!F3415+'WPB-2.1.C Plant Detail'!F3529+'WPB-2.1.C Plant Detail'!F3643+'WPB-2.1.C Plant Detail'!F3757+'WPB-2.1.C Plant Detail'!F3871+'WPB-2.1.C Plant Detail'!F3985+'WPB-2.1.C Plant Detail'!F4099</f>
        <v>-1284</v>
      </c>
      <c r="G102" s="372">
        <v>0</v>
      </c>
      <c r="H102" s="372">
        <f t="shared" si="13"/>
        <v>203430.99528017396</v>
      </c>
      <c r="I102" s="372">
        <f>'WPB-2.1.A 13 mo avg Forecast '!Q98</f>
        <v>173651.06697016026</v>
      </c>
      <c r="J102" s="416"/>
    </row>
    <row r="103" spans="1:10">
      <c r="A103" s="411">
        <f t="shared" si="14"/>
        <v>26</v>
      </c>
      <c r="B103" s="411"/>
      <c r="C103" s="411" t="s">
        <v>1783</v>
      </c>
      <c r="D103" s="323">
        <f>SUM(D98:D102)</f>
        <v>75184516.657628268</v>
      </c>
      <c r="E103" s="323">
        <f t="shared" ref="E103:I103" si="15">SUM(E98:E102)</f>
        <v>35655585.80233667</v>
      </c>
      <c r="F103" s="323">
        <f t="shared" si="15"/>
        <v>-2982040.5175890294</v>
      </c>
      <c r="G103" s="323">
        <f t="shared" si="15"/>
        <v>0</v>
      </c>
      <c r="H103" s="323">
        <f t="shared" si="15"/>
        <v>107858061.94237593</v>
      </c>
      <c r="I103" s="323">
        <f t="shared" si="15"/>
        <v>88741943.279402107</v>
      </c>
      <c r="J103" s="416"/>
    </row>
    <row r="104" spans="1:10">
      <c r="A104" s="411"/>
      <c r="B104" s="411"/>
      <c r="C104" s="411"/>
      <c r="D104" s="411"/>
      <c r="E104" s="372"/>
      <c r="F104" s="372"/>
      <c r="G104" s="372"/>
      <c r="H104" s="372"/>
      <c r="I104" s="372"/>
      <c r="J104" s="416"/>
    </row>
    <row r="105" spans="1:10">
      <c r="A105" s="411">
        <f>+A103+1</f>
        <v>27</v>
      </c>
      <c r="B105" s="411"/>
      <c r="C105" s="411" t="s">
        <v>447</v>
      </c>
      <c r="D105" s="414">
        <f>+D103+D95</f>
        <v>837707401.96255016</v>
      </c>
      <c r="E105" s="414">
        <f t="shared" ref="E105:I105" si="16">+E103+E95</f>
        <v>68664542.676990181</v>
      </c>
      <c r="F105" s="414">
        <f t="shared" si="16"/>
        <v>-9232987.1307919994</v>
      </c>
      <c r="G105" s="414">
        <f t="shared" si="16"/>
        <v>0</v>
      </c>
      <c r="H105" s="414">
        <f t="shared" si="16"/>
        <v>897138957.50874841</v>
      </c>
      <c r="I105" s="414">
        <f t="shared" si="16"/>
        <v>863750084.14402092</v>
      </c>
      <c r="J105" s="416"/>
    </row>
    <row r="106" spans="1:10">
      <c r="D106" s="372"/>
      <c r="E106" s="372"/>
      <c r="F106" s="372"/>
      <c r="G106" s="372"/>
      <c r="H106" s="372"/>
      <c r="I106" s="372"/>
      <c r="J106" s="416"/>
    </row>
    <row r="107" spans="1:10">
      <c r="D107" s="372"/>
      <c r="E107" s="372"/>
      <c r="F107" s="372"/>
      <c r="G107" s="372"/>
      <c r="H107" s="372"/>
      <c r="I107" s="372"/>
      <c r="J107" s="416"/>
    </row>
    <row r="108" spans="1:10">
      <c r="D108" s="372"/>
      <c r="E108" s="372"/>
      <c r="F108" s="372"/>
      <c r="G108" s="372"/>
      <c r="H108" s="372"/>
      <c r="I108" s="372"/>
      <c r="J108" s="416"/>
    </row>
    <row r="109" spans="1:10">
      <c r="D109" s="372"/>
      <c r="E109" s="372"/>
      <c r="F109" s="372"/>
      <c r="G109" s="372"/>
      <c r="H109" s="372"/>
      <c r="I109" s="372"/>
      <c r="J109" s="416"/>
    </row>
    <row r="110" spans="1:10">
      <c r="D110" s="372"/>
      <c r="E110" s="372"/>
      <c r="F110" s="372"/>
      <c r="G110" s="372"/>
      <c r="H110" s="372"/>
      <c r="I110" s="372"/>
      <c r="J110" s="416"/>
    </row>
    <row r="111" spans="1:10">
      <c r="D111" s="372"/>
      <c r="E111" s="372"/>
      <c r="F111" s="372"/>
      <c r="G111" s="372"/>
      <c r="H111" s="372"/>
      <c r="I111" s="372"/>
      <c r="J111" s="416"/>
    </row>
    <row r="112" spans="1:10">
      <c r="D112" s="372"/>
      <c r="E112" s="372"/>
      <c r="F112" s="372"/>
      <c r="G112" s="372"/>
      <c r="H112" s="372"/>
      <c r="I112" s="372"/>
      <c r="J112" s="416"/>
    </row>
    <row r="113" spans="4:10">
      <c r="D113" s="372"/>
      <c r="E113" s="372"/>
      <c r="F113" s="372"/>
      <c r="G113" s="372"/>
      <c r="H113" s="372"/>
      <c r="I113" s="372"/>
      <c r="J113" s="416"/>
    </row>
    <row r="114" spans="4:10">
      <c r="D114" s="372"/>
      <c r="E114" s="372"/>
      <c r="F114" s="372"/>
      <c r="G114" s="372"/>
      <c r="H114" s="372"/>
      <c r="I114" s="372"/>
      <c r="J114" s="416"/>
    </row>
    <row r="115" spans="4:10">
      <c r="D115" s="372"/>
      <c r="E115" s="372"/>
      <c r="F115" s="372"/>
      <c r="G115" s="372"/>
      <c r="H115" s="372"/>
      <c r="I115" s="372"/>
      <c r="J115" s="416"/>
    </row>
    <row r="116" spans="4:10">
      <c r="D116" s="372"/>
      <c r="E116" s="372"/>
      <c r="F116" s="372"/>
      <c r="G116" s="372"/>
      <c r="H116" s="372"/>
      <c r="I116" s="372"/>
      <c r="J116" s="416"/>
    </row>
    <row r="117" spans="4:10">
      <c r="D117" s="372"/>
      <c r="E117" s="372"/>
      <c r="F117" s="372"/>
      <c r="G117" s="372"/>
      <c r="H117" s="372"/>
      <c r="I117" s="372"/>
      <c r="J117" s="416"/>
    </row>
    <row r="118" spans="4:10">
      <c r="D118" s="372"/>
      <c r="E118" s="372"/>
      <c r="F118" s="372"/>
      <c r="G118" s="372"/>
      <c r="H118" s="372"/>
      <c r="I118" s="372"/>
      <c r="J118" s="416"/>
    </row>
    <row r="119" spans="4:10">
      <c r="D119" s="372"/>
      <c r="E119" s="372"/>
      <c r="F119" s="372"/>
      <c r="G119" s="372"/>
      <c r="H119" s="372"/>
      <c r="I119" s="372"/>
      <c r="J119" s="416"/>
    </row>
    <row r="120" spans="4:10">
      <c r="D120" s="372"/>
      <c r="E120" s="372"/>
      <c r="F120" s="372"/>
      <c r="G120" s="372"/>
      <c r="H120" s="372"/>
      <c r="I120" s="372"/>
      <c r="J120" s="416"/>
    </row>
    <row r="121" spans="4:10">
      <c r="D121" s="372"/>
      <c r="E121" s="372"/>
      <c r="F121" s="372"/>
      <c r="G121" s="372"/>
      <c r="H121" s="372"/>
      <c r="I121" s="372"/>
      <c r="J121" s="416"/>
    </row>
    <row r="122" spans="4:10">
      <c r="D122" s="372"/>
      <c r="E122" s="372"/>
      <c r="F122" s="372"/>
      <c r="G122" s="372"/>
      <c r="H122" s="372"/>
      <c r="I122" s="372"/>
      <c r="J122" s="416"/>
    </row>
    <row r="123" spans="4:10">
      <c r="D123" s="372"/>
      <c r="E123" s="372"/>
      <c r="F123" s="372"/>
      <c r="G123" s="372"/>
      <c r="H123" s="372"/>
      <c r="I123" s="372"/>
      <c r="J123" s="416"/>
    </row>
    <row r="124" spans="4:10">
      <c r="D124" s="372"/>
      <c r="E124" s="372"/>
      <c r="F124" s="372"/>
      <c r="G124" s="372"/>
      <c r="H124" s="372"/>
      <c r="I124" s="372"/>
      <c r="J124" s="416"/>
    </row>
    <row r="125" spans="4:10">
      <c r="D125" s="372"/>
      <c r="E125" s="372"/>
      <c r="F125" s="372"/>
      <c r="G125" s="372"/>
      <c r="H125" s="372"/>
      <c r="I125" s="372"/>
      <c r="J125" s="416"/>
    </row>
    <row r="126" spans="4:10">
      <c r="D126" s="372"/>
      <c r="E126" s="372"/>
      <c r="F126" s="372"/>
      <c r="G126" s="372"/>
      <c r="H126" s="372"/>
      <c r="I126" s="372"/>
      <c r="J126" s="416"/>
    </row>
    <row r="127" spans="4:10">
      <c r="D127" s="372"/>
      <c r="E127" s="372"/>
      <c r="F127" s="372"/>
      <c r="G127" s="372"/>
      <c r="H127" s="372"/>
      <c r="I127" s="372"/>
      <c r="J127" s="416"/>
    </row>
    <row r="128" spans="4:10">
      <c r="D128" s="372"/>
      <c r="E128" s="372"/>
      <c r="F128" s="372"/>
      <c r="G128" s="372"/>
      <c r="H128" s="372"/>
      <c r="I128" s="372"/>
      <c r="J128" s="416"/>
    </row>
    <row r="129" spans="4:10">
      <c r="D129" s="372"/>
      <c r="E129" s="372"/>
      <c r="F129" s="372"/>
      <c r="G129" s="372"/>
      <c r="H129" s="372"/>
      <c r="I129" s="372"/>
      <c r="J129" s="416"/>
    </row>
    <row r="130" spans="4:10">
      <c r="D130" s="372"/>
      <c r="E130" s="372"/>
      <c r="F130" s="372"/>
      <c r="G130" s="372"/>
      <c r="H130" s="372"/>
      <c r="I130" s="372"/>
      <c r="J130" s="416"/>
    </row>
    <row r="131" spans="4:10">
      <c r="D131" s="372"/>
      <c r="E131" s="372"/>
      <c r="F131" s="372"/>
      <c r="G131" s="372"/>
      <c r="H131" s="372"/>
      <c r="I131" s="372"/>
      <c r="J131" s="416"/>
    </row>
    <row r="132" spans="4:10">
      <c r="D132" s="372"/>
      <c r="E132" s="372"/>
      <c r="F132" s="372"/>
      <c r="G132" s="372"/>
      <c r="H132" s="372"/>
      <c r="I132" s="372"/>
      <c r="J132" s="416"/>
    </row>
    <row r="133" spans="4:10">
      <c r="D133" s="372"/>
      <c r="E133" s="372"/>
      <c r="F133" s="372"/>
      <c r="G133" s="372"/>
      <c r="H133" s="372"/>
      <c r="I133" s="372"/>
      <c r="J133" s="416"/>
    </row>
    <row r="134" spans="4:10">
      <c r="D134" s="372"/>
      <c r="E134" s="372"/>
      <c r="F134" s="372"/>
      <c r="G134" s="372"/>
      <c r="H134" s="372"/>
      <c r="I134" s="372"/>
      <c r="J134" s="416"/>
    </row>
    <row r="135" spans="4:10">
      <c r="D135" s="372"/>
      <c r="E135" s="372"/>
      <c r="F135" s="372"/>
      <c r="G135" s="372"/>
      <c r="H135" s="372"/>
      <c r="I135" s="372"/>
      <c r="J135" s="416"/>
    </row>
    <row r="136" spans="4:10">
      <c r="D136" s="372"/>
      <c r="E136" s="372"/>
      <c r="F136" s="372"/>
      <c r="G136" s="372"/>
      <c r="H136" s="372"/>
      <c r="I136" s="372"/>
      <c r="J136" s="416"/>
    </row>
    <row r="137" spans="4:10">
      <c r="D137" s="372"/>
      <c r="E137" s="372"/>
      <c r="F137" s="372"/>
      <c r="G137" s="372"/>
      <c r="H137" s="372"/>
      <c r="I137" s="372"/>
      <c r="J137" s="416"/>
    </row>
    <row r="138" spans="4:10">
      <c r="D138" s="372"/>
      <c r="E138" s="372"/>
      <c r="F138" s="372"/>
      <c r="G138" s="372"/>
      <c r="H138" s="372"/>
      <c r="I138" s="372"/>
      <c r="J138" s="416"/>
    </row>
    <row r="139" spans="4:10">
      <c r="D139" s="372"/>
      <c r="E139" s="372"/>
      <c r="F139" s="372"/>
      <c r="G139" s="372"/>
      <c r="H139" s="372"/>
      <c r="I139" s="372"/>
      <c r="J139" s="416"/>
    </row>
    <row r="140" spans="4:10">
      <c r="D140" s="372"/>
      <c r="E140" s="372"/>
      <c r="F140" s="372"/>
      <c r="G140" s="372"/>
      <c r="H140" s="372"/>
      <c r="I140" s="372"/>
      <c r="J140" s="416"/>
    </row>
  </sheetData>
  <mergeCells count="9">
    <mergeCell ref="A59:I59"/>
    <mergeCell ref="A60:I60"/>
    <mergeCell ref="A61:I61"/>
    <mergeCell ref="A62:I62"/>
    <mergeCell ref="A1:I1"/>
    <mergeCell ref="A2:I2"/>
    <mergeCell ref="A3:I3"/>
    <mergeCell ref="A4:I4"/>
    <mergeCell ref="J16:K16"/>
  </mergeCells>
  <printOptions horizontalCentered="1"/>
  <pageMargins left="0.5" right="0.5" top="0.75" bottom="0.5" header="0.3" footer="0.3"/>
  <pageSetup scale="68" fitToHeight="2" orientation="portrait" r:id="rId1"/>
  <rowBreaks count="1" manualBreakCount="1">
    <brk id="58"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I32"/>
  <sheetViews>
    <sheetView zoomScaleNormal="100" zoomScaleSheetLayoutView="100" workbookViewId="0">
      <selection activeCell="H17" sqref="H17"/>
    </sheetView>
  </sheetViews>
  <sheetFormatPr defaultColWidth="9.6640625" defaultRowHeight="12.75"/>
  <cols>
    <col min="1" max="1" width="6.33203125" style="220" customWidth="1"/>
    <col min="2" max="2" width="9.6640625" style="220"/>
    <col min="3" max="9" width="20" style="220" customWidth="1"/>
    <col min="10" max="16384" width="9.6640625" style="220"/>
  </cols>
  <sheetData>
    <row r="1" spans="1:9">
      <c r="A1" s="1306" t="str">
        <f>'General Headers Index'!B4</f>
        <v>COLUMBIA GAS OF KENTUCKY, INC.</v>
      </c>
      <c r="B1" s="1306"/>
      <c r="C1" s="1306"/>
      <c r="D1" s="1306"/>
      <c r="E1" s="1306"/>
      <c r="F1" s="1306"/>
      <c r="G1" s="1306"/>
      <c r="H1" s="1306"/>
      <c r="I1" s="1306"/>
    </row>
    <row r="2" spans="1:9">
      <c r="A2" s="1306" t="str">
        <f>'General Headers Index'!B6</f>
        <v>CASE NO. 2024 - 00092</v>
      </c>
      <c r="B2" s="1306"/>
      <c r="C2" s="1306"/>
      <c r="D2" s="1306"/>
      <c r="E2" s="1306"/>
      <c r="F2" s="1306"/>
      <c r="G2" s="1306"/>
      <c r="H2" s="1306"/>
      <c r="I2" s="1306"/>
    </row>
    <row r="3" spans="1:9">
      <c r="A3" s="1306" t="s">
        <v>448</v>
      </c>
      <c r="B3" s="1306"/>
      <c r="C3" s="1306"/>
      <c r="D3" s="1306"/>
      <c r="E3" s="1306"/>
      <c r="F3" s="1306"/>
      <c r="G3" s="1306"/>
      <c r="H3" s="1306"/>
      <c r="I3" s="1306"/>
    </row>
    <row r="4" spans="1:9">
      <c r="A4" s="1306" t="str">
        <f>'General Headers Index'!B10</f>
        <v>AS OF AUGUST 31, 2024</v>
      </c>
      <c r="B4" s="1306"/>
      <c r="C4" s="1306"/>
      <c r="D4" s="1306"/>
      <c r="E4" s="1306"/>
      <c r="F4" s="1306"/>
      <c r="G4" s="1306"/>
      <c r="H4" s="1306"/>
      <c r="I4" s="1306"/>
    </row>
    <row r="6" spans="1:9">
      <c r="A6" s="229" t="s">
        <v>2787</v>
      </c>
      <c r="H6" s="229"/>
      <c r="I6" s="326" t="s">
        <v>449</v>
      </c>
    </row>
    <row r="7" spans="1:9">
      <c r="A7" s="229" t="str">
        <f>'General Headers Index'!B37</f>
        <v>TYPE OF FILING:___X___ORIGINAL______UPDATED</v>
      </c>
      <c r="H7" s="229"/>
      <c r="I7" s="326" t="s">
        <v>309</v>
      </c>
    </row>
    <row r="8" spans="1:9">
      <c r="A8" s="229" t="s">
        <v>575</v>
      </c>
      <c r="H8" s="229"/>
      <c r="I8" s="326" t="str">
        <f>"WITNESS: "&amp;'General Headers Index'!B42</f>
        <v>WITNESS: GORE</v>
      </c>
    </row>
    <row r="9" spans="1:9">
      <c r="A9" s="229"/>
      <c r="H9" s="229"/>
      <c r="I9" s="326"/>
    </row>
    <row r="10" spans="1:9">
      <c r="A10" s="465"/>
      <c r="B10" s="465"/>
      <c r="C10" s="465"/>
      <c r="D10" s="465"/>
      <c r="E10" s="465"/>
      <c r="F10" s="465"/>
      <c r="G10" s="439" t="s">
        <v>450</v>
      </c>
      <c r="H10" s="465"/>
      <c r="I10" s="439" t="s">
        <v>438</v>
      </c>
    </row>
    <row r="11" spans="1:9">
      <c r="A11" s="217" t="s">
        <v>313</v>
      </c>
      <c r="B11" s="217" t="s">
        <v>368</v>
      </c>
      <c r="C11" s="217" t="s">
        <v>451</v>
      </c>
      <c r="D11" s="217" t="s">
        <v>452</v>
      </c>
      <c r="E11" s="217" t="s">
        <v>453</v>
      </c>
      <c r="F11" s="217" t="s">
        <v>452</v>
      </c>
      <c r="G11" s="217" t="s">
        <v>454</v>
      </c>
      <c r="H11" s="217" t="s">
        <v>455</v>
      </c>
      <c r="I11" s="217" t="s">
        <v>456</v>
      </c>
    </row>
    <row r="12" spans="1:9">
      <c r="A12" s="890" t="s">
        <v>316</v>
      </c>
      <c r="B12" s="890" t="s">
        <v>316</v>
      </c>
      <c r="C12" s="890" t="s">
        <v>457</v>
      </c>
      <c r="D12" s="890" t="s">
        <v>453</v>
      </c>
      <c r="E12" s="890" t="s">
        <v>458</v>
      </c>
      <c r="F12" s="890" t="s">
        <v>433</v>
      </c>
      <c r="G12" s="890" t="s">
        <v>459</v>
      </c>
      <c r="H12" s="890" t="s">
        <v>452</v>
      </c>
      <c r="I12" s="890" t="s">
        <v>460</v>
      </c>
    </row>
    <row r="15" spans="1:9">
      <c r="D15" s="328"/>
      <c r="E15" s="329"/>
      <c r="F15" s="328"/>
      <c r="G15" s="328"/>
      <c r="H15" s="328"/>
    </row>
    <row r="16" spans="1:9">
      <c r="D16" s="328"/>
      <c r="F16" s="328"/>
      <c r="G16" s="328"/>
    </row>
    <row r="17" spans="1:9">
      <c r="A17" s="238" t="s">
        <v>461</v>
      </c>
      <c r="B17" s="238"/>
      <c r="C17" s="238"/>
      <c r="D17" s="239"/>
      <c r="E17" s="240"/>
      <c r="F17" s="238"/>
      <c r="G17" s="239"/>
      <c r="H17" s="239"/>
      <c r="I17" s="238"/>
    </row>
    <row r="18" spans="1:9">
      <c r="D18" s="328"/>
      <c r="F18" s="328"/>
      <c r="H18" s="328"/>
    </row>
    <row r="19" spans="1:9">
      <c r="D19" s="328"/>
      <c r="E19" s="329"/>
      <c r="F19" s="328"/>
      <c r="G19" s="328"/>
      <c r="H19" s="328"/>
    </row>
    <row r="20" spans="1:9">
      <c r="D20" s="328"/>
      <c r="F20" s="328"/>
      <c r="G20" s="328"/>
      <c r="H20" s="328"/>
    </row>
    <row r="21" spans="1:9">
      <c r="D21" s="328"/>
      <c r="E21" s="329"/>
      <c r="F21" s="328"/>
      <c r="G21" s="328"/>
      <c r="H21" s="328"/>
    </row>
    <row r="22" spans="1:9">
      <c r="D22" s="328"/>
      <c r="F22" s="328"/>
      <c r="G22" s="328"/>
      <c r="H22" s="328"/>
    </row>
    <row r="23" spans="1:9">
      <c r="D23" s="328"/>
      <c r="E23" s="329"/>
      <c r="F23" s="328"/>
      <c r="G23" s="328"/>
      <c r="H23" s="328"/>
    </row>
    <row r="24" spans="1:9">
      <c r="D24" s="328"/>
      <c r="F24" s="328"/>
      <c r="G24" s="328"/>
      <c r="H24" s="328"/>
    </row>
    <row r="25" spans="1:9">
      <c r="D25" s="328"/>
      <c r="E25" s="329"/>
      <c r="F25" s="328"/>
      <c r="G25" s="328"/>
      <c r="H25" s="328"/>
    </row>
    <row r="26" spans="1:9">
      <c r="D26" s="328"/>
      <c r="F26" s="328"/>
      <c r="G26" s="328"/>
      <c r="H26" s="328"/>
    </row>
    <row r="27" spans="1:9">
      <c r="D27" s="328"/>
      <c r="E27" s="329"/>
      <c r="F27" s="328"/>
      <c r="G27" s="328"/>
      <c r="H27" s="328"/>
    </row>
    <row r="28" spans="1:9">
      <c r="D28" s="328"/>
      <c r="F28" s="328"/>
      <c r="G28" s="328"/>
      <c r="H28" s="328"/>
    </row>
    <row r="29" spans="1:9">
      <c r="D29" s="328"/>
      <c r="E29" s="329"/>
      <c r="F29" s="328"/>
      <c r="G29" s="328"/>
      <c r="H29" s="328"/>
    </row>
    <row r="30" spans="1:9">
      <c r="D30" s="328"/>
      <c r="F30" s="328"/>
      <c r="G30" s="328"/>
      <c r="H30" s="328"/>
    </row>
    <row r="31" spans="1:9">
      <c r="F31" s="328"/>
      <c r="G31" s="328"/>
    </row>
    <row r="32" spans="1:9">
      <c r="F32" s="328"/>
      <c r="G32" s="328"/>
    </row>
  </sheetData>
  <mergeCells count="4">
    <mergeCell ref="A1:I1"/>
    <mergeCell ref="A2:I2"/>
    <mergeCell ref="A3:I3"/>
    <mergeCell ref="A4:I4"/>
  </mergeCells>
  <printOptions horizontalCentered="1"/>
  <pageMargins left="0.5" right="0.5" top="0.75" bottom="0.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zoomScaleNormal="100" zoomScaleSheetLayoutView="96" workbookViewId="0">
      <selection activeCell="G12" sqref="G12"/>
    </sheetView>
  </sheetViews>
  <sheetFormatPr defaultColWidth="9.6640625" defaultRowHeight="12.75"/>
  <cols>
    <col min="1" max="1" width="6.33203125" style="220" customWidth="1"/>
    <col min="2" max="2" width="9.6640625" style="220"/>
    <col min="3" max="9" width="20" style="220" customWidth="1"/>
    <col min="10" max="16384" width="9.6640625" style="220"/>
  </cols>
  <sheetData>
    <row r="1" spans="1:9">
      <c r="A1" s="1306" t="str">
        <f>'General Headers Index'!B4</f>
        <v>COLUMBIA GAS OF KENTUCKY, INC.</v>
      </c>
      <c r="B1" s="1306"/>
      <c r="C1" s="1306"/>
      <c r="D1" s="1306"/>
      <c r="E1" s="1306"/>
      <c r="F1" s="1306"/>
      <c r="G1" s="1306"/>
      <c r="H1" s="1306"/>
      <c r="I1" s="1306"/>
    </row>
    <row r="2" spans="1:9">
      <c r="A2" s="1306" t="str">
        <f>'General Headers Index'!B6</f>
        <v>CASE NO. 2024 - 00092</v>
      </c>
      <c r="B2" s="1306"/>
      <c r="C2" s="1306"/>
      <c r="D2" s="1306"/>
      <c r="E2" s="1306"/>
      <c r="F2" s="1306"/>
      <c r="G2" s="1306"/>
      <c r="H2" s="1306"/>
      <c r="I2" s="1306"/>
    </row>
    <row r="3" spans="1:9">
      <c r="A3" s="1306" t="s">
        <v>448</v>
      </c>
      <c r="B3" s="1306"/>
      <c r="C3" s="1306"/>
      <c r="D3" s="1306"/>
      <c r="E3" s="1306"/>
      <c r="F3" s="1306"/>
      <c r="G3" s="1306"/>
      <c r="H3" s="1306"/>
      <c r="I3" s="1306"/>
    </row>
    <row r="4" spans="1:9">
      <c r="A4" s="1306" t="str">
        <f>'General Headers Index'!B17</f>
        <v>AS OF DECEMBER 31, 2025</v>
      </c>
      <c r="B4" s="1306"/>
      <c r="C4" s="1306"/>
      <c r="D4" s="1306"/>
      <c r="E4" s="1306"/>
      <c r="F4" s="1306"/>
      <c r="G4" s="1306"/>
      <c r="H4" s="1306"/>
      <c r="I4" s="1306"/>
    </row>
    <row r="6" spans="1:9">
      <c r="A6" s="229" t="s">
        <v>2788</v>
      </c>
      <c r="H6" s="229"/>
      <c r="I6" s="326" t="s">
        <v>449</v>
      </c>
    </row>
    <row r="7" spans="1:9">
      <c r="A7" s="229" t="str">
        <f>'General Headers Index'!B37</f>
        <v>TYPE OF FILING:___X___ORIGINAL______UPDATED</v>
      </c>
      <c r="H7" s="229"/>
      <c r="I7" s="326" t="s">
        <v>650</v>
      </c>
    </row>
    <row r="8" spans="1:9">
      <c r="A8" s="229" t="s">
        <v>575</v>
      </c>
      <c r="H8" s="229"/>
      <c r="I8" s="326" t="str">
        <f>"WITNESS: "&amp;'General Headers Index'!B42</f>
        <v>WITNESS: GORE</v>
      </c>
    </row>
    <row r="9" spans="1:9">
      <c r="A9" s="229"/>
      <c r="H9" s="229"/>
      <c r="I9" s="326"/>
    </row>
    <row r="10" spans="1:9">
      <c r="A10" s="465"/>
      <c r="B10" s="465"/>
      <c r="C10" s="465"/>
      <c r="D10" s="465"/>
      <c r="E10" s="465"/>
      <c r="F10" s="465"/>
      <c r="G10" s="439" t="s">
        <v>450</v>
      </c>
      <c r="H10" s="465"/>
      <c r="I10" s="439" t="s">
        <v>438</v>
      </c>
    </row>
    <row r="11" spans="1:9">
      <c r="A11" s="217" t="s">
        <v>313</v>
      </c>
      <c r="B11" s="217" t="s">
        <v>368</v>
      </c>
      <c r="C11" s="217" t="s">
        <v>451</v>
      </c>
      <c r="D11" s="217" t="s">
        <v>452</v>
      </c>
      <c r="E11" s="217" t="s">
        <v>453</v>
      </c>
      <c r="F11" s="217" t="s">
        <v>452</v>
      </c>
      <c r="G11" s="217" t="s">
        <v>454</v>
      </c>
      <c r="H11" s="217" t="s">
        <v>455</v>
      </c>
      <c r="I11" s="217" t="s">
        <v>456</v>
      </c>
    </row>
    <row r="12" spans="1:9">
      <c r="A12" s="890" t="s">
        <v>316</v>
      </c>
      <c r="B12" s="890" t="s">
        <v>316</v>
      </c>
      <c r="C12" s="890" t="s">
        <v>457</v>
      </c>
      <c r="D12" s="890" t="s">
        <v>453</v>
      </c>
      <c r="E12" s="890" t="s">
        <v>458</v>
      </c>
      <c r="F12" s="890" t="s">
        <v>433</v>
      </c>
      <c r="G12" s="890" t="s">
        <v>459</v>
      </c>
      <c r="H12" s="890" t="s">
        <v>452</v>
      </c>
      <c r="I12" s="890" t="s">
        <v>460</v>
      </c>
    </row>
    <row r="15" spans="1:9">
      <c r="D15" s="328"/>
      <c r="E15" s="329"/>
      <c r="F15" s="328"/>
      <c r="G15" s="328"/>
      <c r="H15" s="328"/>
    </row>
    <row r="16" spans="1:9">
      <c r="D16" s="328"/>
      <c r="F16" s="328"/>
      <c r="G16" s="328"/>
    </row>
    <row r="17" spans="1:9">
      <c r="A17" s="238" t="s">
        <v>461</v>
      </c>
      <c r="B17" s="238"/>
      <c r="C17" s="238"/>
      <c r="D17" s="239"/>
      <c r="E17" s="240"/>
      <c r="F17" s="238"/>
      <c r="G17" s="239"/>
      <c r="H17" s="239"/>
      <c r="I17" s="238"/>
    </row>
    <row r="18" spans="1:9">
      <c r="D18" s="328"/>
      <c r="F18" s="328"/>
      <c r="H18" s="328"/>
    </row>
    <row r="19" spans="1:9">
      <c r="D19" s="328"/>
      <c r="E19" s="329"/>
      <c r="F19" s="328"/>
      <c r="G19" s="328"/>
      <c r="H19" s="328"/>
    </row>
    <row r="20" spans="1:9">
      <c r="D20" s="328"/>
      <c r="F20" s="328"/>
      <c r="G20" s="328"/>
      <c r="H20" s="328"/>
    </row>
    <row r="21" spans="1:9">
      <c r="D21" s="328"/>
      <c r="E21" s="329"/>
      <c r="F21" s="328"/>
      <c r="G21" s="328"/>
      <c r="H21" s="328"/>
    </row>
    <row r="22" spans="1:9">
      <c r="D22" s="328"/>
      <c r="F22" s="328"/>
      <c r="G22" s="328"/>
      <c r="H22" s="328"/>
    </row>
    <row r="23" spans="1:9">
      <c r="D23" s="328"/>
      <c r="E23" s="329"/>
      <c r="F23" s="328"/>
      <c r="G23" s="328"/>
      <c r="H23" s="328"/>
    </row>
    <row r="24" spans="1:9">
      <c r="D24" s="328"/>
      <c r="F24" s="328"/>
      <c r="G24" s="328"/>
      <c r="H24" s="328"/>
    </row>
    <row r="25" spans="1:9">
      <c r="D25" s="328"/>
      <c r="E25" s="329"/>
      <c r="F25" s="328"/>
      <c r="G25" s="328"/>
      <c r="H25" s="328"/>
    </row>
    <row r="26" spans="1:9">
      <c r="D26" s="328"/>
      <c r="F26" s="328"/>
      <c r="G26" s="328"/>
      <c r="H26" s="328"/>
    </row>
    <row r="27" spans="1:9">
      <c r="D27" s="328"/>
      <c r="E27" s="329"/>
      <c r="F27" s="328"/>
      <c r="G27" s="328"/>
      <c r="H27" s="328"/>
    </row>
    <row r="28" spans="1:9">
      <c r="D28" s="328"/>
      <c r="F28" s="328"/>
      <c r="G28" s="328"/>
      <c r="H28" s="328"/>
    </row>
    <row r="29" spans="1:9">
      <c r="D29" s="328"/>
      <c r="E29" s="329"/>
      <c r="F29" s="328"/>
      <c r="G29" s="328"/>
      <c r="H29" s="328"/>
    </row>
    <row r="30" spans="1:9">
      <c r="D30" s="328"/>
      <c r="F30" s="328"/>
      <c r="G30" s="328"/>
      <c r="H30" s="328"/>
    </row>
    <row r="31" spans="1:9">
      <c r="F31" s="328"/>
      <c r="G31" s="328"/>
    </row>
    <row r="32" spans="1:9">
      <c r="F32" s="328"/>
      <c r="G32" s="328"/>
    </row>
  </sheetData>
  <mergeCells count="4">
    <mergeCell ref="A1:I1"/>
    <mergeCell ref="A2:I2"/>
    <mergeCell ref="A3:I3"/>
    <mergeCell ref="A4:I4"/>
  </mergeCells>
  <printOptions horizontalCentered="1"/>
  <pageMargins left="0.5" right="0.5" top="0.75" bottom="0.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34"/>
  <sheetViews>
    <sheetView zoomScaleNormal="100" zoomScaleSheetLayoutView="100" workbookViewId="0">
      <selection sqref="A1:XFD1048576"/>
    </sheetView>
  </sheetViews>
  <sheetFormatPr defaultColWidth="9.6640625" defaultRowHeight="12.75"/>
  <cols>
    <col min="1" max="1" width="7.6640625" style="220" customWidth="1"/>
    <col min="2" max="2" width="18.6640625" style="220" bestFit="1" customWidth="1"/>
    <col min="3" max="3" width="27.6640625" style="220" bestFit="1" customWidth="1"/>
    <col min="4" max="4" width="14.83203125" style="220" customWidth="1"/>
    <col min="5" max="5" width="20.1640625" style="220" customWidth="1"/>
    <col min="6" max="6" width="21.1640625" style="220" customWidth="1"/>
    <col min="7" max="7" width="19.5" style="220" customWidth="1"/>
    <col min="8" max="8" width="25.5" style="220" customWidth="1"/>
    <col min="9" max="16384" width="9.6640625" style="220"/>
  </cols>
  <sheetData>
    <row r="1" spans="1:8">
      <c r="A1" s="1306" t="str">
        <f>'General Headers Index'!B4</f>
        <v>COLUMBIA GAS OF KENTUCKY, INC.</v>
      </c>
      <c r="B1" s="1306"/>
      <c r="C1" s="1306"/>
      <c r="D1" s="1306"/>
      <c r="E1" s="1306"/>
      <c r="F1" s="1306"/>
      <c r="G1" s="1306"/>
      <c r="H1" s="1306"/>
    </row>
    <row r="2" spans="1:8">
      <c r="A2" s="1306" t="str">
        <f>'General Headers Index'!B6</f>
        <v>CASE NO. 2024 - 00092</v>
      </c>
      <c r="B2" s="1306"/>
      <c r="C2" s="1306"/>
      <c r="D2" s="1306"/>
      <c r="E2" s="1306"/>
      <c r="F2" s="1306"/>
      <c r="G2" s="1306"/>
      <c r="H2" s="1306"/>
    </row>
    <row r="3" spans="1:8">
      <c r="A3" s="1306" t="s">
        <v>462</v>
      </c>
      <c r="B3" s="1306"/>
      <c r="C3" s="1306"/>
      <c r="D3" s="1306"/>
      <c r="E3" s="1306"/>
      <c r="F3" s="1306"/>
      <c r="G3" s="1306"/>
      <c r="H3" s="1306"/>
    </row>
    <row r="4" spans="1:8">
      <c r="A4" s="1306" t="str">
        <f>'General Headers Index'!B10</f>
        <v>AS OF AUGUST 31, 2024</v>
      </c>
      <c r="B4" s="1306"/>
      <c r="C4" s="1306"/>
      <c r="D4" s="1306"/>
      <c r="E4" s="1306"/>
      <c r="F4" s="1306"/>
      <c r="G4" s="1306"/>
      <c r="H4" s="1306"/>
    </row>
    <row r="6" spans="1:8">
      <c r="A6" s="229" t="s">
        <v>2787</v>
      </c>
      <c r="H6" s="326" t="s">
        <v>463</v>
      </c>
    </row>
    <row r="7" spans="1:8">
      <c r="A7" s="229" t="str">
        <f>'General Headers Index'!B37</f>
        <v>TYPE OF FILING:___X___ORIGINAL______UPDATED</v>
      </c>
      <c r="H7" s="326" t="s">
        <v>309</v>
      </c>
    </row>
    <row r="8" spans="1:8">
      <c r="A8" s="229" t="s">
        <v>575</v>
      </c>
      <c r="H8" s="326" t="str">
        <f>"WITNESS: "&amp;'General Headers Index'!B42</f>
        <v>WITNESS: GORE</v>
      </c>
    </row>
    <row r="9" spans="1:8">
      <c r="A9" s="229"/>
      <c r="H9" s="326"/>
    </row>
    <row r="10" spans="1:8">
      <c r="A10" s="465"/>
      <c r="B10" s="465"/>
      <c r="C10" s="465"/>
      <c r="D10" s="465"/>
      <c r="E10" s="465"/>
      <c r="F10" s="465"/>
      <c r="G10" s="439" t="s">
        <v>464</v>
      </c>
      <c r="H10" s="465"/>
    </row>
    <row r="11" spans="1:8">
      <c r="B11" s="217" t="s">
        <v>465</v>
      </c>
      <c r="G11" s="217" t="s">
        <v>466</v>
      </c>
    </row>
    <row r="12" spans="1:8">
      <c r="A12" s="217" t="s">
        <v>313</v>
      </c>
      <c r="B12" s="217" t="s">
        <v>467</v>
      </c>
      <c r="C12" s="217" t="s">
        <v>468</v>
      </c>
      <c r="D12" s="217" t="s">
        <v>469</v>
      </c>
      <c r="E12" s="217" t="s">
        <v>470</v>
      </c>
      <c r="F12" s="217" t="s">
        <v>471</v>
      </c>
      <c r="G12" s="217" t="s">
        <v>472</v>
      </c>
      <c r="H12" s="217" t="s">
        <v>473</v>
      </c>
    </row>
    <row r="13" spans="1:8">
      <c r="A13" s="890" t="s">
        <v>316</v>
      </c>
      <c r="B13" s="890" t="s">
        <v>474</v>
      </c>
      <c r="C13" s="890" t="s">
        <v>475</v>
      </c>
      <c r="D13" s="890" t="s">
        <v>476</v>
      </c>
      <c r="E13" s="890" t="s">
        <v>477</v>
      </c>
      <c r="F13" s="890" t="s">
        <v>478</v>
      </c>
      <c r="G13" s="890" t="s">
        <v>445</v>
      </c>
      <c r="H13" s="890" t="s">
        <v>479</v>
      </c>
    </row>
    <row r="16" spans="1:8">
      <c r="D16" s="328"/>
      <c r="E16" s="328"/>
      <c r="F16" s="328"/>
      <c r="G16" s="328"/>
    </row>
    <row r="17" spans="1:8">
      <c r="D17" s="328"/>
      <c r="E17" s="328"/>
      <c r="F17" s="328"/>
    </row>
    <row r="18" spans="1:8">
      <c r="A18" s="238" t="s">
        <v>1141</v>
      </c>
      <c r="B18" s="238"/>
      <c r="C18" s="238"/>
      <c r="D18" s="239"/>
      <c r="E18" s="238"/>
      <c r="F18" s="239"/>
      <c r="G18" s="239"/>
      <c r="H18" s="238"/>
    </row>
    <row r="19" spans="1:8">
      <c r="D19" s="328"/>
      <c r="E19" s="328"/>
      <c r="G19" s="328"/>
    </row>
    <row r="20" spans="1:8">
      <c r="D20" s="328"/>
      <c r="E20" s="328"/>
      <c r="F20" s="328"/>
      <c r="G20" s="328"/>
    </row>
    <row r="21" spans="1:8">
      <c r="D21" s="328"/>
      <c r="E21" s="328"/>
      <c r="F21" s="328"/>
      <c r="G21" s="328"/>
    </row>
    <row r="22" spans="1:8">
      <c r="D22" s="328"/>
      <c r="E22" s="328"/>
      <c r="F22" s="328"/>
      <c r="G22" s="328"/>
    </row>
    <row r="23" spans="1:8">
      <c r="D23" s="328"/>
      <c r="E23" s="328"/>
      <c r="F23" s="328"/>
      <c r="G23" s="328"/>
    </row>
    <row r="24" spans="1:8">
      <c r="D24" s="328"/>
      <c r="E24" s="328"/>
      <c r="F24" s="328"/>
      <c r="G24" s="328"/>
    </row>
    <row r="25" spans="1:8">
      <c r="D25" s="328"/>
      <c r="E25" s="328"/>
      <c r="F25" s="328"/>
      <c r="G25" s="328"/>
    </row>
    <row r="26" spans="1:8">
      <c r="D26" s="328"/>
      <c r="E26" s="328"/>
      <c r="F26" s="328"/>
      <c r="G26" s="328"/>
    </row>
    <row r="27" spans="1:8">
      <c r="D27" s="328"/>
      <c r="E27" s="328"/>
      <c r="F27" s="328"/>
      <c r="G27" s="328"/>
    </row>
    <row r="28" spans="1:8">
      <c r="D28" s="328"/>
      <c r="E28" s="328"/>
      <c r="F28" s="328"/>
      <c r="G28" s="328"/>
    </row>
    <row r="29" spans="1:8">
      <c r="D29" s="328"/>
      <c r="E29" s="328"/>
      <c r="F29" s="328"/>
      <c r="G29" s="328"/>
    </row>
    <row r="30" spans="1:8">
      <c r="E30" s="328"/>
      <c r="F30" s="328"/>
    </row>
    <row r="31" spans="1:8">
      <c r="E31" s="328"/>
      <c r="F31" s="328"/>
    </row>
    <row r="32" spans="1:8">
      <c r="E32" s="328"/>
      <c r="F32" s="328"/>
    </row>
    <row r="33" spans="5:6">
      <c r="E33" s="328"/>
      <c r="F33" s="328"/>
    </row>
    <row r="34" spans="5:6">
      <c r="E34" s="328"/>
      <c r="F34" s="328"/>
    </row>
  </sheetData>
  <mergeCells count="4">
    <mergeCell ref="A1:H1"/>
    <mergeCell ref="A2:H2"/>
    <mergeCell ref="A3:H3"/>
    <mergeCell ref="A4:H4"/>
  </mergeCells>
  <printOptions horizontalCentered="1"/>
  <pageMargins left="0.5" right="0.5" top="0.75" bottom="0.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34"/>
  <sheetViews>
    <sheetView zoomScaleNormal="100" zoomScaleSheetLayoutView="100" workbookViewId="0">
      <selection activeCell="F11" sqref="F11"/>
    </sheetView>
  </sheetViews>
  <sheetFormatPr defaultColWidth="9.6640625" defaultRowHeight="12.75"/>
  <cols>
    <col min="1" max="1" width="7.6640625" style="220" customWidth="1"/>
    <col min="2" max="2" width="18.6640625" style="220" bestFit="1" customWidth="1"/>
    <col min="3" max="3" width="27.6640625" style="220" bestFit="1" customWidth="1"/>
    <col min="4" max="4" width="14.83203125" style="220" customWidth="1"/>
    <col min="5" max="5" width="20.1640625" style="220" customWidth="1"/>
    <col min="6" max="6" width="21.1640625" style="220" customWidth="1"/>
    <col min="7" max="7" width="19.5" style="220" customWidth="1"/>
    <col min="8" max="8" width="25.5" style="220" customWidth="1"/>
    <col min="9" max="16384" width="9.6640625" style="220"/>
  </cols>
  <sheetData>
    <row r="1" spans="1:8">
      <c r="A1" s="1306" t="str">
        <f>'General Headers Index'!B4</f>
        <v>COLUMBIA GAS OF KENTUCKY, INC.</v>
      </c>
      <c r="B1" s="1306"/>
      <c r="C1" s="1306"/>
      <c r="D1" s="1306"/>
      <c r="E1" s="1306"/>
      <c r="F1" s="1306"/>
      <c r="G1" s="1306"/>
      <c r="H1" s="1306"/>
    </row>
    <row r="2" spans="1:8">
      <c r="A2" s="1306" t="str">
        <f>'General Headers Index'!B6</f>
        <v>CASE NO. 2024 - 00092</v>
      </c>
      <c r="B2" s="1306"/>
      <c r="C2" s="1306"/>
      <c r="D2" s="1306"/>
      <c r="E2" s="1306"/>
      <c r="F2" s="1306"/>
      <c r="G2" s="1306"/>
      <c r="H2" s="1306"/>
    </row>
    <row r="3" spans="1:8">
      <c r="A3" s="1306" t="s">
        <v>462</v>
      </c>
      <c r="B3" s="1306"/>
      <c r="C3" s="1306"/>
      <c r="D3" s="1306"/>
      <c r="E3" s="1306"/>
      <c r="F3" s="1306"/>
      <c r="G3" s="1306"/>
      <c r="H3" s="1306"/>
    </row>
    <row r="4" spans="1:8">
      <c r="A4" s="1306" t="str">
        <f>'General Headers Index'!B17</f>
        <v>AS OF DECEMBER 31, 2025</v>
      </c>
      <c r="B4" s="1306"/>
      <c r="C4" s="1306"/>
      <c r="D4" s="1306"/>
      <c r="E4" s="1306"/>
      <c r="F4" s="1306"/>
      <c r="G4" s="1306"/>
      <c r="H4" s="1306"/>
    </row>
    <row r="6" spans="1:8">
      <c r="A6" s="229" t="s">
        <v>2788</v>
      </c>
      <c r="H6" s="326" t="s">
        <v>463</v>
      </c>
    </row>
    <row r="7" spans="1:8">
      <c r="A7" s="229" t="str">
        <f>'General Headers Index'!B37</f>
        <v>TYPE OF FILING:___X___ORIGINAL______UPDATED</v>
      </c>
      <c r="H7" s="326" t="s">
        <v>650</v>
      </c>
    </row>
    <row r="8" spans="1:8">
      <c r="A8" s="229" t="s">
        <v>575</v>
      </c>
      <c r="H8" s="326" t="str">
        <f>"WITNESS: "&amp;'General Headers Index'!B42</f>
        <v>WITNESS: GORE</v>
      </c>
    </row>
    <row r="9" spans="1:8">
      <c r="A9" s="229"/>
      <c r="H9" s="326"/>
    </row>
    <row r="10" spans="1:8">
      <c r="A10" s="465"/>
      <c r="B10" s="465"/>
      <c r="C10" s="465"/>
      <c r="D10" s="465"/>
      <c r="E10" s="465"/>
      <c r="F10" s="465"/>
      <c r="G10" s="439" t="s">
        <v>464</v>
      </c>
      <c r="H10" s="465"/>
    </row>
    <row r="11" spans="1:8">
      <c r="B11" s="217" t="s">
        <v>465</v>
      </c>
      <c r="G11" s="217" t="s">
        <v>466</v>
      </c>
    </row>
    <row r="12" spans="1:8">
      <c r="A12" s="217" t="s">
        <v>313</v>
      </c>
      <c r="B12" s="217" t="s">
        <v>467</v>
      </c>
      <c r="C12" s="217" t="s">
        <v>468</v>
      </c>
      <c r="D12" s="217" t="s">
        <v>469</v>
      </c>
      <c r="E12" s="217" t="s">
        <v>470</v>
      </c>
      <c r="F12" s="217" t="s">
        <v>471</v>
      </c>
      <c r="G12" s="217" t="s">
        <v>472</v>
      </c>
      <c r="H12" s="217" t="s">
        <v>473</v>
      </c>
    </row>
    <row r="13" spans="1:8">
      <c r="A13" s="890" t="s">
        <v>316</v>
      </c>
      <c r="B13" s="890" t="s">
        <v>474</v>
      </c>
      <c r="C13" s="890" t="s">
        <v>475</v>
      </c>
      <c r="D13" s="890" t="s">
        <v>476</v>
      </c>
      <c r="E13" s="890" t="s">
        <v>477</v>
      </c>
      <c r="F13" s="890" t="s">
        <v>478</v>
      </c>
      <c r="G13" s="890" t="s">
        <v>445</v>
      </c>
      <c r="H13" s="890" t="s">
        <v>479</v>
      </c>
    </row>
    <row r="16" spans="1:8">
      <c r="D16" s="328"/>
      <c r="E16" s="328"/>
      <c r="F16" s="328"/>
      <c r="G16" s="328"/>
    </row>
    <row r="17" spans="1:8">
      <c r="D17" s="328"/>
      <c r="E17" s="328"/>
      <c r="F17" s="328"/>
    </row>
    <row r="18" spans="1:8">
      <c r="A18" s="238" t="s">
        <v>1141</v>
      </c>
      <c r="B18" s="238"/>
      <c r="C18" s="238"/>
      <c r="D18" s="239"/>
      <c r="E18" s="238"/>
      <c r="F18" s="239"/>
      <c r="G18" s="239"/>
      <c r="H18" s="238"/>
    </row>
    <row r="19" spans="1:8">
      <c r="D19" s="328"/>
      <c r="E19" s="328"/>
      <c r="G19" s="328"/>
    </row>
    <row r="20" spans="1:8">
      <c r="D20" s="328"/>
      <c r="E20" s="328"/>
      <c r="F20" s="328"/>
      <c r="G20" s="328"/>
    </row>
    <row r="21" spans="1:8">
      <c r="D21" s="328"/>
      <c r="E21" s="328"/>
      <c r="F21" s="328"/>
      <c r="G21" s="328"/>
    </row>
    <row r="22" spans="1:8">
      <c r="D22" s="328"/>
      <c r="E22" s="328"/>
      <c r="F22" s="328"/>
      <c r="G22" s="328"/>
    </row>
    <row r="23" spans="1:8">
      <c r="D23" s="328"/>
      <c r="E23" s="328"/>
      <c r="F23" s="328"/>
      <c r="G23" s="328"/>
    </row>
    <row r="24" spans="1:8">
      <c r="D24" s="328"/>
      <c r="E24" s="328"/>
      <c r="F24" s="328"/>
      <c r="G24" s="328"/>
    </row>
    <row r="25" spans="1:8">
      <c r="D25" s="328"/>
      <c r="E25" s="328"/>
      <c r="F25" s="328"/>
      <c r="G25" s="328"/>
    </row>
    <row r="26" spans="1:8">
      <c r="D26" s="328"/>
      <c r="E26" s="328"/>
      <c r="F26" s="328"/>
      <c r="G26" s="328"/>
    </row>
    <row r="27" spans="1:8">
      <c r="D27" s="328"/>
      <c r="E27" s="328"/>
      <c r="F27" s="328"/>
      <c r="G27" s="328"/>
    </row>
    <row r="28" spans="1:8">
      <c r="D28" s="328"/>
      <c r="E28" s="328"/>
      <c r="F28" s="328"/>
      <c r="G28" s="328"/>
    </row>
    <row r="29" spans="1:8">
      <c r="D29" s="328"/>
      <c r="E29" s="328"/>
      <c r="F29" s="328"/>
      <c r="G29" s="328"/>
    </row>
    <row r="30" spans="1:8">
      <c r="E30" s="328"/>
      <c r="F30" s="328"/>
    </row>
    <row r="31" spans="1:8">
      <c r="E31" s="328"/>
      <c r="F31" s="328"/>
    </row>
    <row r="32" spans="1:8">
      <c r="E32" s="328"/>
      <c r="F32" s="328"/>
    </row>
    <row r="33" spans="5:6">
      <c r="E33" s="328"/>
      <c r="F33" s="328"/>
    </row>
    <row r="34" spans="5:6">
      <c r="E34" s="328"/>
      <c r="F34" s="328"/>
    </row>
  </sheetData>
  <mergeCells count="4">
    <mergeCell ref="A1:H1"/>
    <mergeCell ref="A2:H2"/>
    <mergeCell ref="A3:H3"/>
    <mergeCell ref="A4:H4"/>
  </mergeCells>
  <printOptions horizontalCentered="1"/>
  <pageMargins left="0.5" right="0.5" top="0.75" bottom="0.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41"/>
  <sheetViews>
    <sheetView zoomScaleNormal="100" zoomScaleSheetLayoutView="100" workbookViewId="0">
      <selection activeCell="E9" sqref="E9"/>
    </sheetView>
  </sheetViews>
  <sheetFormatPr defaultColWidth="9.6640625" defaultRowHeight="12.75"/>
  <cols>
    <col min="1" max="1" width="6.33203125" style="220" customWidth="1"/>
    <col min="2" max="2" width="18.6640625" style="220" customWidth="1"/>
    <col min="3" max="3" width="17.1640625" style="220" customWidth="1"/>
    <col min="4" max="4" width="11.1640625" style="220" bestFit="1" customWidth="1"/>
    <col min="5" max="5" width="19.6640625" style="220" customWidth="1"/>
    <col min="6" max="6" width="12.6640625" style="220" customWidth="1"/>
    <col min="7" max="7" width="10.33203125" style="220" bestFit="1" customWidth="1"/>
    <col min="8" max="8" width="23.1640625" style="220" bestFit="1" customWidth="1"/>
    <col min="9" max="9" width="15.6640625" style="220" bestFit="1" customWidth="1"/>
    <col min="10" max="10" width="10.33203125" style="220" bestFit="1" customWidth="1"/>
    <col min="11" max="11" width="14.33203125" style="220" customWidth="1"/>
    <col min="12" max="12" width="19.5" style="220" customWidth="1"/>
    <col min="13" max="16384" width="9.6640625" style="220"/>
  </cols>
  <sheetData>
    <row r="1" spans="1:12">
      <c r="A1" s="1306" t="str">
        <f>'General Headers Index'!B4</f>
        <v>COLUMBIA GAS OF KENTUCKY, INC.</v>
      </c>
      <c r="B1" s="1306"/>
      <c r="C1" s="1306"/>
      <c r="D1" s="1306"/>
      <c r="E1" s="1306"/>
      <c r="F1" s="1306"/>
      <c r="G1" s="1306"/>
      <c r="H1" s="1306"/>
      <c r="I1" s="1306"/>
      <c r="J1" s="1306"/>
      <c r="K1" s="1306"/>
      <c r="L1" s="1306"/>
    </row>
    <row r="2" spans="1:12">
      <c r="A2" s="1306" t="str">
        <f>'General Headers Index'!B6</f>
        <v>CASE NO. 2024 - 00092</v>
      </c>
      <c r="B2" s="1306"/>
      <c r="C2" s="1306"/>
      <c r="D2" s="1306"/>
      <c r="E2" s="1306"/>
      <c r="F2" s="1306"/>
      <c r="G2" s="1306"/>
      <c r="H2" s="1306"/>
      <c r="I2" s="1306"/>
      <c r="J2" s="1306"/>
      <c r="K2" s="1306"/>
      <c r="L2" s="1306"/>
    </row>
    <row r="3" spans="1:12">
      <c r="A3" s="1306" t="s">
        <v>480</v>
      </c>
      <c r="B3" s="1306"/>
      <c r="C3" s="1306"/>
      <c r="D3" s="1306"/>
      <c r="E3" s="1306"/>
      <c r="F3" s="1306"/>
      <c r="G3" s="1306"/>
      <c r="H3" s="1306"/>
      <c r="I3" s="1306"/>
      <c r="J3" s="1306"/>
      <c r="K3" s="1306"/>
      <c r="L3" s="1306"/>
    </row>
    <row r="4" spans="1:12">
      <c r="A4" s="1306" t="str">
        <f>'General Headers Index'!B10</f>
        <v>AS OF AUGUST 31, 2024</v>
      </c>
      <c r="B4" s="1306"/>
      <c r="C4" s="1306"/>
      <c r="D4" s="1306"/>
      <c r="E4" s="1306"/>
      <c r="F4" s="1306"/>
      <c r="G4" s="1306"/>
      <c r="H4" s="1306"/>
      <c r="I4" s="1306"/>
      <c r="J4" s="1306"/>
      <c r="K4" s="1306"/>
      <c r="L4" s="1306"/>
    </row>
    <row r="5" spans="1:12">
      <c r="A5" s="217"/>
      <c r="B5" s="217"/>
      <c r="C5" s="217"/>
      <c r="D5" s="217"/>
      <c r="E5" s="217"/>
      <c r="F5" s="217"/>
      <c r="G5" s="217"/>
      <c r="H5" s="217"/>
      <c r="I5" s="217"/>
      <c r="J5" s="217"/>
      <c r="K5" s="217"/>
      <c r="L5" s="217"/>
    </row>
    <row r="6" spans="1:12">
      <c r="A6" s="229" t="s">
        <v>2787</v>
      </c>
      <c r="J6" s="229"/>
      <c r="L6" s="326" t="s">
        <v>481</v>
      </c>
    </row>
    <row r="7" spans="1:12">
      <c r="A7" s="229" t="str">
        <f>'General Headers Index'!B37</f>
        <v>TYPE OF FILING:___X___ORIGINAL______UPDATED</v>
      </c>
      <c r="J7" s="229"/>
      <c r="L7" s="326" t="s">
        <v>309</v>
      </c>
    </row>
    <row r="8" spans="1:12">
      <c r="A8" s="229" t="s">
        <v>575</v>
      </c>
      <c r="J8" s="229"/>
      <c r="K8" s="326"/>
      <c r="L8" s="326" t="str">
        <f>"WITNESS: "&amp;'General Headers Index'!B42</f>
        <v>WITNESS: GORE</v>
      </c>
    </row>
    <row r="9" spans="1:12">
      <c r="A9" s="229"/>
      <c r="J9" s="229"/>
      <c r="K9" s="326"/>
      <c r="L9" s="326"/>
    </row>
    <row r="10" spans="1:12">
      <c r="A10" s="465"/>
      <c r="B10" s="439" t="s">
        <v>451</v>
      </c>
      <c r="C10" s="465"/>
      <c r="D10" s="465"/>
      <c r="E10" s="465"/>
      <c r="F10" s="439" t="s">
        <v>482</v>
      </c>
      <c r="G10" s="527"/>
      <c r="H10" s="465"/>
      <c r="I10" s="527"/>
      <c r="J10" s="527"/>
      <c r="K10" s="465"/>
      <c r="L10" s="527"/>
    </row>
    <row r="11" spans="1:12">
      <c r="A11" s="217" t="s">
        <v>313</v>
      </c>
      <c r="B11" s="217" t="s">
        <v>484</v>
      </c>
      <c r="C11" s="217" t="s">
        <v>452</v>
      </c>
      <c r="D11" s="217" t="s">
        <v>485</v>
      </c>
      <c r="E11" s="217" t="s">
        <v>486</v>
      </c>
      <c r="F11" s="217" t="s">
        <v>485</v>
      </c>
      <c r="H11" s="464" t="s">
        <v>483</v>
      </c>
      <c r="K11" s="1315" t="s">
        <v>995</v>
      </c>
      <c r="L11" s="1315"/>
    </row>
    <row r="12" spans="1:12">
      <c r="A12" s="890" t="s">
        <v>316</v>
      </c>
      <c r="B12" s="890" t="s">
        <v>457</v>
      </c>
      <c r="C12" s="890" t="s">
        <v>487</v>
      </c>
      <c r="D12" s="890" t="s">
        <v>453</v>
      </c>
      <c r="E12" s="890" t="s">
        <v>488</v>
      </c>
      <c r="F12" s="890" t="s">
        <v>453</v>
      </c>
      <c r="G12" s="890" t="s">
        <v>444</v>
      </c>
      <c r="H12" s="890" t="s">
        <v>994</v>
      </c>
      <c r="I12" s="890" t="s">
        <v>451</v>
      </c>
      <c r="J12" s="890" t="s">
        <v>444</v>
      </c>
      <c r="K12" s="890" t="s">
        <v>994</v>
      </c>
      <c r="L12" s="890" t="s">
        <v>451</v>
      </c>
    </row>
    <row r="15" spans="1:12">
      <c r="D15" s="328"/>
      <c r="E15" s="328"/>
      <c r="F15" s="328"/>
      <c r="G15" s="328"/>
    </row>
    <row r="16" spans="1:12">
      <c r="D16" s="328"/>
      <c r="E16" s="328"/>
      <c r="F16" s="328"/>
    </row>
    <row r="17" spans="1:12">
      <c r="A17" s="1306" t="s">
        <v>489</v>
      </c>
      <c r="B17" s="1306"/>
      <c r="C17" s="1306"/>
      <c r="D17" s="1306"/>
      <c r="E17" s="1306"/>
      <c r="F17" s="1306"/>
      <c r="G17" s="1306"/>
      <c r="H17" s="1306"/>
      <c r="I17" s="1306"/>
      <c r="J17" s="1306"/>
      <c r="K17" s="1306"/>
      <c r="L17" s="1306"/>
    </row>
    <row r="18" spans="1:12">
      <c r="D18" s="328"/>
      <c r="E18" s="328"/>
      <c r="G18" s="328"/>
    </row>
    <row r="19" spans="1:12">
      <c r="D19" s="328"/>
      <c r="E19" s="328"/>
      <c r="F19" s="328"/>
      <c r="G19" s="328"/>
    </row>
    <row r="20" spans="1:12">
      <c r="D20" s="328"/>
      <c r="E20" s="328"/>
      <c r="F20" s="328"/>
      <c r="G20" s="328"/>
    </row>
    <row r="21" spans="1:12">
      <c r="D21" s="328"/>
      <c r="E21" s="328"/>
      <c r="F21" s="328"/>
      <c r="G21" s="328"/>
    </row>
    <row r="22" spans="1:12">
      <c r="D22" s="328"/>
      <c r="E22" s="328"/>
      <c r="F22" s="328"/>
      <c r="G22" s="328"/>
    </row>
    <row r="23" spans="1:12">
      <c r="D23" s="328"/>
      <c r="E23" s="328"/>
      <c r="F23" s="328"/>
      <c r="G23" s="328"/>
    </row>
    <row r="24" spans="1:12">
      <c r="D24" s="328"/>
      <c r="E24" s="328"/>
      <c r="F24" s="328"/>
      <c r="G24" s="328"/>
    </row>
    <row r="25" spans="1:12">
      <c r="D25" s="328"/>
      <c r="E25" s="328"/>
      <c r="F25" s="328"/>
      <c r="G25" s="328"/>
    </row>
    <row r="26" spans="1:12">
      <c r="D26" s="328"/>
      <c r="E26" s="328"/>
      <c r="F26" s="328"/>
      <c r="G26" s="328"/>
    </row>
    <row r="27" spans="1:12">
      <c r="D27" s="328"/>
      <c r="E27" s="328"/>
      <c r="F27" s="328"/>
      <c r="G27" s="328"/>
    </row>
    <row r="28" spans="1:12">
      <c r="D28" s="328"/>
      <c r="E28" s="328"/>
      <c r="F28" s="328"/>
      <c r="G28" s="328"/>
    </row>
    <row r="29" spans="1:12">
      <c r="D29" s="328"/>
      <c r="E29" s="328"/>
      <c r="F29" s="328"/>
      <c r="G29" s="328"/>
    </row>
    <row r="30" spans="1:12">
      <c r="D30" s="328"/>
      <c r="E30" s="328"/>
      <c r="F30" s="328"/>
      <c r="G30" s="328"/>
    </row>
    <row r="31" spans="1:12">
      <c r="D31" s="328"/>
      <c r="E31" s="328"/>
      <c r="F31" s="328"/>
      <c r="G31" s="328"/>
    </row>
    <row r="32" spans="1:12">
      <c r="D32" s="328"/>
      <c r="E32" s="328"/>
      <c r="F32" s="328"/>
      <c r="G32" s="328"/>
    </row>
    <row r="33" spans="4:6">
      <c r="D33" s="328"/>
      <c r="E33" s="328"/>
      <c r="F33" s="328"/>
    </row>
    <row r="34" spans="4:6">
      <c r="E34" s="328"/>
      <c r="F34" s="328"/>
    </row>
    <row r="35" spans="4:6">
      <c r="E35" s="328"/>
      <c r="F35" s="328"/>
    </row>
    <row r="36" spans="4:6">
      <c r="E36" s="328"/>
      <c r="F36" s="328"/>
    </row>
    <row r="37" spans="4:6">
      <c r="E37" s="328"/>
      <c r="F37" s="328"/>
    </row>
    <row r="38" spans="4:6">
      <c r="E38" s="328"/>
      <c r="F38" s="328"/>
    </row>
    <row r="39" spans="4:6">
      <c r="E39" s="328"/>
      <c r="F39" s="328"/>
    </row>
    <row r="40" spans="4:6">
      <c r="E40" s="328"/>
      <c r="F40" s="328"/>
    </row>
    <row r="41" spans="4:6">
      <c r="E41" s="328"/>
      <c r="F41" s="328"/>
    </row>
  </sheetData>
  <mergeCells count="6">
    <mergeCell ref="A17:L17"/>
    <mergeCell ref="A1:L1"/>
    <mergeCell ref="A2:L2"/>
    <mergeCell ref="A3:L3"/>
    <mergeCell ref="A4:L4"/>
    <mergeCell ref="K11:L11"/>
  </mergeCells>
  <printOptions horizontalCentered="1"/>
  <pageMargins left="0.5" right="0.5" top="0.75" bottom="0.5" header="0.3" footer="0.3"/>
  <pageSetup scale="8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41"/>
  <sheetViews>
    <sheetView zoomScaleNormal="100" zoomScaleSheetLayoutView="100" workbookViewId="0">
      <selection activeCell="F11" sqref="F11"/>
    </sheetView>
  </sheetViews>
  <sheetFormatPr defaultColWidth="9.6640625" defaultRowHeight="12.75"/>
  <cols>
    <col min="1" max="1" width="6.33203125" style="220" customWidth="1"/>
    <col min="2" max="2" width="18.5" style="220" customWidth="1"/>
    <col min="3" max="3" width="16.5" style="220" customWidth="1"/>
    <col min="4" max="4" width="11.1640625" style="220" bestFit="1" customWidth="1"/>
    <col min="5" max="5" width="19.6640625" style="220" customWidth="1"/>
    <col min="6" max="6" width="12.33203125" style="220" customWidth="1"/>
    <col min="7" max="7" width="12" style="220" customWidth="1"/>
    <col min="8" max="8" width="23.1640625" style="220" bestFit="1" customWidth="1"/>
    <col min="9" max="9" width="15.6640625" style="220" bestFit="1" customWidth="1"/>
    <col min="10" max="10" width="10.33203125" style="220" bestFit="1" customWidth="1"/>
    <col min="11" max="11" width="17.33203125" style="220" customWidth="1"/>
    <col min="12" max="12" width="15.33203125" style="220" customWidth="1"/>
    <col min="13" max="16384" width="9.6640625" style="220"/>
  </cols>
  <sheetData>
    <row r="1" spans="1:12">
      <c r="A1" s="1306" t="str">
        <f>'General Headers Index'!B4</f>
        <v>COLUMBIA GAS OF KENTUCKY, INC.</v>
      </c>
      <c r="B1" s="1306"/>
      <c r="C1" s="1306"/>
      <c r="D1" s="1306"/>
      <c r="E1" s="1306"/>
      <c r="F1" s="1306"/>
      <c r="G1" s="1306"/>
      <c r="H1" s="1306"/>
      <c r="I1" s="1306"/>
      <c r="J1" s="1306"/>
      <c r="K1" s="1306"/>
      <c r="L1" s="1306"/>
    </row>
    <row r="2" spans="1:12">
      <c r="A2" s="1306" t="str">
        <f>'General Headers Index'!B6</f>
        <v>CASE NO. 2024 - 00092</v>
      </c>
      <c r="B2" s="1306"/>
      <c r="C2" s="1306"/>
      <c r="D2" s="1306"/>
      <c r="E2" s="1306"/>
      <c r="F2" s="1306"/>
      <c r="G2" s="1306"/>
      <c r="H2" s="1306"/>
      <c r="I2" s="1306"/>
      <c r="J2" s="1306"/>
      <c r="K2" s="1306"/>
      <c r="L2" s="1306"/>
    </row>
    <row r="3" spans="1:12">
      <c r="A3" s="1306" t="s">
        <v>480</v>
      </c>
      <c r="B3" s="1306"/>
      <c r="C3" s="1306"/>
      <c r="D3" s="1306"/>
      <c r="E3" s="1306"/>
      <c r="F3" s="1306"/>
      <c r="G3" s="1306"/>
      <c r="H3" s="1306"/>
      <c r="I3" s="1306"/>
      <c r="J3" s="1306"/>
      <c r="K3" s="1306"/>
      <c r="L3" s="1306"/>
    </row>
    <row r="4" spans="1:12">
      <c r="A4" s="1306" t="str">
        <f>'General Headers Index'!B17</f>
        <v>AS OF DECEMBER 31, 2025</v>
      </c>
      <c r="B4" s="1306"/>
      <c r="C4" s="1306"/>
      <c r="D4" s="1306"/>
      <c r="E4" s="1306"/>
      <c r="F4" s="1306"/>
      <c r="G4" s="1306"/>
      <c r="H4" s="1306"/>
      <c r="I4" s="1306"/>
      <c r="J4" s="1306"/>
      <c r="K4" s="1306"/>
      <c r="L4" s="1306"/>
    </row>
    <row r="5" spans="1:12">
      <c r="A5" s="217"/>
      <c r="B5" s="217"/>
      <c r="C5" s="217"/>
      <c r="D5" s="217"/>
      <c r="E5" s="217"/>
      <c r="F5" s="217"/>
      <c r="G5" s="217"/>
      <c r="H5" s="217"/>
      <c r="I5" s="217"/>
      <c r="J5" s="217"/>
      <c r="K5" s="217"/>
      <c r="L5" s="217"/>
    </row>
    <row r="6" spans="1:12">
      <c r="A6" s="229" t="s">
        <v>2788</v>
      </c>
      <c r="J6" s="229"/>
      <c r="L6" s="326" t="s">
        <v>481</v>
      </c>
    </row>
    <row r="7" spans="1:12">
      <c r="A7" s="229" t="str">
        <f>'General Headers Index'!B37</f>
        <v>TYPE OF FILING:___X___ORIGINAL______UPDATED</v>
      </c>
      <c r="J7" s="229"/>
      <c r="L7" s="326" t="s">
        <v>650</v>
      </c>
    </row>
    <row r="8" spans="1:12">
      <c r="A8" s="229" t="s">
        <v>575</v>
      </c>
      <c r="J8" s="229"/>
      <c r="K8" s="326"/>
      <c r="L8" s="326" t="str">
        <f>"WITNESS: "&amp;'General Headers Index'!B42</f>
        <v>WITNESS: GORE</v>
      </c>
    </row>
    <row r="9" spans="1:12">
      <c r="A9" s="229"/>
      <c r="J9" s="229"/>
      <c r="K9" s="326"/>
      <c r="L9" s="326"/>
    </row>
    <row r="10" spans="1:12">
      <c r="A10" s="465"/>
      <c r="B10" s="439" t="s">
        <v>451</v>
      </c>
      <c r="C10" s="465"/>
      <c r="D10" s="465"/>
      <c r="E10" s="465"/>
      <c r="F10" s="439" t="s">
        <v>482</v>
      </c>
      <c r="G10" s="527"/>
      <c r="H10" s="465"/>
      <c r="I10" s="527"/>
      <c r="J10" s="527"/>
      <c r="K10" s="465"/>
      <c r="L10" s="527"/>
    </row>
    <row r="11" spans="1:12">
      <c r="A11" s="217" t="s">
        <v>313</v>
      </c>
      <c r="B11" s="217" t="s">
        <v>484</v>
      </c>
      <c r="C11" s="217" t="s">
        <v>452</v>
      </c>
      <c r="D11" s="217" t="s">
        <v>485</v>
      </c>
      <c r="E11" s="217" t="s">
        <v>486</v>
      </c>
      <c r="F11" s="217" t="s">
        <v>485</v>
      </c>
      <c r="H11" s="464" t="s">
        <v>483</v>
      </c>
      <c r="K11" s="1315" t="s">
        <v>995</v>
      </c>
      <c r="L11" s="1315"/>
    </row>
    <row r="12" spans="1:12">
      <c r="A12" s="890" t="s">
        <v>316</v>
      </c>
      <c r="B12" s="890" t="s">
        <v>457</v>
      </c>
      <c r="C12" s="890" t="s">
        <v>487</v>
      </c>
      <c r="D12" s="890" t="s">
        <v>453</v>
      </c>
      <c r="E12" s="890" t="s">
        <v>488</v>
      </c>
      <c r="F12" s="890" t="s">
        <v>453</v>
      </c>
      <c r="G12" s="890" t="s">
        <v>444</v>
      </c>
      <c r="H12" s="890" t="s">
        <v>994</v>
      </c>
      <c r="I12" s="890" t="s">
        <v>451</v>
      </c>
      <c r="J12" s="890" t="s">
        <v>444</v>
      </c>
      <c r="K12" s="890" t="s">
        <v>994</v>
      </c>
      <c r="L12" s="890" t="s">
        <v>451</v>
      </c>
    </row>
    <row r="15" spans="1:12">
      <c r="D15" s="328"/>
      <c r="E15" s="328"/>
      <c r="F15" s="328"/>
      <c r="G15" s="328"/>
    </row>
    <row r="16" spans="1:12">
      <c r="D16" s="328"/>
      <c r="E16" s="328"/>
      <c r="F16" s="328"/>
    </row>
    <row r="17" spans="1:12">
      <c r="A17" s="1306" t="s">
        <v>489</v>
      </c>
      <c r="B17" s="1306"/>
      <c r="C17" s="1306"/>
      <c r="D17" s="1306"/>
      <c r="E17" s="1306"/>
      <c r="F17" s="1306"/>
      <c r="G17" s="1306"/>
      <c r="H17" s="1306"/>
      <c r="I17" s="1306"/>
      <c r="J17" s="1306"/>
      <c r="K17" s="1306"/>
      <c r="L17" s="1306"/>
    </row>
    <row r="18" spans="1:12">
      <c r="D18" s="328"/>
      <c r="E18" s="328"/>
      <c r="G18" s="328"/>
    </row>
    <row r="19" spans="1:12">
      <c r="D19" s="328"/>
      <c r="E19" s="328"/>
      <c r="F19" s="328"/>
      <c r="G19" s="328"/>
    </row>
    <row r="20" spans="1:12">
      <c r="D20" s="328"/>
      <c r="E20" s="328"/>
      <c r="F20" s="328"/>
      <c r="G20" s="328"/>
    </row>
    <row r="21" spans="1:12">
      <c r="D21" s="328"/>
      <c r="E21" s="328"/>
      <c r="F21" s="328"/>
      <c r="G21" s="328"/>
    </row>
    <row r="22" spans="1:12">
      <c r="D22" s="328"/>
      <c r="E22" s="328"/>
      <c r="F22" s="328"/>
      <c r="G22" s="328"/>
    </row>
    <row r="23" spans="1:12">
      <c r="D23" s="328"/>
      <c r="E23" s="328"/>
      <c r="F23" s="328"/>
      <c r="G23" s="328"/>
    </row>
    <row r="24" spans="1:12">
      <c r="D24" s="328"/>
      <c r="E24" s="328"/>
      <c r="F24" s="328"/>
      <c r="G24" s="328"/>
    </row>
    <row r="25" spans="1:12">
      <c r="D25" s="328"/>
      <c r="E25" s="328"/>
      <c r="F25" s="328"/>
      <c r="G25" s="328"/>
    </row>
    <row r="26" spans="1:12">
      <c r="D26" s="328"/>
      <c r="E26" s="328"/>
      <c r="F26" s="328"/>
      <c r="G26" s="328"/>
    </row>
    <row r="27" spans="1:12">
      <c r="D27" s="328"/>
      <c r="E27" s="328"/>
      <c r="F27" s="328"/>
      <c r="G27" s="328"/>
    </row>
    <row r="28" spans="1:12">
      <c r="D28" s="328"/>
      <c r="E28" s="328"/>
      <c r="F28" s="328"/>
      <c r="G28" s="328"/>
    </row>
    <row r="29" spans="1:12">
      <c r="D29" s="328"/>
      <c r="E29" s="328"/>
      <c r="F29" s="328"/>
      <c r="G29" s="328"/>
    </row>
    <row r="30" spans="1:12">
      <c r="D30" s="328"/>
      <c r="E30" s="328"/>
      <c r="F30" s="328"/>
      <c r="G30" s="328"/>
    </row>
    <row r="31" spans="1:12">
      <c r="D31" s="328"/>
      <c r="E31" s="328"/>
      <c r="F31" s="328"/>
      <c r="G31" s="328"/>
    </row>
    <row r="32" spans="1:12">
      <c r="D32" s="328"/>
      <c r="E32" s="328"/>
      <c r="F32" s="328"/>
      <c r="G32" s="328"/>
    </row>
    <row r="33" spans="4:6">
      <c r="D33" s="328"/>
      <c r="E33" s="328"/>
      <c r="F33" s="328"/>
    </row>
    <row r="34" spans="4:6">
      <c r="E34" s="328"/>
      <c r="F34" s="328"/>
    </row>
    <row r="35" spans="4:6">
      <c r="E35" s="328"/>
      <c r="F35" s="328"/>
    </row>
    <row r="36" spans="4:6">
      <c r="E36" s="328"/>
      <c r="F36" s="328"/>
    </row>
    <row r="37" spans="4:6">
      <c r="E37" s="328"/>
      <c r="F37" s="328"/>
    </row>
    <row r="38" spans="4:6">
      <c r="E38" s="328"/>
      <c r="F38" s="328"/>
    </row>
    <row r="39" spans="4:6">
      <c r="E39" s="328"/>
      <c r="F39" s="328"/>
    </row>
    <row r="40" spans="4:6">
      <c r="E40" s="328"/>
      <c r="F40" s="328"/>
    </row>
    <row r="41" spans="4:6">
      <c r="E41" s="328"/>
      <c r="F41" s="328"/>
    </row>
  </sheetData>
  <mergeCells count="6">
    <mergeCell ref="A17:L17"/>
    <mergeCell ref="A1:L1"/>
    <mergeCell ref="A2:L2"/>
    <mergeCell ref="A3:L3"/>
    <mergeCell ref="A4:L4"/>
    <mergeCell ref="K11:L11"/>
  </mergeCells>
  <printOptions horizontalCentered="1"/>
  <pageMargins left="0.5" right="0.5" top="0.75" bottom="0.5" header="0.3" footer="0.3"/>
  <pageSetup scale="9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27"/>
  <sheetViews>
    <sheetView zoomScaleNormal="100" zoomScaleSheetLayoutView="100" workbookViewId="0">
      <selection activeCell="F7" sqref="F7"/>
    </sheetView>
  </sheetViews>
  <sheetFormatPr defaultColWidth="9.6640625" defaultRowHeight="12.75"/>
  <cols>
    <col min="1" max="1" width="7.6640625" style="220" customWidth="1"/>
    <col min="2" max="2" width="7.5" style="220" bestFit="1" customWidth="1"/>
    <col min="3" max="3" width="25.5" style="220" bestFit="1" customWidth="1"/>
    <col min="4" max="4" width="14.6640625" style="220" customWidth="1"/>
    <col min="5" max="5" width="13.1640625" style="220" customWidth="1"/>
    <col min="6" max="6" width="17.6640625" style="220" bestFit="1" customWidth="1"/>
    <col min="7" max="8" width="12.6640625" style="220" customWidth="1"/>
    <col min="9" max="9" width="28.33203125" style="220" bestFit="1" customWidth="1"/>
    <col min="10" max="11" width="17" style="220" customWidth="1"/>
    <col min="12" max="12" width="6.6640625" style="220" customWidth="1"/>
    <col min="13" max="13" width="1.6640625" style="220" customWidth="1"/>
    <col min="14" max="14" width="13.6640625" style="220" customWidth="1"/>
    <col min="15" max="16384" width="9.6640625" style="220"/>
  </cols>
  <sheetData>
    <row r="1" spans="1:14">
      <c r="A1" s="1306" t="str">
        <f>'General Headers Index'!B4</f>
        <v>COLUMBIA GAS OF KENTUCKY, INC.</v>
      </c>
      <c r="B1" s="1306"/>
      <c r="C1" s="1306"/>
      <c r="D1" s="1306"/>
      <c r="E1" s="1306"/>
      <c r="F1" s="1306"/>
      <c r="G1" s="1306"/>
      <c r="H1" s="1306"/>
      <c r="I1" s="1306"/>
      <c r="J1" s="1306"/>
      <c r="K1" s="1306"/>
    </row>
    <row r="2" spans="1:14">
      <c r="A2" s="1306" t="str">
        <f>'General Headers Index'!B6</f>
        <v>CASE NO. 2024 - 00092</v>
      </c>
      <c r="B2" s="1306"/>
      <c r="C2" s="1306"/>
      <c r="D2" s="1306"/>
      <c r="E2" s="1306"/>
      <c r="F2" s="1306"/>
      <c r="G2" s="1306"/>
      <c r="H2" s="1306"/>
      <c r="I2" s="1306"/>
      <c r="J2" s="1306"/>
      <c r="K2" s="1306"/>
    </row>
    <row r="3" spans="1:14">
      <c r="A3" s="1306" t="s">
        <v>490</v>
      </c>
      <c r="B3" s="1306"/>
      <c r="C3" s="1306"/>
      <c r="D3" s="1306"/>
      <c r="E3" s="1306"/>
      <c r="F3" s="1306"/>
      <c r="G3" s="1306"/>
      <c r="H3" s="1306"/>
      <c r="I3" s="1306"/>
      <c r="J3" s="1306"/>
      <c r="K3" s="1306"/>
    </row>
    <row r="4" spans="1:14">
      <c r="A4" s="1306" t="str">
        <f>'General Headers Index'!B10</f>
        <v>AS OF AUGUST 31, 2024</v>
      </c>
      <c r="B4" s="1306"/>
      <c r="C4" s="1306"/>
      <c r="D4" s="1306"/>
      <c r="E4" s="1306"/>
      <c r="F4" s="1306"/>
      <c r="G4" s="1306"/>
      <c r="H4" s="1306"/>
      <c r="I4" s="1306"/>
      <c r="J4" s="1306"/>
      <c r="K4" s="1306"/>
    </row>
    <row r="6" spans="1:14">
      <c r="A6" s="229" t="s">
        <v>2787</v>
      </c>
      <c r="J6" s="229"/>
      <c r="K6" s="326" t="s">
        <v>491</v>
      </c>
    </row>
    <row r="7" spans="1:14">
      <c r="A7" s="229" t="str">
        <f>'General Headers Index'!B37</f>
        <v>TYPE OF FILING:___X___ORIGINAL______UPDATED</v>
      </c>
      <c r="J7" s="229"/>
      <c r="K7" s="326" t="s">
        <v>309</v>
      </c>
    </row>
    <row r="8" spans="1:14">
      <c r="A8" s="229" t="s">
        <v>575</v>
      </c>
      <c r="J8" s="229"/>
      <c r="K8" s="326" t="str">
        <f>"WITNESS: "&amp;'General Headers Index'!B42</f>
        <v>WITNESS: GORE</v>
      </c>
    </row>
    <row r="9" spans="1:14">
      <c r="A9" s="229"/>
      <c r="J9" s="229"/>
      <c r="K9" s="326"/>
    </row>
    <row r="10" spans="1:14">
      <c r="A10" s="465"/>
      <c r="B10" s="465"/>
      <c r="C10" s="465"/>
      <c r="D10" s="465"/>
      <c r="E10" s="465"/>
      <c r="F10" s="465"/>
      <c r="G10" s="465"/>
      <c r="H10" s="465"/>
      <c r="I10" s="439" t="s">
        <v>319</v>
      </c>
      <c r="J10" s="465"/>
      <c r="K10" s="465"/>
    </row>
    <row r="11" spans="1:14">
      <c r="C11" s="217" t="s">
        <v>492</v>
      </c>
      <c r="G11" s="217" t="s">
        <v>482</v>
      </c>
      <c r="H11" s="301"/>
      <c r="I11" s="464" t="s">
        <v>493</v>
      </c>
      <c r="J11" s="301"/>
      <c r="K11" s="217" t="s">
        <v>494</v>
      </c>
      <c r="L11" s="301"/>
      <c r="M11" s="301"/>
      <c r="N11" s="301"/>
    </row>
    <row r="12" spans="1:14">
      <c r="A12" s="217" t="s">
        <v>313</v>
      </c>
      <c r="B12" s="217" t="s">
        <v>368</v>
      </c>
      <c r="C12" s="217" t="s">
        <v>495</v>
      </c>
      <c r="D12" s="217" t="s">
        <v>496</v>
      </c>
      <c r="E12" s="217" t="s">
        <v>485</v>
      </c>
      <c r="F12" s="217" t="s">
        <v>486</v>
      </c>
      <c r="G12" s="217" t="s">
        <v>485</v>
      </c>
      <c r="I12" s="217" t="s">
        <v>368</v>
      </c>
      <c r="K12" s="217" t="s">
        <v>497</v>
      </c>
    </row>
    <row r="13" spans="1:14">
      <c r="A13" s="890" t="s">
        <v>316</v>
      </c>
      <c r="B13" s="890" t="s">
        <v>316</v>
      </c>
      <c r="C13" s="890" t="s">
        <v>498</v>
      </c>
      <c r="D13" s="890" t="s">
        <v>487</v>
      </c>
      <c r="E13" s="890" t="s">
        <v>453</v>
      </c>
      <c r="F13" s="890" t="s">
        <v>488</v>
      </c>
      <c r="G13" s="890" t="s">
        <v>453</v>
      </c>
      <c r="H13" s="890" t="s">
        <v>444</v>
      </c>
      <c r="I13" s="890" t="s">
        <v>316</v>
      </c>
      <c r="J13" s="890" t="s">
        <v>451</v>
      </c>
      <c r="K13" s="890" t="s">
        <v>499</v>
      </c>
    </row>
    <row r="16" spans="1:14">
      <c r="E16" s="328"/>
      <c r="F16" s="328"/>
      <c r="G16" s="328"/>
      <c r="H16" s="328"/>
    </row>
    <row r="17" spans="1:11">
      <c r="E17" s="328"/>
      <c r="F17" s="328"/>
      <c r="G17" s="328"/>
    </row>
    <row r="18" spans="1:11">
      <c r="A18" s="1306" t="s">
        <v>2091</v>
      </c>
      <c r="B18" s="1306"/>
      <c r="C18" s="1306"/>
      <c r="D18" s="1306"/>
      <c r="E18" s="1306"/>
      <c r="F18" s="1306"/>
      <c r="G18" s="1306"/>
      <c r="H18" s="1306"/>
      <c r="I18" s="1306"/>
      <c r="J18" s="1306"/>
      <c r="K18" s="1306"/>
    </row>
    <row r="19" spans="1:11">
      <c r="E19" s="328"/>
      <c r="F19" s="328"/>
      <c r="H19" s="328"/>
    </row>
    <row r="20" spans="1:11">
      <c r="E20" s="328"/>
      <c r="F20" s="328"/>
      <c r="G20" s="328"/>
      <c r="H20" s="328"/>
    </row>
    <row r="21" spans="1:11">
      <c r="E21" s="328"/>
      <c r="F21" s="328"/>
      <c r="G21" s="328"/>
      <c r="H21" s="328"/>
    </row>
    <row r="22" spans="1:11">
      <c r="E22" s="328"/>
      <c r="F22" s="328"/>
      <c r="G22" s="328"/>
      <c r="H22" s="328"/>
    </row>
    <row r="23" spans="1:11">
      <c r="E23" s="328"/>
      <c r="F23" s="328"/>
      <c r="G23" s="328"/>
      <c r="H23" s="328"/>
    </row>
    <row r="24" spans="1:11">
      <c r="E24" s="328"/>
      <c r="F24" s="328"/>
      <c r="G24" s="328"/>
      <c r="H24" s="328"/>
    </row>
    <row r="25" spans="1:11">
      <c r="E25" s="328"/>
      <c r="F25" s="328"/>
      <c r="G25" s="328"/>
      <c r="H25" s="328"/>
    </row>
    <row r="26" spans="1:11">
      <c r="E26" s="328"/>
      <c r="F26" s="328"/>
      <c r="G26" s="328"/>
      <c r="H26" s="328"/>
    </row>
    <row r="27" spans="1:11">
      <c r="F27" s="328"/>
      <c r="G27" s="328"/>
    </row>
  </sheetData>
  <mergeCells count="5">
    <mergeCell ref="A1:K1"/>
    <mergeCell ref="A2:K2"/>
    <mergeCell ref="A3:K3"/>
    <mergeCell ref="A4:K4"/>
    <mergeCell ref="A18:K18"/>
  </mergeCells>
  <printOptions horizontalCentered="1"/>
  <pageMargins left="0.5" right="0.5" top="0.75" bottom="0.5" header="0.3" footer="0.3"/>
  <pageSetup scale="9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27"/>
  <sheetViews>
    <sheetView zoomScaleNormal="100" zoomScaleSheetLayoutView="100" workbookViewId="0">
      <selection activeCell="K43" sqref="K43"/>
    </sheetView>
  </sheetViews>
  <sheetFormatPr defaultColWidth="9.6640625" defaultRowHeight="12.75"/>
  <cols>
    <col min="1" max="1" width="7.6640625" style="220" customWidth="1"/>
    <col min="2" max="2" width="7.5" style="220" bestFit="1" customWidth="1"/>
    <col min="3" max="3" width="25.5" style="220" bestFit="1" customWidth="1"/>
    <col min="4" max="4" width="14.6640625" style="220" customWidth="1"/>
    <col min="5" max="5" width="13.1640625" style="220" customWidth="1"/>
    <col min="6" max="6" width="17.6640625" style="220" bestFit="1" customWidth="1"/>
    <col min="7" max="8" width="12.6640625" style="220" customWidth="1"/>
    <col min="9" max="9" width="28.33203125" style="220" bestFit="1" customWidth="1"/>
    <col min="10" max="10" width="15.6640625" style="220" bestFit="1" customWidth="1"/>
    <col min="11" max="11" width="16" style="220" customWidth="1"/>
    <col min="12" max="12" width="6.6640625" style="220" customWidth="1"/>
    <col min="13" max="13" width="1.6640625" style="220" customWidth="1"/>
    <col min="14" max="14" width="13.6640625" style="220" customWidth="1"/>
    <col min="15" max="16384" width="9.6640625" style="220"/>
  </cols>
  <sheetData>
    <row r="1" spans="1:14">
      <c r="A1" s="1306" t="str">
        <f>'General Headers Index'!B4</f>
        <v>COLUMBIA GAS OF KENTUCKY, INC.</v>
      </c>
      <c r="B1" s="1306"/>
      <c r="C1" s="1306"/>
      <c r="D1" s="1306"/>
      <c r="E1" s="1306"/>
      <c r="F1" s="1306"/>
      <c r="G1" s="1306"/>
      <c r="H1" s="1306"/>
      <c r="I1" s="1306"/>
      <c r="J1" s="1306"/>
      <c r="K1" s="1306"/>
    </row>
    <row r="2" spans="1:14">
      <c r="A2" s="1306" t="str">
        <f>'General Headers Index'!B6</f>
        <v>CASE NO. 2024 - 00092</v>
      </c>
      <c r="B2" s="1306"/>
      <c r="C2" s="1306"/>
      <c r="D2" s="1306"/>
      <c r="E2" s="1306"/>
      <c r="F2" s="1306"/>
      <c r="G2" s="1306"/>
      <c r="H2" s="1306"/>
      <c r="I2" s="1306"/>
      <c r="J2" s="1306"/>
      <c r="K2" s="1306"/>
    </row>
    <row r="3" spans="1:14">
      <c r="A3" s="1306" t="s">
        <v>490</v>
      </c>
      <c r="B3" s="1306"/>
      <c r="C3" s="1306"/>
      <c r="D3" s="1306"/>
      <c r="E3" s="1306"/>
      <c r="F3" s="1306"/>
      <c r="G3" s="1306"/>
      <c r="H3" s="1306"/>
      <c r="I3" s="1306"/>
      <c r="J3" s="1306"/>
      <c r="K3" s="1306"/>
    </row>
    <row r="4" spans="1:14">
      <c r="A4" s="1306" t="str">
        <f>'General Headers Index'!B17</f>
        <v>AS OF DECEMBER 31, 2025</v>
      </c>
      <c r="B4" s="1306"/>
      <c r="C4" s="1306"/>
      <c r="D4" s="1306"/>
      <c r="E4" s="1306"/>
      <c r="F4" s="1306"/>
      <c r="G4" s="1306"/>
      <c r="H4" s="1306"/>
      <c r="I4" s="1306"/>
      <c r="J4" s="1306"/>
      <c r="K4" s="1306"/>
    </row>
    <row r="6" spans="1:14">
      <c r="A6" s="229" t="s">
        <v>2788</v>
      </c>
      <c r="J6" s="229"/>
      <c r="K6" s="326" t="s">
        <v>491</v>
      </c>
    </row>
    <row r="7" spans="1:14">
      <c r="A7" s="229" t="str">
        <f>'General Headers Index'!B37</f>
        <v>TYPE OF FILING:___X___ORIGINAL______UPDATED</v>
      </c>
      <c r="J7" s="229"/>
      <c r="K7" s="326" t="s">
        <v>650</v>
      </c>
    </row>
    <row r="8" spans="1:14">
      <c r="A8" s="229" t="s">
        <v>575</v>
      </c>
      <c r="J8" s="229"/>
      <c r="K8" s="326" t="str">
        <f>"WITNESS: "&amp;'General Headers Index'!B42</f>
        <v>WITNESS: GORE</v>
      </c>
    </row>
    <row r="9" spans="1:14">
      <c r="A9" s="229"/>
      <c r="J9" s="229"/>
      <c r="K9" s="326"/>
    </row>
    <row r="10" spans="1:14">
      <c r="A10" s="465"/>
      <c r="B10" s="465"/>
      <c r="C10" s="465"/>
      <c r="D10" s="465"/>
      <c r="E10" s="465"/>
      <c r="F10" s="465"/>
      <c r="G10" s="465"/>
      <c r="H10" s="465"/>
      <c r="I10" s="439" t="s">
        <v>319</v>
      </c>
      <c r="J10" s="465"/>
      <c r="K10" s="465"/>
    </row>
    <row r="11" spans="1:14">
      <c r="C11" s="217" t="s">
        <v>492</v>
      </c>
      <c r="G11" s="217" t="s">
        <v>482</v>
      </c>
      <c r="H11" s="301"/>
      <c r="I11" s="464" t="s">
        <v>493</v>
      </c>
      <c r="J11" s="301"/>
      <c r="K11" s="217" t="s">
        <v>494</v>
      </c>
      <c r="L11" s="301"/>
      <c r="M11" s="301"/>
      <c r="N11" s="301"/>
    </row>
    <row r="12" spans="1:14">
      <c r="A12" s="217" t="s">
        <v>313</v>
      </c>
      <c r="B12" s="217" t="s">
        <v>368</v>
      </c>
      <c r="C12" s="217" t="s">
        <v>495</v>
      </c>
      <c r="D12" s="217" t="s">
        <v>496</v>
      </c>
      <c r="E12" s="217" t="s">
        <v>485</v>
      </c>
      <c r="F12" s="217" t="s">
        <v>486</v>
      </c>
      <c r="G12" s="217" t="s">
        <v>485</v>
      </c>
      <c r="I12" s="217" t="s">
        <v>368</v>
      </c>
      <c r="K12" s="217" t="s">
        <v>497</v>
      </c>
    </row>
    <row r="13" spans="1:14">
      <c r="A13" s="890" t="s">
        <v>316</v>
      </c>
      <c r="B13" s="890" t="s">
        <v>316</v>
      </c>
      <c r="C13" s="890" t="s">
        <v>498</v>
      </c>
      <c r="D13" s="890" t="s">
        <v>487</v>
      </c>
      <c r="E13" s="890" t="s">
        <v>453</v>
      </c>
      <c r="F13" s="890" t="s">
        <v>488</v>
      </c>
      <c r="G13" s="890" t="s">
        <v>453</v>
      </c>
      <c r="H13" s="890" t="s">
        <v>444</v>
      </c>
      <c r="I13" s="890" t="s">
        <v>316</v>
      </c>
      <c r="J13" s="890" t="s">
        <v>451</v>
      </c>
      <c r="K13" s="890" t="s">
        <v>499</v>
      </c>
    </row>
    <row r="16" spans="1:14">
      <c r="E16" s="328"/>
      <c r="F16" s="328"/>
      <c r="G16" s="328"/>
      <c r="H16" s="328"/>
    </row>
    <row r="17" spans="1:11">
      <c r="E17" s="328"/>
      <c r="F17" s="328"/>
      <c r="G17" s="328"/>
    </row>
    <row r="18" spans="1:11">
      <c r="A18" s="1306" t="s">
        <v>2092</v>
      </c>
      <c r="B18" s="1306"/>
      <c r="C18" s="1306"/>
      <c r="D18" s="1306"/>
      <c r="E18" s="1306"/>
      <c r="F18" s="1306"/>
      <c r="G18" s="1306"/>
      <c r="H18" s="1306"/>
      <c r="I18" s="1306"/>
      <c r="J18" s="1306"/>
      <c r="K18" s="1306"/>
    </row>
    <row r="19" spans="1:11">
      <c r="E19" s="328"/>
      <c r="F19" s="328"/>
      <c r="H19" s="328"/>
    </row>
    <row r="20" spans="1:11">
      <c r="E20" s="328"/>
      <c r="F20" s="328"/>
      <c r="G20" s="328"/>
      <c r="H20" s="328"/>
    </row>
    <row r="21" spans="1:11">
      <c r="E21" s="328"/>
      <c r="F21" s="328"/>
      <c r="G21" s="328"/>
      <c r="H21" s="328"/>
    </row>
    <row r="22" spans="1:11">
      <c r="E22" s="328"/>
      <c r="F22" s="328"/>
      <c r="G22" s="328"/>
      <c r="H22" s="328"/>
    </row>
    <row r="23" spans="1:11">
      <c r="E23" s="328"/>
      <c r="F23" s="328"/>
      <c r="G23" s="328"/>
      <c r="H23" s="328"/>
    </row>
    <row r="24" spans="1:11">
      <c r="E24" s="328"/>
      <c r="F24" s="328"/>
      <c r="G24" s="328"/>
      <c r="H24" s="328"/>
    </row>
    <row r="25" spans="1:11">
      <c r="E25" s="328"/>
      <c r="F25" s="328"/>
      <c r="G25" s="328"/>
      <c r="H25" s="328"/>
    </row>
    <row r="26" spans="1:11">
      <c r="E26" s="328"/>
      <c r="F26" s="328"/>
      <c r="G26" s="328"/>
      <c r="H26" s="328"/>
    </row>
    <row r="27" spans="1:11">
      <c r="F27" s="328"/>
      <c r="G27" s="328"/>
    </row>
  </sheetData>
  <mergeCells count="5">
    <mergeCell ref="A1:K1"/>
    <mergeCell ref="A2:K2"/>
    <mergeCell ref="A3:K3"/>
    <mergeCell ref="A4:K4"/>
    <mergeCell ref="A18:K18"/>
  </mergeCells>
  <printOptions horizontalCentered="1"/>
  <pageMargins left="0.5" right="0.5" top="0.75" bottom="0.5" header="0.3" footer="0.3"/>
  <pageSetup scale="9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11"/>
  <sheetViews>
    <sheetView topLeftCell="A76" zoomScaleNormal="100" zoomScaleSheetLayoutView="100" workbookViewId="0">
      <selection activeCell="G98" sqref="G98"/>
    </sheetView>
  </sheetViews>
  <sheetFormatPr defaultColWidth="12.5" defaultRowHeight="12.75"/>
  <cols>
    <col min="1" max="1" width="5.83203125" style="411" customWidth="1"/>
    <col min="2" max="2" width="1.6640625" style="411" customWidth="1"/>
    <col min="3" max="3" width="11.83203125" style="411" customWidth="1"/>
    <col min="4" max="4" width="1.6640625" style="411" customWidth="1"/>
    <col min="5" max="5" width="62.83203125" style="411" bestFit="1" customWidth="1"/>
    <col min="6" max="6" width="19.6640625" style="411" bestFit="1" customWidth="1"/>
    <col min="7" max="7" width="16.33203125" style="411" customWidth="1"/>
    <col min="8" max="8" width="18.6640625" style="411" customWidth="1"/>
    <col min="9" max="9" width="18.1640625" style="411" customWidth="1"/>
    <col min="10" max="10" width="17.33203125" style="411" bestFit="1" customWidth="1"/>
    <col min="11" max="11" width="19.6640625" style="411" customWidth="1"/>
    <col min="12" max="12" width="3.1640625" style="411" customWidth="1"/>
    <col min="13" max="16384" width="12.5" style="411"/>
  </cols>
  <sheetData>
    <row r="1" spans="1:11">
      <c r="A1" s="1316" t="str">
        <f>'General Headers Index'!B4</f>
        <v>COLUMBIA GAS OF KENTUCKY, INC.</v>
      </c>
      <c r="B1" s="1316"/>
      <c r="C1" s="1316"/>
      <c r="D1" s="1316"/>
      <c r="E1" s="1316"/>
      <c r="F1" s="1316"/>
      <c r="G1" s="1316"/>
      <c r="H1" s="1316"/>
      <c r="I1" s="1316"/>
      <c r="J1" s="1316"/>
      <c r="K1" s="1316"/>
    </row>
    <row r="2" spans="1:11">
      <c r="A2" s="1316" t="str">
        <f>'General Headers Index'!B6</f>
        <v>CASE NO. 2024 - 00092</v>
      </c>
      <c r="B2" s="1316"/>
      <c r="C2" s="1316"/>
      <c r="D2" s="1316"/>
      <c r="E2" s="1316"/>
      <c r="F2" s="1316"/>
      <c r="G2" s="1316"/>
      <c r="H2" s="1316"/>
      <c r="I2" s="1316"/>
      <c r="J2" s="1316"/>
      <c r="K2" s="1316"/>
    </row>
    <row r="3" spans="1:11">
      <c r="A3" s="1316" t="s">
        <v>500</v>
      </c>
      <c r="B3" s="1316"/>
      <c r="C3" s="1316"/>
      <c r="D3" s="1316"/>
      <c r="E3" s="1316"/>
      <c r="F3" s="1316"/>
      <c r="G3" s="1316"/>
      <c r="H3" s="1316"/>
      <c r="I3" s="1316"/>
      <c r="J3" s="1316"/>
      <c r="K3" s="1316"/>
    </row>
    <row r="4" spans="1:11">
      <c r="A4" s="1316" t="str">
        <f>'General Headers Index'!B10</f>
        <v>AS OF AUGUST 31, 2024</v>
      </c>
      <c r="B4" s="1316"/>
      <c r="C4" s="1316"/>
      <c r="D4" s="1316"/>
      <c r="E4" s="1316"/>
      <c r="F4" s="1316"/>
      <c r="G4" s="1316"/>
      <c r="H4" s="1316"/>
      <c r="I4" s="1316"/>
      <c r="J4" s="1316"/>
      <c r="K4" s="1316"/>
    </row>
    <row r="6" spans="1:11">
      <c r="A6" s="521" t="s">
        <v>2790</v>
      </c>
      <c r="J6" s="521"/>
      <c r="K6" s="522" t="s">
        <v>501</v>
      </c>
    </row>
    <row r="7" spans="1:11">
      <c r="A7" s="521" t="str">
        <f>'General Headers Index'!B37</f>
        <v>TYPE OF FILING:___X___ORIGINAL______UPDATED</v>
      </c>
      <c r="J7" s="521"/>
      <c r="K7" s="522" t="s">
        <v>536</v>
      </c>
    </row>
    <row r="8" spans="1:11">
      <c r="A8" s="220" t="s">
        <v>2469</v>
      </c>
      <c r="J8" s="521"/>
      <c r="K8" s="522" t="str">
        <f>"WITNESS: "&amp;'General Headers Index'!B42</f>
        <v>WITNESS: GORE</v>
      </c>
    </row>
    <row r="10" spans="1:11">
      <c r="A10" s="523"/>
      <c r="B10" s="523"/>
      <c r="C10" s="523"/>
      <c r="D10" s="523"/>
      <c r="E10" s="523"/>
      <c r="F10" s="526" t="s">
        <v>502</v>
      </c>
      <c r="G10" s="523"/>
      <c r="H10" s="523"/>
      <c r="I10" s="526" t="s">
        <v>657</v>
      </c>
      <c r="J10" s="523"/>
      <c r="K10" s="523"/>
    </row>
    <row r="11" spans="1:11">
      <c r="A11" s="520" t="s">
        <v>313</v>
      </c>
      <c r="B11" s="520"/>
      <c r="C11" s="520" t="s">
        <v>368</v>
      </c>
      <c r="F11" s="520" t="s">
        <v>371</v>
      </c>
      <c r="G11" s="520" t="s">
        <v>349</v>
      </c>
      <c r="H11" s="520" t="s">
        <v>350</v>
      </c>
      <c r="I11" s="520" t="s">
        <v>350</v>
      </c>
      <c r="K11" s="520" t="s">
        <v>351</v>
      </c>
    </row>
    <row r="12" spans="1:11">
      <c r="A12" s="520" t="s">
        <v>316</v>
      </c>
      <c r="B12" s="520"/>
      <c r="C12" s="520" t="s">
        <v>316</v>
      </c>
      <c r="E12" s="520" t="s">
        <v>504</v>
      </c>
      <c r="F12" s="520" t="s">
        <v>505</v>
      </c>
      <c r="G12" s="520" t="s">
        <v>353</v>
      </c>
      <c r="H12" s="520" t="s">
        <v>354</v>
      </c>
      <c r="I12" s="520" t="s">
        <v>349</v>
      </c>
      <c r="J12" s="520" t="s">
        <v>355</v>
      </c>
      <c r="K12" s="520" t="s">
        <v>372</v>
      </c>
    </row>
    <row r="13" spans="1:11">
      <c r="A13" s="960" t="s">
        <v>506</v>
      </c>
      <c r="B13" s="960"/>
      <c r="C13" s="960" t="s">
        <v>507</v>
      </c>
      <c r="D13" s="961"/>
      <c r="E13" s="960" t="s">
        <v>508</v>
      </c>
      <c r="F13" s="960" t="s">
        <v>509</v>
      </c>
      <c r="G13" s="960" t="s">
        <v>510</v>
      </c>
      <c r="H13" s="960" t="s">
        <v>511</v>
      </c>
      <c r="I13" s="960" t="s">
        <v>512</v>
      </c>
      <c r="J13" s="960" t="s">
        <v>513</v>
      </c>
      <c r="K13" s="960" t="s">
        <v>514</v>
      </c>
    </row>
    <row r="14" spans="1:11">
      <c r="A14" s="520"/>
      <c r="C14" s="520"/>
      <c r="E14" s="520"/>
      <c r="F14" s="300" t="s">
        <v>532</v>
      </c>
      <c r="G14" s="300" t="s">
        <v>2636</v>
      </c>
      <c r="H14" s="300" t="s">
        <v>542</v>
      </c>
      <c r="I14" s="300" t="s">
        <v>668</v>
      </c>
      <c r="J14" s="300" t="s">
        <v>669</v>
      </c>
      <c r="K14" s="300" t="s">
        <v>2637</v>
      </c>
    </row>
    <row r="15" spans="1:11">
      <c r="F15" s="334" t="s">
        <v>320</v>
      </c>
      <c r="G15" s="334" t="s">
        <v>320</v>
      </c>
      <c r="H15" s="334" t="s">
        <v>320</v>
      </c>
      <c r="I15" s="334" t="s">
        <v>320</v>
      </c>
      <c r="J15" s="334" t="s">
        <v>320</v>
      </c>
      <c r="K15" s="334" t="s">
        <v>320</v>
      </c>
    </row>
    <row r="16" spans="1:11">
      <c r="F16" s="334"/>
      <c r="G16" s="334"/>
      <c r="H16" s="334"/>
      <c r="I16" s="334"/>
      <c r="J16" s="334"/>
      <c r="K16" s="334"/>
    </row>
    <row r="17" spans="1:11">
      <c r="A17" s="520">
        <v>1</v>
      </c>
      <c r="C17" s="524"/>
      <c r="E17" s="525" t="s">
        <v>373</v>
      </c>
      <c r="F17" s="413"/>
      <c r="G17" s="413"/>
      <c r="I17" s="413"/>
      <c r="J17" s="413"/>
      <c r="K17" s="413"/>
    </row>
    <row r="18" spans="1:11">
      <c r="A18" s="520">
        <f t="shared" ref="A18:A24" si="0">A17+1</f>
        <v>2</v>
      </c>
      <c r="C18" s="1262">
        <v>301</v>
      </c>
      <c r="E18" s="503" t="s">
        <v>374</v>
      </c>
      <c r="F18" s="413">
        <f>+'B-2.1 Base Period GPA'!D16</f>
        <v>521.20000000000005</v>
      </c>
      <c r="G18" s="413">
        <f t="shared" ref="G18:G23" si="1">I18</f>
        <v>0</v>
      </c>
      <c r="H18" s="962">
        <v>1</v>
      </c>
      <c r="I18" s="413">
        <f>+'WPB-2.1.C Plant Detail'!O2184</f>
        <v>0</v>
      </c>
      <c r="J18" s="413">
        <v>0</v>
      </c>
      <c r="K18" s="413">
        <f t="shared" ref="K18:K23" si="2">J18+I18</f>
        <v>0</v>
      </c>
    </row>
    <row r="19" spans="1:11">
      <c r="A19" s="520">
        <f t="shared" si="0"/>
        <v>3</v>
      </c>
      <c r="C19" s="1262">
        <v>303</v>
      </c>
      <c r="E19" s="503" t="s">
        <v>375</v>
      </c>
      <c r="F19" s="413">
        <f>+'B-2.1 Base Period GPA'!D17</f>
        <v>96334.51</v>
      </c>
      <c r="G19" s="413">
        <f t="shared" si="1"/>
        <v>81003.152444444524</v>
      </c>
      <c r="H19" s="413"/>
      <c r="I19" s="413">
        <f>+'WPB-2.1.C Plant Detail'!O2185</f>
        <v>81003.152444444524</v>
      </c>
      <c r="J19" s="413">
        <v>0</v>
      </c>
      <c r="K19" s="413">
        <f t="shared" si="2"/>
        <v>81003.152444444524</v>
      </c>
    </row>
    <row r="20" spans="1:11">
      <c r="A20" s="520">
        <f t="shared" si="0"/>
        <v>4</v>
      </c>
      <c r="C20" s="1262">
        <v>303.10000000000002</v>
      </c>
      <c r="E20" s="503" t="s">
        <v>376</v>
      </c>
      <c r="F20" s="413">
        <f>+'B-2.1 Base Period GPA'!D18</f>
        <v>943.27</v>
      </c>
      <c r="G20" s="413">
        <f t="shared" si="1"/>
        <v>318.35000000000008</v>
      </c>
      <c r="H20" s="413"/>
      <c r="I20" s="413">
        <f>+'WPB-2.1.C Plant Detail'!O2186</f>
        <v>318.35000000000008</v>
      </c>
      <c r="J20" s="413">
        <v>0</v>
      </c>
      <c r="K20" s="413">
        <f t="shared" si="2"/>
        <v>318.35000000000008</v>
      </c>
    </row>
    <row r="21" spans="1:11">
      <c r="A21" s="520">
        <f t="shared" si="0"/>
        <v>5</v>
      </c>
      <c r="C21" s="1262">
        <v>303.2</v>
      </c>
      <c r="E21" s="503" t="s">
        <v>377</v>
      </c>
      <c r="F21" s="413">
        <f>+'B-2.1 Base Period GPA'!D19</f>
        <v>0</v>
      </c>
      <c r="G21" s="413">
        <f t="shared" si="1"/>
        <v>0</v>
      </c>
      <c r="H21" s="413"/>
      <c r="I21" s="413">
        <f>+'WPB-2.1.C Plant Detail'!O2187</f>
        <v>0</v>
      </c>
      <c r="J21" s="413">
        <v>0</v>
      </c>
      <c r="K21" s="413">
        <f t="shared" si="2"/>
        <v>0</v>
      </c>
    </row>
    <row r="22" spans="1:11">
      <c r="A22" s="520">
        <f t="shared" si="0"/>
        <v>6</v>
      </c>
      <c r="C22" s="1262">
        <v>303.3</v>
      </c>
      <c r="E22" s="503" t="s">
        <v>378</v>
      </c>
      <c r="F22" s="413">
        <f>+'B-2.1 Base Period GPA'!D20</f>
        <v>12565749.710000003</v>
      </c>
      <c r="G22" s="413">
        <f t="shared" si="1"/>
        <v>5525737.3903333377</v>
      </c>
      <c r="H22" s="413"/>
      <c r="I22" s="413">
        <f>+'WPB-2.1.C Plant Detail'!O2188</f>
        <v>5525737.3903333377</v>
      </c>
      <c r="J22" s="413">
        <v>0</v>
      </c>
      <c r="K22" s="413">
        <f t="shared" si="2"/>
        <v>5525737.3903333377</v>
      </c>
    </row>
    <row r="23" spans="1:11">
      <c r="A23" s="520">
        <f t="shared" si="0"/>
        <v>7</v>
      </c>
      <c r="C23" s="1262">
        <v>303.99</v>
      </c>
      <c r="E23" s="503" t="s">
        <v>1129</v>
      </c>
      <c r="F23" s="963">
        <f>+'B-2.1 Base Period GPA'!D21</f>
        <v>2094590.3268103721</v>
      </c>
      <c r="G23" s="963">
        <f t="shared" si="1"/>
        <v>1178903.003833588</v>
      </c>
      <c r="H23" s="413"/>
      <c r="I23" s="963">
        <f>+'WPB-2.1.C Plant Detail'!O2189</f>
        <v>1178903.003833588</v>
      </c>
      <c r="J23" s="964">
        <v>0</v>
      </c>
      <c r="K23" s="963">
        <f t="shared" si="2"/>
        <v>1178903.003833588</v>
      </c>
    </row>
    <row r="24" spans="1:11">
      <c r="A24" s="520">
        <f t="shared" si="0"/>
        <v>8</v>
      </c>
      <c r="C24" s="1262"/>
      <c r="E24" s="503" t="s">
        <v>379</v>
      </c>
      <c r="F24" s="413">
        <f>SUM(F18:F23)</f>
        <v>14758139.016810376</v>
      </c>
      <c r="G24" s="413">
        <f>SUM(G18:G23)</f>
        <v>6785961.8966113701</v>
      </c>
      <c r="H24" s="413"/>
      <c r="I24" s="413">
        <f>SUM(I18:I23)</f>
        <v>6785961.8966113701</v>
      </c>
      <c r="J24" s="413">
        <f>SUM(J18:J23)</f>
        <v>0</v>
      </c>
      <c r="K24" s="413">
        <f>SUM(K18:K23)</f>
        <v>6785961.8966113701</v>
      </c>
    </row>
    <row r="25" spans="1:11">
      <c r="A25" s="520"/>
      <c r="C25" s="1262"/>
      <c r="E25" s="524"/>
      <c r="F25" s="413"/>
      <c r="G25" s="413"/>
      <c r="H25" s="413"/>
      <c r="I25" s="413"/>
      <c r="J25" s="413"/>
      <c r="K25" s="413"/>
    </row>
    <row r="26" spans="1:11">
      <c r="A26" s="520">
        <f>A24+1</f>
        <v>9</v>
      </c>
      <c r="C26" s="1262"/>
      <c r="E26" s="301" t="s">
        <v>1600</v>
      </c>
      <c r="F26" s="413"/>
      <c r="G26" s="413"/>
      <c r="H26" s="413"/>
      <c r="I26" s="413"/>
      <c r="J26" s="413"/>
      <c r="K26" s="413"/>
    </row>
    <row r="27" spans="1:11">
      <c r="A27" s="520">
        <f>A26+1</f>
        <v>10</v>
      </c>
      <c r="C27" s="1262">
        <v>374.1</v>
      </c>
      <c r="E27" s="503" t="s">
        <v>382</v>
      </c>
      <c r="F27" s="413">
        <f>+'B-2.1 Base Period GPA'!D25</f>
        <v>205.4</v>
      </c>
      <c r="G27" s="413">
        <f t="shared" ref="G27:G43" si="3">I27</f>
        <v>0</v>
      </c>
      <c r="H27" s="413"/>
      <c r="I27" s="413">
        <f>+'WPB-2.1.C Plant Detail'!O2193</f>
        <v>0</v>
      </c>
      <c r="J27" s="413">
        <v>0</v>
      </c>
      <c r="K27" s="413">
        <f t="shared" ref="K27:K43" si="4">J27+I27</f>
        <v>0</v>
      </c>
    </row>
    <row r="28" spans="1:11">
      <c r="A28" s="520">
        <f t="shared" ref="A28:A45" si="5">A27+1</f>
        <v>11</v>
      </c>
      <c r="C28" s="1262">
        <v>374.2</v>
      </c>
      <c r="E28" s="503" t="s">
        <v>383</v>
      </c>
      <c r="F28" s="413">
        <f>+'B-2.1 Base Period GPA'!D26</f>
        <v>876986.66</v>
      </c>
      <c r="G28" s="413">
        <f t="shared" si="3"/>
        <v>-522.25</v>
      </c>
      <c r="H28" s="413"/>
      <c r="I28" s="413">
        <f>+'WPB-2.1.C Plant Detail'!O2194</f>
        <v>-522.25</v>
      </c>
      <c r="J28" s="413">
        <v>0</v>
      </c>
      <c r="K28" s="413">
        <f t="shared" si="4"/>
        <v>-522.25</v>
      </c>
    </row>
    <row r="29" spans="1:11">
      <c r="A29" s="520">
        <f t="shared" si="5"/>
        <v>12</v>
      </c>
      <c r="C29" s="1262">
        <v>374.4</v>
      </c>
      <c r="E29" s="503" t="s">
        <v>384</v>
      </c>
      <c r="F29" s="413">
        <f>+'B-2.1 Base Period GPA'!D27</f>
        <v>3105701.2200000007</v>
      </c>
      <c r="G29" s="413">
        <f t="shared" si="3"/>
        <v>386659.59</v>
      </c>
      <c r="H29" s="413"/>
      <c r="I29" s="413">
        <f>+'WPB-2.1.C Plant Detail'!O2195</f>
        <v>386659.59</v>
      </c>
      <c r="J29" s="413">
        <v>0</v>
      </c>
      <c r="K29" s="413">
        <f t="shared" si="4"/>
        <v>386659.59</v>
      </c>
    </row>
    <row r="30" spans="1:11">
      <c r="A30" s="520">
        <f t="shared" si="5"/>
        <v>13</v>
      </c>
      <c r="C30" s="1262">
        <v>374.5</v>
      </c>
      <c r="E30" s="503" t="s">
        <v>385</v>
      </c>
      <c r="F30" s="413">
        <f>+'B-2.1 Base Period GPA'!D28</f>
        <v>2666577.16</v>
      </c>
      <c r="G30" s="413">
        <f t="shared" si="3"/>
        <v>1175852.1900000013</v>
      </c>
      <c r="H30" s="413"/>
      <c r="I30" s="413">
        <f>+'WPB-2.1.C Plant Detail'!O2196</f>
        <v>1175852.1900000013</v>
      </c>
      <c r="J30" s="413">
        <v>0</v>
      </c>
      <c r="K30" s="413">
        <f t="shared" si="4"/>
        <v>1175852.1900000013</v>
      </c>
    </row>
    <row r="31" spans="1:11">
      <c r="A31" s="520">
        <f t="shared" si="5"/>
        <v>14</v>
      </c>
      <c r="C31" s="1262">
        <v>375.2</v>
      </c>
      <c r="E31" s="503" t="s">
        <v>386</v>
      </c>
      <c r="F31" s="413">
        <f>+'B-2.1 Base Period GPA'!D29</f>
        <v>2124.98</v>
      </c>
      <c r="G31" s="413">
        <f t="shared" si="3"/>
        <v>2087.3000000000002</v>
      </c>
      <c r="H31" s="413"/>
      <c r="I31" s="413">
        <f>+'WPB-2.1.C Plant Detail'!O2197</f>
        <v>2087.3000000000002</v>
      </c>
      <c r="J31" s="413">
        <v>0</v>
      </c>
      <c r="K31" s="413">
        <f t="shared" si="4"/>
        <v>2087.3000000000002</v>
      </c>
    </row>
    <row r="32" spans="1:11">
      <c r="A32" s="520">
        <f t="shared" si="5"/>
        <v>15</v>
      </c>
      <c r="C32" s="1262">
        <v>375.3</v>
      </c>
      <c r="E32" s="503" t="s">
        <v>387</v>
      </c>
      <c r="F32" s="413">
        <f>+'B-2.1 Base Period GPA'!D30</f>
        <v>0</v>
      </c>
      <c r="G32" s="413">
        <f t="shared" si="3"/>
        <v>-77.66</v>
      </c>
      <c r="H32" s="413"/>
      <c r="I32" s="413">
        <f>+'WPB-2.1.C Plant Detail'!O2198</f>
        <v>-77.66</v>
      </c>
      <c r="J32" s="413">
        <v>0</v>
      </c>
      <c r="K32" s="413">
        <f t="shared" si="4"/>
        <v>-77.66</v>
      </c>
    </row>
    <row r="33" spans="1:11">
      <c r="A33" s="520">
        <f t="shared" si="5"/>
        <v>16</v>
      </c>
      <c r="C33" s="1262">
        <v>375.4</v>
      </c>
      <c r="E33" s="503" t="s">
        <v>388</v>
      </c>
      <c r="F33" s="413">
        <f>+'B-2.1 Base Period GPA'!D31</f>
        <v>3310648.2599999988</v>
      </c>
      <c r="G33" s="413">
        <f t="shared" si="3"/>
        <v>481296.76000000013</v>
      </c>
      <c r="H33" s="413"/>
      <c r="I33" s="413">
        <f>+'WPB-2.1.C Plant Detail'!O2199</f>
        <v>481296.76000000013</v>
      </c>
      <c r="J33" s="413">
        <v>0</v>
      </c>
      <c r="K33" s="413">
        <f t="shared" si="4"/>
        <v>481296.76000000013</v>
      </c>
    </row>
    <row r="34" spans="1:11">
      <c r="A34" s="520">
        <f t="shared" si="5"/>
        <v>17</v>
      </c>
      <c r="C34" s="1262">
        <v>375.6</v>
      </c>
      <c r="E34" s="503" t="s">
        <v>389</v>
      </c>
      <c r="F34" s="413">
        <f>+'B-2.1 Base Period GPA'!D32</f>
        <v>0</v>
      </c>
      <c r="G34" s="413">
        <f t="shared" si="3"/>
        <v>0.02</v>
      </c>
      <c r="H34" s="413"/>
      <c r="I34" s="413">
        <f>+'WPB-2.1.C Plant Detail'!O2200</f>
        <v>0.02</v>
      </c>
      <c r="J34" s="413">
        <v>0</v>
      </c>
      <c r="K34" s="413">
        <f t="shared" si="4"/>
        <v>0.02</v>
      </c>
    </row>
    <row r="35" spans="1:11">
      <c r="A35" s="520">
        <f t="shared" si="5"/>
        <v>18</v>
      </c>
      <c r="C35" s="1262">
        <v>375.7</v>
      </c>
      <c r="E35" s="503" t="s">
        <v>390</v>
      </c>
      <c r="F35" s="413">
        <f>+'B-2.1 Base Period GPA'!D33</f>
        <v>9653355.5099999998</v>
      </c>
      <c r="G35" s="413">
        <f t="shared" si="3"/>
        <v>4837386.6999999983</v>
      </c>
      <c r="H35" s="413"/>
      <c r="I35" s="413">
        <f>+'WPB-2.1.C Plant Detail'!O2201</f>
        <v>4837386.6999999983</v>
      </c>
      <c r="J35" s="413">
        <v>0</v>
      </c>
      <c r="K35" s="413">
        <f t="shared" si="4"/>
        <v>4837386.6999999983</v>
      </c>
    </row>
    <row r="36" spans="1:11">
      <c r="A36" s="520">
        <f t="shared" si="5"/>
        <v>19</v>
      </c>
      <c r="C36" s="1262">
        <v>375.71</v>
      </c>
      <c r="E36" s="503" t="s">
        <v>391</v>
      </c>
      <c r="F36" s="413">
        <f>+'B-2.1 Base Period GPA'!D34</f>
        <v>880994.59</v>
      </c>
      <c r="G36" s="413">
        <f t="shared" si="3"/>
        <v>796911.44000000064</v>
      </c>
      <c r="H36" s="413"/>
      <c r="I36" s="413">
        <f>+'WPB-2.1.C Plant Detail'!O2202</f>
        <v>796911.44000000064</v>
      </c>
      <c r="J36" s="413">
        <v>0</v>
      </c>
      <c r="K36" s="413">
        <f t="shared" si="4"/>
        <v>796911.44000000064</v>
      </c>
    </row>
    <row r="37" spans="1:11">
      <c r="A37" s="520">
        <f t="shared" si="5"/>
        <v>20</v>
      </c>
      <c r="C37" s="1262">
        <v>375.8</v>
      </c>
      <c r="E37" s="503" t="s">
        <v>392</v>
      </c>
      <c r="F37" s="413">
        <f>+'B-2.1 Base Period GPA'!D35</f>
        <v>132125.04</v>
      </c>
      <c r="G37" s="413">
        <f t="shared" si="3"/>
        <v>13528.43</v>
      </c>
      <c r="H37" s="413"/>
      <c r="I37" s="413">
        <f>+'WPB-2.1.C Plant Detail'!O2203</f>
        <v>13528.43</v>
      </c>
      <c r="J37" s="413">
        <v>0</v>
      </c>
      <c r="K37" s="413">
        <f t="shared" si="4"/>
        <v>13528.43</v>
      </c>
    </row>
    <row r="38" spans="1:11">
      <c r="A38" s="520">
        <f t="shared" si="5"/>
        <v>21</v>
      </c>
      <c r="B38" s="291"/>
      <c r="C38" s="295">
        <v>376</v>
      </c>
      <c r="D38" s="291"/>
      <c r="E38" s="220" t="s">
        <v>1621</v>
      </c>
      <c r="F38" s="413">
        <f>+'B-2.1 Base Period GPA'!D36</f>
        <v>415609477.43140608</v>
      </c>
      <c r="G38" s="413">
        <f t="shared" si="3"/>
        <v>84078390.441462323</v>
      </c>
      <c r="H38" s="413"/>
      <c r="I38" s="413">
        <f>+'WPB-2.1.C Plant Detail'!O2204</f>
        <v>84078390.441462323</v>
      </c>
      <c r="J38" s="413">
        <v>0</v>
      </c>
      <c r="K38" s="413">
        <f t="shared" si="4"/>
        <v>84078390.441462323</v>
      </c>
    </row>
    <row r="39" spans="1:11">
      <c r="A39" s="520">
        <f t="shared" si="5"/>
        <v>22</v>
      </c>
      <c r="C39" s="1262">
        <v>378.1</v>
      </c>
      <c r="E39" s="220" t="s">
        <v>394</v>
      </c>
      <c r="F39" s="413">
        <f>+'B-2.1 Base Period GPA'!D37</f>
        <v>126600.13999999998</v>
      </c>
      <c r="G39" s="413">
        <f t="shared" si="3"/>
        <v>-28868.130000000077</v>
      </c>
      <c r="H39" s="413"/>
      <c r="I39" s="413">
        <f>+'WPB-2.1.C Plant Detail'!O2205</f>
        <v>-28868.130000000077</v>
      </c>
      <c r="J39" s="413">
        <v>0</v>
      </c>
      <c r="K39" s="413">
        <f t="shared" si="4"/>
        <v>-28868.130000000077</v>
      </c>
    </row>
    <row r="40" spans="1:11">
      <c r="A40" s="520">
        <f t="shared" si="5"/>
        <v>23</v>
      </c>
      <c r="C40" s="1262">
        <v>378.2</v>
      </c>
      <c r="E40" s="220" t="s">
        <v>1622</v>
      </c>
      <c r="F40" s="413">
        <f>+'B-2.1 Base Period GPA'!D38</f>
        <v>27404157.581906334</v>
      </c>
      <c r="G40" s="413">
        <f t="shared" si="3"/>
        <v>3515562.3850249317</v>
      </c>
      <c r="H40" s="413"/>
      <c r="I40" s="413">
        <f>+'WPB-2.1.C Plant Detail'!O2206</f>
        <v>3515562.3850249317</v>
      </c>
      <c r="J40" s="413">
        <v>0</v>
      </c>
      <c r="K40" s="413">
        <f t="shared" si="4"/>
        <v>3515562.3850249317</v>
      </c>
    </row>
    <row r="41" spans="1:11">
      <c r="A41" s="520">
        <f t="shared" si="5"/>
        <v>24</v>
      </c>
      <c r="C41" s="1262">
        <v>378.3</v>
      </c>
      <c r="E41" s="220" t="s">
        <v>396</v>
      </c>
      <c r="F41" s="413">
        <f>+'B-2.1 Base Period GPA'!D39</f>
        <v>45443.08</v>
      </c>
      <c r="G41" s="413">
        <f t="shared" si="3"/>
        <v>43928.320000000007</v>
      </c>
      <c r="H41" s="413"/>
      <c r="I41" s="413">
        <f>+'WPB-2.1.C Plant Detail'!O2207</f>
        <v>43928.320000000007</v>
      </c>
      <c r="J41" s="413">
        <v>0</v>
      </c>
      <c r="K41" s="413">
        <f t="shared" si="4"/>
        <v>43928.320000000007</v>
      </c>
    </row>
    <row r="42" spans="1:11">
      <c r="A42" s="520">
        <f t="shared" si="5"/>
        <v>25</v>
      </c>
      <c r="C42" s="1262">
        <v>379.1</v>
      </c>
      <c r="E42" s="220" t="s">
        <v>397</v>
      </c>
      <c r="F42" s="413">
        <f>+'B-2.1 Base Period GPA'!D40</f>
        <v>1554144.06</v>
      </c>
      <c r="G42" s="413">
        <f t="shared" si="3"/>
        <v>376457.19000000006</v>
      </c>
      <c r="H42" s="413"/>
      <c r="I42" s="413">
        <f>+'WPB-2.1.C Plant Detail'!O2208</f>
        <v>376457.19000000006</v>
      </c>
      <c r="J42" s="413">
        <v>0</v>
      </c>
      <c r="K42" s="413">
        <f t="shared" si="4"/>
        <v>376457.19000000006</v>
      </c>
    </row>
    <row r="43" spans="1:11">
      <c r="A43" s="520">
        <f t="shared" si="5"/>
        <v>26</v>
      </c>
      <c r="B43" s="291"/>
      <c r="C43" s="295">
        <v>380</v>
      </c>
      <c r="D43" s="291"/>
      <c r="E43" s="220" t="s">
        <v>1623</v>
      </c>
      <c r="F43" s="413">
        <f>+'B-2.1 Base Period GPA'!D41</f>
        <v>203858319.938647</v>
      </c>
      <c r="G43" s="413">
        <f t="shared" si="3"/>
        <v>64154204.64260383</v>
      </c>
      <c r="H43" s="413"/>
      <c r="I43" s="413">
        <f>+'WPB-2.1.C Plant Detail'!O2209</f>
        <v>64154204.64260383</v>
      </c>
      <c r="J43" s="413">
        <v>0</v>
      </c>
      <c r="K43" s="413">
        <f t="shared" si="4"/>
        <v>64154204.64260383</v>
      </c>
    </row>
    <row r="44" spans="1:11">
      <c r="A44" s="520">
        <f t="shared" si="5"/>
        <v>27</v>
      </c>
      <c r="C44" s="1262">
        <v>381</v>
      </c>
      <c r="E44" s="503" t="s">
        <v>399</v>
      </c>
      <c r="F44" s="413">
        <f>+'B-2.1 Base Period GPA'!D42</f>
        <v>19637901.430000007</v>
      </c>
      <c r="G44" s="413">
        <f>I44</f>
        <v>1839859.4499999995</v>
      </c>
      <c r="H44" s="413"/>
      <c r="I44" s="413">
        <f>+'WPB-2.1.C Plant Detail'!O2210</f>
        <v>1839859.4499999995</v>
      </c>
      <c r="J44" s="413">
        <v>0</v>
      </c>
      <c r="K44" s="413">
        <f>J44+I44</f>
        <v>1839859.4499999995</v>
      </c>
    </row>
    <row r="45" spans="1:11">
      <c r="A45" s="520">
        <f t="shared" si="5"/>
        <v>28</v>
      </c>
      <c r="C45" s="1262">
        <v>381.1</v>
      </c>
      <c r="E45" s="503" t="s">
        <v>2366</v>
      </c>
      <c r="F45" s="413">
        <f>+'B-2.1 Base Period GPA'!D43</f>
        <v>9980854.4800000004</v>
      </c>
      <c r="G45" s="413">
        <f>I45</f>
        <v>5858811.0300000031</v>
      </c>
      <c r="H45" s="413"/>
      <c r="I45" s="413">
        <f>+'WPB-2.1.C Plant Detail'!O2211</f>
        <v>5858811.0300000031</v>
      </c>
      <c r="J45" s="413">
        <v>0</v>
      </c>
      <c r="K45" s="413">
        <f>J45+I45</f>
        <v>5858811.0300000031</v>
      </c>
    </row>
    <row r="46" spans="1:11">
      <c r="A46" s="520">
        <f>A45+1</f>
        <v>29</v>
      </c>
      <c r="C46" s="1262">
        <v>382</v>
      </c>
      <c r="E46" s="220" t="s">
        <v>1624</v>
      </c>
      <c r="F46" s="413">
        <f>+'B-2.1 Base Period GPA'!D44</f>
        <v>10605504.892643822</v>
      </c>
      <c r="G46" s="413">
        <f>I46</f>
        <v>5958251.203643823</v>
      </c>
      <c r="H46" s="413"/>
      <c r="I46" s="413">
        <f>+'WPB-2.1.C Plant Detail'!O2212</f>
        <v>5958251.203643823</v>
      </c>
      <c r="J46" s="413">
        <v>0</v>
      </c>
      <c r="K46" s="413">
        <f>J46+I46</f>
        <v>5958251.203643823</v>
      </c>
    </row>
    <row r="47" spans="1:11">
      <c r="A47" s="520">
        <f>A46+1</f>
        <v>30</v>
      </c>
      <c r="C47" s="1262">
        <v>383</v>
      </c>
      <c r="E47" s="220" t="s">
        <v>1625</v>
      </c>
      <c r="F47" s="413">
        <f>+'B-2.1 Base Period GPA'!D45</f>
        <v>7467481.8413111707</v>
      </c>
      <c r="G47" s="413">
        <f>I47</f>
        <v>2579243.597528928</v>
      </c>
      <c r="H47" s="413"/>
      <c r="I47" s="413">
        <f>+'WPB-2.1.C Plant Detail'!O2213</f>
        <v>2579243.597528928</v>
      </c>
      <c r="J47" s="413">
        <v>0</v>
      </c>
      <c r="K47" s="413">
        <f>J47+I47</f>
        <v>2579243.597528928</v>
      </c>
    </row>
    <row r="48" spans="1:11">
      <c r="A48" s="520">
        <f>A47+1</f>
        <v>31</v>
      </c>
      <c r="C48" s="1262">
        <v>384</v>
      </c>
      <c r="E48" s="503" t="s">
        <v>402</v>
      </c>
      <c r="F48" s="413">
        <f>+'B-2.1 Base Period GPA'!D46</f>
        <v>2085164.5799999998</v>
      </c>
      <c r="G48" s="413">
        <f>I48</f>
        <v>1742082.0399999991</v>
      </c>
      <c r="H48" s="413"/>
      <c r="I48" s="413">
        <f>+'WPB-2.1.C Plant Detail'!O2214</f>
        <v>1742082.0399999991</v>
      </c>
      <c r="J48" s="413">
        <v>0</v>
      </c>
      <c r="K48" s="413">
        <f>J48+I48</f>
        <v>1742082.0399999991</v>
      </c>
    </row>
    <row r="49" spans="1:11">
      <c r="A49" s="520">
        <f t="shared" ref="A49:A57" si="6">A48+1</f>
        <v>32</v>
      </c>
      <c r="C49" s="1262">
        <v>385</v>
      </c>
      <c r="E49" s="503" t="s">
        <v>403</v>
      </c>
      <c r="F49" s="413">
        <f>+'B-2.1 Base Period GPA'!D47</f>
        <v>6204468.29</v>
      </c>
      <c r="G49" s="413">
        <f t="shared" ref="G49:G55" si="7">I49</f>
        <v>865329.6599999998</v>
      </c>
      <c r="H49" s="413"/>
      <c r="I49" s="413">
        <f>+'WPB-2.1.C Plant Detail'!O2215</f>
        <v>865329.6599999998</v>
      </c>
      <c r="J49" s="413">
        <v>0</v>
      </c>
      <c r="K49" s="413">
        <f t="shared" ref="K49:K55" si="8">J49+I49</f>
        <v>865329.6599999998</v>
      </c>
    </row>
    <row r="50" spans="1:11">
      <c r="A50" s="520">
        <f t="shared" si="6"/>
        <v>33</v>
      </c>
      <c r="C50" s="1262">
        <v>387.2</v>
      </c>
      <c r="E50" s="503" t="s">
        <v>404</v>
      </c>
      <c r="F50" s="413">
        <f>+'B-2.1 Base Period GPA'!D48</f>
        <v>0</v>
      </c>
      <c r="G50" s="413">
        <f t="shared" si="7"/>
        <v>-59912.03</v>
      </c>
      <c r="H50" s="413"/>
      <c r="I50" s="413">
        <f>+'WPB-2.1.C Plant Detail'!O2216</f>
        <v>-59912.03</v>
      </c>
      <c r="J50" s="413">
        <v>0</v>
      </c>
      <c r="K50" s="413">
        <f t="shared" si="8"/>
        <v>-59912.03</v>
      </c>
    </row>
    <row r="51" spans="1:11">
      <c r="A51" s="520">
        <f t="shared" si="6"/>
        <v>34</v>
      </c>
      <c r="C51" s="1262">
        <v>387.41</v>
      </c>
      <c r="E51" s="503" t="s">
        <v>405</v>
      </c>
      <c r="F51" s="413">
        <f>+'B-2.1 Base Period GPA'!D49</f>
        <v>260538.46000000008</v>
      </c>
      <c r="G51" s="413">
        <f t="shared" si="7"/>
        <v>66020.970000000059</v>
      </c>
      <c r="H51" s="413"/>
      <c r="I51" s="413">
        <f>+'WPB-2.1.C Plant Detail'!O2217</f>
        <v>66020.970000000059</v>
      </c>
      <c r="J51" s="413">
        <v>0</v>
      </c>
      <c r="K51" s="413">
        <f t="shared" si="8"/>
        <v>66020.970000000059</v>
      </c>
    </row>
    <row r="52" spans="1:11">
      <c r="A52" s="520">
        <f t="shared" si="6"/>
        <v>35</v>
      </c>
      <c r="C52" s="1262">
        <v>387.42</v>
      </c>
      <c r="E52" s="503" t="s">
        <v>406</v>
      </c>
      <c r="F52" s="413">
        <f>+'B-2.1 Base Period GPA'!D50</f>
        <v>419367.40000000008</v>
      </c>
      <c r="G52" s="413">
        <f t="shared" si="7"/>
        <v>352455.80999999976</v>
      </c>
      <c r="H52" s="413"/>
      <c r="I52" s="413">
        <f>+'WPB-2.1.C Plant Detail'!O2218</f>
        <v>352455.80999999976</v>
      </c>
      <c r="J52" s="413">
        <v>0</v>
      </c>
      <c r="K52" s="413">
        <f t="shared" si="8"/>
        <v>352455.80999999976</v>
      </c>
    </row>
    <row r="53" spans="1:11">
      <c r="A53" s="520">
        <f t="shared" si="6"/>
        <v>36</v>
      </c>
      <c r="C53" s="1262">
        <v>387.44</v>
      </c>
      <c r="E53" s="503" t="s">
        <v>407</v>
      </c>
      <c r="F53" s="413">
        <f>+'B-2.1 Base Period GPA'!D51</f>
        <v>124678.76000000001</v>
      </c>
      <c r="G53" s="413">
        <f t="shared" si="7"/>
        <v>70101.390000000014</v>
      </c>
      <c r="H53" s="413"/>
      <c r="I53" s="413">
        <f>+'WPB-2.1.C Plant Detail'!O2219</f>
        <v>70101.390000000014</v>
      </c>
      <c r="J53" s="413">
        <v>0</v>
      </c>
      <c r="K53" s="413">
        <f t="shared" si="8"/>
        <v>70101.390000000014</v>
      </c>
    </row>
    <row r="54" spans="1:11">
      <c r="A54" s="520">
        <f t="shared" si="6"/>
        <v>37</v>
      </c>
      <c r="C54" s="1262">
        <v>387.45</v>
      </c>
      <c r="E54" s="503" t="s">
        <v>408</v>
      </c>
      <c r="F54" s="413">
        <f>+'B-2.1 Base Period GPA'!D52</f>
        <v>6119025.9300000006</v>
      </c>
      <c r="G54" s="413">
        <f t="shared" si="7"/>
        <v>-710935.19</v>
      </c>
      <c r="H54" s="413"/>
      <c r="I54" s="413">
        <f>+'WPB-2.1.C Plant Detail'!O2220</f>
        <v>-710935.19</v>
      </c>
      <c r="J54" s="413">
        <v>0</v>
      </c>
      <c r="K54" s="413">
        <f t="shared" si="8"/>
        <v>-710935.19</v>
      </c>
    </row>
    <row r="55" spans="1:11">
      <c r="A55" s="520">
        <f t="shared" si="6"/>
        <v>38</v>
      </c>
      <c r="C55" s="1262">
        <v>387.46</v>
      </c>
      <c r="E55" s="503" t="s">
        <v>409</v>
      </c>
      <c r="F55" s="413">
        <f>+'B-2.1 Base Period GPA'!D53</f>
        <v>113644.47</v>
      </c>
      <c r="G55" s="413">
        <f t="shared" si="7"/>
        <v>116339.07</v>
      </c>
      <c r="H55" s="413"/>
      <c r="I55" s="413">
        <f>+'WPB-2.1.C Plant Detail'!O2221</f>
        <v>116339.07</v>
      </c>
      <c r="J55" s="413">
        <v>0</v>
      </c>
      <c r="K55" s="413">
        <f t="shared" si="8"/>
        <v>116339.07</v>
      </c>
    </row>
    <row r="56" spans="1:11">
      <c r="A56" s="520">
        <f t="shared" si="6"/>
        <v>39</v>
      </c>
      <c r="C56" s="1262">
        <v>387.5</v>
      </c>
      <c r="E56" s="503" t="s">
        <v>1075</v>
      </c>
      <c r="F56" s="963">
        <f>+'B-2.1 Base Period GPA'!D54</f>
        <v>238072.69</v>
      </c>
      <c r="G56" s="963">
        <f>I56</f>
        <v>60180.470000000023</v>
      </c>
      <c r="H56" s="413"/>
      <c r="I56" s="963">
        <f>+'WPB-2.1.C Plant Detail'!O2222</f>
        <v>60180.470000000023</v>
      </c>
      <c r="J56" s="964">
        <v>0</v>
      </c>
      <c r="K56" s="963">
        <f>J56+I56</f>
        <v>60180.470000000023</v>
      </c>
    </row>
    <row r="57" spans="1:11">
      <c r="A57" s="520">
        <f t="shared" si="6"/>
        <v>40</v>
      </c>
      <c r="C57" s="524"/>
      <c r="E57" s="303" t="s">
        <v>1601</v>
      </c>
      <c r="F57" s="413">
        <f>SUM(F49:F56,F27:F48)</f>
        <v>732483564.27591443</v>
      </c>
      <c r="G57" s="413">
        <f>SUM(G49:G56,G27:G48)</f>
        <v>178570624.84026381</v>
      </c>
      <c r="H57" s="413"/>
      <c r="I57" s="413">
        <f>SUM(I49:I56,I27:I48)</f>
        <v>178570624.84026381</v>
      </c>
      <c r="J57" s="413">
        <f>SUM(J44:J56,J27:J43)</f>
        <v>0</v>
      </c>
      <c r="K57" s="413">
        <f>SUM(K49:K56,K27:K48)</f>
        <v>178570624.84026381</v>
      </c>
    </row>
    <row r="58" spans="1:11">
      <c r="A58" s="520"/>
      <c r="C58" s="524"/>
      <c r="E58" s="524"/>
      <c r="F58" s="413"/>
      <c r="G58" s="413"/>
      <c r="H58" s="413"/>
      <c r="I58" s="413"/>
      <c r="J58" s="413"/>
      <c r="K58" s="413"/>
    </row>
    <row r="59" spans="1:11">
      <c r="A59" s="1316" t="str">
        <f>A1</f>
        <v>COLUMBIA GAS OF KENTUCKY, INC.</v>
      </c>
      <c r="B59" s="1316"/>
      <c r="C59" s="1316"/>
      <c r="D59" s="1316"/>
      <c r="E59" s="1316"/>
      <c r="F59" s="1316"/>
      <c r="G59" s="1316"/>
      <c r="H59" s="1316"/>
      <c r="I59" s="1316"/>
      <c r="J59" s="1316"/>
      <c r="K59" s="1316"/>
    </row>
    <row r="60" spans="1:11">
      <c r="A60" s="1316" t="str">
        <f>A2</f>
        <v>CASE NO. 2024 - 00092</v>
      </c>
      <c r="B60" s="1316"/>
      <c r="C60" s="1316"/>
      <c r="D60" s="1316"/>
      <c r="E60" s="1316"/>
      <c r="F60" s="1316"/>
      <c r="G60" s="1316"/>
      <c r="H60" s="1316"/>
      <c r="I60" s="1316"/>
      <c r="J60" s="1316"/>
      <c r="K60" s="1316"/>
    </row>
    <row r="61" spans="1:11">
      <c r="A61" s="1316" t="str">
        <f>A3</f>
        <v>ACCUMULATED DEPRECIATION &amp; AMORTIZATION</v>
      </c>
      <c r="B61" s="1316"/>
      <c r="C61" s="1316"/>
      <c r="D61" s="1316"/>
      <c r="E61" s="1316"/>
      <c r="F61" s="1316"/>
      <c r="G61" s="1316"/>
      <c r="H61" s="1316"/>
      <c r="I61" s="1316"/>
      <c r="J61" s="1316"/>
      <c r="K61" s="1316"/>
    </row>
    <row r="62" spans="1:11">
      <c r="A62" s="1316" t="str">
        <f>A4</f>
        <v>AS OF AUGUST 31, 2024</v>
      </c>
      <c r="B62" s="1316"/>
      <c r="C62" s="1316"/>
      <c r="D62" s="1316"/>
      <c r="E62" s="1316"/>
      <c r="F62" s="1316"/>
      <c r="G62" s="1316"/>
      <c r="H62" s="1316"/>
      <c r="I62" s="1316"/>
      <c r="J62" s="1316"/>
      <c r="K62" s="1316"/>
    </row>
    <row r="63" spans="1:11">
      <c r="A63" s="520"/>
      <c r="B63" s="520"/>
      <c r="C63" s="520"/>
      <c r="D63" s="520"/>
      <c r="E63" s="520"/>
      <c r="F63" s="520"/>
      <c r="G63" s="520"/>
      <c r="H63" s="520"/>
      <c r="I63" s="520"/>
      <c r="J63" s="520"/>
      <c r="K63" s="520"/>
    </row>
    <row r="64" spans="1:11">
      <c r="A64" s="521" t="s">
        <v>2790</v>
      </c>
      <c r="J64" s="521"/>
      <c r="K64" s="522" t="str">
        <f>K6</f>
        <v>SCHEDULE B-3</v>
      </c>
    </row>
    <row r="65" spans="1:11">
      <c r="A65" s="521" t="str">
        <f>'General Headers Index'!B37</f>
        <v>TYPE OF FILING:___X___ORIGINAL______UPDATED</v>
      </c>
      <c r="J65" s="521"/>
      <c r="K65" s="522" t="s">
        <v>537</v>
      </c>
    </row>
    <row r="66" spans="1:11">
      <c r="A66" s="521" t="s">
        <v>997</v>
      </c>
      <c r="J66" s="521"/>
      <c r="K66" s="522" t="str">
        <f>K8</f>
        <v>WITNESS: GORE</v>
      </c>
    </row>
    <row r="68" spans="1:11">
      <c r="A68" s="523"/>
      <c r="B68" s="523"/>
      <c r="C68" s="523"/>
      <c r="D68" s="523"/>
      <c r="E68" s="523"/>
      <c r="F68" s="526" t="s">
        <v>502</v>
      </c>
      <c r="G68" s="523"/>
      <c r="H68" s="523"/>
      <c r="I68" s="526" t="s">
        <v>503</v>
      </c>
      <c r="J68" s="523"/>
      <c r="K68" s="523"/>
    </row>
    <row r="69" spans="1:11">
      <c r="A69" s="520" t="s">
        <v>313</v>
      </c>
      <c r="B69" s="520"/>
      <c r="C69" s="520" t="s">
        <v>368</v>
      </c>
      <c r="F69" s="520" t="s">
        <v>371</v>
      </c>
      <c r="G69" s="520" t="s">
        <v>349</v>
      </c>
      <c r="H69" s="520" t="s">
        <v>350</v>
      </c>
      <c r="I69" s="520" t="s">
        <v>350</v>
      </c>
      <c r="K69" s="520" t="s">
        <v>351</v>
      </c>
    </row>
    <row r="70" spans="1:11">
      <c r="A70" s="520" t="s">
        <v>316</v>
      </c>
      <c r="B70" s="520"/>
      <c r="C70" s="520" t="s">
        <v>316</v>
      </c>
      <c r="E70" s="520" t="s">
        <v>504</v>
      </c>
      <c r="F70" s="520" t="s">
        <v>505</v>
      </c>
      <c r="G70" s="520" t="s">
        <v>353</v>
      </c>
      <c r="H70" s="520" t="s">
        <v>354</v>
      </c>
      <c r="I70" s="520" t="s">
        <v>349</v>
      </c>
      <c r="J70" s="520" t="s">
        <v>355</v>
      </c>
      <c r="K70" s="520" t="s">
        <v>372</v>
      </c>
    </row>
    <row r="71" spans="1:11">
      <c r="A71" s="960" t="s">
        <v>506</v>
      </c>
      <c r="B71" s="960"/>
      <c r="C71" s="960" t="s">
        <v>507</v>
      </c>
      <c r="D71" s="961"/>
      <c r="E71" s="960" t="s">
        <v>508</v>
      </c>
      <c r="F71" s="960" t="s">
        <v>509</v>
      </c>
      <c r="G71" s="960" t="s">
        <v>510</v>
      </c>
      <c r="H71" s="960" t="s">
        <v>511</v>
      </c>
      <c r="I71" s="960" t="s">
        <v>512</v>
      </c>
      <c r="J71" s="960" t="s">
        <v>513</v>
      </c>
      <c r="K71" s="960" t="s">
        <v>514</v>
      </c>
    </row>
    <row r="72" spans="1:11">
      <c r="F72" s="300" t="s">
        <v>532</v>
      </c>
      <c r="G72" s="300" t="s">
        <v>2636</v>
      </c>
      <c r="H72" s="300" t="s">
        <v>542</v>
      </c>
      <c r="I72" s="300" t="s">
        <v>668</v>
      </c>
      <c r="J72" s="300" t="s">
        <v>669</v>
      </c>
      <c r="K72" s="300" t="s">
        <v>2637</v>
      </c>
    </row>
    <row r="73" spans="1:11">
      <c r="F73" s="334" t="s">
        <v>320</v>
      </c>
      <c r="G73" s="334" t="s">
        <v>320</v>
      </c>
      <c r="H73" s="334" t="s">
        <v>320</v>
      </c>
      <c r="I73" s="334" t="s">
        <v>320</v>
      </c>
      <c r="J73" s="334" t="s">
        <v>320</v>
      </c>
      <c r="K73" s="334" t="s">
        <v>320</v>
      </c>
    </row>
    <row r="74" spans="1:11">
      <c r="F74" s="334"/>
      <c r="G74" s="334"/>
      <c r="H74" s="334"/>
      <c r="I74" s="334"/>
      <c r="J74" s="334"/>
      <c r="K74" s="334"/>
    </row>
    <row r="75" spans="1:11">
      <c r="A75" s="520">
        <v>1</v>
      </c>
      <c r="C75" s="524"/>
      <c r="E75" s="525" t="s">
        <v>411</v>
      </c>
      <c r="F75" s="413"/>
      <c r="G75" s="413"/>
      <c r="H75" s="413"/>
      <c r="I75" s="413"/>
      <c r="J75" s="413"/>
      <c r="K75" s="413"/>
    </row>
    <row r="76" spans="1:11">
      <c r="A76" s="520">
        <f>A75+1</f>
        <v>2</v>
      </c>
      <c r="C76" s="1262">
        <v>391.1</v>
      </c>
      <c r="E76" s="503" t="s">
        <v>412</v>
      </c>
      <c r="F76" s="413">
        <f>+'B-2.1 Base Period GPA'!D58</f>
        <v>921741.33000000007</v>
      </c>
      <c r="G76" s="413">
        <f t="shared" ref="G76:G89" si="9">I76</f>
        <v>145498.37</v>
      </c>
      <c r="H76" s="413"/>
      <c r="I76" s="413">
        <f>+'WPB-2.1.C Plant Detail'!O2243</f>
        <v>145498.37</v>
      </c>
      <c r="J76" s="413">
        <v>0</v>
      </c>
      <c r="K76" s="413">
        <f t="shared" ref="K76:K89" si="10">J76+I76</f>
        <v>145498.37</v>
      </c>
    </row>
    <row r="77" spans="1:11">
      <c r="A77" s="520">
        <f t="shared" ref="A77:A90" si="11">A76+1</f>
        <v>3</v>
      </c>
      <c r="C77" s="1262">
        <v>391.11</v>
      </c>
      <c r="E77" s="503" t="s">
        <v>413</v>
      </c>
      <c r="F77" s="413">
        <f>+'B-2.1 Base Period GPA'!D59</f>
        <v>0</v>
      </c>
      <c r="G77" s="413">
        <f t="shared" si="9"/>
        <v>-18933.789999999997</v>
      </c>
      <c r="H77" s="413"/>
      <c r="I77" s="413">
        <f>+'WPB-2.1.C Plant Detail'!O2244</f>
        <v>-18933.789999999997</v>
      </c>
      <c r="J77" s="413">
        <v>0</v>
      </c>
      <c r="K77" s="413">
        <f t="shared" si="10"/>
        <v>-18933.789999999997</v>
      </c>
    </row>
    <row r="78" spans="1:11">
      <c r="A78" s="520">
        <f t="shared" si="11"/>
        <v>4</v>
      </c>
      <c r="C78" s="1262">
        <v>391.12</v>
      </c>
      <c r="E78" s="503" t="s">
        <v>414</v>
      </c>
      <c r="F78" s="413">
        <f>+'B-2.1 Base Period GPA'!D60</f>
        <v>37129.580000000009</v>
      </c>
      <c r="G78" s="413">
        <f t="shared" si="9"/>
        <v>-332.03000000000065</v>
      </c>
      <c r="H78" s="413"/>
      <c r="I78" s="413">
        <f>+'WPB-2.1.C Plant Detail'!O2245</f>
        <v>-332.03000000000065</v>
      </c>
      <c r="J78" s="413">
        <v>0</v>
      </c>
      <c r="K78" s="413">
        <f t="shared" si="10"/>
        <v>-332.03000000000065</v>
      </c>
    </row>
    <row r="79" spans="1:11">
      <c r="A79" s="520">
        <f>A78+1</f>
        <v>5</v>
      </c>
      <c r="C79" s="1262">
        <v>392.2</v>
      </c>
      <c r="E79" s="503" t="s">
        <v>524</v>
      </c>
      <c r="F79" s="413">
        <f>+'B-2.1 Base Period GPA'!D61</f>
        <v>48924.4</v>
      </c>
      <c r="G79" s="413">
        <f t="shared" si="9"/>
        <v>17439.359999999961</v>
      </c>
      <c r="H79" s="413"/>
      <c r="I79" s="413">
        <f>+'WPB-2.1.C Plant Detail'!O2246</f>
        <v>17439.359999999961</v>
      </c>
      <c r="J79" s="413">
        <v>0</v>
      </c>
      <c r="K79" s="413">
        <f t="shared" si="10"/>
        <v>17439.359999999961</v>
      </c>
    </row>
    <row r="80" spans="1:11">
      <c r="A80" s="520">
        <f>A79+1</f>
        <v>6</v>
      </c>
      <c r="C80" s="1262">
        <v>392.21</v>
      </c>
      <c r="E80" s="503" t="s">
        <v>415</v>
      </c>
      <c r="F80" s="413">
        <f>+'B-2.1 Base Period GPA'!D62</f>
        <v>24462.2</v>
      </c>
      <c r="G80" s="413">
        <f t="shared" si="9"/>
        <v>44862.01</v>
      </c>
      <c r="H80" s="413"/>
      <c r="I80" s="413">
        <f>+'WPB-2.1.C Plant Detail'!O2247</f>
        <v>44862.01</v>
      </c>
      <c r="J80" s="413">
        <v>0</v>
      </c>
      <c r="K80" s="413">
        <f t="shared" si="10"/>
        <v>44862.01</v>
      </c>
    </row>
    <row r="81" spans="1:11">
      <c r="A81" s="520">
        <f>A80+1</f>
        <v>7</v>
      </c>
      <c r="C81" s="1262">
        <v>393</v>
      </c>
      <c r="E81" s="503" t="s">
        <v>416</v>
      </c>
      <c r="F81" s="413">
        <f>+'B-2.1 Base Period GPA'!D63</f>
        <v>0</v>
      </c>
      <c r="G81" s="413">
        <f t="shared" si="9"/>
        <v>0</v>
      </c>
      <c r="H81" s="413"/>
      <c r="I81" s="413">
        <f>+'WPB-2.1.C Plant Detail'!O2248</f>
        <v>0</v>
      </c>
      <c r="J81" s="413">
        <v>0</v>
      </c>
      <c r="K81" s="413">
        <f t="shared" si="10"/>
        <v>0</v>
      </c>
    </row>
    <row r="82" spans="1:11">
      <c r="A82" s="520">
        <f>A81+1</f>
        <v>8</v>
      </c>
      <c r="C82" s="1262">
        <v>394.1</v>
      </c>
      <c r="E82" s="503" t="s">
        <v>417</v>
      </c>
      <c r="F82" s="413">
        <f>+'B-2.1 Base Period GPA'!D64</f>
        <v>9739</v>
      </c>
      <c r="G82" s="413">
        <f t="shared" si="9"/>
        <v>4332.0700000000006</v>
      </c>
      <c r="H82" s="413"/>
      <c r="I82" s="413">
        <f>+'WPB-2.1.C Plant Detail'!O2249</f>
        <v>4332.0700000000006</v>
      </c>
      <c r="J82" s="413">
        <v>0</v>
      </c>
      <c r="K82" s="413">
        <f t="shared" si="10"/>
        <v>4332.0700000000006</v>
      </c>
    </row>
    <row r="83" spans="1:11">
      <c r="A83" s="520">
        <f t="shared" si="11"/>
        <v>9</v>
      </c>
      <c r="C83" s="1262">
        <v>394.11</v>
      </c>
      <c r="E83" s="503" t="s">
        <v>418</v>
      </c>
      <c r="F83" s="413">
        <f>+'B-2.1 Base Period GPA'!D65</f>
        <v>0</v>
      </c>
      <c r="G83" s="413">
        <f t="shared" si="9"/>
        <v>-26071.5</v>
      </c>
      <c r="H83" s="413"/>
      <c r="I83" s="413">
        <f>+'WPB-2.1.C Plant Detail'!O2250</f>
        <v>-26071.5</v>
      </c>
      <c r="J83" s="413">
        <v>0</v>
      </c>
      <c r="K83" s="413">
        <f t="shared" si="10"/>
        <v>-26071.5</v>
      </c>
    </row>
    <row r="84" spans="1:11">
      <c r="A84" s="520">
        <f t="shared" si="11"/>
        <v>10</v>
      </c>
      <c r="C84" s="520">
        <v>394.13</v>
      </c>
      <c r="E84" s="503" t="s">
        <v>515</v>
      </c>
      <c r="F84" s="413">
        <f>+'B-2.1 Base Period GPA'!D66</f>
        <v>0</v>
      </c>
      <c r="G84" s="413">
        <f t="shared" si="9"/>
        <v>37937.360000000001</v>
      </c>
      <c r="H84" s="413"/>
      <c r="I84" s="413">
        <f>+'WPB-2.1.C Plant Detail'!O2251</f>
        <v>37937.360000000001</v>
      </c>
      <c r="J84" s="413">
        <v>0</v>
      </c>
      <c r="K84" s="413">
        <f t="shared" si="10"/>
        <v>37937.360000000001</v>
      </c>
    </row>
    <row r="85" spans="1:11">
      <c r="A85" s="520">
        <f t="shared" si="11"/>
        <v>11</v>
      </c>
      <c r="C85" s="1262">
        <v>394.2</v>
      </c>
      <c r="E85" s="503" t="s">
        <v>420</v>
      </c>
      <c r="F85" s="413">
        <f>+'B-2.1 Base Period GPA'!D67</f>
        <v>0</v>
      </c>
      <c r="G85" s="413">
        <f t="shared" si="9"/>
        <v>185.21</v>
      </c>
      <c r="H85" s="413"/>
      <c r="I85" s="413">
        <f>+'WPB-2.1.C Plant Detail'!O2252</f>
        <v>185.21</v>
      </c>
      <c r="J85" s="413">
        <v>0</v>
      </c>
      <c r="K85" s="413">
        <f t="shared" si="10"/>
        <v>185.21</v>
      </c>
    </row>
    <row r="86" spans="1:11">
      <c r="A86" s="520">
        <f t="shared" si="11"/>
        <v>12</v>
      </c>
      <c r="C86" s="1262">
        <v>394.3</v>
      </c>
      <c r="E86" s="503" t="s">
        <v>421</v>
      </c>
      <c r="F86" s="413">
        <f>+'B-2.1 Base Period GPA'!D68</f>
        <v>5244673.6599999992</v>
      </c>
      <c r="G86" s="413">
        <f t="shared" si="9"/>
        <v>1638965.6499999997</v>
      </c>
      <c r="H86" s="413"/>
      <c r="I86" s="413">
        <f>+'WPB-2.1.C Plant Detail'!O2253</f>
        <v>1638965.6499999997</v>
      </c>
      <c r="J86" s="413">
        <v>0</v>
      </c>
      <c r="K86" s="413">
        <f t="shared" si="10"/>
        <v>1638965.6499999997</v>
      </c>
    </row>
    <row r="87" spans="1:11">
      <c r="A87" s="520">
        <f t="shared" si="11"/>
        <v>13</v>
      </c>
      <c r="C87" s="1262">
        <v>395</v>
      </c>
      <c r="E87" s="503" t="s">
        <v>422</v>
      </c>
      <c r="F87" s="413">
        <f>+'B-2.1 Base Period GPA'!D69</f>
        <v>0</v>
      </c>
      <c r="G87" s="413">
        <f t="shared" si="9"/>
        <v>-100.69999999999845</v>
      </c>
      <c r="H87" s="413"/>
      <c r="I87" s="413">
        <f>+'WPB-2.1.C Plant Detail'!O2254</f>
        <v>-100.69999999999845</v>
      </c>
      <c r="J87" s="413">
        <v>0</v>
      </c>
      <c r="K87" s="413">
        <f t="shared" si="10"/>
        <v>-100.69999999999845</v>
      </c>
    </row>
    <row r="88" spans="1:11">
      <c r="A88" s="520">
        <f t="shared" si="11"/>
        <v>14</v>
      </c>
      <c r="C88" s="1262">
        <v>396</v>
      </c>
      <c r="E88" s="503" t="s">
        <v>423</v>
      </c>
      <c r="F88" s="413">
        <f>+'B-2.1 Base Period GPA'!D70</f>
        <v>185547</v>
      </c>
      <c r="G88" s="413">
        <f t="shared" si="9"/>
        <v>171938.14</v>
      </c>
      <c r="H88" s="413"/>
      <c r="I88" s="413">
        <f>+'WPB-2.1.C Plant Detail'!O2255</f>
        <v>171938.14</v>
      </c>
      <c r="J88" s="413">
        <v>0</v>
      </c>
      <c r="K88" s="413">
        <f t="shared" si="10"/>
        <v>171938.14</v>
      </c>
    </row>
    <row r="89" spans="1:11">
      <c r="A89" s="520">
        <f t="shared" si="11"/>
        <v>15</v>
      </c>
      <c r="C89" s="1262">
        <v>398</v>
      </c>
      <c r="E89" s="503" t="s">
        <v>424</v>
      </c>
      <c r="F89" s="963">
        <f>+'B-2.1 Base Period GPA'!D71</f>
        <v>148028.20000000001</v>
      </c>
      <c r="G89" s="963">
        <f t="shared" si="9"/>
        <v>76687.549999999945</v>
      </c>
      <c r="H89" s="413"/>
      <c r="I89" s="963">
        <f>+'WPB-2.1.C Plant Detail'!O2256</f>
        <v>76687.549999999945</v>
      </c>
      <c r="J89" s="964">
        <v>0</v>
      </c>
      <c r="K89" s="963">
        <f t="shared" si="10"/>
        <v>76687.549999999945</v>
      </c>
    </row>
    <row r="90" spans="1:11">
      <c r="A90" s="520">
        <f t="shared" si="11"/>
        <v>16</v>
      </c>
      <c r="C90" s="524"/>
      <c r="E90" s="503" t="s">
        <v>425</v>
      </c>
      <c r="F90" s="413">
        <f>SUM(F76:F89)</f>
        <v>6620245.3699999992</v>
      </c>
      <c r="G90" s="413">
        <f>SUM(G76:G89)</f>
        <v>2092407.7</v>
      </c>
      <c r="H90" s="413"/>
      <c r="I90" s="413">
        <f>SUM(I76:I89)</f>
        <v>2092407.7</v>
      </c>
      <c r="J90" s="413">
        <f>SUM(J76:J89)</f>
        <v>0</v>
      </c>
      <c r="K90" s="413">
        <f>SUM(K76:K89)</f>
        <v>2092407.7</v>
      </c>
    </row>
    <row r="91" spans="1:11">
      <c r="A91" s="520"/>
      <c r="C91" s="524"/>
      <c r="E91" s="503"/>
      <c r="F91" s="413"/>
      <c r="G91" s="413"/>
      <c r="H91" s="413"/>
      <c r="I91" s="413"/>
      <c r="J91" s="413"/>
      <c r="K91" s="413"/>
    </row>
    <row r="92" spans="1:11">
      <c r="A92" s="520">
        <f>A90+1</f>
        <v>17</v>
      </c>
      <c r="C92" s="1262"/>
      <c r="E92" s="525" t="s">
        <v>1038</v>
      </c>
      <c r="F92" s="413"/>
      <c r="G92" s="413"/>
      <c r="H92" s="413"/>
      <c r="I92" s="413"/>
      <c r="J92" s="413"/>
      <c r="K92" s="413"/>
    </row>
    <row r="93" spans="1:11">
      <c r="A93" s="520">
        <f>A92+1</f>
        <v>18</v>
      </c>
      <c r="C93" s="1262">
        <v>378.21</v>
      </c>
      <c r="E93" s="503" t="s">
        <v>1037</v>
      </c>
      <c r="F93" s="963">
        <f>+'B-2.1 Base Period GPA'!D75</f>
        <v>-777092</v>
      </c>
      <c r="G93" s="963">
        <f>I93</f>
        <v>-221523.70000000022</v>
      </c>
      <c r="H93" s="413"/>
      <c r="I93" s="963">
        <f>+'WPB-2.1.C Plant Detail'!O2260</f>
        <v>-221523.70000000022</v>
      </c>
      <c r="J93" s="963">
        <v>0</v>
      </c>
      <c r="K93" s="963">
        <f>J93+I93</f>
        <v>-221523.70000000022</v>
      </c>
    </row>
    <row r="94" spans="1:11">
      <c r="A94" s="520"/>
      <c r="C94" s="1262"/>
      <c r="E94" s="220" t="s">
        <v>1579</v>
      </c>
      <c r="F94" s="328">
        <f>SUM(F93)</f>
        <v>-777092</v>
      </c>
      <c r="G94" s="328">
        <f>SUM(G93)</f>
        <v>-221523.70000000022</v>
      </c>
      <c r="H94" s="328"/>
      <c r="I94" s="328">
        <f>SUM(I93)</f>
        <v>-221523.70000000022</v>
      </c>
      <c r="J94" s="328">
        <f>SUM(J93)</f>
        <v>0</v>
      </c>
      <c r="K94" s="328">
        <f>SUM(K93)</f>
        <v>-221523.70000000022</v>
      </c>
    </row>
    <row r="95" spans="1:11">
      <c r="A95" s="520"/>
      <c r="C95" s="1262"/>
      <c r="E95" s="524"/>
      <c r="F95" s="413"/>
      <c r="G95" s="964"/>
      <c r="H95" s="413"/>
      <c r="I95" s="964"/>
      <c r="J95" s="964"/>
      <c r="K95" s="964"/>
    </row>
    <row r="96" spans="1:11" ht="13.5" thickBot="1">
      <c r="A96" s="520">
        <f>A93+1</f>
        <v>19</v>
      </c>
      <c r="C96" s="1262"/>
      <c r="E96" s="220" t="s">
        <v>2037</v>
      </c>
      <c r="F96" s="414">
        <f>F24+F57+F90+F94</f>
        <v>753084856.66272485</v>
      </c>
      <c r="G96" s="414">
        <f>G24+G57+G90+G94</f>
        <v>187227470.73687518</v>
      </c>
      <c r="H96" s="413"/>
      <c r="I96" s="414">
        <f>I24+I57+I90+I94</f>
        <v>187227470.73687518</v>
      </c>
      <c r="J96" s="414">
        <f>J24+J57+J90+J94</f>
        <v>0</v>
      </c>
      <c r="K96" s="414">
        <f>K24+K57+K90+K94</f>
        <v>187227470.73687518</v>
      </c>
    </row>
    <row r="97" spans="1:11" ht="13.5" thickTop="1">
      <c r="A97" s="520"/>
      <c r="C97" s="520"/>
      <c r="E97" s="220"/>
      <c r="F97" s="413"/>
      <c r="G97" s="413"/>
      <c r="H97" s="413"/>
      <c r="I97" s="413"/>
      <c r="J97" s="413"/>
      <c r="K97" s="413"/>
    </row>
    <row r="98" spans="1:11">
      <c r="A98" s="520">
        <f>+A96+1</f>
        <v>20</v>
      </c>
      <c r="C98" s="520"/>
      <c r="E98" s="220" t="s">
        <v>2038</v>
      </c>
      <c r="F98" s="413"/>
      <c r="G98" s="413">
        <f>I98</f>
        <v>-6687302.71</v>
      </c>
      <c r="H98" s="413"/>
      <c r="I98" s="413">
        <f>+'WPB-2.1.C Plant Detail'!O2265</f>
        <v>-6687302.71</v>
      </c>
      <c r="J98" s="413">
        <v>0</v>
      </c>
      <c r="K98" s="413">
        <f>J98+I98</f>
        <v>-6687302.71</v>
      </c>
    </row>
    <row r="99" spans="1:11">
      <c r="A99" s="520"/>
      <c r="C99" s="520"/>
      <c r="E99" s="220"/>
      <c r="F99" s="413"/>
      <c r="G99" s="413"/>
      <c r="H99" s="413"/>
      <c r="I99" s="413"/>
      <c r="J99" s="413"/>
      <c r="K99" s="413"/>
    </row>
    <row r="100" spans="1:11" ht="13.5" thickBot="1">
      <c r="A100" s="520">
        <f>+A98+1</f>
        <v>21</v>
      </c>
      <c r="C100" s="520"/>
      <c r="E100" s="220" t="s">
        <v>1603</v>
      </c>
      <c r="F100" s="331">
        <f>F96+F98</f>
        <v>753084856.66272485</v>
      </c>
      <c r="G100" s="331">
        <f>G96+G98</f>
        <v>180540168.02687517</v>
      </c>
      <c r="H100" s="328"/>
      <c r="I100" s="331">
        <f>I96+I98</f>
        <v>180540168.02687517</v>
      </c>
      <c r="J100" s="331">
        <f>J96+J98</f>
        <v>0</v>
      </c>
      <c r="K100" s="331">
        <f>K96+K98</f>
        <v>180540168.02687517</v>
      </c>
    </row>
    <row r="101" spans="1:11" ht="13.5" thickTop="1">
      <c r="C101" s="520"/>
    </row>
    <row r="102" spans="1:11">
      <c r="A102" s="1253">
        <f>+A100+1</f>
        <v>22</v>
      </c>
      <c r="C102" s="1253"/>
      <c r="D102" s="1252"/>
      <c r="E102" s="1261" t="s">
        <v>1774</v>
      </c>
    </row>
    <row r="103" spans="1:11">
      <c r="A103" s="1253">
        <f>+A102+1</f>
        <v>23</v>
      </c>
      <c r="C103" s="1263">
        <v>376</v>
      </c>
      <c r="D103" s="1252"/>
      <c r="E103" s="1252" t="s">
        <v>576</v>
      </c>
      <c r="F103" s="1254">
        <f>+'B-2.1 Base Period GPA'!D81</f>
        <v>41145560.138593905</v>
      </c>
      <c r="G103" s="1256">
        <f>+I103</f>
        <v>230245.88853774991</v>
      </c>
      <c r="I103" s="1256">
        <f>+'WPB-2.1.C Plant Detail'!O2271</f>
        <v>230245.88853774991</v>
      </c>
      <c r="J103" s="413">
        <v>0</v>
      </c>
      <c r="K103" s="413">
        <f t="shared" ref="K103:K107" si="12">J103+I103</f>
        <v>230245.88853774991</v>
      </c>
    </row>
    <row r="104" spans="1:11">
      <c r="A104" s="1253">
        <f t="shared" ref="A104:A108" si="13">+A103+1</f>
        <v>24</v>
      </c>
      <c r="C104" s="1263">
        <v>378.2</v>
      </c>
      <c r="D104" s="1252"/>
      <c r="E104" s="1252" t="s">
        <v>2915</v>
      </c>
      <c r="F104" s="1254">
        <f>+'B-2.1 Base Period GPA'!D82</f>
        <v>436773.86809366115</v>
      </c>
      <c r="G104" s="1256">
        <f>+I104</f>
        <v>-664090.05502493191</v>
      </c>
      <c r="I104" s="1256">
        <f>+'WPB-2.1.C Plant Detail'!O2272</f>
        <v>-664090.05502493191</v>
      </c>
      <c r="J104" s="413">
        <v>0</v>
      </c>
      <c r="K104" s="413">
        <f t="shared" si="12"/>
        <v>-664090.05502493191</v>
      </c>
    </row>
    <row r="105" spans="1:11">
      <c r="A105" s="1253">
        <f t="shared" si="13"/>
        <v>25</v>
      </c>
      <c r="C105" s="1263">
        <v>380</v>
      </c>
      <c r="D105" s="1252"/>
      <c r="E105" s="1252" t="s">
        <v>398</v>
      </c>
      <c r="F105" s="1254">
        <f>+'B-2.1 Base Period GPA'!D83</f>
        <v>18420436.571352985</v>
      </c>
      <c r="G105" s="1256">
        <f t="shared" ref="G105:G107" si="14">+I105</f>
        <v>-8763900.8626038022</v>
      </c>
      <c r="I105" s="1256">
        <f>+'WPB-2.1.C Plant Detail'!O2273</f>
        <v>-8763900.8626038022</v>
      </c>
      <c r="J105" s="413">
        <v>0</v>
      </c>
      <c r="K105" s="413">
        <f t="shared" si="12"/>
        <v>-8763900.8626038022</v>
      </c>
    </row>
    <row r="106" spans="1:11">
      <c r="A106" s="1253">
        <f t="shared" si="13"/>
        <v>26</v>
      </c>
      <c r="C106" s="1263">
        <v>382</v>
      </c>
      <c r="D106" s="1252"/>
      <c r="E106" s="1252" t="s">
        <v>2916</v>
      </c>
      <c r="F106" s="1254">
        <f>+'B-2.1 Base Period GPA'!D84</f>
        <v>189719.96735617745</v>
      </c>
      <c r="G106" s="1256">
        <f t="shared" si="14"/>
        <v>-67421.923643822505</v>
      </c>
      <c r="I106" s="1256">
        <f>+'WPB-2.1.C Plant Detail'!O2274</f>
        <v>-67421.923643822505</v>
      </c>
      <c r="J106" s="413">
        <v>0</v>
      </c>
      <c r="K106" s="413">
        <f t="shared" si="12"/>
        <v>-67421.923643822505</v>
      </c>
    </row>
    <row r="107" spans="1:11">
      <c r="A107" s="1253">
        <f t="shared" si="13"/>
        <v>27</v>
      </c>
      <c r="C107" s="1263">
        <v>383</v>
      </c>
      <c r="D107" s="1252"/>
      <c r="E107" s="1252" t="s">
        <v>2917</v>
      </c>
      <c r="F107" s="1254">
        <f>+'B-2.1 Base Period GPA'!D85</f>
        <v>85970.188688827417</v>
      </c>
      <c r="G107" s="1256">
        <f t="shared" si="14"/>
        <v>-8501.4765289274674</v>
      </c>
      <c r="I107" s="1256">
        <f>+'WPB-2.1.C Plant Detail'!O2275</f>
        <v>-8501.4765289274674</v>
      </c>
      <c r="J107" s="413">
        <v>0</v>
      </c>
      <c r="K107" s="413">
        <f t="shared" si="12"/>
        <v>-8501.4765289274674</v>
      </c>
    </row>
    <row r="108" spans="1:11">
      <c r="A108" s="1253">
        <f t="shared" si="13"/>
        <v>28</v>
      </c>
      <c r="C108" s="1252"/>
      <c r="D108" s="1252"/>
      <c r="E108" s="1252" t="s">
        <v>1780</v>
      </c>
      <c r="F108" s="1255">
        <f>SUM(F103:F107)</f>
        <v>60278460.73408556</v>
      </c>
      <c r="G108" s="1258">
        <f>SUM(G103:G107)</f>
        <v>-9273668.4292637333</v>
      </c>
      <c r="I108" s="1257">
        <f>SUM(I103:I107)</f>
        <v>-9273668.4292637333</v>
      </c>
      <c r="J108" s="1259">
        <f t="shared" ref="J108:K108" si="15">SUM(J103:J107)</f>
        <v>0</v>
      </c>
      <c r="K108" s="1257">
        <f t="shared" si="15"/>
        <v>-9273668.4292637333</v>
      </c>
    </row>
    <row r="109" spans="1:11">
      <c r="A109" s="1253"/>
      <c r="C109" s="1252"/>
      <c r="D109" s="1252"/>
      <c r="E109" s="1252"/>
    </row>
    <row r="110" spans="1:11" ht="13.5" thickBot="1">
      <c r="A110" s="1253">
        <f>+A108+1</f>
        <v>29</v>
      </c>
      <c r="C110" s="1252"/>
      <c r="D110" s="1252"/>
      <c r="E110" s="1252" t="s">
        <v>447</v>
      </c>
      <c r="F110" s="414">
        <f>+F100+F108</f>
        <v>813363317.39681041</v>
      </c>
      <c r="G110" s="414">
        <f>+G100+G108</f>
        <v>171266499.59761143</v>
      </c>
      <c r="I110" s="414">
        <f>+I100+I108</f>
        <v>171266499.59761143</v>
      </c>
      <c r="J110" s="414">
        <f>+J100+J108</f>
        <v>0</v>
      </c>
      <c r="K110" s="414">
        <f>+K100+K108</f>
        <v>171266499.59761143</v>
      </c>
    </row>
    <row r="111" spans="1:11" ht="13.5" thickTop="1"/>
  </sheetData>
  <mergeCells count="8">
    <mergeCell ref="A61:K61"/>
    <mergeCell ref="A62:K62"/>
    <mergeCell ref="A1:K1"/>
    <mergeCell ref="A2:K2"/>
    <mergeCell ref="A3:K3"/>
    <mergeCell ref="A4:K4"/>
    <mergeCell ref="A59:K59"/>
    <mergeCell ref="A60:K60"/>
  </mergeCells>
  <printOptions horizontalCentered="1"/>
  <pageMargins left="0.5" right="0.5" top="0.75" bottom="0.5" header="0.3" footer="0.3"/>
  <pageSetup scale="62" fitToHeight="2" orientation="portrait" r:id="rId1"/>
  <rowBreaks count="1" manualBreakCount="1">
    <brk id="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H1712"/>
  <sheetViews>
    <sheetView workbookViewId="0">
      <selection activeCell="G14" sqref="G14"/>
    </sheetView>
  </sheetViews>
  <sheetFormatPr defaultRowHeight="12.75"/>
  <cols>
    <col min="2" max="2" width="36" customWidth="1"/>
    <col min="3" max="3" width="22.6640625" style="5" bestFit="1" customWidth="1"/>
    <col min="4" max="4" width="3.5" customWidth="1"/>
    <col min="5" max="5" width="40.1640625" style="40" bestFit="1" customWidth="1"/>
    <col min="6" max="6" width="22.6640625" style="937" bestFit="1" customWidth="1"/>
    <col min="7" max="7" width="19.6640625" style="5" customWidth="1"/>
    <col min="8" max="8" width="18.5" bestFit="1" customWidth="1"/>
  </cols>
  <sheetData>
    <row r="2" spans="2:8">
      <c r="E2" s="199" t="s">
        <v>2323</v>
      </c>
      <c r="F2" s="933" t="s">
        <v>2324</v>
      </c>
    </row>
    <row r="3" spans="2:8">
      <c r="E3" s="199"/>
      <c r="F3" s="933"/>
    </row>
    <row r="4" spans="2:8">
      <c r="B4" s="202" t="s">
        <v>2328</v>
      </c>
      <c r="C4" s="203">
        <f>+'D-2.4'!X16+'D-2.4'!X23+'D-2.4'!X30+'D-2.4'!X36+'D-2.4'!X43+'D-2.4'!X50+'D-2.4'!X56+'D-2.4'!X63+'D-2.4'!X69+'D-2.4'!X75+'D-2.4'!X81+'D-2.4'!X101+'D-2.4'!X109+'D-2.4'!X115+'D-2.4'!X122+'D-2.4'!X128+'D-2.4'!X134</f>
        <v>-2207182.5522219082</v>
      </c>
      <c r="E4" s="199"/>
      <c r="F4" s="933"/>
    </row>
    <row r="5" spans="2:8">
      <c r="B5" s="4" t="s">
        <v>2329</v>
      </c>
      <c r="C5" s="204">
        <f>+C4-GETPIVOTDATA("Adjustments",$B$11)</f>
        <v>-2.2221908904612064E-2</v>
      </c>
      <c r="E5" s="199"/>
      <c r="F5" s="933"/>
    </row>
    <row r="6" spans="2:8">
      <c r="E6" s="199"/>
      <c r="F6" s="933"/>
    </row>
    <row r="7" spans="2:8">
      <c r="B7" s="1292" t="s">
        <v>1352</v>
      </c>
      <c r="C7" s="1292"/>
      <c r="E7" s="1292" t="s">
        <v>2325</v>
      </c>
      <c r="F7" s="1292"/>
      <c r="G7" s="1292"/>
      <c r="H7" s="1292"/>
    </row>
    <row r="8" spans="2:8">
      <c r="C8" s="200"/>
      <c r="F8" s="200"/>
    </row>
    <row r="9" spans="2:8">
      <c r="B9" s="198" t="s">
        <v>1082</v>
      </c>
      <c r="C9" s="5" t="s">
        <v>2326</v>
      </c>
      <c r="E9" s="198" t="s">
        <v>1083</v>
      </c>
      <c r="F9" s="5" t="s">
        <v>2326</v>
      </c>
    </row>
    <row r="11" spans="2:8">
      <c r="B11" s="198" t="s">
        <v>2321</v>
      </c>
      <c r="C11" s="5" t="s">
        <v>2320</v>
      </c>
      <c r="E11" s="198" t="s">
        <v>2321</v>
      </c>
      <c r="F11" s="5" t="s">
        <v>2320</v>
      </c>
      <c r="G11" s="200" t="s">
        <v>2327</v>
      </c>
    </row>
    <row r="12" spans="2:8">
      <c r="B12" s="4">
        <v>500</v>
      </c>
      <c r="C12" s="28">
        <v>-10.050000000000001</v>
      </c>
      <c r="E12" s="4" t="s">
        <v>1087</v>
      </c>
      <c r="F12" s="28">
        <v>21465.270000000091</v>
      </c>
      <c r="G12" s="27">
        <f>+'WPD-2.4.B FTP O&amp;M by Category'!O26-'WPD-2.4.A BP O&amp;M by Category'!O26</f>
        <v>21465.237493802328</v>
      </c>
      <c r="H12" s="934">
        <f>ROUND(F12-G12,0)</f>
        <v>0</v>
      </c>
    </row>
    <row r="13" spans="2:8">
      <c r="B13" s="4">
        <v>505</v>
      </c>
      <c r="C13" s="28">
        <v>1.0000000000000675E-2</v>
      </c>
      <c r="E13" s="4" t="s">
        <v>1088</v>
      </c>
      <c r="F13" s="28">
        <v>-2841.71</v>
      </c>
      <c r="G13" s="27">
        <f>+'WPD-2.4.B FTP O&amp;M by Category'!O30-'WPD-2.4.A BP O&amp;M by Category'!O30</f>
        <v>-2841.6300000000019</v>
      </c>
      <c r="H13" s="934">
        <f t="shared" ref="H13:H47" si="0">ROUND(F13-G13,0)</f>
        <v>0</v>
      </c>
    </row>
    <row r="14" spans="2:8">
      <c r="B14" s="4">
        <v>557</v>
      </c>
      <c r="C14" s="28">
        <v>0</v>
      </c>
      <c r="E14" s="4" t="s">
        <v>1089</v>
      </c>
      <c r="F14" s="28">
        <v>-0.23999999999068677</v>
      </c>
      <c r="G14" s="27">
        <f>+'WPD-2.4.B FTP O&amp;M by Category'!O44-'WPD-2.4.A BP O&amp;M by Category'!O44</f>
        <v>-0.2400000000197906</v>
      </c>
      <c r="H14" s="934">
        <f t="shared" si="0"/>
        <v>0</v>
      </c>
    </row>
    <row r="15" spans="2:8">
      <c r="B15" s="4">
        <v>594</v>
      </c>
      <c r="C15" s="28">
        <v>0</v>
      </c>
      <c r="E15" s="4" t="s">
        <v>1090</v>
      </c>
      <c r="F15" s="28">
        <v>2476.3000000000175</v>
      </c>
      <c r="G15" s="27">
        <f>+'WPD-2.4.B FTP O&amp;M by Category'!O32-'WPD-2.4.A BP O&amp;M by Category'!O32</f>
        <v>2476.2882896260126</v>
      </c>
      <c r="H15" s="934">
        <f t="shared" si="0"/>
        <v>0</v>
      </c>
    </row>
    <row r="16" spans="2:8">
      <c r="B16" s="4">
        <v>801</v>
      </c>
      <c r="C16" s="28">
        <v>0</v>
      </c>
      <c r="E16" s="4" t="s">
        <v>1883</v>
      </c>
      <c r="F16" s="28">
        <v>0</v>
      </c>
      <c r="G16" s="27">
        <v>0</v>
      </c>
      <c r="H16" s="934">
        <f t="shared" si="0"/>
        <v>0</v>
      </c>
    </row>
    <row r="17" spans="2:8">
      <c r="B17" s="4">
        <v>803</v>
      </c>
      <c r="C17" s="28">
        <v>0</v>
      </c>
      <c r="E17" s="4" t="s">
        <v>1086</v>
      </c>
      <c r="F17" s="28">
        <v>-322068.33</v>
      </c>
      <c r="G17" s="27">
        <f>+'WPD-2.4.B FTP O&amp;M by Category'!O48-'WPD-2.4.A BP O&amp;M by Category'!O48</f>
        <v>-322068.34997927165</v>
      </c>
      <c r="H17" s="934">
        <f t="shared" si="0"/>
        <v>0</v>
      </c>
    </row>
    <row r="18" spans="2:8">
      <c r="B18" s="4">
        <v>804</v>
      </c>
      <c r="C18" s="28">
        <v>0</v>
      </c>
      <c r="E18" s="4" t="s">
        <v>1558</v>
      </c>
      <c r="F18" s="28">
        <v>0</v>
      </c>
      <c r="G18" s="27">
        <f>+'WPD-2.4.B FTP O&amp;M by Category'!O49-'WPD-2.4.A BP O&amp;M by Category'!O49</f>
        <v>0</v>
      </c>
      <c r="H18" s="934">
        <f t="shared" si="0"/>
        <v>0</v>
      </c>
    </row>
    <row r="19" spans="2:8">
      <c r="B19" s="4">
        <v>805</v>
      </c>
      <c r="C19" s="28">
        <v>0</v>
      </c>
      <c r="E19" s="4" t="s">
        <v>1085</v>
      </c>
      <c r="F19" s="28">
        <v>138192.33999999994</v>
      </c>
      <c r="G19" s="27">
        <f>+'WPD-2.4.B FTP O&amp;M by Category'!O36-'WPD-2.4.A BP O&amp;M by Category'!O36</f>
        <v>138192.33909711032</v>
      </c>
      <c r="H19" s="934">
        <f t="shared" si="0"/>
        <v>0</v>
      </c>
    </row>
    <row r="20" spans="2:8">
      <c r="B20" s="4">
        <v>806</v>
      </c>
      <c r="C20" s="28">
        <v>0</v>
      </c>
      <c r="E20" s="4" t="s">
        <v>1091</v>
      </c>
      <c r="F20" s="28">
        <v>-2414176.5899999994</v>
      </c>
      <c r="G20" s="27">
        <f>+'WPD-2.4.B FTP O&amp;M by Category'!O40-'WPD-2.4.A BP O&amp;M by Category'!O40</f>
        <v>-2414176.5654896013</v>
      </c>
      <c r="H20" s="934">
        <f t="shared" si="0"/>
        <v>0</v>
      </c>
    </row>
    <row r="21" spans="2:8">
      <c r="B21" s="4">
        <v>807</v>
      </c>
      <c r="C21" s="28">
        <v>-1342.5599999999977</v>
      </c>
      <c r="E21" s="4" t="s">
        <v>1092</v>
      </c>
      <c r="F21" s="28">
        <v>-8880.24</v>
      </c>
      <c r="G21" s="27">
        <f>+'WPD-2.4.B FTP O&amp;M by Category'!O38-'WPD-2.4.A BP O&amp;M by Category'!O38</f>
        <v>-8880.1867250000068</v>
      </c>
      <c r="H21" s="934">
        <f t="shared" si="0"/>
        <v>0</v>
      </c>
    </row>
    <row r="22" spans="2:8">
      <c r="B22" s="4">
        <v>808</v>
      </c>
      <c r="C22" s="28">
        <v>0</v>
      </c>
      <c r="E22" s="4" t="s">
        <v>1030</v>
      </c>
      <c r="F22" s="28">
        <v>-46776.860000000073</v>
      </c>
      <c r="G22" s="27">
        <f>+'WPD-2.4.B FTP O&amp;M by Category'!O37-'WPD-2.4.A BP O&amp;M by Category'!O37</f>
        <v>-46776.652578732232</v>
      </c>
      <c r="H22" s="934">
        <f t="shared" si="0"/>
        <v>0</v>
      </c>
    </row>
    <row r="23" spans="2:8">
      <c r="B23" s="4">
        <v>812</v>
      </c>
      <c r="C23" s="28">
        <v>0</v>
      </c>
      <c r="E23" s="4" t="s">
        <v>1550</v>
      </c>
      <c r="F23" s="28">
        <v>197342.38000000038</v>
      </c>
      <c r="G23" s="27">
        <f>+'WPD-2.4.B FTP O&amp;M by Category'!O20-'WPD-2.4.A BP O&amp;M by Category'!O20</f>
        <v>197342.36228084681</v>
      </c>
      <c r="H23" s="934">
        <f t="shared" si="0"/>
        <v>0</v>
      </c>
    </row>
    <row r="24" spans="2:8">
      <c r="B24" s="4">
        <v>813</v>
      </c>
      <c r="C24" s="28">
        <v>0</v>
      </c>
      <c r="E24" s="4" t="s">
        <v>1541</v>
      </c>
      <c r="F24" s="28">
        <v>8124.0400000000955</v>
      </c>
      <c r="G24" s="27">
        <v>8124.0400000000955</v>
      </c>
      <c r="H24" s="934">
        <f t="shared" si="0"/>
        <v>0</v>
      </c>
    </row>
    <row r="25" spans="2:8">
      <c r="B25" s="4">
        <v>852</v>
      </c>
      <c r="C25" s="28">
        <v>-515.94999999999993</v>
      </c>
      <c r="E25" s="4" t="s">
        <v>1094</v>
      </c>
      <c r="F25" s="28">
        <v>-439985.63</v>
      </c>
      <c r="G25" s="27">
        <f>+'WPD-2.4.B FTP O&amp;M by Category'!O18-'WPD-2.4.A BP O&amp;M by Category'!O18</f>
        <v>-439985.69336226932</v>
      </c>
      <c r="H25" s="934">
        <f t="shared" si="0"/>
        <v>0</v>
      </c>
    </row>
    <row r="26" spans="2:8">
      <c r="B26" s="4">
        <v>859</v>
      </c>
      <c r="C26" s="28">
        <v>-196.76999999999953</v>
      </c>
      <c r="E26" s="4" t="s">
        <v>1095</v>
      </c>
      <c r="F26" s="28">
        <v>-52276.849999999919</v>
      </c>
      <c r="G26" s="27">
        <f>+'WPD-2.4.B FTP O&amp;M by Category'!O45-'WPD-2.4.A BP O&amp;M by Category'!O45</f>
        <v>-52276.877863421949</v>
      </c>
      <c r="H26" s="934">
        <f t="shared" si="0"/>
        <v>0</v>
      </c>
    </row>
    <row r="27" spans="2:8">
      <c r="B27" s="4">
        <v>865</v>
      </c>
      <c r="C27" s="28">
        <v>320.05999999999989</v>
      </c>
      <c r="E27" s="4" t="s">
        <v>1096</v>
      </c>
      <c r="F27" s="28">
        <v>49456.939999999639</v>
      </c>
      <c r="G27" s="27">
        <f>+'WPD-2.4.B FTP O&amp;M by Category'!O16-'WPD-2.4.A BP O&amp;M by Category'!O16</f>
        <v>49456.932308830321</v>
      </c>
      <c r="H27" s="934">
        <f t="shared" si="0"/>
        <v>0</v>
      </c>
    </row>
    <row r="28" spans="2:8">
      <c r="B28" s="4">
        <v>870</v>
      </c>
      <c r="C28" s="28">
        <v>-44513.419999999969</v>
      </c>
      <c r="E28" s="4" t="s">
        <v>1099</v>
      </c>
      <c r="F28" s="28">
        <v>-900</v>
      </c>
      <c r="G28" s="27">
        <f>+'WPD-2.4.B FTP O&amp;M by Category'!O31-'WPD-2.4.A BP O&amp;M by Category'!O31</f>
        <v>-900</v>
      </c>
      <c r="H28" s="934">
        <f t="shared" si="0"/>
        <v>0</v>
      </c>
    </row>
    <row r="29" spans="2:8">
      <c r="B29" s="4">
        <v>871</v>
      </c>
      <c r="C29" s="28">
        <v>2115.5799999999581</v>
      </c>
      <c r="E29" s="4" t="s">
        <v>1029</v>
      </c>
      <c r="F29" s="28">
        <v>-33449.989999999882</v>
      </c>
      <c r="G29" s="27">
        <f>+'WPD-2.4.B FTP O&amp;M by Category'!O29-'WPD-2.4.A BP O&amp;M by Category'!O29</f>
        <v>-33449.959471857175</v>
      </c>
      <c r="H29" s="934">
        <f t="shared" si="0"/>
        <v>0</v>
      </c>
    </row>
    <row r="30" spans="2:8">
      <c r="B30" s="4">
        <v>874</v>
      </c>
      <c r="C30" s="28">
        <v>-177642.43999999945</v>
      </c>
      <c r="E30" s="4" t="s">
        <v>1100</v>
      </c>
      <c r="F30" s="28">
        <v>-46827.429999999877</v>
      </c>
      <c r="G30" s="27">
        <f>+'WPD-2.4.B FTP O&amp;M by Category'!O50-'WPD-2.4.A BP O&amp;M by Category'!O50</f>
        <v>-46827.440204265702</v>
      </c>
      <c r="H30" s="934">
        <f t="shared" si="0"/>
        <v>0</v>
      </c>
    </row>
    <row r="31" spans="2:8">
      <c r="B31" s="4">
        <v>875</v>
      </c>
      <c r="C31" s="28">
        <v>-9435.3499999999767</v>
      </c>
      <c r="E31" s="4" t="s">
        <v>1101</v>
      </c>
      <c r="F31" s="28">
        <v>5230.5000000000073</v>
      </c>
      <c r="G31" s="27">
        <f>+'WPD-2.4.B FTP O&amp;M by Category'!O43-'WPD-2.4.A BP O&amp;M by Category'!O43</f>
        <v>5230.5000000000146</v>
      </c>
      <c r="H31" s="934">
        <f t="shared" si="0"/>
        <v>0</v>
      </c>
    </row>
    <row r="32" spans="2:8">
      <c r="B32" s="4">
        <v>876</v>
      </c>
      <c r="C32" s="28">
        <v>9332.5600000000013</v>
      </c>
      <c r="E32" s="4" t="s">
        <v>1102</v>
      </c>
      <c r="F32" s="28">
        <v>37201.589999999997</v>
      </c>
      <c r="G32" s="27">
        <f>+'WPD-2.4.B FTP O&amp;M by Category'!O47-'WPD-2.4.A BP O&amp;M by Category'!O47</f>
        <v>37201.597104516244</v>
      </c>
      <c r="H32" s="934">
        <f t="shared" si="0"/>
        <v>0</v>
      </c>
    </row>
    <row r="33" spans="2:8">
      <c r="B33" s="4">
        <v>878</v>
      </c>
      <c r="C33" s="28">
        <v>-47833.609999999928</v>
      </c>
      <c r="E33" s="4" t="s">
        <v>1552</v>
      </c>
      <c r="F33" s="28">
        <v>-32943.409999999989</v>
      </c>
      <c r="G33" s="27">
        <f>+'WPD-2.4.B FTP O&amp;M by Category'!O22-'WPD-2.4.A BP O&amp;M by Category'!O22</f>
        <v>-20998.529999999992</v>
      </c>
      <c r="H33" s="934">
        <f t="shared" si="0"/>
        <v>-11945</v>
      </c>
    </row>
    <row r="34" spans="2:8">
      <c r="B34" s="4">
        <v>879</v>
      </c>
      <c r="C34" s="28">
        <v>-109756.43000000055</v>
      </c>
      <c r="E34" s="4" t="s">
        <v>1551</v>
      </c>
      <c r="F34" s="28">
        <v>10648.69000000001</v>
      </c>
      <c r="G34" s="27">
        <f>+'WPD-2.4.B FTP O&amp;M by Category'!O21-'WPD-2.4.A BP O&amp;M by Category'!O21</f>
        <v>-1296.2259999999951</v>
      </c>
      <c r="H34" s="934">
        <f t="shared" si="0"/>
        <v>11945</v>
      </c>
    </row>
    <row r="35" spans="2:8">
      <c r="B35" s="4">
        <v>880</v>
      </c>
      <c r="C35" s="28">
        <v>-2833.9900000000375</v>
      </c>
      <c r="E35" s="4" t="s">
        <v>1936</v>
      </c>
      <c r="F35" s="28">
        <v>-35.40000000000623</v>
      </c>
      <c r="G35" s="27">
        <f>+'WPD-2.4.B FTP O&amp;M by Category'!O35-'WPD-2.4.A BP O&amp;M by Category'!O35</f>
        <v>-35.349999999991269</v>
      </c>
      <c r="H35" s="934">
        <f t="shared" si="0"/>
        <v>0</v>
      </c>
    </row>
    <row r="36" spans="2:8">
      <c r="B36" s="4">
        <v>881</v>
      </c>
      <c r="C36" s="28">
        <v>-10925.170000000006</v>
      </c>
      <c r="E36" s="4" t="s">
        <v>1084</v>
      </c>
      <c r="F36" s="28">
        <v>-116030.38000000024</v>
      </c>
      <c r="G36" s="27">
        <f>+'WPD-2.4.B FTP O&amp;M by Category'!O33-'WPD-2.4.A BP O&amp;M by Category'!O33</f>
        <v>-116030.46600134764</v>
      </c>
      <c r="H36" s="934">
        <f t="shared" si="0"/>
        <v>0</v>
      </c>
    </row>
    <row r="37" spans="2:8">
      <c r="B37" s="4">
        <v>885</v>
      </c>
      <c r="C37" s="28">
        <v>-2366.5500000000093</v>
      </c>
      <c r="E37" s="4" t="s">
        <v>1555</v>
      </c>
      <c r="F37" s="28">
        <v>51698.020000000077</v>
      </c>
      <c r="G37" s="27">
        <f>+'WPD-2.4.B FTP O&amp;M by Category'!O25-'WPD-2.4.A BP O&amp;M by Category'!O25</f>
        <v>51698.020000000077</v>
      </c>
      <c r="H37" s="934">
        <f t="shared" si="0"/>
        <v>0</v>
      </c>
    </row>
    <row r="38" spans="2:8">
      <c r="B38" s="4">
        <v>886</v>
      </c>
      <c r="C38" s="28">
        <v>12189.880000000008</v>
      </c>
      <c r="E38" s="4" t="s">
        <v>1554</v>
      </c>
      <c r="F38" s="28">
        <v>-4706.2200000000175</v>
      </c>
      <c r="G38" s="27">
        <f>+'WPD-2.4.B FTP O&amp;M by Category'!O24-'WPD-2.4.A BP O&amp;M by Category'!O24</f>
        <v>-4706.3157516600331</v>
      </c>
      <c r="H38" s="934">
        <f t="shared" si="0"/>
        <v>0</v>
      </c>
    </row>
    <row r="39" spans="2:8">
      <c r="B39" s="4">
        <v>887</v>
      </c>
      <c r="C39" s="28">
        <v>53173.209999999461</v>
      </c>
      <c r="E39" s="4" t="s">
        <v>1103</v>
      </c>
      <c r="F39" s="28">
        <v>0</v>
      </c>
      <c r="G39" s="27">
        <v>0</v>
      </c>
      <c r="H39" s="934">
        <f t="shared" si="0"/>
        <v>0</v>
      </c>
    </row>
    <row r="40" spans="2:8">
      <c r="B40" s="4">
        <v>889</v>
      </c>
      <c r="C40" s="28">
        <v>130372.1999999999</v>
      </c>
      <c r="E40" s="4" t="s">
        <v>1553</v>
      </c>
      <c r="F40" s="28">
        <v>-20233.37</v>
      </c>
      <c r="G40" s="27">
        <f>+'WPD-2.4.B FTP O&amp;M by Category'!O23-'WPD-2.4.A BP O&amp;M by Category'!O23</f>
        <v>-20233.37</v>
      </c>
      <c r="H40" s="934">
        <f t="shared" si="0"/>
        <v>0</v>
      </c>
    </row>
    <row r="41" spans="2:8">
      <c r="B41" s="4">
        <v>890</v>
      </c>
      <c r="C41" s="28">
        <v>7098.7500000000009</v>
      </c>
      <c r="E41" s="4" t="s">
        <v>1028</v>
      </c>
      <c r="F41" s="28">
        <v>-61229.439999999988</v>
      </c>
      <c r="G41" s="27">
        <f>+'WPD-2.4.B FTP O&amp;M by Category'!O19-'WPD-2.4.A BP O&amp;M by Category'!O19</f>
        <v>-61229.456499999957</v>
      </c>
      <c r="H41" s="934">
        <f t="shared" si="0"/>
        <v>0</v>
      </c>
    </row>
    <row r="42" spans="2:8">
      <c r="B42" s="4">
        <v>892</v>
      </c>
      <c r="C42" s="28">
        <v>61294.440000000039</v>
      </c>
      <c r="E42" s="4" t="s">
        <v>1937</v>
      </c>
      <c r="F42" s="28">
        <v>33670.839999999997</v>
      </c>
      <c r="G42" s="27">
        <f>+'WPD-2.4.B FTP O&amp;M by Category'!O34-'WPD-2.4.A BP O&amp;M by Category'!O34</f>
        <v>33670.850000000006</v>
      </c>
      <c r="H42" s="934">
        <f t="shared" si="0"/>
        <v>0</v>
      </c>
    </row>
    <row r="43" spans="2:8">
      <c r="B43" s="4">
        <v>893</v>
      </c>
      <c r="C43" s="28">
        <v>58797.37000000001</v>
      </c>
      <c r="E43" s="4" t="s">
        <v>1104</v>
      </c>
      <c r="F43" s="28">
        <v>141538.12000000008</v>
      </c>
      <c r="G43" s="27">
        <f>+'WPD-2.4.B FTP O&amp;M by Category'!O17-'WPD-2.4.A BP O&amp;M by Category'!O17</f>
        <v>141538.12</v>
      </c>
      <c r="H43" s="934">
        <f t="shared" si="0"/>
        <v>0</v>
      </c>
    </row>
    <row r="44" spans="2:8">
      <c r="B44" s="4">
        <v>894</v>
      </c>
      <c r="C44" s="28">
        <v>-12370.309999999965</v>
      </c>
      <c r="E44" s="4" t="s">
        <v>1905</v>
      </c>
      <c r="F44" s="28">
        <v>182915.50000000009</v>
      </c>
      <c r="G44" s="27">
        <f>+'WPD-2.4.B FTP O&amp;M by Category'!O42-'WPD-2.4.A BP O&amp;M by Category'!O42</f>
        <v>182915.4893454237</v>
      </c>
      <c r="H44" s="934">
        <f t="shared" si="0"/>
        <v>0</v>
      </c>
    </row>
    <row r="45" spans="2:8">
      <c r="B45" s="4">
        <v>901</v>
      </c>
      <c r="C45" s="28">
        <v>1.18</v>
      </c>
      <c r="E45" s="4" t="s">
        <v>1904</v>
      </c>
      <c r="F45" s="28">
        <v>-44320.840000000084</v>
      </c>
      <c r="G45" s="27">
        <f>+'WPD-2.4.B FTP O&amp;M by Category'!O41-'WPD-2.4.A BP O&amp;M by Category'!O41</f>
        <v>-44320.839665423497</v>
      </c>
      <c r="H45" s="934">
        <f t="shared" si="0"/>
        <v>0</v>
      </c>
    </row>
    <row r="46" spans="2:8" ht="13.5" thickBot="1">
      <c r="B46" s="4">
        <v>902</v>
      </c>
      <c r="C46" s="28">
        <v>-31060.160000000025</v>
      </c>
      <c r="E46" s="4" t="s">
        <v>1031</v>
      </c>
      <c r="F46" s="28">
        <v>560539.87</v>
      </c>
      <c r="G46" s="935">
        <f>+'WPD-2.4.B FTP O&amp;M by Category'!O39-'WPD-2.4.A BP O&amp;M by Category'!O39</f>
        <v>560539.81999999983</v>
      </c>
      <c r="H46" s="935">
        <f t="shared" si="0"/>
        <v>0</v>
      </c>
    </row>
    <row r="47" spans="2:8">
      <c r="B47" s="4">
        <v>903</v>
      </c>
      <c r="C47" s="28">
        <v>-204555.39000000013</v>
      </c>
      <c r="E47" s="4" t="s">
        <v>2322</v>
      </c>
      <c r="F47" s="28">
        <v>-2207182.5300000003</v>
      </c>
      <c r="G47" s="201">
        <f>SUM(G12:G46)</f>
        <v>-2207182.5536726941</v>
      </c>
      <c r="H47" s="934">
        <f t="shared" si="0"/>
        <v>0</v>
      </c>
    </row>
    <row r="48" spans="2:8">
      <c r="B48" s="4">
        <v>904</v>
      </c>
      <c r="C48" s="28">
        <v>146718.7000000001</v>
      </c>
      <c r="E48"/>
      <c r="F48"/>
    </row>
    <row r="49" spans="2:6">
      <c r="B49" s="4">
        <v>905</v>
      </c>
      <c r="C49" s="28">
        <v>2690.6499999999965</v>
      </c>
      <c r="E49"/>
      <c r="F49"/>
    </row>
    <row r="50" spans="2:6">
      <c r="B50" s="4">
        <v>907</v>
      </c>
      <c r="C50" s="28">
        <v>0</v>
      </c>
      <c r="E50"/>
      <c r="F50"/>
    </row>
    <row r="51" spans="2:6">
      <c r="B51" s="4">
        <v>908</v>
      </c>
      <c r="C51" s="28">
        <v>37136.049999999996</v>
      </c>
      <c r="E51"/>
      <c r="F51"/>
    </row>
    <row r="52" spans="2:6">
      <c r="B52" s="4">
        <v>909</v>
      </c>
      <c r="C52" s="28">
        <v>-1833.5600000000004</v>
      </c>
      <c r="E52"/>
      <c r="F52"/>
    </row>
    <row r="53" spans="2:6">
      <c r="B53" s="4">
        <v>910</v>
      </c>
      <c r="C53" s="28">
        <v>-16959.819999999949</v>
      </c>
      <c r="E53"/>
      <c r="F53"/>
    </row>
    <row r="54" spans="2:6">
      <c r="B54" s="4">
        <v>911</v>
      </c>
      <c r="C54" s="28">
        <v>0</v>
      </c>
      <c r="E54"/>
      <c r="F54"/>
    </row>
    <row r="55" spans="2:6">
      <c r="B55" s="4">
        <v>912</v>
      </c>
      <c r="C55" s="28">
        <v>-717.56999999999789</v>
      </c>
      <c r="E55"/>
      <c r="F55"/>
    </row>
    <row r="56" spans="2:6">
      <c r="B56" s="4">
        <v>913</v>
      </c>
      <c r="C56" s="28">
        <v>-4192.1399999999985</v>
      </c>
      <c r="E56"/>
      <c r="F56"/>
    </row>
    <row r="57" spans="2:6">
      <c r="B57" s="4">
        <v>920</v>
      </c>
      <c r="C57" s="28">
        <v>-1213700.3199999994</v>
      </c>
      <c r="E57"/>
      <c r="F57"/>
    </row>
    <row r="58" spans="2:6">
      <c r="B58" s="4">
        <v>921</v>
      </c>
      <c r="C58" s="28">
        <v>375530.91000000003</v>
      </c>
      <c r="E58"/>
      <c r="F58"/>
    </row>
    <row r="59" spans="2:6">
      <c r="B59" s="4">
        <v>923</v>
      </c>
      <c r="C59" s="28">
        <v>-926262.5399999998</v>
      </c>
      <c r="E59"/>
      <c r="F59"/>
    </row>
    <row r="60" spans="2:6">
      <c r="B60" s="4">
        <v>924</v>
      </c>
      <c r="C60" s="28">
        <v>5908.6300000000065</v>
      </c>
      <c r="E60"/>
      <c r="F60"/>
    </row>
    <row r="61" spans="2:6">
      <c r="B61" s="4">
        <v>925</v>
      </c>
      <c r="C61" s="28">
        <v>62032.380000000005</v>
      </c>
      <c r="E61"/>
      <c r="F61"/>
    </row>
    <row r="62" spans="2:6">
      <c r="B62" s="4">
        <v>926</v>
      </c>
      <c r="C62" s="28">
        <v>-196859.01999999941</v>
      </c>
      <c r="E62"/>
      <c r="F62"/>
    </row>
    <row r="63" spans="2:6">
      <c r="B63" s="4">
        <v>928</v>
      </c>
      <c r="C63" s="28">
        <v>6.5200000000093148</v>
      </c>
      <c r="E63"/>
      <c r="F63"/>
    </row>
    <row r="64" spans="2:6">
      <c r="B64" s="4">
        <v>930</v>
      </c>
      <c r="C64" s="28">
        <v>0</v>
      </c>
      <c r="E64"/>
      <c r="F64"/>
    </row>
    <row r="65" spans="2:6">
      <c r="B65" s="4">
        <v>931</v>
      </c>
      <c r="C65" s="28">
        <v>-15833.270000000044</v>
      </c>
      <c r="E65"/>
      <c r="F65"/>
    </row>
    <row r="66" spans="2:6">
      <c r="B66" s="4">
        <v>932</v>
      </c>
      <c r="C66" s="28">
        <v>-130440.81000000006</v>
      </c>
      <c r="E66"/>
      <c r="F66"/>
    </row>
    <row r="67" spans="2:6">
      <c r="B67" s="4">
        <v>935</v>
      </c>
      <c r="C67" s="28">
        <v>0</v>
      </c>
      <c r="E67"/>
      <c r="F67"/>
    </row>
    <row r="68" spans="2:6">
      <c r="B68" s="4">
        <v>9301</v>
      </c>
      <c r="C68" s="28">
        <v>-7587.119999999999</v>
      </c>
      <c r="E68"/>
      <c r="F68"/>
    </row>
    <row r="69" spans="2:6">
      <c r="B69" s="4">
        <v>9302</v>
      </c>
      <c r="C69" s="28">
        <v>-2157.2900000000045</v>
      </c>
      <c r="E69"/>
      <c r="F69"/>
    </row>
    <row r="70" spans="2:6">
      <c r="B70" s="4" t="s">
        <v>2322</v>
      </c>
      <c r="C70" s="28">
        <v>-2207182.5299999993</v>
      </c>
      <c r="E70"/>
      <c r="F70"/>
    </row>
    <row r="71" spans="2:6">
      <c r="E71"/>
      <c r="F71"/>
    </row>
    <row r="72" spans="2:6">
      <c r="E72"/>
      <c r="F72"/>
    </row>
    <row r="73" spans="2:6">
      <c r="E73"/>
      <c r="F73"/>
    </row>
    <row r="74" spans="2:6">
      <c r="E74"/>
      <c r="F74"/>
    </row>
    <row r="75" spans="2:6">
      <c r="E75"/>
      <c r="F75"/>
    </row>
    <row r="76" spans="2:6">
      <c r="E76"/>
      <c r="F76"/>
    </row>
    <row r="77" spans="2:6">
      <c r="E77"/>
      <c r="F77"/>
    </row>
    <row r="78" spans="2:6">
      <c r="E78"/>
      <c r="F78"/>
    </row>
    <row r="79" spans="2:6">
      <c r="E79"/>
      <c r="F79"/>
    </row>
    <row r="80" spans="2:6">
      <c r="E80"/>
      <c r="F80"/>
    </row>
    <row r="81" spans="5:6">
      <c r="E81"/>
      <c r="F81"/>
    </row>
    <row r="82" spans="5:6">
      <c r="E82"/>
      <c r="F82"/>
    </row>
    <row r="83" spans="5:6">
      <c r="E83"/>
      <c r="F83"/>
    </row>
    <row r="84" spans="5:6">
      <c r="E84"/>
      <c r="F84"/>
    </row>
    <row r="85" spans="5:6">
      <c r="E85"/>
      <c r="F85"/>
    </row>
    <row r="86" spans="5:6">
      <c r="E86"/>
      <c r="F86"/>
    </row>
    <row r="87" spans="5:6">
      <c r="E87"/>
      <c r="F87"/>
    </row>
    <row r="88" spans="5:6">
      <c r="E88"/>
      <c r="F88"/>
    </row>
    <row r="89" spans="5:6">
      <c r="E89"/>
      <c r="F89"/>
    </row>
    <row r="90" spans="5:6">
      <c r="E90"/>
      <c r="F90"/>
    </row>
    <row r="91" spans="5:6">
      <c r="E91"/>
      <c r="F91"/>
    </row>
    <row r="92" spans="5:6">
      <c r="E92"/>
      <c r="F92"/>
    </row>
    <row r="93" spans="5:6">
      <c r="E93"/>
      <c r="F93"/>
    </row>
    <row r="94" spans="5:6">
      <c r="E94"/>
      <c r="F94"/>
    </row>
    <row r="95" spans="5:6">
      <c r="E95"/>
      <c r="F95"/>
    </row>
    <row r="96" spans="5:6">
      <c r="E96"/>
      <c r="F96"/>
    </row>
    <row r="97" spans="5:6">
      <c r="E97"/>
      <c r="F97"/>
    </row>
    <row r="98" spans="5:6">
      <c r="E98"/>
      <c r="F98"/>
    </row>
    <row r="99" spans="5:6">
      <c r="E99"/>
      <c r="F99"/>
    </row>
    <row r="100" spans="5:6">
      <c r="E100"/>
      <c r="F100"/>
    </row>
    <row r="101" spans="5:6">
      <c r="E101"/>
      <c r="F101"/>
    </row>
    <row r="102" spans="5:6">
      <c r="E102"/>
      <c r="F102"/>
    </row>
    <row r="103" spans="5:6">
      <c r="E103"/>
      <c r="F103"/>
    </row>
    <row r="104" spans="5:6">
      <c r="E104"/>
      <c r="F104"/>
    </row>
    <row r="105" spans="5:6">
      <c r="E105"/>
      <c r="F105"/>
    </row>
    <row r="106" spans="5:6">
      <c r="E106"/>
      <c r="F106"/>
    </row>
    <row r="107" spans="5:6">
      <c r="E107"/>
      <c r="F107"/>
    </row>
    <row r="108" spans="5:6">
      <c r="E108"/>
      <c r="F108"/>
    </row>
    <row r="109" spans="5:6">
      <c r="E109"/>
      <c r="F109"/>
    </row>
    <row r="110" spans="5:6">
      <c r="E110"/>
      <c r="F110"/>
    </row>
    <row r="111" spans="5:6">
      <c r="E111"/>
      <c r="F111"/>
    </row>
    <row r="112" spans="5:6">
      <c r="E112"/>
      <c r="F112"/>
    </row>
    <row r="113" spans="5:6">
      <c r="E113"/>
      <c r="F113"/>
    </row>
    <row r="114" spans="5:6">
      <c r="E114"/>
      <c r="F114"/>
    </row>
    <row r="115" spans="5:6">
      <c r="E115"/>
      <c r="F115"/>
    </row>
    <row r="116" spans="5:6">
      <c r="E116"/>
      <c r="F116"/>
    </row>
    <row r="117" spans="5:6">
      <c r="E117"/>
      <c r="F117"/>
    </row>
    <row r="118" spans="5:6">
      <c r="E118"/>
      <c r="F118"/>
    </row>
    <row r="119" spans="5:6">
      <c r="E119"/>
      <c r="F119"/>
    </row>
    <row r="120" spans="5:6">
      <c r="E120"/>
      <c r="F120"/>
    </row>
    <row r="121" spans="5:6">
      <c r="E121"/>
      <c r="F121"/>
    </row>
    <row r="122" spans="5:6">
      <c r="E122"/>
      <c r="F122"/>
    </row>
    <row r="123" spans="5:6">
      <c r="E123"/>
      <c r="F123"/>
    </row>
    <row r="124" spans="5:6">
      <c r="E124"/>
      <c r="F124"/>
    </row>
    <row r="125" spans="5:6">
      <c r="E125"/>
      <c r="F125"/>
    </row>
    <row r="126" spans="5:6">
      <c r="E126"/>
      <c r="F126"/>
    </row>
    <row r="127" spans="5:6">
      <c r="E127"/>
      <c r="F127"/>
    </row>
    <row r="128" spans="5:6">
      <c r="E128"/>
      <c r="F128"/>
    </row>
    <row r="129" spans="5:6">
      <c r="E129"/>
      <c r="F129"/>
    </row>
    <row r="130" spans="5:6">
      <c r="E130"/>
      <c r="F130"/>
    </row>
    <row r="131" spans="5:6">
      <c r="E131"/>
      <c r="F131"/>
    </row>
    <row r="132" spans="5:6">
      <c r="E132"/>
      <c r="F132"/>
    </row>
    <row r="133" spans="5:6">
      <c r="E133"/>
      <c r="F133"/>
    </row>
    <row r="134" spans="5:6">
      <c r="E134"/>
      <c r="F134"/>
    </row>
    <row r="135" spans="5:6">
      <c r="E135"/>
      <c r="F135"/>
    </row>
    <row r="136" spans="5:6">
      <c r="E136"/>
      <c r="F136"/>
    </row>
    <row r="137" spans="5:6">
      <c r="E137"/>
      <c r="F137"/>
    </row>
    <row r="138" spans="5:6">
      <c r="E138"/>
      <c r="F138"/>
    </row>
    <row r="139" spans="5:6">
      <c r="E139"/>
      <c r="F139"/>
    </row>
    <row r="140" spans="5:6">
      <c r="E140"/>
      <c r="F140"/>
    </row>
    <row r="141" spans="5:6">
      <c r="E141"/>
      <c r="F141"/>
    </row>
    <row r="142" spans="5:6">
      <c r="E142"/>
      <c r="F142"/>
    </row>
    <row r="143" spans="5:6">
      <c r="E143"/>
      <c r="F143"/>
    </row>
    <row r="144" spans="5:6">
      <c r="E144"/>
      <c r="F144"/>
    </row>
    <row r="145" spans="5:6">
      <c r="E145"/>
      <c r="F145"/>
    </row>
    <row r="146" spans="5:6">
      <c r="E146"/>
      <c r="F146"/>
    </row>
    <row r="147" spans="5:6">
      <c r="E147"/>
      <c r="F147"/>
    </row>
    <row r="148" spans="5:6">
      <c r="E148"/>
      <c r="F148"/>
    </row>
    <row r="149" spans="5:6">
      <c r="E149"/>
      <c r="F149"/>
    </row>
    <row r="150" spans="5:6">
      <c r="E150"/>
      <c r="F150"/>
    </row>
    <row r="151" spans="5:6">
      <c r="E151"/>
      <c r="F151"/>
    </row>
    <row r="152" spans="5:6">
      <c r="E152"/>
      <c r="F152"/>
    </row>
    <row r="153" spans="5:6">
      <c r="E153"/>
      <c r="F153"/>
    </row>
    <row r="154" spans="5:6">
      <c r="E154"/>
      <c r="F154"/>
    </row>
    <row r="155" spans="5:6">
      <c r="E155"/>
      <c r="F155"/>
    </row>
    <row r="156" spans="5:6">
      <c r="E156"/>
      <c r="F156"/>
    </row>
    <row r="157" spans="5:6">
      <c r="E157"/>
      <c r="F157"/>
    </row>
    <row r="158" spans="5:6">
      <c r="E158"/>
      <c r="F158"/>
    </row>
    <row r="159" spans="5:6">
      <c r="E159"/>
      <c r="F159"/>
    </row>
    <row r="160" spans="5:6">
      <c r="E160"/>
      <c r="F160"/>
    </row>
    <row r="161" spans="5:6">
      <c r="E161"/>
      <c r="F161"/>
    </row>
    <row r="162" spans="5:6">
      <c r="E162"/>
      <c r="F162"/>
    </row>
    <row r="163" spans="5:6">
      <c r="E163"/>
      <c r="F163"/>
    </row>
    <row r="164" spans="5:6">
      <c r="E164"/>
      <c r="F164"/>
    </row>
    <row r="165" spans="5:6">
      <c r="E165"/>
      <c r="F165"/>
    </row>
    <row r="166" spans="5:6">
      <c r="E166"/>
      <c r="F166"/>
    </row>
    <row r="167" spans="5:6">
      <c r="E167"/>
      <c r="F167"/>
    </row>
    <row r="168" spans="5:6">
      <c r="E168"/>
      <c r="F168"/>
    </row>
    <row r="169" spans="5:6">
      <c r="E169"/>
      <c r="F169"/>
    </row>
    <row r="170" spans="5:6">
      <c r="E170"/>
      <c r="F170"/>
    </row>
    <row r="171" spans="5:6">
      <c r="E171"/>
      <c r="F171"/>
    </row>
    <row r="172" spans="5:6">
      <c r="E172"/>
      <c r="F172"/>
    </row>
    <row r="173" spans="5:6">
      <c r="E173"/>
      <c r="F173"/>
    </row>
    <row r="174" spans="5:6">
      <c r="E174"/>
      <c r="F174"/>
    </row>
    <row r="175" spans="5:6">
      <c r="E175"/>
      <c r="F175"/>
    </row>
    <row r="176" spans="5:6">
      <c r="E176"/>
      <c r="F176"/>
    </row>
    <row r="177" spans="5:6">
      <c r="E177"/>
      <c r="F177"/>
    </row>
    <row r="178" spans="5:6">
      <c r="E178"/>
      <c r="F178"/>
    </row>
    <row r="179" spans="5:6">
      <c r="E179"/>
      <c r="F179"/>
    </row>
    <row r="180" spans="5:6">
      <c r="E180"/>
      <c r="F180"/>
    </row>
    <row r="181" spans="5:6">
      <c r="E181"/>
      <c r="F181"/>
    </row>
    <row r="182" spans="5:6">
      <c r="E182"/>
      <c r="F182"/>
    </row>
    <row r="183" spans="5:6">
      <c r="E183"/>
      <c r="F183"/>
    </row>
    <row r="184" spans="5:6">
      <c r="E184"/>
      <c r="F184"/>
    </row>
    <row r="185" spans="5:6">
      <c r="E185"/>
      <c r="F185"/>
    </row>
    <row r="186" spans="5:6">
      <c r="E186"/>
      <c r="F186"/>
    </row>
    <row r="187" spans="5:6">
      <c r="E187"/>
      <c r="F187"/>
    </row>
    <row r="188" spans="5:6">
      <c r="E188"/>
      <c r="F188"/>
    </row>
    <row r="189" spans="5:6">
      <c r="E189"/>
      <c r="F189"/>
    </row>
    <row r="190" spans="5:6">
      <c r="E190"/>
      <c r="F190"/>
    </row>
    <row r="191" spans="5:6">
      <c r="E191"/>
      <c r="F191"/>
    </row>
    <row r="192" spans="5:6">
      <c r="E192"/>
      <c r="F192"/>
    </row>
    <row r="193" spans="5:6">
      <c r="E193"/>
      <c r="F193"/>
    </row>
    <row r="194" spans="5:6">
      <c r="E194"/>
      <c r="F194"/>
    </row>
    <row r="195" spans="5:6">
      <c r="E195"/>
      <c r="F195"/>
    </row>
    <row r="196" spans="5:6">
      <c r="E196"/>
      <c r="F196"/>
    </row>
    <row r="197" spans="5:6">
      <c r="E197"/>
      <c r="F197"/>
    </row>
    <row r="198" spans="5:6">
      <c r="E198"/>
      <c r="F198"/>
    </row>
    <row r="199" spans="5:6">
      <c r="E199"/>
      <c r="F199"/>
    </row>
    <row r="200" spans="5:6">
      <c r="E200"/>
      <c r="F200"/>
    </row>
    <row r="201" spans="5:6">
      <c r="E201"/>
      <c r="F201"/>
    </row>
    <row r="202" spans="5:6">
      <c r="E202"/>
      <c r="F202"/>
    </row>
    <row r="203" spans="5:6">
      <c r="E203"/>
      <c r="F203"/>
    </row>
    <row r="204" spans="5:6">
      <c r="E204"/>
      <c r="F204"/>
    </row>
    <row r="205" spans="5:6">
      <c r="E205"/>
      <c r="F205"/>
    </row>
    <row r="206" spans="5:6">
      <c r="E206"/>
      <c r="F206"/>
    </row>
    <row r="207" spans="5:6">
      <c r="E207"/>
      <c r="F207"/>
    </row>
    <row r="208" spans="5:6">
      <c r="E208"/>
      <c r="F208"/>
    </row>
    <row r="209" spans="5:6">
      <c r="E209"/>
      <c r="F209"/>
    </row>
    <row r="210" spans="5:6">
      <c r="E210"/>
      <c r="F210"/>
    </row>
    <row r="211" spans="5:6">
      <c r="E211"/>
      <c r="F211"/>
    </row>
    <row r="212" spans="5:6">
      <c r="E212"/>
      <c r="F212"/>
    </row>
    <row r="213" spans="5:6">
      <c r="E213"/>
      <c r="F213"/>
    </row>
    <row r="214" spans="5:6">
      <c r="E214"/>
      <c r="F214"/>
    </row>
    <row r="215" spans="5:6">
      <c r="E215"/>
      <c r="F215"/>
    </row>
    <row r="216" spans="5:6">
      <c r="E216"/>
      <c r="F216"/>
    </row>
    <row r="217" spans="5:6">
      <c r="E217"/>
      <c r="F217"/>
    </row>
    <row r="218" spans="5:6">
      <c r="E218"/>
      <c r="F218"/>
    </row>
    <row r="219" spans="5:6">
      <c r="E219"/>
      <c r="F219"/>
    </row>
    <row r="220" spans="5:6">
      <c r="E220"/>
      <c r="F220"/>
    </row>
    <row r="221" spans="5:6">
      <c r="E221"/>
      <c r="F221"/>
    </row>
    <row r="222" spans="5:6">
      <c r="E222"/>
      <c r="F222"/>
    </row>
    <row r="223" spans="5:6">
      <c r="E223"/>
      <c r="F223"/>
    </row>
    <row r="224" spans="5:6">
      <c r="E224"/>
      <c r="F224"/>
    </row>
    <row r="225" spans="5:6">
      <c r="E225"/>
      <c r="F225"/>
    </row>
    <row r="226" spans="5:6">
      <c r="E226"/>
      <c r="F226"/>
    </row>
    <row r="227" spans="5:6">
      <c r="E227"/>
      <c r="F227"/>
    </row>
    <row r="228" spans="5:6">
      <c r="E228"/>
      <c r="F228"/>
    </row>
    <row r="229" spans="5:6">
      <c r="E229"/>
      <c r="F229"/>
    </row>
    <row r="230" spans="5:6">
      <c r="E230"/>
      <c r="F230"/>
    </row>
    <row r="231" spans="5:6">
      <c r="E231"/>
      <c r="F231"/>
    </row>
    <row r="232" spans="5:6">
      <c r="E232"/>
      <c r="F232"/>
    </row>
    <row r="233" spans="5:6">
      <c r="E233"/>
      <c r="F233"/>
    </row>
    <row r="234" spans="5:6">
      <c r="E234"/>
      <c r="F234"/>
    </row>
    <row r="235" spans="5:6">
      <c r="E235"/>
      <c r="F235"/>
    </row>
    <row r="236" spans="5:6">
      <c r="E236"/>
      <c r="F236"/>
    </row>
    <row r="237" spans="5:6">
      <c r="E237"/>
      <c r="F237"/>
    </row>
    <row r="238" spans="5:6">
      <c r="E238"/>
      <c r="F238"/>
    </row>
    <row r="239" spans="5:6">
      <c r="E239"/>
      <c r="F239"/>
    </row>
    <row r="240" spans="5:6">
      <c r="E240"/>
      <c r="F240"/>
    </row>
    <row r="241" spans="5:6">
      <c r="E241"/>
      <c r="F241"/>
    </row>
    <row r="242" spans="5:6">
      <c r="E242"/>
      <c r="F242"/>
    </row>
    <row r="243" spans="5:6">
      <c r="E243"/>
      <c r="F243"/>
    </row>
    <row r="244" spans="5:6">
      <c r="E244"/>
      <c r="F244"/>
    </row>
    <row r="245" spans="5:6">
      <c r="E245"/>
      <c r="F245"/>
    </row>
    <row r="246" spans="5:6">
      <c r="E246"/>
      <c r="F246"/>
    </row>
    <row r="247" spans="5:6">
      <c r="E247"/>
      <c r="F247"/>
    </row>
    <row r="248" spans="5:6">
      <c r="E248"/>
      <c r="F248"/>
    </row>
    <row r="249" spans="5:6">
      <c r="E249"/>
      <c r="F249"/>
    </row>
    <row r="250" spans="5:6">
      <c r="E250"/>
      <c r="F250"/>
    </row>
    <row r="251" spans="5:6">
      <c r="E251"/>
      <c r="F251"/>
    </row>
    <row r="252" spans="5:6">
      <c r="E252"/>
      <c r="F252"/>
    </row>
    <row r="253" spans="5:6">
      <c r="E253"/>
      <c r="F253"/>
    </row>
    <row r="254" spans="5:6">
      <c r="E254"/>
      <c r="F254"/>
    </row>
    <row r="255" spans="5:6">
      <c r="E255"/>
      <c r="F255"/>
    </row>
    <row r="256" spans="5:6">
      <c r="E256"/>
      <c r="F256"/>
    </row>
    <row r="257" spans="5:6">
      <c r="E257"/>
      <c r="F257"/>
    </row>
    <row r="258" spans="5:6">
      <c r="E258"/>
      <c r="F258"/>
    </row>
    <row r="259" spans="5:6">
      <c r="E259"/>
      <c r="F259"/>
    </row>
    <row r="260" spans="5:6">
      <c r="E260"/>
      <c r="F260"/>
    </row>
    <row r="261" spans="5:6">
      <c r="E261"/>
      <c r="F261"/>
    </row>
    <row r="262" spans="5:6">
      <c r="E262"/>
      <c r="F262"/>
    </row>
    <row r="263" spans="5:6">
      <c r="E263"/>
      <c r="F263"/>
    </row>
    <row r="264" spans="5:6">
      <c r="E264"/>
      <c r="F264"/>
    </row>
    <row r="265" spans="5:6">
      <c r="E265"/>
      <c r="F265"/>
    </row>
    <row r="266" spans="5:6">
      <c r="E266"/>
      <c r="F266"/>
    </row>
    <row r="267" spans="5:6">
      <c r="E267"/>
      <c r="F267"/>
    </row>
    <row r="268" spans="5:6">
      <c r="E268"/>
      <c r="F268"/>
    </row>
    <row r="269" spans="5:6">
      <c r="E269"/>
      <c r="F269"/>
    </row>
    <row r="270" spans="5:6">
      <c r="E270"/>
      <c r="F270"/>
    </row>
    <row r="271" spans="5:6">
      <c r="E271"/>
      <c r="F271"/>
    </row>
    <row r="272" spans="5:6">
      <c r="E272"/>
      <c r="F272"/>
    </row>
    <row r="273" spans="5:6">
      <c r="E273"/>
      <c r="F273"/>
    </row>
    <row r="274" spans="5:6">
      <c r="E274"/>
      <c r="F274"/>
    </row>
    <row r="275" spans="5:6">
      <c r="E275"/>
      <c r="F275"/>
    </row>
    <row r="276" spans="5:6">
      <c r="E276"/>
      <c r="F276"/>
    </row>
    <row r="277" spans="5:6">
      <c r="E277"/>
      <c r="F277"/>
    </row>
    <row r="278" spans="5:6">
      <c r="E278"/>
      <c r="F278"/>
    </row>
    <row r="279" spans="5:6">
      <c r="E279"/>
      <c r="F279"/>
    </row>
    <row r="280" spans="5:6">
      <c r="E280"/>
      <c r="F280"/>
    </row>
    <row r="281" spans="5:6">
      <c r="E281"/>
      <c r="F281"/>
    </row>
    <row r="282" spans="5:6">
      <c r="E282"/>
      <c r="F282"/>
    </row>
    <row r="283" spans="5:6">
      <c r="E283"/>
      <c r="F283"/>
    </row>
    <row r="284" spans="5:6">
      <c r="E284"/>
      <c r="F284"/>
    </row>
    <row r="285" spans="5:6">
      <c r="E285"/>
      <c r="F285"/>
    </row>
    <row r="286" spans="5:6">
      <c r="E286"/>
      <c r="F286"/>
    </row>
    <row r="287" spans="5:6">
      <c r="E287"/>
      <c r="F287"/>
    </row>
    <row r="288" spans="5:6">
      <c r="E288"/>
      <c r="F288"/>
    </row>
    <row r="289" spans="5:6">
      <c r="E289"/>
      <c r="F289"/>
    </row>
    <row r="290" spans="5:6">
      <c r="E290"/>
      <c r="F290"/>
    </row>
    <row r="291" spans="5:6">
      <c r="E291"/>
      <c r="F291"/>
    </row>
    <row r="292" spans="5:6">
      <c r="E292"/>
      <c r="F292"/>
    </row>
    <row r="293" spans="5:6">
      <c r="E293"/>
      <c r="F293"/>
    </row>
    <row r="294" spans="5:6">
      <c r="E294"/>
      <c r="F294"/>
    </row>
    <row r="295" spans="5:6">
      <c r="E295"/>
      <c r="F295"/>
    </row>
    <row r="296" spans="5:6">
      <c r="E296"/>
      <c r="F296"/>
    </row>
    <row r="297" spans="5:6">
      <c r="E297"/>
      <c r="F297"/>
    </row>
    <row r="298" spans="5:6">
      <c r="E298"/>
      <c r="F298"/>
    </row>
    <row r="299" spans="5:6">
      <c r="E299"/>
      <c r="F299"/>
    </row>
    <row r="300" spans="5:6">
      <c r="E300"/>
      <c r="F300"/>
    </row>
    <row r="301" spans="5:6">
      <c r="E301"/>
      <c r="F301"/>
    </row>
    <row r="302" spans="5:6">
      <c r="E302"/>
      <c r="F302"/>
    </row>
    <row r="303" spans="5:6">
      <c r="E303"/>
      <c r="F303"/>
    </row>
    <row r="304" spans="5:6">
      <c r="E304"/>
      <c r="F304"/>
    </row>
    <row r="305" spans="5:6">
      <c r="E305"/>
      <c r="F305"/>
    </row>
    <row r="306" spans="5:6">
      <c r="E306"/>
      <c r="F306"/>
    </row>
    <row r="307" spans="5:6">
      <c r="E307"/>
      <c r="F307"/>
    </row>
    <row r="308" spans="5:6">
      <c r="E308"/>
      <c r="F308"/>
    </row>
    <row r="309" spans="5:6">
      <c r="E309"/>
      <c r="F309"/>
    </row>
    <row r="310" spans="5:6">
      <c r="E310"/>
      <c r="F310"/>
    </row>
    <row r="311" spans="5:6">
      <c r="E311"/>
      <c r="F311"/>
    </row>
    <row r="312" spans="5:6">
      <c r="E312"/>
      <c r="F312"/>
    </row>
    <row r="313" spans="5:6">
      <c r="E313"/>
      <c r="F313"/>
    </row>
    <row r="314" spans="5:6">
      <c r="E314"/>
      <c r="F314"/>
    </row>
    <row r="315" spans="5:6">
      <c r="E315"/>
      <c r="F315"/>
    </row>
    <row r="316" spans="5:6">
      <c r="E316"/>
      <c r="F316"/>
    </row>
    <row r="317" spans="5:6">
      <c r="E317"/>
      <c r="F317"/>
    </row>
    <row r="318" spans="5:6">
      <c r="E318"/>
      <c r="F318"/>
    </row>
    <row r="319" spans="5:6">
      <c r="E319"/>
      <c r="F319"/>
    </row>
    <row r="320" spans="5:6">
      <c r="E320"/>
      <c r="F320"/>
    </row>
    <row r="321" spans="5:6">
      <c r="E321"/>
      <c r="F321"/>
    </row>
    <row r="322" spans="5:6">
      <c r="E322"/>
      <c r="F322"/>
    </row>
    <row r="323" spans="5:6">
      <c r="E323"/>
      <c r="F323"/>
    </row>
    <row r="324" spans="5:6">
      <c r="E324"/>
      <c r="F324"/>
    </row>
    <row r="325" spans="5:6">
      <c r="E325"/>
      <c r="F325"/>
    </row>
    <row r="326" spans="5:6">
      <c r="E326"/>
      <c r="F326"/>
    </row>
    <row r="327" spans="5:6">
      <c r="E327"/>
      <c r="F327"/>
    </row>
    <row r="328" spans="5:6">
      <c r="E328"/>
      <c r="F328"/>
    </row>
    <row r="329" spans="5:6">
      <c r="E329"/>
      <c r="F329"/>
    </row>
    <row r="330" spans="5:6">
      <c r="E330"/>
      <c r="F330"/>
    </row>
    <row r="331" spans="5:6">
      <c r="E331"/>
      <c r="F331"/>
    </row>
    <row r="332" spans="5:6">
      <c r="E332"/>
      <c r="F332"/>
    </row>
    <row r="333" spans="5:6">
      <c r="E333"/>
      <c r="F333"/>
    </row>
    <row r="334" spans="5:6">
      <c r="E334"/>
      <c r="F334"/>
    </row>
    <row r="335" spans="5:6">
      <c r="E335"/>
      <c r="F335"/>
    </row>
    <row r="336" spans="5:6">
      <c r="E336"/>
      <c r="F336"/>
    </row>
    <row r="337" spans="5:6">
      <c r="E337"/>
      <c r="F337"/>
    </row>
    <row r="338" spans="5:6">
      <c r="E338"/>
      <c r="F338"/>
    </row>
    <row r="339" spans="5:6">
      <c r="E339"/>
      <c r="F339"/>
    </row>
    <row r="340" spans="5:6">
      <c r="E340"/>
      <c r="F340"/>
    </row>
    <row r="341" spans="5:6">
      <c r="E341"/>
      <c r="F341"/>
    </row>
    <row r="342" spans="5:6">
      <c r="E342"/>
      <c r="F342"/>
    </row>
    <row r="343" spans="5:6">
      <c r="E343"/>
      <c r="F343"/>
    </row>
    <row r="344" spans="5:6">
      <c r="E344"/>
      <c r="F344"/>
    </row>
    <row r="345" spans="5:6">
      <c r="E345"/>
      <c r="F345"/>
    </row>
    <row r="346" spans="5:6">
      <c r="E346"/>
      <c r="F346"/>
    </row>
    <row r="347" spans="5:6">
      <c r="E347"/>
      <c r="F347"/>
    </row>
    <row r="348" spans="5:6">
      <c r="E348"/>
      <c r="F348"/>
    </row>
    <row r="349" spans="5:6">
      <c r="E349"/>
      <c r="F349"/>
    </row>
    <row r="350" spans="5:6">
      <c r="E350"/>
      <c r="F350"/>
    </row>
    <row r="351" spans="5:6">
      <c r="E351"/>
      <c r="F351"/>
    </row>
    <row r="352" spans="5:6">
      <c r="E352"/>
      <c r="F352"/>
    </row>
    <row r="353" spans="5:6">
      <c r="E353"/>
      <c r="F353"/>
    </row>
    <row r="354" spans="5:6">
      <c r="E354"/>
      <c r="F354"/>
    </row>
    <row r="355" spans="5:6">
      <c r="E355"/>
      <c r="F355"/>
    </row>
    <row r="356" spans="5:6">
      <c r="E356"/>
      <c r="F356"/>
    </row>
    <row r="357" spans="5:6">
      <c r="E357"/>
      <c r="F357"/>
    </row>
    <row r="358" spans="5:6">
      <c r="E358"/>
      <c r="F358"/>
    </row>
    <row r="359" spans="5:6">
      <c r="E359"/>
      <c r="F359"/>
    </row>
    <row r="360" spans="5:6">
      <c r="E360"/>
      <c r="F360"/>
    </row>
    <row r="361" spans="5:6">
      <c r="E361"/>
      <c r="F361"/>
    </row>
    <row r="362" spans="5:6">
      <c r="E362"/>
      <c r="F362"/>
    </row>
    <row r="363" spans="5:6">
      <c r="E363"/>
      <c r="F363"/>
    </row>
    <row r="364" spans="5:6">
      <c r="E364"/>
      <c r="F364"/>
    </row>
    <row r="365" spans="5:6">
      <c r="E365"/>
      <c r="F365"/>
    </row>
    <row r="366" spans="5:6">
      <c r="E366"/>
      <c r="F366"/>
    </row>
    <row r="367" spans="5:6">
      <c r="E367"/>
      <c r="F367"/>
    </row>
    <row r="368" spans="5:6">
      <c r="E368"/>
      <c r="F368"/>
    </row>
    <row r="369" spans="5:6">
      <c r="E369"/>
      <c r="F369"/>
    </row>
    <row r="370" spans="5:6">
      <c r="E370"/>
      <c r="F370"/>
    </row>
    <row r="371" spans="5:6">
      <c r="E371"/>
      <c r="F371"/>
    </row>
    <row r="372" spans="5:6">
      <c r="E372"/>
      <c r="F372"/>
    </row>
    <row r="373" spans="5:6">
      <c r="E373"/>
      <c r="F373"/>
    </row>
    <row r="374" spans="5:6">
      <c r="E374"/>
      <c r="F374"/>
    </row>
    <row r="375" spans="5:6">
      <c r="E375"/>
      <c r="F375"/>
    </row>
    <row r="376" spans="5:6">
      <c r="E376"/>
      <c r="F376"/>
    </row>
    <row r="377" spans="5:6">
      <c r="E377"/>
      <c r="F377"/>
    </row>
    <row r="378" spans="5:6">
      <c r="E378"/>
      <c r="F378"/>
    </row>
    <row r="379" spans="5:6">
      <c r="E379"/>
      <c r="F379"/>
    </row>
    <row r="380" spans="5:6">
      <c r="E380"/>
      <c r="F380"/>
    </row>
    <row r="381" spans="5:6">
      <c r="E381"/>
      <c r="F381"/>
    </row>
    <row r="382" spans="5:6">
      <c r="E382"/>
      <c r="F382"/>
    </row>
    <row r="383" spans="5:6">
      <c r="E383"/>
      <c r="F383"/>
    </row>
    <row r="384" spans="5:6">
      <c r="E384"/>
      <c r="F384"/>
    </row>
    <row r="385" spans="5:6">
      <c r="E385"/>
      <c r="F385"/>
    </row>
    <row r="386" spans="5:6">
      <c r="E386"/>
      <c r="F386"/>
    </row>
    <row r="387" spans="5:6">
      <c r="E387"/>
      <c r="F387"/>
    </row>
    <row r="388" spans="5:6">
      <c r="E388"/>
      <c r="F388"/>
    </row>
    <row r="389" spans="5:6">
      <c r="E389"/>
      <c r="F389"/>
    </row>
    <row r="390" spans="5:6">
      <c r="E390"/>
      <c r="F390"/>
    </row>
    <row r="391" spans="5:6">
      <c r="E391"/>
      <c r="F391"/>
    </row>
    <row r="392" spans="5:6">
      <c r="E392"/>
      <c r="F392"/>
    </row>
    <row r="393" spans="5:6">
      <c r="E393"/>
      <c r="F393"/>
    </row>
    <row r="394" spans="5:6">
      <c r="E394"/>
      <c r="F394"/>
    </row>
    <row r="395" spans="5:6">
      <c r="E395"/>
      <c r="F395"/>
    </row>
    <row r="396" spans="5:6">
      <c r="E396"/>
      <c r="F396"/>
    </row>
    <row r="397" spans="5:6">
      <c r="E397"/>
      <c r="F397"/>
    </row>
    <row r="398" spans="5:6">
      <c r="E398"/>
      <c r="F398"/>
    </row>
    <row r="399" spans="5:6">
      <c r="E399"/>
      <c r="F399"/>
    </row>
    <row r="400" spans="5:6">
      <c r="E400"/>
      <c r="F400"/>
    </row>
    <row r="401" spans="5:6">
      <c r="E401"/>
      <c r="F401"/>
    </row>
    <row r="402" spans="5:6">
      <c r="E402"/>
      <c r="F402"/>
    </row>
    <row r="403" spans="5:6">
      <c r="E403"/>
      <c r="F403"/>
    </row>
    <row r="404" spans="5:6">
      <c r="E404"/>
      <c r="F404"/>
    </row>
    <row r="405" spans="5:6">
      <c r="E405"/>
      <c r="F405"/>
    </row>
    <row r="406" spans="5:6">
      <c r="E406"/>
      <c r="F406"/>
    </row>
    <row r="407" spans="5:6">
      <c r="E407"/>
      <c r="F407"/>
    </row>
    <row r="408" spans="5:6">
      <c r="E408"/>
      <c r="F408"/>
    </row>
    <row r="409" spans="5:6">
      <c r="E409"/>
      <c r="F409"/>
    </row>
    <row r="410" spans="5:6">
      <c r="E410"/>
      <c r="F410"/>
    </row>
    <row r="411" spans="5:6">
      <c r="E411"/>
      <c r="F411"/>
    </row>
    <row r="412" spans="5:6">
      <c r="E412"/>
      <c r="F412"/>
    </row>
    <row r="413" spans="5:6">
      <c r="E413"/>
      <c r="F413"/>
    </row>
    <row r="414" spans="5:6">
      <c r="E414"/>
      <c r="F414"/>
    </row>
    <row r="415" spans="5:6">
      <c r="E415"/>
      <c r="F415"/>
    </row>
    <row r="416" spans="5:6">
      <c r="E416"/>
      <c r="F416"/>
    </row>
    <row r="417" spans="5:6">
      <c r="E417"/>
      <c r="F417"/>
    </row>
    <row r="418" spans="5:6">
      <c r="E418"/>
      <c r="F418"/>
    </row>
    <row r="419" spans="5:6">
      <c r="E419"/>
      <c r="F419"/>
    </row>
    <row r="420" spans="5:6">
      <c r="E420"/>
      <c r="F420"/>
    </row>
    <row r="421" spans="5:6">
      <c r="E421"/>
      <c r="F421"/>
    </row>
    <row r="422" spans="5:6">
      <c r="E422"/>
      <c r="F422"/>
    </row>
    <row r="423" spans="5:6">
      <c r="E423"/>
      <c r="F423"/>
    </row>
    <row r="424" spans="5:6">
      <c r="E424"/>
      <c r="F424"/>
    </row>
    <row r="425" spans="5:6">
      <c r="E425"/>
      <c r="F425"/>
    </row>
    <row r="426" spans="5:6">
      <c r="E426"/>
      <c r="F426"/>
    </row>
    <row r="427" spans="5:6">
      <c r="E427"/>
      <c r="F427"/>
    </row>
    <row r="428" spans="5:6">
      <c r="E428"/>
      <c r="F428"/>
    </row>
    <row r="429" spans="5:6">
      <c r="E429"/>
      <c r="F429"/>
    </row>
    <row r="430" spans="5:6">
      <c r="E430"/>
      <c r="F430"/>
    </row>
    <row r="431" spans="5:6">
      <c r="E431"/>
      <c r="F431"/>
    </row>
    <row r="432" spans="5:6">
      <c r="E432"/>
      <c r="F432"/>
    </row>
    <row r="433" spans="5:6">
      <c r="E433"/>
      <c r="F433"/>
    </row>
    <row r="434" spans="5:6">
      <c r="E434"/>
      <c r="F434"/>
    </row>
    <row r="435" spans="5:6">
      <c r="E435"/>
      <c r="F435"/>
    </row>
    <row r="436" spans="5:6">
      <c r="E436"/>
      <c r="F436"/>
    </row>
    <row r="437" spans="5:6">
      <c r="E437"/>
      <c r="F437"/>
    </row>
    <row r="438" spans="5:6">
      <c r="E438"/>
      <c r="F438"/>
    </row>
    <row r="439" spans="5:6">
      <c r="E439"/>
      <c r="F439"/>
    </row>
    <row r="440" spans="5:6">
      <c r="E440"/>
      <c r="F440"/>
    </row>
    <row r="441" spans="5:6">
      <c r="E441"/>
      <c r="F441"/>
    </row>
    <row r="442" spans="5:6">
      <c r="E442"/>
      <c r="F442"/>
    </row>
    <row r="443" spans="5:6">
      <c r="E443"/>
      <c r="F443"/>
    </row>
    <row r="444" spans="5:6">
      <c r="E444"/>
      <c r="F444"/>
    </row>
    <row r="445" spans="5:6">
      <c r="E445"/>
      <c r="F445"/>
    </row>
    <row r="446" spans="5:6">
      <c r="E446"/>
      <c r="F446"/>
    </row>
    <row r="447" spans="5:6">
      <c r="E447"/>
      <c r="F447"/>
    </row>
    <row r="448" spans="5:6">
      <c r="E448"/>
      <c r="F448"/>
    </row>
    <row r="449" spans="5:6">
      <c r="E449"/>
      <c r="F449"/>
    </row>
    <row r="450" spans="5:6">
      <c r="E450"/>
      <c r="F450"/>
    </row>
    <row r="451" spans="5:6">
      <c r="E451"/>
      <c r="F451"/>
    </row>
    <row r="452" spans="5:6">
      <c r="E452"/>
      <c r="F452"/>
    </row>
    <row r="453" spans="5:6">
      <c r="E453"/>
      <c r="F453"/>
    </row>
    <row r="454" spans="5:6">
      <c r="E454"/>
      <c r="F454"/>
    </row>
    <row r="455" spans="5:6">
      <c r="E455"/>
      <c r="F455"/>
    </row>
    <row r="456" spans="5:6">
      <c r="E456"/>
      <c r="F456"/>
    </row>
    <row r="457" spans="5:6">
      <c r="E457"/>
      <c r="F457"/>
    </row>
    <row r="458" spans="5:6">
      <c r="E458"/>
      <c r="F458"/>
    </row>
    <row r="459" spans="5:6">
      <c r="E459"/>
      <c r="F459"/>
    </row>
    <row r="460" spans="5:6">
      <c r="E460"/>
      <c r="F460"/>
    </row>
    <row r="461" spans="5:6">
      <c r="E461"/>
      <c r="F461"/>
    </row>
    <row r="462" spans="5:6">
      <c r="E462"/>
      <c r="F462"/>
    </row>
    <row r="463" spans="5:6">
      <c r="E463"/>
      <c r="F463"/>
    </row>
    <row r="464" spans="5:6">
      <c r="E464"/>
      <c r="F464"/>
    </row>
    <row r="465" spans="5:6">
      <c r="E465"/>
      <c r="F465"/>
    </row>
    <row r="466" spans="5:6">
      <c r="E466"/>
      <c r="F466"/>
    </row>
    <row r="467" spans="5:6">
      <c r="E467"/>
      <c r="F467"/>
    </row>
    <row r="468" spans="5:6">
      <c r="E468"/>
      <c r="F468"/>
    </row>
    <row r="469" spans="5:6">
      <c r="E469"/>
      <c r="F469"/>
    </row>
    <row r="470" spans="5:6">
      <c r="E470"/>
      <c r="F470"/>
    </row>
    <row r="471" spans="5:6">
      <c r="E471"/>
      <c r="F471"/>
    </row>
    <row r="472" spans="5:6">
      <c r="E472"/>
      <c r="F472"/>
    </row>
    <row r="473" spans="5:6">
      <c r="E473"/>
      <c r="F473"/>
    </row>
    <row r="474" spans="5:6">
      <c r="E474"/>
      <c r="F474"/>
    </row>
    <row r="475" spans="5:6">
      <c r="E475"/>
      <c r="F475"/>
    </row>
    <row r="476" spans="5:6">
      <c r="E476"/>
      <c r="F476"/>
    </row>
    <row r="477" spans="5:6">
      <c r="E477"/>
      <c r="F477"/>
    </row>
    <row r="478" spans="5:6">
      <c r="E478"/>
      <c r="F478"/>
    </row>
    <row r="479" spans="5:6">
      <c r="E479"/>
      <c r="F479"/>
    </row>
    <row r="480" spans="5:6">
      <c r="E480"/>
      <c r="F480"/>
    </row>
    <row r="481" spans="5:6">
      <c r="E481"/>
      <c r="F481"/>
    </row>
    <row r="482" spans="5:6">
      <c r="E482"/>
      <c r="F482"/>
    </row>
    <row r="483" spans="5:6">
      <c r="E483"/>
      <c r="F483"/>
    </row>
    <row r="484" spans="5:6">
      <c r="E484"/>
      <c r="F484"/>
    </row>
    <row r="485" spans="5:6">
      <c r="E485"/>
      <c r="F485"/>
    </row>
    <row r="486" spans="5:6">
      <c r="E486"/>
      <c r="F486"/>
    </row>
    <row r="487" spans="5:6">
      <c r="E487"/>
      <c r="F487"/>
    </row>
    <row r="488" spans="5:6">
      <c r="E488"/>
      <c r="F488"/>
    </row>
    <row r="489" spans="5:6">
      <c r="E489"/>
      <c r="F489"/>
    </row>
    <row r="490" spans="5:6">
      <c r="E490"/>
      <c r="F490"/>
    </row>
    <row r="491" spans="5:6">
      <c r="E491"/>
      <c r="F491"/>
    </row>
    <row r="492" spans="5:6">
      <c r="E492"/>
      <c r="F492"/>
    </row>
    <row r="493" spans="5:6">
      <c r="E493"/>
      <c r="F493"/>
    </row>
    <row r="494" spans="5:6">
      <c r="E494"/>
      <c r="F494"/>
    </row>
    <row r="495" spans="5:6">
      <c r="E495"/>
      <c r="F495"/>
    </row>
    <row r="496" spans="5:6">
      <c r="E496"/>
      <c r="F496"/>
    </row>
    <row r="497" spans="5:6">
      <c r="E497"/>
      <c r="F497"/>
    </row>
    <row r="498" spans="5:6">
      <c r="E498"/>
      <c r="F498"/>
    </row>
    <row r="499" spans="5:6">
      <c r="E499"/>
      <c r="F499"/>
    </row>
    <row r="500" spans="5:6">
      <c r="E500"/>
      <c r="F500"/>
    </row>
    <row r="501" spans="5:6">
      <c r="E501"/>
      <c r="F501"/>
    </row>
    <row r="502" spans="5:6">
      <c r="E502"/>
      <c r="F502"/>
    </row>
    <row r="503" spans="5:6">
      <c r="E503"/>
      <c r="F503"/>
    </row>
    <row r="504" spans="5:6">
      <c r="E504"/>
      <c r="F504"/>
    </row>
    <row r="505" spans="5:6">
      <c r="E505"/>
      <c r="F505"/>
    </row>
    <row r="506" spans="5:6">
      <c r="E506"/>
      <c r="F506"/>
    </row>
    <row r="507" spans="5:6">
      <c r="E507"/>
      <c r="F507"/>
    </row>
    <row r="508" spans="5:6">
      <c r="E508"/>
      <c r="F508"/>
    </row>
    <row r="509" spans="5:6">
      <c r="E509"/>
      <c r="F509"/>
    </row>
    <row r="510" spans="5:6">
      <c r="E510"/>
      <c r="F510"/>
    </row>
    <row r="511" spans="5:6">
      <c r="E511"/>
      <c r="F511"/>
    </row>
    <row r="512" spans="5:6">
      <c r="E512"/>
      <c r="F512"/>
    </row>
    <row r="513" spans="5:6">
      <c r="E513"/>
      <c r="F513"/>
    </row>
    <row r="514" spans="5:6">
      <c r="E514"/>
      <c r="F514"/>
    </row>
    <row r="515" spans="5:6">
      <c r="E515"/>
      <c r="F515"/>
    </row>
    <row r="516" spans="5:6">
      <c r="E516"/>
      <c r="F516"/>
    </row>
    <row r="517" spans="5:6">
      <c r="E517"/>
      <c r="F517"/>
    </row>
    <row r="518" spans="5:6">
      <c r="E518"/>
      <c r="F518"/>
    </row>
    <row r="519" spans="5:6">
      <c r="E519"/>
      <c r="F519"/>
    </row>
    <row r="520" spans="5:6">
      <c r="E520"/>
      <c r="F520"/>
    </row>
    <row r="521" spans="5:6">
      <c r="E521"/>
      <c r="F521"/>
    </row>
    <row r="522" spans="5:6">
      <c r="E522"/>
      <c r="F522"/>
    </row>
    <row r="523" spans="5:6">
      <c r="E523"/>
      <c r="F523"/>
    </row>
    <row r="524" spans="5:6">
      <c r="E524"/>
      <c r="F524"/>
    </row>
    <row r="525" spans="5:6">
      <c r="E525"/>
      <c r="F525"/>
    </row>
    <row r="526" spans="5:6">
      <c r="E526"/>
      <c r="F526"/>
    </row>
    <row r="527" spans="5:6">
      <c r="E527"/>
      <c r="F527"/>
    </row>
    <row r="528" spans="5:6">
      <c r="E528"/>
      <c r="F528"/>
    </row>
    <row r="529" spans="5:6">
      <c r="E529"/>
      <c r="F529"/>
    </row>
    <row r="530" spans="5:6">
      <c r="E530"/>
      <c r="F530"/>
    </row>
    <row r="531" spans="5:6">
      <c r="E531"/>
      <c r="F531"/>
    </row>
    <row r="532" spans="5:6">
      <c r="E532"/>
      <c r="F532"/>
    </row>
    <row r="533" spans="5:6">
      <c r="E533"/>
      <c r="F533"/>
    </row>
    <row r="534" spans="5:6">
      <c r="E534"/>
      <c r="F534"/>
    </row>
    <row r="535" spans="5:6">
      <c r="E535"/>
      <c r="F535"/>
    </row>
    <row r="536" spans="5:6">
      <c r="E536"/>
      <c r="F536"/>
    </row>
    <row r="537" spans="5:6">
      <c r="E537"/>
      <c r="F537"/>
    </row>
    <row r="538" spans="5:6">
      <c r="E538"/>
      <c r="F538"/>
    </row>
    <row r="539" spans="5:6">
      <c r="E539"/>
      <c r="F539"/>
    </row>
    <row r="540" spans="5:6">
      <c r="E540"/>
      <c r="F540"/>
    </row>
    <row r="541" spans="5:6">
      <c r="E541"/>
      <c r="F541"/>
    </row>
    <row r="542" spans="5:6">
      <c r="E542"/>
      <c r="F542"/>
    </row>
    <row r="543" spans="5:6">
      <c r="E543"/>
      <c r="F543"/>
    </row>
    <row r="544" spans="5:6">
      <c r="E544"/>
      <c r="F544"/>
    </row>
    <row r="545" spans="5:6">
      <c r="E545"/>
      <c r="F545"/>
    </row>
    <row r="546" spans="5:6">
      <c r="E546"/>
      <c r="F546"/>
    </row>
    <row r="547" spans="5:6">
      <c r="E547"/>
      <c r="F547"/>
    </row>
    <row r="548" spans="5:6">
      <c r="E548"/>
      <c r="F548"/>
    </row>
    <row r="549" spans="5:6">
      <c r="E549"/>
      <c r="F549"/>
    </row>
    <row r="550" spans="5:6">
      <c r="E550"/>
      <c r="F550"/>
    </row>
    <row r="551" spans="5:6">
      <c r="E551"/>
      <c r="F551"/>
    </row>
    <row r="552" spans="5:6">
      <c r="E552"/>
      <c r="F552"/>
    </row>
    <row r="553" spans="5:6">
      <c r="E553"/>
      <c r="F553"/>
    </row>
    <row r="554" spans="5:6">
      <c r="E554"/>
      <c r="F554"/>
    </row>
    <row r="555" spans="5:6">
      <c r="E555"/>
      <c r="F555"/>
    </row>
    <row r="556" spans="5:6">
      <c r="E556"/>
      <c r="F556"/>
    </row>
    <row r="557" spans="5:6">
      <c r="E557"/>
      <c r="F557"/>
    </row>
    <row r="558" spans="5:6">
      <c r="E558"/>
      <c r="F558"/>
    </row>
    <row r="559" spans="5:6">
      <c r="E559"/>
      <c r="F559"/>
    </row>
    <row r="560" spans="5:6">
      <c r="E560"/>
      <c r="F560"/>
    </row>
    <row r="561" spans="5:6">
      <c r="E561"/>
      <c r="F561"/>
    </row>
    <row r="562" spans="5:6">
      <c r="E562"/>
      <c r="F562"/>
    </row>
    <row r="563" spans="5:6">
      <c r="E563"/>
      <c r="F563"/>
    </row>
    <row r="564" spans="5:6">
      <c r="E564"/>
      <c r="F564"/>
    </row>
    <row r="565" spans="5:6">
      <c r="E565"/>
      <c r="F565"/>
    </row>
    <row r="566" spans="5:6">
      <c r="E566"/>
      <c r="F566"/>
    </row>
    <row r="567" spans="5:6">
      <c r="E567"/>
      <c r="F567"/>
    </row>
    <row r="568" spans="5:6">
      <c r="E568"/>
      <c r="F568"/>
    </row>
    <row r="569" spans="5:6">
      <c r="E569"/>
      <c r="F569"/>
    </row>
    <row r="570" spans="5:6">
      <c r="E570"/>
      <c r="F570"/>
    </row>
    <row r="571" spans="5:6">
      <c r="E571"/>
      <c r="F571"/>
    </row>
    <row r="572" spans="5:6">
      <c r="E572"/>
      <c r="F572"/>
    </row>
    <row r="573" spans="5:6">
      <c r="E573"/>
      <c r="F573"/>
    </row>
    <row r="574" spans="5:6">
      <c r="E574"/>
      <c r="F574"/>
    </row>
    <row r="575" spans="5:6">
      <c r="E575"/>
      <c r="F575"/>
    </row>
    <row r="576" spans="5:6">
      <c r="E576"/>
      <c r="F576"/>
    </row>
    <row r="577" spans="5:6">
      <c r="E577"/>
      <c r="F577"/>
    </row>
    <row r="578" spans="5:6">
      <c r="E578"/>
      <c r="F578"/>
    </row>
    <row r="579" spans="5:6">
      <c r="E579"/>
      <c r="F579"/>
    </row>
    <row r="580" spans="5:6">
      <c r="E580"/>
      <c r="F580"/>
    </row>
    <row r="581" spans="5:6">
      <c r="E581"/>
      <c r="F581"/>
    </row>
    <row r="582" spans="5:6">
      <c r="E582"/>
      <c r="F582"/>
    </row>
    <row r="583" spans="5:6">
      <c r="E583"/>
      <c r="F583"/>
    </row>
    <row r="584" spans="5:6">
      <c r="E584"/>
      <c r="F584"/>
    </row>
    <row r="585" spans="5:6">
      <c r="E585"/>
      <c r="F585"/>
    </row>
    <row r="586" spans="5:6">
      <c r="E586"/>
      <c r="F586"/>
    </row>
    <row r="587" spans="5:6">
      <c r="E587"/>
      <c r="F587"/>
    </row>
    <row r="588" spans="5:6">
      <c r="E588"/>
      <c r="F588"/>
    </row>
    <row r="589" spans="5:6">
      <c r="E589"/>
      <c r="F589"/>
    </row>
    <row r="590" spans="5:6">
      <c r="E590"/>
      <c r="F590"/>
    </row>
    <row r="591" spans="5:6">
      <c r="E591"/>
      <c r="F591"/>
    </row>
    <row r="592" spans="5:6">
      <c r="E592"/>
      <c r="F592"/>
    </row>
    <row r="593" spans="5:6">
      <c r="E593"/>
      <c r="F593"/>
    </row>
    <row r="594" spans="5:6">
      <c r="E594"/>
      <c r="F594"/>
    </row>
    <row r="595" spans="5:6">
      <c r="E595"/>
      <c r="F595"/>
    </row>
    <row r="596" spans="5:6">
      <c r="E596"/>
      <c r="F596"/>
    </row>
    <row r="597" spans="5:6">
      <c r="E597"/>
      <c r="F597"/>
    </row>
    <row r="598" spans="5:6">
      <c r="E598"/>
      <c r="F598"/>
    </row>
    <row r="599" spans="5:6">
      <c r="E599"/>
      <c r="F599"/>
    </row>
    <row r="600" spans="5:6">
      <c r="E600"/>
      <c r="F600"/>
    </row>
    <row r="601" spans="5:6">
      <c r="E601"/>
      <c r="F601"/>
    </row>
    <row r="602" spans="5:6">
      <c r="E602"/>
      <c r="F602"/>
    </row>
    <row r="603" spans="5:6">
      <c r="E603"/>
      <c r="F603"/>
    </row>
    <row r="604" spans="5:6">
      <c r="E604"/>
      <c r="F604"/>
    </row>
    <row r="605" spans="5:6">
      <c r="E605"/>
      <c r="F605"/>
    </row>
    <row r="606" spans="5:6">
      <c r="E606"/>
      <c r="F606"/>
    </row>
    <row r="607" spans="5:6">
      <c r="E607"/>
      <c r="F607"/>
    </row>
    <row r="608" spans="5:6">
      <c r="E608"/>
      <c r="F608"/>
    </row>
    <row r="609" spans="5:6">
      <c r="E609"/>
      <c r="F609"/>
    </row>
    <row r="610" spans="5:6">
      <c r="E610"/>
      <c r="F610"/>
    </row>
    <row r="611" spans="5:6">
      <c r="E611"/>
      <c r="F611"/>
    </row>
    <row r="612" spans="5:6">
      <c r="E612"/>
      <c r="F612"/>
    </row>
    <row r="613" spans="5:6">
      <c r="E613"/>
      <c r="F613"/>
    </row>
    <row r="614" spans="5:6">
      <c r="E614"/>
      <c r="F614"/>
    </row>
    <row r="615" spans="5:6">
      <c r="E615"/>
      <c r="F615"/>
    </row>
    <row r="616" spans="5:6">
      <c r="E616"/>
      <c r="F616"/>
    </row>
    <row r="617" spans="5:6">
      <c r="E617"/>
      <c r="F617"/>
    </row>
    <row r="618" spans="5:6">
      <c r="E618"/>
      <c r="F618"/>
    </row>
    <row r="619" spans="5:6">
      <c r="E619"/>
      <c r="F619"/>
    </row>
    <row r="620" spans="5:6">
      <c r="E620"/>
      <c r="F620"/>
    </row>
    <row r="621" spans="5:6">
      <c r="E621"/>
      <c r="F621"/>
    </row>
    <row r="622" spans="5:6">
      <c r="E622"/>
      <c r="F622"/>
    </row>
    <row r="623" spans="5:6">
      <c r="E623"/>
      <c r="F623"/>
    </row>
    <row r="624" spans="5:6">
      <c r="E624"/>
      <c r="F624"/>
    </row>
    <row r="625" spans="5:6">
      <c r="E625"/>
      <c r="F625"/>
    </row>
    <row r="626" spans="5:6">
      <c r="E626"/>
      <c r="F626"/>
    </row>
    <row r="627" spans="5:6">
      <c r="E627"/>
      <c r="F627"/>
    </row>
    <row r="628" spans="5:6">
      <c r="E628"/>
      <c r="F628"/>
    </row>
    <row r="629" spans="5:6">
      <c r="E629"/>
      <c r="F629"/>
    </row>
    <row r="630" spans="5:6">
      <c r="E630"/>
      <c r="F630"/>
    </row>
    <row r="631" spans="5:6">
      <c r="E631"/>
      <c r="F631"/>
    </row>
    <row r="632" spans="5:6">
      <c r="E632"/>
      <c r="F632"/>
    </row>
    <row r="633" spans="5:6">
      <c r="E633"/>
      <c r="F633"/>
    </row>
    <row r="634" spans="5:6">
      <c r="E634"/>
      <c r="F634"/>
    </row>
    <row r="635" spans="5:6">
      <c r="E635"/>
      <c r="F635"/>
    </row>
    <row r="636" spans="5:6">
      <c r="E636"/>
      <c r="F636"/>
    </row>
    <row r="637" spans="5:6">
      <c r="E637"/>
      <c r="F637"/>
    </row>
    <row r="638" spans="5:6">
      <c r="E638"/>
      <c r="F638"/>
    </row>
    <row r="639" spans="5:6">
      <c r="E639"/>
      <c r="F639"/>
    </row>
    <row r="640" spans="5:6">
      <c r="E640"/>
      <c r="F640"/>
    </row>
    <row r="641" spans="5:6">
      <c r="E641"/>
      <c r="F641"/>
    </row>
    <row r="642" spans="5:6">
      <c r="E642"/>
      <c r="F642"/>
    </row>
    <row r="643" spans="5:6">
      <c r="E643"/>
      <c r="F643"/>
    </row>
    <row r="644" spans="5:6">
      <c r="E644"/>
      <c r="F644"/>
    </row>
    <row r="645" spans="5:6">
      <c r="E645"/>
      <c r="F645"/>
    </row>
    <row r="646" spans="5:6">
      <c r="E646"/>
      <c r="F646"/>
    </row>
    <row r="647" spans="5:6">
      <c r="E647"/>
      <c r="F647"/>
    </row>
    <row r="648" spans="5:6">
      <c r="E648"/>
      <c r="F648"/>
    </row>
    <row r="649" spans="5:6">
      <c r="E649"/>
      <c r="F649"/>
    </row>
    <row r="650" spans="5:6">
      <c r="E650"/>
      <c r="F650"/>
    </row>
    <row r="651" spans="5:6">
      <c r="E651"/>
      <c r="F651"/>
    </row>
    <row r="652" spans="5:6">
      <c r="E652"/>
      <c r="F652"/>
    </row>
    <row r="653" spans="5:6">
      <c r="E653"/>
      <c r="F653"/>
    </row>
    <row r="654" spans="5:6">
      <c r="E654"/>
      <c r="F654"/>
    </row>
    <row r="655" spans="5:6">
      <c r="E655"/>
      <c r="F655"/>
    </row>
    <row r="656" spans="5:6">
      <c r="E656"/>
      <c r="F656"/>
    </row>
    <row r="657" spans="5:6">
      <c r="E657"/>
      <c r="F657"/>
    </row>
    <row r="658" spans="5:6">
      <c r="E658"/>
      <c r="F658"/>
    </row>
    <row r="659" spans="5:6">
      <c r="E659"/>
      <c r="F659"/>
    </row>
    <row r="660" spans="5:6">
      <c r="E660"/>
      <c r="F660"/>
    </row>
    <row r="661" spans="5:6">
      <c r="E661"/>
      <c r="F661"/>
    </row>
    <row r="662" spans="5:6">
      <c r="E662"/>
      <c r="F662"/>
    </row>
    <row r="663" spans="5:6">
      <c r="E663"/>
      <c r="F663"/>
    </row>
    <row r="664" spans="5:6">
      <c r="E664"/>
      <c r="F664"/>
    </row>
    <row r="665" spans="5:6">
      <c r="E665"/>
      <c r="F665"/>
    </row>
    <row r="666" spans="5:6">
      <c r="E666"/>
      <c r="F666"/>
    </row>
    <row r="667" spans="5:6">
      <c r="E667"/>
      <c r="F667"/>
    </row>
    <row r="668" spans="5:6">
      <c r="E668"/>
      <c r="F668"/>
    </row>
    <row r="669" spans="5:6">
      <c r="E669"/>
      <c r="F669"/>
    </row>
    <row r="670" spans="5:6">
      <c r="E670"/>
      <c r="F670"/>
    </row>
    <row r="671" spans="5:6">
      <c r="E671"/>
      <c r="F671"/>
    </row>
    <row r="672" spans="5:6">
      <c r="E672"/>
      <c r="F672"/>
    </row>
    <row r="673" spans="5:6">
      <c r="E673"/>
      <c r="F673"/>
    </row>
    <row r="674" spans="5:6">
      <c r="E674"/>
      <c r="F674"/>
    </row>
    <row r="675" spans="5:6">
      <c r="E675"/>
      <c r="F675"/>
    </row>
    <row r="676" spans="5:6">
      <c r="E676"/>
      <c r="F676"/>
    </row>
    <row r="677" spans="5:6">
      <c r="E677"/>
      <c r="F677"/>
    </row>
    <row r="678" spans="5:6">
      <c r="E678"/>
      <c r="F678"/>
    </row>
    <row r="679" spans="5:6">
      <c r="E679"/>
      <c r="F679"/>
    </row>
    <row r="680" spans="5:6">
      <c r="E680"/>
      <c r="F680"/>
    </row>
    <row r="681" spans="5:6">
      <c r="E681"/>
      <c r="F681"/>
    </row>
    <row r="682" spans="5:6">
      <c r="E682"/>
      <c r="F682"/>
    </row>
    <row r="683" spans="5:6">
      <c r="E683"/>
      <c r="F683"/>
    </row>
    <row r="684" spans="5:6">
      <c r="E684"/>
      <c r="F684"/>
    </row>
    <row r="685" spans="5:6">
      <c r="E685"/>
      <c r="F685"/>
    </row>
    <row r="686" spans="5:6">
      <c r="E686"/>
      <c r="F686"/>
    </row>
    <row r="687" spans="5:6">
      <c r="E687"/>
      <c r="F687"/>
    </row>
    <row r="688" spans="5:6">
      <c r="E688"/>
      <c r="F688"/>
    </row>
    <row r="689" spans="5:6">
      <c r="E689"/>
      <c r="F689"/>
    </row>
    <row r="690" spans="5:6">
      <c r="E690"/>
      <c r="F690"/>
    </row>
    <row r="691" spans="5:6">
      <c r="E691"/>
      <c r="F691"/>
    </row>
    <row r="692" spans="5:6">
      <c r="E692"/>
      <c r="F692"/>
    </row>
    <row r="693" spans="5:6">
      <c r="E693"/>
      <c r="F693"/>
    </row>
    <row r="694" spans="5:6">
      <c r="E694"/>
      <c r="F694"/>
    </row>
    <row r="695" spans="5:6">
      <c r="E695"/>
      <c r="F695"/>
    </row>
    <row r="696" spans="5:6">
      <c r="E696"/>
      <c r="F696"/>
    </row>
    <row r="697" spans="5:6">
      <c r="E697"/>
      <c r="F697"/>
    </row>
    <row r="698" spans="5:6">
      <c r="E698"/>
      <c r="F698"/>
    </row>
    <row r="699" spans="5:6">
      <c r="E699"/>
      <c r="F699"/>
    </row>
    <row r="700" spans="5:6">
      <c r="E700"/>
      <c r="F700"/>
    </row>
    <row r="701" spans="5:6">
      <c r="E701"/>
      <c r="F701"/>
    </row>
    <row r="702" spans="5:6">
      <c r="E702"/>
      <c r="F702"/>
    </row>
    <row r="703" spans="5:6">
      <c r="E703"/>
      <c r="F703"/>
    </row>
    <row r="704" spans="5:6">
      <c r="E704"/>
      <c r="F704"/>
    </row>
    <row r="705" spans="5:6">
      <c r="E705"/>
      <c r="F705"/>
    </row>
    <row r="706" spans="5:6">
      <c r="E706"/>
      <c r="F706"/>
    </row>
    <row r="707" spans="5:6">
      <c r="E707"/>
      <c r="F707"/>
    </row>
    <row r="708" spans="5:6">
      <c r="E708"/>
      <c r="F708"/>
    </row>
    <row r="709" spans="5:6">
      <c r="E709"/>
      <c r="F709"/>
    </row>
    <row r="710" spans="5:6">
      <c r="E710"/>
      <c r="F710"/>
    </row>
    <row r="711" spans="5:6">
      <c r="E711"/>
      <c r="F711"/>
    </row>
    <row r="712" spans="5:6">
      <c r="E712"/>
      <c r="F712"/>
    </row>
    <row r="713" spans="5:6">
      <c r="E713"/>
      <c r="F713"/>
    </row>
    <row r="714" spans="5:6">
      <c r="E714"/>
      <c r="F714"/>
    </row>
    <row r="715" spans="5:6">
      <c r="E715"/>
      <c r="F715"/>
    </row>
    <row r="716" spans="5:6">
      <c r="E716"/>
      <c r="F716"/>
    </row>
    <row r="717" spans="5:6">
      <c r="E717"/>
      <c r="F717"/>
    </row>
    <row r="718" spans="5:6">
      <c r="E718"/>
      <c r="F718"/>
    </row>
    <row r="719" spans="5:6">
      <c r="E719"/>
      <c r="F719"/>
    </row>
    <row r="720" spans="5:6">
      <c r="E720"/>
      <c r="F720"/>
    </row>
    <row r="721" spans="5:6">
      <c r="E721"/>
      <c r="F721"/>
    </row>
    <row r="722" spans="5:6">
      <c r="E722"/>
      <c r="F722"/>
    </row>
    <row r="723" spans="5:6">
      <c r="E723"/>
      <c r="F723"/>
    </row>
    <row r="724" spans="5:6">
      <c r="E724"/>
      <c r="F724"/>
    </row>
    <row r="725" spans="5:6">
      <c r="E725"/>
      <c r="F725"/>
    </row>
    <row r="726" spans="5:6">
      <c r="E726"/>
      <c r="F726"/>
    </row>
    <row r="727" spans="5:6">
      <c r="E727"/>
      <c r="F727"/>
    </row>
    <row r="728" spans="5:6">
      <c r="E728"/>
      <c r="F728"/>
    </row>
    <row r="729" spans="5:6">
      <c r="E729"/>
      <c r="F729"/>
    </row>
    <row r="730" spans="5:6">
      <c r="E730"/>
      <c r="F730"/>
    </row>
    <row r="731" spans="5:6">
      <c r="E731"/>
      <c r="F731"/>
    </row>
    <row r="732" spans="5:6">
      <c r="E732"/>
      <c r="F732"/>
    </row>
    <row r="733" spans="5:6">
      <c r="E733"/>
      <c r="F733"/>
    </row>
    <row r="734" spans="5:6">
      <c r="E734"/>
      <c r="F734"/>
    </row>
    <row r="735" spans="5:6">
      <c r="E735"/>
      <c r="F735"/>
    </row>
    <row r="736" spans="5:6">
      <c r="E736"/>
      <c r="F736"/>
    </row>
    <row r="737" spans="5:6">
      <c r="E737"/>
      <c r="F737"/>
    </row>
    <row r="738" spans="5:6">
      <c r="E738"/>
      <c r="F738"/>
    </row>
    <row r="739" spans="5:6">
      <c r="E739"/>
      <c r="F739"/>
    </row>
    <row r="740" spans="5:6">
      <c r="E740"/>
      <c r="F740"/>
    </row>
    <row r="741" spans="5:6">
      <c r="E741"/>
      <c r="F741"/>
    </row>
    <row r="742" spans="5:6">
      <c r="E742"/>
      <c r="F742"/>
    </row>
    <row r="743" spans="5:6">
      <c r="E743"/>
      <c r="F743"/>
    </row>
    <row r="744" spans="5:6">
      <c r="E744"/>
      <c r="F744"/>
    </row>
    <row r="745" spans="5:6">
      <c r="E745"/>
      <c r="F745"/>
    </row>
    <row r="746" spans="5:6">
      <c r="E746"/>
      <c r="F746"/>
    </row>
    <row r="747" spans="5:6">
      <c r="E747"/>
      <c r="F747"/>
    </row>
    <row r="748" spans="5:6">
      <c r="E748"/>
      <c r="F748"/>
    </row>
    <row r="749" spans="5:6">
      <c r="E749"/>
      <c r="F749"/>
    </row>
    <row r="750" spans="5:6">
      <c r="E750"/>
      <c r="F750"/>
    </row>
    <row r="751" spans="5:6">
      <c r="E751"/>
      <c r="F751"/>
    </row>
    <row r="752" spans="5:6">
      <c r="E752"/>
      <c r="F752"/>
    </row>
    <row r="753" spans="5:6">
      <c r="E753"/>
      <c r="F753"/>
    </row>
    <row r="754" spans="5:6">
      <c r="E754"/>
      <c r="F754"/>
    </row>
    <row r="755" spans="5:6">
      <c r="E755"/>
      <c r="F755"/>
    </row>
    <row r="756" spans="5:6">
      <c r="E756"/>
      <c r="F756"/>
    </row>
    <row r="757" spans="5:6">
      <c r="E757"/>
      <c r="F757"/>
    </row>
    <row r="758" spans="5:6">
      <c r="E758"/>
      <c r="F758"/>
    </row>
    <row r="759" spans="5:6">
      <c r="E759"/>
      <c r="F759"/>
    </row>
    <row r="760" spans="5:6">
      <c r="E760"/>
      <c r="F760"/>
    </row>
    <row r="761" spans="5:6">
      <c r="E761"/>
      <c r="F761"/>
    </row>
    <row r="762" spans="5:6">
      <c r="E762"/>
      <c r="F762"/>
    </row>
    <row r="763" spans="5:6">
      <c r="E763"/>
      <c r="F763"/>
    </row>
    <row r="764" spans="5:6">
      <c r="E764"/>
      <c r="F764"/>
    </row>
    <row r="765" spans="5:6">
      <c r="E765"/>
      <c r="F765"/>
    </row>
    <row r="766" spans="5:6">
      <c r="E766"/>
      <c r="F766"/>
    </row>
    <row r="767" spans="5:6">
      <c r="E767"/>
      <c r="F767"/>
    </row>
    <row r="768" spans="5:6">
      <c r="E768"/>
      <c r="F768"/>
    </row>
    <row r="769" spans="5:6">
      <c r="E769"/>
      <c r="F769"/>
    </row>
    <row r="770" spans="5:6">
      <c r="E770"/>
      <c r="F770"/>
    </row>
    <row r="771" spans="5:6">
      <c r="E771"/>
      <c r="F771"/>
    </row>
    <row r="772" spans="5:6">
      <c r="E772"/>
      <c r="F772"/>
    </row>
    <row r="773" spans="5:6">
      <c r="E773"/>
      <c r="F773"/>
    </row>
    <row r="774" spans="5:6">
      <c r="E774"/>
      <c r="F774"/>
    </row>
    <row r="775" spans="5:6">
      <c r="E775"/>
      <c r="F775"/>
    </row>
    <row r="776" spans="5:6">
      <c r="E776"/>
      <c r="F776"/>
    </row>
    <row r="777" spans="5:6">
      <c r="E777"/>
      <c r="F777"/>
    </row>
    <row r="778" spans="5:6">
      <c r="E778"/>
      <c r="F778"/>
    </row>
    <row r="779" spans="5:6">
      <c r="E779"/>
      <c r="F779"/>
    </row>
    <row r="780" spans="5:6">
      <c r="E780"/>
      <c r="F780"/>
    </row>
    <row r="781" spans="5:6">
      <c r="E781"/>
      <c r="F781"/>
    </row>
    <row r="782" spans="5:6">
      <c r="E782"/>
      <c r="F782"/>
    </row>
    <row r="783" spans="5:6">
      <c r="E783"/>
      <c r="F783"/>
    </row>
    <row r="784" spans="5:6">
      <c r="E784"/>
      <c r="F784"/>
    </row>
    <row r="785" spans="5:6">
      <c r="E785"/>
      <c r="F785"/>
    </row>
    <row r="786" spans="5:6">
      <c r="E786"/>
      <c r="F786"/>
    </row>
    <row r="787" spans="5:6">
      <c r="E787"/>
      <c r="F787"/>
    </row>
    <row r="788" spans="5:6">
      <c r="E788"/>
      <c r="F788"/>
    </row>
    <row r="789" spans="5:6">
      <c r="E789"/>
      <c r="F789"/>
    </row>
    <row r="790" spans="5:6">
      <c r="E790"/>
      <c r="F790"/>
    </row>
    <row r="791" spans="5:6">
      <c r="E791"/>
      <c r="F791"/>
    </row>
    <row r="792" spans="5:6">
      <c r="E792"/>
      <c r="F792"/>
    </row>
    <row r="793" spans="5:6">
      <c r="E793"/>
      <c r="F793"/>
    </row>
    <row r="794" spans="5:6">
      <c r="E794"/>
      <c r="F794"/>
    </row>
    <row r="795" spans="5:6">
      <c r="E795"/>
      <c r="F795"/>
    </row>
    <row r="796" spans="5:6">
      <c r="E796"/>
      <c r="F796"/>
    </row>
    <row r="797" spans="5:6">
      <c r="E797"/>
      <c r="F797"/>
    </row>
    <row r="798" spans="5:6">
      <c r="E798"/>
      <c r="F798"/>
    </row>
    <row r="799" spans="5:6">
      <c r="E799"/>
      <c r="F799"/>
    </row>
    <row r="800" spans="5:6">
      <c r="E800"/>
      <c r="F800"/>
    </row>
    <row r="801" spans="5:6">
      <c r="E801"/>
      <c r="F801"/>
    </row>
    <row r="802" spans="5:6">
      <c r="E802"/>
      <c r="F802"/>
    </row>
    <row r="803" spans="5:6">
      <c r="E803"/>
      <c r="F803"/>
    </row>
    <row r="804" spans="5:6">
      <c r="E804"/>
      <c r="F804"/>
    </row>
    <row r="805" spans="5:6">
      <c r="E805"/>
      <c r="F805"/>
    </row>
    <row r="806" spans="5:6">
      <c r="E806"/>
      <c r="F806"/>
    </row>
    <row r="807" spans="5:6">
      <c r="E807"/>
      <c r="F807"/>
    </row>
    <row r="808" spans="5:6">
      <c r="E808"/>
      <c r="F808"/>
    </row>
    <row r="809" spans="5:6">
      <c r="E809"/>
      <c r="F809"/>
    </row>
    <row r="810" spans="5:6">
      <c r="E810"/>
      <c r="F810"/>
    </row>
    <row r="811" spans="5:6">
      <c r="E811"/>
      <c r="F811"/>
    </row>
    <row r="812" spans="5:6">
      <c r="E812"/>
      <c r="F812"/>
    </row>
    <row r="813" spans="5:6">
      <c r="E813"/>
      <c r="F813"/>
    </row>
    <row r="814" spans="5:6">
      <c r="E814"/>
      <c r="F814"/>
    </row>
    <row r="815" spans="5:6">
      <c r="E815"/>
      <c r="F815"/>
    </row>
    <row r="816" spans="5:6">
      <c r="E816"/>
      <c r="F816"/>
    </row>
    <row r="817" spans="5:6">
      <c r="E817"/>
      <c r="F817"/>
    </row>
    <row r="818" spans="5:6">
      <c r="E818"/>
      <c r="F818"/>
    </row>
    <row r="819" spans="5:6">
      <c r="E819"/>
      <c r="F819"/>
    </row>
    <row r="820" spans="5:6">
      <c r="E820"/>
      <c r="F820"/>
    </row>
    <row r="821" spans="5:6">
      <c r="E821"/>
      <c r="F821"/>
    </row>
    <row r="822" spans="5:6">
      <c r="E822"/>
      <c r="F822"/>
    </row>
    <row r="823" spans="5:6">
      <c r="E823"/>
      <c r="F823"/>
    </row>
    <row r="824" spans="5:6">
      <c r="E824"/>
      <c r="F824"/>
    </row>
    <row r="825" spans="5:6">
      <c r="E825"/>
      <c r="F825"/>
    </row>
    <row r="826" spans="5:6">
      <c r="E826"/>
      <c r="F826"/>
    </row>
    <row r="827" spans="5:6">
      <c r="E827"/>
      <c r="F827"/>
    </row>
    <row r="828" spans="5:6">
      <c r="E828"/>
      <c r="F828"/>
    </row>
    <row r="829" spans="5:6">
      <c r="E829"/>
      <c r="F829"/>
    </row>
    <row r="830" spans="5:6">
      <c r="E830"/>
      <c r="F830"/>
    </row>
    <row r="831" spans="5:6">
      <c r="E831"/>
      <c r="F831"/>
    </row>
    <row r="832" spans="5:6">
      <c r="E832"/>
      <c r="F832"/>
    </row>
    <row r="833" spans="5:6">
      <c r="E833"/>
      <c r="F833"/>
    </row>
    <row r="834" spans="5:6">
      <c r="E834"/>
      <c r="F834"/>
    </row>
    <row r="835" spans="5:6">
      <c r="E835"/>
      <c r="F835"/>
    </row>
    <row r="836" spans="5:6">
      <c r="E836"/>
      <c r="F836"/>
    </row>
    <row r="837" spans="5:6">
      <c r="E837"/>
      <c r="F837"/>
    </row>
    <row r="838" spans="5:6">
      <c r="E838"/>
      <c r="F838"/>
    </row>
    <row r="839" spans="5:6">
      <c r="E839"/>
      <c r="F839"/>
    </row>
    <row r="840" spans="5:6">
      <c r="E840"/>
      <c r="F840"/>
    </row>
    <row r="841" spans="5:6">
      <c r="E841"/>
      <c r="F841"/>
    </row>
    <row r="842" spans="5:6">
      <c r="E842"/>
      <c r="F842"/>
    </row>
    <row r="843" spans="5:6">
      <c r="E843"/>
      <c r="F843"/>
    </row>
    <row r="844" spans="5:6">
      <c r="E844"/>
      <c r="F844"/>
    </row>
    <row r="845" spans="5:6">
      <c r="E845"/>
      <c r="F845"/>
    </row>
    <row r="846" spans="5:6">
      <c r="E846"/>
      <c r="F846"/>
    </row>
    <row r="847" spans="5:6">
      <c r="E847"/>
      <c r="F847"/>
    </row>
    <row r="848" spans="5:6">
      <c r="E848"/>
      <c r="F848"/>
    </row>
    <row r="849" spans="5:6">
      <c r="E849"/>
      <c r="F849"/>
    </row>
    <row r="850" spans="5:6">
      <c r="E850"/>
      <c r="F850"/>
    </row>
    <row r="851" spans="5:6">
      <c r="E851"/>
      <c r="F851"/>
    </row>
    <row r="852" spans="5:6">
      <c r="E852"/>
      <c r="F852"/>
    </row>
    <row r="853" spans="5:6">
      <c r="E853"/>
      <c r="F853"/>
    </row>
    <row r="854" spans="5:6">
      <c r="E854"/>
      <c r="F854"/>
    </row>
    <row r="855" spans="5:6">
      <c r="E855"/>
      <c r="F855"/>
    </row>
    <row r="856" spans="5:6">
      <c r="E856"/>
      <c r="F856"/>
    </row>
    <row r="857" spans="5:6">
      <c r="E857"/>
      <c r="F857"/>
    </row>
    <row r="858" spans="5:6">
      <c r="E858"/>
      <c r="F858"/>
    </row>
    <row r="859" spans="5:6">
      <c r="E859"/>
      <c r="F859"/>
    </row>
    <row r="860" spans="5:6">
      <c r="E860"/>
      <c r="F860"/>
    </row>
    <row r="861" spans="5:6">
      <c r="E861"/>
      <c r="F861"/>
    </row>
    <row r="862" spans="5:6">
      <c r="E862"/>
      <c r="F862"/>
    </row>
    <row r="863" spans="5:6">
      <c r="E863"/>
      <c r="F863"/>
    </row>
    <row r="864" spans="5:6">
      <c r="E864"/>
      <c r="F864"/>
    </row>
    <row r="865" spans="5:6">
      <c r="E865"/>
      <c r="F865"/>
    </row>
    <row r="866" spans="5:6">
      <c r="E866"/>
      <c r="F866"/>
    </row>
    <row r="867" spans="5:6">
      <c r="E867"/>
      <c r="F867"/>
    </row>
    <row r="868" spans="5:6">
      <c r="E868"/>
      <c r="F868"/>
    </row>
    <row r="869" spans="5:6">
      <c r="E869"/>
      <c r="F869"/>
    </row>
    <row r="870" spans="5:6">
      <c r="E870"/>
      <c r="F870"/>
    </row>
    <row r="871" spans="5:6">
      <c r="E871"/>
      <c r="F871"/>
    </row>
    <row r="872" spans="5:6">
      <c r="E872"/>
      <c r="F872"/>
    </row>
    <row r="873" spans="5:6">
      <c r="E873"/>
      <c r="F873"/>
    </row>
    <row r="874" spans="5:6">
      <c r="E874"/>
      <c r="F874"/>
    </row>
    <row r="875" spans="5:6">
      <c r="E875"/>
      <c r="F875"/>
    </row>
    <row r="876" spans="5:6">
      <c r="E876"/>
      <c r="F876"/>
    </row>
    <row r="877" spans="5:6">
      <c r="E877"/>
      <c r="F877"/>
    </row>
    <row r="878" spans="5:6">
      <c r="E878"/>
      <c r="F878"/>
    </row>
    <row r="879" spans="5:6">
      <c r="E879"/>
      <c r="F879"/>
    </row>
    <row r="880" spans="5:6">
      <c r="E880"/>
      <c r="F880"/>
    </row>
    <row r="881" spans="5:6">
      <c r="E881"/>
      <c r="F881"/>
    </row>
    <row r="882" spans="5:6">
      <c r="E882"/>
      <c r="F882"/>
    </row>
    <row r="883" spans="5:6">
      <c r="E883"/>
      <c r="F883"/>
    </row>
    <row r="884" spans="5:6">
      <c r="E884"/>
      <c r="F884"/>
    </row>
    <row r="885" spans="5:6">
      <c r="E885"/>
      <c r="F885"/>
    </row>
    <row r="886" spans="5:6">
      <c r="E886"/>
      <c r="F886"/>
    </row>
    <row r="887" spans="5:6">
      <c r="E887"/>
      <c r="F887"/>
    </row>
    <row r="888" spans="5:6">
      <c r="E888"/>
      <c r="F888"/>
    </row>
    <row r="889" spans="5:6">
      <c r="E889"/>
      <c r="F889"/>
    </row>
    <row r="890" spans="5:6">
      <c r="E890"/>
      <c r="F890"/>
    </row>
    <row r="891" spans="5:6">
      <c r="E891"/>
      <c r="F891"/>
    </row>
    <row r="892" spans="5:6">
      <c r="E892"/>
      <c r="F892"/>
    </row>
    <row r="893" spans="5:6">
      <c r="E893"/>
      <c r="F893"/>
    </row>
    <row r="894" spans="5:6">
      <c r="E894"/>
      <c r="F894"/>
    </row>
    <row r="895" spans="5:6">
      <c r="E895"/>
      <c r="F895"/>
    </row>
    <row r="896" spans="5:6">
      <c r="E896"/>
      <c r="F896"/>
    </row>
    <row r="897" spans="5:6">
      <c r="E897"/>
      <c r="F897"/>
    </row>
    <row r="898" spans="5:6">
      <c r="E898"/>
      <c r="F898"/>
    </row>
    <row r="899" spans="5:6">
      <c r="E899"/>
      <c r="F899"/>
    </row>
    <row r="900" spans="5:6">
      <c r="E900"/>
      <c r="F900"/>
    </row>
    <row r="901" spans="5:6">
      <c r="E901"/>
      <c r="F901"/>
    </row>
    <row r="902" spans="5:6">
      <c r="E902"/>
      <c r="F902"/>
    </row>
    <row r="903" spans="5:6">
      <c r="E903"/>
      <c r="F903"/>
    </row>
    <row r="904" spans="5:6">
      <c r="E904"/>
      <c r="F904"/>
    </row>
    <row r="905" spans="5:6">
      <c r="E905"/>
      <c r="F905"/>
    </row>
    <row r="906" spans="5:6">
      <c r="E906"/>
      <c r="F906"/>
    </row>
    <row r="907" spans="5:6">
      <c r="E907"/>
      <c r="F907"/>
    </row>
    <row r="908" spans="5:6">
      <c r="E908"/>
      <c r="F908"/>
    </row>
    <row r="909" spans="5:6">
      <c r="E909"/>
      <c r="F909"/>
    </row>
    <row r="910" spans="5:6">
      <c r="E910"/>
      <c r="F910"/>
    </row>
    <row r="911" spans="5:6">
      <c r="E911"/>
      <c r="F911"/>
    </row>
    <row r="912" spans="5:6">
      <c r="E912"/>
      <c r="F912"/>
    </row>
    <row r="913" spans="5:6">
      <c r="E913"/>
      <c r="F913"/>
    </row>
    <row r="914" spans="5:6">
      <c r="E914"/>
      <c r="F914"/>
    </row>
    <row r="915" spans="5:6">
      <c r="E915"/>
      <c r="F915"/>
    </row>
    <row r="916" spans="5:6">
      <c r="E916"/>
      <c r="F916"/>
    </row>
    <row r="917" spans="5:6">
      <c r="E917"/>
      <c r="F917"/>
    </row>
    <row r="918" spans="5:6">
      <c r="E918"/>
      <c r="F918"/>
    </row>
    <row r="919" spans="5:6">
      <c r="E919"/>
      <c r="F919"/>
    </row>
    <row r="920" spans="5:6">
      <c r="E920"/>
      <c r="F920"/>
    </row>
    <row r="921" spans="5:6">
      <c r="E921"/>
      <c r="F921"/>
    </row>
    <row r="922" spans="5:6">
      <c r="E922"/>
      <c r="F922"/>
    </row>
    <row r="923" spans="5:6">
      <c r="E923"/>
      <c r="F923"/>
    </row>
    <row r="924" spans="5:6">
      <c r="E924"/>
      <c r="F924"/>
    </row>
    <row r="925" spans="5:6">
      <c r="E925"/>
      <c r="F925"/>
    </row>
    <row r="926" spans="5:6">
      <c r="E926"/>
      <c r="F926"/>
    </row>
    <row r="927" spans="5:6">
      <c r="E927"/>
      <c r="F927"/>
    </row>
    <row r="928" spans="5:6">
      <c r="E928"/>
      <c r="F928"/>
    </row>
    <row r="929" spans="5:6">
      <c r="E929"/>
      <c r="F929"/>
    </row>
    <row r="930" spans="5:6">
      <c r="E930"/>
      <c r="F930"/>
    </row>
    <row r="931" spans="5:6">
      <c r="E931"/>
      <c r="F931"/>
    </row>
    <row r="932" spans="5:6">
      <c r="E932"/>
      <c r="F932"/>
    </row>
    <row r="933" spans="5:6">
      <c r="E933"/>
      <c r="F933"/>
    </row>
    <row r="934" spans="5:6">
      <c r="E934"/>
      <c r="F934"/>
    </row>
    <row r="935" spans="5:6">
      <c r="E935"/>
      <c r="F935"/>
    </row>
    <row r="936" spans="5:6">
      <c r="E936"/>
      <c r="F936"/>
    </row>
    <row r="937" spans="5:6">
      <c r="E937"/>
      <c r="F937"/>
    </row>
    <row r="938" spans="5:6">
      <c r="E938"/>
      <c r="F938"/>
    </row>
    <row r="939" spans="5:6">
      <c r="E939"/>
      <c r="F939"/>
    </row>
    <row r="940" spans="5:6">
      <c r="E940"/>
      <c r="F940"/>
    </row>
    <row r="941" spans="5:6">
      <c r="E941"/>
      <c r="F941"/>
    </row>
    <row r="942" spans="5:6">
      <c r="E942"/>
      <c r="F942"/>
    </row>
    <row r="943" spans="5:6">
      <c r="E943"/>
      <c r="F943"/>
    </row>
    <row r="944" spans="5:6">
      <c r="E944"/>
      <c r="F944"/>
    </row>
    <row r="945" spans="5:6">
      <c r="E945"/>
      <c r="F945"/>
    </row>
    <row r="946" spans="5:6">
      <c r="E946"/>
      <c r="F946"/>
    </row>
    <row r="947" spans="5:6">
      <c r="E947"/>
      <c r="F947"/>
    </row>
    <row r="948" spans="5:6">
      <c r="E948"/>
      <c r="F948"/>
    </row>
    <row r="949" spans="5:6">
      <c r="E949"/>
      <c r="F949"/>
    </row>
    <row r="950" spans="5:6">
      <c r="E950"/>
      <c r="F950"/>
    </row>
    <row r="951" spans="5:6">
      <c r="E951"/>
      <c r="F951"/>
    </row>
    <row r="952" spans="5:6">
      <c r="E952"/>
      <c r="F952"/>
    </row>
    <row r="953" spans="5:6">
      <c r="E953"/>
      <c r="F953"/>
    </row>
    <row r="954" spans="5:6">
      <c r="E954"/>
      <c r="F954"/>
    </row>
    <row r="955" spans="5:6">
      <c r="E955"/>
      <c r="F955"/>
    </row>
    <row r="956" spans="5:6">
      <c r="E956"/>
      <c r="F956"/>
    </row>
    <row r="957" spans="5:6">
      <c r="E957"/>
      <c r="F957"/>
    </row>
    <row r="958" spans="5:6">
      <c r="E958"/>
      <c r="F958"/>
    </row>
    <row r="959" spans="5:6">
      <c r="E959"/>
      <c r="F959"/>
    </row>
    <row r="960" spans="5:6">
      <c r="E960"/>
      <c r="F960"/>
    </row>
    <row r="961" spans="5:6">
      <c r="E961"/>
      <c r="F961"/>
    </row>
    <row r="962" spans="5:6">
      <c r="E962"/>
      <c r="F962"/>
    </row>
    <row r="963" spans="5:6">
      <c r="E963"/>
      <c r="F963"/>
    </row>
    <row r="964" spans="5:6">
      <c r="E964"/>
      <c r="F964"/>
    </row>
    <row r="965" spans="5:6">
      <c r="E965"/>
      <c r="F965"/>
    </row>
    <row r="966" spans="5:6">
      <c r="E966"/>
      <c r="F966"/>
    </row>
    <row r="967" spans="5:6">
      <c r="E967"/>
      <c r="F967"/>
    </row>
    <row r="968" spans="5:6">
      <c r="E968"/>
      <c r="F968"/>
    </row>
    <row r="969" spans="5:6">
      <c r="E969"/>
      <c r="F969"/>
    </row>
    <row r="970" spans="5:6">
      <c r="E970"/>
      <c r="F970"/>
    </row>
    <row r="971" spans="5:6">
      <c r="E971"/>
      <c r="F971"/>
    </row>
    <row r="972" spans="5:6">
      <c r="E972"/>
      <c r="F972"/>
    </row>
    <row r="973" spans="5:6">
      <c r="E973"/>
      <c r="F973"/>
    </row>
    <row r="974" spans="5:6">
      <c r="E974"/>
      <c r="F974"/>
    </row>
    <row r="975" spans="5:6">
      <c r="E975"/>
      <c r="F975"/>
    </row>
    <row r="976" spans="5:6">
      <c r="E976"/>
      <c r="F976"/>
    </row>
    <row r="977" spans="5:6">
      <c r="E977"/>
      <c r="F977"/>
    </row>
    <row r="978" spans="5:6">
      <c r="E978"/>
      <c r="F978"/>
    </row>
    <row r="979" spans="5:6">
      <c r="E979"/>
      <c r="F979"/>
    </row>
    <row r="980" spans="5:6">
      <c r="E980"/>
      <c r="F980"/>
    </row>
    <row r="981" spans="5:6">
      <c r="E981"/>
      <c r="F981"/>
    </row>
    <row r="982" spans="5:6">
      <c r="E982"/>
      <c r="F982"/>
    </row>
    <row r="983" spans="5:6">
      <c r="E983"/>
      <c r="F983"/>
    </row>
    <row r="984" spans="5:6">
      <c r="E984"/>
      <c r="F984"/>
    </row>
    <row r="985" spans="5:6">
      <c r="E985"/>
      <c r="F985"/>
    </row>
    <row r="986" spans="5:6">
      <c r="E986"/>
      <c r="F986"/>
    </row>
    <row r="987" spans="5:6">
      <c r="E987"/>
      <c r="F987"/>
    </row>
    <row r="988" spans="5:6">
      <c r="E988"/>
      <c r="F988"/>
    </row>
    <row r="989" spans="5:6">
      <c r="E989"/>
      <c r="F989"/>
    </row>
    <row r="990" spans="5:6">
      <c r="E990"/>
      <c r="F990"/>
    </row>
    <row r="991" spans="5:6">
      <c r="E991"/>
      <c r="F991"/>
    </row>
    <row r="992" spans="5:6">
      <c r="E992"/>
      <c r="F992"/>
    </row>
    <row r="993" spans="5:6">
      <c r="E993"/>
      <c r="F993"/>
    </row>
    <row r="994" spans="5:6">
      <c r="E994"/>
      <c r="F994"/>
    </row>
    <row r="995" spans="5:6">
      <c r="E995"/>
      <c r="F995"/>
    </row>
    <row r="996" spans="5:6">
      <c r="E996"/>
      <c r="F996"/>
    </row>
    <row r="997" spans="5:6">
      <c r="E997"/>
      <c r="F997"/>
    </row>
    <row r="998" spans="5:6">
      <c r="E998"/>
      <c r="F998"/>
    </row>
    <row r="999" spans="5:6">
      <c r="E999"/>
      <c r="F999"/>
    </row>
    <row r="1000" spans="5:6">
      <c r="E1000"/>
      <c r="F1000"/>
    </row>
    <row r="1001" spans="5:6">
      <c r="E1001"/>
      <c r="F1001"/>
    </row>
    <row r="1002" spans="5:6">
      <c r="E1002"/>
      <c r="F1002"/>
    </row>
    <row r="1003" spans="5:6">
      <c r="E1003"/>
      <c r="F1003"/>
    </row>
    <row r="1004" spans="5:6">
      <c r="E1004"/>
      <c r="F1004"/>
    </row>
    <row r="1005" spans="5:6">
      <c r="E1005"/>
      <c r="F1005"/>
    </row>
    <row r="1006" spans="5:6">
      <c r="E1006"/>
      <c r="F1006"/>
    </row>
    <row r="1007" spans="5:6">
      <c r="E1007"/>
      <c r="F1007"/>
    </row>
    <row r="1008" spans="5:6">
      <c r="E1008"/>
      <c r="F1008"/>
    </row>
    <row r="1009" spans="5:6">
      <c r="E1009"/>
      <c r="F1009"/>
    </row>
    <row r="1010" spans="5:6">
      <c r="E1010"/>
      <c r="F1010"/>
    </row>
    <row r="1011" spans="5:6">
      <c r="E1011"/>
      <c r="F1011"/>
    </row>
    <row r="1012" spans="5:6">
      <c r="E1012"/>
      <c r="F1012"/>
    </row>
    <row r="1013" spans="5:6">
      <c r="E1013"/>
      <c r="F1013"/>
    </row>
    <row r="1014" spans="5:6">
      <c r="E1014"/>
      <c r="F1014"/>
    </row>
    <row r="1015" spans="5:6">
      <c r="E1015"/>
      <c r="F1015"/>
    </row>
    <row r="1016" spans="5:6">
      <c r="E1016"/>
      <c r="F1016"/>
    </row>
    <row r="1017" spans="5:6">
      <c r="E1017"/>
      <c r="F1017"/>
    </row>
    <row r="1018" spans="5:6">
      <c r="E1018"/>
      <c r="F1018"/>
    </row>
    <row r="1019" spans="5:6">
      <c r="E1019"/>
      <c r="F1019"/>
    </row>
    <row r="1020" spans="5:6">
      <c r="E1020"/>
      <c r="F1020"/>
    </row>
    <row r="1021" spans="5:6">
      <c r="E1021"/>
      <c r="F1021"/>
    </row>
    <row r="1022" spans="5:6">
      <c r="E1022"/>
      <c r="F1022"/>
    </row>
    <row r="1023" spans="5:6">
      <c r="E1023"/>
      <c r="F1023"/>
    </row>
    <row r="1024" spans="5:6">
      <c r="E1024"/>
      <c r="F1024"/>
    </row>
    <row r="1025" spans="5:6">
      <c r="E1025"/>
      <c r="F1025"/>
    </row>
    <row r="1026" spans="5:6">
      <c r="E1026"/>
      <c r="F1026"/>
    </row>
    <row r="1027" spans="5:6">
      <c r="E1027"/>
      <c r="F1027"/>
    </row>
    <row r="1028" spans="5:6">
      <c r="E1028"/>
      <c r="F1028"/>
    </row>
    <row r="1029" spans="5:6">
      <c r="E1029"/>
      <c r="F1029"/>
    </row>
    <row r="1030" spans="5:6">
      <c r="E1030"/>
      <c r="F1030"/>
    </row>
    <row r="1031" spans="5:6">
      <c r="E1031"/>
      <c r="F1031"/>
    </row>
    <row r="1032" spans="5:6">
      <c r="E1032"/>
      <c r="F1032"/>
    </row>
    <row r="1033" spans="5:6">
      <c r="E1033"/>
      <c r="F1033"/>
    </row>
    <row r="1034" spans="5:6">
      <c r="E1034"/>
      <c r="F1034"/>
    </row>
    <row r="1035" spans="5:6">
      <c r="E1035"/>
      <c r="F1035"/>
    </row>
    <row r="1036" spans="5:6">
      <c r="E1036"/>
      <c r="F1036"/>
    </row>
    <row r="1037" spans="5:6">
      <c r="E1037"/>
      <c r="F1037"/>
    </row>
    <row r="1038" spans="5:6">
      <c r="E1038"/>
      <c r="F1038"/>
    </row>
    <row r="1039" spans="5:6">
      <c r="E1039"/>
      <c r="F1039"/>
    </row>
    <row r="1040" spans="5:6">
      <c r="E1040"/>
      <c r="F1040"/>
    </row>
    <row r="1041" spans="5:6">
      <c r="E1041"/>
      <c r="F1041"/>
    </row>
    <row r="1042" spans="5:6">
      <c r="E1042"/>
      <c r="F1042"/>
    </row>
    <row r="1043" spans="5:6">
      <c r="E1043"/>
      <c r="F1043"/>
    </row>
    <row r="1044" spans="5:6">
      <c r="E1044"/>
      <c r="F1044"/>
    </row>
    <row r="1045" spans="5:6">
      <c r="E1045"/>
      <c r="F1045"/>
    </row>
    <row r="1046" spans="5:6">
      <c r="E1046"/>
      <c r="F1046"/>
    </row>
    <row r="1047" spans="5:6">
      <c r="E1047"/>
      <c r="F1047"/>
    </row>
    <row r="1048" spans="5:6">
      <c r="E1048"/>
      <c r="F1048"/>
    </row>
    <row r="1049" spans="5:6">
      <c r="E1049"/>
      <c r="F1049"/>
    </row>
    <row r="1050" spans="5:6">
      <c r="E1050"/>
      <c r="F1050"/>
    </row>
    <row r="1051" spans="5:6">
      <c r="E1051"/>
      <c r="F1051"/>
    </row>
    <row r="1052" spans="5:6">
      <c r="E1052"/>
      <c r="F1052"/>
    </row>
    <row r="1053" spans="5:6">
      <c r="E1053"/>
      <c r="F1053"/>
    </row>
    <row r="1054" spans="5:6">
      <c r="E1054"/>
      <c r="F1054"/>
    </row>
    <row r="1055" spans="5:6">
      <c r="E1055"/>
      <c r="F1055"/>
    </row>
    <row r="1056" spans="5:6">
      <c r="E1056"/>
      <c r="F1056"/>
    </row>
    <row r="1057" spans="5:6">
      <c r="E1057"/>
      <c r="F1057"/>
    </row>
    <row r="1058" spans="5:6">
      <c r="E1058"/>
      <c r="F1058"/>
    </row>
    <row r="1059" spans="5:6">
      <c r="E1059"/>
      <c r="F1059"/>
    </row>
    <row r="1060" spans="5:6">
      <c r="E1060"/>
      <c r="F1060"/>
    </row>
    <row r="1061" spans="5:6">
      <c r="E1061"/>
      <c r="F1061"/>
    </row>
    <row r="1062" spans="5:6">
      <c r="E1062"/>
      <c r="F1062"/>
    </row>
    <row r="1063" spans="5:6">
      <c r="E1063"/>
      <c r="F1063"/>
    </row>
    <row r="1064" spans="5:6">
      <c r="E1064"/>
      <c r="F1064"/>
    </row>
    <row r="1065" spans="5:6">
      <c r="E1065"/>
      <c r="F1065"/>
    </row>
    <row r="1066" spans="5:6">
      <c r="E1066"/>
      <c r="F1066"/>
    </row>
    <row r="1067" spans="5:6">
      <c r="E1067"/>
      <c r="F1067"/>
    </row>
    <row r="1068" spans="5:6">
      <c r="E1068"/>
      <c r="F1068"/>
    </row>
    <row r="1069" spans="5:6">
      <c r="E1069"/>
      <c r="F1069"/>
    </row>
    <row r="1070" spans="5:6">
      <c r="E1070"/>
      <c r="F1070"/>
    </row>
    <row r="1071" spans="5:6">
      <c r="E1071"/>
      <c r="F1071"/>
    </row>
    <row r="1072" spans="5:6">
      <c r="E1072"/>
      <c r="F1072"/>
    </row>
    <row r="1073" spans="5:6">
      <c r="E1073"/>
      <c r="F1073"/>
    </row>
    <row r="1074" spans="5:6">
      <c r="E1074"/>
      <c r="F1074"/>
    </row>
    <row r="1075" spans="5:6">
      <c r="E1075"/>
      <c r="F1075"/>
    </row>
    <row r="1076" spans="5:6">
      <c r="E1076"/>
      <c r="F1076"/>
    </row>
    <row r="1077" spans="5:6">
      <c r="E1077"/>
      <c r="F1077"/>
    </row>
    <row r="1078" spans="5:6">
      <c r="E1078"/>
      <c r="F1078"/>
    </row>
    <row r="1079" spans="5:6">
      <c r="E1079"/>
      <c r="F1079"/>
    </row>
    <row r="1080" spans="5:6">
      <c r="E1080"/>
      <c r="F1080"/>
    </row>
    <row r="1081" spans="5:6">
      <c r="E1081"/>
      <c r="F1081"/>
    </row>
    <row r="1082" spans="5:6">
      <c r="E1082"/>
      <c r="F1082"/>
    </row>
    <row r="1083" spans="5:6">
      <c r="E1083"/>
      <c r="F1083"/>
    </row>
    <row r="1084" spans="5:6">
      <c r="E1084"/>
      <c r="F1084"/>
    </row>
    <row r="1085" spans="5:6">
      <c r="E1085"/>
      <c r="F1085"/>
    </row>
    <row r="1086" spans="5:6">
      <c r="E1086"/>
      <c r="F1086"/>
    </row>
    <row r="1087" spans="5:6">
      <c r="E1087"/>
      <c r="F1087"/>
    </row>
    <row r="1088" spans="5:6">
      <c r="E1088"/>
      <c r="F1088"/>
    </row>
    <row r="1089" spans="5:6">
      <c r="E1089"/>
      <c r="F1089"/>
    </row>
    <row r="1090" spans="5:6">
      <c r="E1090"/>
      <c r="F1090"/>
    </row>
    <row r="1091" spans="5:6">
      <c r="E1091"/>
      <c r="F1091"/>
    </row>
    <row r="1092" spans="5:6">
      <c r="E1092"/>
      <c r="F1092"/>
    </row>
    <row r="1093" spans="5:6">
      <c r="E1093"/>
      <c r="F1093"/>
    </row>
    <row r="1094" spans="5:6">
      <c r="E1094"/>
      <c r="F1094"/>
    </row>
    <row r="1095" spans="5:6">
      <c r="E1095"/>
      <c r="F1095"/>
    </row>
    <row r="1096" spans="5:6">
      <c r="E1096"/>
      <c r="F1096"/>
    </row>
    <row r="1097" spans="5:6">
      <c r="E1097"/>
      <c r="F1097"/>
    </row>
    <row r="1098" spans="5:6">
      <c r="E1098"/>
      <c r="F1098"/>
    </row>
    <row r="1099" spans="5:6">
      <c r="E1099"/>
      <c r="F1099"/>
    </row>
    <row r="1100" spans="5:6">
      <c r="E1100"/>
      <c r="F1100"/>
    </row>
    <row r="1101" spans="5:6">
      <c r="E1101"/>
      <c r="F1101"/>
    </row>
    <row r="1102" spans="5:6">
      <c r="E1102"/>
      <c r="F1102"/>
    </row>
    <row r="1103" spans="5:6">
      <c r="E1103"/>
      <c r="F1103"/>
    </row>
    <row r="1104" spans="5:6">
      <c r="E1104"/>
      <c r="F1104"/>
    </row>
    <row r="1105" spans="5:6">
      <c r="E1105"/>
      <c r="F1105"/>
    </row>
    <row r="1106" spans="5:6">
      <c r="E1106"/>
      <c r="F1106"/>
    </row>
    <row r="1107" spans="5:6">
      <c r="E1107"/>
      <c r="F1107"/>
    </row>
    <row r="1108" spans="5:6">
      <c r="E1108"/>
      <c r="F1108"/>
    </row>
    <row r="1109" spans="5:6">
      <c r="E1109"/>
      <c r="F1109"/>
    </row>
    <row r="1110" spans="5:6">
      <c r="E1110"/>
      <c r="F1110"/>
    </row>
    <row r="1111" spans="5:6">
      <c r="E1111"/>
      <c r="F1111"/>
    </row>
    <row r="1112" spans="5:6">
      <c r="E1112"/>
      <c r="F1112"/>
    </row>
    <row r="1113" spans="5:6">
      <c r="E1113"/>
      <c r="F1113"/>
    </row>
    <row r="1114" spans="5:6">
      <c r="E1114"/>
      <c r="F1114"/>
    </row>
    <row r="1115" spans="5:6">
      <c r="E1115"/>
      <c r="F1115"/>
    </row>
    <row r="1116" spans="5:6">
      <c r="E1116"/>
      <c r="F1116"/>
    </row>
    <row r="1117" spans="5:6">
      <c r="E1117"/>
      <c r="F1117"/>
    </row>
    <row r="1118" spans="5:6">
      <c r="E1118"/>
      <c r="F1118"/>
    </row>
    <row r="1119" spans="5:6">
      <c r="E1119"/>
      <c r="F1119"/>
    </row>
    <row r="1120" spans="5:6">
      <c r="E1120"/>
      <c r="F1120"/>
    </row>
    <row r="1121" spans="5:6">
      <c r="E1121"/>
      <c r="F1121"/>
    </row>
    <row r="1122" spans="5:6">
      <c r="E1122"/>
      <c r="F1122"/>
    </row>
    <row r="1123" spans="5:6">
      <c r="E1123"/>
      <c r="F1123"/>
    </row>
    <row r="1124" spans="5:6">
      <c r="E1124"/>
      <c r="F1124"/>
    </row>
    <row r="1125" spans="5:6">
      <c r="E1125"/>
      <c r="F1125"/>
    </row>
    <row r="1126" spans="5:6">
      <c r="E1126"/>
      <c r="F1126"/>
    </row>
    <row r="1127" spans="5:6">
      <c r="E1127"/>
      <c r="F1127"/>
    </row>
    <row r="1128" spans="5:6">
      <c r="E1128"/>
      <c r="F1128"/>
    </row>
    <row r="1129" spans="5:6">
      <c r="E1129"/>
      <c r="F1129"/>
    </row>
    <row r="1130" spans="5:6">
      <c r="E1130"/>
      <c r="F1130"/>
    </row>
    <row r="1131" spans="5:6">
      <c r="E1131"/>
      <c r="F1131"/>
    </row>
    <row r="1132" spans="5:6">
      <c r="E1132"/>
      <c r="F1132"/>
    </row>
    <row r="1133" spans="5:6">
      <c r="E1133"/>
      <c r="F1133"/>
    </row>
    <row r="1134" spans="5:6">
      <c r="E1134"/>
      <c r="F1134"/>
    </row>
    <row r="1135" spans="5:6">
      <c r="E1135"/>
      <c r="F1135"/>
    </row>
    <row r="1136" spans="5:6">
      <c r="E1136"/>
      <c r="F1136"/>
    </row>
    <row r="1137" spans="5:6">
      <c r="E1137"/>
      <c r="F1137"/>
    </row>
    <row r="1138" spans="5:6">
      <c r="E1138"/>
      <c r="F1138"/>
    </row>
    <row r="1139" spans="5:6">
      <c r="E1139"/>
      <c r="F1139"/>
    </row>
    <row r="1140" spans="5:6">
      <c r="E1140"/>
      <c r="F1140"/>
    </row>
    <row r="1141" spans="5:6">
      <c r="E1141"/>
      <c r="F1141"/>
    </row>
    <row r="1142" spans="5:6">
      <c r="E1142"/>
      <c r="F1142"/>
    </row>
    <row r="1143" spans="5:6">
      <c r="E1143"/>
      <c r="F1143"/>
    </row>
    <row r="1144" spans="5:6">
      <c r="E1144"/>
      <c r="F1144"/>
    </row>
    <row r="1145" spans="5:6">
      <c r="E1145"/>
      <c r="F1145"/>
    </row>
    <row r="1146" spans="5:6">
      <c r="E1146"/>
      <c r="F1146"/>
    </row>
    <row r="1147" spans="5:6">
      <c r="E1147"/>
      <c r="F1147"/>
    </row>
    <row r="1148" spans="5:6">
      <c r="E1148"/>
      <c r="F1148"/>
    </row>
    <row r="1149" spans="5:6">
      <c r="E1149"/>
      <c r="F1149"/>
    </row>
    <row r="1150" spans="5:6">
      <c r="E1150"/>
      <c r="F1150"/>
    </row>
    <row r="1151" spans="5:6">
      <c r="E1151"/>
      <c r="F1151"/>
    </row>
    <row r="1152" spans="5:6">
      <c r="E1152"/>
      <c r="F1152"/>
    </row>
    <row r="1153" spans="5:6">
      <c r="E1153"/>
      <c r="F1153"/>
    </row>
    <row r="1154" spans="5:6">
      <c r="E1154"/>
      <c r="F1154"/>
    </row>
    <row r="1155" spans="5:6">
      <c r="E1155"/>
      <c r="F1155"/>
    </row>
    <row r="1156" spans="5:6">
      <c r="E1156"/>
      <c r="F1156"/>
    </row>
    <row r="1157" spans="5:6">
      <c r="E1157"/>
      <c r="F1157"/>
    </row>
    <row r="1158" spans="5:6">
      <c r="E1158"/>
      <c r="F1158"/>
    </row>
    <row r="1159" spans="5:6">
      <c r="E1159"/>
      <c r="F1159"/>
    </row>
    <row r="1160" spans="5:6">
      <c r="E1160"/>
      <c r="F1160"/>
    </row>
    <row r="1161" spans="5:6">
      <c r="E1161"/>
      <c r="F1161"/>
    </row>
    <row r="1162" spans="5:6">
      <c r="E1162"/>
      <c r="F1162"/>
    </row>
    <row r="1163" spans="5:6">
      <c r="E1163"/>
      <c r="F1163"/>
    </row>
    <row r="1164" spans="5:6">
      <c r="E1164"/>
      <c r="F1164"/>
    </row>
    <row r="1165" spans="5:6">
      <c r="E1165"/>
      <c r="F1165"/>
    </row>
    <row r="1166" spans="5:6">
      <c r="E1166"/>
      <c r="F1166"/>
    </row>
    <row r="1167" spans="5:6">
      <c r="E1167"/>
      <c r="F1167"/>
    </row>
    <row r="1168" spans="5:6">
      <c r="E1168"/>
      <c r="F1168"/>
    </row>
    <row r="1169" spans="5:6">
      <c r="E1169"/>
      <c r="F1169"/>
    </row>
    <row r="1170" spans="5:6">
      <c r="E1170"/>
      <c r="F1170"/>
    </row>
    <row r="1171" spans="5:6">
      <c r="E1171"/>
      <c r="F1171"/>
    </row>
    <row r="1172" spans="5:6">
      <c r="E1172"/>
      <c r="F1172"/>
    </row>
    <row r="1173" spans="5:6">
      <c r="E1173"/>
      <c r="F1173"/>
    </row>
    <row r="1174" spans="5:6">
      <c r="E1174"/>
      <c r="F1174"/>
    </row>
    <row r="1175" spans="5:6">
      <c r="E1175"/>
      <c r="F1175"/>
    </row>
    <row r="1176" spans="5:6">
      <c r="E1176"/>
      <c r="F1176"/>
    </row>
    <row r="1177" spans="5:6">
      <c r="E1177"/>
      <c r="F1177"/>
    </row>
    <row r="1178" spans="5:6">
      <c r="E1178"/>
      <c r="F1178"/>
    </row>
    <row r="1179" spans="5:6">
      <c r="E1179"/>
      <c r="F1179"/>
    </row>
    <row r="1180" spans="5:6">
      <c r="E1180"/>
      <c r="F1180"/>
    </row>
    <row r="1181" spans="5:6">
      <c r="E1181"/>
      <c r="F1181"/>
    </row>
    <row r="1182" spans="5:6">
      <c r="E1182"/>
      <c r="F1182"/>
    </row>
    <row r="1183" spans="5:6">
      <c r="E1183"/>
      <c r="F1183"/>
    </row>
    <row r="1184" spans="5:6">
      <c r="E1184"/>
      <c r="F1184"/>
    </row>
    <row r="1185" spans="5:6">
      <c r="E1185"/>
      <c r="F1185"/>
    </row>
    <row r="1186" spans="5:6">
      <c r="E1186"/>
      <c r="F1186"/>
    </row>
    <row r="1187" spans="5:6">
      <c r="E1187"/>
      <c r="F1187"/>
    </row>
    <row r="1188" spans="5:6">
      <c r="E1188"/>
      <c r="F1188"/>
    </row>
    <row r="1189" spans="5:6">
      <c r="E1189"/>
      <c r="F1189"/>
    </row>
    <row r="1190" spans="5:6">
      <c r="E1190"/>
      <c r="F1190"/>
    </row>
    <row r="1191" spans="5:6">
      <c r="E1191"/>
      <c r="F1191"/>
    </row>
    <row r="1192" spans="5:6">
      <c r="E1192"/>
      <c r="F1192"/>
    </row>
    <row r="1193" spans="5:6">
      <c r="E1193"/>
      <c r="F1193"/>
    </row>
    <row r="1194" spans="5:6">
      <c r="E1194"/>
      <c r="F1194"/>
    </row>
    <row r="1195" spans="5:6">
      <c r="E1195"/>
      <c r="F1195"/>
    </row>
    <row r="1196" spans="5:6">
      <c r="E1196"/>
      <c r="F1196"/>
    </row>
    <row r="1197" spans="5:6">
      <c r="E1197"/>
      <c r="F1197"/>
    </row>
    <row r="1198" spans="5:6">
      <c r="E1198"/>
      <c r="F1198"/>
    </row>
    <row r="1199" spans="5:6">
      <c r="E1199"/>
      <c r="F1199"/>
    </row>
    <row r="1200" spans="5:6">
      <c r="E1200"/>
      <c r="F1200"/>
    </row>
    <row r="1201" spans="5:6">
      <c r="E1201"/>
      <c r="F1201"/>
    </row>
    <row r="1202" spans="5:6">
      <c r="E1202"/>
      <c r="F1202"/>
    </row>
    <row r="1203" spans="5:6">
      <c r="E1203"/>
      <c r="F1203"/>
    </row>
    <row r="1204" spans="5:6">
      <c r="E1204"/>
      <c r="F1204"/>
    </row>
    <row r="1205" spans="5:6">
      <c r="E1205"/>
      <c r="F1205"/>
    </row>
    <row r="1206" spans="5:6">
      <c r="E1206"/>
      <c r="F1206"/>
    </row>
    <row r="1207" spans="5:6">
      <c r="E1207"/>
      <c r="F1207"/>
    </row>
    <row r="1208" spans="5:6">
      <c r="E1208"/>
      <c r="F1208"/>
    </row>
    <row r="1209" spans="5:6">
      <c r="E1209"/>
      <c r="F1209"/>
    </row>
    <row r="1210" spans="5:6">
      <c r="E1210"/>
      <c r="F1210"/>
    </row>
    <row r="1211" spans="5:6">
      <c r="E1211"/>
      <c r="F1211"/>
    </row>
    <row r="1212" spans="5:6">
      <c r="E1212"/>
      <c r="F1212"/>
    </row>
    <row r="1213" spans="5:6">
      <c r="E1213"/>
      <c r="F1213"/>
    </row>
    <row r="1214" spans="5:6">
      <c r="E1214"/>
      <c r="F1214"/>
    </row>
    <row r="1215" spans="5:6">
      <c r="E1215"/>
      <c r="F1215"/>
    </row>
    <row r="1216" spans="5:6">
      <c r="E1216"/>
      <c r="F1216"/>
    </row>
    <row r="1217" spans="5:6">
      <c r="E1217"/>
      <c r="F1217"/>
    </row>
    <row r="1218" spans="5:6">
      <c r="E1218"/>
      <c r="F1218"/>
    </row>
    <row r="1219" spans="5:6">
      <c r="E1219"/>
      <c r="F1219"/>
    </row>
    <row r="1220" spans="5:6">
      <c r="E1220"/>
      <c r="F1220"/>
    </row>
    <row r="1221" spans="5:6">
      <c r="E1221"/>
      <c r="F1221"/>
    </row>
    <row r="1222" spans="5:6">
      <c r="E1222"/>
      <c r="F1222"/>
    </row>
    <row r="1223" spans="5:6">
      <c r="E1223"/>
      <c r="F1223"/>
    </row>
    <row r="1224" spans="5:6">
      <c r="E1224"/>
      <c r="F1224"/>
    </row>
    <row r="1225" spans="5:6">
      <c r="E1225"/>
      <c r="F1225"/>
    </row>
    <row r="1226" spans="5:6">
      <c r="E1226"/>
      <c r="F1226"/>
    </row>
    <row r="1227" spans="5:6">
      <c r="E1227"/>
      <c r="F1227"/>
    </row>
    <row r="1228" spans="5:6">
      <c r="E1228"/>
      <c r="F1228"/>
    </row>
    <row r="1229" spans="5:6">
      <c r="E1229"/>
      <c r="F1229"/>
    </row>
    <row r="1230" spans="5:6">
      <c r="E1230"/>
      <c r="F1230"/>
    </row>
    <row r="1231" spans="5:6">
      <c r="E1231"/>
      <c r="F1231"/>
    </row>
    <row r="1232" spans="5:6">
      <c r="E1232"/>
      <c r="F1232"/>
    </row>
    <row r="1233" spans="5:6">
      <c r="E1233"/>
      <c r="F1233"/>
    </row>
    <row r="1234" spans="5:6">
      <c r="E1234"/>
      <c r="F1234"/>
    </row>
    <row r="1235" spans="5:6">
      <c r="E1235"/>
      <c r="F1235"/>
    </row>
    <row r="1236" spans="5:6">
      <c r="E1236"/>
      <c r="F1236"/>
    </row>
    <row r="1237" spans="5:6">
      <c r="E1237"/>
      <c r="F1237"/>
    </row>
    <row r="1238" spans="5:6">
      <c r="E1238"/>
      <c r="F1238"/>
    </row>
    <row r="1239" spans="5:6">
      <c r="E1239"/>
      <c r="F1239"/>
    </row>
    <row r="1240" spans="5:6">
      <c r="E1240"/>
      <c r="F1240"/>
    </row>
    <row r="1241" spans="5:6">
      <c r="E1241"/>
      <c r="F1241"/>
    </row>
    <row r="1242" spans="5:6">
      <c r="E1242"/>
      <c r="F1242"/>
    </row>
    <row r="1243" spans="5:6">
      <c r="E1243"/>
      <c r="F1243"/>
    </row>
    <row r="1244" spans="5:6">
      <c r="E1244"/>
      <c r="F1244"/>
    </row>
    <row r="1245" spans="5:6">
      <c r="E1245"/>
      <c r="F1245"/>
    </row>
    <row r="1246" spans="5:6">
      <c r="E1246"/>
      <c r="F1246"/>
    </row>
    <row r="1247" spans="5:6">
      <c r="E1247"/>
      <c r="F1247"/>
    </row>
    <row r="1248" spans="5:6">
      <c r="E1248"/>
      <c r="F1248"/>
    </row>
    <row r="1249" spans="5:6">
      <c r="E1249"/>
      <c r="F1249"/>
    </row>
    <row r="1250" spans="5:6">
      <c r="E1250"/>
      <c r="F1250"/>
    </row>
    <row r="1251" spans="5:6">
      <c r="E1251"/>
      <c r="F1251"/>
    </row>
    <row r="1252" spans="5:6">
      <c r="E1252"/>
      <c r="F1252"/>
    </row>
    <row r="1253" spans="5:6">
      <c r="E1253"/>
      <c r="F1253"/>
    </row>
    <row r="1254" spans="5:6">
      <c r="E1254"/>
      <c r="F1254"/>
    </row>
    <row r="1255" spans="5:6">
      <c r="E1255"/>
      <c r="F1255"/>
    </row>
    <row r="1256" spans="5:6">
      <c r="E1256"/>
      <c r="F1256"/>
    </row>
    <row r="1257" spans="5:6">
      <c r="E1257"/>
      <c r="F1257"/>
    </row>
    <row r="1258" spans="5:6">
      <c r="E1258"/>
      <c r="F1258"/>
    </row>
    <row r="1259" spans="5:6">
      <c r="E1259"/>
      <c r="F1259"/>
    </row>
    <row r="1260" spans="5:6">
      <c r="E1260"/>
      <c r="F1260"/>
    </row>
    <row r="1261" spans="5:6">
      <c r="E1261"/>
      <c r="F1261"/>
    </row>
    <row r="1262" spans="5:6">
      <c r="E1262"/>
      <c r="F1262"/>
    </row>
    <row r="1263" spans="5:6">
      <c r="E1263"/>
      <c r="F1263"/>
    </row>
    <row r="1264" spans="5:6">
      <c r="E1264"/>
      <c r="F1264"/>
    </row>
    <row r="1265" spans="5:6">
      <c r="E1265"/>
      <c r="F1265"/>
    </row>
    <row r="1266" spans="5:6">
      <c r="E1266"/>
      <c r="F1266"/>
    </row>
    <row r="1267" spans="5:6">
      <c r="E1267"/>
      <c r="F1267"/>
    </row>
    <row r="1268" spans="5:6">
      <c r="E1268"/>
      <c r="F1268"/>
    </row>
    <row r="1269" spans="5:6">
      <c r="E1269"/>
      <c r="F1269"/>
    </row>
    <row r="1270" spans="5:6">
      <c r="E1270"/>
      <c r="F1270"/>
    </row>
    <row r="1271" spans="5:6">
      <c r="E1271"/>
      <c r="F1271"/>
    </row>
    <row r="1272" spans="5:6">
      <c r="E1272"/>
      <c r="F1272"/>
    </row>
    <row r="1273" spans="5:6">
      <c r="E1273"/>
      <c r="F1273"/>
    </row>
    <row r="1274" spans="5:6">
      <c r="E1274"/>
      <c r="F1274"/>
    </row>
    <row r="1275" spans="5:6">
      <c r="E1275"/>
      <c r="F1275"/>
    </row>
    <row r="1276" spans="5:6">
      <c r="E1276"/>
      <c r="F1276"/>
    </row>
    <row r="1277" spans="5:6">
      <c r="E1277"/>
      <c r="F1277"/>
    </row>
    <row r="1278" spans="5:6">
      <c r="E1278"/>
      <c r="F1278"/>
    </row>
    <row r="1279" spans="5:6">
      <c r="E1279"/>
      <c r="F1279"/>
    </row>
    <row r="1280" spans="5:6">
      <c r="E1280"/>
      <c r="F1280"/>
    </row>
    <row r="1281" spans="5:6">
      <c r="E1281"/>
      <c r="F1281"/>
    </row>
    <row r="1282" spans="5:6">
      <c r="E1282"/>
      <c r="F1282"/>
    </row>
    <row r="1283" spans="5:6">
      <c r="E1283"/>
      <c r="F1283"/>
    </row>
    <row r="1284" spans="5:6">
      <c r="E1284"/>
      <c r="F1284"/>
    </row>
    <row r="1285" spans="5:6">
      <c r="E1285"/>
      <c r="F1285"/>
    </row>
    <row r="1286" spans="5:6">
      <c r="E1286"/>
      <c r="F1286"/>
    </row>
    <row r="1287" spans="5:6">
      <c r="E1287"/>
      <c r="F1287"/>
    </row>
    <row r="1288" spans="5:6">
      <c r="E1288"/>
      <c r="F1288"/>
    </row>
    <row r="1289" spans="5:6">
      <c r="E1289"/>
      <c r="F1289"/>
    </row>
    <row r="1290" spans="5:6">
      <c r="E1290"/>
      <c r="F1290"/>
    </row>
    <row r="1291" spans="5:6">
      <c r="E1291"/>
      <c r="F1291"/>
    </row>
    <row r="1292" spans="5:6">
      <c r="E1292"/>
      <c r="F1292"/>
    </row>
    <row r="1293" spans="5:6">
      <c r="E1293"/>
      <c r="F1293"/>
    </row>
    <row r="1294" spans="5:6">
      <c r="E1294"/>
      <c r="F1294"/>
    </row>
    <row r="1295" spans="5:6">
      <c r="E1295"/>
      <c r="F1295"/>
    </row>
    <row r="1296" spans="5:6">
      <c r="E1296"/>
      <c r="F1296"/>
    </row>
    <row r="1297" spans="5:6">
      <c r="E1297"/>
      <c r="F1297"/>
    </row>
    <row r="1298" spans="5:6">
      <c r="E1298"/>
      <c r="F1298"/>
    </row>
    <row r="1299" spans="5:6">
      <c r="E1299"/>
      <c r="F1299"/>
    </row>
    <row r="1300" spans="5:6">
      <c r="E1300"/>
      <c r="F1300"/>
    </row>
    <row r="1301" spans="5:6">
      <c r="E1301"/>
      <c r="F1301"/>
    </row>
    <row r="1302" spans="5:6">
      <c r="E1302"/>
      <c r="F1302"/>
    </row>
    <row r="1303" spans="5:6">
      <c r="E1303"/>
      <c r="F1303"/>
    </row>
    <row r="1304" spans="5:6">
      <c r="E1304"/>
      <c r="F1304"/>
    </row>
    <row r="1305" spans="5:6">
      <c r="E1305"/>
      <c r="F1305"/>
    </row>
    <row r="1306" spans="5:6">
      <c r="E1306"/>
      <c r="F1306"/>
    </row>
    <row r="1307" spans="5:6">
      <c r="E1307"/>
      <c r="F1307"/>
    </row>
    <row r="1308" spans="5:6">
      <c r="E1308"/>
      <c r="F1308"/>
    </row>
    <row r="1309" spans="5:6">
      <c r="E1309"/>
      <c r="F1309"/>
    </row>
    <row r="1310" spans="5:6">
      <c r="E1310"/>
      <c r="F1310"/>
    </row>
    <row r="1311" spans="5:6">
      <c r="E1311"/>
      <c r="F1311"/>
    </row>
    <row r="1312" spans="5:6">
      <c r="E1312"/>
      <c r="F1312"/>
    </row>
    <row r="1313" spans="5:6">
      <c r="E1313"/>
      <c r="F1313"/>
    </row>
    <row r="1314" spans="5:6">
      <c r="E1314"/>
      <c r="F1314"/>
    </row>
    <row r="1315" spans="5:6">
      <c r="E1315"/>
      <c r="F1315"/>
    </row>
    <row r="1316" spans="5:6">
      <c r="E1316"/>
      <c r="F1316"/>
    </row>
    <row r="1317" spans="5:6">
      <c r="E1317"/>
      <c r="F1317"/>
    </row>
    <row r="1318" spans="5:6">
      <c r="E1318"/>
      <c r="F1318"/>
    </row>
    <row r="1319" spans="5:6">
      <c r="E1319"/>
      <c r="F1319"/>
    </row>
    <row r="1320" spans="5:6">
      <c r="E1320"/>
      <c r="F1320"/>
    </row>
    <row r="1321" spans="5:6">
      <c r="E1321"/>
      <c r="F1321"/>
    </row>
    <row r="1322" spans="5:6">
      <c r="E1322"/>
      <c r="F1322"/>
    </row>
    <row r="1323" spans="5:6">
      <c r="E1323"/>
      <c r="F1323"/>
    </row>
    <row r="1324" spans="5:6">
      <c r="E1324"/>
      <c r="F1324"/>
    </row>
    <row r="1325" spans="5:6">
      <c r="E1325"/>
      <c r="F1325"/>
    </row>
    <row r="1326" spans="5:6">
      <c r="E1326"/>
      <c r="F1326"/>
    </row>
    <row r="1327" spans="5:6">
      <c r="E1327"/>
      <c r="F1327"/>
    </row>
    <row r="1328" spans="5:6">
      <c r="E1328"/>
      <c r="F1328"/>
    </row>
    <row r="1329" spans="5:6">
      <c r="E1329"/>
      <c r="F1329"/>
    </row>
    <row r="1330" spans="5:6">
      <c r="E1330"/>
      <c r="F1330"/>
    </row>
    <row r="1331" spans="5:6">
      <c r="E1331"/>
      <c r="F1331"/>
    </row>
    <row r="1332" spans="5:6">
      <c r="E1332"/>
      <c r="F1332"/>
    </row>
    <row r="1333" spans="5:6">
      <c r="E1333"/>
      <c r="F1333"/>
    </row>
    <row r="1334" spans="5:6">
      <c r="E1334"/>
      <c r="F1334"/>
    </row>
    <row r="1335" spans="5:6">
      <c r="E1335"/>
      <c r="F1335"/>
    </row>
    <row r="1336" spans="5:6">
      <c r="E1336"/>
      <c r="F1336"/>
    </row>
    <row r="1337" spans="5:6">
      <c r="E1337"/>
      <c r="F1337"/>
    </row>
    <row r="1338" spans="5:6">
      <c r="E1338"/>
      <c r="F1338"/>
    </row>
    <row r="1339" spans="5:6">
      <c r="E1339"/>
      <c r="F1339"/>
    </row>
    <row r="1340" spans="5:6">
      <c r="E1340"/>
      <c r="F1340"/>
    </row>
    <row r="1341" spans="5:6">
      <c r="E1341"/>
      <c r="F1341"/>
    </row>
    <row r="1342" spans="5:6">
      <c r="E1342"/>
      <c r="F1342"/>
    </row>
    <row r="1343" spans="5:6">
      <c r="E1343"/>
      <c r="F1343"/>
    </row>
    <row r="1344" spans="5:6">
      <c r="E1344"/>
      <c r="F1344"/>
    </row>
    <row r="1345" spans="5:6">
      <c r="E1345"/>
      <c r="F1345"/>
    </row>
    <row r="1346" spans="5:6">
      <c r="E1346"/>
      <c r="F1346"/>
    </row>
    <row r="1347" spans="5:6">
      <c r="E1347"/>
      <c r="F1347"/>
    </row>
    <row r="1348" spans="5:6">
      <c r="E1348"/>
      <c r="F1348"/>
    </row>
    <row r="1349" spans="5:6">
      <c r="E1349"/>
      <c r="F1349"/>
    </row>
    <row r="1350" spans="5:6">
      <c r="E1350"/>
      <c r="F1350"/>
    </row>
    <row r="1351" spans="5:6">
      <c r="E1351"/>
      <c r="F1351"/>
    </row>
    <row r="1352" spans="5:6">
      <c r="E1352"/>
      <c r="F1352"/>
    </row>
    <row r="1353" spans="5:6">
      <c r="E1353"/>
      <c r="F1353"/>
    </row>
    <row r="1354" spans="5:6">
      <c r="E1354"/>
      <c r="F1354"/>
    </row>
    <row r="1355" spans="5:6">
      <c r="E1355"/>
      <c r="F1355"/>
    </row>
    <row r="1356" spans="5:6">
      <c r="E1356"/>
      <c r="F1356"/>
    </row>
    <row r="1357" spans="5:6">
      <c r="E1357"/>
      <c r="F1357"/>
    </row>
    <row r="1358" spans="5:6">
      <c r="E1358"/>
      <c r="F1358"/>
    </row>
    <row r="1359" spans="5:6">
      <c r="E1359"/>
      <c r="F1359"/>
    </row>
    <row r="1360" spans="5:6">
      <c r="E1360"/>
      <c r="F1360"/>
    </row>
    <row r="1361" spans="5:6">
      <c r="E1361"/>
      <c r="F1361"/>
    </row>
    <row r="1362" spans="5:6">
      <c r="E1362"/>
      <c r="F1362"/>
    </row>
    <row r="1363" spans="5:6">
      <c r="E1363"/>
      <c r="F1363"/>
    </row>
    <row r="1364" spans="5:6">
      <c r="E1364"/>
      <c r="F1364"/>
    </row>
    <row r="1365" spans="5:6">
      <c r="E1365"/>
      <c r="F1365"/>
    </row>
    <row r="1366" spans="5:6">
      <c r="E1366"/>
      <c r="F1366"/>
    </row>
    <row r="1367" spans="5:6">
      <c r="E1367"/>
      <c r="F1367"/>
    </row>
    <row r="1368" spans="5:6">
      <c r="E1368"/>
      <c r="F1368"/>
    </row>
    <row r="1369" spans="5:6">
      <c r="E1369"/>
      <c r="F1369"/>
    </row>
    <row r="1370" spans="5:6">
      <c r="E1370"/>
      <c r="F1370"/>
    </row>
    <row r="1371" spans="5:6">
      <c r="E1371"/>
      <c r="F1371"/>
    </row>
    <row r="1372" spans="5:6">
      <c r="E1372"/>
      <c r="F1372"/>
    </row>
    <row r="1373" spans="5:6">
      <c r="E1373"/>
      <c r="F1373"/>
    </row>
    <row r="1374" spans="5:6">
      <c r="E1374"/>
      <c r="F1374"/>
    </row>
    <row r="1375" spans="5:6">
      <c r="E1375"/>
      <c r="F1375"/>
    </row>
    <row r="1376" spans="5:6">
      <c r="E1376"/>
      <c r="F1376"/>
    </row>
    <row r="1377" spans="5:6">
      <c r="E1377"/>
      <c r="F1377"/>
    </row>
    <row r="1378" spans="5:6">
      <c r="E1378"/>
      <c r="F1378"/>
    </row>
    <row r="1379" spans="5:6">
      <c r="E1379"/>
      <c r="F1379"/>
    </row>
    <row r="1380" spans="5:6">
      <c r="E1380"/>
      <c r="F1380"/>
    </row>
    <row r="1381" spans="5:6">
      <c r="E1381"/>
      <c r="F1381"/>
    </row>
    <row r="1382" spans="5:6">
      <c r="E1382"/>
      <c r="F1382"/>
    </row>
    <row r="1383" spans="5:6">
      <c r="E1383"/>
      <c r="F1383"/>
    </row>
    <row r="1384" spans="5:6">
      <c r="E1384"/>
      <c r="F1384"/>
    </row>
    <row r="1385" spans="5:6">
      <c r="E1385"/>
      <c r="F1385"/>
    </row>
    <row r="1386" spans="5:6">
      <c r="E1386"/>
      <c r="F1386"/>
    </row>
    <row r="1387" spans="5:6">
      <c r="E1387"/>
      <c r="F1387"/>
    </row>
    <row r="1388" spans="5:6">
      <c r="E1388"/>
      <c r="F1388"/>
    </row>
    <row r="1389" spans="5:6">
      <c r="E1389"/>
      <c r="F1389"/>
    </row>
    <row r="1390" spans="5:6">
      <c r="E1390"/>
      <c r="F1390"/>
    </row>
    <row r="1391" spans="5:6">
      <c r="E1391"/>
      <c r="F1391"/>
    </row>
    <row r="1392" spans="5:6">
      <c r="E1392"/>
      <c r="F1392"/>
    </row>
    <row r="1393" spans="5:6">
      <c r="E1393"/>
      <c r="F1393"/>
    </row>
    <row r="1394" spans="5:6">
      <c r="E1394"/>
      <c r="F1394"/>
    </row>
    <row r="1395" spans="5:6">
      <c r="E1395"/>
      <c r="F1395"/>
    </row>
    <row r="1396" spans="5:6">
      <c r="E1396"/>
      <c r="F1396"/>
    </row>
    <row r="1397" spans="5:6">
      <c r="E1397"/>
      <c r="F1397"/>
    </row>
    <row r="1398" spans="5:6">
      <c r="E1398"/>
      <c r="F1398"/>
    </row>
    <row r="1399" spans="5:6">
      <c r="E1399"/>
      <c r="F1399"/>
    </row>
    <row r="1400" spans="5:6">
      <c r="E1400"/>
      <c r="F1400"/>
    </row>
    <row r="1401" spans="5:6">
      <c r="E1401"/>
      <c r="F1401"/>
    </row>
    <row r="1402" spans="5:6">
      <c r="E1402"/>
      <c r="F1402"/>
    </row>
    <row r="1403" spans="5:6">
      <c r="E1403"/>
      <c r="F1403"/>
    </row>
    <row r="1404" spans="5:6">
      <c r="E1404"/>
      <c r="F1404"/>
    </row>
    <row r="1405" spans="5:6">
      <c r="E1405"/>
      <c r="F1405"/>
    </row>
    <row r="1406" spans="5:6">
      <c r="E1406"/>
      <c r="F1406"/>
    </row>
    <row r="1407" spans="5:6">
      <c r="E1407"/>
      <c r="F1407"/>
    </row>
    <row r="1408" spans="5:6">
      <c r="E1408"/>
      <c r="F1408"/>
    </row>
    <row r="1409" spans="5:6">
      <c r="E1409"/>
      <c r="F1409"/>
    </row>
    <row r="1410" spans="5:6">
      <c r="E1410"/>
      <c r="F1410"/>
    </row>
    <row r="1411" spans="5:6">
      <c r="E1411"/>
      <c r="F1411"/>
    </row>
    <row r="1412" spans="5:6">
      <c r="E1412"/>
      <c r="F1412"/>
    </row>
    <row r="1413" spans="5:6">
      <c r="E1413"/>
      <c r="F1413"/>
    </row>
    <row r="1414" spans="5:6">
      <c r="E1414"/>
      <c r="F1414"/>
    </row>
    <row r="1415" spans="5:6">
      <c r="E1415"/>
      <c r="F1415"/>
    </row>
    <row r="1416" spans="5:6">
      <c r="E1416"/>
      <c r="F1416"/>
    </row>
    <row r="1417" spans="5:6">
      <c r="E1417"/>
      <c r="F1417"/>
    </row>
    <row r="1418" spans="5:6">
      <c r="E1418"/>
      <c r="F1418"/>
    </row>
    <row r="1419" spans="5:6">
      <c r="E1419"/>
      <c r="F1419"/>
    </row>
    <row r="1420" spans="5:6">
      <c r="E1420"/>
      <c r="F1420"/>
    </row>
    <row r="1421" spans="5:6">
      <c r="E1421"/>
      <c r="F1421"/>
    </row>
    <row r="1422" spans="5:6">
      <c r="E1422"/>
      <c r="F1422"/>
    </row>
    <row r="1423" spans="5:6">
      <c r="E1423"/>
      <c r="F1423"/>
    </row>
    <row r="1424" spans="5:6">
      <c r="E1424"/>
      <c r="F1424"/>
    </row>
    <row r="1425" spans="5:6">
      <c r="E1425"/>
      <c r="F1425"/>
    </row>
    <row r="1426" spans="5:6">
      <c r="E1426"/>
      <c r="F1426"/>
    </row>
    <row r="1427" spans="5:6">
      <c r="E1427"/>
      <c r="F1427"/>
    </row>
    <row r="1428" spans="5:6">
      <c r="E1428"/>
      <c r="F1428"/>
    </row>
    <row r="1429" spans="5:6">
      <c r="E1429"/>
      <c r="F1429"/>
    </row>
    <row r="1430" spans="5:6">
      <c r="E1430"/>
      <c r="F1430"/>
    </row>
    <row r="1431" spans="5:6">
      <c r="E1431"/>
      <c r="F1431"/>
    </row>
    <row r="1432" spans="5:6">
      <c r="E1432"/>
      <c r="F1432"/>
    </row>
    <row r="1433" spans="5:6">
      <c r="E1433"/>
      <c r="F1433"/>
    </row>
    <row r="1434" spans="5:6">
      <c r="E1434"/>
      <c r="F1434"/>
    </row>
    <row r="1435" spans="5:6">
      <c r="E1435"/>
      <c r="F1435"/>
    </row>
    <row r="1436" spans="5:6">
      <c r="E1436"/>
      <c r="F1436"/>
    </row>
    <row r="1437" spans="5:6">
      <c r="E1437"/>
      <c r="F1437"/>
    </row>
    <row r="1438" spans="5:6">
      <c r="E1438"/>
      <c r="F1438"/>
    </row>
    <row r="1439" spans="5:6">
      <c r="E1439"/>
      <c r="F1439"/>
    </row>
    <row r="1440" spans="5:6">
      <c r="E1440"/>
      <c r="F1440"/>
    </row>
    <row r="1441" spans="5:6">
      <c r="E1441"/>
      <c r="F1441"/>
    </row>
    <row r="1442" spans="5:6">
      <c r="E1442"/>
      <c r="F1442"/>
    </row>
    <row r="1443" spans="5:6">
      <c r="E1443"/>
      <c r="F1443"/>
    </row>
    <row r="1444" spans="5:6">
      <c r="E1444"/>
      <c r="F1444"/>
    </row>
    <row r="1445" spans="5:6">
      <c r="E1445"/>
      <c r="F1445"/>
    </row>
    <row r="1446" spans="5:6">
      <c r="E1446"/>
      <c r="F1446"/>
    </row>
    <row r="1447" spans="5:6">
      <c r="E1447"/>
      <c r="F1447"/>
    </row>
    <row r="1448" spans="5:6">
      <c r="E1448"/>
      <c r="F1448"/>
    </row>
    <row r="1449" spans="5:6">
      <c r="E1449"/>
      <c r="F1449"/>
    </row>
    <row r="1450" spans="5:6">
      <c r="E1450"/>
      <c r="F1450"/>
    </row>
    <row r="1451" spans="5:6">
      <c r="E1451"/>
      <c r="F1451"/>
    </row>
    <row r="1452" spans="5:6">
      <c r="E1452"/>
      <c r="F1452"/>
    </row>
    <row r="1453" spans="5:6">
      <c r="E1453"/>
      <c r="F1453"/>
    </row>
    <row r="1454" spans="5:6">
      <c r="E1454"/>
      <c r="F1454"/>
    </row>
    <row r="1455" spans="5:6">
      <c r="E1455"/>
      <c r="F1455"/>
    </row>
    <row r="1456" spans="5:6">
      <c r="E1456"/>
      <c r="F1456"/>
    </row>
    <row r="1457" spans="5:6">
      <c r="E1457"/>
      <c r="F1457"/>
    </row>
    <row r="1458" spans="5:6">
      <c r="E1458"/>
      <c r="F1458"/>
    </row>
    <row r="1459" spans="5:6">
      <c r="E1459"/>
      <c r="F1459"/>
    </row>
    <row r="1460" spans="5:6">
      <c r="E1460"/>
      <c r="F1460"/>
    </row>
    <row r="1461" spans="5:6">
      <c r="E1461"/>
      <c r="F1461"/>
    </row>
    <row r="1462" spans="5:6">
      <c r="E1462"/>
      <c r="F1462"/>
    </row>
    <row r="1463" spans="5:6">
      <c r="E1463"/>
      <c r="F1463"/>
    </row>
    <row r="1464" spans="5:6">
      <c r="E1464"/>
      <c r="F1464"/>
    </row>
    <row r="1465" spans="5:6">
      <c r="E1465"/>
      <c r="F1465"/>
    </row>
    <row r="1466" spans="5:6">
      <c r="E1466"/>
      <c r="F1466"/>
    </row>
    <row r="1467" spans="5:6">
      <c r="E1467"/>
      <c r="F1467"/>
    </row>
    <row r="1468" spans="5:6">
      <c r="E1468"/>
      <c r="F1468"/>
    </row>
    <row r="1469" spans="5:6">
      <c r="E1469"/>
      <c r="F1469"/>
    </row>
    <row r="1470" spans="5:6">
      <c r="E1470"/>
      <c r="F1470"/>
    </row>
    <row r="1471" spans="5:6">
      <c r="E1471"/>
      <c r="F1471"/>
    </row>
    <row r="1472" spans="5:6">
      <c r="E1472"/>
      <c r="F1472"/>
    </row>
    <row r="1473" spans="5:6">
      <c r="E1473"/>
      <c r="F1473"/>
    </row>
    <row r="1474" spans="5:6">
      <c r="E1474"/>
      <c r="F1474"/>
    </row>
    <row r="1475" spans="5:6">
      <c r="E1475"/>
      <c r="F1475"/>
    </row>
    <row r="1476" spans="5:6">
      <c r="E1476"/>
      <c r="F1476"/>
    </row>
    <row r="1477" spans="5:6">
      <c r="E1477"/>
      <c r="F1477"/>
    </row>
    <row r="1478" spans="5:6">
      <c r="E1478"/>
      <c r="F1478"/>
    </row>
    <row r="1479" spans="5:6">
      <c r="E1479"/>
      <c r="F1479"/>
    </row>
    <row r="1480" spans="5:6">
      <c r="E1480"/>
      <c r="F1480"/>
    </row>
    <row r="1481" spans="5:6">
      <c r="E1481"/>
      <c r="F1481"/>
    </row>
    <row r="1482" spans="5:6">
      <c r="E1482"/>
      <c r="F1482"/>
    </row>
    <row r="1483" spans="5:6">
      <c r="E1483"/>
      <c r="F1483"/>
    </row>
    <row r="1484" spans="5:6">
      <c r="E1484"/>
      <c r="F1484"/>
    </row>
    <row r="1485" spans="5:6">
      <c r="E1485"/>
      <c r="F1485"/>
    </row>
    <row r="1486" spans="5:6">
      <c r="E1486"/>
      <c r="F1486"/>
    </row>
    <row r="1487" spans="5:6">
      <c r="E1487"/>
      <c r="F1487"/>
    </row>
    <row r="1488" spans="5:6">
      <c r="E1488"/>
      <c r="F1488"/>
    </row>
    <row r="1489" spans="5:6">
      <c r="E1489"/>
      <c r="F1489"/>
    </row>
    <row r="1490" spans="5:6">
      <c r="E1490"/>
      <c r="F1490"/>
    </row>
    <row r="1491" spans="5:6">
      <c r="E1491"/>
      <c r="F1491"/>
    </row>
    <row r="1492" spans="5:6">
      <c r="E1492"/>
      <c r="F1492"/>
    </row>
    <row r="1493" spans="5:6">
      <c r="E1493"/>
      <c r="F1493"/>
    </row>
    <row r="1494" spans="5:6">
      <c r="E1494"/>
      <c r="F1494"/>
    </row>
    <row r="1495" spans="5:6">
      <c r="E1495"/>
      <c r="F1495"/>
    </row>
    <row r="1496" spans="5:6">
      <c r="E1496"/>
      <c r="F1496"/>
    </row>
    <row r="1497" spans="5:6">
      <c r="E1497"/>
      <c r="F1497"/>
    </row>
    <row r="1498" spans="5:6">
      <c r="E1498"/>
      <c r="F1498"/>
    </row>
    <row r="1499" spans="5:6">
      <c r="E1499"/>
      <c r="F1499"/>
    </row>
    <row r="1500" spans="5:6">
      <c r="E1500"/>
      <c r="F1500"/>
    </row>
    <row r="1501" spans="5:6">
      <c r="E1501"/>
      <c r="F1501"/>
    </row>
    <row r="1502" spans="5:6">
      <c r="E1502"/>
      <c r="F1502"/>
    </row>
    <row r="1503" spans="5:6">
      <c r="E1503"/>
      <c r="F1503"/>
    </row>
    <row r="1504" spans="5:6">
      <c r="E1504"/>
      <c r="F1504"/>
    </row>
    <row r="1505" spans="5:6">
      <c r="E1505"/>
      <c r="F1505"/>
    </row>
    <row r="1506" spans="5:6">
      <c r="E1506"/>
      <c r="F1506"/>
    </row>
    <row r="1507" spans="5:6">
      <c r="E1507"/>
      <c r="F1507"/>
    </row>
    <row r="1508" spans="5:6">
      <c r="E1508"/>
      <c r="F1508"/>
    </row>
    <row r="1509" spans="5:6">
      <c r="E1509"/>
      <c r="F1509"/>
    </row>
    <row r="1510" spans="5:6">
      <c r="E1510"/>
      <c r="F1510"/>
    </row>
    <row r="1511" spans="5:6">
      <c r="E1511"/>
      <c r="F1511"/>
    </row>
    <row r="1512" spans="5:6">
      <c r="E1512"/>
      <c r="F1512"/>
    </row>
    <row r="1513" spans="5:6">
      <c r="E1513"/>
      <c r="F1513"/>
    </row>
    <row r="1514" spans="5:6">
      <c r="E1514"/>
      <c r="F1514"/>
    </row>
    <row r="1515" spans="5:6">
      <c r="E1515"/>
      <c r="F1515"/>
    </row>
    <row r="1516" spans="5:6">
      <c r="E1516"/>
      <c r="F1516"/>
    </row>
    <row r="1517" spans="5:6">
      <c r="E1517"/>
      <c r="F1517"/>
    </row>
    <row r="1518" spans="5:6">
      <c r="E1518"/>
      <c r="F1518"/>
    </row>
    <row r="1519" spans="5:6">
      <c r="E1519"/>
      <c r="F1519"/>
    </row>
    <row r="1520" spans="5:6">
      <c r="E1520"/>
      <c r="F1520"/>
    </row>
    <row r="1521" spans="5:6">
      <c r="E1521"/>
      <c r="F1521"/>
    </row>
    <row r="1522" spans="5:6">
      <c r="E1522"/>
      <c r="F1522"/>
    </row>
    <row r="1523" spans="5:6">
      <c r="E1523"/>
      <c r="F1523"/>
    </row>
    <row r="1524" spans="5:6">
      <c r="E1524"/>
      <c r="F1524"/>
    </row>
    <row r="1525" spans="5:6">
      <c r="E1525"/>
      <c r="F1525"/>
    </row>
    <row r="1526" spans="5:6">
      <c r="E1526"/>
      <c r="F1526"/>
    </row>
    <row r="1527" spans="5:6">
      <c r="E1527"/>
      <c r="F1527"/>
    </row>
    <row r="1528" spans="5:6">
      <c r="E1528"/>
      <c r="F1528"/>
    </row>
    <row r="1529" spans="5:6">
      <c r="E1529"/>
      <c r="F1529"/>
    </row>
    <row r="1530" spans="5:6">
      <c r="E1530"/>
      <c r="F1530"/>
    </row>
    <row r="1531" spans="5:6">
      <c r="E1531"/>
      <c r="F1531"/>
    </row>
    <row r="1532" spans="5:6">
      <c r="E1532"/>
      <c r="F1532"/>
    </row>
    <row r="1533" spans="5:6">
      <c r="E1533"/>
      <c r="F1533"/>
    </row>
    <row r="1534" spans="5:6">
      <c r="E1534"/>
      <c r="F1534"/>
    </row>
    <row r="1535" spans="5:6">
      <c r="E1535"/>
      <c r="F1535"/>
    </row>
    <row r="1536" spans="5:6">
      <c r="E1536"/>
      <c r="F1536"/>
    </row>
    <row r="1537" spans="5:6">
      <c r="E1537"/>
      <c r="F1537"/>
    </row>
    <row r="1538" spans="5:6">
      <c r="E1538"/>
      <c r="F1538"/>
    </row>
    <row r="1539" spans="5:6">
      <c r="E1539"/>
      <c r="F1539"/>
    </row>
    <row r="1540" spans="5:6">
      <c r="E1540"/>
      <c r="F1540"/>
    </row>
    <row r="1541" spans="5:6">
      <c r="E1541"/>
      <c r="F1541"/>
    </row>
    <row r="1542" spans="5:6">
      <c r="E1542"/>
      <c r="F1542"/>
    </row>
    <row r="1543" spans="5:6">
      <c r="E1543"/>
      <c r="F1543"/>
    </row>
    <row r="1544" spans="5:6">
      <c r="E1544"/>
      <c r="F1544"/>
    </row>
    <row r="1545" spans="5:6">
      <c r="E1545"/>
      <c r="F1545"/>
    </row>
    <row r="1546" spans="5:6">
      <c r="E1546"/>
      <c r="F1546"/>
    </row>
    <row r="1547" spans="5:6">
      <c r="E1547"/>
      <c r="F1547"/>
    </row>
    <row r="1548" spans="5:6">
      <c r="E1548"/>
      <c r="F1548"/>
    </row>
    <row r="1549" spans="5:6">
      <c r="E1549"/>
      <c r="F1549"/>
    </row>
    <row r="1550" spans="5:6">
      <c r="E1550"/>
      <c r="F1550"/>
    </row>
    <row r="1551" spans="5:6">
      <c r="E1551"/>
      <c r="F1551"/>
    </row>
    <row r="1552" spans="5:6">
      <c r="E1552"/>
      <c r="F1552"/>
    </row>
    <row r="1553" spans="5:6">
      <c r="E1553"/>
      <c r="F1553"/>
    </row>
    <row r="1554" spans="5:6">
      <c r="E1554"/>
      <c r="F1554"/>
    </row>
    <row r="1555" spans="5:6">
      <c r="E1555"/>
      <c r="F1555"/>
    </row>
    <row r="1556" spans="5:6">
      <c r="E1556"/>
      <c r="F1556"/>
    </row>
    <row r="1557" spans="5:6">
      <c r="E1557"/>
      <c r="F1557"/>
    </row>
    <row r="1558" spans="5:6">
      <c r="E1558"/>
      <c r="F1558"/>
    </row>
    <row r="1559" spans="5:6">
      <c r="E1559"/>
      <c r="F1559"/>
    </row>
    <row r="1560" spans="5:6">
      <c r="E1560"/>
      <c r="F1560"/>
    </row>
    <row r="1561" spans="5:6">
      <c r="E1561"/>
      <c r="F1561"/>
    </row>
    <row r="1562" spans="5:6">
      <c r="E1562"/>
      <c r="F1562"/>
    </row>
    <row r="1563" spans="5:6">
      <c r="E1563"/>
      <c r="F1563"/>
    </row>
    <row r="1564" spans="5:6">
      <c r="E1564"/>
      <c r="F1564"/>
    </row>
    <row r="1565" spans="5:6">
      <c r="E1565"/>
      <c r="F1565"/>
    </row>
    <row r="1566" spans="5:6">
      <c r="E1566"/>
      <c r="F1566"/>
    </row>
    <row r="1567" spans="5:6">
      <c r="E1567"/>
      <c r="F1567"/>
    </row>
    <row r="1568" spans="5:6">
      <c r="E1568"/>
      <c r="F1568"/>
    </row>
    <row r="1569" spans="5:6">
      <c r="E1569"/>
      <c r="F1569"/>
    </row>
    <row r="1570" spans="5:6">
      <c r="E1570"/>
      <c r="F1570"/>
    </row>
    <row r="1571" spans="5:6">
      <c r="E1571"/>
      <c r="F1571"/>
    </row>
    <row r="1572" spans="5:6">
      <c r="E1572"/>
      <c r="F1572"/>
    </row>
    <row r="1573" spans="5:6">
      <c r="E1573"/>
      <c r="F1573"/>
    </row>
    <row r="1574" spans="5:6">
      <c r="E1574"/>
      <c r="F1574"/>
    </row>
    <row r="1575" spans="5:6">
      <c r="E1575"/>
      <c r="F1575"/>
    </row>
    <row r="1576" spans="5:6">
      <c r="E1576"/>
      <c r="F1576"/>
    </row>
    <row r="1577" spans="5:6">
      <c r="E1577"/>
      <c r="F1577"/>
    </row>
    <row r="1578" spans="5:6">
      <c r="E1578"/>
      <c r="F1578"/>
    </row>
    <row r="1579" spans="5:6">
      <c r="E1579"/>
      <c r="F1579"/>
    </row>
    <row r="1580" spans="5:6">
      <c r="E1580"/>
      <c r="F1580"/>
    </row>
    <row r="1581" spans="5:6">
      <c r="E1581"/>
      <c r="F1581"/>
    </row>
    <row r="1582" spans="5:6">
      <c r="E1582"/>
      <c r="F1582"/>
    </row>
    <row r="1583" spans="5:6">
      <c r="E1583"/>
      <c r="F1583"/>
    </row>
    <row r="1584" spans="5:6">
      <c r="E1584"/>
      <c r="F1584"/>
    </row>
    <row r="1585" spans="5:6">
      <c r="E1585"/>
      <c r="F1585"/>
    </row>
    <row r="1586" spans="5:6">
      <c r="E1586"/>
      <c r="F1586"/>
    </row>
    <row r="1587" spans="5:6">
      <c r="E1587"/>
      <c r="F1587"/>
    </row>
    <row r="1588" spans="5:6">
      <c r="E1588"/>
      <c r="F1588"/>
    </row>
    <row r="1589" spans="5:6">
      <c r="E1589"/>
      <c r="F1589"/>
    </row>
    <row r="1590" spans="5:6">
      <c r="E1590"/>
      <c r="F1590"/>
    </row>
    <row r="1591" spans="5:6">
      <c r="E1591"/>
      <c r="F1591"/>
    </row>
    <row r="1592" spans="5:6">
      <c r="E1592"/>
      <c r="F1592"/>
    </row>
    <row r="1593" spans="5:6">
      <c r="E1593"/>
      <c r="F1593"/>
    </row>
    <row r="1594" spans="5:6">
      <c r="E1594"/>
      <c r="F1594"/>
    </row>
    <row r="1595" spans="5:6">
      <c r="E1595"/>
      <c r="F1595"/>
    </row>
    <row r="1596" spans="5:6">
      <c r="E1596"/>
      <c r="F1596"/>
    </row>
    <row r="1597" spans="5:6">
      <c r="E1597"/>
      <c r="F1597"/>
    </row>
    <row r="1598" spans="5:6">
      <c r="E1598"/>
      <c r="F1598"/>
    </row>
    <row r="1599" spans="5:6">
      <c r="E1599"/>
      <c r="F1599"/>
    </row>
    <row r="1600" spans="5:6">
      <c r="E1600"/>
      <c r="F1600"/>
    </row>
    <row r="1601" spans="5:6">
      <c r="E1601"/>
      <c r="F1601"/>
    </row>
    <row r="1602" spans="5:6">
      <c r="E1602"/>
      <c r="F1602"/>
    </row>
    <row r="1603" spans="5:6">
      <c r="E1603"/>
      <c r="F1603"/>
    </row>
    <row r="1604" spans="5:6">
      <c r="E1604"/>
      <c r="F1604"/>
    </row>
    <row r="1605" spans="5:6">
      <c r="E1605"/>
      <c r="F1605"/>
    </row>
    <row r="1606" spans="5:6">
      <c r="E1606"/>
      <c r="F1606"/>
    </row>
    <row r="1607" spans="5:6">
      <c r="E1607"/>
      <c r="F1607"/>
    </row>
    <row r="1608" spans="5:6">
      <c r="E1608"/>
      <c r="F1608"/>
    </row>
    <row r="1609" spans="5:6">
      <c r="E1609"/>
      <c r="F1609"/>
    </row>
    <row r="1610" spans="5:6">
      <c r="E1610"/>
      <c r="F1610"/>
    </row>
    <row r="1611" spans="5:6">
      <c r="E1611"/>
      <c r="F1611"/>
    </row>
    <row r="1612" spans="5:6">
      <c r="E1612"/>
      <c r="F1612"/>
    </row>
    <row r="1613" spans="5:6">
      <c r="E1613"/>
      <c r="F1613"/>
    </row>
    <row r="1614" spans="5:6">
      <c r="E1614"/>
      <c r="F1614"/>
    </row>
    <row r="1615" spans="5:6">
      <c r="E1615"/>
      <c r="F1615"/>
    </row>
    <row r="1616" spans="5:6">
      <c r="E1616"/>
      <c r="F1616"/>
    </row>
    <row r="1617" spans="5:6">
      <c r="E1617"/>
      <c r="F1617"/>
    </row>
    <row r="1618" spans="5:6">
      <c r="E1618"/>
      <c r="F1618"/>
    </row>
    <row r="1619" spans="5:6">
      <c r="E1619"/>
      <c r="F1619"/>
    </row>
    <row r="1620" spans="5:6">
      <c r="E1620"/>
      <c r="F1620"/>
    </row>
    <row r="1621" spans="5:6">
      <c r="E1621"/>
      <c r="F1621"/>
    </row>
    <row r="1622" spans="5:6">
      <c r="E1622"/>
      <c r="F1622"/>
    </row>
    <row r="1623" spans="5:6">
      <c r="E1623"/>
      <c r="F1623"/>
    </row>
    <row r="1624" spans="5:6">
      <c r="E1624"/>
      <c r="F1624"/>
    </row>
    <row r="1625" spans="5:6">
      <c r="E1625"/>
      <c r="F1625"/>
    </row>
    <row r="1626" spans="5:6">
      <c r="E1626"/>
      <c r="F1626"/>
    </row>
    <row r="1627" spans="5:6">
      <c r="E1627"/>
      <c r="F1627"/>
    </row>
    <row r="1628" spans="5:6">
      <c r="E1628"/>
      <c r="F1628"/>
    </row>
    <row r="1629" spans="5:6">
      <c r="E1629"/>
      <c r="F1629"/>
    </row>
    <row r="1630" spans="5:6">
      <c r="E1630"/>
      <c r="F1630"/>
    </row>
    <row r="1631" spans="5:6">
      <c r="E1631"/>
      <c r="F1631"/>
    </row>
    <row r="1632" spans="5:6">
      <c r="E1632"/>
      <c r="F1632"/>
    </row>
    <row r="1633" spans="5:6">
      <c r="E1633"/>
      <c r="F1633"/>
    </row>
    <row r="1634" spans="5:6">
      <c r="E1634"/>
      <c r="F1634"/>
    </row>
    <row r="1635" spans="5:6">
      <c r="E1635"/>
      <c r="F1635"/>
    </row>
    <row r="1636" spans="5:6">
      <c r="E1636"/>
      <c r="F1636"/>
    </row>
    <row r="1637" spans="5:6">
      <c r="E1637"/>
      <c r="F1637"/>
    </row>
    <row r="1638" spans="5:6">
      <c r="E1638"/>
      <c r="F1638"/>
    </row>
    <row r="1639" spans="5:6">
      <c r="E1639"/>
      <c r="F1639"/>
    </row>
    <row r="1640" spans="5:6">
      <c r="E1640"/>
      <c r="F1640"/>
    </row>
    <row r="1641" spans="5:6">
      <c r="E1641"/>
      <c r="F1641"/>
    </row>
    <row r="1642" spans="5:6">
      <c r="E1642"/>
      <c r="F1642"/>
    </row>
    <row r="1643" spans="5:6">
      <c r="E1643"/>
      <c r="F1643"/>
    </row>
    <row r="1644" spans="5:6">
      <c r="E1644"/>
      <c r="F1644"/>
    </row>
    <row r="1645" spans="5:6">
      <c r="E1645"/>
      <c r="F1645"/>
    </row>
    <row r="1646" spans="5:6">
      <c r="E1646"/>
      <c r="F1646"/>
    </row>
    <row r="1647" spans="5:6">
      <c r="E1647"/>
      <c r="F1647"/>
    </row>
    <row r="1648" spans="5:6">
      <c r="E1648"/>
      <c r="F1648"/>
    </row>
    <row r="1649" spans="5:6">
      <c r="E1649"/>
      <c r="F1649"/>
    </row>
    <row r="1650" spans="5:6">
      <c r="E1650"/>
      <c r="F1650"/>
    </row>
    <row r="1651" spans="5:6">
      <c r="E1651"/>
      <c r="F1651"/>
    </row>
    <row r="1652" spans="5:6">
      <c r="E1652"/>
      <c r="F1652"/>
    </row>
    <row r="1653" spans="5:6">
      <c r="E1653"/>
      <c r="F1653"/>
    </row>
    <row r="1654" spans="5:6">
      <c r="E1654"/>
      <c r="F1654"/>
    </row>
    <row r="1655" spans="5:6">
      <c r="E1655"/>
      <c r="F1655"/>
    </row>
    <row r="1656" spans="5:6">
      <c r="E1656"/>
      <c r="F1656"/>
    </row>
    <row r="1657" spans="5:6">
      <c r="E1657"/>
      <c r="F1657"/>
    </row>
    <row r="1658" spans="5:6">
      <c r="E1658"/>
      <c r="F1658"/>
    </row>
    <row r="1659" spans="5:6">
      <c r="E1659"/>
      <c r="F1659"/>
    </row>
    <row r="1660" spans="5:6">
      <c r="E1660"/>
      <c r="F1660"/>
    </row>
    <row r="1661" spans="5:6">
      <c r="E1661"/>
      <c r="F1661"/>
    </row>
    <row r="1662" spans="5:6">
      <c r="E1662"/>
      <c r="F1662"/>
    </row>
    <row r="1663" spans="5:6">
      <c r="E1663"/>
      <c r="F1663"/>
    </row>
    <row r="1664" spans="5:6">
      <c r="E1664"/>
      <c r="F1664"/>
    </row>
    <row r="1712" spans="5:6">
      <c r="E1712" s="13"/>
      <c r="F1712" s="936"/>
    </row>
  </sheetData>
  <mergeCells count="2">
    <mergeCell ref="B7:C7"/>
    <mergeCell ref="E7:H7"/>
  </mergeCells>
  <printOptions horizontalCentered="1"/>
  <pageMargins left="0.5" right="0.5" top="0.75" bottom="0.5" header="0.3" footer="0.3"/>
  <pageSetup scale="10"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115"/>
  <sheetViews>
    <sheetView topLeftCell="A66" zoomScaleNormal="100" zoomScaleSheetLayoutView="100" workbookViewId="0">
      <selection activeCell="E84" sqref="E84"/>
    </sheetView>
  </sheetViews>
  <sheetFormatPr defaultColWidth="12.5" defaultRowHeight="12.75"/>
  <cols>
    <col min="1" max="1" width="5" style="411" customWidth="1"/>
    <col min="2" max="2" width="1.6640625" style="411" customWidth="1"/>
    <col min="3" max="3" width="10.1640625" style="411" customWidth="1"/>
    <col min="4" max="4" width="1.6640625" style="411" customWidth="1"/>
    <col min="5" max="5" width="61.5" style="411" bestFit="1" customWidth="1"/>
    <col min="6" max="6" width="19.6640625" style="411" customWidth="1"/>
    <col min="7" max="7" width="14.6640625" style="411" bestFit="1" customWidth="1"/>
    <col min="8" max="8" width="18.6640625" style="411" customWidth="1"/>
    <col min="9" max="9" width="18.1640625" style="411" customWidth="1"/>
    <col min="10" max="10" width="17" style="411" bestFit="1" customWidth="1"/>
    <col min="11" max="11" width="15.6640625" style="411" bestFit="1" customWidth="1"/>
    <col min="12" max="12" width="19" style="411" bestFit="1" customWidth="1"/>
    <col min="13" max="13" width="5.6640625" style="411" customWidth="1"/>
    <col min="14" max="16384" width="12.5" style="411"/>
  </cols>
  <sheetData>
    <row r="1" spans="1:12">
      <c r="A1" s="1316" t="str">
        <f>'General Headers Index'!B4</f>
        <v>COLUMBIA GAS OF KENTUCKY, INC.</v>
      </c>
      <c r="B1" s="1316"/>
      <c r="C1" s="1316"/>
      <c r="D1" s="1316"/>
      <c r="E1" s="1316"/>
      <c r="F1" s="1316"/>
      <c r="G1" s="1316"/>
      <c r="H1" s="1316"/>
      <c r="I1" s="1316"/>
      <c r="J1" s="1316"/>
      <c r="K1" s="1316"/>
      <c r="L1" s="1316"/>
    </row>
    <row r="2" spans="1:12">
      <c r="A2" s="1316" t="str">
        <f>'General Headers Index'!B6</f>
        <v>CASE NO. 2024 - 00092</v>
      </c>
      <c r="B2" s="1316"/>
      <c r="C2" s="1316"/>
      <c r="D2" s="1316"/>
      <c r="E2" s="1316"/>
      <c r="F2" s="1316"/>
      <c r="G2" s="1316"/>
      <c r="H2" s="1316"/>
      <c r="I2" s="1316"/>
      <c r="J2" s="1316"/>
      <c r="K2" s="1316"/>
      <c r="L2" s="1316"/>
    </row>
    <row r="3" spans="1:12">
      <c r="A3" s="1316" t="s">
        <v>500</v>
      </c>
      <c r="B3" s="1316"/>
      <c r="C3" s="1316"/>
      <c r="D3" s="1316"/>
      <c r="E3" s="1316"/>
      <c r="F3" s="1316"/>
      <c r="G3" s="1316"/>
      <c r="H3" s="1316"/>
      <c r="I3" s="1316"/>
      <c r="J3" s="1316"/>
      <c r="K3" s="1316"/>
      <c r="L3" s="1316"/>
    </row>
    <row r="4" spans="1:12">
      <c r="A4" s="1316" t="str">
        <f>'General Headers Index'!B17</f>
        <v>AS OF DECEMBER 31, 2025</v>
      </c>
      <c r="B4" s="1316"/>
      <c r="C4" s="1316"/>
      <c r="D4" s="1316"/>
      <c r="E4" s="1316"/>
      <c r="F4" s="1316"/>
      <c r="G4" s="1316"/>
      <c r="H4" s="1316"/>
      <c r="I4" s="1316"/>
      <c r="J4" s="1316"/>
      <c r="K4" s="1316"/>
      <c r="L4" s="1316"/>
    </row>
    <row r="6" spans="1:12">
      <c r="A6" s="521" t="s">
        <v>2792</v>
      </c>
      <c r="J6" s="521"/>
      <c r="K6" s="521"/>
      <c r="L6" s="522" t="s">
        <v>501</v>
      </c>
    </row>
    <row r="7" spans="1:12">
      <c r="A7" s="521" t="str">
        <f>'General Headers Index'!B37</f>
        <v>TYPE OF FILING:___X___ORIGINAL______UPDATED</v>
      </c>
      <c r="J7" s="521"/>
      <c r="K7" s="521"/>
      <c r="L7" s="522" t="s">
        <v>251</v>
      </c>
    </row>
    <row r="8" spans="1:12">
      <c r="A8" s="220" t="s">
        <v>2469</v>
      </c>
      <c r="J8" s="521"/>
      <c r="K8" s="521"/>
      <c r="L8" s="522" t="str">
        <f>"WITNESS: "&amp;'General Headers Index'!$B$42</f>
        <v>WITNESS: GORE</v>
      </c>
    </row>
    <row r="9" spans="1:12">
      <c r="F9" s="965"/>
      <c r="G9" s="965"/>
      <c r="H9" s="965"/>
      <c r="I9" s="965"/>
      <c r="J9" s="965"/>
      <c r="K9" s="965"/>
      <c r="L9" s="965"/>
    </row>
    <row r="10" spans="1:12">
      <c r="A10" s="523"/>
      <c r="B10" s="523"/>
      <c r="C10" s="523"/>
      <c r="D10" s="523"/>
      <c r="E10" s="523"/>
      <c r="F10" s="520" t="str">
        <f>"13 MONTH"</f>
        <v>13 MONTH</v>
      </c>
    </row>
    <row r="11" spans="1:12">
      <c r="F11" s="520" t="s">
        <v>312</v>
      </c>
      <c r="G11" s="1316" t="s">
        <v>658</v>
      </c>
      <c r="H11" s="1316"/>
      <c r="I11" s="1316"/>
      <c r="J11" s="1316"/>
      <c r="K11" s="1316"/>
      <c r="L11" s="1316"/>
    </row>
    <row r="12" spans="1:12">
      <c r="F12" s="520" t="s">
        <v>651</v>
      </c>
      <c r="G12" s="520"/>
    </row>
    <row r="13" spans="1:12">
      <c r="A13" s="520" t="s">
        <v>313</v>
      </c>
      <c r="B13" s="520"/>
      <c r="C13" s="520" t="s">
        <v>368</v>
      </c>
      <c r="F13" s="520" t="s">
        <v>656</v>
      </c>
      <c r="G13" s="520" t="s">
        <v>349</v>
      </c>
      <c r="H13" s="520" t="s">
        <v>350</v>
      </c>
      <c r="I13" s="520" t="s">
        <v>350</v>
      </c>
      <c r="K13" s="520" t="s">
        <v>351</v>
      </c>
      <c r="L13" s="520" t="str">
        <f>"13 MONTH"</f>
        <v>13 MONTH</v>
      </c>
    </row>
    <row r="14" spans="1:12">
      <c r="A14" s="520" t="s">
        <v>316</v>
      </c>
      <c r="B14" s="520"/>
      <c r="C14" s="520" t="s">
        <v>316</v>
      </c>
      <c r="E14" s="520" t="s">
        <v>504</v>
      </c>
      <c r="F14" s="520" t="s">
        <v>505</v>
      </c>
      <c r="G14" s="520" t="s">
        <v>353</v>
      </c>
      <c r="H14" s="520" t="s">
        <v>354</v>
      </c>
      <c r="I14" s="520" t="s">
        <v>349</v>
      </c>
      <c r="J14" s="520" t="s">
        <v>355</v>
      </c>
      <c r="K14" s="520" t="s">
        <v>372</v>
      </c>
      <c r="L14" s="520" t="s">
        <v>312</v>
      </c>
    </row>
    <row r="15" spans="1:12">
      <c r="A15" s="960" t="s">
        <v>506</v>
      </c>
      <c r="B15" s="960"/>
      <c r="C15" s="960" t="s">
        <v>507</v>
      </c>
      <c r="D15" s="961"/>
      <c r="E15" s="960" t="s">
        <v>508</v>
      </c>
      <c r="F15" s="960" t="s">
        <v>509</v>
      </c>
      <c r="G15" s="960" t="s">
        <v>510</v>
      </c>
      <c r="H15" s="960" t="s">
        <v>511</v>
      </c>
      <c r="I15" s="960" t="s">
        <v>512</v>
      </c>
      <c r="J15" s="960" t="s">
        <v>513</v>
      </c>
      <c r="K15" s="960" t="s">
        <v>514</v>
      </c>
      <c r="L15" s="960" t="s">
        <v>521</v>
      </c>
    </row>
    <row r="16" spans="1:12">
      <c r="A16" s="520"/>
      <c r="C16" s="520"/>
      <c r="E16" s="520"/>
      <c r="F16" s="300" t="s">
        <v>532</v>
      </c>
      <c r="G16" s="300" t="s">
        <v>541</v>
      </c>
      <c r="H16" s="300" t="s">
        <v>542</v>
      </c>
      <c r="I16" s="300" t="s">
        <v>2638</v>
      </c>
      <c r="J16" s="300" t="s">
        <v>669</v>
      </c>
      <c r="K16" s="300" t="s">
        <v>2637</v>
      </c>
      <c r="L16" s="300" t="s">
        <v>984</v>
      </c>
    </row>
    <row r="17" spans="1:12">
      <c r="F17" s="334" t="s">
        <v>320</v>
      </c>
      <c r="G17" s="334" t="s">
        <v>320</v>
      </c>
      <c r="H17" s="334" t="s">
        <v>320</v>
      </c>
      <c r="I17" s="334" t="s">
        <v>320</v>
      </c>
      <c r="J17" s="334" t="s">
        <v>320</v>
      </c>
      <c r="K17" s="334" t="s">
        <v>320</v>
      </c>
      <c r="L17" s="334" t="s">
        <v>320</v>
      </c>
    </row>
    <row r="18" spans="1:12">
      <c r="F18" s="334"/>
      <c r="G18" s="334"/>
      <c r="H18" s="334"/>
      <c r="I18" s="334"/>
      <c r="J18" s="334"/>
      <c r="K18" s="334"/>
      <c r="L18" s="334"/>
    </row>
    <row r="19" spans="1:12">
      <c r="A19" s="520">
        <v>1</v>
      </c>
      <c r="C19" s="1262"/>
      <c r="E19" s="525" t="s">
        <v>373</v>
      </c>
      <c r="F19" s="413"/>
      <c r="G19" s="413"/>
      <c r="I19" s="413"/>
      <c r="J19" s="413"/>
      <c r="K19" s="413"/>
    </row>
    <row r="20" spans="1:12">
      <c r="A20" s="520">
        <f t="shared" ref="A20:A26" si="0">A19+1</f>
        <v>2</v>
      </c>
      <c r="C20" s="1262">
        <v>301</v>
      </c>
      <c r="E20" s="503" t="s">
        <v>374</v>
      </c>
      <c r="F20" s="413">
        <f>'WPB-2.1.A 13 mo avg Forecast '!Q16</f>
        <v>521.19999999999993</v>
      </c>
      <c r="G20" s="413">
        <f>'WPB-3.1 AD&amp;A (Forecast)'!Q16</f>
        <v>0</v>
      </c>
      <c r="H20" s="962">
        <v>1</v>
      </c>
      <c r="I20" s="413">
        <f t="shared" ref="I20:I25" si="1">G20</f>
        <v>0</v>
      </c>
      <c r="J20" s="413">
        <v>0</v>
      </c>
      <c r="K20" s="413">
        <f t="shared" ref="K20:K25" si="2">J20+I20</f>
        <v>0</v>
      </c>
      <c r="L20" s="413">
        <f>'WPB-3.1 AD&amp;A (Forecast)'!R16</f>
        <v>0</v>
      </c>
    </row>
    <row r="21" spans="1:12">
      <c r="A21" s="520">
        <f t="shared" si="0"/>
        <v>3</v>
      </c>
      <c r="C21" s="1262">
        <v>303</v>
      </c>
      <c r="E21" s="503" t="s">
        <v>375</v>
      </c>
      <c r="F21" s="413">
        <f>'WPB-2.1.A 13 mo avg Forecast '!Q17</f>
        <v>88156.566153846143</v>
      </c>
      <c r="G21" s="413">
        <f>'WPB-3.1 AD&amp;A (Forecast)'!Q17</f>
        <v>69762.108791666818</v>
      </c>
      <c r="H21" s="413"/>
      <c r="I21" s="413">
        <f t="shared" si="1"/>
        <v>69762.108791666818</v>
      </c>
      <c r="J21" s="413">
        <v>0</v>
      </c>
      <c r="K21" s="413">
        <f t="shared" si="2"/>
        <v>69762.108791666818</v>
      </c>
      <c r="L21" s="413">
        <f>'WPB-3.1 AD&amp;A (Forecast)'!R17</f>
        <v>75395.909747863378</v>
      </c>
    </row>
    <row r="22" spans="1:12">
      <c r="A22" s="520">
        <f t="shared" si="0"/>
        <v>4</v>
      </c>
      <c r="C22" s="1262">
        <v>303.10000000000002</v>
      </c>
      <c r="E22" s="503" t="s">
        <v>376</v>
      </c>
      <c r="F22" s="413">
        <f>'WPB-2.1.A 13 mo avg Forecast '!Q18</f>
        <v>943.27000000000032</v>
      </c>
      <c r="G22" s="413">
        <f>'WPB-3.1 AD&amp;A (Forecast)'!Q18</f>
        <v>318.35000000000008</v>
      </c>
      <c r="H22" s="413"/>
      <c r="I22" s="413">
        <f t="shared" si="1"/>
        <v>318.35000000000008</v>
      </c>
      <c r="J22" s="413">
        <v>0</v>
      </c>
      <c r="K22" s="413">
        <f t="shared" si="2"/>
        <v>318.35000000000008</v>
      </c>
      <c r="L22" s="413">
        <f>'WPB-3.1 AD&amp;A (Forecast)'!R18</f>
        <v>318.35000000000002</v>
      </c>
    </row>
    <row r="23" spans="1:12">
      <c r="A23" s="520">
        <f t="shared" si="0"/>
        <v>5</v>
      </c>
      <c r="C23" s="1262">
        <v>303.2</v>
      </c>
      <c r="E23" s="503" t="s">
        <v>377</v>
      </c>
      <c r="F23" s="413">
        <f>'WPB-2.1.A 13 mo avg Forecast '!Q19</f>
        <v>0</v>
      </c>
      <c r="G23" s="413">
        <f>'WPB-3.1 AD&amp;A (Forecast)'!Q19</f>
        <v>0</v>
      </c>
      <c r="H23" s="413"/>
      <c r="I23" s="413">
        <f t="shared" si="1"/>
        <v>0</v>
      </c>
      <c r="J23" s="413">
        <v>0</v>
      </c>
      <c r="K23" s="413">
        <f t="shared" si="2"/>
        <v>0</v>
      </c>
      <c r="L23" s="413">
        <f>'WPB-3.1 AD&amp;A (Forecast)'!R19</f>
        <v>0</v>
      </c>
    </row>
    <row r="24" spans="1:12">
      <c r="A24" s="520">
        <f t="shared" si="0"/>
        <v>6</v>
      </c>
      <c r="C24" s="1262">
        <v>303.3</v>
      </c>
      <c r="E24" s="503" t="s">
        <v>378</v>
      </c>
      <c r="F24" s="413">
        <f>'WPB-2.1.A 13 mo avg Forecast '!Q20</f>
        <v>16135215.843362007</v>
      </c>
      <c r="G24" s="413">
        <f>'WPB-3.1 AD&amp;A (Forecast)'!Q20</f>
        <v>7726426.4167021234</v>
      </c>
      <c r="H24" s="413"/>
      <c r="I24" s="413">
        <f t="shared" si="1"/>
        <v>7726426.4167021234</v>
      </c>
      <c r="J24" s="413">
        <v>0</v>
      </c>
      <c r="K24" s="413">
        <f t="shared" si="2"/>
        <v>7726426.4167021234</v>
      </c>
      <c r="L24" s="413">
        <f>'WPB-3.1 AD&amp;A (Forecast)'!R20</f>
        <v>6684278.0974571044</v>
      </c>
    </row>
    <row r="25" spans="1:12">
      <c r="A25" s="520">
        <f t="shared" si="0"/>
        <v>7</v>
      </c>
      <c r="C25" s="1262">
        <v>303.99</v>
      </c>
      <c r="E25" s="503" t="s">
        <v>1129</v>
      </c>
      <c r="F25" s="963">
        <f>'WPB-2.1.A 13 mo avg Forecast '!Q21</f>
        <v>3687044.9116451209</v>
      </c>
      <c r="G25" s="963">
        <f>'WPB-3.1 AD&amp;A (Forecast)'!Q21</f>
        <v>1660318.6006448336</v>
      </c>
      <c r="H25" s="413"/>
      <c r="I25" s="963">
        <f t="shared" si="1"/>
        <v>1660318.6006448336</v>
      </c>
      <c r="J25" s="964">
        <v>0</v>
      </c>
      <c r="K25" s="963">
        <f t="shared" si="2"/>
        <v>1660318.6006448336</v>
      </c>
      <c r="L25" s="963">
        <f>'WPB-3.1 AD&amp;A (Forecast)'!R21</f>
        <v>1350894.9436174606</v>
      </c>
    </row>
    <row r="26" spans="1:12">
      <c r="A26" s="520">
        <f t="shared" si="0"/>
        <v>8</v>
      </c>
      <c r="C26" s="1262"/>
      <c r="E26" s="503" t="s">
        <v>379</v>
      </c>
      <c r="F26" s="413">
        <f>SUM(F20:F25)</f>
        <v>19911881.791160975</v>
      </c>
      <c r="G26" s="413">
        <f>SUM(G20:G25)</f>
        <v>9456825.4761386234</v>
      </c>
      <c r="H26" s="413"/>
      <c r="I26" s="413">
        <f>SUM(I20:I25)</f>
        <v>9456825.4761386234</v>
      </c>
      <c r="J26" s="413">
        <f>SUM(J20:J25)</f>
        <v>0</v>
      </c>
      <c r="K26" s="413">
        <f>SUM(K20:K25)</f>
        <v>9456825.4761386234</v>
      </c>
      <c r="L26" s="413">
        <f>SUM(L20:L25)</f>
        <v>8110887.3008224284</v>
      </c>
    </row>
    <row r="27" spans="1:12">
      <c r="A27" s="520"/>
      <c r="C27" s="1262"/>
      <c r="E27" s="524"/>
      <c r="F27" s="413"/>
      <c r="G27" s="413"/>
      <c r="H27" s="413"/>
      <c r="I27" s="413"/>
      <c r="J27" s="413"/>
      <c r="K27" s="413"/>
      <c r="L27" s="413"/>
    </row>
    <row r="28" spans="1:12">
      <c r="A28" s="520">
        <f>A26+1</f>
        <v>9</v>
      </c>
      <c r="C28" s="1262"/>
      <c r="E28" s="525" t="s">
        <v>381</v>
      </c>
      <c r="F28" s="413"/>
      <c r="G28" s="413"/>
      <c r="H28" s="413"/>
      <c r="I28" s="413"/>
      <c r="J28" s="413"/>
      <c r="K28" s="413"/>
      <c r="L28" s="413"/>
    </row>
    <row r="29" spans="1:12">
      <c r="A29" s="520">
        <f>A28+1</f>
        <v>10</v>
      </c>
      <c r="C29" s="1262">
        <v>374.1</v>
      </c>
      <c r="E29" s="503" t="s">
        <v>382</v>
      </c>
      <c r="F29" s="413">
        <f>'WPB-2.1.A 13 mo avg Forecast '!Q25</f>
        <v>205.40000000000006</v>
      </c>
      <c r="G29" s="413">
        <f>'WPB-3.1 AD&amp;A (Forecast)'!Q25</f>
        <v>0</v>
      </c>
      <c r="H29" s="413"/>
      <c r="I29" s="413">
        <f>G29</f>
        <v>0</v>
      </c>
      <c r="J29" s="413">
        <v>0</v>
      </c>
      <c r="K29" s="413">
        <f t="shared" ref="K29:K45" si="3">J29+I29</f>
        <v>0</v>
      </c>
      <c r="L29" s="413">
        <f>'WPB-3.1 AD&amp;A (Forecast)'!R25</f>
        <v>0</v>
      </c>
    </row>
    <row r="30" spans="1:12">
      <c r="A30" s="520">
        <f t="shared" ref="A30:A46" si="4">A29+1</f>
        <v>11</v>
      </c>
      <c r="C30" s="1262">
        <v>374.2</v>
      </c>
      <c r="E30" s="503" t="s">
        <v>383</v>
      </c>
      <c r="F30" s="413">
        <f>'WPB-2.1.A 13 mo avg Forecast '!Q26</f>
        <v>876986.66</v>
      </c>
      <c r="G30" s="413">
        <f>'WPB-3.1 AD&amp;A (Forecast)'!Q26</f>
        <v>-522.25</v>
      </c>
      <c r="H30" s="413"/>
      <c r="I30" s="413">
        <f t="shared" ref="I30:I45" si="5">G30</f>
        <v>-522.25</v>
      </c>
      <c r="J30" s="413">
        <v>0</v>
      </c>
      <c r="K30" s="413">
        <f t="shared" si="3"/>
        <v>-522.25</v>
      </c>
      <c r="L30" s="413">
        <f>'WPB-3.1 AD&amp;A (Forecast)'!R26</f>
        <v>-522.25</v>
      </c>
    </row>
    <row r="31" spans="1:12">
      <c r="A31" s="520">
        <f t="shared" si="4"/>
        <v>12</v>
      </c>
      <c r="C31" s="1262">
        <v>374.4</v>
      </c>
      <c r="E31" s="503" t="s">
        <v>384</v>
      </c>
      <c r="F31" s="413">
        <f>'WPB-2.1.A 13 mo avg Forecast '!Q27</f>
        <v>3216702.4692307701</v>
      </c>
      <c r="G31" s="413">
        <f>'WPB-3.1 AD&amp;A (Forecast)'!Q27</f>
        <v>432193.77</v>
      </c>
      <c r="H31" s="413"/>
      <c r="I31" s="413">
        <f t="shared" si="5"/>
        <v>432193.77</v>
      </c>
      <c r="J31" s="413">
        <v>0</v>
      </c>
      <c r="K31" s="413">
        <f t="shared" si="3"/>
        <v>432193.77</v>
      </c>
      <c r="L31" s="413">
        <f>'WPB-3.1 AD&amp;A (Forecast)'!R27</f>
        <v>412969.57461538451</v>
      </c>
    </row>
    <row r="32" spans="1:12">
      <c r="A32" s="520">
        <f t="shared" si="4"/>
        <v>13</v>
      </c>
      <c r="C32" s="1262">
        <v>374.5</v>
      </c>
      <c r="E32" s="503" t="s">
        <v>385</v>
      </c>
      <c r="F32" s="413">
        <f>'WPB-2.1.A 13 mo avg Forecast '!Q28</f>
        <v>2666577.1599999997</v>
      </c>
      <c r="G32" s="413">
        <f>'WPB-3.1 AD&amp;A (Forecast)'!Q28</f>
        <v>1214956.1900000013</v>
      </c>
      <c r="H32" s="413"/>
      <c r="I32" s="413">
        <f t="shared" si="5"/>
        <v>1214956.1900000013</v>
      </c>
      <c r="J32" s="413">
        <v>0</v>
      </c>
      <c r="K32" s="413">
        <f t="shared" si="3"/>
        <v>1214956.1900000013</v>
      </c>
      <c r="L32" s="413">
        <f>'WPB-3.1 AD&amp;A (Forecast)'!R28</f>
        <v>1200292.1900000013</v>
      </c>
    </row>
    <row r="33" spans="1:12">
      <c r="A33" s="520">
        <f t="shared" si="4"/>
        <v>14</v>
      </c>
      <c r="C33" s="1262">
        <v>375.2</v>
      </c>
      <c r="E33" s="503" t="s">
        <v>386</v>
      </c>
      <c r="F33" s="413">
        <f>'WPB-2.1.A 13 mo avg Forecast '!Q29</f>
        <v>2124.98</v>
      </c>
      <c r="G33" s="413">
        <f>'WPB-3.1 AD&amp;A (Forecast)'!Q29</f>
        <v>2151.3000000000002</v>
      </c>
      <c r="H33" s="413"/>
      <c r="I33" s="413">
        <f t="shared" si="5"/>
        <v>2151.3000000000002</v>
      </c>
      <c r="J33" s="413">
        <v>0</v>
      </c>
      <c r="K33" s="413">
        <f t="shared" si="3"/>
        <v>2151.3000000000002</v>
      </c>
      <c r="L33" s="413">
        <f>'WPB-3.1 AD&amp;A (Forecast)'!R29</f>
        <v>2127.2999999999997</v>
      </c>
    </row>
    <row r="34" spans="1:12">
      <c r="A34" s="520">
        <f t="shared" si="4"/>
        <v>15</v>
      </c>
      <c r="C34" s="1262">
        <v>375.3</v>
      </c>
      <c r="E34" s="503" t="s">
        <v>387</v>
      </c>
      <c r="F34" s="413">
        <f>'WPB-2.1.A 13 mo avg Forecast '!Q30</f>
        <v>0</v>
      </c>
      <c r="G34" s="413">
        <f>'WPB-3.1 AD&amp;A (Forecast)'!Q30</f>
        <v>-77.66</v>
      </c>
      <c r="H34" s="413"/>
      <c r="I34" s="413">
        <f t="shared" si="5"/>
        <v>-77.66</v>
      </c>
      <c r="J34" s="413">
        <v>0</v>
      </c>
      <c r="K34" s="413">
        <f t="shared" si="3"/>
        <v>-77.66</v>
      </c>
      <c r="L34" s="413">
        <f>'WPB-3.1 AD&amp;A (Forecast)'!R30</f>
        <v>-77.659999999999982</v>
      </c>
    </row>
    <row r="35" spans="1:12">
      <c r="A35" s="520">
        <f t="shared" si="4"/>
        <v>16</v>
      </c>
      <c r="C35" s="1262">
        <v>375.4</v>
      </c>
      <c r="E35" s="503" t="s">
        <v>388</v>
      </c>
      <c r="F35" s="413">
        <f>'WPB-2.1.A 13 mo avg Forecast '!Q31</f>
        <v>3995284.3684615372</v>
      </c>
      <c r="G35" s="413">
        <f>'WPB-3.1 AD&amp;A (Forecast)'!Q31</f>
        <v>-138002.77999999985</v>
      </c>
      <c r="H35" s="413"/>
      <c r="I35" s="413">
        <f t="shared" si="5"/>
        <v>-138002.77999999985</v>
      </c>
      <c r="J35" s="413">
        <v>0</v>
      </c>
      <c r="K35" s="413">
        <f t="shared" si="3"/>
        <v>-138002.77999999985</v>
      </c>
      <c r="L35" s="413">
        <f>'WPB-3.1 AD&amp;A (Forecast)'!R31</f>
        <v>147966.04307692323</v>
      </c>
    </row>
    <row r="36" spans="1:12">
      <c r="A36" s="520">
        <f t="shared" si="4"/>
        <v>17</v>
      </c>
      <c r="C36" s="1262">
        <v>375.6</v>
      </c>
      <c r="E36" s="503" t="s">
        <v>389</v>
      </c>
      <c r="F36" s="413">
        <f>'WPB-2.1.A 13 mo avg Forecast '!Q32</f>
        <v>0</v>
      </c>
      <c r="G36" s="413">
        <f>'WPB-3.1 AD&amp;A (Forecast)'!Q32</f>
        <v>0.02</v>
      </c>
      <c r="H36" s="413"/>
      <c r="I36" s="413">
        <f t="shared" si="5"/>
        <v>0.02</v>
      </c>
      <c r="J36" s="413">
        <v>0</v>
      </c>
      <c r="K36" s="413">
        <f t="shared" si="3"/>
        <v>0.02</v>
      </c>
      <c r="L36" s="413">
        <f>'WPB-3.1 AD&amp;A (Forecast)'!R32</f>
        <v>1.9999999999999997E-2</v>
      </c>
    </row>
    <row r="37" spans="1:12">
      <c r="A37" s="520">
        <f t="shared" si="4"/>
        <v>18</v>
      </c>
      <c r="C37" s="1262">
        <v>375.7</v>
      </c>
      <c r="E37" s="503" t="s">
        <v>390</v>
      </c>
      <c r="F37" s="413">
        <f>'WPB-2.1.A 13 mo avg Forecast '!Q33</f>
        <v>9736915.6261538453</v>
      </c>
      <c r="G37" s="413">
        <f>'WPB-3.1 AD&amp;A (Forecast)'!Q33</f>
        <v>5152855.6499999985</v>
      </c>
      <c r="H37" s="413"/>
      <c r="I37" s="413">
        <f t="shared" si="5"/>
        <v>5152855.6499999985</v>
      </c>
      <c r="J37" s="413">
        <v>0</v>
      </c>
      <c r="K37" s="413">
        <f t="shared" si="3"/>
        <v>5152855.6499999985</v>
      </c>
      <c r="L37" s="413">
        <f>'WPB-3.1 AD&amp;A (Forecast)'!R33</f>
        <v>5031862.3599999985</v>
      </c>
    </row>
    <row r="38" spans="1:12">
      <c r="A38" s="520">
        <f t="shared" si="4"/>
        <v>19</v>
      </c>
      <c r="C38" s="1262">
        <v>375.71</v>
      </c>
      <c r="E38" s="503" t="s">
        <v>391</v>
      </c>
      <c r="F38" s="413">
        <f>'WPB-2.1.A 13 mo avg Forecast '!Q34</f>
        <v>880994.59</v>
      </c>
      <c r="G38" s="413">
        <f>'WPB-3.1 AD&amp;A (Forecast)'!Q34</f>
        <v>872808.08000000124</v>
      </c>
      <c r="H38" s="413"/>
      <c r="I38" s="413">
        <f t="shared" si="5"/>
        <v>872808.08000000124</v>
      </c>
      <c r="J38" s="413">
        <v>0</v>
      </c>
      <c r="K38" s="413">
        <f t="shared" si="3"/>
        <v>872808.08000000124</v>
      </c>
      <c r="L38" s="413">
        <f>'WPB-3.1 AD&amp;A (Forecast)'!R34</f>
        <v>844346.84000000102</v>
      </c>
    </row>
    <row r="39" spans="1:12">
      <c r="A39" s="520">
        <f t="shared" si="4"/>
        <v>20</v>
      </c>
      <c r="C39" s="1262">
        <v>375.8</v>
      </c>
      <c r="E39" s="503" t="s">
        <v>392</v>
      </c>
      <c r="F39" s="413">
        <f>'WPB-2.1.A 13 mo avg Forecast '!Q35</f>
        <v>132125.04</v>
      </c>
      <c r="G39" s="413">
        <f>'WPB-3.1 AD&amp;A (Forecast)'!Q35</f>
        <v>17332.43</v>
      </c>
      <c r="H39" s="413"/>
      <c r="I39" s="413">
        <f t="shared" si="5"/>
        <v>17332.43</v>
      </c>
      <c r="J39" s="413">
        <v>0</v>
      </c>
      <c r="K39" s="413">
        <f t="shared" si="3"/>
        <v>17332.43</v>
      </c>
      <c r="L39" s="413">
        <f>'WPB-3.1 AD&amp;A (Forecast)'!R35</f>
        <v>15940.429999999995</v>
      </c>
    </row>
    <row r="40" spans="1:12">
      <c r="A40" s="520">
        <f t="shared" si="4"/>
        <v>21</v>
      </c>
      <c r="B40" s="291"/>
      <c r="C40" s="295">
        <v>376</v>
      </c>
      <c r="D40" s="291"/>
      <c r="E40" s="220" t="s">
        <v>1621</v>
      </c>
      <c r="F40" s="413">
        <f>'WPB-2.1.A 13 mo avg Forecast '!Q36</f>
        <v>423416151.57083267</v>
      </c>
      <c r="G40" s="413">
        <f>'WPB-3.1 AD&amp;A (Forecast)'!Q36</f>
        <v>92820059.552901357</v>
      </c>
      <c r="H40" s="413"/>
      <c r="I40" s="413">
        <f t="shared" si="5"/>
        <v>92820059.552901357</v>
      </c>
      <c r="J40" s="413">
        <v>0</v>
      </c>
      <c r="K40" s="413">
        <f t="shared" si="3"/>
        <v>92820059.552901357</v>
      </c>
      <c r="L40" s="413">
        <f>'WPB-3.1 AD&amp;A (Forecast)'!R36</f>
        <v>89641783.866442695</v>
      </c>
    </row>
    <row r="41" spans="1:12">
      <c r="A41" s="520">
        <f t="shared" si="4"/>
        <v>22</v>
      </c>
      <c r="C41" s="1262">
        <v>378.1</v>
      </c>
      <c r="E41" s="220" t="s">
        <v>394</v>
      </c>
      <c r="F41" s="413">
        <f>'WPB-2.1.A 13 mo avg Forecast '!Q37</f>
        <v>-172291.25</v>
      </c>
      <c r="G41" s="413">
        <f>'WPB-3.1 AD&amp;A (Forecast)'!Q37</f>
        <v>-333319.52000000008</v>
      </c>
      <c r="H41" s="413"/>
      <c r="I41" s="413">
        <f t="shared" si="5"/>
        <v>-333319.52000000008</v>
      </c>
      <c r="J41" s="413">
        <v>0</v>
      </c>
      <c r="K41" s="413">
        <f t="shared" si="3"/>
        <v>-333319.52000000008</v>
      </c>
      <c r="L41" s="413">
        <f>'WPB-3.1 AD&amp;A (Forecast)'!R37</f>
        <v>-330469.52000000008</v>
      </c>
    </row>
    <row r="42" spans="1:12">
      <c r="A42" s="520">
        <f t="shared" si="4"/>
        <v>23</v>
      </c>
      <c r="C42" s="1262">
        <v>378.2</v>
      </c>
      <c r="E42" s="220" t="s">
        <v>1622</v>
      </c>
      <c r="F42" s="413">
        <f>'WPB-2.1.A 13 mo avg Forecast '!Q38</f>
        <v>29553453.695415787</v>
      </c>
      <c r="G42" s="413">
        <f>'WPB-3.1 AD&amp;A (Forecast)'!Q38</f>
        <v>2875103.2669150694</v>
      </c>
      <c r="H42" s="413"/>
      <c r="I42" s="413">
        <f t="shared" si="5"/>
        <v>2875103.2669150694</v>
      </c>
      <c r="J42" s="413">
        <v>0</v>
      </c>
      <c r="K42" s="413">
        <f t="shared" si="3"/>
        <v>2875103.2669150694</v>
      </c>
      <c r="L42" s="413">
        <f>'WPB-3.1 AD&amp;A (Forecast)'!R38</f>
        <v>3285509.6028035837</v>
      </c>
    </row>
    <row r="43" spans="1:12">
      <c r="A43" s="520">
        <f t="shared" si="4"/>
        <v>24</v>
      </c>
      <c r="C43" s="1262">
        <v>378.3</v>
      </c>
      <c r="E43" s="220" t="s">
        <v>396</v>
      </c>
      <c r="F43" s="413">
        <f>'WPB-2.1.A 13 mo avg Forecast '!Q39</f>
        <v>45443.08</v>
      </c>
      <c r="G43" s="413">
        <f>'WPB-3.1 AD&amp;A (Forecast)'!Q39</f>
        <v>45808.320000000007</v>
      </c>
      <c r="H43" s="413"/>
      <c r="I43" s="413">
        <f t="shared" si="5"/>
        <v>45808.320000000007</v>
      </c>
      <c r="J43" s="413">
        <v>0</v>
      </c>
      <c r="K43" s="413">
        <f t="shared" si="3"/>
        <v>45808.320000000007</v>
      </c>
      <c r="L43" s="413">
        <f>'WPB-3.1 AD&amp;A (Forecast)'!R39</f>
        <v>45058.320000000014</v>
      </c>
    </row>
    <row r="44" spans="1:12">
      <c r="A44" s="520">
        <f t="shared" si="4"/>
        <v>25</v>
      </c>
      <c r="C44" s="1262">
        <v>379.1</v>
      </c>
      <c r="E44" s="220" t="s">
        <v>397</v>
      </c>
      <c r="F44" s="413">
        <f>'WPB-2.1.A 13 mo avg Forecast '!Q40</f>
        <v>1554144.06</v>
      </c>
      <c r="G44" s="413">
        <f>'WPB-3.1 AD&amp;A (Forecast)'!Q40</f>
        <v>428473.19000000006</v>
      </c>
      <c r="H44" s="413"/>
      <c r="I44" s="413">
        <f t="shared" si="5"/>
        <v>428473.19000000006</v>
      </c>
      <c r="J44" s="413">
        <v>0</v>
      </c>
      <c r="K44" s="413">
        <f t="shared" si="3"/>
        <v>428473.19000000006</v>
      </c>
      <c r="L44" s="413">
        <f>'WPB-3.1 AD&amp;A (Forecast)'!R40</f>
        <v>408733.19000000006</v>
      </c>
    </row>
    <row r="45" spans="1:12">
      <c r="A45" s="520">
        <f t="shared" si="4"/>
        <v>26</v>
      </c>
      <c r="B45" s="291"/>
      <c r="C45" s="295">
        <v>380</v>
      </c>
      <c r="D45" s="291"/>
      <c r="E45" s="220" t="s">
        <v>1623</v>
      </c>
      <c r="F45" s="413">
        <f>'WPB-2.1.A 13 mo avg Forecast '!Q41</f>
        <v>206990733.67370528</v>
      </c>
      <c r="G45" s="413">
        <f>'WPB-3.1 AD&amp;A (Forecast)'!Q41</f>
        <v>76030192.596031204</v>
      </c>
      <c r="H45" s="413"/>
      <c r="I45" s="413">
        <f t="shared" si="5"/>
        <v>76030192.596031204</v>
      </c>
      <c r="J45" s="413">
        <v>0</v>
      </c>
      <c r="K45" s="413">
        <f t="shared" si="3"/>
        <v>76030192.596031204</v>
      </c>
      <c r="L45" s="413">
        <f>'WPB-3.1 AD&amp;A (Forecast)'!R41</f>
        <v>71285388.435573325</v>
      </c>
    </row>
    <row r="46" spans="1:12" ht="14.45" customHeight="1">
      <c r="A46" s="520">
        <f t="shared" si="4"/>
        <v>27</v>
      </c>
      <c r="C46" s="1262">
        <v>381</v>
      </c>
      <c r="E46" s="503" t="s">
        <v>399</v>
      </c>
      <c r="F46" s="413">
        <f>'WPB-2.1.A 13 mo avg Forecast '!Q42</f>
        <v>20844456.254281364</v>
      </c>
      <c r="G46" s="413">
        <f>'WPB-3.1 AD&amp;A (Forecast)'!Q42</f>
        <v>2119615.3099999996</v>
      </c>
      <c r="H46" s="413"/>
      <c r="I46" s="413">
        <f>G46</f>
        <v>2119615.3099999996</v>
      </c>
      <c r="J46" s="413">
        <v>0</v>
      </c>
      <c r="K46" s="413">
        <f>J46+I46</f>
        <v>2119615.3099999996</v>
      </c>
      <c r="L46" s="413">
        <f>'WPB-3.1 AD&amp;A (Forecast)'!R42</f>
        <v>1939598.9953846149</v>
      </c>
    </row>
    <row r="47" spans="1:12">
      <c r="A47" s="520">
        <f>A46+1</f>
        <v>28</v>
      </c>
      <c r="C47" s="1262">
        <v>381.1</v>
      </c>
      <c r="E47" s="503" t="s">
        <v>2366</v>
      </c>
      <c r="F47" s="413">
        <f>'WPB-2.1.A 13 mo avg Forecast '!Q43</f>
        <v>9980854.4800000023</v>
      </c>
      <c r="G47" s="413">
        <f>'WPB-3.1 AD&amp;A (Forecast)'!Q43</f>
        <v>6785367.0300000031</v>
      </c>
      <c r="H47" s="413"/>
      <c r="I47" s="413">
        <f>G47</f>
        <v>6785367.0300000031</v>
      </c>
      <c r="J47" s="413">
        <v>0</v>
      </c>
      <c r="K47" s="413">
        <f>J47+I47</f>
        <v>6785367.0300000031</v>
      </c>
      <c r="L47" s="413">
        <f>'WPB-3.1 AD&amp;A (Forecast)'!R43</f>
        <v>6446517.0300000021</v>
      </c>
    </row>
    <row r="48" spans="1:12">
      <c r="A48" s="520">
        <f>A47+1</f>
        <v>29</v>
      </c>
      <c r="C48" s="1262">
        <v>382</v>
      </c>
      <c r="E48" s="220" t="s">
        <v>1624</v>
      </c>
      <c r="F48" s="413">
        <f>'WPB-2.1.A 13 mo avg Forecast '!Q44</f>
        <v>10741912.148293857</v>
      </c>
      <c r="G48" s="413">
        <f>'WPB-3.1 AD&amp;A (Forecast)'!Q44</f>
        <v>6241744.3113456862</v>
      </c>
      <c r="H48" s="413"/>
      <c r="I48" s="413">
        <f>G48</f>
        <v>6241744.3113456862</v>
      </c>
      <c r="J48" s="413">
        <v>0</v>
      </c>
      <c r="K48" s="413">
        <f>J48+I48</f>
        <v>6241744.3113456862</v>
      </c>
      <c r="L48" s="413">
        <f>'WPB-3.1 AD&amp;A (Forecast)'!R44</f>
        <v>6129404.45784608</v>
      </c>
    </row>
    <row r="49" spans="1:12">
      <c r="A49" s="520">
        <f>A48+1</f>
        <v>30</v>
      </c>
      <c r="C49" s="1262">
        <v>383</v>
      </c>
      <c r="E49" s="220" t="s">
        <v>1625</v>
      </c>
      <c r="F49" s="413">
        <f>'WPB-2.1.A 13 mo avg Forecast '!Q45</f>
        <v>7740847.6078520026</v>
      </c>
      <c r="G49" s="413">
        <f>'WPB-3.1 AD&amp;A (Forecast)'!Q45</f>
        <v>2790171.9761325005</v>
      </c>
      <c r="H49" s="413"/>
      <c r="I49" s="413">
        <f>G49</f>
        <v>2790171.9761325005</v>
      </c>
      <c r="J49" s="413">
        <v>0</v>
      </c>
      <c r="K49" s="413">
        <f>J49+I49</f>
        <v>2790171.9761325005</v>
      </c>
      <c r="L49" s="413">
        <f>'WPB-3.1 AD&amp;A (Forecast)'!R45</f>
        <v>2708053.449476127</v>
      </c>
    </row>
    <row r="50" spans="1:12">
      <c r="A50" s="520">
        <f>A49+1</f>
        <v>31</v>
      </c>
      <c r="C50" s="1262">
        <v>384</v>
      </c>
      <c r="E50" s="503" t="s">
        <v>402</v>
      </c>
      <c r="F50" s="413">
        <f>'WPB-2.1.A 13 mo avg Forecast '!Q46</f>
        <v>2085301.5753846152</v>
      </c>
      <c r="G50" s="413">
        <f>'WPB-3.1 AD&amp;A (Forecast)'!Q46</f>
        <v>1790116.1399999992</v>
      </c>
      <c r="H50" s="413"/>
      <c r="I50" s="413">
        <f>G50</f>
        <v>1790116.1399999992</v>
      </c>
      <c r="J50" s="413">
        <v>0</v>
      </c>
      <c r="K50" s="413">
        <f>J50+I50</f>
        <v>1790116.1399999992</v>
      </c>
      <c r="L50" s="413">
        <f>'WPB-3.1 AD&amp;A (Forecast)'!R46</f>
        <v>1769368.1399999994</v>
      </c>
    </row>
    <row r="51" spans="1:12">
      <c r="A51" s="520">
        <f t="shared" ref="A51:A59" si="6">A50+1</f>
        <v>32</v>
      </c>
      <c r="C51" s="1262">
        <v>385</v>
      </c>
      <c r="E51" s="503" t="s">
        <v>403</v>
      </c>
      <c r="F51" s="413">
        <f>'WPB-2.1.A 13 mo avg Forecast '!Q47</f>
        <v>6363314.383076922</v>
      </c>
      <c r="G51" s="413">
        <f>'WPB-3.1 AD&amp;A (Forecast)'!Q47</f>
        <v>1023159.7899999998</v>
      </c>
      <c r="H51" s="413"/>
      <c r="I51" s="413">
        <f t="shared" ref="I51:I57" si="7">G51</f>
        <v>1023159.7899999998</v>
      </c>
      <c r="J51" s="413">
        <v>0</v>
      </c>
      <c r="K51" s="413">
        <f t="shared" ref="K51:K57" si="8">J51+I51</f>
        <v>1023159.7899999998</v>
      </c>
      <c r="L51" s="413">
        <f>'WPB-3.1 AD&amp;A (Forecast)'!R47</f>
        <v>955441.86615384568</v>
      </c>
    </row>
    <row r="52" spans="1:12">
      <c r="A52" s="520">
        <f t="shared" si="6"/>
        <v>33</v>
      </c>
      <c r="C52" s="1262">
        <v>387.2</v>
      </c>
      <c r="E52" s="503" t="s">
        <v>404</v>
      </c>
      <c r="F52" s="413">
        <f>'WPB-2.1.A 13 mo avg Forecast '!Q48</f>
        <v>0</v>
      </c>
      <c r="G52" s="413">
        <f>'WPB-3.1 AD&amp;A (Forecast)'!Q48</f>
        <v>-59912.03</v>
      </c>
      <c r="H52" s="413"/>
      <c r="I52" s="413">
        <f t="shared" si="7"/>
        <v>-59912.03</v>
      </c>
      <c r="J52" s="413">
        <v>0</v>
      </c>
      <c r="K52" s="413">
        <f t="shared" si="8"/>
        <v>-59912.03</v>
      </c>
      <c r="L52" s="413">
        <f>'WPB-3.1 AD&amp;A (Forecast)'!R48</f>
        <v>-59912.030000000021</v>
      </c>
    </row>
    <row r="53" spans="1:12">
      <c r="A53" s="520">
        <f t="shared" si="6"/>
        <v>34</v>
      </c>
      <c r="C53" s="1262">
        <v>387.41</v>
      </c>
      <c r="E53" s="503" t="s">
        <v>405</v>
      </c>
      <c r="F53" s="413">
        <f>'WPB-2.1.A 13 mo avg Forecast '!Q49</f>
        <v>260538.46</v>
      </c>
      <c r="G53" s="413">
        <f>'WPB-3.1 AD&amp;A (Forecast)'!Q49</f>
        <v>81756.970000000059</v>
      </c>
      <c r="H53" s="413"/>
      <c r="I53" s="413">
        <f t="shared" si="7"/>
        <v>81756.970000000059</v>
      </c>
      <c r="J53" s="413">
        <v>0</v>
      </c>
      <c r="K53" s="413">
        <f t="shared" si="8"/>
        <v>81756.970000000059</v>
      </c>
      <c r="L53" s="413">
        <f>'WPB-3.1 AD&amp;A (Forecast)'!R49</f>
        <v>75294.970000000074</v>
      </c>
    </row>
    <row r="54" spans="1:12">
      <c r="A54" s="520">
        <f t="shared" si="6"/>
        <v>35</v>
      </c>
      <c r="C54" s="1262">
        <v>387.42</v>
      </c>
      <c r="E54" s="503" t="s">
        <v>406</v>
      </c>
      <c r="F54" s="413">
        <f>'WPB-2.1.A 13 mo avg Forecast '!Q50</f>
        <v>419367.40000000008</v>
      </c>
      <c r="G54" s="413">
        <f>'WPB-3.1 AD&amp;A (Forecast)'!Q50</f>
        <v>377779.80999999976</v>
      </c>
      <c r="H54" s="413"/>
      <c r="I54" s="413">
        <f t="shared" si="7"/>
        <v>377779.80999999976</v>
      </c>
      <c r="J54" s="413">
        <v>0</v>
      </c>
      <c r="K54" s="413">
        <f t="shared" si="8"/>
        <v>377779.80999999976</v>
      </c>
      <c r="L54" s="413">
        <f>'WPB-3.1 AD&amp;A (Forecast)'!R50</f>
        <v>367381.80999999965</v>
      </c>
    </row>
    <row r="55" spans="1:12">
      <c r="A55" s="520">
        <f t="shared" si="6"/>
        <v>36</v>
      </c>
      <c r="C55" s="1262">
        <v>387.44</v>
      </c>
      <c r="E55" s="503" t="s">
        <v>407</v>
      </c>
      <c r="F55" s="413">
        <f>'WPB-2.1.A 13 mo avg Forecast '!Q51</f>
        <v>124678.76000000001</v>
      </c>
      <c r="G55" s="413">
        <f>'WPB-3.1 AD&amp;A (Forecast)'!Q51</f>
        <v>77629.390000000014</v>
      </c>
      <c r="H55" s="413"/>
      <c r="I55" s="413">
        <f t="shared" si="7"/>
        <v>77629.390000000014</v>
      </c>
      <c r="J55" s="413">
        <v>0</v>
      </c>
      <c r="K55" s="413">
        <f t="shared" si="8"/>
        <v>77629.390000000014</v>
      </c>
      <c r="L55" s="413">
        <f>'WPB-3.1 AD&amp;A (Forecast)'!R51</f>
        <v>74539.390000000014</v>
      </c>
    </row>
    <row r="56" spans="1:12">
      <c r="A56" s="520">
        <f t="shared" si="6"/>
        <v>37</v>
      </c>
      <c r="C56" s="1262">
        <v>387.45</v>
      </c>
      <c r="E56" s="503" t="s">
        <v>408</v>
      </c>
      <c r="F56" s="413">
        <f>'WPB-2.1.A 13 mo avg Forecast '!Q52</f>
        <v>6532093.9123076955</v>
      </c>
      <c r="G56" s="413">
        <f>'WPB-3.1 AD&amp;A (Forecast)'!Q52</f>
        <v>-1003305.9900000001</v>
      </c>
      <c r="H56" s="413"/>
      <c r="I56" s="413">
        <f t="shared" si="7"/>
        <v>-1003305.9900000001</v>
      </c>
      <c r="J56" s="413">
        <v>0</v>
      </c>
      <c r="K56" s="413">
        <f t="shared" si="8"/>
        <v>-1003305.9900000001</v>
      </c>
      <c r="L56" s="413">
        <f>'WPB-3.1 AD&amp;A (Forecast)'!R52</f>
        <v>-873972.38769230759</v>
      </c>
    </row>
    <row r="57" spans="1:12">
      <c r="A57" s="520">
        <f t="shared" si="6"/>
        <v>38</v>
      </c>
      <c r="C57" s="1262">
        <v>387.46</v>
      </c>
      <c r="E57" s="503" t="s">
        <v>409</v>
      </c>
      <c r="F57" s="413">
        <f>'WPB-2.1.A 13 mo avg Forecast '!Q53</f>
        <v>113644.46999999999</v>
      </c>
      <c r="G57" s="413">
        <f>'WPB-3.1 AD&amp;A (Forecast)'!Q53</f>
        <v>123207.07</v>
      </c>
      <c r="H57" s="413"/>
      <c r="I57" s="413">
        <f t="shared" si="7"/>
        <v>123207.07</v>
      </c>
      <c r="J57" s="413">
        <v>0</v>
      </c>
      <c r="K57" s="413">
        <f t="shared" si="8"/>
        <v>123207.07</v>
      </c>
      <c r="L57" s="413">
        <f>'WPB-3.1 AD&amp;A (Forecast)'!R53</f>
        <v>120387.07000000005</v>
      </c>
    </row>
    <row r="58" spans="1:12">
      <c r="A58" s="520">
        <f t="shared" si="6"/>
        <v>39</v>
      </c>
      <c r="C58" s="1262">
        <v>387.5</v>
      </c>
      <c r="E58" s="503" t="s">
        <v>1075</v>
      </c>
      <c r="F58" s="963">
        <f>'WPB-2.1.A 13 mo avg Forecast '!Q54</f>
        <v>238072.68999999997</v>
      </c>
      <c r="G58" s="963">
        <f>'WPB-3.1 AD&amp;A (Forecast)'!Q54</f>
        <v>103164.47000000003</v>
      </c>
      <c r="H58" s="413"/>
      <c r="I58" s="963">
        <f>G58</f>
        <v>103164.47000000003</v>
      </c>
      <c r="J58" s="964">
        <v>0</v>
      </c>
      <c r="K58" s="963">
        <f>J58+I58</f>
        <v>103164.47000000003</v>
      </c>
      <c r="L58" s="963">
        <f>'WPB-3.1 AD&amp;A (Forecast)'!R54</f>
        <v>87096.47</v>
      </c>
    </row>
    <row r="59" spans="1:12">
      <c r="A59" s="520">
        <f t="shared" si="6"/>
        <v>40</v>
      </c>
      <c r="C59" s="524"/>
      <c r="E59" s="503" t="s">
        <v>410</v>
      </c>
      <c r="F59" s="413">
        <f>SUM(F51:F58,F29:F50)</f>
        <v>748340633.26499629</v>
      </c>
      <c r="G59" s="413">
        <f>SUM(G51:G58,G29:G50)</f>
        <v>199870506.40332583</v>
      </c>
      <c r="H59" s="413"/>
      <c r="I59" s="413">
        <f>SUM(I51:I58,I29:I50)</f>
        <v>199870506.40332583</v>
      </c>
      <c r="J59" s="413">
        <f>SUM(J46:J58,J29:J45)</f>
        <v>0</v>
      </c>
      <c r="K59" s="413">
        <f>SUM(K51:K58,K29:K50)</f>
        <v>199870506.40332583</v>
      </c>
      <c r="L59" s="413">
        <f>SUM(L51:L58,L29:L50)</f>
        <v>191730107.97368023</v>
      </c>
    </row>
    <row r="60" spans="1:12">
      <c r="C60" s="524"/>
      <c r="E60" s="503"/>
      <c r="F60" s="413"/>
      <c r="G60" s="413"/>
      <c r="H60" s="413"/>
      <c r="I60" s="413"/>
      <c r="J60" s="413"/>
      <c r="K60" s="413"/>
      <c r="L60" s="413"/>
    </row>
    <row r="61" spans="1:12">
      <c r="A61" s="1316" t="str">
        <f>A1</f>
        <v>COLUMBIA GAS OF KENTUCKY, INC.</v>
      </c>
      <c r="B61" s="1316"/>
      <c r="C61" s="1316"/>
      <c r="D61" s="1316"/>
      <c r="E61" s="1316"/>
      <c r="F61" s="1316"/>
      <c r="G61" s="1316"/>
      <c r="H61" s="1316"/>
      <c r="I61" s="1316"/>
      <c r="J61" s="1316"/>
      <c r="K61" s="1316"/>
      <c r="L61" s="1316"/>
    </row>
    <row r="62" spans="1:12">
      <c r="A62" s="1316" t="str">
        <f>A2</f>
        <v>CASE NO. 2024 - 00092</v>
      </c>
      <c r="B62" s="1316"/>
      <c r="C62" s="1316"/>
      <c r="D62" s="1316"/>
      <c r="E62" s="1316"/>
      <c r="F62" s="1316"/>
      <c r="G62" s="1316"/>
      <c r="H62" s="1316"/>
      <c r="I62" s="1316"/>
      <c r="J62" s="1316"/>
      <c r="K62" s="1316"/>
      <c r="L62" s="1316"/>
    </row>
    <row r="63" spans="1:12">
      <c r="A63" s="1316" t="str">
        <f>A3</f>
        <v>ACCUMULATED DEPRECIATION &amp; AMORTIZATION</v>
      </c>
      <c r="B63" s="1316"/>
      <c r="C63" s="1316"/>
      <c r="D63" s="1316"/>
      <c r="E63" s="1316"/>
      <c r="F63" s="1316"/>
      <c r="G63" s="1316"/>
      <c r="H63" s="1316"/>
      <c r="I63" s="1316"/>
      <c r="J63" s="1316"/>
      <c r="K63" s="1316"/>
      <c r="L63" s="1316"/>
    </row>
    <row r="64" spans="1:12">
      <c r="A64" s="1316" t="str">
        <f>A4</f>
        <v>AS OF DECEMBER 31, 2025</v>
      </c>
      <c r="B64" s="1316"/>
      <c r="C64" s="1316"/>
      <c r="D64" s="1316"/>
      <c r="E64" s="1316"/>
      <c r="F64" s="1316"/>
      <c r="G64" s="1316"/>
      <c r="H64" s="1316"/>
      <c r="I64" s="1316"/>
      <c r="J64" s="1316"/>
      <c r="K64" s="1316"/>
      <c r="L64" s="1316"/>
    </row>
    <row r="66" spans="1:12">
      <c r="A66" s="521" t="s">
        <v>2792</v>
      </c>
      <c r="J66" s="521"/>
      <c r="K66" s="521"/>
      <c r="L66" s="522" t="str">
        <f>L6</f>
        <v>SCHEDULE B-3</v>
      </c>
    </row>
    <row r="67" spans="1:12">
      <c r="A67" s="521" t="str">
        <f>'General Headers Index'!B37</f>
        <v>TYPE OF FILING:___X___ORIGINAL______UPDATED</v>
      </c>
      <c r="J67" s="521"/>
      <c r="K67" s="521"/>
      <c r="L67" s="522" t="s">
        <v>287</v>
      </c>
    </row>
    <row r="68" spans="1:12">
      <c r="A68" s="521" t="s">
        <v>997</v>
      </c>
      <c r="J68" s="521"/>
      <c r="K68" s="521"/>
      <c r="L68" s="522" t="str">
        <f>L8</f>
        <v>WITNESS: GORE</v>
      </c>
    </row>
    <row r="69" spans="1:12">
      <c r="F69" s="965"/>
      <c r="G69" s="965"/>
      <c r="H69" s="965"/>
      <c r="I69" s="965"/>
      <c r="J69" s="965"/>
      <c r="K69" s="965"/>
      <c r="L69" s="965"/>
    </row>
    <row r="70" spans="1:12">
      <c r="A70" s="523"/>
      <c r="B70" s="523"/>
      <c r="C70" s="523"/>
      <c r="D70" s="523"/>
      <c r="E70" s="523"/>
      <c r="F70" s="520" t="str">
        <f>"13 MONTH"</f>
        <v>13 MONTH</v>
      </c>
    </row>
    <row r="71" spans="1:12">
      <c r="F71" s="520" t="s">
        <v>312</v>
      </c>
      <c r="G71" s="1316" t="s">
        <v>658</v>
      </c>
      <c r="H71" s="1316"/>
      <c r="I71" s="1316"/>
      <c r="J71" s="1316"/>
      <c r="K71" s="1316"/>
      <c r="L71" s="1316"/>
    </row>
    <row r="72" spans="1:12">
      <c r="F72" s="520" t="s">
        <v>651</v>
      </c>
      <c r="G72" s="520"/>
    </row>
    <row r="73" spans="1:12">
      <c r="A73" s="411" t="s">
        <v>313</v>
      </c>
      <c r="C73" s="520" t="s">
        <v>368</v>
      </c>
      <c r="F73" s="520" t="s">
        <v>656</v>
      </c>
      <c r="G73" s="520" t="s">
        <v>349</v>
      </c>
      <c r="H73" s="520" t="s">
        <v>350</v>
      </c>
      <c r="I73" s="520" t="s">
        <v>350</v>
      </c>
      <c r="K73" s="520" t="s">
        <v>351</v>
      </c>
      <c r="L73" s="520" t="str">
        <f>"13 MONTH"</f>
        <v>13 MONTH</v>
      </c>
    </row>
    <row r="74" spans="1:12">
      <c r="A74" s="411" t="s">
        <v>316</v>
      </c>
      <c r="C74" s="520" t="s">
        <v>316</v>
      </c>
      <c r="E74" s="520" t="s">
        <v>504</v>
      </c>
      <c r="F74" s="520" t="s">
        <v>505</v>
      </c>
      <c r="G74" s="520" t="s">
        <v>353</v>
      </c>
      <c r="H74" s="520" t="s">
        <v>354</v>
      </c>
      <c r="I74" s="520" t="s">
        <v>349</v>
      </c>
      <c r="J74" s="520" t="s">
        <v>355</v>
      </c>
      <c r="K74" s="520" t="s">
        <v>372</v>
      </c>
      <c r="L74" s="520" t="s">
        <v>312</v>
      </c>
    </row>
    <row r="75" spans="1:12">
      <c r="A75" s="961" t="s">
        <v>506</v>
      </c>
      <c r="B75" s="961"/>
      <c r="C75" s="960" t="s">
        <v>507</v>
      </c>
      <c r="D75" s="961"/>
      <c r="E75" s="960" t="s">
        <v>508</v>
      </c>
      <c r="F75" s="960" t="s">
        <v>509</v>
      </c>
      <c r="G75" s="960" t="s">
        <v>510</v>
      </c>
      <c r="H75" s="960" t="s">
        <v>511</v>
      </c>
      <c r="I75" s="960" t="s">
        <v>512</v>
      </c>
      <c r="J75" s="960" t="s">
        <v>513</v>
      </c>
      <c r="K75" s="960" t="s">
        <v>514</v>
      </c>
      <c r="L75" s="960" t="s">
        <v>521</v>
      </c>
    </row>
    <row r="76" spans="1:12">
      <c r="A76" s="520"/>
      <c r="C76" s="520"/>
      <c r="E76" s="520"/>
      <c r="F76" s="300" t="s">
        <v>532</v>
      </c>
      <c r="G76" s="300" t="s">
        <v>541</v>
      </c>
      <c r="H76" s="300" t="s">
        <v>542</v>
      </c>
      <c r="I76" s="300" t="s">
        <v>2638</v>
      </c>
      <c r="J76" s="300" t="s">
        <v>669</v>
      </c>
      <c r="K76" s="300" t="s">
        <v>2637</v>
      </c>
      <c r="L76" s="300" t="s">
        <v>984</v>
      </c>
    </row>
    <row r="77" spans="1:12" ht="14.45" customHeight="1">
      <c r="F77" s="334" t="s">
        <v>320</v>
      </c>
      <c r="G77" s="334" t="s">
        <v>320</v>
      </c>
      <c r="H77" s="334" t="s">
        <v>320</v>
      </c>
      <c r="I77" s="334" t="s">
        <v>320</v>
      </c>
      <c r="J77" s="334" t="s">
        <v>320</v>
      </c>
      <c r="K77" s="334" t="s">
        <v>320</v>
      </c>
      <c r="L77" s="334" t="s">
        <v>320</v>
      </c>
    </row>
    <row r="78" spans="1:12" ht="14.45" customHeight="1">
      <c r="F78" s="334"/>
      <c r="G78" s="334"/>
      <c r="H78" s="334"/>
      <c r="I78" s="334"/>
      <c r="J78" s="334"/>
      <c r="K78" s="334"/>
      <c r="L78" s="334"/>
    </row>
    <row r="79" spans="1:12">
      <c r="A79" s="520">
        <v>1</v>
      </c>
      <c r="C79" s="524"/>
      <c r="E79" s="525" t="s">
        <v>411</v>
      </c>
      <c r="F79" s="413"/>
      <c r="G79" s="413"/>
      <c r="H79" s="413"/>
      <c r="I79" s="413"/>
      <c r="J79" s="413"/>
      <c r="K79" s="413"/>
      <c r="L79" s="413"/>
    </row>
    <row r="80" spans="1:12">
      <c r="A80" s="520">
        <f>A79+1</f>
        <v>2</v>
      </c>
      <c r="C80" s="1262">
        <v>391.1</v>
      </c>
      <c r="E80" s="503" t="s">
        <v>412</v>
      </c>
      <c r="F80" s="413">
        <f>'WPB-2.1.A 13 mo avg Forecast '!Q71</f>
        <v>921741.33000000007</v>
      </c>
      <c r="G80" s="413">
        <f>'WPB-3.1 AD&amp;A (Forecast)'!Q72</f>
        <v>322408.37000000005</v>
      </c>
      <c r="H80" s="413"/>
      <c r="I80" s="413">
        <f>G80</f>
        <v>322408.37000000005</v>
      </c>
      <c r="J80" s="413">
        <v>0</v>
      </c>
      <c r="K80" s="413">
        <f t="shared" ref="K80:K93" si="9">J80+I80</f>
        <v>322408.37000000005</v>
      </c>
      <c r="L80" s="413">
        <f>'WPB-3.1 AD&amp;A (Forecast)'!R72</f>
        <v>270475.87</v>
      </c>
    </row>
    <row r="81" spans="1:12">
      <c r="A81" s="520">
        <f t="shared" ref="A81:A94" si="10">A80+1</f>
        <v>3</v>
      </c>
      <c r="C81" s="1262">
        <v>391.11</v>
      </c>
      <c r="E81" s="503" t="s">
        <v>413</v>
      </c>
      <c r="F81" s="413">
        <f>'WPB-2.1.A 13 mo avg Forecast '!Q72</f>
        <v>0</v>
      </c>
      <c r="G81" s="413">
        <f>'WPB-3.1 AD&amp;A (Forecast)'!Q73</f>
        <v>-6311.7900000000009</v>
      </c>
      <c r="H81" s="413"/>
      <c r="I81" s="413">
        <f t="shared" ref="I81:I93" si="11">G81</f>
        <v>-6311.7900000000009</v>
      </c>
      <c r="J81" s="413">
        <v>0</v>
      </c>
      <c r="K81" s="413">
        <f t="shared" si="9"/>
        <v>-6311.7900000000009</v>
      </c>
      <c r="L81" s="413">
        <f>'WPB-3.1 AD&amp;A (Forecast)'!R73</f>
        <v>-9467.2900000000009</v>
      </c>
    </row>
    <row r="82" spans="1:12">
      <c r="A82" s="520">
        <f t="shared" si="10"/>
        <v>4</v>
      </c>
      <c r="C82" s="1262">
        <v>391.12</v>
      </c>
      <c r="E82" s="503" t="s">
        <v>414</v>
      </c>
      <c r="F82" s="413">
        <f>'WPB-2.1.A 13 mo avg Forecast '!Q73</f>
        <v>37129.580000000009</v>
      </c>
      <c r="G82" s="413">
        <f>'WPB-3.1 AD&amp;A (Forecast)'!Q74</f>
        <v>20521.97</v>
      </c>
      <c r="H82" s="413"/>
      <c r="I82" s="413">
        <f t="shared" si="11"/>
        <v>20521.97</v>
      </c>
      <c r="J82" s="413">
        <v>0</v>
      </c>
      <c r="K82" s="413">
        <f t="shared" si="9"/>
        <v>20521.97</v>
      </c>
      <c r="L82" s="413">
        <f>'WPB-3.1 AD&amp;A (Forecast)'!R74</f>
        <v>14070.47</v>
      </c>
    </row>
    <row r="83" spans="1:12">
      <c r="A83" s="520">
        <f>A82+1</f>
        <v>5</v>
      </c>
      <c r="C83" s="1262">
        <v>392.2</v>
      </c>
      <c r="E83" s="503" t="s">
        <v>524</v>
      </c>
      <c r="F83" s="413">
        <f>'WPB-2.1.A 13 mo avg Forecast '!Q74</f>
        <v>48924.400000000016</v>
      </c>
      <c r="G83" s="413">
        <f>'WPB-3.1 AD&amp;A (Forecast)'!Q75</f>
        <v>18031.359999999961</v>
      </c>
      <c r="H83" s="413"/>
      <c r="I83" s="413">
        <f t="shared" si="11"/>
        <v>18031.359999999961</v>
      </c>
      <c r="J83" s="413">
        <v>0</v>
      </c>
      <c r="K83" s="413">
        <f t="shared" si="9"/>
        <v>18031.359999999961</v>
      </c>
      <c r="L83" s="413">
        <f>'WPB-3.1 AD&amp;A (Forecast)'!R75</f>
        <v>17809.359999999961</v>
      </c>
    </row>
    <row r="84" spans="1:12">
      <c r="A84" s="520">
        <f>A83+1</f>
        <v>6</v>
      </c>
      <c r="C84" s="1262">
        <v>392.21</v>
      </c>
      <c r="E84" s="503" t="s">
        <v>415</v>
      </c>
      <c r="F84" s="413">
        <f>'WPB-2.1.A 13 mo avg Forecast '!Q75</f>
        <v>24462.200000000008</v>
      </c>
      <c r="G84" s="413">
        <f>'WPB-3.1 AD&amp;A (Forecast)'!Q76</f>
        <v>45150.01</v>
      </c>
      <c r="H84" s="413"/>
      <c r="I84" s="413">
        <f t="shared" si="11"/>
        <v>45150.01</v>
      </c>
      <c r="J84" s="413">
        <v>0</v>
      </c>
      <c r="K84" s="413">
        <f t="shared" si="9"/>
        <v>45150.01</v>
      </c>
      <c r="L84" s="413">
        <f>'WPB-3.1 AD&amp;A (Forecast)'!R76</f>
        <v>45042.01</v>
      </c>
    </row>
    <row r="85" spans="1:12">
      <c r="A85" s="520">
        <f>A84+1</f>
        <v>7</v>
      </c>
      <c r="C85" s="1262">
        <v>393</v>
      </c>
      <c r="E85" s="503" t="s">
        <v>416</v>
      </c>
      <c r="F85" s="413">
        <f>'WPB-2.1.A 13 mo avg Forecast '!Q76</f>
        <v>0</v>
      </c>
      <c r="G85" s="413">
        <f>'WPB-3.1 AD&amp;A (Forecast)'!Q77</f>
        <v>0</v>
      </c>
      <c r="H85" s="413"/>
      <c r="I85" s="413">
        <f t="shared" si="11"/>
        <v>0</v>
      </c>
      <c r="J85" s="413">
        <v>0</v>
      </c>
      <c r="K85" s="413">
        <f t="shared" si="9"/>
        <v>0</v>
      </c>
      <c r="L85" s="413">
        <f>'WPB-3.1 AD&amp;A (Forecast)'!R77</f>
        <v>0</v>
      </c>
    </row>
    <row r="86" spans="1:12">
      <c r="A86" s="520">
        <f>A85+1</f>
        <v>8</v>
      </c>
      <c r="C86" s="1262">
        <v>394.1</v>
      </c>
      <c r="E86" s="503" t="s">
        <v>417</v>
      </c>
      <c r="F86" s="413">
        <f>'WPB-2.1.A 13 mo avg Forecast '!Q77</f>
        <v>9739</v>
      </c>
      <c r="G86" s="413">
        <f>'WPB-3.1 AD&amp;A (Forecast)'!Q78</f>
        <v>4844.0700000000006</v>
      </c>
      <c r="H86" s="413"/>
      <c r="I86" s="413">
        <f t="shared" si="11"/>
        <v>4844.0700000000006</v>
      </c>
      <c r="J86" s="413">
        <v>0</v>
      </c>
      <c r="K86" s="413">
        <f t="shared" si="9"/>
        <v>4844.0700000000006</v>
      </c>
      <c r="L86" s="413">
        <f>'WPB-3.1 AD&amp;A (Forecast)'!R78</f>
        <v>4652.0700000000006</v>
      </c>
    </row>
    <row r="87" spans="1:12">
      <c r="A87" s="520">
        <f t="shared" si="10"/>
        <v>9</v>
      </c>
      <c r="C87" s="1262">
        <v>394.11</v>
      </c>
      <c r="E87" s="503" t="s">
        <v>418</v>
      </c>
      <c r="F87" s="413">
        <f>'WPB-2.1.A 13 mo avg Forecast '!Q78</f>
        <v>0</v>
      </c>
      <c r="G87" s="413">
        <f>'WPB-3.1 AD&amp;A (Forecast)'!Q79</f>
        <v>-26071.5</v>
      </c>
      <c r="H87" s="413"/>
      <c r="I87" s="413">
        <f t="shared" si="11"/>
        <v>-26071.5</v>
      </c>
      <c r="J87" s="413">
        <v>0</v>
      </c>
      <c r="K87" s="413">
        <f t="shared" si="9"/>
        <v>-26071.5</v>
      </c>
      <c r="L87" s="413">
        <f>'WPB-3.1 AD&amp;A (Forecast)'!R79</f>
        <v>-26071.5</v>
      </c>
    </row>
    <row r="88" spans="1:12">
      <c r="A88" s="520">
        <f t="shared" si="10"/>
        <v>10</v>
      </c>
      <c r="C88" s="520">
        <v>394.13</v>
      </c>
      <c r="E88" s="503" t="s">
        <v>515</v>
      </c>
      <c r="F88" s="413">
        <f>'WPB-2.1.A 13 mo avg Forecast '!Q79</f>
        <v>0</v>
      </c>
      <c r="G88" s="413">
        <f>'WPB-3.1 AD&amp;A (Forecast)'!Q80</f>
        <v>19001.36</v>
      </c>
      <c r="H88" s="413"/>
      <c r="I88" s="413">
        <f t="shared" si="11"/>
        <v>19001.36</v>
      </c>
      <c r="J88" s="413">
        <v>0</v>
      </c>
      <c r="K88" s="413">
        <f t="shared" si="9"/>
        <v>19001.36</v>
      </c>
      <c r="L88" s="413">
        <f>'WPB-3.1 AD&amp;A (Forecast)'!R80</f>
        <v>23735.35999999999</v>
      </c>
    </row>
    <row r="89" spans="1:12">
      <c r="A89" s="520">
        <f t="shared" si="10"/>
        <v>11</v>
      </c>
      <c r="C89" s="1262">
        <v>394.2</v>
      </c>
      <c r="E89" s="503" t="s">
        <v>420</v>
      </c>
      <c r="F89" s="413">
        <f>'WPB-2.1.A 13 mo avg Forecast '!Q80</f>
        <v>0</v>
      </c>
      <c r="G89" s="413">
        <f>'WPB-3.1 AD&amp;A (Forecast)'!Q81</f>
        <v>185.21</v>
      </c>
      <c r="H89" s="413"/>
      <c r="I89" s="413">
        <f t="shared" si="11"/>
        <v>185.21</v>
      </c>
      <c r="J89" s="413">
        <v>0</v>
      </c>
      <c r="K89" s="413">
        <f t="shared" si="9"/>
        <v>185.21</v>
      </c>
      <c r="L89" s="413">
        <f>'WPB-3.1 AD&amp;A (Forecast)'!R81</f>
        <v>185.21</v>
      </c>
    </row>
    <row r="90" spans="1:12">
      <c r="A90" s="520">
        <f t="shared" si="10"/>
        <v>12</v>
      </c>
      <c r="C90" s="1262">
        <v>394.3</v>
      </c>
      <c r="E90" s="503" t="s">
        <v>421</v>
      </c>
      <c r="F90" s="413">
        <f>'WPB-2.1.A 13 mo avg Forecast '!Q81</f>
        <v>6157146.0984615386</v>
      </c>
      <c r="G90" s="413">
        <f>'WPB-3.1 AD&amp;A (Forecast)'!Q82</f>
        <v>1275182.0999999996</v>
      </c>
      <c r="H90" s="413"/>
      <c r="I90" s="413">
        <f t="shared" si="11"/>
        <v>1275182.0999999996</v>
      </c>
      <c r="J90" s="413">
        <v>0</v>
      </c>
      <c r="K90" s="413">
        <f t="shared" si="9"/>
        <v>1275182.0999999996</v>
      </c>
      <c r="L90" s="413">
        <f>'WPB-3.1 AD&amp;A (Forecast)'!R82</f>
        <v>1478473.1576923074</v>
      </c>
    </row>
    <row r="91" spans="1:12">
      <c r="A91" s="520">
        <f t="shared" si="10"/>
        <v>13</v>
      </c>
      <c r="C91" s="1262">
        <v>395</v>
      </c>
      <c r="E91" s="503" t="s">
        <v>422</v>
      </c>
      <c r="F91" s="413">
        <f>'WPB-2.1.A 13 mo avg Forecast '!Q82</f>
        <v>0</v>
      </c>
      <c r="G91" s="413">
        <f>'WPB-3.1 AD&amp;A (Forecast)'!Q83</f>
        <v>-166.69999999999845</v>
      </c>
      <c r="H91" s="413"/>
      <c r="I91" s="413">
        <f t="shared" si="11"/>
        <v>-166.69999999999845</v>
      </c>
      <c r="J91" s="413">
        <v>0</v>
      </c>
      <c r="K91" s="413">
        <f t="shared" si="9"/>
        <v>-166.69999999999845</v>
      </c>
      <c r="L91" s="413">
        <f>'WPB-3.1 AD&amp;A (Forecast)'!R83</f>
        <v>-150.19999999999845</v>
      </c>
    </row>
    <row r="92" spans="1:12">
      <c r="A92" s="520">
        <f t="shared" si="10"/>
        <v>14</v>
      </c>
      <c r="C92" s="1262">
        <v>396</v>
      </c>
      <c r="E92" s="503" t="s">
        <v>423</v>
      </c>
      <c r="F92" s="413">
        <f>'WPB-2.1.A 13 mo avg Forecast '!Q83</f>
        <v>185547</v>
      </c>
      <c r="G92" s="413">
        <f>'WPB-3.1 AD&amp;A (Forecast)'!Q84</f>
        <v>171938.14</v>
      </c>
      <c r="H92" s="413"/>
      <c r="I92" s="413">
        <f t="shared" si="11"/>
        <v>171938.14</v>
      </c>
      <c r="J92" s="413">
        <v>0</v>
      </c>
      <c r="K92" s="413">
        <f t="shared" si="9"/>
        <v>171938.14</v>
      </c>
      <c r="L92" s="413">
        <f>'WPB-3.1 AD&amp;A (Forecast)'!R84</f>
        <v>171938.14000000007</v>
      </c>
    </row>
    <row r="93" spans="1:12">
      <c r="A93" s="520">
        <f t="shared" si="10"/>
        <v>15</v>
      </c>
      <c r="C93" s="1262">
        <v>398</v>
      </c>
      <c r="E93" s="503" t="s">
        <v>424</v>
      </c>
      <c r="F93" s="963">
        <f>'WPB-2.1.A 13 mo avg Forecast '!Q84</f>
        <v>148028.19999999998</v>
      </c>
      <c r="G93" s="963">
        <f>'WPB-3.1 AD&amp;A (Forecast)'!Q85</f>
        <v>96219.55</v>
      </c>
      <c r="H93" s="413"/>
      <c r="I93" s="963">
        <f t="shared" si="11"/>
        <v>96219.55</v>
      </c>
      <c r="J93" s="964">
        <v>0</v>
      </c>
      <c r="K93" s="963">
        <f t="shared" si="9"/>
        <v>96219.55</v>
      </c>
      <c r="L93" s="963">
        <f>'WPB-3.1 AD&amp;A (Forecast)'!R85</f>
        <v>89690.549999999988</v>
      </c>
    </row>
    <row r="94" spans="1:12">
      <c r="A94" s="520">
        <f t="shared" si="10"/>
        <v>16</v>
      </c>
      <c r="C94" s="1262"/>
      <c r="E94" s="503" t="s">
        <v>425</v>
      </c>
      <c r="F94" s="413">
        <f>SUM(F80:F93)</f>
        <v>7532717.8084615385</v>
      </c>
      <c r="G94" s="413">
        <f>SUM(G80:G93)</f>
        <v>1940932.1499999997</v>
      </c>
      <c r="H94" s="413"/>
      <c r="I94" s="413">
        <f>SUM(I80:I93)</f>
        <v>1940932.1499999997</v>
      </c>
      <c r="J94" s="413">
        <f>SUM(J80:J93)</f>
        <v>0</v>
      </c>
      <c r="K94" s="413">
        <f>SUM(K80:K93)</f>
        <v>1940932.1499999997</v>
      </c>
      <c r="L94" s="413">
        <f>SUM(L80:L93)</f>
        <v>2080383.2076923077</v>
      </c>
    </row>
    <row r="95" spans="1:12" ht="8.1" customHeight="1">
      <c r="A95" s="520"/>
      <c r="C95" s="1262"/>
      <c r="E95" s="503"/>
      <c r="F95" s="413"/>
      <c r="G95" s="413"/>
      <c r="H95" s="413"/>
      <c r="I95" s="413"/>
      <c r="J95" s="413"/>
      <c r="K95" s="413"/>
      <c r="L95" s="413"/>
    </row>
    <row r="96" spans="1:12">
      <c r="A96" s="520">
        <f>A94+1</f>
        <v>17</v>
      </c>
      <c r="C96" s="1262"/>
      <c r="E96" s="525" t="s">
        <v>1038</v>
      </c>
      <c r="F96" s="413"/>
      <c r="G96" s="413"/>
      <c r="H96" s="413"/>
      <c r="I96" s="413"/>
      <c r="J96" s="413"/>
      <c r="K96" s="413"/>
      <c r="L96" s="413"/>
    </row>
    <row r="97" spans="1:12">
      <c r="A97" s="520">
        <f>A96+1</f>
        <v>18</v>
      </c>
      <c r="C97" s="1262">
        <v>378.21</v>
      </c>
      <c r="E97" s="503" t="s">
        <v>1037</v>
      </c>
      <c r="F97" s="963">
        <f>'WPB-2.1.A 13 mo avg Forecast '!Q88</f>
        <v>-777092</v>
      </c>
      <c r="G97" s="963">
        <f>'WPB-3.1 AD&amp;A (Forecast)'!Q89</f>
        <v>-255830.42000000042</v>
      </c>
      <c r="H97" s="413"/>
      <c r="I97" s="963">
        <f>G97</f>
        <v>-255830.42000000042</v>
      </c>
      <c r="J97" s="963">
        <v>0</v>
      </c>
      <c r="K97" s="963">
        <f>J97+I97</f>
        <v>-255830.42000000042</v>
      </c>
      <c r="L97" s="963">
        <f>'WPB-3.1 AD&amp;A (Forecast)'!R89</f>
        <v>-242965.40000000034</v>
      </c>
    </row>
    <row r="98" spans="1:12">
      <c r="A98" s="520"/>
      <c r="C98" s="1262"/>
      <c r="E98" s="220" t="s">
        <v>1579</v>
      </c>
      <c r="F98" s="328">
        <f>SUM(F97)</f>
        <v>-777092</v>
      </c>
      <c r="G98" s="328">
        <f>SUM(G97)</f>
        <v>-255830.42000000042</v>
      </c>
      <c r="H98" s="328"/>
      <c r="I98" s="328">
        <f>SUM(I97)</f>
        <v>-255830.42000000042</v>
      </c>
      <c r="J98" s="328">
        <f>SUM(J97)</f>
        <v>0</v>
      </c>
      <c r="K98" s="328">
        <f>SUM(K97)</f>
        <v>-255830.42000000042</v>
      </c>
      <c r="L98" s="328">
        <f>SUM(L97)</f>
        <v>-242965.40000000034</v>
      </c>
    </row>
    <row r="99" spans="1:12" ht="5.45" customHeight="1">
      <c r="A99" s="520"/>
      <c r="C99" s="1262"/>
      <c r="E99" s="524"/>
      <c r="F99" s="413"/>
      <c r="G99" s="964"/>
      <c r="H99" s="413"/>
      <c r="I99" s="964"/>
      <c r="J99" s="964"/>
      <c r="K99" s="964"/>
      <c r="L99" s="964"/>
    </row>
    <row r="100" spans="1:12" ht="13.5" thickBot="1">
      <c r="A100" s="520">
        <f>A97+1</f>
        <v>19</v>
      </c>
      <c r="C100" s="1262"/>
      <c r="E100" s="220" t="s">
        <v>2037</v>
      </c>
      <c r="F100" s="414">
        <f>F26+F59+F94+F98</f>
        <v>775008140.86461878</v>
      </c>
      <c r="G100" s="414">
        <f>G26+G59+G94+G98</f>
        <v>211012433.60946447</v>
      </c>
      <c r="H100" s="413"/>
      <c r="I100" s="414">
        <f>I26+I59+I94+I98</f>
        <v>211012433.60946447</v>
      </c>
      <c r="J100" s="414">
        <f>J26+J59+J94+J98</f>
        <v>0</v>
      </c>
      <c r="K100" s="414">
        <f>K26+K59+K94+K98</f>
        <v>211012433.60946447</v>
      </c>
      <c r="L100" s="414">
        <f>L26+L59+L94+L98</f>
        <v>201678413.08219495</v>
      </c>
    </row>
    <row r="101" spans="1:12" ht="4.5" customHeight="1" thickTop="1">
      <c r="A101" s="520"/>
      <c r="C101" s="520"/>
      <c r="E101" s="220"/>
      <c r="F101" s="413"/>
      <c r="G101" s="413"/>
      <c r="H101" s="413"/>
      <c r="I101" s="413"/>
      <c r="J101" s="413"/>
      <c r="K101" s="413"/>
      <c r="L101" s="413"/>
    </row>
    <row r="102" spans="1:12">
      <c r="A102" s="520">
        <f>+A100+1</f>
        <v>20</v>
      </c>
      <c r="C102" s="520"/>
      <c r="E102" s="220" t="s">
        <v>2038</v>
      </c>
      <c r="F102" s="413">
        <v>0</v>
      </c>
      <c r="G102" s="413">
        <f>+'WPB-3.1 AD&amp;A (Forecast)'!Q94</f>
        <v>-6687302.71</v>
      </c>
      <c r="H102" s="413"/>
      <c r="I102" s="413">
        <f>+G102</f>
        <v>-6687302.71</v>
      </c>
      <c r="J102" s="413">
        <v>0</v>
      </c>
      <c r="K102" s="413">
        <f>+I102</f>
        <v>-6687302.71</v>
      </c>
      <c r="L102" s="413">
        <f>+'WPB-3.1 AD&amp;A (Forecast)'!R94</f>
        <v>-6687302.709999999</v>
      </c>
    </row>
    <row r="103" spans="1:12" ht="6.6" customHeight="1">
      <c r="A103" s="520"/>
      <c r="C103" s="520"/>
      <c r="E103" s="220"/>
      <c r="F103" s="413"/>
      <c r="G103" s="413"/>
      <c r="H103" s="413"/>
      <c r="I103" s="413"/>
      <c r="J103" s="413"/>
      <c r="K103" s="413"/>
      <c r="L103" s="413"/>
    </row>
    <row r="104" spans="1:12" ht="13.5" thickBot="1">
      <c r="A104" s="520">
        <f>+A102+1</f>
        <v>21</v>
      </c>
      <c r="C104" s="520"/>
      <c r="E104" s="220" t="s">
        <v>1603</v>
      </c>
      <c r="F104" s="414">
        <f>+F100+F102</f>
        <v>775008140.86461878</v>
      </c>
      <c r="G104" s="414">
        <f>+G100+G102</f>
        <v>204325130.89946446</v>
      </c>
      <c r="H104" s="413"/>
      <c r="I104" s="414">
        <f>+I100+I102</f>
        <v>204325130.89946446</v>
      </c>
      <c r="J104" s="414">
        <v>0</v>
      </c>
      <c r="K104" s="414">
        <f>+K100+K102</f>
        <v>204325130.89946446</v>
      </c>
      <c r="L104" s="414">
        <f>+L100+L102</f>
        <v>194991110.37219495</v>
      </c>
    </row>
    <row r="105" spans="1:12" ht="13.5" thickTop="1">
      <c r="C105" s="520"/>
    </row>
    <row r="106" spans="1:12">
      <c r="A106" s="1253">
        <f>+A104+1</f>
        <v>22</v>
      </c>
      <c r="C106" s="1253"/>
      <c r="D106" s="1252"/>
      <c r="E106" s="1261" t="s">
        <v>1774</v>
      </c>
    </row>
    <row r="107" spans="1:12">
      <c r="A107" s="1253">
        <f>+A106+1</f>
        <v>23</v>
      </c>
      <c r="C107" s="1263">
        <v>376</v>
      </c>
      <c r="D107" s="1252"/>
      <c r="E107" s="1252" t="s">
        <v>576</v>
      </c>
      <c r="F107" s="413">
        <f>+'WPB-2.1.A 13 mo avg Forecast '!Q94</f>
        <v>62010528.702244245</v>
      </c>
      <c r="G107" s="413">
        <f>+'WPB-3.1 AD&amp;A (Forecast)'!Q99</f>
        <v>950266.49960974953</v>
      </c>
      <c r="I107" s="413">
        <f>+G107</f>
        <v>950266.49960974953</v>
      </c>
      <c r="J107" s="413">
        <v>0</v>
      </c>
      <c r="K107" s="413">
        <f t="shared" ref="K107:K111" si="12">J107+I107</f>
        <v>950266.49960974953</v>
      </c>
      <c r="L107" s="413">
        <f>+'WPB-3.1 AD&amp;A (Forecast)'!R99</f>
        <v>664512.18183254276</v>
      </c>
    </row>
    <row r="108" spans="1:12">
      <c r="A108" s="1253">
        <f t="shared" ref="A108:A112" si="13">+A107+1</f>
        <v>24</v>
      </c>
      <c r="C108" s="1263">
        <v>378.2</v>
      </c>
      <c r="D108" s="1252"/>
      <c r="E108" s="1252" t="s">
        <v>2915</v>
      </c>
      <c r="F108" s="413">
        <f>+'WPB-2.1.A 13 mo avg Forecast '!Q95</f>
        <v>599780.62011021946</v>
      </c>
      <c r="G108" s="413">
        <f>+'WPB-3.1 AD&amp;A (Forecast)'!Q100</f>
        <v>-924964.59754116007</v>
      </c>
      <c r="I108" s="413">
        <f t="shared" ref="I108:I111" si="14">+G108</f>
        <v>-924964.59754116007</v>
      </c>
      <c r="J108" s="413">
        <v>0</v>
      </c>
      <c r="K108" s="413">
        <f t="shared" si="12"/>
        <v>-924964.59754116007</v>
      </c>
      <c r="L108" s="413">
        <f>+'WPB-3.1 AD&amp;A (Forecast)'!R100</f>
        <v>-934890.93754116027</v>
      </c>
    </row>
    <row r="109" spans="1:12">
      <c r="A109" s="1253">
        <f t="shared" si="13"/>
        <v>25</v>
      </c>
      <c r="C109" s="1263">
        <v>380</v>
      </c>
      <c r="D109" s="1252"/>
      <c r="E109" s="1252" t="s">
        <v>398</v>
      </c>
      <c r="F109" s="413">
        <f>+'WPB-2.1.A 13 mo avg Forecast '!Q96</f>
        <v>25711526.350910101</v>
      </c>
      <c r="G109" s="413">
        <f>+'WPB-3.1 AD&amp;A (Forecast)'!Q101</f>
        <v>-14231554.406031208</v>
      </c>
      <c r="I109" s="413">
        <f t="shared" si="14"/>
        <v>-14231554.406031208</v>
      </c>
      <c r="J109" s="413">
        <v>0</v>
      </c>
      <c r="K109" s="413">
        <f t="shared" si="12"/>
        <v>-14231554.406031208</v>
      </c>
      <c r="L109" s="413">
        <f>+'WPB-3.1 AD&amp;A (Forecast)'!R101</f>
        <v>-12709161.484034862</v>
      </c>
    </row>
    <row r="110" spans="1:12">
      <c r="A110" s="1253">
        <f t="shared" si="13"/>
        <v>26</v>
      </c>
      <c r="C110" s="1263">
        <v>382</v>
      </c>
      <c r="D110" s="1252"/>
      <c r="E110" s="1252" t="s">
        <v>2916</v>
      </c>
      <c r="F110" s="413">
        <f>+'WPB-2.1.A 13 mo avg Forecast '!Q97</f>
        <v>246456.53916738307</v>
      </c>
      <c r="G110" s="413">
        <f>+'WPB-3.1 AD&amp;A (Forecast)'!Q102</f>
        <v>-75592.000641687686</v>
      </c>
      <c r="I110" s="413">
        <f t="shared" si="14"/>
        <v>-75592.000641687686</v>
      </c>
      <c r="J110" s="413">
        <v>0</v>
      </c>
      <c r="K110" s="413">
        <f t="shared" si="12"/>
        <v>-75592.000641687686</v>
      </c>
      <c r="L110" s="413">
        <f>+'WPB-3.1 AD&amp;A (Forecast)'!R102</f>
        <v>-75064.856735807291</v>
      </c>
    </row>
    <row r="111" spans="1:12">
      <c r="A111" s="1253">
        <f t="shared" si="13"/>
        <v>27</v>
      </c>
      <c r="C111" s="1263">
        <v>383</v>
      </c>
      <c r="D111" s="1252"/>
      <c r="E111" s="1252" t="s">
        <v>2917</v>
      </c>
      <c r="F111" s="413">
        <f>+'WPB-2.1.A 13 mo avg Forecast '!Q98</f>
        <v>173651.06697016026</v>
      </c>
      <c r="G111" s="413">
        <f>+'WPB-3.1 AD&amp;A (Forecast)'!Q103</f>
        <v>-6263.7494284989325</v>
      </c>
      <c r="I111" s="413">
        <f t="shared" si="14"/>
        <v>-6263.7494284989325</v>
      </c>
      <c r="J111" s="964">
        <v>0</v>
      </c>
      <c r="K111" s="413">
        <f t="shared" si="12"/>
        <v>-6263.7494284989325</v>
      </c>
      <c r="L111" s="413">
        <f>+'WPB-3.1 AD&amp;A (Forecast)'!R103</f>
        <v>-7537.6323297761182</v>
      </c>
    </row>
    <row r="112" spans="1:12">
      <c r="A112" s="1253">
        <f t="shared" si="13"/>
        <v>28</v>
      </c>
      <c r="C112" s="1252"/>
      <c r="D112" s="1252"/>
      <c r="E112" s="1252" t="s">
        <v>1783</v>
      </c>
      <c r="F112" s="1260">
        <f>SUM(F107:F111)</f>
        <v>88741943.279402107</v>
      </c>
      <c r="G112" s="1260">
        <f>SUM(G107:G111)</f>
        <v>-14288108.254032806</v>
      </c>
      <c r="I112" s="1260">
        <f t="shared" ref="I112:L112" si="15">SUM(I107:I111)</f>
        <v>-14288108.254032806</v>
      </c>
      <c r="J112" s="413">
        <f>SUM(J98:J111)</f>
        <v>0</v>
      </c>
      <c r="K112" s="1260">
        <f t="shared" si="15"/>
        <v>-14288108.254032806</v>
      </c>
      <c r="L112" s="1260">
        <f t="shared" si="15"/>
        <v>-13062142.728809064</v>
      </c>
    </row>
    <row r="113" spans="1:12">
      <c r="A113" s="1253"/>
      <c r="C113" s="1252"/>
      <c r="D113" s="1252"/>
      <c r="E113" s="1252"/>
    </row>
    <row r="114" spans="1:12" ht="13.5" thickBot="1">
      <c r="A114" s="1253">
        <f>+A112+1</f>
        <v>29</v>
      </c>
      <c r="C114" s="1252"/>
      <c r="D114" s="1252"/>
      <c r="E114" s="1252" t="s">
        <v>447</v>
      </c>
      <c r="F114" s="414">
        <f>+F104+F112</f>
        <v>863750084.14402092</v>
      </c>
      <c r="G114" s="414">
        <f>+G104+G112</f>
        <v>190037022.64543164</v>
      </c>
      <c r="I114" s="414">
        <f t="shared" ref="I114:L114" si="16">+I104+I112</f>
        <v>190037022.64543164</v>
      </c>
      <c r="J114" s="414">
        <f t="shared" si="16"/>
        <v>0</v>
      </c>
      <c r="K114" s="414">
        <f t="shared" si="16"/>
        <v>190037022.64543164</v>
      </c>
      <c r="L114" s="414">
        <f t="shared" si="16"/>
        <v>181928967.64338589</v>
      </c>
    </row>
    <row r="115" spans="1:12" ht="13.5" thickTop="1"/>
  </sheetData>
  <mergeCells count="10">
    <mergeCell ref="A62:L62"/>
    <mergeCell ref="A63:L63"/>
    <mergeCell ref="A64:L64"/>
    <mergeCell ref="G71:L71"/>
    <mergeCell ref="A1:L1"/>
    <mergeCell ref="A2:L2"/>
    <mergeCell ref="A3:L3"/>
    <mergeCell ref="A4:L4"/>
    <mergeCell ref="G11:L11"/>
    <mergeCell ref="A61:L61"/>
  </mergeCells>
  <printOptions horizontalCentered="1"/>
  <pageMargins left="0.5" right="0.5" top="0.75" bottom="0.5" header="0.3" footer="0.3"/>
  <pageSetup scale="59" fitToHeight="2" orientation="portrait" r:id="rId1"/>
  <rowBreaks count="1" manualBreakCount="1">
    <brk id="6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07"/>
  <sheetViews>
    <sheetView topLeftCell="A34" zoomScaleNormal="100" zoomScaleSheetLayoutView="100" workbookViewId="0">
      <selection activeCell="A58" sqref="A58:P58"/>
    </sheetView>
  </sheetViews>
  <sheetFormatPr defaultColWidth="12.5" defaultRowHeight="12.75"/>
  <cols>
    <col min="1" max="1" width="5.6640625" style="291" customWidth="1"/>
    <col min="2" max="2" width="1.6640625" style="291" customWidth="1"/>
    <col min="3" max="3" width="8.33203125" style="293" customWidth="1"/>
    <col min="4" max="4" width="61.83203125" style="291" customWidth="1"/>
    <col min="5" max="16" width="17.83203125" style="291" customWidth="1"/>
    <col min="17" max="20" width="12" style="291" customWidth="1"/>
    <col min="21" max="16384" width="12.5" style="291"/>
  </cols>
  <sheetData>
    <row r="1" spans="1:19">
      <c r="A1" s="1308" t="str">
        <f>'General Headers Index'!B4</f>
        <v>COLUMBIA GAS OF KENTUCKY, INC.</v>
      </c>
      <c r="B1" s="1308"/>
      <c r="C1" s="1308"/>
      <c r="D1" s="1308"/>
      <c r="E1" s="1308"/>
      <c r="F1" s="1308"/>
      <c r="G1" s="1308"/>
      <c r="H1" s="1308"/>
      <c r="I1" s="1308"/>
      <c r="J1" s="1308"/>
      <c r="K1" s="1308"/>
      <c r="L1" s="1308"/>
      <c r="M1" s="1308"/>
      <c r="N1" s="1308"/>
      <c r="O1" s="1308"/>
      <c r="P1" s="1308"/>
    </row>
    <row r="2" spans="1:19">
      <c r="A2" s="1308" t="str">
        <f>'General Headers Index'!B6</f>
        <v>CASE NO. 2024 - 00092</v>
      </c>
      <c r="B2" s="1308"/>
      <c r="C2" s="1308"/>
      <c r="D2" s="1308"/>
      <c r="E2" s="1308"/>
      <c r="F2" s="1308"/>
      <c r="G2" s="1308"/>
      <c r="H2" s="1308"/>
      <c r="I2" s="1308"/>
      <c r="J2" s="1308"/>
      <c r="K2" s="1308"/>
      <c r="L2" s="1308"/>
      <c r="M2" s="1308"/>
      <c r="N2" s="1308"/>
      <c r="O2" s="1308"/>
      <c r="P2" s="1308"/>
    </row>
    <row r="3" spans="1:19">
      <c r="A3" s="1308" t="s">
        <v>500</v>
      </c>
      <c r="B3" s="1308"/>
      <c r="C3" s="1308"/>
      <c r="D3" s="1308"/>
      <c r="E3" s="1308"/>
      <c r="F3" s="1308"/>
      <c r="G3" s="1308"/>
      <c r="H3" s="1308"/>
      <c r="I3" s="1308"/>
      <c r="J3" s="1308"/>
      <c r="K3" s="1308"/>
      <c r="L3" s="1308"/>
      <c r="M3" s="1308"/>
      <c r="N3" s="1308"/>
      <c r="O3" s="1308"/>
      <c r="P3" s="1308"/>
    </row>
    <row r="4" spans="1:19">
      <c r="A4" s="1309" t="str">
        <f>'General Headers Index'!B11</f>
        <v>BASE PERIOD 09/30/2023 TO 08/31/2024</v>
      </c>
      <c r="B4" s="1308"/>
      <c r="C4" s="1308"/>
      <c r="D4" s="1308"/>
      <c r="E4" s="1308"/>
      <c r="F4" s="1308"/>
      <c r="G4" s="1308"/>
      <c r="H4" s="1308"/>
      <c r="I4" s="1308"/>
      <c r="J4" s="1308"/>
      <c r="K4" s="1308"/>
      <c r="L4" s="1308"/>
      <c r="M4" s="1308"/>
      <c r="N4" s="1308"/>
      <c r="O4" s="1308"/>
      <c r="P4" s="1308"/>
    </row>
    <row r="6" spans="1:19">
      <c r="A6" s="297" t="s">
        <v>2790</v>
      </c>
      <c r="P6" s="312" t="s">
        <v>996</v>
      </c>
    </row>
    <row r="7" spans="1:19">
      <c r="A7" s="297" t="str">
        <f>'General Headers Index'!B37</f>
        <v>TYPE OF FILING:___X___ORIGINAL______UPDATED</v>
      </c>
      <c r="P7" s="312" t="s">
        <v>536</v>
      </c>
    </row>
    <row r="8" spans="1:19">
      <c r="A8" s="521" t="s">
        <v>2469</v>
      </c>
      <c r="P8" s="522" t="str">
        <f>"WITNESS: "&amp;'General Headers Index'!$B$42</f>
        <v>WITNESS: GORE</v>
      </c>
    </row>
    <row r="9" spans="1:19">
      <c r="A9" s="841"/>
      <c r="B9" s="842"/>
      <c r="C9" s="843"/>
      <c r="D9" s="842"/>
      <c r="E9" s="842"/>
      <c r="F9" s="842"/>
      <c r="G9" s="842"/>
      <c r="H9" s="842"/>
      <c r="I9" s="842"/>
      <c r="J9" s="842"/>
      <c r="K9" s="842"/>
      <c r="L9" s="842"/>
      <c r="M9" s="842"/>
      <c r="N9" s="842"/>
      <c r="O9" s="842"/>
      <c r="P9" s="844"/>
    </row>
    <row r="10" spans="1:19">
      <c r="A10" s="297" t="s">
        <v>313</v>
      </c>
      <c r="C10" s="298" t="s">
        <v>368</v>
      </c>
      <c r="D10" s="290"/>
      <c r="E10" s="290" t="s">
        <v>648</v>
      </c>
      <c r="F10" s="290" t="s">
        <v>648</v>
      </c>
      <c r="G10" s="290" t="s">
        <v>648</v>
      </c>
      <c r="H10" s="290" t="s">
        <v>648</v>
      </c>
      <c r="I10" s="290" t="s">
        <v>648</v>
      </c>
      <c r="J10" s="290" t="s">
        <v>648</v>
      </c>
      <c r="K10" s="290" t="s">
        <v>649</v>
      </c>
      <c r="L10" s="290" t="s">
        <v>649</v>
      </c>
      <c r="M10" s="290" t="s">
        <v>649</v>
      </c>
      <c r="N10" s="290" t="s">
        <v>649</v>
      </c>
      <c r="O10" s="290" t="s">
        <v>649</v>
      </c>
      <c r="P10" s="290" t="s">
        <v>649</v>
      </c>
    </row>
    <row r="11" spans="1:19">
      <c r="A11" s="845" t="s">
        <v>316</v>
      </c>
      <c r="B11" s="842"/>
      <c r="C11" s="966" t="s">
        <v>316</v>
      </c>
      <c r="D11" s="846" t="s">
        <v>451</v>
      </c>
      <c r="E11" s="967" t="s">
        <v>1588</v>
      </c>
      <c r="F11" s="967" t="s">
        <v>1589</v>
      </c>
      <c r="G11" s="967" t="s">
        <v>1590</v>
      </c>
      <c r="H11" s="967" t="s">
        <v>1591</v>
      </c>
      <c r="I11" s="967" t="s">
        <v>1592</v>
      </c>
      <c r="J11" s="967" t="s">
        <v>1593</v>
      </c>
      <c r="K11" s="967" t="s">
        <v>1594</v>
      </c>
      <c r="L11" s="967" t="s">
        <v>1595</v>
      </c>
      <c r="M11" s="967" t="s">
        <v>1596</v>
      </c>
      <c r="N11" s="967" t="s">
        <v>1597</v>
      </c>
      <c r="O11" s="967" t="s">
        <v>1598</v>
      </c>
      <c r="P11" s="967" t="s">
        <v>1599</v>
      </c>
    </row>
    <row r="12" spans="1:19">
      <c r="A12" s="290"/>
      <c r="C12" s="298"/>
      <c r="D12" s="301"/>
      <c r="E12" s="300" t="s">
        <v>532</v>
      </c>
      <c r="F12" s="300" t="s">
        <v>541</v>
      </c>
      <c r="G12" s="300" t="s">
        <v>542</v>
      </c>
      <c r="H12" s="300" t="s">
        <v>668</v>
      </c>
      <c r="I12" s="300" t="s">
        <v>669</v>
      </c>
      <c r="J12" s="300" t="s">
        <v>670</v>
      </c>
      <c r="K12" s="300" t="s">
        <v>984</v>
      </c>
      <c r="L12" s="300" t="s">
        <v>985</v>
      </c>
      <c r="M12" s="300" t="s">
        <v>986</v>
      </c>
      <c r="N12" s="300" t="s">
        <v>987</v>
      </c>
      <c r="O12" s="300" t="s">
        <v>988</v>
      </c>
      <c r="P12" s="300" t="s">
        <v>989</v>
      </c>
      <c r="Q12" s="300"/>
    </row>
    <row r="13" spans="1:19">
      <c r="E13" s="290" t="s">
        <v>320</v>
      </c>
      <c r="F13" s="290" t="s">
        <v>320</v>
      </c>
      <c r="G13" s="290" t="s">
        <v>320</v>
      </c>
      <c r="H13" s="290" t="s">
        <v>320</v>
      </c>
      <c r="I13" s="290" t="s">
        <v>320</v>
      </c>
      <c r="J13" s="290" t="s">
        <v>320</v>
      </c>
      <c r="K13" s="290" t="s">
        <v>320</v>
      </c>
      <c r="L13" s="290" t="s">
        <v>320</v>
      </c>
      <c r="M13" s="290" t="s">
        <v>320</v>
      </c>
      <c r="N13" s="290" t="s">
        <v>320</v>
      </c>
      <c r="O13" s="290" t="s">
        <v>320</v>
      </c>
      <c r="P13" s="290" t="s">
        <v>320</v>
      </c>
    </row>
    <row r="14" spans="1:19">
      <c r="D14" s="302"/>
      <c r="E14" s="313"/>
      <c r="G14" s="313"/>
      <c r="I14" s="313"/>
      <c r="J14" s="313"/>
      <c r="K14" s="313"/>
      <c r="L14" s="313"/>
      <c r="M14" s="313"/>
      <c r="N14" s="313"/>
    </row>
    <row r="15" spans="1:19">
      <c r="A15" s="290">
        <v>1</v>
      </c>
      <c r="C15" s="301" t="s">
        <v>373</v>
      </c>
      <c r="D15" s="302"/>
      <c r="E15" s="313"/>
      <c r="G15" s="313"/>
      <c r="I15" s="313"/>
      <c r="J15" s="313"/>
      <c r="K15" s="313"/>
      <c r="L15" s="313"/>
      <c r="M15" s="313"/>
      <c r="N15" s="313"/>
    </row>
    <row r="16" spans="1:19">
      <c r="A16" s="290">
        <f t="shared" ref="A16:A22" si="0">A15+1</f>
        <v>2</v>
      </c>
      <c r="C16" s="293">
        <v>301</v>
      </c>
      <c r="D16" s="220" t="s">
        <v>374</v>
      </c>
      <c r="E16" s="294">
        <f>'WPB-2.1.C Plant Detail'!O930</f>
        <v>0</v>
      </c>
      <c r="F16" s="294">
        <f>'WPB-2.1.C Plant Detail'!O1044</f>
        <v>0</v>
      </c>
      <c r="G16" s="294">
        <f>'WPB-2.1.C Plant Detail'!O1158</f>
        <v>0</v>
      </c>
      <c r="H16" s="294">
        <f>'WPB-2.1.C Plant Detail'!O1272</f>
        <v>0</v>
      </c>
      <c r="I16" s="294">
        <f>'WPB-2.1.C Plant Detail'!O1386</f>
        <v>0</v>
      </c>
      <c r="J16" s="294">
        <f>'WPB-2.1.C Plant Detail'!O1500</f>
        <v>0</v>
      </c>
      <c r="K16" s="294">
        <f>'WPB-2.1.C Plant Detail'!O1614</f>
        <v>0</v>
      </c>
      <c r="L16" s="294">
        <f>'WPB-2.1.C Plant Detail'!O1728</f>
        <v>0</v>
      </c>
      <c r="M16" s="294">
        <f>'WPB-2.1.C Plant Detail'!O1842</f>
        <v>0</v>
      </c>
      <c r="N16" s="294">
        <f>'WPB-2.1.C Plant Detail'!O1956</f>
        <v>0</v>
      </c>
      <c r="O16" s="294">
        <f>'WPB-2.1.C Plant Detail'!O2070</f>
        <v>0</v>
      </c>
      <c r="P16" s="294">
        <f>'WPB-2.1.C Plant Detail'!O2184</f>
        <v>0</v>
      </c>
      <c r="S16" s="518"/>
    </row>
    <row r="17" spans="1:18">
      <c r="A17" s="290">
        <f t="shared" si="0"/>
        <v>3</v>
      </c>
      <c r="C17" s="293">
        <v>303</v>
      </c>
      <c r="D17" s="220" t="s">
        <v>375</v>
      </c>
      <c r="E17" s="294">
        <f>'WPB-2.1.C Plant Detail'!O931</f>
        <v>78059.61000000003</v>
      </c>
      <c r="F17" s="294">
        <f>'WPB-2.1.C Plant Detail'!O1045</f>
        <v>78327.210000000036</v>
      </c>
      <c r="G17" s="294">
        <f>'WPB-2.1.C Plant Detail'!O1159</f>
        <v>78594.790000000037</v>
      </c>
      <c r="H17" s="294">
        <f>'WPB-2.1.C Plant Detail'!O1273</f>
        <v>78862.400000000038</v>
      </c>
      <c r="I17" s="294">
        <f>'WPB-2.1.C Plant Detail'!O1387</f>
        <v>79129.9678055556</v>
      </c>
      <c r="J17" s="294">
        <f>'WPB-2.1.C Plant Detail'!O1501</f>
        <v>79397.56561111116</v>
      </c>
      <c r="K17" s="294">
        <f>'WPB-2.1.C Plant Detail'!O1615</f>
        <v>79665.163416666721</v>
      </c>
      <c r="L17" s="294">
        <f>'WPB-2.1.C Plant Detail'!O1729</f>
        <v>79932.761222222282</v>
      </c>
      <c r="M17" s="294">
        <f>'WPB-2.1.C Plant Detail'!O1843</f>
        <v>80200.359027777842</v>
      </c>
      <c r="N17" s="294">
        <f>'WPB-2.1.C Plant Detail'!O1957</f>
        <v>80467.956833333403</v>
      </c>
      <c r="O17" s="294">
        <f>'WPB-2.1.C Plant Detail'!O2071</f>
        <v>80735.554638888963</v>
      </c>
      <c r="P17" s="294">
        <f>'WPB-2.1.C Plant Detail'!O2185</f>
        <v>81003.152444444524</v>
      </c>
    </row>
    <row r="18" spans="1:18">
      <c r="A18" s="290">
        <f t="shared" si="0"/>
        <v>4</v>
      </c>
      <c r="C18" s="293">
        <v>303.10000000000002</v>
      </c>
      <c r="D18" s="220" t="s">
        <v>376</v>
      </c>
      <c r="E18" s="294">
        <f>'WPB-2.1.C Plant Detail'!O932</f>
        <v>318.35000000000008</v>
      </c>
      <c r="F18" s="294">
        <f>'WPB-2.1.C Plant Detail'!O1046</f>
        <v>318.35000000000008</v>
      </c>
      <c r="G18" s="294">
        <f>'WPB-2.1.C Plant Detail'!O1160</f>
        <v>318.35000000000008</v>
      </c>
      <c r="H18" s="294">
        <f>'WPB-2.1.C Plant Detail'!O1274</f>
        <v>318.35000000000008</v>
      </c>
      <c r="I18" s="294">
        <f>'WPB-2.1.C Plant Detail'!O1388</f>
        <v>318.35000000000008</v>
      </c>
      <c r="J18" s="294">
        <f>'WPB-2.1.C Plant Detail'!O1502</f>
        <v>318.35000000000008</v>
      </c>
      <c r="K18" s="294">
        <f>'WPB-2.1.C Plant Detail'!O1616</f>
        <v>318.35000000000008</v>
      </c>
      <c r="L18" s="294">
        <f>'WPB-2.1.C Plant Detail'!O1730</f>
        <v>318.35000000000008</v>
      </c>
      <c r="M18" s="294">
        <f>'WPB-2.1.C Plant Detail'!O1844</f>
        <v>318.35000000000008</v>
      </c>
      <c r="N18" s="294">
        <f>'WPB-2.1.C Plant Detail'!O1958</f>
        <v>318.35000000000008</v>
      </c>
      <c r="O18" s="294">
        <f>'WPB-2.1.C Plant Detail'!O2072</f>
        <v>318.35000000000008</v>
      </c>
      <c r="P18" s="294">
        <f>'WPB-2.1.C Plant Detail'!O2186</f>
        <v>318.35000000000008</v>
      </c>
    </row>
    <row r="19" spans="1:18">
      <c r="A19" s="290">
        <f t="shared" si="0"/>
        <v>5</v>
      </c>
      <c r="C19" s="293">
        <v>303.2</v>
      </c>
      <c r="D19" s="220" t="s">
        <v>377</v>
      </c>
      <c r="E19" s="294">
        <f>'WPB-2.1.C Plant Detail'!O933</f>
        <v>0</v>
      </c>
      <c r="F19" s="294">
        <f>'WPB-2.1.C Plant Detail'!O1047</f>
        <v>0</v>
      </c>
      <c r="G19" s="294">
        <f>'WPB-2.1.C Plant Detail'!O1161</f>
        <v>0</v>
      </c>
      <c r="H19" s="294">
        <f>'WPB-2.1.C Plant Detail'!O1275</f>
        <v>0</v>
      </c>
      <c r="I19" s="294">
        <f>'WPB-2.1.C Plant Detail'!O1389</f>
        <v>0</v>
      </c>
      <c r="J19" s="294">
        <f>'WPB-2.1.C Plant Detail'!O1503</f>
        <v>0</v>
      </c>
      <c r="K19" s="294">
        <f>'WPB-2.1.C Plant Detail'!O1617</f>
        <v>0</v>
      </c>
      <c r="L19" s="294">
        <f>'WPB-2.1.C Plant Detail'!O1731</f>
        <v>0</v>
      </c>
      <c r="M19" s="294">
        <f>'WPB-2.1.C Plant Detail'!O1845</f>
        <v>0</v>
      </c>
      <c r="N19" s="294">
        <f>'WPB-2.1.C Plant Detail'!O1959</f>
        <v>0</v>
      </c>
      <c r="O19" s="294">
        <f>'WPB-2.1.C Plant Detail'!O2073</f>
        <v>0</v>
      </c>
      <c r="P19" s="294">
        <f>'WPB-2.1.C Plant Detail'!O2187</f>
        <v>0</v>
      </c>
    </row>
    <row r="20" spans="1:18">
      <c r="A20" s="290">
        <f t="shared" si="0"/>
        <v>6</v>
      </c>
      <c r="C20" s="293">
        <v>303.3</v>
      </c>
      <c r="D20" s="220" t="s">
        <v>378</v>
      </c>
      <c r="E20" s="294">
        <f>'WPB-2.1.C Plant Detail'!O934</f>
        <v>6399085.1400000025</v>
      </c>
      <c r="F20" s="294">
        <f>'WPB-2.1.C Plant Detail'!O1048</f>
        <v>6545756.7100000018</v>
      </c>
      <c r="G20" s="294">
        <f>'WPB-2.1.C Plant Detail'!O1162</f>
        <v>6682230.120000002</v>
      </c>
      <c r="H20" s="294">
        <f>'WPB-2.1.C Plant Detail'!O1276</f>
        <v>6780366.8600000022</v>
      </c>
      <c r="I20" s="294">
        <f>'WPB-2.1.C Plant Detail'!O1390</f>
        <v>6620993.5200000023</v>
      </c>
      <c r="J20" s="294">
        <f>'WPB-2.1.C Plant Detail'!O1504</f>
        <v>6811280.1700000027</v>
      </c>
      <c r="K20" s="294">
        <f>'WPB-2.1.C Plant Detail'!O1618</f>
        <v>6944879.0770000024</v>
      </c>
      <c r="L20" s="294">
        <f>'WPB-2.1.C Plant Detail'!O1732</f>
        <v>5380292.9860000033</v>
      </c>
      <c r="M20" s="294">
        <f>'WPB-2.1.C Plant Detail'!O1846</f>
        <v>5545659.3366666697</v>
      </c>
      <c r="N20" s="294">
        <f>'WPB-2.1.C Plant Detail'!O1960</f>
        <v>5532424.6756666703</v>
      </c>
      <c r="O20" s="294">
        <f>'WPB-2.1.C Plant Detail'!O2074</f>
        <v>5353166.1280000042</v>
      </c>
      <c r="P20" s="294">
        <f>'WPB-2.1.C Plant Detail'!O2188</f>
        <v>5525737.3903333377</v>
      </c>
    </row>
    <row r="21" spans="1:18">
      <c r="A21" s="290">
        <f t="shared" si="0"/>
        <v>7</v>
      </c>
      <c r="C21" s="293">
        <v>303.99</v>
      </c>
      <c r="D21" s="220" t="s">
        <v>1129</v>
      </c>
      <c r="E21" s="294">
        <f>'WPB-2.1.C Plant Detail'!O935</f>
        <v>913983.20000000007</v>
      </c>
      <c r="F21" s="294">
        <f>'WPB-2.1.C Plant Detail'!O1049</f>
        <v>947316.6100000001</v>
      </c>
      <c r="G21" s="294">
        <f>'WPB-2.1.C Plant Detail'!O1163</f>
        <v>952244.59000000008</v>
      </c>
      <c r="H21" s="294">
        <f>'WPB-2.1.C Plant Detail'!O1277</f>
        <v>987550.74000000011</v>
      </c>
      <c r="I21" s="294">
        <f>'WPB-2.1.C Plant Detail'!O1391</f>
        <v>992272.67</v>
      </c>
      <c r="J21" s="294">
        <f>'WPB-2.1.C Plant Detail'!O1505</f>
        <v>1010230.73</v>
      </c>
      <c r="K21" s="294">
        <f>'WPB-2.1.C Plant Detail'!O1619</f>
        <v>1045028.1855</v>
      </c>
      <c r="L21" s="294">
        <f>'WPB-2.1.C Plant Detail'!O1733</f>
        <v>1079955.0112281223</v>
      </c>
      <c r="M21" s="294">
        <f>'WPB-2.1.C Plant Detail'!O1847</f>
        <v>1114887.011841126</v>
      </c>
      <c r="N21" s="294">
        <f>'WPB-2.1.C Plant Detail'!O1961</f>
        <v>1135754.9898373415</v>
      </c>
      <c r="O21" s="294">
        <f>'WPB-2.1.C Plant Detail'!O2075</f>
        <v>1143573.9653541932</v>
      </c>
      <c r="P21" s="294">
        <f>'WPB-2.1.C Plant Detail'!O2189</f>
        <v>1178903.003833588</v>
      </c>
    </row>
    <row r="22" spans="1:18">
      <c r="A22" s="290">
        <f t="shared" si="0"/>
        <v>8</v>
      </c>
      <c r="C22" s="303" t="s">
        <v>379</v>
      </c>
      <c r="E22" s="318">
        <f t="shared" ref="E22:J22" si="1">SUM(E16:E21)</f>
        <v>7391446.3000000026</v>
      </c>
      <c r="F22" s="318">
        <f t="shared" si="1"/>
        <v>7571718.8800000018</v>
      </c>
      <c r="G22" s="318">
        <f t="shared" si="1"/>
        <v>7713387.8500000015</v>
      </c>
      <c r="H22" s="318">
        <f t="shared" si="1"/>
        <v>7847098.3500000024</v>
      </c>
      <c r="I22" s="318">
        <f t="shared" si="1"/>
        <v>7692714.5078055579</v>
      </c>
      <c r="J22" s="318">
        <f t="shared" si="1"/>
        <v>7901226.8156111147</v>
      </c>
      <c r="K22" s="318">
        <f t="shared" ref="K22:P22" si="2">SUM(K16:K21)</f>
        <v>8069890.7759166686</v>
      </c>
      <c r="L22" s="318">
        <f t="shared" si="2"/>
        <v>6540499.1084503476</v>
      </c>
      <c r="M22" s="318">
        <f t="shared" si="2"/>
        <v>6741065.0575355729</v>
      </c>
      <c r="N22" s="318">
        <f t="shared" si="2"/>
        <v>6748965.9723373447</v>
      </c>
      <c r="O22" s="318">
        <f t="shared" si="2"/>
        <v>6577793.9979930865</v>
      </c>
      <c r="P22" s="318">
        <f t="shared" si="2"/>
        <v>6785961.8966113701</v>
      </c>
    </row>
    <row r="23" spans="1:18">
      <c r="A23" s="290"/>
      <c r="D23" s="294"/>
      <c r="E23" s="294"/>
      <c r="F23" s="294"/>
      <c r="G23" s="294"/>
      <c r="H23" s="304"/>
      <c r="I23" s="294"/>
      <c r="J23" s="294"/>
      <c r="K23" s="294"/>
      <c r="L23" s="304"/>
      <c r="M23" s="294"/>
      <c r="N23" s="294"/>
      <c r="O23" s="294"/>
      <c r="P23" s="294"/>
    </row>
    <row r="24" spans="1:18">
      <c r="A24" s="290"/>
      <c r="D24" s="302"/>
      <c r="E24" s="294"/>
      <c r="F24" s="294"/>
      <c r="G24" s="294"/>
      <c r="H24" s="304"/>
      <c r="I24" s="294"/>
      <c r="J24" s="294"/>
      <c r="K24" s="294"/>
      <c r="L24" s="304"/>
      <c r="M24" s="294"/>
      <c r="N24" s="294"/>
      <c r="O24" s="294"/>
      <c r="P24" s="294"/>
      <c r="R24" s="519"/>
    </row>
    <row r="25" spans="1:18">
      <c r="A25" s="290">
        <f>A22+1</f>
        <v>9</v>
      </c>
      <c r="C25" s="301" t="s">
        <v>1600</v>
      </c>
      <c r="D25" s="302"/>
      <c r="E25" s="294"/>
      <c r="F25" s="294"/>
      <c r="G25" s="294"/>
      <c r="H25" s="304"/>
      <c r="I25" s="294"/>
      <c r="J25" s="294"/>
      <c r="K25" s="294"/>
      <c r="L25" s="304"/>
      <c r="M25" s="294"/>
      <c r="N25" s="294"/>
      <c r="O25" s="294"/>
      <c r="P25" s="294"/>
    </row>
    <row r="26" spans="1:18">
      <c r="A26" s="290">
        <f t="shared" ref="A26:A42" si="3">A25+1</f>
        <v>10</v>
      </c>
      <c r="C26" s="293">
        <v>374.1</v>
      </c>
      <c r="D26" s="220" t="s">
        <v>382</v>
      </c>
      <c r="E26" s="294">
        <f>'WPB-2.1.C Plant Detail'!O939</f>
        <v>0</v>
      </c>
      <c r="F26" s="294">
        <f>'WPB-2.1.C Plant Detail'!O1053</f>
        <v>0</v>
      </c>
      <c r="G26" s="294">
        <f>'WPB-2.1.C Plant Detail'!O1167</f>
        <v>0</v>
      </c>
      <c r="H26" s="294">
        <f>'WPB-2.1.C Plant Detail'!O1281</f>
        <v>0</v>
      </c>
      <c r="I26" s="294">
        <f>'WPB-2.1.C Plant Detail'!O1395</f>
        <v>0</v>
      </c>
      <c r="J26" s="294">
        <f>'WPB-2.1.C Plant Detail'!O1509</f>
        <v>0</v>
      </c>
      <c r="K26" s="294">
        <f>'WPB-2.1.C Plant Detail'!O1623</f>
        <v>0</v>
      </c>
      <c r="L26" s="294">
        <f>'WPB-2.1.C Plant Detail'!O1737</f>
        <v>0</v>
      </c>
      <c r="M26" s="294">
        <f>'WPB-2.1.C Plant Detail'!O1851</f>
        <v>0</v>
      </c>
      <c r="N26" s="294">
        <f>'WPB-2.1.C Plant Detail'!O1965</f>
        <v>0</v>
      </c>
      <c r="O26" s="294">
        <f>'WPB-2.1.C Plant Detail'!O2079</f>
        <v>0</v>
      </c>
      <c r="P26" s="294">
        <f>'WPB-2.1.C Plant Detail'!O2193</f>
        <v>0</v>
      </c>
    </row>
    <row r="27" spans="1:18">
      <c r="A27" s="290">
        <f t="shared" si="3"/>
        <v>11</v>
      </c>
      <c r="C27" s="293">
        <v>374.2</v>
      </c>
      <c r="D27" s="220" t="s">
        <v>383</v>
      </c>
      <c r="E27" s="294">
        <f>'WPB-2.1.C Plant Detail'!O940</f>
        <v>-522.25</v>
      </c>
      <c r="F27" s="294">
        <f>'WPB-2.1.C Plant Detail'!O1054</f>
        <v>-522.25</v>
      </c>
      <c r="G27" s="294">
        <f>'WPB-2.1.C Plant Detail'!O1168</f>
        <v>-522.25</v>
      </c>
      <c r="H27" s="294">
        <f>'WPB-2.1.C Plant Detail'!O1282</f>
        <v>-522.25</v>
      </c>
      <c r="I27" s="294">
        <f>'WPB-2.1.C Plant Detail'!O1396</f>
        <v>-522.25</v>
      </c>
      <c r="J27" s="294">
        <f>'WPB-2.1.C Plant Detail'!O1510</f>
        <v>-522.25</v>
      </c>
      <c r="K27" s="294">
        <f>'WPB-2.1.C Plant Detail'!O1624</f>
        <v>-522.25</v>
      </c>
      <c r="L27" s="294">
        <f>'WPB-2.1.C Plant Detail'!O1738</f>
        <v>-522.25</v>
      </c>
      <c r="M27" s="294">
        <f>'WPB-2.1.C Plant Detail'!O1852</f>
        <v>-522.25</v>
      </c>
      <c r="N27" s="294">
        <f>'WPB-2.1.C Plant Detail'!O1966</f>
        <v>-522.25</v>
      </c>
      <c r="O27" s="294">
        <f>'WPB-2.1.C Plant Detail'!O2080</f>
        <v>-522.25</v>
      </c>
      <c r="P27" s="294">
        <f>'WPB-2.1.C Plant Detail'!O2194</f>
        <v>-522.25</v>
      </c>
    </row>
    <row r="28" spans="1:18">
      <c r="A28" s="290">
        <f t="shared" si="3"/>
        <v>12</v>
      </c>
      <c r="C28" s="293">
        <v>374.4</v>
      </c>
      <c r="D28" s="220" t="s">
        <v>384</v>
      </c>
      <c r="E28" s="294">
        <f>'WPB-2.1.C Plant Detail'!O941</f>
        <v>359656.95</v>
      </c>
      <c r="F28" s="294">
        <f>'WPB-2.1.C Plant Detail'!O1055</f>
        <v>362719.91000000003</v>
      </c>
      <c r="G28" s="294">
        <f>'WPB-2.1.C Plant Detail'!O1169</f>
        <v>365784.17000000004</v>
      </c>
      <c r="H28" s="294">
        <f>'WPB-2.1.C Plant Detail'!O1283</f>
        <v>368881.54000000004</v>
      </c>
      <c r="I28" s="294">
        <f>'WPB-2.1.C Plant Detail'!O1397</f>
        <v>372011.75000000006</v>
      </c>
      <c r="J28" s="294">
        <f>'WPB-2.1.C Plant Detail'!O1511</f>
        <v>375149.92000000004</v>
      </c>
      <c r="K28" s="294">
        <f>'WPB-2.1.C Plant Detail'!O1625</f>
        <v>378297.92000000004</v>
      </c>
      <c r="L28" s="294">
        <f>'WPB-2.1.C Plant Detail'!O1739</f>
        <v>381448.92000000004</v>
      </c>
      <c r="M28" s="294">
        <f>'WPB-2.1.C Plant Detail'!O1853</f>
        <v>384601.92000000004</v>
      </c>
      <c r="N28" s="294">
        <f>'WPB-2.1.C Plant Detail'!O1967</f>
        <v>380154.59</v>
      </c>
      <c r="O28" s="294">
        <f>'WPB-2.1.C Plant Detail'!O2081</f>
        <v>383373.59</v>
      </c>
      <c r="P28" s="294">
        <f>'WPB-2.1.C Plant Detail'!O2195</f>
        <v>386659.59</v>
      </c>
    </row>
    <row r="29" spans="1:18">
      <c r="A29" s="290">
        <f t="shared" si="3"/>
        <v>13</v>
      </c>
      <c r="C29" s="293">
        <v>374.5</v>
      </c>
      <c r="D29" s="220" t="s">
        <v>385</v>
      </c>
      <c r="E29" s="294">
        <f>'WPB-2.1.C Plant Detail'!O942</f>
        <v>1148966.3900000008</v>
      </c>
      <c r="F29" s="294">
        <f>'WPB-2.1.C Plant Detail'!O1056</f>
        <v>1151410.7500000009</v>
      </c>
      <c r="G29" s="294">
        <f>'WPB-2.1.C Plant Detail'!O1170</f>
        <v>1153855.110000001</v>
      </c>
      <c r="H29" s="294">
        <f>'WPB-2.1.C Plant Detail'!O1284</f>
        <v>1156299.4700000011</v>
      </c>
      <c r="I29" s="294">
        <f>'WPB-2.1.C Plant Detail'!O1398</f>
        <v>1158743.8300000012</v>
      </c>
      <c r="J29" s="294">
        <f>'WPB-2.1.C Plant Detail'!O1512</f>
        <v>1161188.1900000013</v>
      </c>
      <c r="K29" s="294">
        <f>'WPB-2.1.C Plant Detail'!O1626</f>
        <v>1163632.1900000013</v>
      </c>
      <c r="L29" s="294">
        <f>'WPB-2.1.C Plant Detail'!O1740</f>
        <v>1166076.1900000013</v>
      </c>
      <c r="M29" s="294">
        <f>'WPB-2.1.C Plant Detail'!O1854</f>
        <v>1168520.1900000013</v>
      </c>
      <c r="N29" s="294">
        <f>'WPB-2.1.C Plant Detail'!O1968</f>
        <v>1170964.1900000013</v>
      </c>
      <c r="O29" s="294">
        <f>'WPB-2.1.C Plant Detail'!O2082</f>
        <v>1173408.1900000013</v>
      </c>
      <c r="P29" s="294">
        <f>'WPB-2.1.C Plant Detail'!O2196</f>
        <v>1175852.1900000013</v>
      </c>
    </row>
    <row r="30" spans="1:18">
      <c r="A30" s="290">
        <f t="shared" si="3"/>
        <v>14</v>
      </c>
      <c r="C30" s="293">
        <v>375.2</v>
      </c>
      <c r="D30" s="220" t="s">
        <v>386</v>
      </c>
      <c r="E30" s="294">
        <f>'WPB-2.1.C Plant Detail'!O943</f>
        <v>2059.65</v>
      </c>
      <c r="F30" s="294">
        <f>'WPB-2.1.C Plant Detail'!O1057</f>
        <v>2060.38</v>
      </c>
      <c r="G30" s="294">
        <f>'WPB-2.1.C Plant Detail'!O1171</f>
        <v>2061.11</v>
      </c>
      <c r="H30" s="294">
        <f>'WPB-2.1.C Plant Detail'!O1285</f>
        <v>2061.84</v>
      </c>
      <c r="I30" s="294">
        <f>'WPB-2.1.C Plant Detail'!O1399</f>
        <v>2062.5700000000002</v>
      </c>
      <c r="J30" s="294">
        <f>'WPB-2.1.C Plant Detail'!O1513</f>
        <v>2063.3000000000002</v>
      </c>
      <c r="K30" s="294">
        <f>'WPB-2.1.C Plant Detail'!O1627</f>
        <v>2067.3000000000002</v>
      </c>
      <c r="L30" s="294">
        <f>'WPB-2.1.C Plant Detail'!O1741</f>
        <v>2071.3000000000002</v>
      </c>
      <c r="M30" s="294">
        <f>'WPB-2.1.C Plant Detail'!O1855</f>
        <v>2075.3000000000002</v>
      </c>
      <c r="N30" s="294">
        <f>'WPB-2.1.C Plant Detail'!O1969</f>
        <v>2079.3000000000002</v>
      </c>
      <c r="O30" s="294">
        <f>'WPB-2.1.C Plant Detail'!O2083</f>
        <v>2083.3000000000002</v>
      </c>
      <c r="P30" s="294">
        <f>'WPB-2.1.C Plant Detail'!O2197</f>
        <v>2087.3000000000002</v>
      </c>
    </row>
    <row r="31" spans="1:18">
      <c r="A31" s="290">
        <f t="shared" si="3"/>
        <v>15</v>
      </c>
      <c r="C31" s="293">
        <v>375.3</v>
      </c>
      <c r="D31" s="220" t="s">
        <v>387</v>
      </c>
      <c r="E31" s="294">
        <f>'WPB-2.1.C Plant Detail'!O944</f>
        <v>-77.66</v>
      </c>
      <c r="F31" s="294">
        <f>'WPB-2.1.C Plant Detail'!O1058</f>
        <v>-77.66</v>
      </c>
      <c r="G31" s="294">
        <f>'WPB-2.1.C Plant Detail'!O1172</f>
        <v>-77.66</v>
      </c>
      <c r="H31" s="294">
        <f>'WPB-2.1.C Plant Detail'!O1286</f>
        <v>-77.66</v>
      </c>
      <c r="I31" s="294">
        <f>'WPB-2.1.C Plant Detail'!O1400</f>
        <v>-77.66</v>
      </c>
      <c r="J31" s="294">
        <f>'WPB-2.1.C Plant Detail'!O1514</f>
        <v>-77.66</v>
      </c>
      <c r="K31" s="294">
        <f>'WPB-2.1.C Plant Detail'!O1628</f>
        <v>-77.66</v>
      </c>
      <c r="L31" s="294">
        <f>'WPB-2.1.C Plant Detail'!O1742</f>
        <v>-77.66</v>
      </c>
      <c r="M31" s="294">
        <f>'WPB-2.1.C Plant Detail'!O1856</f>
        <v>-77.66</v>
      </c>
      <c r="N31" s="294">
        <f>'WPB-2.1.C Plant Detail'!O1970</f>
        <v>-77.66</v>
      </c>
      <c r="O31" s="294">
        <f>'WPB-2.1.C Plant Detail'!O2084</f>
        <v>-77.66</v>
      </c>
      <c r="P31" s="294">
        <f>'WPB-2.1.C Plant Detail'!O2198</f>
        <v>-77.66</v>
      </c>
    </row>
    <row r="32" spans="1:18">
      <c r="A32" s="290">
        <f t="shared" si="3"/>
        <v>16</v>
      </c>
      <c r="C32" s="293">
        <v>375.4</v>
      </c>
      <c r="D32" s="220" t="s">
        <v>388</v>
      </c>
      <c r="E32" s="294">
        <f>'WPB-2.1.C Plant Detail'!O945</f>
        <v>591392.9800000001</v>
      </c>
      <c r="F32" s="294">
        <f>'WPB-2.1.C Plant Detail'!O1059</f>
        <v>596575.32000000007</v>
      </c>
      <c r="G32" s="294">
        <f>'WPB-2.1.C Plant Detail'!O1173</f>
        <v>595456.9800000001</v>
      </c>
      <c r="H32" s="294">
        <f>'WPB-2.1.C Plant Detail'!O1287</f>
        <v>594543.69000000006</v>
      </c>
      <c r="I32" s="294">
        <f>'WPB-2.1.C Plant Detail'!O1401</f>
        <v>600033.84000000008</v>
      </c>
      <c r="J32" s="294">
        <f>'WPB-2.1.C Plant Detail'!O1515</f>
        <v>604258.34000000008</v>
      </c>
      <c r="K32" s="294">
        <f>'WPB-2.1.C Plant Detail'!O1629</f>
        <v>548563.46000000008</v>
      </c>
      <c r="L32" s="294">
        <f>'WPB-2.1.C Plant Detail'!O1743</f>
        <v>551243.27000000014</v>
      </c>
      <c r="M32" s="294">
        <f>'WPB-2.1.C Plant Detail'!O1857</f>
        <v>470319.43000000011</v>
      </c>
      <c r="N32" s="294">
        <f>'WPB-2.1.C Plant Detail'!O1971</f>
        <v>476604.43000000011</v>
      </c>
      <c r="O32" s="294">
        <f>'WPB-2.1.C Plant Detail'!O2085</f>
        <v>474895.76000000013</v>
      </c>
      <c r="P32" s="294">
        <f>'WPB-2.1.C Plant Detail'!O2199</f>
        <v>481296.76000000013</v>
      </c>
    </row>
    <row r="33" spans="1:22">
      <c r="A33" s="290">
        <f t="shared" si="3"/>
        <v>17</v>
      </c>
      <c r="C33" s="293">
        <v>375.6</v>
      </c>
      <c r="D33" s="220" t="s">
        <v>389</v>
      </c>
      <c r="E33" s="294">
        <f>'WPB-2.1.C Plant Detail'!O946</f>
        <v>0.02</v>
      </c>
      <c r="F33" s="294">
        <f>'WPB-2.1.C Plant Detail'!O1060</f>
        <v>0.02</v>
      </c>
      <c r="G33" s="294">
        <f>'WPB-2.1.C Plant Detail'!O1174</f>
        <v>0.02</v>
      </c>
      <c r="H33" s="294">
        <f>'WPB-2.1.C Plant Detail'!O1288</f>
        <v>0.02</v>
      </c>
      <c r="I33" s="294">
        <f>'WPB-2.1.C Plant Detail'!O1402</f>
        <v>0.02</v>
      </c>
      <c r="J33" s="294">
        <f>'WPB-2.1.C Plant Detail'!O1516</f>
        <v>0.02</v>
      </c>
      <c r="K33" s="294">
        <f>'WPB-2.1.C Plant Detail'!O1630</f>
        <v>0.02</v>
      </c>
      <c r="L33" s="294">
        <f>'WPB-2.1.C Plant Detail'!O1744</f>
        <v>0.02</v>
      </c>
      <c r="M33" s="294">
        <f>'WPB-2.1.C Plant Detail'!O1858</f>
        <v>0.02</v>
      </c>
      <c r="N33" s="294">
        <f>'WPB-2.1.C Plant Detail'!O1972</f>
        <v>0.02</v>
      </c>
      <c r="O33" s="294">
        <f>'WPB-2.1.C Plant Detail'!O2086</f>
        <v>0.02</v>
      </c>
      <c r="P33" s="294">
        <f>'WPB-2.1.C Plant Detail'!O2200</f>
        <v>0.02</v>
      </c>
    </row>
    <row r="34" spans="1:22">
      <c r="A34" s="290">
        <f t="shared" si="3"/>
        <v>18</v>
      </c>
      <c r="C34" s="293">
        <v>375.7</v>
      </c>
      <c r="D34" s="220" t="s">
        <v>390</v>
      </c>
      <c r="E34" s="294">
        <f>'WPB-2.1.C Plant Detail'!O947</f>
        <v>4641361.6499999985</v>
      </c>
      <c r="F34" s="294">
        <f>'WPB-2.1.C Plant Detail'!O1061</f>
        <v>4659997.9999999981</v>
      </c>
      <c r="G34" s="294">
        <f>'WPB-2.1.C Plant Detail'!O1175</f>
        <v>4678654.5999999978</v>
      </c>
      <c r="H34" s="294">
        <f>'WPB-2.1.C Plant Detail'!O1289</f>
        <v>4690485.9699999979</v>
      </c>
      <c r="I34" s="294">
        <f>'WPB-2.1.C Plant Detail'!O1403</f>
        <v>4709154.9799999977</v>
      </c>
      <c r="J34" s="294">
        <f>'WPB-2.1.C Plant Detail'!O1517</f>
        <v>4727824.3899999978</v>
      </c>
      <c r="K34" s="294">
        <f>'WPB-2.1.C Plant Detail'!O1631</f>
        <v>4746343.5399999982</v>
      </c>
      <c r="L34" s="294">
        <f>'WPB-2.1.C Plant Detail'!O1745</f>
        <v>4763180.6999999983</v>
      </c>
      <c r="M34" s="294">
        <f>'WPB-2.1.C Plant Detail'!O1859</f>
        <v>4781715.6999999983</v>
      </c>
      <c r="N34" s="294">
        <f>'WPB-2.1.C Plant Detail'!O1973</f>
        <v>4800250.6999999983</v>
      </c>
      <c r="O34" s="294">
        <f>'WPB-2.1.C Plant Detail'!O2087</f>
        <v>4818786.6999999983</v>
      </c>
      <c r="P34" s="294">
        <f>'WPB-2.1.C Plant Detail'!O2201</f>
        <v>4837386.6999999983</v>
      </c>
    </row>
    <row r="35" spans="1:22">
      <c r="A35" s="290">
        <f t="shared" si="3"/>
        <v>19</v>
      </c>
      <c r="C35" s="293">
        <v>375.71</v>
      </c>
      <c r="D35" s="220" t="s">
        <v>391</v>
      </c>
      <c r="E35" s="294">
        <f>'WPB-2.1.C Plant Detail'!O948</f>
        <v>744732.52000000025</v>
      </c>
      <c r="F35" s="294">
        <f>'WPB-2.1.C Plant Detail'!O1062</f>
        <v>749476.06000000029</v>
      </c>
      <c r="G35" s="294">
        <f>'WPB-2.1.C Plant Detail'!O1176</f>
        <v>754219.59000000032</v>
      </c>
      <c r="H35" s="294">
        <f>'WPB-2.1.C Plant Detail'!O1290</f>
        <v>758963.13000000035</v>
      </c>
      <c r="I35" s="294">
        <f>'WPB-2.1.C Plant Detail'!O1404</f>
        <v>763706.66000000038</v>
      </c>
      <c r="J35" s="294">
        <f>'WPB-2.1.C Plant Detail'!O1518</f>
        <v>768450.20000000042</v>
      </c>
      <c r="K35" s="294">
        <f>'WPB-2.1.C Plant Detail'!O1632</f>
        <v>773193.74000000046</v>
      </c>
      <c r="L35" s="294">
        <f>'WPB-2.1.C Plant Detail'!O1746</f>
        <v>777937.28000000049</v>
      </c>
      <c r="M35" s="294">
        <f>'WPB-2.1.C Plant Detail'!O1860</f>
        <v>782680.82000000053</v>
      </c>
      <c r="N35" s="294">
        <f>'WPB-2.1.C Plant Detail'!O1974</f>
        <v>787424.36000000057</v>
      </c>
      <c r="O35" s="294">
        <f>'WPB-2.1.C Plant Detail'!O2088</f>
        <v>792167.90000000061</v>
      </c>
      <c r="P35" s="294">
        <f>'WPB-2.1.C Plant Detail'!O2202</f>
        <v>796911.44000000064</v>
      </c>
      <c r="Q35" s="313"/>
      <c r="R35" s="313"/>
      <c r="S35" s="313"/>
      <c r="T35" s="313"/>
      <c r="U35" s="313"/>
      <c r="V35" s="313"/>
    </row>
    <row r="36" spans="1:22">
      <c r="A36" s="290">
        <f t="shared" si="3"/>
        <v>20</v>
      </c>
      <c r="C36" s="293">
        <v>375.8</v>
      </c>
      <c r="D36" s="220" t="s">
        <v>392</v>
      </c>
      <c r="E36" s="294">
        <f>'WPB-2.1.C Plant Detail'!O949</f>
        <v>9069.68</v>
      </c>
      <c r="F36" s="294">
        <f>'WPB-2.1.C Plant Detail'!O1063</f>
        <v>9655.43</v>
      </c>
      <c r="G36" s="294">
        <f>'WPB-2.1.C Plant Detail'!O1177</f>
        <v>10241.18</v>
      </c>
      <c r="H36" s="294">
        <f>'WPB-2.1.C Plant Detail'!O1291</f>
        <v>10826.93</v>
      </c>
      <c r="I36" s="294">
        <f>'WPB-2.1.C Plant Detail'!O1405</f>
        <v>11412.68</v>
      </c>
      <c r="J36" s="294">
        <f>'WPB-2.1.C Plant Detail'!O1519</f>
        <v>11998.43</v>
      </c>
      <c r="K36" s="294">
        <f>'WPB-2.1.C Plant Detail'!O1633</f>
        <v>12253.43</v>
      </c>
      <c r="L36" s="294">
        <f>'WPB-2.1.C Plant Detail'!O1747</f>
        <v>12508.43</v>
      </c>
      <c r="M36" s="294">
        <f>'WPB-2.1.C Plant Detail'!O1861</f>
        <v>12763.43</v>
      </c>
      <c r="N36" s="294">
        <f>'WPB-2.1.C Plant Detail'!O1975</f>
        <v>13018.43</v>
      </c>
      <c r="O36" s="294">
        <f>'WPB-2.1.C Plant Detail'!O2089</f>
        <v>13273.43</v>
      </c>
      <c r="P36" s="294">
        <f>'WPB-2.1.C Plant Detail'!O2203</f>
        <v>13528.43</v>
      </c>
    </row>
    <row r="37" spans="1:22">
      <c r="A37" s="290">
        <f t="shared" si="3"/>
        <v>21</v>
      </c>
      <c r="C37" s="293">
        <v>376</v>
      </c>
      <c r="D37" s="220" t="s">
        <v>1582</v>
      </c>
      <c r="E37" s="294">
        <f>'WPB-2.1.C Plant Detail'!O950</f>
        <v>78753046.367000014</v>
      </c>
      <c r="F37" s="294">
        <f>'WPB-2.1.C Plant Detail'!O1064</f>
        <v>79320948.729000017</v>
      </c>
      <c r="G37" s="294">
        <f>'WPB-2.1.C Plant Detail'!O1178</f>
        <v>79737772.509000033</v>
      </c>
      <c r="H37" s="294">
        <f>'WPB-2.1.C Plant Detail'!O1292</f>
        <v>79654433.208000034</v>
      </c>
      <c r="I37" s="294">
        <f>'WPB-2.1.C Plant Detail'!O1406</f>
        <v>80149405.686000049</v>
      </c>
      <c r="J37" s="294">
        <f>'WPB-2.1.C Plant Detail'!O1520</f>
        <v>80739116.856000051</v>
      </c>
      <c r="K37" s="294">
        <f>'WPB-2.1.C Plant Detail'!O1634</f>
        <v>81266309.237566277</v>
      </c>
      <c r="L37" s="294">
        <f>'WPB-2.1.C Plant Detail'!O1748</f>
        <v>81809438.182982698</v>
      </c>
      <c r="M37" s="294">
        <f>'WPB-2.1.C Plant Detail'!O1862</f>
        <v>82370342.94999446</v>
      </c>
      <c r="N37" s="294">
        <f>'WPB-2.1.C Plant Detail'!O1976</f>
        <v>82935739.519677386</v>
      </c>
      <c r="O37" s="294">
        <f>'WPB-2.1.C Plant Detail'!O2090</f>
        <v>83503198.23839356</v>
      </c>
      <c r="P37" s="294">
        <f>'WPB-2.1.C Plant Detail'!O2204</f>
        <v>84078390.441462323</v>
      </c>
    </row>
    <row r="38" spans="1:22">
      <c r="A38" s="290">
        <f t="shared" si="3"/>
        <v>22</v>
      </c>
      <c r="C38" s="293">
        <v>378.1</v>
      </c>
      <c r="D38" s="220" t="s">
        <v>394</v>
      </c>
      <c r="E38" s="294">
        <f>'WPB-2.1.C Plant Detail'!O951</f>
        <v>409090.75999999995</v>
      </c>
      <c r="F38" s="294">
        <f>'WPB-2.1.C Plant Detail'!O1065</f>
        <v>410123.07999999996</v>
      </c>
      <c r="G38" s="294">
        <f>'WPB-2.1.C Plant Detail'!O1179</f>
        <v>411155.39999999997</v>
      </c>
      <c r="H38" s="294">
        <f>'WPB-2.1.C Plant Detail'!O1293</f>
        <v>411351.20999999996</v>
      </c>
      <c r="I38" s="294">
        <f>'WPB-2.1.C Plant Detail'!O1407</f>
        <v>412222.02999999997</v>
      </c>
      <c r="J38" s="294">
        <f>'WPB-2.1.C Plant Detail'!O1521</f>
        <v>413253.74999999994</v>
      </c>
      <c r="K38" s="294">
        <f>'WPB-2.1.C Plant Detail'!O1635</f>
        <v>46972.419999999925</v>
      </c>
      <c r="L38" s="294">
        <f>'WPB-2.1.C Plant Detail'!O1749</f>
        <v>10473.849999999926</v>
      </c>
      <c r="M38" s="294">
        <f>'WPB-2.1.C Plant Detail'!O1863</f>
        <v>10824.849999999926</v>
      </c>
      <c r="N38" s="294">
        <f>'WPB-2.1.C Plant Detail'!O1977</f>
        <v>11175.849999999926</v>
      </c>
      <c r="O38" s="294">
        <f>'WPB-2.1.C Plant Detail'!O2091</f>
        <v>11526.849999999926</v>
      </c>
      <c r="P38" s="294">
        <f>'WPB-2.1.C Plant Detail'!O2205</f>
        <v>-28868.130000000077</v>
      </c>
    </row>
    <row r="39" spans="1:22">
      <c r="A39" s="290">
        <f t="shared" si="3"/>
        <v>23</v>
      </c>
      <c r="C39" s="293">
        <v>378.2</v>
      </c>
      <c r="D39" s="220" t="s">
        <v>1583</v>
      </c>
      <c r="E39" s="294">
        <f>'WPB-2.1.C Plant Detail'!O952</f>
        <v>3256317.372</v>
      </c>
      <c r="F39" s="294">
        <f>'WPB-2.1.C Plant Detail'!O1066</f>
        <v>3309725.7620000001</v>
      </c>
      <c r="G39" s="294">
        <f>'WPB-2.1.C Plant Detail'!O1180</f>
        <v>3336732.2050000005</v>
      </c>
      <c r="H39" s="294">
        <f>'WPB-2.1.C Plant Detail'!O1294</f>
        <v>3389938.9620000003</v>
      </c>
      <c r="I39" s="294">
        <f>'WPB-2.1.C Plant Detail'!O1408</f>
        <v>3443247.625</v>
      </c>
      <c r="J39" s="294">
        <f>'WPB-2.1.C Plant Detail'!O1522</f>
        <v>3493827.0789999999</v>
      </c>
      <c r="K39" s="294">
        <f>'WPB-2.1.C Plant Detail'!O1636</f>
        <v>3471186.8479999998</v>
      </c>
      <c r="L39" s="294">
        <f>'WPB-2.1.C Plant Detail'!O1750</f>
        <v>3423162.200162983</v>
      </c>
      <c r="M39" s="294">
        <f>'WPB-2.1.C Plant Detail'!O1864</f>
        <v>3468021.5244734744</v>
      </c>
      <c r="N39" s="294">
        <f>'WPB-2.1.C Plant Detail'!O1978</f>
        <v>3453769.2788276533</v>
      </c>
      <c r="O39" s="294">
        <f>'WPB-2.1.C Plant Detail'!O2092</f>
        <v>3503333.0171213448</v>
      </c>
      <c r="P39" s="294">
        <f>'WPB-2.1.C Plant Detail'!O2206</f>
        <v>3515562.3850249317</v>
      </c>
    </row>
    <row r="40" spans="1:22">
      <c r="A40" s="290">
        <f t="shared" si="3"/>
        <v>24</v>
      </c>
      <c r="C40" s="293">
        <v>378.3</v>
      </c>
      <c r="D40" s="220" t="s">
        <v>396</v>
      </c>
      <c r="E40" s="294">
        <f>'WPB-2.1.C Plant Detail'!O953</f>
        <v>42881.170000000006</v>
      </c>
      <c r="F40" s="294">
        <f>'WPB-2.1.C Plant Detail'!O1067</f>
        <v>42976.600000000006</v>
      </c>
      <c r="G40" s="294">
        <f>'WPB-2.1.C Plant Detail'!O1181</f>
        <v>43072.030000000006</v>
      </c>
      <c r="H40" s="294">
        <f>'WPB-2.1.C Plant Detail'!O1295</f>
        <v>43167.460000000006</v>
      </c>
      <c r="I40" s="294">
        <f>'WPB-2.1.C Plant Detail'!O1409</f>
        <v>43262.890000000007</v>
      </c>
      <c r="J40" s="294">
        <f>'WPB-2.1.C Plant Detail'!O1523</f>
        <v>43358.320000000007</v>
      </c>
      <c r="K40" s="294">
        <f>'WPB-2.1.C Plant Detail'!O1637</f>
        <v>43453.320000000007</v>
      </c>
      <c r="L40" s="294">
        <f>'WPB-2.1.C Plant Detail'!O1751</f>
        <v>43548.320000000007</v>
      </c>
      <c r="M40" s="294">
        <f>'WPB-2.1.C Plant Detail'!O1865</f>
        <v>43643.320000000007</v>
      </c>
      <c r="N40" s="294">
        <f>'WPB-2.1.C Plant Detail'!O1979</f>
        <v>43738.320000000007</v>
      </c>
      <c r="O40" s="294">
        <f>'WPB-2.1.C Plant Detail'!O2093</f>
        <v>43833.320000000007</v>
      </c>
      <c r="P40" s="294">
        <f>'WPB-2.1.C Plant Detail'!O2207</f>
        <v>43928.320000000007</v>
      </c>
    </row>
    <row r="41" spans="1:22">
      <c r="A41" s="290">
        <f t="shared" si="3"/>
        <v>25</v>
      </c>
      <c r="C41" s="293">
        <v>379.1</v>
      </c>
      <c r="D41" s="220" t="s">
        <v>397</v>
      </c>
      <c r="E41" s="294">
        <f>'WPB-2.1.C Plant Detail'!O954</f>
        <v>341982.24000000005</v>
      </c>
      <c r="F41" s="294">
        <f>'WPB-2.1.C Plant Detail'!O1068</f>
        <v>345116.43000000005</v>
      </c>
      <c r="G41" s="294">
        <f>'WPB-2.1.C Plant Detail'!O1182</f>
        <v>348250.62000000005</v>
      </c>
      <c r="H41" s="294">
        <f>'WPB-2.1.C Plant Detail'!O1296</f>
        <v>351384.81000000006</v>
      </c>
      <c r="I41" s="294">
        <f>'WPB-2.1.C Plant Detail'!O1410</f>
        <v>354519.00000000006</v>
      </c>
      <c r="J41" s="294">
        <f>'WPB-2.1.C Plant Detail'!O1524</f>
        <v>357653.19000000006</v>
      </c>
      <c r="K41" s="294">
        <f>'WPB-2.1.C Plant Detail'!O1638</f>
        <v>360787.19000000006</v>
      </c>
      <c r="L41" s="294">
        <f>'WPB-2.1.C Plant Detail'!O1752</f>
        <v>363921.19000000006</v>
      </c>
      <c r="M41" s="294">
        <f>'WPB-2.1.C Plant Detail'!O1866</f>
        <v>367055.19000000006</v>
      </c>
      <c r="N41" s="294">
        <f>'WPB-2.1.C Plant Detail'!O1980</f>
        <v>370189.19000000006</v>
      </c>
      <c r="O41" s="294">
        <f>'WPB-2.1.C Plant Detail'!O2094</f>
        <v>373323.19000000006</v>
      </c>
      <c r="P41" s="294">
        <f>'WPB-2.1.C Plant Detail'!O2208</f>
        <v>376457.19000000006</v>
      </c>
      <c r="R41" s="313"/>
      <c r="S41" s="313"/>
      <c r="T41" s="313"/>
    </row>
    <row r="42" spans="1:22">
      <c r="A42" s="290">
        <f t="shared" si="3"/>
        <v>26</v>
      </c>
      <c r="C42" s="293">
        <v>380</v>
      </c>
      <c r="D42" s="220" t="s">
        <v>1584</v>
      </c>
      <c r="E42" s="294">
        <f>'WPB-2.1.C Plant Detail'!O955</f>
        <v>57431622.593807653</v>
      </c>
      <c r="F42" s="294">
        <f>'WPB-2.1.C Plant Detail'!O1069</f>
        <v>58022488.582581088</v>
      </c>
      <c r="G42" s="294">
        <f>'WPB-2.1.C Plant Detail'!O1183</f>
        <v>58610847.045193687</v>
      </c>
      <c r="H42" s="294">
        <f>'WPB-2.1.C Plant Detail'!O1297</f>
        <v>59215765.896021634</v>
      </c>
      <c r="I42" s="294">
        <f>'WPB-2.1.C Plant Detail'!O1411</f>
        <v>59886315.966021635</v>
      </c>
      <c r="J42" s="294">
        <f>'WPB-2.1.C Plant Detail'!O1525</f>
        <v>60484062.225021638</v>
      </c>
      <c r="K42" s="294">
        <f>'WPB-2.1.C Plant Detail'!O1639</f>
        <v>61109591.615021646</v>
      </c>
      <c r="L42" s="294">
        <f>'WPB-2.1.C Plant Detail'!O1753</f>
        <v>61714712.734909967</v>
      </c>
      <c r="M42" s="294">
        <f>'WPB-2.1.C Plant Detail'!O1867</f>
        <v>62318896.960111573</v>
      </c>
      <c r="N42" s="294">
        <f>'WPB-2.1.C Plant Detail'!O1981</f>
        <v>62913111.403542429</v>
      </c>
      <c r="O42" s="294">
        <f>'WPB-2.1.C Plant Detail'!O2095</f>
        <v>63525012.444448225</v>
      </c>
      <c r="P42" s="294">
        <f>'WPB-2.1.C Plant Detail'!O2209</f>
        <v>64154204.64260383</v>
      </c>
    </row>
    <row r="43" spans="1:22">
      <c r="A43" s="290">
        <f>A42+1</f>
        <v>27</v>
      </c>
      <c r="C43" s="293">
        <v>381</v>
      </c>
      <c r="D43" s="220" t="s">
        <v>399</v>
      </c>
      <c r="E43" s="294">
        <f>'WPB-2.1.C Plant Detail'!O956</f>
        <v>2503584.1799999997</v>
      </c>
      <c r="F43" s="294">
        <f>'WPB-2.1.C Plant Detail'!O1070</f>
        <v>2485633.9899999998</v>
      </c>
      <c r="G43" s="294">
        <f>'WPB-2.1.C Plant Detail'!O1184</f>
        <v>2467945.7499999995</v>
      </c>
      <c r="H43" s="294">
        <f>'WPB-2.1.C Plant Detail'!O1298</f>
        <v>2502250.6999999993</v>
      </c>
      <c r="I43" s="294">
        <f>'WPB-2.1.C Plant Detail'!O1412</f>
        <v>2492127.4599999995</v>
      </c>
      <c r="J43" s="294">
        <f>'WPB-2.1.C Plant Detail'!O1526</f>
        <v>2493981.7499999995</v>
      </c>
      <c r="K43" s="294">
        <f>'WPB-2.1.C Plant Detail'!O1640</f>
        <v>2511473.2299999995</v>
      </c>
      <c r="L43" s="294">
        <f>'WPB-2.1.C Plant Detail'!O1754</f>
        <v>1890538.1499999994</v>
      </c>
      <c r="M43" s="294">
        <f>'WPB-2.1.C Plant Detail'!O1868</f>
        <v>1861683.9299999995</v>
      </c>
      <c r="N43" s="294">
        <f>'WPB-2.1.C Plant Detail'!O1982</f>
        <v>1847350.0599999994</v>
      </c>
      <c r="O43" s="294">
        <f>'WPB-2.1.C Plant Detail'!O2096</f>
        <v>1837836.3699999994</v>
      </c>
      <c r="P43" s="294">
        <f>'WPB-2.1.C Plant Detail'!O2210</f>
        <v>1839859.4499999995</v>
      </c>
    </row>
    <row r="44" spans="1:22">
      <c r="A44" s="290">
        <f>A43+1</f>
        <v>28</v>
      </c>
      <c r="C44" s="293">
        <v>381.1</v>
      </c>
      <c r="D44" s="220" t="s">
        <v>2366</v>
      </c>
      <c r="E44" s="294">
        <f>'WPB-2.1.C Plant Detail'!O957</f>
        <v>5174457.0800000019</v>
      </c>
      <c r="F44" s="294">
        <f>'WPB-2.1.C Plant Detail'!O1071</f>
        <v>5236671.0700000022</v>
      </c>
      <c r="G44" s="294">
        <f>'WPB-2.1.C Plant Detail'!O1185</f>
        <v>5298885.0600000024</v>
      </c>
      <c r="H44" s="294">
        <f>'WPB-2.1.C Plant Detail'!O1299</f>
        <v>5361099.0500000026</v>
      </c>
      <c r="I44" s="294">
        <f>'WPB-2.1.C Plant Detail'!O1413</f>
        <v>5423313.0400000028</v>
      </c>
      <c r="J44" s="294">
        <f>'WPB-2.1.C Plant Detail'!O1527</f>
        <v>5485527.0300000031</v>
      </c>
      <c r="K44" s="294">
        <f>'WPB-2.1.C Plant Detail'!O1641</f>
        <v>5547741.0300000031</v>
      </c>
      <c r="L44" s="294">
        <f>'WPB-2.1.C Plant Detail'!O1755</f>
        <v>5609955.0300000031</v>
      </c>
      <c r="M44" s="294">
        <f>'WPB-2.1.C Plant Detail'!O1869</f>
        <v>5672169.0300000031</v>
      </c>
      <c r="N44" s="294">
        <f>'WPB-2.1.C Plant Detail'!O1983</f>
        <v>5734383.0300000031</v>
      </c>
      <c r="O44" s="294">
        <f>'WPB-2.1.C Plant Detail'!O2097</f>
        <v>5796597.0300000031</v>
      </c>
      <c r="P44" s="294">
        <f>'WPB-2.1.C Plant Detail'!O2211</f>
        <v>5858811.0300000031</v>
      </c>
    </row>
    <row r="45" spans="1:22">
      <c r="A45" s="290">
        <f t="shared" ref="A45:A56" si="4">A44+1</f>
        <v>29</v>
      </c>
      <c r="C45" s="293">
        <v>382</v>
      </c>
      <c r="D45" s="220" t="s">
        <v>1585</v>
      </c>
      <c r="E45" s="294">
        <f>'WPB-2.1.C Plant Detail'!O958</f>
        <v>5796400.6790000014</v>
      </c>
      <c r="F45" s="294">
        <f>'WPB-2.1.C Plant Detail'!O1072</f>
        <v>5811664.5110000018</v>
      </c>
      <c r="G45" s="294">
        <f>'WPB-2.1.C Plant Detail'!O1186</f>
        <v>5827050.5340000018</v>
      </c>
      <c r="H45" s="294">
        <f>'WPB-2.1.C Plant Detail'!O1300</f>
        <v>5842563.0030000014</v>
      </c>
      <c r="I45" s="294">
        <f>'WPB-2.1.C Plant Detail'!O1414</f>
        <v>5858153.4560000012</v>
      </c>
      <c r="J45" s="294">
        <f>'WPB-2.1.C Plant Detail'!O1528</f>
        <v>5873758.574000001</v>
      </c>
      <c r="K45" s="294">
        <f>'WPB-2.1.C Plant Detail'!O1642</f>
        <v>5889419.067835059</v>
      </c>
      <c r="L45" s="294">
        <f>'WPB-2.1.C Plant Detail'!O1756</f>
        <v>5901732.3798350589</v>
      </c>
      <c r="M45" s="294">
        <f>'WPB-2.1.C Plant Detail'!O1870</f>
        <v>5916132.7546405271</v>
      </c>
      <c r="N45" s="294">
        <f>'WPB-2.1.C Plant Detail'!O1984</f>
        <v>5930330.6123171775</v>
      </c>
      <c r="O45" s="294">
        <f>'WPB-2.1.C Plant Detail'!O2098</f>
        <v>5944582.0607908126</v>
      </c>
      <c r="P45" s="294">
        <f>'WPB-2.1.C Plant Detail'!O2212</f>
        <v>5958251.203643823</v>
      </c>
    </row>
    <row r="46" spans="1:22">
      <c r="A46" s="290">
        <f t="shared" si="4"/>
        <v>30</v>
      </c>
      <c r="C46" s="293">
        <v>383</v>
      </c>
      <c r="D46" s="220" t="s">
        <v>1586</v>
      </c>
      <c r="E46" s="294">
        <f>'WPB-2.1.C Plant Detail'!O959</f>
        <v>2451077.1839999999</v>
      </c>
      <c r="F46" s="294">
        <f>'WPB-2.1.C Plant Detail'!O1073</f>
        <v>2462823.969</v>
      </c>
      <c r="G46" s="294">
        <f>'WPB-2.1.C Plant Detail'!O1187</f>
        <v>2474615.19</v>
      </c>
      <c r="H46" s="294">
        <f>'WPB-2.1.C Plant Detail'!O1301</f>
        <v>2486451.0919999997</v>
      </c>
      <c r="I46" s="294">
        <f>'WPB-2.1.C Plant Detail'!O1415</f>
        <v>2498335.7749999999</v>
      </c>
      <c r="J46" s="294">
        <f>'WPB-2.1.C Plant Detail'!O1529</f>
        <v>2510263.1310000001</v>
      </c>
      <c r="K46" s="294">
        <f>'WPB-2.1.C Plant Detail'!O1643</f>
        <v>2522078.0132356118</v>
      </c>
      <c r="L46" s="294">
        <f>'WPB-2.1.C Plant Detail'!O1757</f>
        <v>2533856.2847691365</v>
      </c>
      <c r="M46" s="294">
        <f>'WPB-2.1.C Plant Detail'!O1871</f>
        <v>2545506.1091471915</v>
      </c>
      <c r="N46" s="294">
        <f>'WPB-2.1.C Plant Detail'!O1985</f>
        <v>2557183.7805464217</v>
      </c>
      <c r="O46" s="294">
        <f>'WPB-2.1.C Plant Detail'!O2099</f>
        <v>2567532.8415464219</v>
      </c>
      <c r="P46" s="294">
        <f>'WPB-2.1.C Plant Detail'!O2213</f>
        <v>2579243.597528928</v>
      </c>
    </row>
    <row r="47" spans="1:22">
      <c r="A47" s="290">
        <f t="shared" si="4"/>
        <v>31</v>
      </c>
      <c r="C47" s="293">
        <v>384</v>
      </c>
      <c r="D47" s="220" t="s">
        <v>402</v>
      </c>
      <c r="E47" s="294">
        <f>'WPB-2.1.C Plant Detail'!O960</f>
        <v>1723161.1899999995</v>
      </c>
      <c r="F47" s="294">
        <f>'WPB-2.1.C Plant Detail'!O1074</f>
        <v>1724881.3599999994</v>
      </c>
      <c r="G47" s="294">
        <f>'WPB-2.1.C Plant Detail'!O1188</f>
        <v>1726601.5299999993</v>
      </c>
      <c r="H47" s="294">
        <f>'WPB-2.1.C Plant Detail'!O1302</f>
        <v>1728321.6999999993</v>
      </c>
      <c r="I47" s="294">
        <f>'WPB-2.1.C Plant Detail'!O1416</f>
        <v>1730041.8699999992</v>
      </c>
      <c r="J47" s="294">
        <f>'WPB-2.1.C Plant Detail'!O1530</f>
        <v>1731762.0399999991</v>
      </c>
      <c r="K47" s="294">
        <f>'WPB-2.1.C Plant Detail'!O1644</f>
        <v>1733482.0399999991</v>
      </c>
      <c r="L47" s="294">
        <f>'WPB-2.1.C Plant Detail'!O1758</f>
        <v>1735202.0399999991</v>
      </c>
      <c r="M47" s="294">
        <f>'WPB-2.1.C Plant Detail'!O1872</f>
        <v>1736922.0399999991</v>
      </c>
      <c r="N47" s="294">
        <f>'WPB-2.1.C Plant Detail'!O1986</f>
        <v>1738642.0399999991</v>
      </c>
      <c r="O47" s="294">
        <f>'WPB-2.1.C Plant Detail'!O2100</f>
        <v>1740362.0399999991</v>
      </c>
      <c r="P47" s="294">
        <f>'WPB-2.1.C Plant Detail'!O2214</f>
        <v>1742082.0399999991</v>
      </c>
    </row>
    <row r="48" spans="1:22">
      <c r="A48" s="290">
        <f t="shared" si="4"/>
        <v>32</v>
      </c>
      <c r="C48" s="293">
        <v>385</v>
      </c>
      <c r="D48" s="220" t="s">
        <v>403</v>
      </c>
      <c r="E48" s="294">
        <f>'WPB-2.1.C Plant Detail'!O961</f>
        <v>738632.02</v>
      </c>
      <c r="F48" s="294">
        <f>'WPB-2.1.C Plant Detail'!O1075</f>
        <v>757446.27</v>
      </c>
      <c r="G48" s="294">
        <f>'WPB-2.1.C Plant Detail'!O1189</f>
        <v>769133.14</v>
      </c>
      <c r="H48" s="294">
        <f>'WPB-2.1.C Plant Detail'!O1303</f>
        <v>785825.46</v>
      </c>
      <c r="I48" s="294">
        <f>'WPB-2.1.C Plant Detail'!O1417</f>
        <v>803036.39</v>
      </c>
      <c r="J48" s="294">
        <f>'WPB-2.1.C Plant Detail'!O1531</f>
        <v>814047.11</v>
      </c>
      <c r="K48" s="294">
        <f>'WPB-2.1.C Plant Detail'!O1645</f>
        <v>827943.16</v>
      </c>
      <c r="L48" s="294">
        <f>'WPB-2.1.C Plant Detail'!O1759</f>
        <v>828748.57000000007</v>
      </c>
      <c r="M48" s="294">
        <f>'WPB-2.1.C Plant Detail'!O1873</f>
        <v>845312.77</v>
      </c>
      <c r="N48" s="294">
        <f>'WPB-2.1.C Plant Detail'!O1987</f>
        <v>851242.17999999993</v>
      </c>
      <c r="O48" s="294">
        <f>'WPB-2.1.C Plant Detail'!O2101</f>
        <v>856651.32999999984</v>
      </c>
      <c r="P48" s="294">
        <f>'WPB-2.1.C Plant Detail'!O2215</f>
        <v>865329.6599999998</v>
      </c>
    </row>
    <row r="49" spans="1:16">
      <c r="A49" s="290">
        <f t="shared" si="4"/>
        <v>33</v>
      </c>
      <c r="C49" s="293">
        <v>387.2</v>
      </c>
      <c r="D49" s="220" t="s">
        <v>404</v>
      </c>
      <c r="E49" s="294">
        <f>'WPB-2.1.C Plant Detail'!O962</f>
        <v>-59912.03</v>
      </c>
      <c r="F49" s="294">
        <f>'WPB-2.1.C Plant Detail'!O1076</f>
        <v>-59912.03</v>
      </c>
      <c r="G49" s="294">
        <f>'WPB-2.1.C Plant Detail'!O1190</f>
        <v>-59912.03</v>
      </c>
      <c r="H49" s="294">
        <f>'WPB-2.1.C Plant Detail'!O1304</f>
        <v>-59912.03</v>
      </c>
      <c r="I49" s="294">
        <f>'WPB-2.1.C Plant Detail'!O1418</f>
        <v>-59912.03</v>
      </c>
      <c r="J49" s="294">
        <f>'WPB-2.1.C Plant Detail'!O1532</f>
        <v>-59912.03</v>
      </c>
      <c r="K49" s="294">
        <f>'WPB-2.1.C Plant Detail'!O1646</f>
        <v>-59912.03</v>
      </c>
      <c r="L49" s="294">
        <f>'WPB-2.1.C Plant Detail'!O1760</f>
        <v>-59912.03</v>
      </c>
      <c r="M49" s="294">
        <f>'WPB-2.1.C Plant Detail'!O1874</f>
        <v>-59912.03</v>
      </c>
      <c r="N49" s="294">
        <f>'WPB-2.1.C Plant Detail'!O1988</f>
        <v>-59912.03</v>
      </c>
      <c r="O49" s="294">
        <f>'WPB-2.1.C Plant Detail'!O2102</f>
        <v>-59912.03</v>
      </c>
      <c r="P49" s="294">
        <f>'WPB-2.1.C Plant Detail'!O2216</f>
        <v>-59912.03</v>
      </c>
    </row>
    <row r="50" spans="1:16">
      <c r="A50" s="290">
        <f t="shared" si="4"/>
        <v>34</v>
      </c>
      <c r="C50" s="293">
        <v>387.41</v>
      </c>
      <c r="D50" s="220" t="s">
        <v>405</v>
      </c>
      <c r="E50" s="294">
        <f>'WPB-2.1.C Plant Detail'!O963</f>
        <v>58448.520000000062</v>
      </c>
      <c r="F50" s="294">
        <f>'WPB-2.1.C Plant Detail'!O1077</f>
        <v>59119.410000000062</v>
      </c>
      <c r="G50" s="294">
        <f>'WPB-2.1.C Plant Detail'!O1191</f>
        <v>59790.300000000061</v>
      </c>
      <c r="H50" s="294">
        <f>'WPB-2.1.C Plant Detail'!O1305</f>
        <v>60461.190000000061</v>
      </c>
      <c r="I50" s="294">
        <f>'WPB-2.1.C Plant Detail'!O1419</f>
        <v>61132.08000000006</v>
      </c>
      <c r="J50" s="294">
        <f>'WPB-2.1.C Plant Detail'!O1533</f>
        <v>61802.970000000059</v>
      </c>
      <c r="K50" s="294">
        <f>'WPB-2.1.C Plant Detail'!O1647</f>
        <v>62505.970000000059</v>
      </c>
      <c r="L50" s="294">
        <f>'WPB-2.1.C Plant Detail'!O1761</f>
        <v>63208.970000000059</v>
      </c>
      <c r="M50" s="294">
        <f>'WPB-2.1.C Plant Detail'!O1875</f>
        <v>63911.970000000059</v>
      </c>
      <c r="N50" s="294">
        <f>'WPB-2.1.C Plant Detail'!O1989</f>
        <v>64614.970000000059</v>
      </c>
      <c r="O50" s="294">
        <f>'WPB-2.1.C Plant Detail'!O2103</f>
        <v>65317.970000000059</v>
      </c>
      <c r="P50" s="294">
        <f>'WPB-2.1.C Plant Detail'!O2217</f>
        <v>66020.970000000059</v>
      </c>
    </row>
    <row r="51" spans="1:16">
      <c r="A51" s="290">
        <f t="shared" si="4"/>
        <v>35</v>
      </c>
      <c r="C51" s="293">
        <v>387.42</v>
      </c>
      <c r="D51" s="220" t="s">
        <v>406</v>
      </c>
      <c r="E51" s="294">
        <f>'WPB-2.1.C Plant Detail'!O964</f>
        <v>340002.35999999987</v>
      </c>
      <c r="F51" s="294">
        <f>'WPB-2.1.C Plant Detail'!O1078</f>
        <v>341134.64999999985</v>
      </c>
      <c r="G51" s="294">
        <f>'WPB-2.1.C Plant Detail'!O1192</f>
        <v>342266.93999999983</v>
      </c>
      <c r="H51" s="294">
        <f>'WPB-2.1.C Plant Detail'!O1306</f>
        <v>343399.22999999981</v>
      </c>
      <c r="I51" s="294">
        <f>'WPB-2.1.C Plant Detail'!O1420</f>
        <v>344531.51999999979</v>
      </c>
      <c r="J51" s="294">
        <f>'WPB-2.1.C Plant Detail'!O1534</f>
        <v>345663.80999999976</v>
      </c>
      <c r="K51" s="294">
        <f>'WPB-2.1.C Plant Detail'!O1648</f>
        <v>346795.80999999976</v>
      </c>
      <c r="L51" s="294">
        <f>'WPB-2.1.C Plant Detail'!O1762</f>
        <v>347927.80999999976</v>
      </c>
      <c r="M51" s="294">
        <f>'WPB-2.1.C Plant Detail'!O1876</f>
        <v>349059.80999999976</v>
      </c>
      <c r="N51" s="294">
        <f>'WPB-2.1.C Plant Detail'!O1990</f>
        <v>350191.80999999976</v>
      </c>
      <c r="O51" s="294">
        <f>'WPB-2.1.C Plant Detail'!O2104</f>
        <v>351323.80999999976</v>
      </c>
      <c r="P51" s="294">
        <f>'WPB-2.1.C Plant Detail'!O2218</f>
        <v>352455.80999999976</v>
      </c>
    </row>
    <row r="52" spans="1:16">
      <c r="A52" s="290">
        <f t="shared" si="4"/>
        <v>36</v>
      </c>
      <c r="C52" s="293">
        <v>387.44</v>
      </c>
      <c r="D52" s="220" t="s">
        <v>407</v>
      </c>
      <c r="E52" s="294">
        <f>'WPB-2.1.C Plant Detail'!O965</f>
        <v>66396.239999999991</v>
      </c>
      <c r="F52" s="294">
        <f>'WPB-2.1.C Plant Detail'!O1079</f>
        <v>66732.87</v>
      </c>
      <c r="G52" s="294">
        <f>'WPB-2.1.C Plant Detail'!O1193</f>
        <v>67069.5</v>
      </c>
      <c r="H52" s="294">
        <f>'WPB-2.1.C Plant Detail'!O1307</f>
        <v>67406.13</v>
      </c>
      <c r="I52" s="294">
        <f>'WPB-2.1.C Plant Detail'!O1421</f>
        <v>67742.760000000009</v>
      </c>
      <c r="J52" s="294">
        <f>'WPB-2.1.C Plant Detail'!O1535</f>
        <v>68079.390000000014</v>
      </c>
      <c r="K52" s="294">
        <f>'WPB-2.1.C Plant Detail'!O1649</f>
        <v>68416.390000000014</v>
      </c>
      <c r="L52" s="294">
        <f>'WPB-2.1.C Plant Detail'!O1763</f>
        <v>68753.390000000014</v>
      </c>
      <c r="M52" s="294">
        <f>'WPB-2.1.C Plant Detail'!O1877</f>
        <v>69090.390000000014</v>
      </c>
      <c r="N52" s="294">
        <f>'WPB-2.1.C Plant Detail'!O1991</f>
        <v>69427.390000000014</v>
      </c>
      <c r="O52" s="294">
        <f>'WPB-2.1.C Plant Detail'!O2105</f>
        <v>69764.390000000014</v>
      </c>
      <c r="P52" s="294">
        <f>'WPB-2.1.C Plant Detail'!O2219</f>
        <v>70101.390000000014</v>
      </c>
    </row>
    <row r="53" spans="1:16">
      <c r="A53" s="290">
        <f t="shared" si="4"/>
        <v>37</v>
      </c>
      <c r="C53" s="293">
        <v>387.45</v>
      </c>
      <c r="D53" s="220" t="s">
        <v>408</v>
      </c>
      <c r="E53" s="294">
        <f>'WPB-2.1.C Plant Detail'!O966</f>
        <v>-633621.48</v>
      </c>
      <c r="F53" s="294">
        <f>'WPB-2.1.C Plant Detail'!O1080</f>
        <v>-617954.81999999995</v>
      </c>
      <c r="G53" s="294">
        <f>'WPB-2.1.C Plant Detail'!O1194</f>
        <v>-623024.11999999988</v>
      </c>
      <c r="H53" s="294">
        <f>'WPB-2.1.C Plant Detail'!O1308</f>
        <v>-611450.87999999989</v>
      </c>
      <c r="I53" s="294">
        <f>'WPB-2.1.C Plant Detail'!O1422</f>
        <v>-597694.7699999999</v>
      </c>
      <c r="J53" s="294">
        <f>'WPB-2.1.C Plant Detail'!O1536</f>
        <v>-583034.31999999995</v>
      </c>
      <c r="K53" s="294">
        <f>'WPB-2.1.C Plant Detail'!O1650</f>
        <v>-586076.46</v>
      </c>
      <c r="L53" s="294">
        <f>'WPB-2.1.C Plant Detail'!O1764</f>
        <v>-657808.09</v>
      </c>
      <c r="M53" s="294">
        <f>'WPB-2.1.C Plant Detail'!O1878</f>
        <v>-688832.90999999992</v>
      </c>
      <c r="N53" s="294">
        <f>'WPB-2.1.C Plant Detail'!O1992</f>
        <v>-691133.04999999993</v>
      </c>
      <c r="O53" s="294">
        <f>'WPB-2.1.C Plant Detail'!O2106</f>
        <v>-674832.04999999993</v>
      </c>
      <c r="P53" s="294">
        <f>'WPB-2.1.C Plant Detail'!O2220</f>
        <v>-710935.19</v>
      </c>
    </row>
    <row r="54" spans="1:16">
      <c r="A54" s="290">
        <f t="shared" si="4"/>
        <v>38</v>
      </c>
      <c r="C54" s="293">
        <v>387.46</v>
      </c>
      <c r="D54" s="220" t="s">
        <v>409</v>
      </c>
      <c r="E54" s="294">
        <f>'WPB-2.1.C Plant Detail'!O967</f>
        <v>114497.07</v>
      </c>
      <c r="F54" s="294">
        <f>'WPB-2.1.C Plant Detail'!O1081</f>
        <v>114497.07</v>
      </c>
      <c r="G54" s="294">
        <f>'WPB-2.1.C Plant Detail'!O1195</f>
        <v>114497.07</v>
      </c>
      <c r="H54" s="294">
        <f>'WPB-2.1.C Plant Detail'!O1309</f>
        <v>114497.07</v>
      </c>
      <c r="I54" s="294">
        <f>'WPB-2.1.C Plant Detail'!O1423</f>
        <v>114497.07</v>
      </c>
      <c r="J54" s="294">
        <f>'WPB-2.1.C Plant Detail'!O1537</f>
        <v>114497.07</v>
      </c>
      <c r="K54" s="294">
        <f>'WPB-2.1.C Plant Detail'!O1651</f>
        <v>114804.07</v>
      </c>
      <c r="L54" s="294">
        <f>'WPB-2.1.C Plant Detail'!O1765</f>
        <v>115111.07</v>
      </c>
      <c r="M54" s="294">
        <f>'WPB-2.1.C Plant Detail'!O1879</f>
        <v>115418.07</v>
      </c>
      <c r="N54" s="294">
        <f>'WPB-2.1.C Plant Detail'!O1993</f>
        <v>115725.07</v>
      </c>
      <c r="O54" s="294">
        <f>'WPB-2.1.C Plant Detail'!O2107</f>
        <v>116032.07</v>
      </c>
      <c r="P54" s="294">
        <f>'WPB-2.1.C Plant Detail'!O2221</f>
        <v>116339.07</v>
      </c>
    </row>
    <row r="55" spans="1:16">
      <c r="A55" s="290">
        <f t="shared" si="4"/>
        <v>39</v>
      </c>
      <c r="C55" s="293">
        <v>387.5</v>
      </c>
      <c r="D55" s="220" t="s">
        <v>1075</v>
      </c>
      <c r="E55" s="906">
        <f>'WPB-2.1.C Plant Detail'!O968</f>
        <v>40854.940000000017</v>
      </c>
      <c r="F55" s="906">
        <f>'WPB-2.1.C Plant Detail'!O1082</f>
        <v>41460.200000000019</v>
      </c>
      <c r="G55" s="906">
        <f>'WPB-2.1.C Plant Detail'!O1196</f>
        <v>42069.35000000002</v>
      </c>
      <c r="H55" s="906">
        <f>'WPB-2.1.C Plant Detail'!O1310</f>
        <v>42682.390000000021</v>
      </c>
      <c r="I55" s="906">
        <f>'WPB-2.1.C Plant Detail'!O1424</f>
        <v>43295.430000000022</v>
      </c>
      <c r="J55" s="906">
        <f>'WPB-2.1.C Plant Detail'!O1538</f>
        <v>43908.470000000023</v>
      </c>
      <c r="K55" s="906">
        <f>'WPB-2.1.C Plant Detail'!O1652</f>
        <v>46620.470000000023</v>
      </c>
      <c r="L55" s="906">
        <f>'WPB-2.1.C Plant Detail'!O1766</f>
        <v>49332.470000000023</v>
      </c>
      <c r="M55" s="906">
        <f>'WPB-2.1.C Plant Detail'!O1880</f>
        <v>52044.470000000023</v>
      </c>
      <c r="N55" s="906">
        <f>'WPB-2.1.C Plant Detail'!O1994</f>
        <v>54756.470000000023</v>
      </c>
      <c r="O55" s="906">
        <f>'WPB-2.1.C Plant Detail'!O2108</f>
        <v>57468.470000000023</v>
      </c>
      <c r="P55" s="906">
        <f>'WPB-2.1.C Plant Detail'!O2222</f>
        <v>60180.470000000023</v>
      </c>
    </row>
    <row r="56" spans="1:16">
      <c r="A56" s="290">
        <f t="shared" si="4"/>
        <v>40</v>
      </c>
      <c r="C56" s="303" t="s">
        <v>1601</v>
      </c>
      <c r="E56" s="294">
        <f t="shared" ref="E56:P56" si="5">SUM(E43:E55,E26:E42)</f>
        <v>166045558.38580763</v>
      </c>
      <c r="F56" s="294">
        <f t="shared" si="5"/>
        <v>167406873.6635811</v>
      </c>
      <c r="G56" s="294">
        <f t="shared" si="5"/>
        <v>168554490.87319374</v>
      </c>
      <c r="H56" s="294">
        <f t="shared" si="5"/>
        <v>169311098.33102167</v>
      </c>
      <c r="I56" s="294">
        <f t="shared" si="5"/>
        <v>170684099.66802168</v>
      </c>
      <c r="J56" s="294">
        <f t="shared" si="5"/>
        <v>172081949.29502168</v>
      </c>
      <c r="K56" s="294">
        <f t="shared" si="5"/>
        <v>172947343.0816586</v>
      </c>
      <c r="L56" s="294">
        <f t="shared" si="5"/>
        <v>173445768.72265983</v>
      </c>
      <c r="M56" s="294">
        <f t="shared" si="5"/>
        <v>174659368.09836721</v>
      </c>
      <c r="N56" s="294">
        <f t="shared" si="5"/>
        <v>175920422.00491107</v>
      </c>
      <c r="O56" s="294">
        <f t="shared" si="5"/>
        <v>177286340.34230036</v>
      </c>
      <c r="P56" s="294">
        <f t="shared" si="5"/>
        <v>178570624.84026384</v>
      </c>
    </row>
    <row r="57" spans="1:16">
      <c r="D57" s="304"/>
      <c r="E57" s="294"/>
      <c r="F57" s="294"/>
      <c r="G57" s="294"/>
      <c r="H57" s="294"/>
      <c r="I57" s="294"/>
      <c r="J57" s="294"/>
      <c r="K57" s="313"/>
      <c r="L57" s="313"/>
      <c r="M57" s="313"/>
      <c r="N57" s="313"/>
    </row>
    <row r="58" spans="1:16">
      <c r="A58" s="1308" t="str">
        <f>'General Headers Index'!B4</f>
        <v>COLUMBIA GAS OF KENTUCKY, INC.</v>
      </c>
      <c r="B58" s="1308"/>
      <c r="C58" s="1308"/>
      <c r="D58" s="1308"/>
      <c r="E58" s="1308"/>
      <c r="F58" s="1308"/>
      <c r="G58" s="1308"/>
      <c r="H58" s="1308"/>
      <c r="I58" s="1308"/>
      <c r="J58" s="1308"/>
      <c r="K58" s="1308"/>
      <c r="L58" s="1308"/>
      <c r="M58" s="1308"/>
      <c r="N58" s="1308"/>
      <c r="O58" s="1308"/>
      <c r="P58" s="1308"/>
    </row>
    <row r="59" spans="1:16">
      <c r="A59" s="1308" t="str">
        <f>'General Headers Index'!B6</f>
        <v>CASE NO. 2024 - 00092</v>
      </c>
      <c r="B59" s="1308"/>
      <c r="C59" s="1308"/>
      <c r="D59" s="1308"/>
      <c r="E59" s="1308"/>
      <c r="F59" s="1308"/>
      <c r="G59" s="1308"/>
      <c r="H59" s="1308"/>
      <c r="I59" s="1308"/>
      <c r="J59" s="1308"/>
      <c r="K59" s="1308"/>
      <c r="L59" s="1308"/>
      <c r="M59" s="1308"/>
      <c r="N59" s="1308"/>
      <c r="O59" s="1308"/>
      <c r="P59" s="1308"/>
    </row>
    <row r="60" spans="1:16">
      <c r="A60" s="1308" t="s">
        <v>500</v>
      </c>
      <c r="B60" s="1308"/>
      <c r="C60" s="1308"/>
      <c r="D60" s="1308"/>
      <c r="E60" s="1308"/>
      <c r="F60" s="1308"/>
      <c r="G60" s="1308"/>
      <c r="H60" s="1308"/>
      <c r="I60" s="1308"/>
      <c r="J60" s="1308"/>
      <c r="K60" s="1308"/>
      <c r="L60" s="1308"/>
      <c r="M60" s="1308"/>
      <c r="N60" s="1308"/>
      <c r="O60" s="1308"/>
      <c r="P60" s="1308"/>
    </row>
    <row r="61" spans="1:16">
      <c r="A61" s="1309" t="str">
        <f>A4</f>
        <v>BASE PERIOD 09/30/2023 TO 08/31/2024</v>
      </c>
      <c r="B61" s="1308"/>
      <c r="C61" s="1308"/>
      <c r="D61" s="1308"/>
      <c r="E61" s="1308"/>
      <c r="F61" s="1308"/>
      <c r="G61" s="1308"/>
      <c r="H61" s="1308"/>
      <c r="I61" s="1308"/>
      <c r="J61" s="1308"/>
      <c r="K61" s="1308"/>
      <c r="L61" s="1308"/>
      <c r="M61" s="1308"/>
      <c r="N61" s="1308"/>
      <c r="O61" s="1308"/>
      <c r="P61" s="1308"/>
    </row>
    <row r="62" spans="1:16">
      <c r="F62" s="290"/>
    </row>
    <row r="63" spans="1:16">
      <c r="A63" s="297" t="s">
        <v>2790</v>
      </c>
      <c r="L63" s="297"/>
      <c r="P63" s="312" t="str">
        <f>P6</f>
        <v>WPB-3.1</v>
      </c>
    </row>
    <row r="64" spans="1:16">
      <c r="A64" s="297" t="str">
        <f>'General Headers Index'!B37</f>
        <v>TYPE OF FILING:___X___ORIGINAL______UPDATED</v>
      </c>
      <c r="L64" s="297"/>
      <c r="P64" s="312" t="s">
        <v>537</v>
      </c>
    </row>
    <row r="65" spans="1:16">
      <c r="A65" s="521" t="s">
        <v>983</v>
      </c>
      <c r="L65" s="297"/>
      <c r="P65" s="312" t="str">
        <f>$P$8</f>
        <v>WITNESS: GORE</v>
      </c>
    </row>
    <row r="66" spans="1:16">
      <c r="A66" s="968"/>
      <c r="B66" s="902"/>
      <c r="C66" s="969"/>
      <c r="D66" s="902"/>
      <c r="E66" s="902"/>
      <c r="F66" s="902"/>
      <c r="G66" s="902"/>
      <c r="H66" s="902"/>
      <c r="I66" s="902"/>
      <c r="J66" s="902"/>
      <c r="K66" s="902"/>
      <c r="L66" s="907"/>
      <c r="M66" s="902"/>
      <c r="N66" s="902"/>
      <c r="O66" s="902"/>
      <c r="P66" s="970"/>
    </row>
    <row r="67" spans="1:16">
      <c r="A67" s="297" t="s">
        <v>313</v>
      </c>
      <c r="C67" s="298" t="s">
        <v>368</v>
      </c>
      <c r="D67" s="290"/>
      <c r="E67" s="290" t="str">
        <f t="shared" ref="E67:P67" si="6">E10</f>
        <v>Actual</v>
      </c>
      <c r="F67" s="290" t="str">
        <f t="shared" si="6"/>
        <v>Actual</v>
      </c>
      <c r="G67" s="290" t="str">
        <f t="shared" si="6"/>
        <v>Actual</v>
      </c>
      <c r="H67" s="290" t="str">
        <f t="shared" si="6"/>
        <v>Actual</v>
      </c>
      <c r="I67" s="290" t="str">
        <f t="shared" si="6"/>
        <v>Actual</v>
      </c>
      <c r="J67" s="290" t="str">
        <f t="shared" si="6"/>
        <v>Actual</v>
      </c>
      <c r="K67" s="290" t="str">
        <f t="shared" si="6"/>
        <v>Projected</v>
      </c>
      <c r="L67" s="290" t="str">
        <f t="shared" si="6"/>
        <v>Projected</v>
      </c>
      <c r="M67" s="290" t="str">
        <f t="shared" si="6"/>
        <v>Projected</v>
      </c>
      <c r="N67" s="290" t="str">
        <f t="shared" si="6"/>
        <v>Projected</v>
      </c>
      <c r="O67" s="290" t="str">
        <f t="shared" si="6"/>
        <v>Projected</v>
      </c>
      <c r="P67" s="290" t="str">
        <f t="shared" si="6"/>
        <v>Projected</v>
      </c>
    </row>
    <row r="68" spans="1:16">
      <c r="A68" s="903" t="s">
        <v>316</v>
      </c>
      <c r="B68" s="902"/>
      <c r="C68" s="904" t="s">
        <v>316</v>
      </c>
      <c r="D68" s="885" t="s">
        <v>451</v>
      </c>
      <c r="E68" s="908" t="str">
        <f t="shared" ref="E68:P68" si="7">E11</f>
        <v>09/30/2023</v>
      </c>
      <c r="F68" s="908" t="str">
        <f t="shared" si="7"/>
        <v>10/31/2023</v>
      </c>
      <c r="G68" s="908" t="str">
        <f t="shared" si="7"/>
        <v>11/30/2023</v>
      </c>
      <c r="H68" s="908" t="str">
        <f t="shared" si="7"/>
        <v>12/31/2023</v>
      </c>
      <c r="I68" s="908" t="str">
        <f t="shared" si="7"/>
        <v>01/31/2024</v>
      </c>
      <c r="J68" s="908" t="str">
        <f t="shared" si="7"/>
        <v>02/29/2024</v>
      </c>
      <c r="K68" s="908" t="str">
        <f t="shared" si="7"/>
        <v>03/31/2024</v>
      </c>
      <c r="L68" s="908" t="str">
        <f t="shared" si="7"/>
        <v>04/30/2024</v>
      </c>
      <c r="M68" s="908" t="str">
        <f t="shared" si="7"/>
        <v>05/31/2024</v>
      </c>
      <c r="N68" s="908" t="str">
        <f t="shared" si="7"/>
        <v>06/30/2024</v>
      </c>
      <c r="O68" s="908" t="str">
        <f t="shared" si="7"/>
        <v>07/31/2024</v>
      </c>
      <c r="P68" s="908" t="str">
        <f t="shared" si="7"/>
        <v>08/31/2024</v>
      </c>
    </row>
    <row r="69" spans="1:16">
      <c r="A69" s="290"/>
      <c r="C69" s="298"/>
      <c r="D69" s="290"/>
      <c r="E69" s="300" t="s">
        <v>532</v>
      </c>
      <c r="F69" s="300" t="s">
        <v>541</v>
      </c>
      <c r="G69" s="300" t="s">
        <v>542</v>
      </c>
      <c r="H69" s="300" t="s">
        <v>668</v>
      </c>
      <c r="I69" s="300" t="s">
        <v>669</v>
      </c>
      <c r="J69" s="300" t="s">
        <v>670</v>
      </c>
      <c r="K69" s="300" t="s">
        <v>984</v>
      </c>
      <c r="L69" s="300" t="s">
        <v>985</v>
      </c>
      <c r="M69" s="300" t="s">
        <v>986</v>
      </c>
      <c r="N69" s="300" t="s">
        <v>987</v>
      </c>
      <c r="O69" s="300" t="s">
        <v>988</v>
      </c>
      <c r="P69" s="300" t="s">
        <v>989</v>
      </c>
    </row>
    <row r="70" spans="1:16">
      <c r="E70" s="290" t="s">
        <v>320</v>
      </c>
      <c r="F70" s="290" t="s">
        <v>320</v>
      </c>
      <c r="G70" s="290" t="s">
        <v>320</v>
      </c>
      <c r="H70" s="290" t="s">
        <v>320</v>
      </c>
      <c r="I70" s="290" t="s">
        <v>320</v>
      </c>
      <c r="J70" s="290" t="s">
        <v>320</v>
      </c>
      <c r="K70" s="290" t="s">
        <v>320</v>
      </c>
      <c r="L70" s="290" t="s">
        <v>320</v>
      </c>
      <c r="M70" s="290" t="s">
        <v>320</v>
      </c>
      <c r="N70" s="290" t="s">
        <v>320</v>
      </c>
      <c r="O70" s="290" t="s">
        <v>320</v>
      </c>
      <c r="P70" s="290" t="s">
        <v>320</v>
      </c>
    </row>
    <row r="72" spans="1:16">
      <c r="A72" s="290">
        <v>1</v>
      </c>
      <c r="C72" s="505" t="s">
        <v>411</v>
      </c>
      <c r="D72" s="302"/>
      <c r="E72" s="294"/>
      <c r="F72" s="294"/>
      <c r="G72" s="294"/>
      <c r="H72" s="304"/>
      <c r="I72" s="294"/>
      <c r="J72" s="294"/>
      <c r="K72" s="294"/>
      <c r="L72" s="304"/>
      <c r="M72" s="294"/>
      <c r="N72" s="294"/>
      <c r="O72" s="294"/>
      <c r="P72" s="294"/>
    </row>
    <row r="73" spans="1:16">
      <c r="A73" s="290">
        <f>A72+1</f>
        <v>2</v>
      </c>
      <c r="C73" s="293">
        <v>391.1</v>
      </c>
      <c r="D73" s="220" t="s">
        <v>412</v>
      </c>
      <c r="E73" s="294">
        <f>'WPB-2.1.C Plant Detail'!O989</f>
        <v>106211.02000000002</v>
      </c>
      <c r="F73" s="294">
        <f>'WPB-2.1.C Plant Detail'!O1103</f>
        <v>109629.21000000002</v>
      </c>
      <c r="G73" s="294">
        <f>'WPB-2.1.C Plant Detail'!O1217</f>
        <v>113047.40000000002</v>
      </c>
      <c r="H73" s="294">
        <f>'WPB-2.1.C Plant Detail'!O1331</f>
        <v>116680.49000000002</v>
      </c>
      <c r="I73" s="294">
        <f>'WPB-2.1.C Plant Detail'!O1445</f>
        <v>118749.78000000001</v>
      </c>
      <c r="J73" s="294">
        <f>'WPB-2.1.C Plant Detail'!O1559</f>
        <v>122590.37000000001</v>
      </c>
      <c r="K73" s="294">
        <f>'WPB-2.1.C Plant Detail'!O1673</f>
        <v>126408.37000000001</v>
      </c>
      <c r="L73" s="294">
        <f>'WPB-2.1.C Plant Detail'!O1787</f>
        <v>130226.37000000001</v>
      </c>
      <c r="M73" s="294">
        <f>'WPB-2.1.C Plant Detail'!O1901</f>
        <v>134044.37</v>
      </c>
      <c r="N73" s="294">
        <f>'WPB-2.1.C Plant Detail'!O2015</f>
        <v>137862.37</v>
      </c>
      <c r="O73" s="294">
        <f>'WPB-2.1.C Plant Detail'!O2129</f>
        <v>141680.37</v>
      </c>
      <c r="P73" s="294">
        <f>'WPB-2.1.C Plant Detail'!O2243</f>
        <v>145498.37</v>
      </c>
    </row>
    <row r="74" spans="1:16">
      <c r="A74" s="290">
        <f>A73+1</f>
        <v>3</v>
      </c>
      <c r="C74" s="293">
        <v>391.11</v>
      </c>
      <c r="D74" s="220" t="s">
        <v>413</v>
      </c>
      <c r="E74" s="294">
        <f>'WPB-2.1.C Plant Detail'!O990</f>
        <v>-18933.789999999997</v>
      </c>
      <c r="F74" s="294">
        <f>'WPB-2.1.C Plant Detail'!O1104</f>
        <v>-18933.789999999997</v>
      </c>
      <c r="G74" s="294">
        <f>'WPB-2.1.C Plant Detail'!O1218</f>
        <v>-18933.789999999997</v>
      </c>
      <c r="H74" s="294">
        <f>'WPB-2.1.C Plant Detail'!O1332</f>
        <v>-18933.789999999997</v>
      </c>
      <c r="I74" s="294">
        <f>'WPB-2.1.C Plant Detail'!O1446</f>
        <v>-18933.789999999997</v>
      </c>
      <c r="J74" s="294">
        <f>'WPB-2.1.C Plant Detail'!O1560</f>
        <v>-18933.789999999997</v>
      </c>
      <c r="K74" s="294">
        <f>'WPB-2.1.C Plant Detail'!O1674</f>
        <v>-18933.789999999997</v>
      </c>
      <c r="L74" s="294">
        <f>'WPB-2.1.C Plant Detail'!O1788</f>
        <v>-18933.789999999997</v>
      </c>
      <c r="M74" s="294">
        <f>'WPB-2.1.C Plant Detail'!O1902</f>
        <v>-18933.789999999997</v>
      </c>
      <c r="N74" s="294">
        <f>'WPB-2.1.C Plant Detail'!O2016</f>
        <v>-18933.789999999997</v>
      </c>
      <c r="O74" s="294">
        <f>'WPB-2.1.C Plant Detail'!O2130</f>
        <v>-18933.789999999997</v>
      </c>
      <c r="P74" s="294">
        <f>'WPB-2.1.C Plant Detail'!O2244</f>
        <v>-18933.789999999997</v>
      </c>
    </row>
    <row r="75" spans="1:16">
      <c r="A75" s="290">
        <f>A74+1</f>
        <v>4</v>
      </c>
      <c r="C75" s="293">
        <v>391.12</v>
      </c>
      <c r="D75" s="220" t="s">
        <v>414</v>
      </c>
      <c r="E75" s="294">
        <f>'WPB-2.1.C Plant Detail'!O991</f>
        <v>-7140.18</v>
      </c>
      <c r="F75" s="294">
        <f>'WPB-2.1.C Plant Detail'!O1105</f>
        <v>-6521.35</v>
      </c>
      <c r="G75" s="294">
        <f>'WPB-2.1.C Plant Detail'!O1219</f>
        <v>-5902.52</v>
      </c>
      <c r="H75" s="294">
        <f>'WPB-2.1.C Plant Detail'!O1333</f>
        <v>-5283.6900000000005</v>
      </c>
      <c r="I75" s="294">
        <f>'WPB-2.1.C Plant Detail'!O1447</f>
        <v>-4664.8600000000006</v>
      </c>
      <c r="J75" s="294">
        <f>'WPB-2.1.C Plant Detail'!O1561</f>
        <v>-4046.0300000000007</v>
      </c>
      <c r="K75" s="294">
        <f>'WPB-2.1.C Plant Detail'!O1675</f>
        <v>-3427.0300000000007</v>
      </c>
      <c r="L75" s="294">
        <f>'WPB-2.1.C Plant Detail'!O1789</f>
        <v>-2808.0300000000007</v>
      </c>
      <c r="M75" s="294">
        <f>'WPB-2.1.C Plant Detail'!O1903</f>
        <v>-2189.0300000000007</v>
      </c>
      <c r="N75" s="294">
        <f>'WPB-2.1.C Plant Detail'!O2017</f>
        <v>-1570.0300000000007</v>
      </c>
      <c r="O75" s="294">
        <f>'WPB-2.1.C Plant Detail'!O2131</f>
        <v>-951.03000000000065</v>
      </c>
      <c r="P75" s="294">
        <f>'WPB-2.1.C Plant Detail'!O2245</f>
        <v>-332.03000000000065</v>
      </c>
    </row>
    <row r="76" spans="1:16">
      <c r="A76" s="290">
        <f>A75+1</f>
        <v>5</v>
      </c>
      <c r="C76" s="293">
        <v>392.2</v>
      </c>
      <c r="D76" s="220" t="s">
        <v>524</v>
      </c>
      <c r="E76" s="294">
        <f>'WPB-2.1.C Plant Detail'!O992</f>
        <v>63764.489999999969</v>
      </c>
      <c r="F76" s="294">
        <f>'WPB-2.1.C Plant Detail'!O1106</f>
        <v>63836.329999999965</v>
      </c>
      <c r="G76" s="294">
        <f>'WPB-2.1.C Plant Detail'!O1220</f>
        <v>63908.169999999962</v>
      </c>
      <c r="H76" s="294">
        <f>'WPB-2.1.C Plant Detail'!O1334</f>
        <v>63980.009999999958</v>
      </c>
      <c r="I76" s="294">
        <f>'WPB-2.1.C Plant Detail'!O1448</f>
        <v>17180.669999999962</v>
      </c>
      <c r="J76" s="294">
        <f>'WPB-2.1.C Plant Detail'!O1562</f>
        <v>17217.359999999961</v>
      </c>
      <c r="K76" s="294">
        <f>'WPB-2.1.C Plant Detail'!O1676</f>
        <v>17254.359999999961</v>
      </c>
      <c r="L76" s="294">
        <f>'WPB-2.1.C Plant Detail'!O1790</f>
        <v>17291.359999999961</v>
      </c>
      <c r="M76" s="294">
        <f>'WPB-2.1.C Plant Detail'!O1904</f>
        <v>17328.359999999961</v>
      </c>
      <c r="N76" s="294">
        <f>'WPB-2.1.C Plant Detail'!O2018</f>
        <v>17365.359999999961</v>
      </c>
      <c r="O76" s="294">
        <f>'WPB-2.1.C Plant Detail'!O2132</f>
        <v>17402.359999999961</v>
      </c>
      <c r="P76" s="294">
        <f>'WPB-2.1.C Plant Detail'!O2246</f>
        <v>17439.359999999961</v>
      </c>
    </row>
    <row r="77" spans="1:16">
      <c r="A77" s="290">
        <f>A76+1</f>
        <v>6</v>
      </c>
      <c r="C77" s="293">
        <v>392.21</v>
      </c>
      <c r="D77" s="220" t="s">
        <v>415</v>
      </c>
      <c r="E77" s="294">
        <f>'WPB-2.1.C Plant Detail'!O993</f>
        <v>44754.01</v>
      </c>
      <c r="F77" s="294">
        <f>'WPB-2.1.C Plant Detail'!O1107</f>
        <v>44754.01</v>
      </c>
      <c r="G77" s="294">
        <f>'WPB-2.1.C Plant Detail'!O1221</f>
        <v>44754.01</v>
      </c>
      <c r="H77" s="294">
        <f>'WPB-2.1.C Plant Detail'!O1335</f>
        <v>44754.01</v>
      </c>
      <c r="I77" s="294">
        <f>'WPB-2.1.C Plant Detail'!O1449</f>
        <v>44754.01</v>
      </c>
      <c r="J77" s="294">
        <f>'WPB-2.1.C Plant Detail'!O1563</f>
        <v>44754.01</v>
      </c>
      <c r="K77" s="294">
        <f>'WPB-2.1.C Plant Detail'!O1677</f>
        <v>44772.01</v>
      </c>
      <c r="L77" s="294">
        <f>'WPB-2.1.C Plant Detail'!O1791</f>
        <v>44790.01</v>
      </c>
      <c r="M77" s="294">
        <f>'WPB-2.1.C Plant Detail'!O1905</f>
        <v>44808.01</v>
      </c>
      <c r="N77" s="294">
        <f>'WPB-2.1.C Plant Detail'!O2019</f>
        <v>44826.01</v>
      </c>
      <c r="O77" s="294">
        <f>'WPB-2.1.C Plant Detail'!O2133</f>
        <v>44844.01</v>
      </c>
      <c r="P77" s="294">
        <f>'WPB-2.1.C Plant Detail'!O2247</f>
        <v>44862.01</v>
      </c>
    </row>
    <row r="78" spans="1:16">
      <c r="A78" s="290">
        <f t="shared" ref="A78:A87" si="8">A77+1</f>
        <v>7</v>
      </c>
      <c r="C78" s="293">
        <v>393</v>
      </c>
      <c r="D78" s="220" t="s">
        <v>416</v>
      </c>
      <c r="E78" s="294">
        <f>'WPB-2.1.C Plant Detail'!O994</f>
        <v>0</v>
      </c>
      <c r="F78" s="294">
        <f>'WPB-2.1.C Plant Detail'!O1108</f>
        <v>0</v>
      </c>
      <c r="G78" s="294">
        <f>'WPB-2.1.C Plant Detail'!O1222</f>
        <v>0</v>
      </c>
      <c r="H78" s="294">
        <f>'WPB-2.1.C Plant Detail'!O1336</f>
        <v>0</v>
      </c>
      <c r="I78" s="294">
        <f>'WPB-2.1.C Plant Detail'!O1450</f>
        <v>0</v>
      </c>
      <c r="J78" s="294">
        <f>'WPB-2.1.C Plant Detail'!O1564</f>
        <v>0</v>
      </c>
      <c r="K78" s="294">
        <f>'WPB-2.1.C Plant Detail'!O1678</f>
        <v>0</v>
      </c>
      <c r="L78" s="294">
        <f>'WPB-2.1.C Plant Detail'!O1792</f>
        <v>0</v>
      </c>
      <c r="M78" s="294">
        <f>'WPB-2.1.C Plant Detail'!O1906</f>
        <v>0</v>
      </c>
      <c r="N78" s="294">
        <f>'WPB-2.1.C Plant Detail'!O2020</f>
        <v>0</v>
      </c>
      <c r="O78" s="294">
        <f>'WPB-2.1.C Plant Detail'!O2134</f>
        <v>0</v>
      </c>
      <c r="P78" s="294">
        <f>'WPB-2.1.C Plant Detail'!O2248</f>
        <v>0</v>
      </c>
    </row>
    <row r="79" spans="1:16">
      <c r="A79" s="290">
        <f t="shared" si="8"/>
        <v>8</v>
      </c>
      <c r="C79" s="293">
        <v>394.1</v>
      </c>
      <c r="D79" s="220" t="s">
        <v>417</v>
      </c>
      <c r="E79" s="294">
        <f>'WPB-2.1.C Plant Detail'!O995</f>
        <v>3977.7700000000004</v>
      </c>
      <c r="F79" s="294">
        <f>'WPB-2.1.C Plant Detail'!O1109</f>
        <v>4010.2300000000005</v>
      </c>
      <c r="G79" s="294">
        <f>'WPB-2.1.C Plant Detail'!O1223</f>
        <v>4042.6900000000005</v>
      </c>
      <c r="H79" s="294">
        <f>'WPB-2.1.C Plant Detail'!O1337</f>
        <v>4075.1500000000005</v>
      </c>
      <c r="I79" s="294">
        <f>'WPB-2.1.C Plant Detail'!O1451</f>
        <v>4107.6100000000006</v>
      </c>
      <c r="J79" s="294">
        <f>'WPB-2.1.C Plant Detail'!O1565</f>
        <v>4140.0700000000006</v>
      </c>
      <c r="K79" s="294">
        <f>'WPB-2.1.C Plant Detail'!O1679</f>
        <v>4172.0700000000006</v>
      </c>
      <c r="L79" s="294">
        <f>'WPB-2.1.C Plant Detail'!O1793</f>
        <v>4204.0700000000006</v>
      </c>
      <c r="M79" s="294">
        <f>'WPB-2.1.C Plant Detail'!O1907</f>
        <v>4236.0700000000006</v>
      </c>
      <c r="N79" s="294">
        <f>'WPB-2.1.C Plant Detail'!O2021</f>
        <v>4268.0700000000006</v>
      </c>
      <c r="O79" s="294">
        <f>'WPB-2.1.C Plant Detail'!O2135</f>
        <v>4300.0700000000006</v>
      </c>
      <c r="P79" s="294">
        <f>'WPB-2.1.C Plant Detail'!O2249</f>
        <v>4332.0700000000006</v>
      </c>
    </row>
    <row r="80" spans="1:16">
      <c r="A80" s="290">
        <f t="shared" si="8"/>
        <v>9</v>
      </c>
      <c r="C80" s="293">
        <v>394.11</v>
      </c>
      <c r="D80" s="220" t="s">
        <v>418</v>
      </c>
      <c r="E80" s="294">
        <f>'WPB-2.1.C Plant Detail'!O996</f>
        <v>-26071.5</v>
      </c>
      <c r="F80" s="294">
        <f>'WPB-2.1.C Plant Detail'!O1110</f>
        <v>-26071.5</v>
      </c>
      <c r="G80" s="294">
        <f>'WPB-2.1.C Plant Detail'!O1224</f>
        <v>-26071.5</v>
      </c>
      <c r="H80" s="294">
        <f>'WPB-2.1.C Plant Detail'!O1338</f>
        <v>-26071.5</v>
      </c>
      <c r="I80" s="294">
        <f>'WPB-2.1.C Plant Detail'!O1452</f>
        <v>-26071.5</v>
      </c>
      <c r="J80" s="294">
        <f>'WPB-2.1.C Plant Detail'!O1566</f>
        <v>-26071.5</v>
      </c>
      <c r="K80" s="294">
        <f>'WPB-2.1.C Plant Detail'!O1680</f>
        <v>-26071.5</v>
      </c>
      <c r="L80" s="294">
        <f>'WPB-2.1.C Plant Detail'!O1794</f>
        <v>-26071.5</v>
      </c>
      <c r="M80" s="294">
        <f>'WPB-2.1.C Plant Detail'!O1908</f>
        <v>-26071.5</v>
      </c>
      <c r="N80" s="294">
        <f>'WPB-2.1.C Plant Detail'!O2022</f>
        <v>-26071.5</v>
      </c>
      <c r="O80" s="294">
        <f>'WPB-2.1.C Plant Detail'!O2136</f>
        <v>-26071.5</v>
      </c>
      <c r="P80" s="294">
        <f>'WPB-2.1.C Plant Detail'!O2250</f>
        <v>-26071.5</v>
      </c>
    </row>
    <row r="81" spans="1:18">
      <c r="A81" s="290">
        <f t="shared" si="8"/>
        <v>10</v>
      </c>
      <c r="C81" s="293">
        <v>394.13</v>
      </c>
      <c r="D81" s="220" t="s">
        <v>515</v>
      </c>
      <c r="E81" s="294">
        <f>'WPB-2.1.C Plant Detail'!O997</f>
        <v>37937.360000000001</v>
      </c>
      <c r="F81" s="294">
        <f>'WPB-2.1.C Plant Detail'!O1111</f>
        <v>37937.360000000001</v>
      </c>
      <c r="G81" s="294">
        <f>'WPB-2.1.C Plant Detail'!O1225</f>
        <v>37937.360000000001</v>
      </c>
      <c r="H81" s="294">
        <f>'WPB-2.1.C Plant Detail'!O1339</f>
        <v>37937.360000000001</v>
      </c>
      <c r="I81" s="294">
        <f>'WPB-2.1.C Plant Detail'!O1453</f>
        <v>37937.360000000001</v>
      </c>
      <c r="J81" s="294">
        <f>'WPB-2.1.C Plant Detail'!O1567</f>
        <v>37937.360000000001</v>
      </c>
      <c r="K81" s="294">
        <f>'WPB-2.1.C Plant Detail'!O1681</f>
        <v>37937.360000000001</v>
      </c>
      <c r="L81" s="294">
        <f>'WPB-2.1.C Plant Detail'!O1795</f>
        <v>37937.360000000001</v>
      </c>
      <c r="M81" s="294">
        <f>'WPB-2.1.C Plant Detail'!O1909</f>
        <v>37937.360000000001</v>
      </c>
      <c r="N81" s="294">
        <f>'WPB-2.1.C Plant Detail'!O2023</f>
        <v>37937.360000000001</v>
      </c>
      <c r="O81" s="294">
        <f>'WPB-2.1.C Plant Detail'!O2137</f>
        <v>37937.360000000001</v>
      </c>
      <c r="P81" s="294">
        <f>'WPB-2.1.C Plant Detail'!O2251</f>
        <v>37937.360000000001</v>
      </c>
    </row>
    <row r="82" spans="1:18">
      <c r="A82" s="290">
        <f t="shared" si="8"/>
        <v>11</v>
      </c>
      <c r="C82" s="293">
        <v>394.2</v>
      </c>
      <c r="D82" s="220" t="s">
        <v>420</v>
      </c>
      <c r="E82" s="294">
        <f>'WPB-2.1.C Plant Detail'!O998</f>
        <v>185.21</v>
      </c>
      <c r="F82" s="294">
        <f>'WPB-2.1.C Plant Detail'!O1112</f>
        <v>185.21</v>
      </c>
      <c r="G82" s="294">
        <f>'WPB-2.1.C Plant Detail'!O1226</f>
        <v>185.21</v>
      </c>
      <c r="H82" s="294">
        <f>'WPB-2.1.C Plant Detail'!O1340</f>
        <v>185.21</v>
      </c>
      <c r="I82" s="294">
        <f>'WPB-2.1.C Plant Detail'!O1454</f>
        <v>185.21</v>
      </c>
      <c r="J82" s="294">
        <f>'WPB-2.1.C Plant Detail'!O1568</f>
        <v>185.21</v>
      </c>
      <c r="K82" s="294">
        <f>'WPB-2.1.C Plant Detail'!O1682</f>
        <v>185.21</v>
      </c>
      <c r="L82" s="294">
        <f>'WPB-2.1.C Plant Detail'!O1796</f>
        <v>185.21</v>
      </c>
      <c r="M82" s="294">
        <f>'WPB-2.1.C Plant Detail'!O1910</f>
        <v>185.21</v>
      </c>
      <c r="N82" s="294">
        <f>'WPB-2.1.C Plant Detail'!O2024</f>
        <v>185.21</v>
      </c>
      <c r="O82" s="294">
        <f>'WPB-2.1.C Plant Detail'!O2138</f>
        <v>185.21</v>
      </c>
      <c r="P82" s="294">
        <f>'WPB-2.1.C Plant Detail'!O2252</f>
        <v>185.21</v>
      </c>
    </row>
    <row r="83" spans="1:18">
      <c r="A83" s="290">
        <f t="shared" si="8"/>
        <v>12</v>
      </c>
      <c r="C83" s="293">
        <v>394.3</v>
      </c>
      <c r="D83" s="220" t="s">
        <v>1602</v>
      </c>
      <c r="E83" s="294">
        <f>'WPB-2.1.C Plant Detail'!O999</f>
        <v>1560985.68</v>
      </c>
      <c r="F83" s="294">
        <f>'WPB-2.1.C Plant Detail'!O1113</f>
        <v>1551332.72</v>
      </c>
      <c r="G83" s="294">
        <f>'WPB-2.1.C Plant Detail'!O1227</f>
        <v>1563780.5699999998</v>
      </c>
      <c r="H83" s="294">
        <f>'WPB-2.1.C Plant Detail'!O1341</f>
        <v>1567553.8299999998</v>
      </c>
      <c r="I83" s="294">
        <f>'WPB-2.1.C Plant Detail'!O1455</f>
        <v>1568796.8699999999</v>
      </c>
      <c r="J83" s="294">
        <f>'WPB-2.1.C Plant Detail'!O1569</f>
        <v>1586027.42</v>
      </c>
      <c r="K83" s="294">
        <f>'WPB-2.1.C Plant Detail'!O1683</f>
        <v>1603106.3099999998</v>
      </c>
      <c r="L83" s="294">
        <f>'WPB-2.1.C Plant Detail'!O1797</f>
        <v>1609109.6899999997</v>
      </c>
      <c r="M83" s="294">
        <f>'WPB-2.1.C Plant Detail'!O1911</f>
        <v>1602285.0399999998</v>
      </c>
      <c r="N83" s="294">
        <f>'WPB-2.1.C Plant Detail'!O2025</f>
        <v>1618076.6999999997</v>
      </c>
      <c r="O83" s="294">
        <f>'WPB-2.1.C Plant Detail'!O2139</f>
        <v>1621526.6499999997</v>
      </c>
      <c r="P83" s="294">
        <f>'WPB-2.1.C Plant Detail'!O2253</f>
        <v>1638965.6499999997</v>
      </c>
    </row>
    <row r="84" spans="1:18">
      <c r="A84" s="290">
        <f t="shared" si="8"/>
        <v>13</v>
      </c>
      <c r="C84" s="293">
        <v>395</v>
      </c>
      <c r="D84" s="220" t="s">
        <v>422</v>
      </c>
      <c r="E84" s="294">
        <f>'WPB-2.1.C Plant Detail'!O1000</f>
        <v>4000.6600000000012</v>
      </c>
      <c r="F84" s="294">
        <f>'WPB-2.1.C Plant Detail'!O1114</f>
        <v>4018.0000000000014</v>
      </c>
      <c r="G84" s="294">
        <f>'WPB-2.1.C Plant Detail'!O1228</f>
        <v>4035.3400000000015</v>
      </c>
      <c r="H84" s="294">
        <f>'WPB-2.1.C Plant Detail'!O1342</f>
        <v>4052.6800000000017</v>
      </c>
      <c r="I84" s="294">
        <f>'WPB-2.1.C Plant Detail'!O1456</f>
        <v>-100.69999999999845</v>
      </c>
      <c r="J84" s="294">
        <f>'WPB-2.1.C Plant Detail'!O1570</f>
        <v>-100.69999999999845</v>
      </c>
      <c r="K84" s="294">
        <f>'WPB-2.1.C Plant Detail'!O1684</f>
        <v>-100.69999999999845</v>
      </c>
      <c r="L84" s="294">
        <f>'WPB-2.1.C Plant Detail'!O1798</f>
        <v>-100.69999999999845</v>
      </c>
      <c r="M84" s="294">
        <f>'WPB-2.1.C Plant Detail'!O1912</f>
        <v>-100.69999999999845</v>
      </c>
      <c r="N84" s="294">
        <f>'WPB-2.1.C Plant Detail'!O2026</f>
        <v>-100.69999999999845</v>
      </c>
      <c r="O84" s="294">
        <f>'WPB-2.1.C Plant Detail'!O2140</f>
        <v>-100.69999999999845</v>
      </c>
      <c r="P84" s="294">
        <f>'WPB-2.1.C Plant Detail'!O2254</f>
        <v>-100.69999999999845</v>
      </c>
    </row>
    <row r="85" spans="1:18">
      <c r="A85" s="290">
        <f t="shared" si="8"/>
        <v>14</v>
      </c>
      <c r="C85" s="293">
        <v>396</v>
      </c>
      <c r="D85" s="220" t="s">
        <v>423</v>
      </c>
      <c r="E85" s="294">
        <f>'WPB-2.1.C Plant Detail'!O1001</f>
        <v>171938.14</v>
      </c>
      <c r="F85" s="294">
        <f>'WPB-2.1.C Plant Detail'!O1115</f>
        <v>171938.14</v>
      </c>
      <c r="G85" s="294">
        <f>'WPB-2.1.C Plant Detail'!O1229</f>
        <v>171938.14</v>
      </c>
      <c r="H85" s="294">
        <f>'WPB-2.1.C Plant Detail'!O1343</f>
        <v>171938.14</v>
      </c>
      <c r="I85" s="294">
        <f>'WPB-2.1.C Plant Detail'!O1457</f>
        <v>171938.14</v>
      </c>
      <c r="J85" s="294">
        <f>'WPB-2.1.C Plant Detail'!O1571</f>
        <v>171938.14</v>
      </c>
      <c r="K85" s="294">
        <f>'WPB-2.1.C Plant Detail'!O1685</f>
        <v>171938.14</v>
      </c>
      <c r="L85" s="294">
        <f>'WPB-2.1.C Plant Detail'!O1799</f>
        <v>171938.14</v>
      </c>
      <c r="M85" s="294">
        <f>'WPB-2.1.C Plant Detail'!O1913</f>
        <v>171938.14</v>
      </c>
      <c r="N85" s="294">
        <f>'WPB-2.1.C Plant Detail'!O2027</f>
        <v>171938.14</v>
      </c>
      <c r="O85" s="294">
        <f>'WPB-2.1.C Plant Detail'!O2141</f>
        <v>171938.14</v>
      </c>
      <c r="P85" s="294">
        <f>'WPB-2.1.C Plant Detail'!O2255</f>
        <v>171938.14</v>
      </c>
    </row>
    <row r="86" spans="1:18">
      <c r="A86" s="290">
        <f t="shared" si="8"/>
        <v>15</v>
      </c>
      <c r="C86" s="293">
        <v>398</v>
      </c>
      <c r="D86" s="220" t="s">
        <v>424</v>
      </c>
      <c r="E86" s="906">
        <f>'WPB-2.1.C Plant Detail'!O1002</f>
        <v>67635.599999999977</v>
      </c>
      <c r="F86" s="906">
        <f>'WPB-2.1.C Plant Detail'!O1116</f>
        <v>68458.38999999997</v>
      </c>
      <c r="G86" s="906">
        <f>'WPB-2.1.C Plant Detail'!O1230</f>
        <v>69281.179999999964</v>
      </c>
      <c r="H86" s="906">
        <f>'WPB-2.1.C Plant Detail'!O1344</f>
        <v>70103.969999999958</v>
      </c>
      <c r="I86" s="906">
        <f>'WPB-2.1.C Plant Detail'!O1458</f>
        <v>70926.759999999951</v>
      </c>
      <c r="J86" s="906">
        <f>'WPB-2.1.C Plant Detail'!O1572</f>
        <v>71749.549999999945</v>
      </c>
      <c r="K86" s="906">
        <f>'WPB-2.1.C Plant Detail'!O1686</f>
        <v>72572.549999999945</v>
      </c>
      <c r="L86" s="906">
        <f>'WPB-2.1.C Plant Detail'!O1800</f>
        <v>73395.549999999945</v>
      </c>
      <c r="M86" s="906">
        <f>'WPB-2.1.C Plant Detail'!O1914</f>
        <v>74218.549999999945</v>
      </c>
      <c r="N86" s="906">
        <f>'WPB-2.1.C Plant Detail'!O2028</f>
        <v>75041.549999999945</v>
      </c>
      <c r="O86" s="906">
        <f>'WPB-2.1.C Plant Detail'!O2142</f>
        <v>75864.549999999945</v>
      </c>
      <c r="P86" s="906">
        <f>'WPB-2.1.C Plant Detail'!O2256</f>
        <v>76687.549999999945</v>
      </c>
    </row>
    <row r="87" spans="1:18">
      <c r="A87" s="290">
        <f t="shared" si="8"/>
        <v>16</v>
      </c>
      <c r="C87" s="229" t="s">
        <v>425</v>
      </c>
      <c r="E87" s="294">
        <f t="shared" ref="E87:P87" si="9">SUM(E73:E86)</f>
        <v>2009244.4699999997</v>
      </c>
      <c r="F87" s="294">
        <f t="shared" si="9"/>
        <v>2004572.9599999997</v>
      </c>
      <c r="G87" s="294">
        <f t="shared" si="9"/>
        <v>2022002.26</v>
      </c>
      <c r="H87" s="294">
        <f t="shared" si="9"/>
        <v>2030971.8699999999</v>
      </c>
      <c r="I87" s="294">
        <f t="shared" si="9"/>
        <v>1984805.5599999998</v>
      </c>
      <c r="J87" s="294">
        <f t="shared" si="9"/>
        <v>2007387.47</v>
      </c>
      <c r="K87" s="294">
        <f t="shared" si="9"/>
        <v>2029813.36</v>
      </c>
      <c r="L87" s="294">
        <f t="shared" si="9"/>
        <v>2041163.74</v>
      </c>
      <c r="M87" s="294">
        <f t="shared" si="9"/>
        <v>2039686.09</v>
      </c>
      <c r="N87" s="294">
        <f t="shared" si="9"/>
        <v>2060824.7499999998</v>
      </c>
      <c r="O87" s="294">
        <f t="shared" si="9"/>
        <v>2069621.7</v>
      </c>
      <c r="P87" s="294">
        <f t="shared" si="9"/>
        <v>2092407.7</v>
      </c>
    </row>
    <row r="88" spans="1:18">
      <c r="A88" s="290"/>
      <c r="D88" s="294"/>
      <c r="E88" s="294"/>
      <c r="F88" s="294"/>
      <c r="G88" s="294"/>
      <c r="H88" s="304"/>
      <c r="I88" s="294"/>
      <c r="J88" s="294"/>
      <c r="K88" s="294"/>
      <c r="L88" s="304"/>
      <c r="M88" s="294"/>
      <c r="N88" s="294"/>
      <c r="O88" s="294"/>
      <c r="P88" s="294"/>
    </row>
    <row r="89" spans="1:18">
      <c r="A89" s="290">
        <f>A87+1</f>
        <v>17</v>
      </c>
      <c r="C89" s="505" t="s">
        <v>1038</v>
      </c>
      <c r="E89" s="294"/>
      <c r="F89" s="294"/>
      <c r="G89" s="294"/>
      <c r="H89" s="294"/>
      <c r="I89" s="294"/>
      <c r="J89" s="294"/>
      <c r="K89" s="294"/>
      <c r="L89" s="294"/>
      <c r="M89" s="294"/>
      <c r="N89" s="294"/>
      <c r="O89" s="294"/>
      <c r="P89" s="294"/>
    </row>
    <row r="90" spans="1:18">
      <c r="A90" s="290">
        <f>A89+1</f>
        <v>18</v>
      </c>
      <c r="C90" s="293">
        <v>378.21</v>
      </c>
      <c r="D90" s="220" t="s">
        <v>1037</v>
      </c>
      <c r="E90" s="906">
        <f>'WPB-2.1.C Plant Detail'!O1006</f>
        <v>-197937.83000000007</v>
      </c>
      <c r="F90" s="906">
        <f>'WPB-2.1.C Plant Detail'!O1120</f>
        <v>-200082.00000000009</v>
      </c>
      <c r="G90" s="906">
        <f>'WPB-2.1.C Plant Detail'!O1234</f>
        <v>-202226.1700000001</v>
      </c>
      <c r="H90" s="906">
        <f>'WPB-2.1.C Plant Detail'!O1348</f>
        <v>-204370.34000000011</v>
      </c>
      <c r="I90" s="906">
        <f>'WPB-2.1.C Plant Detail'!O1462</f>
        <v>-206514.51000000013</v>
      </c>
      <c r="J90" s="906">
        <f>'WPB-2.1.C Plant Detail'!O1576</f>
        <v>-208658.68000000014</v>
      </c>
      <c r="K90" s="906">
        <f>'WPB-2.1.C Plant Detail'!O1690</f>
        <v>-210802.85000000015</v>
      </c>
      <c r="L90" s="906">
        <f>'WPB-2.1.C Plant Detail'!O1804</f>
        <v>-212947.02000000016</v>
      </c>
      <c r="M90" s="906">
        <f>'WPB-2.1.C Plant Detail'!O1918</f>
        <v>-215091.19000000018</v>
      </c>
      <c r="N90" s="906">
        <f>'WPB-2.1.C Plant Detail'!O2032</f>
        <v>-217235.36000000019</v>
      </c>
      <c r="O90" s="906">
        <f>'WPB-2.1.C Plant Detail'!O2146</f>
        <v>-219379.5300000002</v>
      </c>
      <c r="P90" s="906">
        <f>'WPB-2.1.C Plant Detail'!O2260</f>
        <v>-221523.70000000022</v>
      </c>
    </row>
    <row r="91" spans="1:18">
      <c r="A91" s="290">
        <f>A90+1</f>
        <v>19</v>
      </c>
      <c r="C91" s="220" t="s">
        <v>1579</v>
      </c>
      <c r="E91" s="294">
        <f>SUM(E90)</f>
        <v>-197937.83000000007</v>
      </c>
      <c r="F91" s="294">
        <f t="shared" ref="F91:P91" si="10">SUM(F90)</f>
        <v>-200082.00000000009</v>
      </c>
      <c r="G91" s="294">
        <f t="shared" si="10"/>
        <v>-202226.1700000001</v>
      </c>
      <c r="H91" s="294">
        <f t="shared" si="10"/>
        <v>-204370.34000000011</v>
      </c>
      <c r="I91" s="294">
        <f t="shared" si="10"/>
        <v>-206514.51000000013</v>
      </c>
      <c r="J91" s="294">
        <f t="shared" si="10"/>
        <v>-208658.68000000014</v>
      </c>
      <c r="K91" s="294">
        <f t="shared" si="10"/>
        <v>-210802.85000000015</v>
      </c>
      <c r="L91" s="294">
        <f t="shared" si="10"/>
        <v>-212947.02000000016</v>
      </c>
      <c r="M91" s="294">
        <f t="shared" si="10"/>
        <v>-215091.19000000018</v>
      </c>
      <c r="N91" s="294">
        <f t="shared" si="10"/>
        <v>-217235.36000000019</v>
      </c>
      <c r="O91" s="294">
        <f t="shared" si="10"/>
        <v>-219379.5300000002</v>
      </c>
      <c r="P91" s="294">
        <f t="shared" si="10"/>
        <v>-221523.70000000022</v>
      </c>
    </row>
    <row r="92" spans="1:18">
      <c r="A92" s="290"/>
      <c r="E92" s="939"/>
      <c r="F92" s="939"/>
      <c r="G92" s="939"/>
      <c r="H92" s="939"/>
      <c r="I92" s="939"/>
      <c r="J92" s="939"/>
      <c r="K92" s="294"/>
      <c r="L92" s="294"/>
      <c r="M92" s="294"/>
      <c r="N92" s="294"/>
      <c r="O92" s="294"/>
      <c r="P92" s="294"/>
      <c r="R92" s="313"/>
    </row>
    <row r="93" spans="1:18">
      <c r="A93" s="290">
        <f>A91+1</f>
        <v>20</v>
      </c>
      <c r="C93" s="229" t="s">
        <v>2037</v>
      </c>
      <c r="E93" s="318">
        <f t="shared" ref="E93:P93" si="11">E22+E56+E87+E91</f>
        <v>175248311.32580763</v>
      </c>
      <c r="F93" s="318">
        <f t="shared" si="11"/>
        <v>176783083.50358111</v>
      </c>
      <c r="G93" s="318">
        <f t="shared" si="11"/>
        <v>178087654.81319374</v>
      </c>
      <c r="H93" s="318">
        <f t="shared" si="11"/>
        <v>178984798.21102166</v>
      </c>
      <c r="I93" s="318">
        <f t="shared" si="11"/>
        <v>180155105.22582725</v>
      </c>
      <c r="J93" s="318">
        <f t="shared" si="11"/>
        <v>181781904.9006328</v>
      </c>
      <c r="K93" s="318">
        <f t="shared" si="11"/>
        <v>182836244.36757529</v>
      </c>
      <c r="L93" s="318">
        <f t="shared" si="11"/>
        <v>181814484.55111018</v>
      </c>
      <c r="M93" s="318">
        <f t="shared" si="11"/>
        <v>183225028.05590278</v>
      </c>
      <c r="N93" s="318">
        <f t="shared" si="11"/>
        <v>184512977.36724839</v>
      </c>
      <c r="O93" s="318">
        <f t="shared" si="11"/>
        <v>185714376.51029342</v>
      </c>
      <c r="P93" s="318">
        <f t="shared" si="11"/>
        <v>187227470.73687521</v>
      </c>
    </row>
    <row r="94" spans="1:18">
      <c r="A94" s="290"/>
      <c r="C94" s="291"/>
    </row>
    <row r="95" spans="1:18">
      <c r="A95" s="290">
        <f>A93+1</f>
        <v>21</v>
      </c>
      <c r="C95" s="291" t="s">
        <v>2039</v>
      </c>
      <c r="E95" s="294">
        <f>'WPB-2.1.C Plant Detail'!O1011</f>
        <v>-6372997.2199999997</v>
      </c>
      <c r="F95" s="294">
        <f>'WPB-2.1.C Plant Detail'!O1125</f>
        <v>-6542677.4199999999</v>
      </c>
      <c r="G95" s="294">
        <f>'WPB-2.1.C Plant Detail'!O1239</f>
        <v>-6610924.3099999996</v>
      </c>
      <c r="H95" s="294">
        <f>'WPB-2.1.C Plant Detail'!O1353</f>
        <v>-6661641.4299999997</v>
      </c>
      <c r="I95" s="294">
        <f>'WPB-2.1.C Plant Detail'!O1467</f>
        <v>-6640025</v>
      </c>
      <c r="J95" s="294">
        <f>'WPB-2.1.C Plant Detail'!O1581</f>
        <v>-6687302.71</v>
      </c>
      <c r="K95" s="294">
        <f>'WPB-2.1.C Plant Detail'!O1695</f>
        <v>-6687302.71</v>
      </c>
      <c r="L95" s="294">
        <f>'WPB-2.1.C Plant Detail'!O1809</f>
        <v>-6687302.71</v>
      </c>
      <c r="M95" s="294">
        <f>'WPB-2.1.C Plant Detail'!O1923</f>
        <v>-6687302.71</v>
      </c>
      <c r="N95" s="294">
        <f>'WPB-2.1.C Plant Detail'!O2037</f>
        <v>-6687302.71</v>
      </c>
      <c r="O95" s="294">
        <f>'WPB-2.1.C Plant Detail'!O2151</f>
        <v>-6687302.71</v>
      </c>
      <c r="P95" s="294">
        <f>'WPB-2.1.C Plant Detail'!O2265</f>
        <v>-6687302.71</v>
      </c>
    </row>
    <row r="96" spans="1:18">
      <c r="A96" s="290"/>
      <c r="C96" s="291"/>
      <c r="F96" s="313"/>
      <c r="G96" s="313"/>
      <c r="H96" s="313"/>
      <c r="I96" s="313"/>
      <c r="J96" s="313"/>
      <c r="K96" s="313"/>
      <c r="L96" s="313"/>
      <c r="M96" s="313"/>
      <c r="N96" s="313"/>
      <c r="O96" s="313"/>
      <c r="P96" s="313"/>
    </row>
    <row r="97" spans="1:32">
      <c r="A97" s="290">
        <f>A95+1</f>
        <v>22</v>
      </c>
      <c r="C97" s="229" t="s">
        <v>1603</v>
      </c>
      <c r="E97" s="306">
        <f>SUM(E93:E95)</f>
        <v>168875314.10580763</v>
      </c>
      <c r="F97" s="306">
        <f t="shared" ref="F97:P97" si="12">SUM(F93:F95)</f>
        <v>170240406.08358112</v>
      </c>
      <c r="G97" s="306">
        <f t="shared" si="12"/>
        <v>171476730.50319374</v>
      </c>
      <c r="H97" s="306">
        <f t="shared" si="12"/>
        <v>172323156.78102165</v>
      </c>
      <c r="I97" s="306">
        <f t="shared" si="12"/>
        <v>173515080.22582725</v>
      </c>
      <c r="J97" s="306">
        <f t="shared" si="12"/>
        <v>175094602.19063279</v>
      </c>
      <c r="K97" s="306">
        <f t="shared" si="12"/>
        <v>176148941.65757528</v>
      </c>
      <c r="L97" s="306">
        <f t="shared" si="12"/>
        <v>175127181.84111017</v>
      </c>
      <c r="M97" s="306">
        <f t="shared" si="12"/>
        <v>176537725.34590277</v>
      </c>
      <c r="N97" s="306">
        <f t="shared" si="12"/>
        <v>177825674.65724838</v>
      </c>
      <c r="O97" s="306">
        <f t="shared" si="12"/>
        <v>179027073.80029342</v>
      </c>
      <c r="P97" s="306">
        <f t="shared" si="12"/>
        <v>180540168.0268752</v>
      </c>
      <c r="Q97" s="313"/>
      <c r="R97" s="313"/>
      <c r="S97" s="313"/>
      <c r="T97" s="313"/>
      <c r="U97" s="313"/>
      <c r="V97" s="313"/>
      <c r="W97" s="313"/>
      <c r="X97" s="313"/>
      <c r="Y97" s="313"/>
      <c r="Z97" s="313"/>
      <c r="AA97" s="313"/>
      <c r="AB97" s="313"/>
      <c r="AC97" s="313"/>
      <c r="AD97" s="313"/>
      <c r="AE97" s="313"/>
      <c r="AF97" s="313"/>
    </row>
    <row r="98" spans="1:32">
      <c r="A98" s="290"/>
    </row>
    <row r="99" spans="1:32">
      <c r="A99" s="290">
        <f>A97+1</f>
        <v>23</v>
      </c>
      <c r="C99" s="325" t="s">
        <v>1774</v>
      </c>
    </row>
    <row r="100" spans="1:32">
      <c r="A100" s="290">
        <f>A99+1</f>
        <v>24</v>
      </c>
      <c r="B100" s="310">
        <v>376</v>
      </c>
      <c r="C100" s="308" t="s">
        <v>576</v>
      </c>
      <c r="E100" s="294">
        <f>'WPB-2.1.C Plant Detail'!O1017</f>
        <v>-101238.98700000001</v>
      </c>
      <c r="F100" s="294">
        <f>'WPB-2.1.C Plant Detail'!O1131</f>
        <v>-69411.588999999993</v>
      </c>
      <c r="G100" s="294">
        <f>'WPB-2.1.C Plant Detail'!O1245</f>
        <v>-33495.03899999999</v>
      </c>
      <c r="H100" s="294">
        <f>'WPB-2.1.C Plant Detail'!O1359</f>
        <v>-86818.997999999992</v>
      </c>
      <c r="I100" s="294">
        <f>'WPB-2.1.C Plant Detail'!O1473</f>
        <v>-42988.025999999991</v>
      </c>
      <c r="J100" s="294">
        <f>'WPB-2.1.C Plant Detail'!O1587</f>
        <v>-59463.91599999999</v>
      </c>
      <c r="K100" s="294">
        <f>'WPB-2.1.C Plant Detail'!O1701</f>
        <v>-12466.487566213518</v>
      </c>
      <c r="L100" s="294">
        <f>'WPB-2.1.C Plant Detail'!O1815</f>
        <v>30919.457017371929</v>
      </c>
      <c r="M100" s="294">
        <f>'WPB-2.1.C Plant Detail'!O1929</f>
        <v>74134.160005595753</v>
      </c>
      <c r="N100" s="294">
        <f>'WPB-2.1.C Plant Detail'!O2043</f>
        <v>125884.17032267827</v>
      </c>
      <c r="O100" s="294">
        <f>'WPB-2.1.C Plant Detail'!O2157</f>
        <v>172655.9516065061</v>
      </c>
      <c r="P100" s="294">
        <f>'WPB-2.1.C Plant Detail'!O2271</f>
        <v>230245.88853774991</v>
      </c>
    </row>
    <row r="101" spans="1:32">
      <c r="A101" s="290">
        <f t="shared" ref="A101:A104" si="13">A100+1</f>
        <v>25</v>
      </c>
      <c r="B101" s="310">
        <v>378.2</v>
      </c>
      <c r="C101" s="308" t="s">
        <v>2915</v>
      </c>
      <c r="E101" s="294">
        <f>'WPB-2.1.C Plant Detail'!O1018</f>
        <v>-390184.50199999992</v>
      </c>
      <c r="F101" s="294">
        <f>'WPB-2.1.C Plant Detail'!O1132</f>
        <v>-390914.50199999992</v>
      </c>
      <c r="G101" s="294">
        <f>'WPB-2.1.C Plant Detail'!O1246</f>
        <v>-393097.48499999993</v>
      </c>
      <c r="H101" s="294">
        <f>'WPB-2.1.C Plant Detail'!O1360</f>
        <v>-448462.97199999995</v>
      </c>
      <c r="I101" s="294">
        <f>'WPB-2.1.C Plant Detail'!O1474</f>
        <v>-449447.72499999998</v>
      </c>
      <c r="J101" s="294">
        <f>'WPB-2.1.C Plant Detail'!O1588</f>
        <v>-461059.23899999994</v>
      </c>
      <c r="K101" s="294">
        <f>'WPB-2.1.C Plant Detail'!O1702</f>
        <v>-485033.93799999997</v>
      </c>
      <c r="L101" s="294">
        <f>'WPB-2.1.C Plant Detail'!O1816</f>
        <v>-507104.99016298301</v>
      </c>
      <c r="M101" s="294">
        <f>'WPB-2.1.C Plant Detail'!O1930</f>
        <v>-531241.6744734738</v>
      </c>
      <c r="N101" s="294">
        <f>'WPB-2.1.C Plant Detail'!O2044</f>
        <v>-572201.9788276531</v>
      </c>
      <c r="O101" s="294">
        <f>'WPB-2.1.C Plant Detail'!O2158</f>
        <v>-630025.16712134506</v>
      </c>
      <c r="P101" s="294">
        <f>'WPB-2.1.C Plant Detail'!O2272</f>
        <v>-664090.05502493191</v>
      </c>
    </row>
    <row r="102" spans="1:32">
      <c r="A102" s="290">
        <f t="shared" si="13"/>
        <v>26</v>
      </c>
      <c r="B102" s="310">
        <v>380</v>
      </c>
      <c r="C102" s="308" t="s">
        <v>398</v>
      </c>
      <c r="E102" s="294">
        <f>'WPB-2.1.C Plant Detail'!O1019</f>
        <v>-3483779.1138076461</v>
      </c>
      <c r="F102" s="294">
        <f>'WPB-2.1.C Plant Detail'!O1133</f>
        <v>-3806247.0625810828</v>
      </c>
      <c r="G102" s="294">
        <f>'WPB-2.1.C Plant Detail'!O1247</f>
        <v>-4226104.0851936834</v>
      </c>
      <c r="H102" s="294">
        <f>'WPB-2.1.C Plant Detail'!O1361</f>
        <v>-4567164.746021634</v>
      </c>
      <c r="I102" s="294">
        <f>'WPB-2.1.C Plant Detail'!O1475</f>
        <v>-4704787.4660216337</v>
      </c>
      <c r="J102" s="294">
        <f>'WPB-2.1.C Plant Detail'!O1589</f>
        <v>-4902137.5050216336</v>
      </c>
      <c r="K102" s="294">
        <f>'WPB-2.1.C Plant Detail'!O1703</f>
        <v>-5987383.3850216335</v>
      </c>
      <c r="L102" s="294">
        <f>'WPB-2.1.C Plant Detail'!O1817</f>
        <v>-6535549.4149099523</v>
      </c>
      <c r="M102" s="294">
        <f>'WPB-2.1.C Plant Detail'!O1931</f>
        <v>-7138053.4401115524</v>
      </c>
      <c r="N102" s="294">
        <f>'WPB-2.1.C Plant Detail'!O2045</f>
        <v>-7792888.5735424068</v>
      </c>
      <c r="O102" s="294">
        <f>'WPB-2.1.C Plant Detail'!O2159</f>
        <v>-8310759.3444482023</v>
      </c>
      <c r="P102" s="294">
        <f>'WPB-2.1.C Plant Detail'!O2273</f>
        <v>-8763900.8626038022</v>
      </c>
    </row>
    <row r="103" spans="1:32">
      <c r="A103" s="290">
        <f t="shared" si="13"/>
        <v>27</v>
      </c>
      <c r="B103" s="310">
        <v>382</v>
      </c>
      <c r="C103" s="308" t="s">
        <v>2916</v>
      </c>
      <c r="E103" s="294">
        <f>'WPB-2.1.C Plant Detail'!O1020</f>
        <v>-36219.77900000001</v>
      </c>
      <c r="F103" s="294">
        <f>'WPB-2.1.C Plant Detail'!O1134</f>
        <v>-40903.60100000001</v>
      </c>
      <c r="G103" s="294">
        <f>'WPB-2.1.C Plant Detail'!O1248</f>
        <v>-44506.454000000005</v>
      </c>
      <c r="H103" s="294">
        <f>'WPB-2.1.C Plant Detail'!O1362</f>
        <v>-48148.223000000005</v>
      </c>
      <c r="I103" s="294">
        <f>'WPB-2.1.C Plant Detail'!O1476</f>
        <v>-49888.476000000002</v>
      </c>
      <c r="J103" s="294">
        <f>'WPB-2.1.C Plant Detail'!O1590</f>
        <v>-52233.724000000002</v>
      </c>
      <c r="K103" s="294">
        <f>'WPB-2.1.C Plant Detail'!O1704</f>
        <v>-53866.597835057481</v>
      </c>
      <c r="L103" s="294">
        <f>'WPB-2.1.C Plant Detail'!O1818</f>
        <v>-54757.589835057479</v>
      </c>
      <c r="M103" s="294">
        <f>'WPB-2.1.C Plant Detail'!O1932</f>
        <v>-57283.274640526019</v>
      </c>
      <c r="N103" s="294">
        <f>'WPB-2.1.C Plant Detail'!O2046</f>
        <v>-60283.702317176438</v>
      </c>
      <c r="O103" s="294">
        <f>'WPB-2.1.C Plant Detail'!O2160</f>
        <v>-63174.320790812388</v>
      </c>
      <c r="P103" s="294">
        <f>'WPB-2.1.C Plant Detail'!O2274</f>
        <v>-67421.923643822505</v>
      </c>
    </row>
    <row r="104" spans="1:32">
      <c r="A104" s="290">
        <f t="shared" si="13"/>
        <v>28</v>
      </c>
      <c r="B104" s="310">
        <v>383</v>
      </c>
      <c r="C104" s="308" t="s">
        <v>401</v>
      </c>
      <c r="E104" s="294">
        <f>'WPB-2.1.C Plant Detail'!O1021</f>
        <v>-5163.8739999999998</v>
      </c>
      <c r="F104" s="294">
        <f>'WPB-2.1.C Plant Detail'!O1135</f>
        <v>-5735.1989999999996</v>
      </c>
      <c r="G104" s="294">
        <f>'WPB-2.1.C Plant Detail'!O1249</f>
        <v>-6377.44</v>
      </c>
      <c r="H104" s="294">
        <f>'WPB-2.1.C Plant Detail'!O1363</f>
        <v>-6922.5419999999995</v>
      </c>
      <c r="I104" s="294">
        <f>'WPB-2.1.C Plant Detail'!O1477</f>
        <v>-7197.585</v>
      </c>
      <c r="J104" s="294">
        <f>'WPB-2.1.C Plant Detail'!O1591</f>
        <v>-7673.7209999999995</v>
      </c>
      <c r="K104" s="294">
        <f>'WPB-2.1.C Plant Detail'!O1705</f>
        <v>-7758.1422356119338</v>
      </c>
      <c r="L104" s="294">
        <f>'WPB-2.1.C Plant Detail'!O1819</f>
        <v>-7824.9537691362657</v>
      </c>
      <c r="M104" s="294">
        <f>'WPB-2.1.C Plant Detail'!O1933</f>
        <v>-7981.9981471911578</v>
      </c>
      <c r="N104" s="294">
        <f>'WPB-2.1.C Plant Detail'!O2047</f>
        <v>-8119.8495464215002</v>
      </c>
      <c r="O104" s="294">
        <f>'WPB-2.1.C Plant Detail'!O2161</f>
        <v>-8389.2105464215001</v>
      </c>
      <c r="P104" s="294">
        <f>'WPB-2.1.C Plant Detail'!O2275</f>
        <v>-8501.4765289274674</v>
      </c>
    </row>
    <row r="105" spans="1:32">
      <c r="A105" s="290">
        <f>A104+1</f>
        <v>29</v>
      </c>
      <c r="B105" s="307"/>
      <c r="C105" s="308" t="s">
        <v>1780</v>
      </c>
      <c r="E105" s="311">
        <f>SUM(E100:E104)</f>
        <v>-4016586.2558076461</v>
      </c>
      <c r="F105" s="311">
        <f t="shared" ref="F105:P105" si="14">SUM(F100:F104)</f>
        <v>-4313211.9535810826</v>
      </c>
      <c r="G105" s="311">
        <f t="shared" si="14"/>
        <v>-4703580.5031936839</v>
      </c>
      <c r="H105" s="311">
        <f t="shared" si="14"/>
        <v>-5157517.4810216343</v>
      </c>
      <c r="I105" s="311">
        <f t="shared" si="14"/>
        <v>-5254309.2780216336</v>
      </c>
      <c r="J105" s="311">
        <f t="shared" si="14"/>
        <v>-5482568.1050216341</v>
      </c>
      <c r="K105" s="311">
        <f t="shared" si="14"/>
        <v>-6546508.5506585157</v>
      </c>
      <c r="L105" s="311">
        <f t="shared" si="14"/>
        <v>-7074317.4916597567</v>
      </c>
      <c r="M105" s="311">
        <f t="shared" si="14"/>
        <v>-7660426.2273671478</v>
      </c>
      <c r="N105" s="311">
        <f t="shared" si="14"/>
        <v>-8307609.933910979</v>
      </c>
      <c r="O105" s="311">
        <f t="shared" si="14"/>
        <v>-8839692.0913002752</v>
      </c>
      <c r="P105" s="311">
        <f t="shared" si="14"/>
        <v>-9273668.4292637333</v>
      </c>
    </row>
    <row r="106" spans="1:32">
      <c r="A106" s="290"/>
      <c r="B106" s="307"/>
      <c r="C106" s="308"/>
    </row>
    <row r="107" spans="1:32">
      <c r="A107" s="290">
        <f>A105+1</f>
        <v>30</v>
      </c>
      <c r="B107" s="307"/>
      <c r="C107" s="308" t="s">
        <v>447</v>
      </c>
      <c r="E107" s="306">
        <f>E105+E97</f>
        <v>164858727.84999999</v>
      </c>
      <c r="F107" s="306">
        <f t="shared" ref="F107:P107" si="15">F105+F97</f>
        <v>165927194.13000003</v>
      </c>
      <c r="G107" s="306">
        <f t="shared" si="15"/>
        <v>166773150.00000006</v>
      </c>
      <c r="H107" s="306">
        <f t="shared" si="15"/>
        <v>167165639.30000001</v>
      </c>
      <c r="I107" s="306">
        <f t="shared" si="15"/>
        <v>168260770.94780561</v>
      </c>
      <c r="J107" s="306">
        <f t="shared" si="15"/>
        <v>169612034.08561116</v>
      </c>
      <c r="K107" s="306">
        <f t="shared" si="15"/>
        <v>169602433.10691676</v>
      </c>
      <c r="L107" s="306">
        <f t="shared" si="15"/>
        <v>168052864.34945041</v>
      </c>
      <c r="M107" s="306">
        <f t="shared" si="15"/>
        <v>168877299.11853564</v>
      </c>
      <c r="N107" s="306">
        <f t="shared" si="15"/>
        <v>169518064.72333741</v>
      </c>
      <c r="O107" s="306">
        <f t="shared" si="15"/>
        <v>170187381.70899314</v>
      </c>
      <c r="P107" s="306">
        <f t="shared" si="15"/>
        <v>171266499.59761146</v>
      </c>
    </row>
  </sheetData>
  <mergeCells count="8">
    <mergeCell ref="A60:P60"/>
    <mergeCell ref="A61:P61"/>
    <mergeCell ref="A1:P1"/>
    <mergeCell ref="A2:P2"/>
    <mergeCell ref="A3:P3"/>
    <mergeCell ref="A4:P4"/>
    <mergeCell ref="A58:P58"/>
    <mergeCell ref="A59:P59"/>
  </mergeCells>
  <printOptions horizontalCentered="1"/>
  <pageMargins left="0.5" right="0.5" top="0.75" bottom="0.5" header="0.3" footer="0.3"/>
  <pageSetup scale="55" fitToHeight="2" orientation="landscape" r:id="rId1"/>
  <rowBreaks count="1" manualBreakCount="1">
    <brk id="5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106"/>
  <sheetViews>
    <sheetView topLeftCell="A28" zoomScaleNormal="100" zoomScaleSheetLayoutView="100" workbookViewId="0">
      <selection activeCell="A41" sqref="A15:A41"/>
    </sheetView>
  </sheetViews>
  <sheetFormatPr defaultColWidth="12.5" defaultRowHeight="12.75"/>
  <cols>
    <col min="1" max="1" width="5.1640625" style="291" customWidth="1"/>
    <col min="2" max="2" width="1.6640625" style="291" customWidth="1"/>
    <col min="3" max="3" width="8.33203125" style="293" customWidth="1"/>
    <col min="4" max="4" width="60.5" style="291" bestFit="1" customWidth="1"/>
    <col min="5" max="17" width="17.83203125" style="291" customWidth="1"/>
    <col min="18" max="18" width="24.1640625" style="291" bestFit="1" customWidth="1"/>
    <col min="19" max="22" width="12" style="291" customWidth="1"/>
    <col min="23" max="16384" width="12.5" style="291"/>
  </cols>
  <sheetData>
    <row r="1" spans="1:18">
      <c r="A1" s="1308" t="str">
        <f>'General Headers Index'!B4</f>
        <v>COLUMBIA GAS OF KENTUCKY, INC.</v>
      </c>
      <c r="B1" s="1308"/>
      <c r="C1" s="1308"/>
      <c r="D1" s="1308"/>
      <c r="E1" s="1308"/>
      <c r="F1" s="1308"/>
      <c r="G1" s="1308"/>
      <c r="H1" s="1308"/>
      <c r="I1" s="1308"/>
      <c r="J1" s="1308"/>
      <c r="K1" s="1308"/>
      <c r="L1" s="1308"/>
      <c r="M1" s="1308"/>
      <c r="N1" s="1308"/>
      <c r="O1" s="1308"/>
      <c r="P1" s="1308"/>
      <c r="Q1" s="1308"/>
      <c r="R1" s="1308"/>
    </row>
    <row r="2" spans="1:18">
      <c r="A2" s="1308" t="str">
        <f>'General Headers Index'!B6</f>
        <v>CASE NO. 2024 - 00092</v>
      </c>
      <c r="B2" s="1308"/>
      <c r="C2" s="1308"/>
      <c r="D2" s="1308"/>
      <c r="E2" s="1308"/>
      <c r="F2" s="1308"/>
      <c r="G2" s="1308"/>
      <c r="H2" s="1308"/>
      <c r="I2" s="1308"/>
      <c r="J2" s="1308"/>
      <c r="K2" s="1308"/>
      <c r="L2" s="1308"/>
      <c r="M2" s="1308"/>
      <c r="N2" s="1308"/>
      <c r="O2" s="1308"/>
      <c r="P2" s="1308"/>
      <c r="Q2" s="1308"/>
      <c r="R2" s="1308"/>
    </row>
    <row r="3" spans="1:18">
      <c r="A3" s="1308" t="s">
        <v>500</v>
      </c>
      <c r="B3" s="1308"/>
      <c r="C3" s="1308"/>
      <c r="D3" s="1308"/>
      <c r="E3" s="1308"/>
      <c r="F3" s="1308"/>
      <c r="G3" s="1308"/>
      <c r="H3" s="1308"/>
      <c r="I3" s="1308"/>
      <c r="J3" s="1308"/>
      <c r="K3" s="1308"/>
      <c r="L3" s="1308"/>
      <c r="M3" s="1308"/>
      <c r="N3" s="1308"/>
      <c r="O3" s="1308"/>
      <c r="P3" s="1308"/>
      <c r="Q3" s="1308"/>
      <c r="R3" s="1308"/>
    </row>
    <row r="4" spans="1:18">
      <c r="A4" s="1309" t="str">
        <f>'General Headers Index'!B30</f>
        <v>13 MONTH AVG - FORECAST PERIOD 12/31/2024 TO 12/31/2025</v>
      </c>
      <c r="B4" s="1308"/>
      <c r="C4" s="1308"/>
      <c r="D4" s="1308"/>
      <c r="E4" s="1308"/>
      <c r="F4" s="1308"/>
      <c r="G4" s="1308"/>
      <c r="H4" s="1308"/>
      <c r="I4" s="1308"/>
      <c r="J4" s="1308"/>
      <c r="K4" s="1308"/>
      <c r="L4" s="1308"/>
      <c r="M4" s="1308"/>
      <c r="N4" s="1308"/>
      <c r="O4" s="1308"/>
      <c r="P4" s="1308"/>
      <c r="Q4" s="1308"/>
      <c r="R4" s="1308"/>
    </row>
    <row r="5" spans="1:18">
      <c r="G5" s="290"/>
    </row>
    <row r="7" spans="1:18">
      <c r="A7" s="297" t="s">
        <v>2792</v>
      </c>
      <c r="R7" s="312" t="s">
        <v>996</v>
      </c>
    </row>
    <row r="8" spans="1:18">
      <c r="A8" s="297" t="str">
        <f>'General Headers Index'!B37</f>
        <v>TYPE OF FILING:___X___ORIGINAL______UPDATED</v>
      </c>
      <c r="R8" s="312" t="s">
        <v>251</v>
      </c>
    </row>
    <row r="9" spans="1:18">
      <c r="A9" s="521" t="s">
        <v>983</v>
      </c>
      <c r="R9" s="522" t="str">
        <f>"WITNESS: "&amp;'General Headers Index'!$B$42</f>
        <v>WITNESS: GORE</v>
      </c>
    </row>
    <row r="10" spans="1:18">
      <c r="A10" s="968"/>
      <c r="B10" s="902"/>
      <c r="C10" s="969"/>
      <c r="D10" s="902"/>
      <c r="E10" s="902"/>
      <c r="F10" s="902"/>
      <c r="G10" s="902"/>
      <c r="H10" s="902"/>
      <c r="I10" s="902"/>
      <c r="J10" s="902"/>
      <c r="K10" s="902"/>
      <c r="L10" s="902"/>
      <c r="M10" s="902"/>
      <c r="N10" s="902"/>
      <c r="O10" s="902"/>
      <c r="P10" s="902"/>
      <c r="Q10" s="902"/>
      <c r="R10" s="971"/>
    </row>
    <row r="11" spans="1:18">
      <c r="A11" s="290" t="s">
        <v>313</v>
      </c>
      <c r="B11" s="290"/>
      <c r="C11" s="298" t="s">
        <v>368</v>
      </c>
      <c r="D11" s="290"/>
      <c r="G11" s="290"/>
      <c r="I11" s="290"/>
      <c r="M11" s="290"/>
      <c r="O11" s="290"/>
      <c r="R11" s="292" t="s">
        <v>352</v>
      </c>
    </row>
    <row r="12" spans="1:18">
      <c r="A12" s="903" t="s">
        <v>316</v>
      </c>
      <c r="B12" s="903"/>
      <c r="C12" s="904" t="s">
        <v>316</v>
      </c>
      <c r="D12" s="885" t="s">
        <v>451</v>
      </c>
      <c r="E12" s="905" t="s">
        <v>1833</v>
      </c>
      <c r="F12" s="905" t="s">
        <v>1604</v>
      </c>
      <c r="G12" s="905" t="s">
        <v>1605</v>
      </c>
      <c r="H12" s="905" t="s">
        <v>1606</v>
      </c>
      <c r="I12" s="905" t="s">
        <v>1607</v>
      </c>
      <c r="J12" s="905" t="s">
        <v>1608</v>
      </c>
      <c r="K12" s="905" t="s">
        <v>1609</v>
      </c>
      <c r="L12" s="905" t="s">
        <v>1610</v>
      </c>
      <c r="M12" s="905" t="s">
        <v>1611</v>
      </c>
      <c r="N12" s="905" t="s">
        <v>1612</v>
      </c>
      <c r="O12" s="905" t="s">
        <v>1613</v>
      </c>
      <c r="P12" s="905" t="s">
        <v>1614</v>
      </c>
      <c r="Q12" s="905" t="s">
        <v>1615</v>
      </c>
      <c r="R12" s="903" t="s">
        <v>312</v>
      </c>
    </row>
    <row r="13" spans="1:18">
      <c r="A13" s="290"/>
      <c r="C13" s="298"/>
      <c r="D13" s="220"/>
      <c r="E13" s="300" t="s">
        <v>532</v>
      </c>
      <c r="F13" s="300" t="s">
        <v>541</v>
      </c>
      <c r="G13" s="300" t="s">
        <v>542</v>
      </c>
      <c r="H13" s="300" t="s">
        <v>668</v>
      </c>
      <c r="I13" s="300" t="s">
        <v>669</v>
      </c>
      <c r="J13" s="300" t="s">
        <v>670</v>
      </c>
      <c r="K13" s="300" t="s">
        <v>984</v>
      </c>
      <c r="L13" s="300" t="s">
        <v>985</v>
      </c>
      <c r="M13" s="300" t="s">
        <v>986</v>
      </c>
      <c r="N13" s="300" t="s">
        <v>987</v>
      </c>
      <c r="O13" s="300" t="s">
        <v>988</v>
      </c>
      <c r="P13" s="300" t="s">
        <v>989</v>
      </c>
      <c r="Q13" s="300" t="s">
        <v>990</v>
      </c>
      <c r="R13" s="300" t="s">
        <v>2639</v>
      </c>
    </row>
    <row r="14" spans="1:18">
      <c r="E14" s="290" t="s">
        <v>320</v>
      </c>
      <c r="F14" s="290" t="s">
        <v>320</v>
      </c>
      <c r="G14" s="290" t="s">
        <v>320</v>
      </c>
      <c r="H14" s="290" t="s">
        <v>320</v>
      </c>
      <c r="I14" s="290" t="s">
        <v>320</v>
      </c>
      <c r="J14" s="290" t="s">
        <v>320</v>
      </c>
      <c r="K14" s="290" t="s">
        <v>320</v>
      </c>
      <c r="L14" s="290" t="s">
        <v>320</v>
      </c>
      <c r="M14" s="290" t="s">
        <v>320</v>
      </c>
      <c r="N14" s="290" t="s">
        <v>320</v>
      </c>
      <c r="O14" s="290" t="s">
        <v>320</v>
      </c>
      <c r="P14" s="290" t="s">
        <v>320</v>
      </c>
      <c r="Q14" s="290" t="s">
        <v>320</v>
      </c>
      <c r="R14" s="290" t="s">
        <v>358</v>
      </c>
    </row>
    <row r="15" spans="1:18">
      <c r="A15" s="291">
        <v>1</v>
      </c>
      <c r="C15" s="301" t="s">
        <v>373</v>
      </c>
      <c r="D15" s="302"/>
      <c r="E15" s="294"/>
      <c r="F15" s="294"/>
      <c r="G15" s="294"/>
      <c r="H15" s="294"/>
      <c r="I15" s="294"/>
      <c r="J15" s="294"/>
      <c r="K15" s="294"/>
      <c r="L15" s="294"/>
      <c r="M15" s="294"/>
      <c r="N15" s="294"/>
      <c r="O15" s="294"/>
      <c r="P15" s="294"/>
      <c r="Q15" s="294"/>
      <c r="R15" s="294"/>
    </row>
    <row r="16" spans="1:18">
      <c r="A16" s="291">
        <f t="shared" ref="A16:A22" si="0">A15+1</f>
        <v>2</v>
      </c>
      <c r="C16" s="293">
        <v>301</v>
      </c>
      <c r="D16" s="220" t="s">
        <v>374</v>
      </c>
      <c r="E16" s="294">
        <f>'WPB-2.1.C Plant Detail'!O2640</f>
        <v>0</v>
      </c>
      <c r="F16" s="294">
        <f>'WPB-2.1.C Plant Detail'!O2754</f>
        <v>0</v>
      </c>
      <c r="G16" s="294">
        <f>'WPB-2.1.C Plant Detail'!O2868</f>
        <v>0</v>
      </c>
      <c r="H16" s="294">
        <f>'WPB-2.1.C Plant Detail'!O2982</f>
        <v>0</v>
      </c>
      <c r="I16" s="294">
        <f>'WPB-2.1.C Plant Detail'!O3096</f>
        <v>0</v>
      </c>
      <c r="J16" s="294">
        <f>'WPB-2.1.C Plant Detail'!O3210</f>
        <v>0</v>
      </c>
      <c r="K16" s="294">
        <f>'WPB-2.1.C Plant Detail'!O3324</f>
        <v>0</v>
      </c>
      <c r="L16" s="294">
        <f>'WPB-2.1.C Plant Detail'!O3438</f>
        <v>0</v>
      </c>
      <c r="M16" s="294">
        <f>'WPB-2.1.C Plant Detail'!O3552</f>
        <v>0</v>
      </c>
      <c r="N16" s="294">
        <f>'WPB-2.1.C Plant Detail'!O3666</f>
        <v>0</v>
      </c>
      <c r="O16" s="294">
        <f>'WPB-2.1.C Plant Detail'!O3780</f>
        <v>0</v>
      </c>
      <c r="P16" s="294">
        <f>'WPB-2.1.C Plant Detail'!O3894</f>
        <v>0</v>
      </c>
      <c r="Q16" s="294">
        <f>'WPB-2.1.C Plant Detail'!O4008</f>
        <v>0</v>
      </c>
      <c r="R16" s="294">
        <f t="shared" ref="R16:R21" si="1">AVERAGE(E16:Q16)</f>
        <v>0</v>
      </c>
    </row>
    <row r="17" spans="1:18">
      <c r="A17" s="291">
        <f t="shared" si="0"/>
        <v>3</v>
      </c>
      <c r="C17" s="293">
        <v>303</v>
      </c>
      <c r="D17" s="220" t="s">
        <v>375</v>
      </c>
      <c r="E17" s="294">
        <f>'WPB-2.1.C Plant Detail'!O2641</f>
        <v>82073.543666666767</v>
      </c>
      <c r="F17" s="294">
        <f>'WPB-2.1.C Plant Detail'!O2755</f>
        <v>82341.141472222327</v>
      </c>
      <c r="G17" s="294">
        <f>'WPB-2.1.C Plant Detail'!O2869</f>
        <v>82608.739277777888</v>
      </c>
      <c r="H17" s="294">
        <f>'WPB-2.1.C Plant Detail'!O2983</f>
        <v>82876.337083333448</v>
      </c>
      <c r="I17" s="294">
        <f>'WPB-2.1.C Plant Detail'!O3097</f>
        <v>83143.934888889009</v>
      </c>
      <c r="J17" s="294">
        <f>'WPB-2.1.C Plant Detail'!O3211</f>
        <v>83390.438791666791</v>
      </c>
      <c r="K17" s="294">
        <f>'WPB-2.1.C Plant Detail'!O3325</f>
        <v>68428.238791666794</v>
      </c>
      <c r="L17" s="294">
        <f>'WPB-2.1.C Plant Detail'!O3439</f>
        <v>68653.648791666797</v>
      </c>
      <c r="M17" s="294">
        <f>'WPB-2.1.C Plant Detail'!O3553</f>
        <v>68879.058791666801</v>
      </c>
      <c r="N17" s="294">
        <f>'WPB-2.1.C Plant Detail'!O3667</f>
        <v>69104.468791666804</v>
      </c>
      <c r="O17" s="294">
        <f>'WPB-2.1.C Plant Detail'!O3781</f>
        <v>69329.878791666808</v>
      </c>
      <c r="P17" s="294">
        <f>'WPB-2.1.C Plant Detail'!O3895</f>
        <v>69555.288791666811</v>
      </c>
      <c r="Q17" s="294">
        <f>'WPB-2.1.C Plant Detail'!O4009</f>
        <v>69762.108791666818</v>
      </c>
      <c r="R17" s="294">
        <f t="shared" si="1"/>
        <v>75395.909747863378</v>
      </c>
    </row>
    <row r="18" spans="1:18">
      <c r="A18" s="291">
        <f t="shared" si="0"/>
        <v>4</v>
      </c>
      <c r="C18" s="293">
        <v>303.10000000000002</v>
      </c>
      <c r="D18" s="220" t="s">
        <v>376</v>
      </c>
      <c r="E18" s="294">
        <f>'WPB-2.1.C Plant Detail'!O2642</f>
        <v>318.35000000000008</v>
      </c>
      <c r="F18" s="294">
        <f>'WPB-2.1.C Plant Detail'!O2756</f>
        <v>318.35000000000008</v>
      </c>
      <c r="G18" s="294">
        <f>'WPB-2.1.C Plant Detail'!O2870</f>
        <v>318.35000000000008</v>
      </c>
      <c r="H18" s="294">
        <f>'WPB-2.1.C Plant Detail'!O2984</f>
        <v>318.35000000000008</v>
      </c>
      <c r="I18" s="294">
        <f>'WPB-2.1.C Plant Detail'!O3098</f>
        <v>318.35000000000008</v>
      </c>
      <c r="J18" s="294">
        <f>'WPB-2.1.C Plant Detail'!O3212</f>
        <v>318.35000000000008</v>
      </c>
      <c r="K18" s="294">
        <f>'WPB-2.1.C Plant Detail'!O3326</f>
        <v>318.35000000000008</v>
      </c>
      <c r="L18" s="294">
        <f>'WPB-2.1.C Plant Detail'!O3440</f>
        <v>318.35000000000008</v>
      </c>
      <c r="M18" s="294">
        <f>'WPB-2.1.C Plant Detail'!O3554</f>
        <v>318.35000000000008</v>
      </c>
      <c r="N18" s="294">
        <f>'WPB-2.1.C Plant Detail'!O3668</f>
        <v>318.35000000000008</v>
      </c>
      <c r="O18" s="294">
        <f>'WPB-2.1.C Plant Detail'!O3782</f>
        <v>318.35000000000008</v>
      </c>
      <c r="P18" s="294">
        <f>'WPB-2.1.C Plant Detail'!O3896</f>
        <v>318.35000000000008</v>
      </c>
      <c r="Q18" s="294">
        <f>'WPB-2.1.C Plant Detail'!O4010</f>
        <v>318.35000000000008</v>
      </c>
      <c r="R18" s="294">
        <f t="shared" si="1"/>
        <v>318.35000000000002</v>
      </c>
    </row>
    <row r="19" spans="1:18">
      <c r="A19" s="291">
        <f t="shared" si="0"/>
        <v>5</v>
      </c>
      <c r="C19" s="293">
        <v>303.2</v>
      </c>
      <c r="D19" s="220" t="s">
        <v>377</v>
      </c>
      <c r="E19" s="294">
        <f>'WPB-2.1.C Plant Detail'!O2643</f>
        <v>0</v>
      </c>
      <c r="F19" s="294">
        <f>'WPB-2.1.C Plant Detail'!O2757</f>
        <v>0</v>
      </c>
      <c r="G19" s="294">
        <f>'WPB-2.1.C Plant Detail'!O2871</f>
        <v>0</v>
      </c>
      <c r="H19" s="294">
        <f>'WPB-2.1.C Plant Detail'!O2985</f>
        <v>0</v>
      </c>
      <c r="I19" s="294">
        <f>'WPB-2.1.C Plant Detail'!O3099</f>
        <v>0</v>
      </c>
      <c r="J19" s="294">
        <f>'WPB-2.1.C Plant Detail'!O3213</f>
        <v>0</v>
      </c>
      <c r="K19" s="294">
        <f>'WPB-2.1.C Plant Detail'!O3327</f>
        <v>0</v>
      </c>
      <c r="L19" s="294">
        <f>'WPB-2.1.C Plant Detail'!O3441</f>
        <v>0</v>
      </c>
      <c r="M19" s="294">
        <f>'WPB-2.1.C Plant Detail'!O3555</f>
        <v>0</v>
      </c>
      <c r="N19" s="294">
        <f>'WPB-2.1.C Plant Detail'!O3669</f>
        <v>0</v>
      </c>
      <c r="O19" s="294">
        <f>'WPB-2.1.C Plant Detail'!O3783</f>
        <v>0</v>
      </c>
      <c r="P19" s="294">
        <f>'WPB-2.1.C Plant Detail'!O3897</f>
        <v>0</v>
      </c>
      <c r="Q19" s="294">
        <f>'WPB-2.1.C Plant Detail'!O4011</f>
        <v>0</v>
      </c>
      <c r="R19" s="294">
        <f t="shared" si="1"/>
        <v>0</v>
      </c>
    </row>
    <row r="20" spans="1:18">
      <c r="A20" s="291">
        <f t="shared" si="0"/>
        <v>6</v>
      </c>
      <c r="C20" s="293">
        <v>303.3</v>
      </c>
      <c r="D20" s="220" t="s">
        <v>378</v>
      </c>
      <c r="E20" s="294">
        <f>'WPB-2.1.C Plant Detail'!O2644</f>
        <v>5872326.4580000043</v>
      </c>
      <c r="F20" s="294">
        <f>'WPB-2.1.C Plant Detail'!O2758</f>
        <v>5831644.1760852961</v>
      </c>
      <c r="G20" s="294">
        <f>'WPB-2.1.C Plant Detail'!O2872</f>
        <v>6027209.4032558789</v>
      </c>
      <c r="H20" s="294">
        <f>'WPB-2.1.C Plant Detail'!O2986</f>
        <v>6175347.1904264623</v>
      </c>
      <c r="I20" s="294">
        <f>'WPB-2.1.C Plant Detail'!O3100</f>
        <v>6397237.5471024457</v>
      </c>
      <c r="J20" s="294">
        <f>'WPB-2.1.C Plant Detail'!O3214</f>
        <v>6428951.2504581343</v>
      </c>
      <c r="K20" s="294">
        <f>'WPB-2.1.C Plant Detail'!O3328</f>
        <v>6632317.4721427122</v>
      </c>
      <c r="L20" s="294">
        <f>'WPB-2.1.C Plant Detail'!O3442</f>
        <v>6784334.0220399285</v>
      </c>
      <c r="M20" s="294">
        <f>'WPB-2.1.C Plant Detail'!O3556</f>
        <v>6993810.1127199233</v>
      </c>
      <c r="N20" s="294">
        <f>'WPB-2.1.C Plant Detail'!O3670</f>
        <v>7112428.9675160283</v>
      </c>
      <c r="O20" s="294">
        <f>'WPB-2.1.C Plant Detail'!O3784</f>
        <v>7343532.6897615781</v>
      </c>
      <c r="P20" s="294">
        <f>'WPB-2.1.C Plant Detail'!O3898</f>
        <v>7570049.5607318506</v>
      </c>
      <c r="Q20" s="294">
        <f>'WPB-2.1.C Plant Detail'!O4012</f>
        <v>7726426.4167021234</v>
      </c>
      <c r="R20" s="294">
        <f t="shared" si="1"/>
        <v>6684278.0974571044</v>
      </c>
    </row>
    <row r="21" spans="1:18">
      <c r="A21" s="291">
        <f t="shared" si="0"/>
        <v>7</v>
      </c>
      <c r="C21" s="293">
        <v>303.99</v>
      </c>
      <c r="D21" s="220" t="s">
        <v>1129</v>
      </c>
      <c r="E21" s="906">
        <f>'WPB-2.1.C Plant Detail'!O2645</f>
        <v>1155674.2866624</v>
      </c>
      <c r="F21" s="906">
        <f>'WPB-2.1.C Plant Detail'!O2759</f>
        <v>1166196.3338749416</v>
      </c>
      <c r="G21" s="906">
        <f>'WPB-2.1.C Plant Detail'!O2873</f>
        <v>1147127.8165503852</v>
      </c>
      <c r="H21" s="906">
        <f>'WPB-2.1.C Plant Detail'!O2987</f>
        <v>1182059.1838898452</v>
      </c>
      <c r="I21" s="906">
        <f>'WPB-2.1.C Plant Detail'!O3101</f>
        <v>1221172.5354800723</v>
      </c>
      <c r="J21" s="906">
        <f>'WPB-2.1.C Plant Detail'!O3215</f>
        <v>1274717.8513774176</v>
      </c>
      <c r="K21" s="906">
        <f>'WPB-2.1.C Plant Detail'!O3329</f>
        <v>1336440.4573451397</v>
      </c>
      <c r="L21" s="906">
        <f>'WPB-2.1.C Plant Detail'!O3443</f>
        <v>1388459.289740456</v>
      </c>
      <c r="M21" s="906">
        <f>'WPB-2.1.C Plant Detail'!O3557</f>
        <v>1417054.0860526746</v>
      </c>
      <c r="N21" s="906">
        <f>'WPB-2.1.C Plant Detail'!O3671</f>
        <v>1478465.1057506693</v>
      </c>
      <c r="O21" s="906">
        <f>'WPB-2.1.C Plant Detail'!O3785</f>
        <v>1534373.4011662102</v>
      </c>
      <c r="P21" s="906">
        <f>'WPB-2.1.C Plant Detail'!O3899</f>
        <v>1599575.3184919429</v>
      </c>
      <c r="Q21" s="906">
        <f>'WPB-2.1.C Plant Detail'!O4013</f>
        <v>1660318.6006448336</v>
      </c>
      <c r="R21" s="906">
        <f t="shared" si="1"/>
        <v>1350894.9436174606</v>
      </c>
    </row>
    <row r="22" spans="1:18">
      <c r="A22" s="291">
        <f t="shared" si="0"/>
        <v>8</v>
      </c>
      <c r="C22" s="303" t="s">
        <v>379</v>
      </c>
      <c r="E22" s="294">
        <f>SUM(E16:E21)</f>
        <v>7110392.638329071</v>
      </c>
      <c r="F22" s="294">
        <f t="shared" ref="F22:Q22" si="2">SUM(F16:F21)</f>
        <v>7080500.0014324598</v>
      </c>
      <c r="G22" s="294">
        <f t="shared" si="2"/>
        <v>7257264.309084042</v>
      </c>
      <c r="H22" s="294">
        <f t="shared" si="2"/>
        <v>7440601.0613996414</v>
      </c>
      <c r="I22" s="294">
        <f t="shared" si="2"/>
        <v>7701872.3674714062</v>
      </c>
      <c r="J22" s="294">
        <f t="shared" si="2"/>
        <v>7787377.8906272184</v>
      </c>
      <c r="K22" s="294">
        <f t="shared" si="2"/>
        <v>8037504.5182795189</v>
      </c>
      <c r="L22" s="294">
        <f t="shared" si="2"/>
        <v>8241765.3105720514</v>
      </c>
      <c r="M22" s="294">
        <f t="shared" si="2"/>
        <v>8480061.6075642649</v>
      </c>
      <c r="N22" s="294">
        <f t="shared" si="2"/>
        <v>8660316.892058365</v>
      </c>
      <c r="O22" s="294">
        <f t="shared" si="2"/>
        <v>8947554.3197194561</v>
      </c>
      <c r="P22" s="294">
        <f t="shared" si="2"/>
        <v>9239498.5180154592</v>
      </c>
      <c r="Q22" s="294">
        <f t="shared" si="2"/>
        <v>9456825.4761386234</v>
      </c>
      <c r="R22" s="294">
        <f>SUM(R16:R21)</f>
        <v>8110887.3008224284</v>
      </c>
    </row>
    <row r="23" spans="1:18">
      <c r="D23" s="294"/>
      <c r="E23" s="294"/>
      <c r="F23" s="294"/>
      <c r="G23" s="294"/>
      <c r="H23" s="294"/>
      <c r="I23" s="304"/>
      <c r="J23" s="294"/>
      <c r="K23" s="294"/>
      <c r="L23" s="294"/>
      <c r="M23" s="304"/>
      <c r="N23" s="294"/>
      <c r="O23" s="294"/>
      <c r="P23" s="294"/>
      <c r="Q23" s="294"/>
      <c r="R23" s="294"/>
    </row>
    <row r="24" spans="1:18">
      <c r="A24" s="291">
        <f>A22+1</f>
        <v>9</v>
      </c>
      <c r="C24" s="301" t="s">
        <v>1600</v>
      </c>
      <c r="D24" s="302"/>
      <c r="E24" s="294"/>
      <c r="F24" s="294"/>
      <c r="G24" s="294"/>
      <c r="H24" s="294"/>
      <c r="I24" s="304"/>
      <c r="J24" s="294"/>
      <c r="K24" s="294"/>
      <c r="L24" s="294"/>
      <c r="M24" s="304"/>
      <c r="N24" s="294"/>
      <c r="O24" s="294"/>
      <c r="P24" s="294"/>
      <c r="Q24" s="294"/>
      <c r="R24" s="294"/>
    </row>
    <row r="25" spans="1:18">
      <c r="A25" s="291">
        <f t="shared" ref="A25:A41" si="3">A24+1</f>
        <v>10</v>
      </c>
      <c r="C25" s="293">
        <v>374.1</v>
      </c>
      <c r="D25" s="220" t="s">
        <v>382</v>
      </c>
      <c r="E25" s="294">
        <f>'WPB-2.1.C Plant Detail'!O2649</f>
        <v>0</v>
      </c>
      <c r="F25" s="294">
        <f>'WPB-2.1.C Plant Detail'!O2763</f>
        <v>0</v>
      </c>
      <c r="G25" s="294">
        <f>'WPB-2.1.C Plant Detail'!O2877</f>
        <v>0</v>
      </c>
      <c r="H25" s="294">
        <f>'WPB-2.1.C Plant Detail'!O2991</f>
        <v>0</v>
      </c>
      <c r="I25" s="294">
        <f>'WPB-2.1.C Plant Detail'!O3105</f>
        <v>0</v>
      </c>
      <c r="J25" s="294">
        <f>'WPB-2.1.C Plant Detail'!O3219</f>
        <v>0</v>
      </c>
      <c r="K25" s="294">
        <f>'WPB-2.1.C Plant Detail'!O3333</f>
        <v>0</v>
      </c>
      <c r="L25" s="294">
        <f>'WPB-2.1.C Plant Detail'!O3447</f>
        <v>0</v>
      </c>
      <c r="M25" s="294">
        <f>'WPB-2.1.C Plant Detail'!O3561</f>
        <v>0</v>
      </c>
      <c r="N25" s="294">
        <f>'WPB-2.1.C Plant Detail'!O3675</f>
        <v>0</v>
      </c>
      <c r="O25" s="294">
        <f>'WPB-2.1.C Plant Detail'!O3789</f>
        <v>0</v>
      </c>
      <c r="P25" s="294">
        <f>'WPB-2.1.C Plant Detail'!O3903</f>
        <v>0</v>
      </c>
      <c r="Q25" s="294">
        <f>'WPB-2.1.C Plant Detail'!O4017</f>
        <v>0</v>
      </c>
      <c r="R25" s="294">
        <f>AVERAGE(E25:Q25)</f>
        <v>0</v>
      </c>
    </row>
    <row r="26" spans="1:18">
      <c r="A26" s="291">
        <f t="shared" si="3"/>
        <v>11</v>
      </c>
      <c r="C26" s="293">
        <v>374.2</v>
      </c>
      <c r="D26" s="220" t="s">
        <v>383</v>
      </c>
      <c r="E26" s="294">
        <f>'WPB-2.1.C Plant Detail'!O2650</f>
        <v>-522.25</v>
      </c>
      <c r="F26" s="294">
        <f>'WPB-2.1.C Plant Detail'!O2764</f>
        <v>-522.25</v>
      </c>
      <c r="G26" s="294">
        <f>'WPB-2.1.C Plant Detail'!O2878</f>
        <v>-522.25</v>
      </c>
      <c r="H26" s="294">
        <f>'WPB-2.1.C Plant Detail'!O2992</f>
        <v>-522.25</v>
      </c>
      <c r="I26" s="294">
        <f>'WPB-2.1.C Plant Detail'!O3106</f>
        <v>-522.25</v>
      </c>
      <c r="J26" s="294">
        <f>'WPB-2.1.C Plant Detail'!O3220</f>
        <v>-522.25</v>
      </c>
      <c r="K26" s="294">
        <f>'WPB-2.1.C Plant Detail'!O3334</f>
        <v>-522.25</v>
      </c>
      <c r="L26" s="294">
        <f>'WPB-2.1.C Plant Detail'!O3448</f>
        <v>-522.25</v>
      </c>
      <c r="M26" s="294">
        <f>'WPB-2.1.C Plant Detail'!O3562</f>
        <v>-522.25</v>
      </c>
      <c r="N26" s="294">
        <f>'WPB-2.1.C Plant Detail'!O3676</f>
        <v>-522.25</v>
      </c>
      <c r="O26" s="294">
        <f>'WPB-2.1.C Plant Detail'!O3790</f>
        <v>-522.25</v>
      </c>
      <c r="P26" s="294">
        <f>'WPB-2.1.C Plant Detail'!O3904</f>
        <v>-522.25</v>
      </c>
      <c r="Q26" s="294">
        <f>'WPB-2.1.C Plant Detail'!O4018</f>
        <v>-522.25</v>
      </c>
      <c r="R26" s="294">
        <f t="shared" ref="R26:R41" si="4">AVERAGE(E26:Q26)</f>
        <v>-522.25</v>
      </c>
    </row>
    <row r="27" spans="1:18">
      <c r="A27" s="291">
        <f t="shared" si="3"/>
        <v>12</v>
      </c>
      <c r="C27" s="293">
        <v>374.4</v>
      </c>
      <c r="D27" s="220" t="s">
        <v>384</v>
      </c>
      <c r="E27" s="294">
        <f>'WPB-2.1.C Plant Detail'!O2651</f>
        <v>399836.59</v>
      </c>
      <c r="F27" s="294">
        <f>'WPB-2.1.C Plant Detail'!O2765</f>
        <v>403314.59</v>
      </c>
      <c r="G27" s="294">
        <f>'WPB-2.1.C Plant Detail'!O2879</f>
        <v>406793.59</v>
      </c>
      <c r="H27" s="294">
        <f>'WPB-2.1.C Plant Detail'!O2993</f>
        <v>399872.77</v>
      </c>
      <c r="I27" s="294">
        <f>'WPB-2.1.C Plant Detail'!O3107</f>
        <v>403358.77</v>
      </c>
      <c r="J27" s="294">
        <f>'WPB-2.1.C Plant Detail'!O3221</f>
        <v>406846.77</v>
      </c>
      <c r="K27" s="294">
        <f>'WPB-2.1.C Plant Detail'!O3335</f>
        <v>410334.77</v>
      </c>
      <c r="L27" s="294">
        <f>'WPB-2.1.C Plant Detail'!O3449</f>
        <v>413903.77</v>
      </c>
      <c r="M27" s="294">
        <f>'WPB-2.1.C Plant Detail'!O3563</f>
        <v>417554.77</v>
      </c>
      <c r="N27" s="294">
        <f>'WPB-2.1.C Plant Detail'!O3677</f>
        <v>421208.77</v>
      </c>
      <c r="O27" s="294">
        <f>'WPB-2.1.C Plant Detail'!O3791</f>
        <v>424864.77</v>
      </c>
      <c r="P27" s="294">
        <f>'WPB-2.1.C Plant Detail'!O3905</f>
        <v>428520.77</v>
      </c>
      <c r="Q27" s="294">
        <f>'WPB-2.1.C Plant Detail'!O4019</f>
        <v>432193.77</v>
      </c>
      <c r="R27" s="294">
        <f t="shared" si="4"/>
        <v>412969.57461538451</v>
      </c>
    </row>
    <row r="28" spans="1:18">
      <c r="A28" s="291">
        <f t="shared" si="3"/>
        <v>13</v>
      </c>
      <c r="C28" s="293">
        <v>374.5</v>
      </c>
      <c r="D28" s="220" t="s">
        <v>385</v>
      </c>
      <c r="E28" s="294">
        <f>'WPB-2.1.C Plant Detail'!O2652</f>
        <v>1185628.1900000013</v>
      </c>
      <c r="F28" s="294">
        <f>'WPB-2.1.C Plant Detail'!O2766</f>
        <v>1188072.1900000013</v>
      </c>
      <c r="G28" s="294">
        <f>'WPB-2.1.C Plant Detail'!O2880</f>
        <v>1190516.1900000013</v>
      </c>
      <c r="H28" s="294">
        <f>'WPB-2.1.C Plant Detail'!O2994</f>
        <v>1192960.1900000013</v>
      </c>
      <c r="I28" s="294">
        <f>'WPB-2.1.C Plant Detail'!O3108</f>
        <v>1195404.1900000013</v>
      </c>
      <c r="J28" s="294">
        <f>'WPB-2.1.C Plant Detail'!O3222</f>
        <v>1197848.1900000013</v>
      </c>
      <c r="K28" s="294">
        <f>'WPB-2.1.C Plant Detail'!O3336</f>
        <v>1200292.1900000013</v>
      </c>
      <c r="L28" s="294">
        <f>'WPB-2.1.C Plant Detail'!O3450</f>
        <v>1202736.1900000013</v>
      </c>
      <c r="M28" s="294">
        <f>'WPB-2.1.C Plant Detail'!O3564</f>
        <v>1205180.1900000013</v>
      </c>
      <c r="N28" s="294">
        <f>'WPB-2.1.C Plant Detail'!O3678</f>
        <v>1207624.1900000013</v>
      </c>
      <c r="O28" s="294">
        <f>'WPB-2.1.C Plant Detail'!O3792</f>
        <v>1210068.1900000013</v>
      </c>
      <c r="P28" s="294">
        <f>'WPB-2.1.C Plant Detail'!O3906</f>
        <v>1212512.1900000013</v>
      </c>
      <c r="Q28" s="294">
        <f>'WPB-2.1.C Plant Detail'!O4020</f>
        <v>1214956.1900000013</v>
      </c>
      <c r="R28" s="294">
        <f t="shared" si="4"/>
        <v>1200292.1900000013</v>
      </c>
    </row>
    <row r="29" spans="1:18">
      <c r="A29" s="291">
        <f t="shared" si="3"/>
        <v>14</v>
      </c>
      <c r="C29" s="293">
        <v>375.2</v>
      </c>
      <c r="D29" s="220" t="s">
        <v>386</v>
      </c>
      <c r="E29" s="294">
        <f>'WPB-2.1.C Plant Detail'!O2653</f>
        <v>2103.3000000000002</v>
      </c>
      <c r="F29" s="294">
        <f>'WPB-2.1.C Plant Detail'!O2767</f>
        <v>2107.3000000000002</v>
      </c>
      <c r="G29" s="294">
        <f>'WPB-2.1.C Plant Detail'!O2881</f>
        <v>2111.3000000000002</v>
      </c>
      <c r="H29" s="294">
        <f>'WPB-2.1.C Plant Detail'!O2995</f>
        <v>2115.3000000000002</v>
      </c>
      <c r="I29" s="294">
        <f>'WPB-2.1.C Plant Detail'!O3109</f>
        <v>2119.3000000000002</v>
      </c>
      <c r="J29" s="294">
        <f>'WPB-2.1.C Plant Detail'!O3223</f>
        <v>2123.3000000000002</v>
      </c>
      <c r="K29" s="294">
        <f>'WPB-2.1.C Plant Detail'!O3337</f>
        <v>2127.3000000000002</v>
      </c>
      <c r="L29" s="294">
        <f>'WPB-2.1.C Plant Detail'!O3451</f>
        <v>2131.3000000000002</v>
      </c>
      <c r="M29" s="294">
        <f>'WPB-2.1.C Plant Detail'!O3565</f>
        <v>2135.3000000000002</v>
      </c>
      <c r="N29" s="294">
        <f>'WPB-2.1.C Plant Detail'!O3679</f>
        <v>2139.3000000000002</v>
      </c>
      <c r="O29" s="294">
        <f>'WPB-2.1.C Plant Detail'!O3793</f>
        <v>2143.3000000000002</v>
      </c>
      <c r="P29" s="294">
        <f>'WPB-2.1.C Plant Detail'!O3907</f>
        <v>2147.3000000000002</v>
      </c>
      <c r="Q29" s="294">
        <f>'WPB-2.1.C Plant Detail'!O4021</f>
        <v>2151.3000000000002</v>
      </c>
      <c r="R29" s="294">
        <f t="shared" si="4"/>
        <v>2127.2999999999997</v>
      </c>
    </row>
    <row r="30" spans="1:18">
      <c r="A30" s="291">
        <f t="shared" si="3"/>
        <v>15</v>
      </c>
      <c r="C30" s="293">
        <v>375.3</v>
      </c>
      <c r="D30" s="220" t="s">
        <v>387</v>
      </c>
      <c r="E30" s="294">
        <f>'WPB-2.1.C Plant Detail'!O2654</f>
        <v>-77.66</v>
      </c>
      <c r="F30" s="294">
        <f>'WPB-2.1.C Plant Detail'!O2768</f>
        <v>-77.66</v>
      </c>
      <c r="G30" s="294">
        <f>'WPB-2.1.C Plant Detail'!O2882</f>
        <v>-77.66</v>
      </c>
      <c r="H30" s="294">
        <f>'WPB-2.1.C Plant Detail'!O2996</f>
        <v>-77.66</v>
      </c>
      <c r="I30" s="294">
        <f>'WPB-2.1.C Plant Detail'!O3110</f>
        <v>-77.66</v>
      </c>
      <c r="J30" s="294">
        <f>'WPB-2.1.C Plant Detail'!O3224</f>
        <v>-77.66</v>
      </c>
      <c r="K30" s="294">
        <f>'WPB-2.1.C Plant Detail'!O3338</f>
        <v>-77.66</v>
      </c>
      <c r="L30" s="294">
        <f>'WPB-2.1.C Plant Detail'!O3452</f>
        <v>-77.66</v>
      </c>
      <c r="M30" s="294">
        <f>'WPB-2.1.C Plant Detail'!O3566</f>
        <v>-77.66</v>
      </c>
      <c r="N30" s="294">
        <f>'WPB-2.1.C Plant Detail'!O3680</f>
        <v>-77.66</v>
      </c>
      <c r="O30" s="294">
        <f>'WPB-2.1.C Plant Detail'!O3794</f>
        <v>-77.66</v>
      </c>
      <c r="P30" s="294">
        <f>'WPB-2.1.C Plant Detail'!O3908</f>
        <v>-77.66</v>
      </c>
      <c r="Q30" s="294">
        <f>'WPB-2.1.C Plant Detail'!O4022</f>
        <v>-77.66</v>
      </c>
      <c r="R30" s="294">
        <f t="shared" si="4"/>
        <v>-77.659999999999982</v>
      </c>
    </row>
    <row r="31" spans="1:18">
      <c r="A31" s="291">
        <f t="shared" si="3"/>
        <v>16</v>
      </c>
      <c r="C31" s="293">
        <v>375.4</v>
      </c>
      <c r="D31" s="220" t="s">
        <v>388</v>
      </c>
      <c r="E31" s="294">
        <f>'WPB-2.1.C Plant Detail'!O2655</f>
        <v>428476.03000000014</v>
      </c>
      <c r="F31" s="294">
        <f>'WPB-2.1.C Plant Detail'!O2769</f>
        <v>388748.49000000017</v>
      </c>
      <c r="G31" s="294">
        <f>'WPB-2.1.C Plant Detail'!O2883</f>
        <v>393671.50000000017</v>
      </c>
      <c r="H31" s="294">
        <f>'WPB-2.1.C Plant Detail'!O2997</f>
        <v>275355.75000000017</v>
      </c>
      <c r="I31" s="294">
        <f>'WPB-2.1.C Plant Detail'!O3111</f>
        <v>273190.99000000017</v>
      </c>
      <c r="J31" s="294">
        <f>'WPB-2.1.C Plant Detail'!O3225</f>
        <v>40938.810000000172</v>
      </c>
      <c r="K31" s="294">
        <f>'WPB-2.1.C Plant Detail'!O3339</f>
        <v>49141.810000000172</v>
      </c>
      <c r="L31" s="294">
        <f>'WPB-2.1.C Plant Detail'!O3453</f>
        <v>35330.400000000169</v>
      </c>
      <c r="M31" s="294">
        <f>'WPB-2.1.C Plant Detail'!O3567</f>
        <v>43862.400000000169</v>
      </c>
      <c r="N31" s="294">
        <f>'WPB-2.1.C Plant Detail'!O3681</f>
        <v>46452.510000000169</v>
      </c>
      <c r="O31" s="294">
        <f>'WPB-2.1.C Plant Detail'!O3795</f>
        <v>53796.080000000169</v>
      </c>
      <c r="P31" s="294">
        <f>'WPB-2.1.C Plant Detail'!O3909</f>
        <v>32596.570000000171</v>
      </c>
      <c r="Q31" s="294">
        <f>'WPB-2.1.C Plant Detail'!O4023</f>
        <v>-138002.77999999985</v>
      </c>
      <c r="R31" s="294">
        <f t="shared" si="4"/>
        <v>147966.04307692323</v>
      </c>
    </row>
    <row r="32" spans="1:18">
      <c r="A32" s="291">
        <f t="shared" si="3"/>
        <v>17</v>
      </c>
      <c r="C32" s="293">
        <v>375.6</v>
      </c>
      <c r="D32" s="220" t="s">
        <v>389</v>
      </c>
      <c r="E32" s="294">
        <f>'WPB-2.1.C Plant Detail'!O2656</f>
        <v>0.02</v>
      </c>
      <c r="F32" s="294">
        <f>'WPB-2.1.C Plant Detail'!O2770</f>
        <v>0.02</v>
      </c>
      <c r="G32" s="294">
        <f>'WPB-2.1.C Plant Detail'!O2884</f>
        <v>0.02</v>
      </c>
      <c r="H32" s="294">
        <f>'WPB-2.1.C Plant Detail'!O2998</f>
        <v>0.02</v>
      </c>
      <c r="I32" s="294">
        <f>'WPB-2.1.C Plant Detail'!O3112</f>
        <v>0.02</v>
      </c>
      <c r="J32" s="294">
        <f>'WPB-2.1.C Plant Detail'!O3226</f>
        <v>0.02</v>
      </c>
      <c r="K32" s="294">
        <f>'WPB-2.1.C Plant Detail'!O3340</f>
        <v>0.02</v>
      </c>
      <c r="L32" s="294">
        <f>'WPB-2.1.C Plant Detail'!O3454</f>
        <v>0.02</v>
      </c>
      <c r="M32" s="294">
        <f>'WPB-2.1.C Plant Detail'!O3568</f>
        <v>0.02</v>
      </c>
      <c r="N32" s="294">
        <f>'WPB-2.1.C Plant Detail'!O3682</f>
        <v>0.02</v>
      </c>
      <c r="O32" s="294">
        <f>'WPB-2.1.C Plant Detail'!O3796</f>
        <v>0.02</v>
      </c>
      <c r="P32" s="294">
        <f>'WPB-2.1.C Plant Detail'!O3910</f>
        <v>0.02</v>
      </c>
      <c r="Q32" s="294">
        <f>'WPB-2.1.C Plant Detail'!O4024</f>
        <v>0.02</v>
      </c>
      <c r="R32" s="294">
        <f t="shared" si="4"/>
        <v>1.9999999999999997E-2</v>
      </c>
    </row>
    <row r="33" spans="1:18">
      <c r="A33" s="291">
        <f t="shared" si="3"/>
        <v>18</v>
      </c>
      <c r="C33" s="293">
        <v>375.7</v>
      </c>
      <c r="D33" s="220" t="s">
        <v>390</v>
      </c>
      <c r="E33" s="294">
        <f>'WPB-2.1.C Plant Detail'!O2657</f>
        <v>4911266.3899999987</v>
      </c>
      <c r="F33" s="294">
        <f>'WPB-2.1.C Plant Detail'!O2771</f>
        <v>4931531.3899999987</v>
      </c>
      <c r="G33" s="294">
        <f>'WPB-2.1.C Plant Detail'!O2885</f>
        <v>4951812.3899999987</v>
      </c>
      <c r="H33" s="294">
        <f>'WPB-2.1.C Plant Detail'!O2999</f>
        <v>4972106.4499999983</v>
      </c>
      <c r="I33" s="294">
        <f>'WPB-2.1.C Plant Detail'!O3113</f>
        <v>4990624.8699999982</v>
      </c>
      <c r="J33" s="294">
        <f>'WPB-2.1.C Plant Detail'!O3227</f>
        <v>5010920.8699999982</v>
      </c>
      <c r="K33" s="294">
        <f>'WPB-2.1.C Plant Detail'!O3341</f>
        <v>5031216.8699999982</v>
      </c>
      <c r="L33" s="294">
        <f>'WPB-2.1.C Plant Detail'!O3455</f>
        <v>5051514.8699999982</v>
      </c>
      <c r="M33" s="294">
        <f>'WPB-2.1.C Plant Detail'!O3569</f>
        <v>5071884.8699999982</v>
      </c>
      <c r="N33" s="294">
        <f>'WPB-2.1.C Plant Detail'!O3683</f>
        <v>5092347.8699999982</v>
      </c>
      <c r="O33" s="294">
        <f>'WPB-2.1.C Plant Detail'!O3797</f>
        <v>5112841.8699999982</v>
      </c>
      <c r="P33" s="294">
        <f>'WPB-2.1.C Plant Detail'!O3911</f>
        <v>5133286.3199999984</v>
      </c>
      <c r="Q33" s="294">
        <f>'WPB-2.1.C Plant Detail'!O4025</f>
        <v>5152855.6499999985</v>
      </c>
      <c r="R33" s="294">
        <f t="shared" si="4"/>
        <v>5031862.3599999985</v>
      </c>
    </row>
    <row r="34" spans="1:18">
      <c r="A34" s="291">
        <f t="shared" si="3"/>
        <v>19</v>
      </c>
      <c r="C34" s="293">
        <v>375.71</v>
      </c>
      <c r="D34" s="220" t="s">
        <v>391</v>
      </c>
      <c r="E34" s="294">
        <f>'WPB-2.1.C Plant Detail'!O2658</f>
        <v>815885.60000000079</v>
      </c>
      <c r="F34" s="294">
        <f>'WPB-2.1.C Plant Detail'!O2772</f>
        <v>820629.14000000083</v>
      </c>
      <c r="G34" s="294">
        <f>'WPB-2.1.C Plant Detail'!O2886</f>
        <v>825372.68000000087</v>
      </c>
      <c r="H34" s="294">
        <f>'WPB-2.1.C Plant Detail'!O3000</f>
        <v>830116.2200000009</v>
      </c>
      <c r="I34" s="294">
        <f>'WPB-2.1.C Plant Detail'!O3114</f>
        <v>834859.76000000094</v>
      </c>
      <c r="J34" s="294">
        <f>'WPB-2.1.C Plant Detail'!O3228</f>
        <v>839603.30000000098</v>
      </c>
      <c r="K34" s="294">
        <f>'WPB-2.1.C Plant Detail'!O3342</f>
        <v>844346.84000000102</v>
      </c>
      <c r="L34" s="294">
        <f>'WPB-2.1.C Plant Detail'!O3456</f>
        <v>849090.38000000105</v>
      </c>
      <c r="M34" s="294">
        <f>'WPB-2.1.C Plant Detail'!O3570</f>
        <v>853833.92000000109</v>
      </c>
      <c r="N34" s="294">
        <f>'WPB-2.1.C Plant Detail'!O3684</f>
        <v>858577.46000000113</v>
      </c>
      <c r="O34" s="294">
        <f>'WPB-2.1.C Plant Detail'!O3798</f>
        <v>863321.00000000116</v>
      </c>
      <c r="P34" s="294">
        <f>'WPB-2.1.C Plant Detail'!O3912</f>
        <v>868064.5400000012</v>
      </c>
      <c r="Q34" s="294">
        <f>'WPB-2.1.C Plant Detail'!O4026</f>
        <v>872808.08000000124</v>
      </c>
      <c r="R34" s="294">
        <f t="shared" si="4"/>
        <v>844346.84000000102</v>
      </c>
    </row>
    <row r="35" spans="1:18">
      <c r="A35" s="291">
        <f t="shared" si="3"/>
        <v>20</v>
      </c>
      <c r="C35" s="293">
        <v>375.8</v>
      </c>
      <c r="D35" s="220" t="s">
        <v>392</v>
      </c>
      <c r="E35" s="294">
        <f>'WPB-2.1.C Plant Detail'!O2659</f>
        <v>14548.43</v>
      </c>
      <c r="F35" s="294">
        <f>'WPB-2.1.C Plant Detail'!O2773</f>
        <v>14780.43</v>
      </c>
      <c r="G35" s="294">
        <f>'WPB-2.1.C Plant Detail'!O2887</f>
        <v>15012.43</v>
      </c>
      <c r="H35" s="294">
        <f>'WPB-2.1.C Plant Detail'!O3001</f>
        <v>15244.43</v>
      </c>
      <c r="I35" s="294">
        <f>'WPB-2.1.C Plant Detail'!O3115</f>
        <v>15476.43</v>
      </c>
      <c r="J35" s="294">
        <f>'WPB-2.1.C Plant Detail'!O3229</f>
        <v>15708.43</v>
      </c>
      <c r="K35" s="294">
        <f>'WPB-2.1.C Plant Detail'!O3343</f>
        <v>15940.43</v>
      </c>
      <c r="L35" s="294">
        <f>'WPB-2.1.C Plant Detail'!O3457</f>
        <v>16172.43</v>
      </c>
      <c r="M35" s="294">
        <f>'WPB-2.1.C Plant Detail'!O3571</f>
        <v>16404.43</v>
      </c>
      <c r="N35" s="294">
        <f>'WPB-2.1.C Plant Detail'!O3685</f>
        <v>16636.43</v>
      </c>
      <c r="O35" s="294">
        <f>'WPB-2.1.C Plant Detail'!O3799</f>
        <v>16868.43</v>
      </c>
      <c r="P35" s="294">
        <f>'WPB-2.1.C Plant Detail'!O3913</f>
        <v>17100.43</v>
      </c>
      <c r="Q35" s="294">
        <f>'WPB-2.1.C Plant Detail'!O4027</f>
        <v>17332.43</v>
      </c>
      <c r="R35" s="294">
        <f t="shared" si="4"/>
        <v>15940.429999999995</v>
      </c>
    </row>
    <row r="36" spans="1:18">
      <c r="A36" s="291">
        <f t="shared" si="3"/>
        <v>21</v>
      </c>
      <c r="C36" s="293">
        <v>376</v>
      </c>
      <c r="D36" s="220" t="s">
        <v>1582</v>
      </c>
      <c r="E36" s="294">
        <f>'WPB-2.1.C Plant Detail'!O2660</f>
        <v>86228243.744077682</v>
      </c>
      <c r="F36" s="294">
        <f>'WPB-2.1.C Plant Detail'!O2774</f>
        <v>86810883.680743515</v>
      </c>
      <c r="G36" s="294">
        <f>'WPB-2.1.C Plant Detail'!O2888</f>
        <v>87370186.143293232</v>
      </c>
      <c r="H36" s="294">
        <f>'WPB-2.1.C Plant Detail'!O3002</f>
        <v>87971137.525275961</v>
      </c>
      <c r="I36" s="294">
        <f>'WPB-2.1.C Plant Detail'!O3116</f>
        <v>88522569.457709178</v>
      </c>
      <c r="J36" s="294">
        <f>'WPB-2.1.C Plant Detail'!O3230</f>
        <v>89086528.751210779</v>
      </c>
      <c r="K36" s="294">
        <f>'WPB-2.1.C Plant Detail'!O3344</f>
        <v>89659466.683721811</v>
      </c>
      <c r="L36" s="294">
        <f>'WPB-2.1.C Plant Detail'!O3458</f>
        <v>90240498.980854318</v>
      </c>
      <c r="M36" s="294">
        <f>'WPB-2.1.C Plant Detail'!O3572</f>
        <v>90836663.726838619</v>
      </c>
      <c r="N36" s="294">
        <f>'WPB-2.1.C Plant Detail'!O3686</f>
        <v>91393013.103291363</v>
      </c>
      <c r="O36" s="294">
        <f>'WPB-2.1.C Plant Detail'!O3800</f>
        <v>91954103.890936121</v>
      </c>
      <c r="P36" s="294">
        <f>'WPB-2.1.C Plant Detail'!O3914</f>
        <v>92449835.022901356</v>
      </c>
      <c r="Q36" s="294">
        <f>'WPB-2.1.C Plant Detail'!O4028</f>
        <v>92820059.552901357</v>
      </c>
      <c r="R36" s="294">
        <f t="shared" si="4"/>
        <v>89641783.866442695</v>
      </c>
    </row>
    <row r="37" spans="1:18">
      <c r="A37" s="291">
        <f t="shared" si="3"/>
        <v>22</v>
      </c>
      <c r="C37" s="293">
        <v>378.1</v>
      </c>
      <c r="D37" s="220" t="s">
        <v>394</v>
      </c>
      <c r="E37" s="294">
        <f>'WPB-2.1.C Plant Detail'!O2661</f>
        <v>-327619.52000000008</v>
      </c>
      <c r="F37" s="294">
        <f>'WPB-2.1.C Plant Detail'!O2775</f>
        <v>-328094.52000000008</v>
      </c>
      <c r="G37" s="294">
        <f>'WPB-2.1.C Plant Detail'!O2889</f>
        <v>-328569.52000000008</v>
      </c>
      <c r="H37" s="294">
        <f>'WPB-2.1.C Plant Detail'!O3003</f>
        <v>-329044.52000000008</v>
      </c>
      <c r="I37" s="294">
        <f>'WPB-2.1.C Plant Detail'!O3117</f>
        <v>-329519.52000000008</v>
      </c>
      <c r="J37" s="294">
        <f>'WPB-2.1.C Plant Detail'!O3231</f>
        <v>-329994.52000000008</v>
      </c>
      <c r="K37" s="294">
        <f>'WPB-2.1.C Plant Detail'!O3345</f>
        <v>-330469.52000000008</v>
      </c>
      <c r="L37" s="294">
        <f>'WPB-2.1.C Plant Detail'!O3459</f>
        <v>-330944.52000000008</v>
      </c>
      <c r="M37" s="294">
        <f>'WPB-2.1.C Plant Detail'!O3573</f>
        <v>-331419.52000000008</v>
      </c>
      <c r="N37" s="294">
        <f>'WPB-2.1.C Plant Detail'!O3687</f>
        <v>-331894.52000000008</v>
      </c>
      <c r="O37" s="294">
        <f>'WPB-2.1.C Plant Detail'!O3801</f>
        <v>-332369.52000000008</v>
      </c>
      <c r="P37" s="294">
        <f>'WPB-2.1.C Plant Detail'!O3915</f>
        <v>-332844.52000000008</v>
      </c>
      <c r="Q37" s="294">
        <f>'WPB-2.1.C Plant Detail'!O4029</f>
        <v>-333319.52000000008</v>
      </c>
      <c r="R37" s="294">
        <f t="shared" si="4"/>
        <v>-330469.52000000008</v>
      </c>
    </row>
    <row r="38" spans="1:18">
      <c r="A38" s="291">
        <f t="shared" si="3"/>
        <v>23</v>
      </c>
      <c r="C38" s="293">
        <v>378.2</v>
      </c>
      <c r="D38" s="220" t="s">
        <v>1583</v>
      </c>
      <c r="E38" s="294">
        <f>'WPB-2.1.C Plant Detail'!O2662</f>
        <v>3770962.3675411595</v>
      </c>
      <c r="F38" s="294">
        <f>'WPB-2.1.C Plant Detail'!O2776</f>
        <v>3380065.6772169597</v>
      </c>
      <c r="G38" s="294">
        <f>'WPB-2.1.C Plant Detail'!O2890</f>
        <v>3451260.0796478791</v>
      </c>
      <c r="H38" s="294">
        <f>'WPB-2.1.C Plant Detail'!O3004</f>
        <v>3298611.2375726416</v>
      </c>
      <c r="I38" s="294">
        <f>'WPB-2.1.C Plant Detail'!O3118</f>
        <v>3215971.8709178665</v>
      </c>
      <c r="J38" s="294">
        <f>'WPB-2.1.C Plant Detail'!O3232</f>
        <v>3296036.4809178663</v>
      </c>
      <c r="K38" s="294">
        <f>'WPB-2.1.C Plant Detail'!O3346</f>
        <v>3370398.0950729675</v>
      </c>
      <c r="L38" s="294">
        <f>'WPB-2.1.C Plant Detail'!O3460</f>
        <v>3454039.7050729673</v>
      </c>
      <c r="M38" s="294">
        <f>'WPB-2.1.C Plant Detail'!O3574</f>
        <v>3160444.9275375218</v>
      </c>
      <c r="N38" s="294">
        <f>'WPB-2.1.C Plant Detail'!O3688</f>
        <v>3245830.5375375217</v>
      </c>
      <c r="O38" s="294">
        <f>'WPB-2.1.C Plant Detail'!O3802</f>
        <v>3318862.806110899</v>
      </c>
      <c r="P38" s="294">
        <f>'WPB-2.1.C Plant Detail'!O3916</f>
        <v>2874037.7843852714</v>
      </c>
      <c r="Q38" s="294">
        <f>'WPB-2.1.C Plant Detail'!O4030</f>
        <v>2875103.2669150694</v>
      </c>
      <c r="R38" s="294">
        <f t="shared" si="4"/>
        <v>3285509.6028035837</v>
      </c>
    </row>
    <row r="39" spans="1:18">
      <c r="A39" s="291">
        <f t="shared" si="3"/>
        <v>24</v>
      </c>
      <c r="C39" s="293">
        <v>378.3</v>
      </c>
      <c r="D39" s="220" t="s">
        <v>396</v>
      </c>
      <c r="E39" s="294">
        <f>'WPB-2.1.C Plant Detail'!O2663</f>
        <v>44308.320000000007</v>
      </c>
      <c r="F39" s="294">
        <f>'WPB-2.1.C Plant Detail'!O2777</f>
        <v>44433.320000000007</v>
      </c>
      <c r="G39" s="294">
        <f>'WPB-2.1.C Plant Detail'!O2891</f>
        <v>44558.320000000007</v>
      </c>
      <c r="H39" s="294">
        <f>'WPB-2.1.C Plant Detail'!O3005</f>
        <v>44683.320000000007</v>
      </c>
      <c r="I39" s="294">
        <f>'WPB-2.1.C Plant Detail'!O3119</f>
        <v>44808.320000000007</v>
      </c>
      <c r="J39" s="294">
        <f>'WPB-2.1.C Plant Detail'!O3233</f>
        <v>44933.320000000007</v>
      </c>
      <c r="K39" s="294">
        <f>'WPB-2.1.C Plant Detail'!O3347</f>
        <v>45058.320000000007</v>
      </c>
      <c r="L39" s="294">
        <f>'WPB-2.1.C Plant Detail'!O3461</f>
        <v>45183.320000000007</v>
      </c>
      <c r="M39" s="294">
        <f>'WPB-2.1.C Plant Detail'!O3575</f>
        <v>45308.320000000007</v>
      </c>
      <c r="N39" s="294">
        <f>'WPB-2.1.C Plant Detail'!O3689</f>
        <v>45433.320000000007</v>
      </c>
      <c r="O39" s="294">
        <f>'WPB-2.1.C Plant Detail'!O3803</f>
        <v>45558.320000000007</v>
      </c>
      <c r="P39" s="294">
        <f>'WPB-2.1.C Plant Detail'!O3917</f>
        <v>45683.320000000007</v>
      </c>
      <c r="Q39" s="294">
        <f>'WPB-2.1.C Plant Detail'!O4031</f>
        <v>45808.320000000007</v>
      </c>
      <c r="R39" s="294">
        <f t="shared" si="4"/>
        <v>45058.320000000014</v>
      </c>
    </row>
    <row r="40" spans="1:18">
      <c r="A40" s="291">
        <f t="shared" si="3"/>
        <v>25</v>
      </c>
      <c r="C40" s="293">
        <v>379.1</v>
      </c>
      <c r="D40" s="220" t="s">
        <v>397</v>
      </c>
      <c r="E40" s="294">
        <f>'WPB-2.1.C Plant Detail'!O2664</f>
        <v>388993.19000000006</v>
      </c>
      <c r="F40" s="294">
        <f>'WPB-2.1.C Plant Detail'!O2778</f>
        <v>392283.19000000006</v>
      </c>
      <c r="G40" s="294">
        <f>'WPB-2.1.C Plant Detail'!O2892</f>
        <v>395573.19000000006</v>
      </c>
      <c r="H40" s="294">
        <f>'WPB-2.1.C Plant Detail'!O3006</f>
        <v>398863.19000000006</v>
      </c>
      <c r="I40" s="294">
        <f>'WPB-2.1.C Plant Detail'!O3120</f>
        <v>402153.19000000006</v>
      </c>
      <c r="J40" s="294">
        <f>'WPB-2.1.C Plant Detail'!O3234</f>
        <v>405443.19000000006</v>
      </c>
      <c r="K40" s="294">
        <f>'WPB-2.1.C Plant Detail'!O3348</f>
        <v>408733.19000000006</v>
      </c>
      <c r="L40" s="294">
        <f>'WPB-2.1.C Plant Detail'!O3462</f>
        <v>412023.19000000006</v>
      </c>
      <c r="M40" s="294">
        <f>'WPB-2.1.C Plant Detail'!O3576</f>
        <v>415313.19000000006</v>
      </c>
      <c r="N40" s="294">
        <f>'WPB-2.1.C Plant Detail'!O3690</f>
        <v>418603.19000000006</v>
      </c>
      <c r="O40" s="294">
        <f>'WPB-2.1.C Plant Detail'!O3804</f>
        <v>421893.19000000006</v>
      </c>
      <c r="P40" s="294">
        <f>'WPB-2.1.C Plant Detail'!O3918</f>
        <v>425183.19000000006</v>
      </c>
      <c r="Q40" s="294">
        <f>'WPB-2.1.C Plant Detail'!O4032</f>
        <v>428473.19000000006</v>
      </c>
      <c r="R40" s="294">
        <f t="shared" si="4"/>
        <v>408733.19000000006</v>
      </c>
    </row>
    <row r="41" spans="1:18">
      <c r="A41" s="291">
        <f t="shared" si="3"/>
        <v>26</v>
      </c>
      <c r="C41" s="293">
        <v>380</v>
      </c>
      <c r="D41" s="220" t="s">
        <v>1584</v>
      </c>
      <c r="E41" s="294">
        <f>'WPB-2.1.C Plant Detail'!O2665</f>
        <v>66522218.098316893</v>
      </c>
      <c r="F41" s="294">
        <f>'WPB-2.1.C Plant Detail'!O2779</f>
        <v>67260589.902345061</v>
      </c>
      <c r="G41" s="294">
        <f>'WPB-2.1.C Plant Detail'!O2893</f>
        <v>68079810.770304605</v>
      </c>
      <c r="H41" s="294">
        <f>'WPB-2.1.C Plant Detail'!O3007</f>
        <v>68892377.721673176</v>
      </c>
      <c r="I41" s="294">
        <f>'WPB-2.1.C Plant Detail'!O3121</f>
        <v>69687655.739418983</v>
      </c>
      <c r="J41" s="294">
        <f>'WPB-2.1.C Plant Detail'!O3235</f>
        <v>70482640.795395389</v>
      </c>
      <c r="K41" s="294">
        <f>'WPB-2.1.C Plant Detail'!O3349</f>
        <v>71281062.575055569</v>
      </c>
      <c r="L41" s="294">
        <f>'WPB-2.1.C Plant Detail'!O3463</f>
        <v>72086390.601261035</v>
      </c>
      <c r="M41" s="294">
        <f>'WPB-2.1.C Plant Detail'!O3577</f>
        <v>72900900.236462623</v>
      </c>
      <c r="N41" s="294">
        <f>'WPB-2.1.C Plant Detail'!O3691</f>
        <v>73713359.044157729</v>
      </c>
      <c r="O41" s="294">
        <f>'WPB-2.1.C Plant Detail'!O3805</f>
        <v>74498622.686824396</v>
      </c>
      <c r="P41" s="294">
        <f>'WPB-2.1.C Plant Detail'!O3919</f>
        <v>75274228.8952066</v>
      </c>
      <c r="Q41" s="294">
        <f>'WPB-2.1.C Plant Detail'!O4033</f>
        <v>76030192.596031204</v>
      </c>
      <c r="R41" s="294">
        <f t="shared" si="4"/>
        <v>71285388.435573325</v>
      </c>
    </row>
    <row r="42" spans="1:18">
      <c r="A42" s="291">
        <f>A41+1</f>
        <v>27</v>
      </c>
      <c r="C42" s="293">
        <v>381</v>
      </c>
      <c r="D42" s="220" t="s">
        <v>399</v>
      </c>
      <c r="E42" s="294">
        <f>'WPB-2.1.C Plant Detail'!O2666</f>
        <v>1848454.7399999995</v>
      </c>
      <c r="F42" s="294">
        <f>'WPB-2.1.C Plant Detail'!O2780</f>
        <v>1903438.5799999996</v>
      </c>
      <c r="G42" s="294">
        <f>'WPB-2.1.C Plant Detail'!O2894</f>
        <v>1965558.5799999996</v>
      </c>
      <c r="H42" s="294">
        <f>'WPB-2.1.C Plant Detail'!O3008</f>
        <v>1993236.8099999996</v>
      </c>
      <c r="I42" s="294">
        <f>'WPB-2.1.C Plant Detail'!O3122</f>
        <v>1787276.6699999995</v>
      </c>
      <c r="J42" s="294">
        <f>'WPB-2.1.C Plant Detail'!O3236</f>
        <v>1820075.4899999995</v>
      </c>
      <c r="K42" s="294">
        <f>'WPB-2.1.C Plant Detail'!O3350</f>
        <v>1858745.6299999994</v>
      </c>
      <c r="L42" s="294">
        <f>'WPB-2.1.C Plant Detail'!O3464</f>
        <v>1899364.8799999994</v>
      </c>
      <c r="M42" s="294">
        <f>'WPB-2.1.C Plant Detail'!O3578</f>
        <v>1939221.8899999994</v>
      </c>
      <c r="N42" s="294">
        <f>'WPB-2.1.C Plant Detail'!O3692</f>
        <v>1984851.7199999995</v>
      </c>
      <c r="O42" s="294">
        <f>'WPB-2.1.C Plant Detail'!O3806</f>
        <v>2028073.2299999995</v>
      </c>
      <c r="P42" s="294">
        <f>'WPB-2.1.C Plant Detail'!O3920</f>
        <v>2066873.4099999995</v>
      </c>
      <c r="Q42" s="294">
        <f>'WPB-2.1.C Plant Detail'!O4034</f>
        <v>2119615.3099999996</v>
      </c>
      <c r="R42" s="294">
        <f t="shared" ref="R42:R53" si="5">AVERAGE(E42:Q42)</f>
        <v>1939598.9953846149</v>
      </c>
    </row>
    <row r="43" spans="1:18">
      <c r="A43" s="291">
        <f>A42+1</f>
        <v>28</v>
      </c>
      <c r="C43" s="293">
        <v>381.1</v>
      </c>
      <c r="D43" s="220" t="s">
        <v>2366</v>
      </c>
      <c r="E43" s="294">
        <f>'WPB-2.1.C Plant Detail'!O2667</f>
        <v>6107667.0300000031</v>
      </c>
      <c r="F43" s="294">
        <f>'WPB-2.1.C Plant Detail'!O2781</f>
        <v>6164142.0300000031</v>
      </c>
      <c r="G43" s="294">
        <f>'WPB-2.1.C Plant Detail'!O2895</f>
        <v>6220617.0300000031</v>
      </c>
      <c r="H43" s="294">
        <f>'WPB-2.1.C Plant Detail'!O3009</f>
        <v>6277092.0300000031</v>
      </c>
      <c r="I43" s="294">
        <f>'WPB-2.1.C Plant Detail'!O3123</f>
        <v>6333567.0300000031</v>
      </c>
      <c r="J43" s="294">
        <f>'WPB-2.1.C Plant Detail'!O3237</f>
        <v>6390042.0300000031</v>
      </c>
      <c r="K43" s="294">
        <f>'WPB-2.1.C Plant Detail'!O3351</f>
        <v>6446517.0300000031</v>
      </c>
      <c r="L43" s="294">
        <f>'WPB-2.1.C Plant Detail'!O3465</f>
        <v>6502992.0300000031</v>
      </c>
      <c r="M43" s="294">
        <f>'WPB-2.1.C Plant Detail'!O3579</f>
        <v>6559467.0300000031</v>
      </c>
      <c r="N43" s="294">
        <f>'WPB-2.1.C Plant Detail'!O3693</f>
        <v>6615942.0300000031</v>
      </c>
      <c r="O43" s="294">
        <f>'WPB-2.1.C Plant Detail'!O3807</f>
        <v>6672417.0300000031</v>
      </c>
      <c r="P43" s="294">
        <f>'WPB-2.1.C Plant Detail'!O3921</f>
        <v>6728892.0300000031</v>
      </c>
      <c r="Q43" s="294">
        <f>'WPB-2.1.C Plant Detail'!O4035</f>
        <v>6785367.0300000031</v>
      </c>
      <c r="R43" s="294">
        <f t="shared" si="5"/>
        <v>6446517.0300000021</v>
      </c>
    </row>
    <row r="44" spans="1:18">
      <c r="A44" s="291">
        <f t="shared" ref="A44:A55" si="6">A43+1</f>
        <v>29</v>
      </c>
      <c r="C44" s="293">
        <v>382</v>
      </c>
      <c r="D44" s="220" t="s">
        <v>1585</v>
      </c>
      <c r="E44" s="294">
        <f>'WPB-2.1.C Plant Detail'!O2668</f>
        <v>6015736.8906416874</v>
      </c>
      <c r="F44" s="294">
        <f>'WPB-2.1.C Plant Detail'!O2782</f>
        <v>6035433.3347091861</v>
      </c>
      <c r="G44" s="294">
        <f>'WPB-2.1.C Plant Detail'!O2896</f>
        <v>6054957.4692783253</v>
      </c>
      <c r="H44" s="294">
        <f>'WPB-2.1.C Plant Detail'!O3010</f>
        <v>6074214.7850232003</v>
      </c>
      <c r="I44" s="294">
        <f>'WPB-2.1.C Plant Detail'!O3124</f>
        <v>6092791.2451895606</v>
      </c>
      <c r="J44" s="294">
        <f>'WPB-2.1.C Plant Detail'!O3238</f>
        <v>6111555.6411087932</v>
      </c>
      <c r="K44" s="294">
        <f>'WPB-2.1.C Plant Detail'!O3352</f>
        <v>6130059.6755599175</v>
      </c>
      <c r="L44" s="294">
        <f>'WPB-2.1.C Plant Detail'!O3466</f>
        <v>6148638.6403017212</v>
      </c>
      <c r="M44" s="294">
        <f>'WPB-2.1.C Plant Detail'!O3580</f>
        <v>6166458.2430849215</v>
      </c>
      <c r="N44" s="294">
        <f>'WPB-2.1.C Plant Detail'!O3694</f>
        <v>6184962.1924971258</v>
      </c>
      <c r="O44" s="294">
        <f>'WPB-2.1.C Plant Detail'!O3808</f>
        <v>6203674.6504323101</v>
      </c>
      <c r="P44" s="294">
        <f>'WPB-2.1.C Plant Detail'!O3922</f>
        <v>6222030.8728266098</v>
      </c>
      <c r="Q44" s="294">
        <f>'WPB-2.1.C Plant Detail'!O4036</f>
        <v>6241744.3113456862</v>
      </c>
      <c r="R44" s="294">
        <f t="shared" si="5"/>
        <v>6129404.45784608</v>
      </c>
    </row>
    <row r="45" spans="1:18">
      <c r="A45" s="291">
        <f t="shared" si="6"/>
        <v>30</v>
      </c>
      <c r="C45" s="293">
        <v>383</v>
      </c>
      <c r="D45" s="220" t="s">
        <v>1586</v>
      </c>
      <c r="E45" s="294">
        <f>'WPB-2.1.C Plant Detail'!O2669</f>
        <v>2625804.9004284991</v>
      </c>
      <c r="F45" s="294">
        <f>'WPB-2.1.C Plant Detail'!O2783</f>
        <v>2639484.512363391</v>
      </c>
      <c r="G45" s="294">
        <f>'WPB-2.1.C Plant Detail'!O2897</f>
        <v>2653384.0677891672</v>
      </c>
      <c r="H45" s="294">
        <f>'WPB-2.1.C Plant Detail'!O3011</f>
        <v>2667293.1355287191</v>
      </c>
      <c r="I45" s="294">
        <f>'WPB-2.1.C Plant Detail'!O3125</f>
        <v>2681215.383995675</v>
      </c>
      <c r="J45" s="294">
        <f>'WPB-2.1.C Plant Detail'!O3239</f>
        <v>2694956.8890738226</v>
      </c>
      <c r="K45" s="294">
        <f>'WPB-2.1.C Plant Detail'!O3353</f>
        <v>2708741.8380081826</v>
      </c>
      <c r="L45" s="294">
        <f>'WPB-2.1.C Plant Detail'!O3467</f>
        <v>2721293.4254167718</v>
      </c>
      <c r="M45" s="294">
        <f>'WPB-2.1.C Plant Detail'!O3581</f>
        <v>2735134.340510888</v>
      </c>
      <c r="N45" s="294">
        <f>'WPB-2.1.C Plant Detail'!O3695</f>
        <v>2748765.158863978</v>
      </c>
      <c r="O45" s="294">
        <f>'WPB-2.1.C Plant Detail'!O3809</f>
        <v>2762524.2490077498</v>
      </c>
      <c r="P45" s="294">
        <f>'WPB-2.1.C Plant Detail'!O3923</f>
        <v>2775924.9660703042</v>
      </c>
      <c r="Q45" s="294">
        <f>'WPB-2.1.C Plant Detail'!O4037</f>
        <v>2790171.9761325005</v>
      </c>
      <c r="R45" s="294">
        <f t="shared" si="5"/>
        <v>2708053.449476127</v>
      </c>
    </row>
    <row r="46" spans="1:18">
      <c r="A46" s="291">
        <f t="shared" si="6"/>
        <v>31</v>
      </c>
      <c r="C46" s="293">
        <v>384</v>
      </c>
      <c r="D46" s="220" t="s">
        <v>402</v>
      </c>
      <c r="E46" s="294">
        <f>'WPB-2.1.C Plant Detail'!O2670</f>
        <v>1748620.1399999992</v>
      </c>
      <c r="F46" s="294">
        <f>'WPB-2.1.C Plant Detail'!O2784</f>
        <v>1752078.1399999992</v>
      </c>
      <c r="G46" s="294">
        <f>'WPB-2.1.C Plant Detail'!O2898</f>
        <v>1755536.1399999992</v>
      </c>
      <c r="H46" s="294">
        <f>'WPB-2.1.C Plant Detail'!O3012</f>
        <v>1758994.1399999992</v>
      </c>
      <c r="I46" s="294">
        <f>'WPB-2.1.C Plant Detail'!O3126</f>
        <v>1762452.1399999992</v>
      </c>
      <c r="J46" s="294">
        <f>'WPB-2.1.C Plant Detail'!O3240</f>
        <v>1765910.1399999992</v>
      </c>
      <c r="K46" s="294">
        <f>'WPB-2.1.C Plant Detail'!O3354</f>
        <v>1769368.1399999992</v>
      </c>
      <c r="L46" s="294">
        <f>'WPB-2.1.C Plant Detail'!O3468</f>
        <v>1772826.1399999992</v>
      </c>
      <c r="M46" s="294">
        <f>'WPB-2.1.C Plant Detail'!O3582</f>
        <v>1776284.1399999992</v>
      </c>
      <c r="N46" s="294">
        <f>'WPB-2.1.C Plant Detail'!O3696</f>
        <v>1779742.1399999992</v>
      </c>
      <c r="O46" s="294">
        <f>'WPB-2.1.C Plant Detail'!O3810</f>
        <v>1783200.1399999992</v>
      </c>
      <c r="P46" s="294">
        <f>'WPB-2.1.C Plant Detail'!O3924</f>
        <v>1786658.1399999992</v>
      </c>
      <c r="Q46" s="294">
        <f>'WPB-2.1.C Plant Detail'!O4038</f>
        <v>1790116.1399999992</v>
      </c>
      <c r="R46" s="294">
        <f t="shared" si="5"/>
        <v>1769368.1399999994</v>
      </c>
    </row>
    <row r="47" spans="1:18">
      <c r="A47" s="291">
        <f t="shared" si="6"/>
        <v>32</v>
      </c>
      <c r="C47" s="293">
        <v>385</v>
      </c>
      <c r="D47" s="220" t="s">
        <v>403</v>
      </c>
      <c r="E47" s="294">
        <f>'WPB-2.1.C Plant Detail'!O2671</f>
        <v>860515.5299999998</v>
      </c>
      <c r="F47" s="294">
        <f>'WPB-2.1.C Plant Detail'!O2785</f>
        <v>882125.68999999971</v>
      </c>
      <c r="G47" s="294">
        <f>'WPB-2.1.C Plant Detail'!O2899</f>
        <v>908229.40999999968</v>
      </c>
      <c r="H47" s="294">
        <f>'WPB-2.1.C Plant Detail'!O3013</f>
        <v>928872.5699999996</v>
      </c>
      <c r="I47" s="294">
        <f>'WPB-2.1.C Plant Detail'!O3127</f>
        <v>935915.38999999966</v>
      </c>
      <c r="J47" s="294">
        <f>'WPB-2.1.C Plant Detail'!O3241</f>
        <v>961882.85999999975</v>
      </c>
      <c r="K47" s="294">
        <f>'WPB-2.1.C Plant Detail'!O3355</f>
        <v>975128.09999999974</v>
      </c>
      <c r="L47" s="294">
        <f>'WPB-2.1.C Plant Detail'!O3469</f>
        <v>987750.98999999976</v>
      </c>
      <c r="M47" s="294">
        <f>'WPB-2.1.C Plant Detail'!O3583</f>
        <v>1004329.1299999998</v>
      </c>
      <c r="N47" s="294">
        <f>'WPB-2.1.C Plant Detail'!O3697</f>
        <v>975556.34999999974</v>
      </c>
      <c r="O47" s="294">
        <f>'WPB-2.1.C Plant Detail'!O3811</f>
        <v>978442.4099999998</v>
      </c>
      <c r="P47" s="294">
        <f>'WPB-2.1.C Plant Detail'!O3925</f>
        <v>998836.0399999998</v>
      </c>
      <c r="Q47" s="294">
        <f>'WPB-2.1.C Plant Detail'!O4039</f>
        <v>1023159.7899999998</v>
      </c>
      <c r="R47" s="294">
        <f t="shared" si="5"/>
        <v>955441.86615384568</v>
      </c>
    </row>
    <row r="48" spans="1:18">
      <c r="A48" s="291">
        <f t="shared" si="6"/>
        <v>33</v>
      </c>
      <c r="C48" s="293">
        <v>387.2</v>
      </c>
      <c r="D48" s="220" t="s">
        <v>404</v>
      </c>
      <c r="E48" s="294">
        <f>'WPB-2.1.C Plant Detail'!O2672</f>
        <v>-59912.03</v>
      </c>
      <c r="F48" s="294">
        <f>'WPB-2.1.C Plant Detail'!O2786</f>
        <v>-59912.03</v>
      </c>
      <c r="G48" s="294">
        <f>'WPB-2.1.C Plant Detail'!O2900</f>
        <v>-59912.03</v>
      </c>
      <c r="H48" s="294">
        <f>'WPB-2.1.C Plant Detail'!O3014</f>
        <v>-59912.03</v>
      </c>
      <c r="I48" s="294">
        <f>'WPB-2.1.C Plant Detail'!O3128</f>
        <v>-59912.03</v>
      </c>
      <c r="J48" s="294">
        <f>'WPB-2.1.C Plant Detail'!O3242</f>
        <v>-59912.03</v>
      </c>
      <c r="K48" s="294">
        <f>'WPB-2.1.C Plant Detail'!O3356</f>
        <v>-59912.03</v>
      </c>
      <c r="L48" s="294">
        <f>'WPB-2.1.C Plant Detail'!O3470</f>
        <v>-59912.03</v>
      </c>
      <c r="M48" s="294">
        <f>'WPB-2.1.C Plant Detail'!O3584</f>
        <v>-59912.03</v>
      </c>
      <c r="N48" s="294">
        <f>'WPB-2.1.C Plant Detail'!O3698</f>
        <v>-59912.03</v>
      </c>
      <c r="O48" s="294">
        <f>'WPB-2.1.C Plant Detail'!O3812</f>
        <v>-59912.03</v>
      </c>
      <c r="P48" s="294">
        <f>'WPB-2.1.C Plant Detail'!O3926</f>
        <v>-59912.03</v>
      </c>
      <c r="Q48" s="294">
        <f>'WPB-2.1.C Plant Detail'!O4040</f>
        <v>-59912.03</v>
      </c>
      <c r="R48" s="294">
        <f t="shared" si="5"/>
        <v>-59912.030000000021</v>
      </c>
    </row>
    <row r="49" spans="1:18">
      <c r="A49" s="291">
        <f t="shared" si="6"/>
        <v>34</v>
      </c>
      <c r="C49" s="293">
        <v>387.41</v>
      </c>
      <c r="D49" s="220" t="s">
        <v>405</v>
      </c>
      <c r="E49" s="294">
        <f>'WPB-2.1.C Plant Detail'!O2673</f>
        <v>68832.970000000059</v>
      </c>
      <c r="F49" s="294">
        <f>'WPB-2.1.C Plant Detail'!O2787</f>
        <v>69909.970000000059</v>
      </c>
      <c r="G49" s="294">
        <f>'WPB-2.1.C Plant Detail'!O2901</f>
        <v>70986.970000000059</v>
      </c>
      <c r="H49" s="294">
        <f>'WPB-2.1.C Plant Detail'!O3015</f>
        <v>72063.970000000059</v>
      </c>
      <c r="I49" s="294">
        <f>'WPB-2.1.C Plant Detail'!O3129</f>
        <v>73140.970000000059</v>
      </c>
      <c r="J49" s="294">
        <f>'WPB-2.1.C Plant Detail'!O3243</f>
        <v>74217.970000000059</v>
      </c>
      <c r="K49" s="294">
        <f>'WPB-2.1.C Plant Detail'!O3357</f>
        <v>75294.970000000059</v>
      </c>
      <c r="L49" s="294">
        <f>'WPB-2.1.C Plant Detail'!O3471</f>
        <v>76371.970000000059</v>
      </c>
      <c r="M49" s="294">
        <f>'WPB-2.1.C Plant Detail'!O3585</f>
        <v>77448.970000000059</v>
      </c>
      <c r="N49" s="294">
        <f>'WPB-2.1.C Plant Detail'!O3699</f>
        <v>78525.970000000059</v>
      </c>
      <c r="O49" s="294">
        <f>'WPB-2.1.C Plant Detail'!O3813</f>
        <v>79602.970000000059</v>
      </c>
      <c r="P49" s="294">
        <f>'WPB-2.1.C Plant Detail'!O3927</f>
        <v>80679.970000000059</v>
      </c>
      <c r="Q49" s="294">
        <f>'WPB-2.1.C Plant Detail'!O4041</f>
        <v>81756.970000000059</v>
      </c>
      <c r="R49" s="294">
        <f t="shared" si="5"/>
        <v>75294.970000000074</v>
      </c>
    </row>
    <row r="50" spans="1:18">
      <c r="A50" s="291">
        <f t="shared" si="6"/>
        <v>35</v>
      </c>
      <c r="C50" s="293">
        <v>387.42</v>
      </c>
      <c r="D50" s="220" t="s">
        <v>406</v>
      </c>
      <c r="E50" s="294">
        <f>'WPB-2.1.C Plant Detail'!O2674</f>
        <v>356983.80999999976</v>
      </c>
      <c r="F50" s="294">
        <f>'WPB-2.1.C Plant Detail'!O2788</f>
        <v>358716.80999999976</v>
      </c>
      <c r="G50" s="294">
        <f>'WPB-2.1.C Plant Detail'!O2902</f>
        <v>360449.80999999976</v>
      </c>
      <c r="H50" s="294">
        <f>'WPB-2.1.C Plant Detail'!O3016</f>
        <v>362182.80999999976</v>
      </c>
      <c r="I50" s="294">
        <f>'WPB-2.1.C Plant Detail'!O3130</f>
        <v>363915.80999999976</v>
      </c>
      <c r="J50" s="294">
        <f>'WPB-2.1.C Plant Detail'!O3244</f>
        <v>365648.80999999976</v>
      </c>
      <c r="K50" s="294">
        <f>'WPB-2.1.C Plant Detail'!O3358</f>
        <v>367381.80999999976</v>
      </c>
      <c r="L50" s="294">
        <f>'WPB-2.1.C Plant Detail'!O3472</f>
        <v>369114.80999999976</v>
      </c>
      <c r="M50" s="294">
        <f>'WPB-2.1.C Plant Detail'!O3586</f>
        <v>370847.80999999976</v>
      </c>
      <c r="N50" s="294">
        <f>'WPB-2.1.C Plant Detail'!O3700</f>
        <v>372580.80999999976</v>
      </c>
      <c r="O50" s="294">
        <f>'WPB-2.1.C Plant Detail'!O3814</f>
        <v>374313.80999999976</v>
      </c>
      <c r="P50" s="294">
        <f>'WPB-2.1.C Plant Detail'!O3928</f>
        <v>376046.80999999976</v>
      </c>
      <c r="Q50" s="294">
        <f>'WPB-2.1.C Plant Detail'!O4042</f>
        <v>377779.80999999976</v>
      </c>
      <c r="R50" s="294">
        <f t="shared" si="5"/>
        <v>367381.80999999965</v>
      </c>
    </row>
    <row r="51" spans="1:18">
      <c r="A51" s="291">
        <f t="shared" si="6"/>
        <v>36</v>
      </c>
      <c r="C51" s="293">
        <v>387.44</v>
      </c>
      <c r="D51" s="220" t="s">
        <v>407</v>
      </c>
      <c r="E51" s="294">
        <f>'WPB-2.1.C Plant Detail'!O2675</f>
        <v>71449.390000000014</v>
      </c>
      <c r="F51" s="294">
        <f>'WPB-2.1.C Plant Detail'!O2789</f>
        <v>71964.390000000014</v>
      </c>
      <c r="G51" s="294">
        <f>'WPB-2.1.C Plant Detail'!O2903</f>
        <v>72479.390000000014</v>
      </c>
      <c r="H51" s="294">
        <f>'WPB-2.1.C Plant Detail'!O3017</f>
        <v>72994.390000000014</v>
      </c>
      <c r="I51" s="294">
        <f>'WPB-2.1.C Plant Detail'!O3131</f>
        <v>73509.390000000014</v>
      </c>
      <c r="J51" s="294">
        <f>'WPB-2.1.C Plant Detail'!O3245</f>
        <v>74024.390000000014</v>
      </c>
      <c r="K51" s="294">
        <f>'WPB-2.1.C Plant Detail'!O3359</f>
        <v>74539.390000000014</v>
      </c>
      <c r="L51" s="294">
        <f>'WPB-2.1.C Plant Detail'!O3473</f>
        <v>75054.390000000014</v>
      </c>
      <c r="M51" s="294">
        <f>'WPB-2.1.C Plant Detail'!O3587</f>
        <v>75569.390000000014</v>
      </c>
      <c r="N51" s="294">
        <f>'WPB-2.1.C Plant Detail'!O3701</f>
        <v>76084.390000000014</v>
      </c>
      <c r="O51" s="294">
        <f>'WPB-2.1.C Plant Detail'!O3815</f>
        <v>76599.390000000014</v>
      </c>
      <c r="P51" s="294">
        <f>'WPB-2.1.C Plant Detail'!O3929</f>
        <v>77114.390000000014</v>
      </c>
      <c r="Q51" s="294">
        <f>'WPB-2.1.C Plant Detail'!O4043</f>
        <v>77629.390000000014</v>
      </c>
      <c r="R51" s="294">
        <f t="shared" si="5"/>
        <v>74539.390000000014</v>
      </c>
    </row>
    <row r="52" spans="1:18">
      <c r="A52" s="291">
        <f t="shared" si="6"/>
        <v>37</v>
      </c>
      <c r="C52" s="293">
        <v>387.45</v>
      </c>
      <c r="D52" s="220" t="s">
        <v>408</v>
      </c>
      <c r="E52" s="294">
        <f>'WPB-2.1.C Plant Detail'!O2676</f>
        <v>-743526.77</v>
      </c>
      <c r="F52" s="294">
        <f>'WPB-2.1.C Plant Detail'!O2790</f>
        <v>-719145.36</v>
      </c>
      <c r="G52" s="294">
        <f>'WPB-2.1.C Plant Detail'!O2904</f>
        <v>-727429.44</v>
      </c>
      <c r="H52" s="294">
        <f>'WPB-2.1.C Plant Detail'!O3018</f>
        <v>-703418.28999999992</v>
      </c>
      <c r="I52" s="294">
        <f>'WPB-2.1.C Plant Detail'!O3132</f>
        <v>-835257.96</v>
      </c>
      <c r="J52" s="294">
        <f>'WPB-2.1.C Plant Detail'!O3246</f>
        <v>-979565.2</v>
      </c>
      <c r="K52" s="294">
        <f>'WPB-2.1.C Plant Detail'!O3360</f>
        <v>-967932.9</v>
      </c>
      <c r="L52" s="294">
        <f>'WPB-2.1.C Plant Detail'!O3474</f>
        <v>-941677.9</v>
      </c>
      <c r="M52" s="294">
        <f>'WPB-2.1.C Plant Detail'!O3588</f>
        <v>-915129.58000000007</v>
      </c>
      <c r="N52" s="294">
        <f>'WPB-2.1.C Plant Detail'!O3702</f>
        <v>-887527.37000000011</v>
      </c>
      <c r="O52" s="294">
        <f>'WPB-2.1.C Plant Detail'!O3816</f>
        <v>-974968.92000000016</v>
      </c>
      <c r="P52" s="294">
        <f>'WPB-2.1.C Plant Detail'!O3930</f>
        <v>-962755.3600000001</v>
      </c>
      <c r="Q52" s="294">
        <f>'WPB-2.1.C Plant Detail'!O4044</f>
        <v>-1003305.9900000001</v>
      </c>
      <c r="R52" s="294">
        <f t="shared" si="5"/>
        <v>-873972.38769230759</v>
      </c>
    </row>
    <row r="53" spans="1:18">
      <c r="A53" s="291">
        <f t="shared" si="6"/>
        <v>38</v>
      </c>
      <c r="C53" s="293">
        <v>387.46</v>
      </c>
      <c r="D53" s="220" t="s">
        <v>409</v>
      </c>
      <c r="E53" s="294">
        <f>'WPB-2.1.C Plant Detail'!O2677</f>
        <v>117567.07</v>
      </c>
      <c r="F53" s="294">
        <f>'WPB-2.1.C Plant Detail'!O2791</f>
        <v>118037.07</v>
      </c>
      <c r="G53" s="294">
        <f>'WPB-2.1.C Plant Detail'!O2905</f>
        <v>118507.07</v>
      </c>
      <c r="H53" s="294">
        <f>'WPB-2.1.C Plant Detail'!O3019</f>
        <v>118977.07</v>
      </c>
      <c r="I53" s="294">
        <f>'WPB-2.1.C Plant Detail'!O3133</f>
        <v>119447.07</v>
      </c>
      <c r="J53" s="294">
        <f>'WPB-2.1.C Plant Detail'!O3247</f>
        <v>119917.07</v>
      </c>
      <c r="K53" s="294">
        <f>'WPB-2.1.C Plant Detail'!O3361</f>
        <v>120387.07</v>
      </c>
      <c r="L53" s="294">
        <f>'WPB-2.1.C Plant Detail'!O3475</f>
        <v>120857.07</v>
      </c>
      <c r="M53" s="294">
        <f>'WPB-2.1.C Plant Detail'!O3589</f>
        <v>121327.07</v>
      </c>
      <c r="N53" s="294">
        <f>'WPB-2.1.C Plant Detail'!O3703</f>
        <v>121797.07</v>
      </c>
      <c r="O53" s="294">
        <f>'WPB-2.1.C Plant Detail'!O3817</f>
        <v>122267.07</v>
      </c>
      <c r="P53" s="294">
        <f>'WPB-2.1.C Plant Detail'!O3931</f>
        <v>122737.07</v>
      </c>
      <c r="Q53" s="294">
        <f>'WPB-2.1.C Plant Detail'!O4045</f>
        <v>123207.07</v>
      </c>
      <c r="R53" s="294">
        <f t="shared" si="5"/>
        <v>120387.07000000005</v>
      </c>
    </row>
    <row r="54" spans="1:18">
      <c r="A54" s="291">
        <f t="shared" si="6"/>
        <v>39</v>
      </c>
      <c r="C54" s="293">
        <v>387.5</v>
      </c>
      <c r="D54" s="220" t="s">
        <v>1075</v>
      </c>
      <c r="E54" s="906">
        <f>'WPB-2.1.C Plant Detail'!O2678</f>
        <v>71028.47000000003</v>
      </c>
      <c r="F54" s="906">
        <f>'WPB-2.1.C Plant Detail'!O2792</f>
        <v>73706.47000000003</v>
      </c>
      <c r="G54" s="906">
        <f>'WPB-2.1.C Plant Detail'!O2906</f>
        <v>76384.47000000003</v>
      </c>
      <c r="H54" s="906">
        <f>'WPB-2.1.C Plant Detail'!O3020</f>
        <v>79062.47000000003</v>
      </c>
      <c r="I54" s="906">
        <f>'WPB-2.1.C Plant Detail'!O3134</f>
        <v>81740.47000000003</v>
      </c>
      <c r="J54" s="906">
        <f>'WPB-2.1.C Plant Detail'!O3248</f>
        <v>84418.47000000003</v>
      </c>
      <c r="K54" s="906">
        <f>'WPB-2.1.C Plant Detail'!O3362</f>
        <v>87096.47000000003</v>
      </c>
      <c r="L54" s="906">
        <f>'WPB-2.1.C Plant Detail'!O3476</f>
        <v>89774.47000000003</v>
      </c>
      <c r="M54" s="906">
        <f>'WPB-2.1.C Plant Detail'!O3590</f>
        <v>92452.47000000003</v>
      </c>
      <c r="N54" s="906">
        <f>'WPB-2.1.C Plant Detail'!O3704</f>
        <v>95130.47000000003</v>
      </c>
      <c r="O54" s="906">
        <f>'WPB-2.1.C Plant Detail'!O3818</f>
        <v>97808.47000000003</v>
      </c>
      <c r="P54" s="906">
        <f>'WPB-2.1.C Plant Detail'!O3932</f>
        <v>100486.47000000003</v>
      </c>
      <c r="Q54" s="906">
        <f>'WPB-2.1.C Plant Detail'!O4046</f>
        <v>103164.47000000003</v>
      </c>
      <c r="R54" s="906">
        <f>AVERAGE(E54:Q54)</f>
        <v>87096.47</v>
      </c>
    </row>
    <row r="55" spans="1:18">
      <c r="A55" s="291">
        <f t="shared" si="6"/>
        <v>40</v>
      </c>
      <c r="C55" s="303" t="s">
        <v>1601</v>
      </c>
      <c r="E55" s="294">
        <f t="shared" ref="E55:R55" si="7">SUM(E42:E54,E25:E41)</f>
        <v>183473472.98100591</v>
      </c>
      <c r="F55" s="294">
        <f t="shared" si="7"/>
        <v>184598724.49737811</v>
      </c>
      <c r="G55" s="294">
        <f t="shared" si="7"/>
        <v>186267258.11031321</v>
      </c>
      <c r="H55" s="294">
        <f t="shared" si="7"/>
        <v>187605453.55507368</v>
      </c>
      <c r="I55" s="294">
        <f t="shared" si="7"/>
        <v>188667875.05723125</v>
      </c>
      <c r="J55" s="294">
        <f t="shared" si="7"/>
        <v>189922150.32770663</v>
      </c>
      <c r="K55" s="294">
        <f t="shared" si="7"/>
        <v>191572464.85741845</v>
      </c>
      <c r="L55" s="294">
        <f t="shared" si="7"/>
        <v>193239919.61290681</v>
      </c>
      <c r="M55" s="294">
        <f t="shared" si="7"/>
        <v>194580965.74443457</v>
      </c>
      <c r="N55" s="294">
        <f t="shared" si="7"/>
        <v>196215230.21634769</v>
      </c>
      <c r="O55" s="294">
        <f t="shared" si="7"/>
        <v>197734017.59331149</v>
      </c>
      <c r="P55" s="294">
        <f t="shared" si="7"/>
        <v>198743364.70139015</v>
      </c>
      <c r="Q55" s="294">
        <f t="shared" si="7"/>
        <v>199870506.4033258</v>
      </c>
      <c r="R55" s="294">
        <f t="shared" si="7"/>
        <v>191730107.97368026</v>
      </c>
    </row>
    <row r="56" spans="1:18">
      <c r="D56" s="294"/>
      <c r="E56" s="294"/>
      <c r="F56" s="294"/>
      <c r="G56" s="294"/>
      <c r="H56" s="294"/>
      <c r="I56" s="304"/>
      <c r="J56" s="294"/>
      <c r="K56" s="294"/>
      <c r="L56" s="294"/>
      <c r="M56" s="304"/>
      <c r="N56" s="294"/>
      <c r="O56" s="294"/>
      <c r="P56" s="294"/>
      <c r="Q56" s="294"/>
      <c r="R56" s="294"/>
    </row>
    <row r="57" spans="1:18">
      <c r="A57" s="1308" t="str">
        <f>A1</f>
        <v>COLUMBIA GAS OF KENTUCKY, INC.</v>
      </c>
      <c r="B57" s="1308"/>
      <c r="C57" s="1308"/>
      <c r="D57" s="1308"/>
      <c r="E57" s="1308"/>
      <c r="F57" s="1308"/>
      <c r="G57" s="1308"/>
      <c r="H57" s="1308"/>
      <c r="I57" s="1308"/>
      <c r="J57" s="1308"/>
      <c r="K57" s="1308"/>
      <c r="L57" s="1308"/>
      <c r="M57" s="1308"/>
      <c r="N57" s="1308"/>
      <c r="O57" s="1308"/>
      <c r="P57" s="1308"/>
      <c r="Q57" s="1308"/>
      <c r="R57" s="1308"/>
    </row>
    <row r="58" spans="1:18">
      <c r="A58" s="1308" t="str">
        <f>A2</f>
        <v>CASE NO. 2024 - 00092</v>
      </c>
      <c r="B58" s="1308"/>
      <c r="C58" s="1308"/>
      <c r="D58" s="1308"/>
      <c r="E58" s="1308"/>
      <c r="F58" s="1308"/>
      <c r="G58" s="1308"/>
      <c r="H58" s="1308"/>
      <c r="I58" s="1308"/>
      <c r="J58" s="1308"/>
      <c r="K58" s="1308"/>
      <c r="L58" s="1308"/>
      <c r="M58" s="1308"/>
      <c r="N58" s="1308"/>
      <c r="O58" s="1308"/>
      <c r="P58" s="1308"/>
      <c r="Q58" s="1308"/>
      <c r="R58" s="1308"/>
    </row>
    <row r="59" spans="1:18">
      <c r="A59" s="1308" t="str">
        <f>A3</f>
        <v>ACCUMULATED DEPRECIATION &amp; AMORTIZATION</v>
      </c>
      <c r="B59" s="1308"/>
      <c r="C59" s="1308"/>
      <c r="D59" s="1308"/>
      <c r="E59" s="1308"/>
      <c r="F59" s="1308"/>
      <c r="G59" s="1308"/>
      <c r="H59" s="1308"/>
      <c r="I59" s="1308"/>
      <c r="J59" s="1308"/>
      <c r="K59" s="1308"/>
      <c r="L59" s="1308"/>
      <c r="M59" s="1308"/>
      <c r="N59" s="1308"/>
      <c r="O59" s="1308"/>
      <c r="P59" s="1308"/>
      <c r="Q59" s="1308"/>
      <c r="R59" s="1308"/>
    </row>
    <row r="60" spans="1:18">
      <c r="A60" s="1308" t="str">
        <f>A4</f>
        <v>13 MONTH AVG - FORECAST PERIOD 12/31/2024 TO 12/31/2025</v>
      </c>
      <c r="B60" s="1308"/>
      <c r="C60" s="1308"/>
      <c r="D60" s="1308"/>
      <c r="E60" s="1308"/>
      <c r="F60" s="1308"/>
      <c r="G60" s="1308"/>
      <c r="H60" s="1308"/>
      <c r="I60" s="1308"/>
      <c r="J60" s="1308"/>
      <c r="K60" s="1308"/>
      <c r="L60" s="1308"/>
      <c r="M60" s="1308"/>
      <c r="N60" s="1308"/>
      <c r="O60" s="1308"/>
      <c r="P60" s="1308"/>
      <c r="Q60" s="1308"/>
      <c r="R60" s="1308"/>
    </row>
    <row r="61" spans="1:18">
      <c r="G61" s="290"/>
    </row>
    <row r="62" spans="1:18">
      <c r="A62" s="297" t="str">
        <f>A7</f>
        <v xml:space="preserve">DATA: ___ BASE PERIOD __X__ FORECASTED PERIOD     </v>
      </c>
      <c r="M62" s="297"/>
      <c r="R62" s="312" t="str">
        <f>R7</f>
        <v>WPB-3.1</v>
      </c>
    </row>
    <row r="63" spans="1:18">
      <c r="A63" s="297" t="str">
        <f>A8</f>
        <v>TYPE OF FILING:___X___ORIGINAL______UPDATED</v>
      </c>
      <c r="M63" s="297"/>
      <c r="R63" s="312" t="s">
        <v>287</v>
      </c>
    </row>
    <row r="64" spans="1:18">
      <c r="A64" s="521" t="s">
        <v>983</v>
      </c>
      <c r="M64" s="297"/>
      <c r="R64" s="312" t="str">
        <f>$R$9</f>
        <v>WITNESS: GORE</v>
      </c>
    </row>
    <row r="65" spans="1:18">
      <c r="A65" s="968"/>
      <c r="B65" s="902"/>
      <c r="C65" s="969"/>
      <c r="D65" s="902"/>
      <c r="E65" s="902"/>
      <c r="F65" s="902"/>
      <c r="G65" s="902"/>
      <c r="H65" s="902"/>
      <c r="I65" s="902"/>
      <c r="J65" s="902"/>
      <c r="K65" s="902"/>
      <c r="L65" s="902"/>
      <c r="M65" s="907"/>
      <c r="N65" s="902"/>
      <c r="O65" s="902"/>
      <c r="P65" s="902"/>
      <c r="Q65" s="902"/>
      <c r="R65" s="970"/>
    </row>
    <row r="66" spans="1:18">
      <c r="A66" s="290" t="s">
        <v>313</v>
      </c>
      <c r="B66" s="290"/>
      <c r="C66" s="298" t="s">
        <v>368</v>
      </c>
      <c r="D66" s="290"/>
      <c r="G66" s="290"/>
      <c r="I66" s="290"/>
      <c r="M66" s="290"/>
      <c r="O66" s="290"/>
      <c r="R66" s="292" t="s">
        <v>352</v>
      </c>
    </row>
    <row r="67" spans="1:18">
      <c r="A67" s="903" t="s">
        <v>316</v>
      </c>
      <c r="B67" s="903"/>
      <c r="C67" s="904" t="s">
        <v>316</v>
      </c>
      <c r="D67" s="885" t="s">
        <v>451</v>
      </c>
      <c r="E67" s="908" t="str">
        <f t="shared" ref="E67:Q67" si="8">E12</f>
        <v>12/31/2024</v>
      </c>
      <c r="F67" s="908" t="str">
        <f t="shared" si="8"/>
        <v>01/31/2025</v>
      </c>
      <c r="G67" s="908" t="str">
        <f t="shared" si="8"/>
        <v>02/28/2025</v>
      </c>
      <c r="H67" s="908" t="str">
        <f t="shared" si="8"/>
        <v>03/31/2025</v>
      </c>
      <c r="I67" s="908" t="str">
        <f t="shared" si="8"/>
        <v>04/30/2025</v>
      </c>
      <c r="J67" s="908" t="str">
        <f t="shared" si="8"/>
        <v>05/31/2025</v>
      </c>
      <c r="K67" s="908" t="str">
        <f t="shared" si="8"/>
        <v>06/30/2025</v>
      </c>
      <c r="L67" s="908" t="str">
        <f t="shared" si="8"/>
        <v>07/31/2025</v>
      </c>
      <c r="M67" s="908" t="str">
        <f t="shared" si="8"/>
        <v>08/31/2025</v>
      </c>
      <c r="N67" s="908" t="str">
        <f t="shared" si="8"/>
        <v>09/30/2025</v>
      </c>
      <c r="O67" s="908" t="str">
        <f t="shared" si="8"/>
        <v>10/31/2025</v>
      </c>
      <c r="P67" s="908" t="str">
        <f t="shared" si="8"/>
        <v>11/30/2025</v>
      </c>
      <c r="Q67" s="908" t="str">
        <f t="shared" si="8"/>
        <v>12/31/2025</v>
      </c>
      <c r="R67" s="903" t="s">
        <v>312</v>
      </c>
    </row>
    <row r="68" spans="1:18">
      <c r="A68" s="290"/>
      <c r="C68" s="298"/>
      <c r="D68" s="290"/>
      <c r="E68" s="300" t="s">
        <v>532</v>
      </c>
      <c r="F68" s="300" t="s">
        <v>541</v>
      </c>
      <c r="G68" s="300" t="s">
        <v>542</v>
      </c>
      <c r="H68" s="300" t="s">
        <v>668</v>
      </c>
      <c r="I68" s="300" t="s">
        <v>669</v>
      </c>
      <c r="J68" s="300" t="s">
        <v>670</v>
      </c>
      <c r="K68" s="300" t="s">
        <v>984</v>
      </c>
      <c r="L68" s="300" t="s">
        <v>985</v>
      </c>
      <c r="M68" s="300" t="s">
        <v>986</v>
      </c>
      <c r="N68" s="300" t="s">
        <v>987</v>
      </c>
      <c r="O68" s="300" t="s">
        <v>988</v>
      </c>
      <c r="P68" s="300" t="s">
        <v>989</v>
      </c>
      <c r="Q68" s="300" t="s">
        <v>990</v>
      </c>
      <c r="R68" s="300" t="s">
        <v>2639</v>
      </c>
    </row>
    <row r="69" spans="1:18">
      <c r="E69" s="290" t="s">
        <v>320</v>
      </c>
      <c r="F69" s="290" t="s">
        <v>320</v>
      </c>
      <c r="G69" s="290" t="s">
        <v>320</v>
      </c>
      <c r="H69" s="290" t="s">
        <v>320</v>
      </c>
      <c r="I69" s="290" t="s">
        <v>320</v>
      </c>
      <c r="J69" s="290" t="s">
        <v>320</v>
      </c>
      <c r="K69" s="290" t="s">
        <v>320</v>
      </c>
      <c r="L69" s="290" t="s">
        <v>320</v>
      </c>
      <c r="M69" s="290" t="s">
        <v>320</v>
      </c>
      <c r="N69" s="290" t="s">
        <v>320</v>
      </c>
      <c r="O69" s="290" t="s">
        <v>320</v>
      </c>
      <c r="P69" s="290" t="s">
        <v>320</v>
      </c>
      <c r="Q69" s="290" t="s">
        <v>320</v>
      </c>
      <c r="R69" s="290" t="s">
        <v>320</v>
      </c>
    </row>
    <row r="70" spans="1:18">
      <c r="E70" s="294"/>
      <c r="F70" s="294"/>
      <c r="G70" s="294"/>
      <c r="H70" s="294"/>
      <c r="I70" s="294"/>
      <c r="J70" s="294"/>
      <c r="K70" s="294"/>
      <c r="L70" s="294"/>
      <c r="M70" s="294"/>
      <c r="N70" s="294"/>
      <c r="O70" s="294"/>
      <c r="P70" s="294"/>
      <c r="Q70" s="294"/>
      <c r="R70" s="294"/>
    </row>
    <row r="71" spans="1:18">
      <c r="A71" s="291">
        <v>1</v>
      </c>
      <c r="C71" s="505" t="s">
        <v>411</v>
      </c>
      <c r="D71" s="302"/>
      <c r="E71" s="294"/>
      <c r="F71" s="294"/>
      <c r="G71" s="294"/>
      <c r="H71" s="294"/>
      <c r="I71" s="304"/>
      <c r="J71" s="294"/>
      <c r="K71" s="294"/>
      <c r="L71" s="294"/>
      <c r="M71" s="304"/>
      <c r="N71" s="294"/>
      <c r="O71" s="294"/>
      <c r="P71" s="294"/>
      <c r="Q71" s="294"/>
      <c r="R71" s="294"/>
    </row>
    <row r="72" spans="1:18">
      <c r="A72" s="291">
        <f t="shared" ref="A72:A77" si="9">A71+1</f>
        <v>2</v>
      </c>
      <c r="C72" s="293">
        <v>391.1</v>
      </c>
      <c r="D72" s="220" t="s">
        <v>412</v>
      </c>
      <c r="E72" s="294">
        <f>'WPB-2.1.C Plant Detail'!O2699</f>
        <v>218543.37</v>
      </c>
      <c r="F72" s="294">
        <f>'WPB-2.1.C Plant Detail'!O2813</f>
        <v>227198.78666666665</v>
      </c>
      <c r="G72" s="294">
        <f>'WPB-2.1.C Plant Detail'!O2927</f>
        <v>235854.20333333331</v>
      </c>
      <c r="H72" s="294">
        <f>'WPB-2.1.C Plant Detail'!O3041</f>
        <v>244509.61999999997</v>
      </c>
      <c r="I72" s="294">
        <f>'WPB-2.1.C Plant Detail'!O3155</f>
        <v>253165.03666666662</v>
      </c>
      <c r="J72" s="294">
        <f>'WPB-2.1.C Plant Detail'!O3269</f>
        <v>261820.45333333328</v>
      </c>
      <c r="K72" s="294">
        <f>'WPB-2.1.C Plant Detail'!O3383</f>
        <v>270475.86999999994</v>
      </c>
      <c r="L72" s="294">
        <f>'WPB-2.1.C Plant Detail'!O3497</f>
        <v>279131.28666666662</v>
      </c>
      <c r="M72" s="294">
        <f>'WPB-2.1.C Plant Detail'!O3611</f>
        <v>287786.70333333331</v>
      </c>
      <c r="N72" s="294">
        <f>'WPB-2.1.C Plant Detail'!O3725</f>
        <v>296442.12</v>
      </c>
      <c r="O72" s="294">
        <f>'WPB-2.1.C Plant Detail'!O3839</f>
        <v>305097.53666666668</v>
      </c>
      <c r="P72" s="294">
        <f>'WPB-2.1.C Plant Detail'!O3953</f>
        <v>313752.95333333337</v>
      </c>
      <c r="Q72" s="294">
        <f>'WPB-2.1.C Plant Detail'!O4067</f>
        <v>322408.37000000005</v>
      </c>
      <c r="R72" s="294">
        <f t="shared" ref="R72:R85" si="10">AVERAGE(E72:Q72)</f>
        <v>270475.87</v>
      </c>
    </row>
    <row r="73" spans="1:18">
      <c r="A73" s="291">
        <f t="shared" si="9"/>
        <v>3</v>
      </c>
      <c r="C73" s="293">
        <v>391.11</v>
      </c>
      <c r="D73" s="220" t="s">
        <v>413</v>
      </c>
      <c r="E73" s="294">
        <f>'WPB-2.1.C Plant Detail'!O2700</f>
        <v>-12622.789999999997</v>
      </c>
      <c r="F73" s="294">
        <f>'WPB-2.1.C Plant Detail'!O2814</f>
        <v>-12096.873333333331</v>
      </c>
      <c r="G73" s="294">
        <f>'WPB-2.1.C Plant Detail'!O2928</f>
        <v>-11570.956666666665</v>
      </c>
      <c r="H73" s="294">
        <f>'WPB-2.1.C Plant Detail'!O3042</f>
        <v>-11045.039999999999</v>
      </c>
      <c r="I73" s="294">
        <f>'WPB-2.1.C Plant Detail'!O3156</f>
        <v>-10519.123333333333</v>
      </c>
      <c r="J73" s="294">
        <f>'WPB-2.1.C Plant Detail'!O3270</f>
        <v>-9993.2066666666669</v>
      </c>
      <c r="K73" s="294">
        <f>'WPB-2.1.C Plant Detail'!O3384</f>
        <v>-9467.2900000000009</v>
      </c>
      <c r="L73" s="294">
        <f>'WPB-2.1.C Plant Detail'!O3498</f>
        <v>-8941.3733333333348</v>
      </c>
      <c r="M73" s="294">
        <f>'WPB-2.1.C Plant Detail'!O3612</f>
        <v>-8415.4566666666688</v>
      </c>
      <c r="N73" s="294">
        <f>'WPB-2.1.C Plant Detail'!O3726</f>
        <v>-7889.5400000000018</v>
      </c>
      <c r="O73" s="294">
        <f>'WPB-2.1.C Plant Detail'!O3840</f>
        <v>-7363.6233333333348</v>
      </c>
      <c r="P73" s="294">
        <f>'WPB-2.1.C Plant Detail'!O3954</f>
        <v>-6837.7066666666678</v>
      </c>
      <c r="Q73" s="294">
        <f>'WPB-2.1.C Plant Detail'!O4068</f>
        <v>-6311.7900000000009</v>
      </c>
      <c r="R73" s="294">
        <f t="shared" si="10"/>
        <v>-9467.2900000000009</v>
      </c>
    </row>
    <row r="74" spans="1:18">
      <c r="A74" s="291">
        <f t="shared" si="9"/>
        <v>4</v>
      </c>
      <c r="C74" s="293">
        <v>391.12</v>
      </c>
      <c r="D74" s="220" t="s">
        <v>414</v>
      </c>
      <c r="E74" s="294">
        <f>'WPB-2.1.C Plant Detail'!O2701</f>
        <v>7618.9699999999993</v>
      </c>
      <c r="F74" s="294">
        <f>'WPB-2.1.C Plant Detail'!O2815</f>
        <v>8694.2199999999993</v>
      </c>
      <c r="G74" s="294">
        <f>'WPB-2.1.C Plant Detail'!O2929</f>
        <v>9769.4699999999993</v>
      </c>
      <c r="H74" s="294">
        <f>'WPB-2.1.C Plant Detail'!O3043</f>
        <v>10844.72</v>
      </c>
      <c r="I74" s="294">
        <f>'WPB-2.1.C Plant Detail'!O3157</f>
        <v>11919.97</v>
      </c>
      <c r="J74" s="294">
        <f>'WPB-2.1.C Plant Detail'!O3271</f>
        <v>12995.22</v>
      </c>
      <c r="K74" s="294">
        <f>'WPB-2.1.C Plant Detail'!O3385</f>
        <v>14070.47</v>
      </c>
      <c r="L74" s="294">
        <f>'WPB-2.1.C Plant Detail'!O3499</f>
        <v>15145.72</v>
      </c>
      <c r="M74" s="294">
        <f>'WPB-2.1.C Plant Detail'!O3613</f>
        <v>16220.97</v>
      </c>
      <c r="N74" s="294">
        <f>'WPB-2.1.C Plant Detail'!O3727</f>
        <v>17296.22</v>
      </c>
      <c r="O74" s="294">
        <f>'WPB-2.1.C Plant Detail'!O3841</f>
        <v>18371.47</v>
      </c>
      <c r="P74" s="294">
        <f>'WPB-2.1.C Plant Detail'!O3955</f>
        <v>19446.72</v>
      </c>
      <c r="Q74" s="294">
        <f>'WPB-2.1.C Plant Detail'!O4069</f>
        <v>20521.97</v>
      </c>
      <c r="R74" s="294">
        <f t="shared" si="10"/>
        <v>14070.47</v>
      </c>
    </row>
    <row r="75" spans="1:18">
      <c r="A75" s="291">
        <f t="shared" si="9"/>
        <v>5</v>
      </c>
      <c r="C75" s="293">
        <v>392.2</v>
      </c>
      <c r="D75" s="220" t="s">
        <v>524</v>
      </c>
      <c r="E75" s="294">
        <f>'WPB-2.1.C Plant Detail'!O2702</f>
        <v>17587.359999999961</v>
      </c>
      <c r="F75" s="294">
        <f>'WPB-2.1.C Plant Detail'!O2816</f>
        <v>17624.359999999961</v>
      </c>
      <c r="G75" s="294">
        <f>'WPB-2.1.C Plant Detail'!O2930</f>
        <v>17661.359999999961</v>
      </c>
      <c r="H75" s="294">
        <f>'WPB-2.1.C Plant Detail'!O3044</f>
        <v>17698.359999999961</v>
      </c>
      <c r="I75" s="294">
        <f>'WPB-2.1.C Plant Detail'!O3158</f>
        <v>17735.359999999961</v>
      </c>
      <c r="J75" s="294">
        <f>'WPB-2.1.C Plant Detail'!O3272</f>
        <v>17772.359999999961</v>
      </c>
      <c r="K75" s="294">
        <f>'WPB-2.1.C Plant Detail'!O3386</f>
        <v>17809.359999999961</v>
      </c>
      <c r="L75" s="294">
        <f>'WPB-2.1.C Plant Detail'!O3500</f>
        <v>17846.359999999961</v>
      </c>
      <c r="M75" s="294">
        <f>'WPB-2.1.C Plant Detail'!O3614</f>
        <v>17883.359999999961</v>
      </c>
      <c r="N75" s="294">
        <f>'WPB-2.1.C Plant Detail'!O3728</f>
        <v>17920.359999999961</v>
      </c>
      <c r="O75" s="294">
        <f>'WPB-2.1.C Plant Detail'!O3842</f>
        <v>17957.359999999961</v>
      </c>
      <c r="P75" s="294">
        <f>'WPB-2.1.C Plant Detail'!O3956</f>
        <v>17994.359999999961</v>
      </c>
      <c r="Q75" s="294">
        <f>'WPB-2.1.C Plant Detail'!O4070</f>
        <v>18031.359999999961</v>
      </c>
      <c r="R75" s="294">
        <f t="shared" si="10"/>
        <v>17809.359999999961</v>
      </c>
    </row>
    <row r="76" spans="1:18">
      <c r="A76" s="291">
        <f t="shared" si="9"/>
        <v>6</v>
      </c>
      <c r="C76" s="293">
        <v>392.21</v>
      </c>
      <c r="D76" s="220" t="s">
        <v>415</v>
      </c>
      <c r="E76" s="294">
        <f>'WPB-2.1.C Plant Detail'!O2703</f>
        <v>44934.01</v>
      </c>
      <c r="F76" s="294">
        <f>'WPB-2.1.C Plant Detail'!O2817</f>
        <v>44952.01</v>
      </c>
      <c r="G76" s="294">
        <f>'WPB-2.1.C Plant Detail'!O2931</f>
        <v>44970.01</v>
      </c>
      <c r="H76" s="294">
        <f>'WPB-2.1.C Plant Detail'!O3045</f>
        <v>44988.01</v>
      </c>
      <c r="I76" s="294">
        <f>'WPB-2.1.C Plant Detail'!O3159</f>
        <v>45006.01</v>
      </c>
      <c r="J76" s="294">
        <f>'WPB-2.1.C Plant Detail'!O3273</f>
        <v>45024.01</v>
      </c>
      <c r="K76" s="294">
        <f>'WPB-2.1.C Plant Detail'!O3387</f>
        <v>45042.01</v>
      </c>
      <c r="L76" s="294">
        <f>'WPB-2.1.C Plant Detail'!O3501</f>
        <v>45060.01</v>
      </c>
      <c r="M76" s="294">
        <f>'WPB-2.1.C Plant Detail'!O3615</f>
        <v>45078.01</v>
      </c>
      <c r="N76" s="294">
        <f>'WPB-2.1.C Plant Detail'!O3729</f>
        <v>45096.01</v>
      </c>
      <c r="O76" s="294">
        <f>'WPB-2.1.C Plant Detail'!O3843</f>
        <v>45114.01</v>
      </c>
      <c r="P76" s="294">
        <f>'WPB-2.1.C Plant Detail'!O3957</f>
        <v>45132.01</v>
      </c>
      <c r="Q76" s="294">
        <f>'WPB-2.1.C Plant Detail'!O4071</f>
        <v>45150.01</v>
      </c>
      <c r="R76" s="294">
        <f t="shared" si="10"/>
        <v>45042.01</v>
      </c>
    </row>
    <row r="77" spans="1:18">
      <c r="A77" s="291">
        <f t="shared" si="9"/>
        <v>7</v>
      </c>
      <c r="C77" s="293">
        <v>393</v>
      </c>
      <c r="D77" s="220" t="s">
        <v>416</v>
      </c>
      <c r="E77" s="294">
        <f>'WPB-2.1.C Plant Detail'!O2704</f>
        <v>0</v>
      </c>
      <c r="F77" s="294">
        <f>'WPB-2.1.C Plant Detail'!O2818</f>
        <v>0</v>
      </c>
      <c r="G77" s="294">
        <f>'WPB-2.1.C Plant Detail'!O2932</f>
        <v>0</v>
      </c>
      <c r="H77" s="294">
        <f>'WPB-2.1.C Plant Detail'!O3046</f>
        <v>0</v>
      </c>
      <c r="I77" s="294">
        <f>'WPB-2.1.C Plant Detail'!O3160</f>
        <v>0</v>
      </c>
      <c r="J77" s="294">
        <f>'WPB-2.1.C Plant Detail'!O3274</f>
        <v>0</v>
      </c>
      <c r="K77" s="294">
        <f>'WPB-2.1.C Plant Detail'!O3388</f>
        <v>0</v>
      </c>
      <c r="L77" s="294">
        <f>'WPB-2.1.C Plant Detail'!O3502</f>
        <v>0</v>
      </c>
      <c r="M77" s="294">
        <f>'WPB-2.1.C Plant Detail'!O3616</f>
        <v>0</v>
      </c>
      <c r="N77" s="294">
        <f>'WPB-2.1.C Plant Detail'!O3730</f>
        <v>0</v>
      </c>
      <c r="O77" s="294">
        <f>'WPB-2.1.C Plant Detail'!O3844</f>
        <v>0</v>
      </c>
      <c r="P77" s="294">
        <f>'WPB-2.1.C Plant Detail'!O3958</f>
        <v>0</v>
      </c>
      <c r="Q77" s="294">
        <f>'WPB-2.1.C Plant Detail'!O4072</f>
        <v>0</v>
      </c>
      <c r="R77" s="294">
        <f t="shared" si="10"/>
        <v>0</v>
      </c>
    </row>
    <row r="78" spans="1:18">
      <c r="A78" s="291">
        <f t="shared" ref="A78:A86" si="11">A77+1</f>
        <v>8</v>
      </c>
      <c r="C78" s="293">
        <v>394.1</v>
      </c>
      <c r="D78" s="220" t="s">
        <v>417</v>
      </c>
      <c r="E78" s="294">
        <f>'WPB-2.1.C Plant Detail'!O2705</f>
        <v>4460.0700000000006</v>
      </c>
      <c r="F78" s="294">
        <f>'WPB-2.1.C Plant Detail'!O2819</f>
        <v>4492.0700000000006</v>
      </c>
      <c r="G78" s="294">
        <f>'WPB-2.1.C Plant Detail'!O2933</f>
        <v>4524.0700000000006</v>
      </c>
      <c r="H78" s="294">
        <f>'WPB-2.1.C Plant Detail'!O3047</f>
        <v>4556.0700000000006</v>
      </c>
      <c r="I78" s="294">
        <f>'WPB-2.1.C Plant Detail'!O3161</f>
        <v>4588.0700000000006</v>
      </c>
      <c r="J78" s="294">
        <f>'WPB-2.1.C Plant Detail'!O3275</f>
        <v>4620.0700000000006</v>
      </c>
      <c r="K78" s="294">
        <f>'WPB-2.1.C Plant Detail'!O3389</f>
        <v>4652.0700000000006</v>
      </c>
      <c r="L78" s="294">
        <f>'WPB-2.1.C Plant Detail'!O3503</f>
        <v>4684.0700000000006</v>
      </c>
      <c r="M78" s="294">
        <f>'WPB-2.1.C Plant Detail'!O3617</f>
        <v>4716.0700000000006</v>
      </c>
      <c r="N78" s="294">
        <f>'WPB-2.1.C Plant Detail'!O3731</f>
        <v>4748.0700000000006</v>
      </c>
      <c r="O78" s="294">
        <f>'WPB-2.1.C Plant Detail'!O3845</f>
        <v>4780.0700000000006</v>
      </c>
      <c r="P78" s="294">
        <f>'WPB-2.1.C Plant Detail'!O3959</f>
        <v>4812.0700000000006</v>
      </c>
      <c r="Q78" s="294">
        <f>'WPB-2.1.C Plant Detail'!O4073</f>
        <v>4844.0700000000006</v>
      </c>
      <c r="R78" s="294">
        <f t="shared" si="10"/>
        <v>4652.0700000000006</v>
      </c>
    </row>
    <row r="79" spans="1:18">
      <c r="A79" s="291">
        <f t="shared" si="11"/>
        <v>9</v>
      </c>
      <c r="C79" s="293">
        <v>394.11</v>
      </c>
      <c r="D79" s="220" t="s">
        <v>418</v>
      </c>
      <c r="E79" s="294">
        <f>'WPB-2.1.C Plant Detail'!O2706</f>
        <v>-26071.5</v>
      </c>
      <c r="F79" s="294">
        <f>'WPB-2.1.C Plant Detail'!O2820</f>
        <v>-26071.5</v>
      </c>
      <c r="G79" s="294">
        <f>'WPB-2.1.C Plant Detail'!O2934</f>
        <v>-26071.5</v>
      </c>
      <c r="H79" s="294">
        <f>'WPB-2.1.C Plant Detail'!O3048</f>
        <v>-26071.5</v>
      </c>
      <c r="I79" s="294">
        <f>'WPB-2.1.C Plant Detail'!O3162</f>
        <v>-26071.5</v>
      </c>
      <c r="J79" s="294">
        <f>'WPB-2.1.C Plant Detail'!O3276</f>
        <v>-26071.5</v>
      </c>
      <c r="K79" s="294">
        <f>'WPB-2.1.C Plant Detail'!O3390</f>
        <v>-26071.5</v>
      </c>
      <c r="L79" s="294">
        <f>'WPB-2.1.C Plant Detail'!O3504</f>
        <v>-26071.5</v>
      </c>
      <c r="M79" s="294">
        <f>'WPB-2.1.C Plant Detail'!O3618</f>
        <v>-26071.5</v>
      </c>
      <c r="N79" s="294">
        <f>'WPB-2.1.C Plant Detail'!O3732</f>
        <v>-26071.5</v>
      </c>
      <c r="O79" s="294">
        <f>'WPB-2.1.C Plant Detail'!O3846</f>
        <v>-26071.5</v>
      </c>
      <c r="P79" s="294">
        <f>'WPB-2.1.C Plant Detail'!O3960</f>
        <v>-26071.5</v>
      </c>
      <c r="Q79" s="294">
        <f>'WPB-2.1.C Plant Detail'!O4074</f>
        <v>-26071.5</v>
      </c>
      <c r="R79" s="294">
        <f t="shared" si="10"/>
        <v>-26071.5</v>
      </c>
    </row>
    <row r="80" spans="1:18">
      <c r="A80" s="291">
        <f t="shared" si="11"/>
        <v>10</v>
      </c>
      <c r="C80" s="293">
        <v>394.13</v>
      </c>
      <c r="D80" s="220" t="s">
        <v>515</v>
      </c>
      <c r="E80" s="294">
        <f>'WPB-2.1.C Plant Detail'!O2707</f>
        <v>28469.360000000001</v>
      </c>
      <c r="F80" s="294">
        <f>'WPB-2.1.C Plant Detail'!O2821</f>
        <v>27680.36</v>
      </c>
      <c r="G80" s="294">
        <f>'WPB-2.1.C Plant Detail'!O2935</f>
        <v>26891.360000000001</v>
      </c>
      <c r="H80" s="294">
        <f>'WPB-2.1.C Plant Detail'!O3049</f>
        <v>26102.36</v>
      </c>
      <c r="I80" s="294">
        <f>'WPB-2.1.C Plant Detail'!O3163</f>
        <v>25313.360000000001</v>
      </c>
      <c r="J80" s="294">
        <f>'WPB-2.1.C Plant Detail'!O3277</f>
        <v>24524.36</v>
      </c>
      <c r="K80" s="294">
        <f>'WPB-2.1.C Plant Detail'!O3391</f>
        <v>23735.360000000001</v>
      </c>
      <c r="L80" s="294">
        <f>'WPB-2.1.C Plant Detail'!O3505</f>
        <v>22946.36</v>
      </c>
      <c r="M80" s="294">
        <f>'WPB-2.1.C Plant Detail'!O3619</f>
        <v>22157.360000000001</v>
      </c>
      <c r="N80" s="294">
        <f>'WPB-2.1.C Plant Detail'!O3733</f>
        <v>21368.36</v>
      </c>
      <c r="O80" s="294">
        <f>'WPB-2.1.C Plant Detail'!O3847</f>
        <v>20579.36</v>
      </c>
      <c r="P80" s="294">
        <f>'WPB-2.1.C Plant Detail'!O3961</f>
        <v>19790.36</v>
      </c>
      <c r="Q80" s="294">
        <f>'WPB-2.1.C Plant Detail'!O4075</f>
        <v>19001.36</v>
      </c>
      <c r="R80" s="294">
        <f t="shared" si="10"/>
        <v>23735.35999999999</v>
      </c>
    </row>
    <row r="81" spans="1:18">
      <c r="A81" s="291">
        <f t="shared" si="11"/>
        <v>11</v>
      </c>
      <c r="C81" s="293">
        <v>394.2</v>
      </c>
      <c r="D81" s="220" t="s">
        <v>420</v>
      </c>
      <c r="E81" s="294">
        <f>'WPB-2.1.C Plant Detail'!O2708</f>
        <v>185.21</v>
      </c>
      <c r="F81" s="294">
        <f>'WPB-2.1.C Plant Detail'!O2822</f>
        <v>185.21</v>
      </c>
      <c r="G81" s="294">
        <f>'WPB-2.1.C Plant Detail'!O2936</f>
        <v>185.21</v>
      </c>
      <c r="H81" s="294">
        <f>'WPB-2.1.C Plant Detail'!O3050</f>
        <v>185.21</v>
      </c>
      <c r="I81" s="294">
        <f>'WPB-2.1.C Plant Detail'!O3164</f>
        <v>185.21</v>
      </c>
      <c r="J81" s="294">
        <f>'WPB-2.1.C Plant Detail'!O3278</f>
        <v>185.21</v>
      </c>
      <c r="K81" s="294">
        <f>'WPB-2.1.C Plant Detail'!O3392</f>
        <v>185.21</v>
      </c>
      <c r="L81" s="294">
        <f>'WPB-2.1.C Plant Detail'!O3506</f>
        <v>185.21</v>
      </c>
      <c r="M81" s="294">
        <f>'WPB-2.1.C Plant Detail'!O3620</f>
        <v>185.21</v>
      </c>
      <c r="N81" s="294">
        <f>'WPB-2.1.C Plant Detail'!O3734</f>
        <v>185.21</v>
      </c>
      <c r="O81" s="294">
        <f>'WPB-2.1.C Plant Detail'!O3848</f>
        <v>185.21</v>
      </c>
      <c r="P81" s="294">
        <f>'WPB-2.1.C Plant Detail'!O3962</f>
        <v>185.21</v>
      </c>
      <c r="Q81" s="294">
        <f>'WPB-2.1.C Plant Detail'!O4076</f>
        <v>185.21</v>
      </c>
      <c r="R81" s="294">
        <f t="shared" si="10"/>
        <v>185.21</v>
      </c>
    </row>
    <row r="82" spans="1:18">
      <c r="A82" s="291">
        <f t="shared" si="11"/>
        <v>12</v>
      </c>
      <c r="C82" s="293">
        <v>394.3</v>
      </c>
      <c r="D82" s="220" t="s">
        <v>1602</v>
      </c>
      <c r="E82" s="294">
        <f>'WPB-2.1.C Plant Detail'!O2709</f>
        <v>1681086.0299999996</v>
      </c>
      <c r="F82" s="294">
        <f>'WPB-2.1.C Plant Detail'!O2823</f>
        <v>1666762.5699999996</v>
      </c>
      <c r="G82" s="294">
        <f>'WPB-2.1.C Plant Detail'!O2937</f>
        <v>1676286.2799999996</v>
      </c>
      <c r="H82" s="294">
        <f>'WPB-2.1.C Plant Detail'!O3051</f>
        <v>1694954.2799999996</v>
      </c>
      <c r="I82" s="294">
        <f>'WPB-2.1.C Plant Detail'!O3165</f>
        <v>1544691.4199999995</v>
      </c>
      <c r="J82" s="294">
        <f>'WPB-2.1.C Plant Detail'!O3279</f>
        <v>1472901.4299999995</v>
      </c>
      <c r="K82" s="294">
        <f>'WPB-2.1.C Plant Detail'!O3393</f>
        <v>1461545.7399999995</v>
      </c>
      <c r="L82" s="294">
        <f>'WPB-2.1.C Plant Detail'!O3507</f>
        <v>1455489.0699999996</v>
      </c>
      <c r="M82" s="294">
        <f>'WPB-2.1.C Plant Detail'!O3621</f>
        <v>1376217.1699999997</v>
      </c>
      <c r="N82" s="294">
        <f>'WPB-2.1.C Plant Detail'!O3735</f>
        <v>1317719.5499999998</v>
      </c>
      <c r="O82" s="294">
        <f>'WPB-2.1.C Plant Detail'!O3849</f>
        <v>1305456.9499999997</v>
      </c>
      <c r="P82" s="294">
        <f>'WPB-2.1.C Plant Detail'!O3963</f>
        <v>1291858.4599999997</v>
      </c>
      <c r="Q82" s="294">
        <f>'WPB-2.1.C Plant Detail'!O4077</f>
        <v>1275182.0999999996</v>
      </c>
      <c r="R82" s="294">
        <f t="shared" si="10"/>
        <v>1478473.1576923074</v>
      </c>
    </row>
    <row r="83" spans="1:18">
      <c r="A83" s="291">
        <f t="shared" si="11"/>
        <v>13</v>
      </c>
      <c r="C83" s="293">
        <v>395</v>
      </c>
      <c r="D83" s="220" t="s">
        <v>422</v>
      </c>
      <c r="E83" s="294">
        <f>'WPB-2.1.C Plant Detail'!O2710</f>
        <v>-133.69999999999845</v>
      </c>
      <c r="F83" s="294">
        <f>'WPB-2.1.C Plant Detail'!O2824</f>
        <v>-136.44999999999845</v>
      </c>
      <c r="G83" s="294">
        <f>'WPB-2.1.C Plant Detail'!O2938</f>
        <v>-139.19999999999845</v>
      </c>
      <c r="H83" s="294">
        <f>'WPB-2.1.C Plant Detail'!O3052</f>
        <v>-141.94999999999845</v>
      </c>
      <c r="I83" s="294">
        <f>'WPB-2.1.C Plant Detail'!O3166</f>
        <v>-144.69999999999845</v>
      </c>
      <c r="J83" s="294">
        <f>'WPB-2.1.C Plant Detail'!O3280</f>
        <v>-147.44999999999845</v>
      </c>
      <c r="K83" s="294">
        <f>'WPB-2.1.C Plant Detail'!O3394</f>
        <v>-150.19999999999845</v>
      </c>
      <c r="L83" s="294">
        <f>'WPB-2.1.C Plant Detail'!O3508</f>
        <v>-152.94999999999845</v>
      </c>
      <c r="M83" s="294">
        <f>'WPB-2.1.C Plant Detail'!O3622</f>
        <v>-155.69999999999845</v>
      </c>
      <c r="N83" s="294">
        <f>'WPB-2.1.C Plant Detail'!O3736</f>
        <v>-158.44999999999845</v>
      </c>
      <c r="O83" s="294">
        <f>'WPB-2.1.C Plant Detail'!O3850</f>
        <v>-161.19999999999845</v>
      </c>
      <c r="P83" s="294">
        <f>'WPB-2.1.C Plant Detail'!O3964</f>
        <v>-163.94999999999845</v>
      </c>
      <c r="Q83" s="294">
        <f>'WPB-2.1.C Plant Detail'!O4078</f>
        <v>-166.69999999999845</v>
      </c>
      <c r="R83" s="294">
        <f t="shared" si="10"/>
        <v>-150.19999999999845</v>
      </c>
    </row>
    <row r="84" spans="1:18">
      <c r="A84" s="291">
        <f t="shared" si="11"/>
        <v>14</v>
      </c>
      <c r="C84" s="293">
        <v>396</v>
      </c>
      <c r="D84" s="220" t="s">
        <v>423</v>
      </c>
      <c r="E84" s="294">
        <f>'WPB-2.1.C Plant Detail'!O2711</f>
        <v>171938.14</v>
      </c>
      <c r="F84" s="294">
        <f>'WPB-2.1.C Plant Detail'!O2825</f>
        <v>171938.14</v>
      </c>
      <c r="G84" s="294">
        <f>'WPB-2.1.C Plant Detail'!O2939</f>
        <v>171938.14</v>
      </c>
      <c r="H84" s="294">
        <f>'WPB-2.1.C Plant Detail'!O3053</f>
        <v>171938.14</v>
      </c>
      <c r="I84" s="294">
        <f>'WPB-2.1.C Plant Detail'!O3167</f>
        <v>171938.14</v>
      </c>
      <c r="J84" s="294">
        <f>'WPB-2.1.C Plant Detail'!O3281</f>
        <v>171938.14</v>
      </c>
      <c r="K84" s="294">
        <f>'WPB-2.1.C Plant Detail'!O3395</f>
        <v>171938.14</v>
      </c>
      <c r="L84" s="294">
        <f>'WPB-2.1.C Plant Detail'!O3509</f>
        <v>171938.14</v>
      </c>
      <c r="M84" s="294">
        <f>'WPB-2.1.C Plant Detail'!O3623</f>
        <v>171938.14</v>
      </c>
      <c r="N84" s="294">
        <f>'WPB-2.1.C Plant Detail'!O3737</f>
        <v>171938.14</v>
      </c>
      <c r="O84" s="294">
        <f>'WPB-2.1.C Plant Detail'!O3851</f>
        <v>171938.14</v>
      </c>
      <c r="P84" s="294">
        <f>'WPB-2.1.C Plant Detail'!O3965</f>
        <v>171938.14</v>
      </c>
      <c r="Q84" s="294">
        <f>'WPB-2.1.C Plant Detail'!O4079</f>
        <v>171938.14</v>
      </c>
      <c r="R84" s="294">
        <f t="shared" si="10"/>
        <v>171938.14000000007</v>
      </c>
    </row>
    <row r="85" spans="1:18">
      <c r="A85" s="291">
        <f t="shared" si="11"/>
        <v>15</v>
      </c>
      <c r="C85" s="293">
        <v>398</v>
      </c>
      <c r="D85" s="220" t="s">
        <v>424</v>
      </c>
      <c r="E85" s="906">
        <f>'WPB-2.1.C Plant Detail'!O2712</f>
        <v>83161.549999999945</v>
      </c>
      <c r="F85" s="906">
        <f>'WPB-2.1.C Plant Detail'!O2826</f>
        <v>84249.716666666616</v>
      </c>
      <c r="G85" s="906">
        <f>'WPB-2.1.C Plant Detail'!O2940</f>
        <v>85337.883333333288</v>
      </c>
      <c r="H85" s="906">
        <f>'WPB-2.1.C Plant Detail'!O3054</f>
        <v>86426.049999999959</v>
      </c>
      <c r="I85" s="906">
        <f>'WPB-2.1.C Plant Detail'!O3168</f>
        <v>87514.216666666631</v>
      </c>
      <c r="J85" s="906">
        <f>'WPB-2.1.C Plant Detail'!O3282</f>
        <v>88602.383333333302</v>
      </c>
      <c r="K85" s="906">
        <f>'WPB-2.1.C Plant Detail'!O3396</f>
        <v>89690.549999999974</v>
      </c>
      <c r="L85" s="906">
        <f>'WPB-2.1.C Plant Detail'!O3510</f>
        <v>90778.716666666645</v>
      </c>
      <c r="M85" s="906">
        <f>'WPB-2.1.C Plant Detail'!O3624</f>
        <v>91866.883333333317</v>
      </c>
      <c r="N85" s="906">
        <f>'WPB-2.1.C Plant Detail'!O3738</f>
        <v>92955.049999999988</v>
      </c>
      <c r="O85" s="906">
        <f>'WPB-2.1.C Plant Detail'!O3852</f>
        <v>94043.21666666666</v>
      </c>
      <c r="P85" s="906">
        <f>'WPB-2.1.C Plant Detail'!O3966</f>
        <v>95131.383333333331</v>
      </c>
      <c r="Q85" s="906">
        <f>'WPB-2.1.C Plant Detail'!O4080</f>
        <v>96219.55</v>
      </c>
      <c r="R85" s="906">
        <f t="shared" si="10"/>
        <v>89690.549999999988</v>
      </c>
    </row>
    <row r="86" spans="1:18">
      <c r="A86" s="291">
        <f t="shared" si="11"/>
        <v>16</v>
      </c>
      <c r="C86" s="229" t="s">
        <v>425</v>
      </c>
      <c r="D86" s="293"/>
      <c r="E86" s="294">
        <f t="shared" ref="E86:R86" si="12">SUM(E72:E85)</f>
        <v>2219156.0799999991</v>
      </c>
      <c r="F86" s="294">
        <f t="shared" si="12"/>
        <v>2215472.6199999996</v>
      </c>
      <c r="G86" s="294">
        <f t="shared" si="12"/>
        <v>2235636.3299999996</v>
      </c>
      <c r="H86" s="294">
        <f t="shared" si="12"/>
        <v>2264944.3299999991</v>
      </c>
      <c r="I86" s="294">
        <f t="shared" si="12"/>
        <v>2125321.4699999997</v>
      </c>
      <c r="J86" s="294">
        <f t="shared" si="12"/>
        <v>2064171.4799999995</v>
      </c>
      <c r="K86" s="294">
        <f t="shared" si="12"/>
        <v>2063455.7899999993</v>
      </c>
      <c r="L86" s="294">
        <f t="shared" si="12"/>
        <v>2068039.1199999994</v>
      </c>
      <c r="M86" s="294">
        <f t="shared" si="12"/>
        <v>1999407.2199999997</v>
      </c>
      <c r="N86" s="294">
        <f t="shared" si="12"/>
        <v>1951549.5999999999</v>
      </c>
      <c r="O86" s="294">
        <f t="shared" si="12"/>
        <v>1949926.9999999998</v>
      </c>
      <c r="P86" s="294">
        <f t="shared" si="12"/>
        <v>1946968.5099999998</v>
      </c>
      <c r="Q86" s="294">
        <f t="shared" si="12"/>
        <v>1940932.1499999997</v>
      </c>
      <c r="R86" s="294">
        <f t="shared" si="12"/>
        <v>2080383.2076923077</v>
      </c>
    </row>
    <row r="87" spans="1:18">
      <c r="C87" s="304"/>
      <c r="D87" s="293"/>
      <c r="E87" s="294"/>
      <c r="F87" s="294"/>
      <c r="G87" s="294"/>
      <c r="H87" s="294"/>
      <c r="I87" s="294"/>
      <c r="J87" s="294"/>
      <c r="K87" s="294"/>
      <c r="L87" s="294"/>
      <c r="M87" s="294"/>
      <c r="N87" s="294"/>
      <c r="O87" s="294"/>
      <c r="P87" s="294"/>
      <c r="Q87" s="294"/>
      <c r="R87" s="294"/>
    </row>
    <row r="88" spans="1:18">
      <c r="A88" s="291">
        <f>A86+1</f>
        <v>17</v>
      </c>
      <c r="C88" s="505" t="s">
        <v>1038</v>
      </c>
      <c r="D88" s="293"/>
      <c r="E88" s="294"/>
      <c r="F88" s="294"/>
      <c r="G88" s="294"/>
      <c r="H88" s="294"/>
      <c r="I88" s="294"/>
      <c r="J88" s="294"/>
      <c r="K88" s="294"/>
      <c r="L88" s="294"/>
      <c r="M88" s="294"/>
      <c r="N88" s="294"/>
      <c r="O88" s="294"/>
      <c r="P88" s="294"/>
      <c r="Q88" s="294"/>
      <c r="R88" s="294"/>
    </row>
    <row r="89" spans="1:18">
      <c r="A89" s="291">
        <f>A88+1</f>
        <v>18</v>
      </c>
      <c r="C89" s="293">
        <v>378.21</v>
      </c>
      <c r="D89" s="293"/>
      <c r="E89" s="906">
        <f>'WPB-2.1.C Plant Detail'!O2716</f>
        <v>-230100.38000000027</v>
      </c>
      <c r="F89" s="906">
        <f>'WPB-2.1.C Plant Detail'!O2830</f>
        <v>-232244.55000000028</v>
      </c>
      <c r="G89" s="906">
        <f>'WPB-2.1.C Plant Detail'!O2944</f>
        <v>-234388.72000000029</v>
      </c>
      <c r="H89" s="906">
        <f>'WPB-2.1.C Plant Detail'!O3058</f>
        <v>-236532.89000000031</v>
      </c>
      <c r="I89" s="906">
        <f>'WPB-2.1.C Plant Detail'!O3172</f>
        <v>-238677.06000000032</v>
      </c>
      <c r="J89" s="906">
        <f>'WPB-2.1.C Plant Detail'!O3286</f>
        <v>-240821.23000000033</v>
      </c>
      <c r="K89" s="906">
        <f>'WPB-2.1.C Plant Detail'!O3400</f>
        <v>-242965.40000000034</v>
      </c>
      <c r="L89" s="906">
        <f>'WPB-2.1.C Plant Detail'!O3514</f>
        <v>-245109.57000000036</v>
      </c>
      <c r="M89" s="906">
        <f>'WPB-2.1.C Plant Detail'!O3628</f>
        <v>-247253.74000000037</v>
      </c>
      <c r="N89" s="906">
        <f>'WPB-2.1.C Plant Detail'!O3742</f>
        <v>-249397.91000000038</v>
      </c>
      <c r="O89" s="906">
        <f>'WPB-2.1.C Plant Detail'!O3856</f>
        <v>-251542.08000000039</v>
      </c>
      <c r="P89" s="906">
        <f>'WPB-2.1.C Plant Detail'!O3970</f>
        <v>-253686.25000000041</v>
      </c>
      <c r="Q89" s="906">
        <f>'WPB-2.1.C Plant Detail'!O4084</f>
        <v>-255830.42000000042</v>
      </c>
      <c r="R89" s="906">
        <f>AVERAGE(E89:Q89)</f>
        <v>-242965.40000000034</v>
      </c>
    </row>
    <row r="90" spans="1:18">
      <c r="A90" s="291">
        <f>A89+1</f>
        <v>19</v>
      </c>
      <c r="C90" s="220" t="s">
        <v>1579</v>
      </c>
      <c r="D90" s="293"/>
      <c r="E90" s="294">
        <f>SUM(E89)</f>
        <v>-230100.38000000027</v>
      </c>
      <c r="F90" s="294">
        <f t="shared" ref="F90:R90" si="13">SUM(F89)</f>
        <v>-232244.55000000028</v>
      </c>
      <c r="G90" s="294">
        <f t="shared" si="13"/>
        <v>-234388.72000000029</v>
      </c>
      <c r="H90" s="294">
        <f t="shared" si="13"/>
        <v>-236532.89000000031</v>
      </c>
      <c r="I90" s="294">
        <f t="shared" si="13"/>
        <v>-238677.06000000032</v>
      </c>
      <c r="J90" s="294">
        <f t="shared" si="13"/>
        <v>-240821.23000000033</v>
      </c>
      <c r="K90" s="294">
        <f t="shared" si="13"/>
        <v>-242965.40000000034</v>
      </c>
      <c r="L90" s="294">
        <f t="shared" si="13"/>
        <v>-245109.57000000036</v>
      </c>
      <c r="M90" s="294">
        <f t="shared" si="13"/>
        <v>-247253.74000000037</v>
      </c>
      <c r="N90" s="294">
        <f t="shared" si="13"/>
        <v>-249397.91000000038</v>
      </c>
      <c r="O90" s="294">
        <f t="shared" si="13"/>
        <v>-251542.08000000039</v>
      </c>
      <c r="P90" s="294">
        <f t="shared" si="13"/>
        <v>-253686.25000000041</v>
      </c>
      <c r="Q90" s="294">
        <f t="shared" si="13"/>
        <v>-255830.42000000042</v>
      </c>
      <c r="R90" s="294">
        <f t="shared" si="13"/>
        <v>-242965.40000000034</v>
      </c>
    </row>
    <row r="91" spans="1:18">
      <c r="D91" s="294"/>
      <c r="E91" s="294"/>
      <c r="F91" s="294"/>
      <c r="G91" s="294"/>
      <c r="H91" s="294"/>
      <c r="I91" s="304"/>
      <c r="J91" s="294"/>
      <c r="K91" s="294"/>
      <c r="L91" s="294"/>
      <c r="M91" s="304"/>
      <c r="N91" s="294"/>
      <c r="O91" s="294"/>
      <c r="P91" s="294"/>
      <c r="Q91" s="294"/>
      <c r="R91" s="294"/>
    </row>
    <row r="92" spans="1:18">
      <c r="A92" s="291">
        <f>A90+1</f>
        <v>20</v>
      </c>
      <c r="C92" s="229" t="s">
        <v>2037</v>
      </c>
      <c r="E92" s="318">
        <f t="shared" ref="E92:R92" si="14">E22+E55+E86+E90</f>
        <v>192572921.31933498</v>
      </c>
      <c r="F92" s="318">
        <f t="shared" si="14"/>
        <v>193662452.56881055</v>
      </c>
      <c r="G92" s="318">
        <f t="shared" si="14"/>
        <v>195525770.02939725</v>
      </c>
      <c r="H92" s="318">
        <f t="shared" si="14"/>
        <v>197074466.05647334</v>
      </c>
      <c r="I92" s="318">
        <f t="shared" si="14"/>
        <v>198256391.83470264</v>
      </c>
      <c r="J92" s="318">
        <f t="shared" si="14"/>
        <v>199532878.46833384</v>
      </c>
      <c r="K92" s="318">
        <f t="shared" si="14"/>
        <v>201430459.76569796</v>
      </c>
      <c r="L92" s="318">
        <f t="shared" si="14"/>
        <v>203304614.47347888</v>
      </c>
      <c r="M92" s="318">
        <f t="shared" si="14"/>
        <v>204813180.83199883</v>
      </c>
      <c r="N92" s="318">
        <f t="shared" si="14"/>
        <v>206577698.79840606</v>
      </c>
      <c r="O92" s="318">
        <f t="shared" si="14"/>
        <v>208379956.83303094</v>
      </c>
      <c r="P92" s="318">
        <f t="shared" si="14"/>
        <v>209676145.47940558</v>
      </c>
      <c r="Q92" s="318">
        <f t="shared" si="14"/>
        <v>211012433.60946444</v>
      </c>
      <c r="R92" s="318">
        <f t="shared" si="14"/>
        <v>201678413.08219498</v>
      </c>
    </row>
    <row r="93" spans="1:18">
      <c r="C93" s="291"/>
    </row>
    <row r="94" spans="1:18">
      <c r="A94" s="291">
        <f>A92+1</f>
        <v>21</v>
      </c>
      <c r="C94" s="291" t="s">
        <v>2039</v>
      </c>
      <c r="E94" s="294">
        <f>'WPB-2.1.C Plant Detail'!O2721</f>
        <v>-6687302.71</v>
      </c>
      <c r="F94" s="294">
        <f>'WPB-2.1.C Plant Detail'!O2835</f>
        <v>-6687302.71</v>
      </c>
      <c r="G94" s="294">
        <f>'WPB-2.1.C Plant Detail'!O2949</f>
        <v>-6687302.71</v>
      </c>
      <c r="H94" s="294">
        <f>'WPB-2.1.C Plant Detail'!O3063</f>
        <v>-6687302.71</v>
      </c>
      <c r="I94" s="294">
        <f>'WPB-2.1.C Plant Detail'!O3177</f>
        <v>-6687302.71</v>
      </c>
      <c r="J94" s="294">
        <f>'WPB-2.1.C Plant Detail'!O3291</f>
        <v>-6687302.71</v>
      </c>
      <c r="K94" s="294">
        <f>'WPB-2.1.C Plant Detail'!O3405</f>
        <v>-6687302.71</v>
      </c>
      <c r="L94" s="294">
        <f>'WPB-2.1.C Plant Detail'!O3519</f>
        <v>-6687302.71</v>
      </c>
      <c r="M94" s="294">
        <f>'WPB-2.1.C Plant Detail'!O3633</f>
        <v>-6687302.71</v>
      </c>
      <c r="N94" s="294">
        <f>'WPB-2.1.C Plant Detail'!O3747</f>
        <v>-6687302.71</v>
      </c>
      <c r="O94" s="294">
        <f>'WPB-2.1.C Plant Detail'!O3861</f>
        <v>-6687302.71</v>
      </c>
      <c r="P94" s="294">
        <f>'WPB-2.1.C Plant Detail'!O3975</f>
        <v>-6687302.71</v>
      </c>
      <c r="Q94" s="294">
        <f>'WPB-2.1.C Plant Detail'!O4089</f>
        <v>-6687302.71</v>
      </c>
      <c r="R94" s="294">
        <f>AVERAGE(E94:Q94)</f>
        <v>-6687302.709999999</v>
      </c>
    </row>
    <row r="95" spans="1:18">
      <c r="C95" s="291"/>
    </row>
    <row r="96" spans="1:18">
      <c r="A96" s="291">
        <f>A94+1</f>
        <v>22</v>
      </c>
      <c r="C96" s="291" t="s">
        <v>1603</v>
      </c>
      <c r="E96" s="306">
        <f>SUM(E92:E94)</f>
        <v>185885618.60933498</v>
      </c>
      <c r="F96" s="306">
        <f t="shared" ref="F96:R96" si="15">SUM(F92:F94)</f>
        <v>186975149.85881054</v>
      </c>
      <c r="G96" s="306">
        <f t="shared" si="15"/>
        <v>188838467.31939724</v>
      </c>
      <c r="H96" s="306">
        <f t="shared" si="15"/>
        <v>190387163.34647334</v>
      </c>
      <c r="I96" s="306">
        <f t="shared" si="15"/>
        <v>191569089.12470263</v>
      </c>
      <c r="J96" s="306">
        <f t="shared" si="15"/>
        <v>192845575.75833383</v>
      </c>
      <c r="K96" s="306">
        <f t="shared" si="15"/>
        <v>194743157.05569795</v>
      </c>
      <c r="L96" s="306">
        <f t="shared" si="15"/>
        <v>196617311.76347888</v>
      </c>
      <c r="M96" s="306">
        <f t="shared" si="15"/>
        <v>198125878.12199882</v>
      </c>
      <c r="N96" s="306">
        <f t="shared" si="15"/>
        <v>199890396.08840606</v>
      </c>
      <c r="O96" s="306">
        <f t="shared" si="15"/>
        <v>201692654.12303093</v>
      </c>
      <c r="P96" s="306">
        <f t="shared" si="15"/>
        <v>202988842.76940557</v>
      </c>
      <c r="Q96" s="306">
        <f t="shared" si="15"/>
        <v>204325130.89946443</v>
      </c>
      <c r="R96" s="306">
        <f t="shared" si="15"/>
        <v>194991110.37219498</v>
      </c>
    </row>
    <row r="98" spans="1:18">
      <c r="A98" s="291">
        <f>A96+1</f>
        <v>23</v>
      </c>
      <c r="C98" s="325" t="s">
        <v>1774</v>
      </c>
    </row>
    <row r="99" spans="1:18">
      <c r="A99" s="291">
        <f>A98+1</f>
        <v>24</v>
      </c>
      <c r="B99" s="310">
        <v>376</v>
      </c>
      <c r="C99" s="308" t="s">
        <v>576</v>
      </c>
      <c r="E99" s="294">
        <f>'WPB-2.1.C Plant Detail'!O2727</f>
        <v>268889.58592239418</v>
      </c>
      <c r="F99" s="294">
        <f>'WPB-2.1.C Plant Detail'!O2841</f>
        <v>329142.45925656625</v>
      </c>
      <c r="G99" s="294">
        <f>'WPB-2.1.C Plant Detail'!O2955</f>
        <v>398703.68670685915</v>
      </c>
      <c r="H99" s="294">
        <f>'WPB-2.1.C Plant Detail'!O3069</f>
        <v>467671.39472414367</v>
      </c>
      <c r="I99" s="294">
        <f>'WPB-2.1.C Plant Detail'!O3183</f>
        <v>529314.29229091771</v>
      </c>
      <c r="J99" s="294">
        <f>'WPB-2.1.C Plant Detail'!O3297</f>
        <v>594055.61878931639</v>
      </c>
      <c r="K99" s="294">
        <f>'WPB-2.1.C Plant Detail'!O3411</f>
        <v>671954.86878931639</v>
      </c>
      <c r="L99" s="294">
        <f>'WPB-2.1.C Plant Detail'!O3525</f>
        <v>745369.11165680073</v>
      </c>
      <c r="M99" s="294">
        <f>'WPB-2.1.C Plant Detail'!O3639</f>
        <v>832697.10567250184</v>
      </c>
      <c r="N99" s="294">
        <f>'WPB-2.1.C Plant Detail'!O3753</f>
        <v>872546.53921975824</v>
      </c>
      <c r="O99" s="294">
        <f>'WPB-2.1.C Plant Detail'!O3867</f>
        <v>955159.24157498288</v>
      </c>
      <c r="P99" s="294">
        <f>'WPB-2.1.C Plant Detail'!O3981</f>
        <v>1022887.9596097494</v>
      </c>
      <c r="Q99" s="294">
        <f>'WPB-2.1.C Plant Detail'!O4095</f>
        <v>950266.49960974953</v>
      </c>
      <c r="R99" s="294">
        <f t="shared" ref="R99:R102" si="16">AVERAGE(E99:Q99)</f>
        <v>664512.18183254276</v>
      </c>
    </row>
    <row r="100" spans="1:18">
      <c r="A100" s="291">
        <f t="shared" ref="A100:A103" si="17">A99+1</f>
        <v>25</v>
      </c>
      <c r="B100" s="310">
        <v>378.2</v>
      </c>
      <c r="C100" s="308" t="s">
        <v>2915</v>
      </c>
      <c r="E100" s="294">
        <f>'WPB-2.1.C Plant Detail'!O2728</f>
        <v>-944817.27754116023</v>
      </c>
      <c r="F100" s="294">
        <f>'WPB-2.1.C Plant Detail'!O2842</f>
        <v>-943162.88754116022</v>
      </c>
      <c r="G100" s="294">
        <f>'WPB-2.1.C Plant Detail'!O2956</f>
        <v>-941508.49754116021</v>
      </c>
      <c r="H100" s="294">
        <f>'WPB-2.1.C Plant Detail'!O3070</f>
        <v>-939854.10754116019</v>
      </c>
      <c r="I100" s="294">
        <f>'WPB-2.1.C Plant Detail'!O3184</f>
        <v>-938199.71754116018</v>
      </c>
      <c r="J100" s="294">
        <f>'WPB-2.1.C Plant Detail'!O3298</f>
        <v>-936545.32754116016</v>
      </c>
      <c r="K100" s="294">
        <f>'WPB-2.1.C Plant Detail'!O3412</f>
        <v>-934890.93754116015</v>
      </c>
      <c r="L100" s="294">
        <f>'WPB-2.1.C Plant Detail'!O3526</f>
        <v>-933236.54754116014</v>
      </c>
      <c r="M100" s="294">
        <f>'WPB-2.1.C Plant Detail'!O3640</f>
        <v>-931582.15754116012</v>
      </c>
      <c r="N100" s="294">
        <f>'WPB-2.1.C Plant Detail'!O3754</f>
        <v>-929927.76754116011</v>
      </c>
      <c r="O100" s="294">
        <f>'WPB-2.1.C Plant Detail'!O3868</f>
        <v>-928273.37754116009</v>
      </c>
      <c r="P100" s="294">
        <f>'WPB-2.1.C Plant Detail'!O3982</f>
        <v>-926618.98754116008</v>
      </c>
      <c r="Q100" s="294">
        <f>'WPB-2.1.C Plant Detail'!O4096</f>
        <v>-924964.59754116007</v>
      </c>
      <c r="R100" s="294">
        <f t="shared" si="16"/>
        <v>-934890.93754116027</v>
      </c>
    </row>
    <row r="101" spans="1:18">
      <c r="A101" s="291">
        <f t="shared" si="17"/>
        <v>26</v>
      </c>
      <c r="B101" s="310">
        <v>380</v>
      </c>
      <c r="C101" s="308" t="s">
        <v>398</v>
      </c>
      <c r="E101" s="294">
        <f>'WPB-2.1.C Plant Detail'!O2729</f>
        <v>-11414274.058316868</v>
      </c>
      <c r="F101" s="294">
        <f>'WPB-2.1.C Plant Detail'!O2843</f>
        <v>-11732420.19234504</v>
      </c>
      <c r="G101" s="294">
        <f>'WPB-2.1.C Plant Detail'!O2957</f>
        <v>-11859442.880304588</v>
      </c>
      <c r="H101" s="294">
        <f>'WPB-2.1.C Plant Detail'!O3071</f>
        <v>-12005280.001673168</v>
      </c>
      <c r="I101" s="294">
        <f>'WPB-2.1.C Plant Detail'!O3185</f>
        <v>-12232999.459418979</v>
      </c>
      <c r="J101" s="294">
        <f>'WPB-2.1.C Plant Detail'!O3299</f>
        <v>-12464673.115395388</v>
      </c>
      <c r="K101" s="294">
        <f>'WPB-2.1.C Plant Detail'!O3413</f>
        <v>-12704698.955055563</v>
      </c>
      <c r="L101" s="294">
        <f>'WPB-2.1.C Plant Detail'!O3527</f>
        <v>-12903716.001261031</v>
      </c>
      <c r="M101" s="294">
        <f>'WPB-2.1.C Plant Detail'!O3641</f>
        <v>-13056202.886462623</v>
      </c>
      <c r="N101" s="294">
        <f>'WPB-2.1.C Plant Detail'!O3755</f>
        <v>-13252480.074157726</v>
      </c>
      <c r="O101" s="294">
        <f>'WPB-2.1.C Plant Detail'!O3869</f>
        <v>-13516747.306824403</v>
      </c>
      <c r="P101" s="294">
        <f>'WPB-2.1.C Plant Detail'!O3983</f>
        <v>-13844609.955206597</v>
      </c>
      <c r="Q101" s="294">
        <f>'WPB-2.1.C Plant Detail'!O4097</f>
        <v>-14231554.406031208</v>
      </c>
      <c r="R101" s="294">
        <f t="shared" si="16"/>
        <v>-12709161.484034862</v>
      </c>
    </row>
    <row r="102" spans="1:18">
      <c r="A102" s="291">
        <f t="shared" si="17"/>
        <v>27</v>
      </c>
      <c r="B102" s="310">
        <v>382</v>
      </c>
      <c r="C102" s="308" t="s">
        <v>2916</v>
      </c>
      <c r="E102" s="294">
        <f>'WPB-2.1.C Plant Detail'!O2730</f>
        <v>-74942.2506416877</v>
      </c>
      <c r="F102" s="294">
        <f>'WPB-2.1.C Plant Detail'!O2844</f>
        <v>-74712.10103004647</v>
      </c>
      <c r="G102" s="294">
        <f>'WPB-2.1.C Plant Detail'!O2958</f>
        <v>-74539.568725359335</v>
      </c>
      <c r="H102" s="294">
        <f>'WPB-2.1.C Plant Detail'!O3072</f>
        <v>-74456.100827864793</v>
      </c>
      <c r="I102" s="294">
        <f>'WPB-2.1.C Plant Detail'!O3186</f>
        <v>-74600.073219257378</v>
      </c>
      <c r="J102" s="294">
        <f>'WPB-2.1.C Plant Detail'!O3300</f>
        <v>-74681.276097349328</v>
      </c>
      <c r="K102" s="294">
        <f>'WPB-2.1.C Plant Detail'!O3414</f>
        <v>-74849.438294887499</v>
      </c>
      <c r="L102" s="294">
        <f>'WPB-2.1.C Plant Detail'!O3528</f>
        <v>-74992.674288136506</v>
      </c>
      <c r="M102" s="294">
        <f>'WPB-2.1.C Plant Detail'!O3642</f>
        <v>-75389.567320254806</v>
      </c>
      <c r="N102" s="294">
        <f>'WPB-2.1.C Plant Detail'!O3756</f>
        <v>-75557.806474545272</v>
      </c>
      <c r="O102" s="294">
        <f>'WPB-2.1.C Plant Detail'!O3870</f>
        <v>-75656.278364437982</v>
      </c>
      <c r="P102" s="294">
        <f>'WPB-2.1.C Plant Detail'!O3984</f>
        <v>-75874.001639980284</v>
      </c>
      <c r="Q102" s="294">
        <f>'WPB-2.1.C Plant Detail'!O4098</f>
        <v>-75592.000641687686</v>
      </c>
      <c r="R102" s="294">
        <f t="shared" si="16"/>
        <v>-75064.856735807291</v>
      </c>
    </row>
    <row r="103" spans="1:18">
      <c r="A103" s="291">
        <f t="shared" si="17"/>
        <v>28</v>
      </c>
      <c r="B103" s="310">
        <v>383</v>
      </c>
      <c r="C103" s="308" t="s">
        <v>401</v>
      </c>
      <c r="E103" s="294">
        <f>'WPB-2.1.C Plant Detail'!O2731</f>
        <v>-8834.019428498932</v>
      </c>
      <c r="F103" s="294">
        <f>'WPB-2.1.C Plant Detail'!O2845</f>
        <v>-8622.7766820251472</v>
      </c>
      <c r="G103" s="294">
        <f>'WPB-2.1.C Plant Detail'!O2959</f>
        <v>-8373.7908257440995</v>
      </c>
      <c r="H103" s="294">
        <f>'WPB-2.1.C Plant Detail'!O3073</f>
        <v>-8123.2385534012028</v>
      </c>
      <c r="I103" s="294">
        <f>'WPB-2.1.C Plant Detail'!O3187</f>
        <v>-7870.3586920411808</v>
      </c>
      <c r="J103" s="294">
        <f>'WPB-2.1.C Plant Detail'!O3301</f>
        <v>-7648.6012854036217</v>
      </c>
      <c r="K103" s="294">
        <f>'WPB-2.1.C Plant Detail'!O3415</f>
        <v>-7419.3630375390112</v>
      </c>
      <c r="L103" s="294">
        <f>'WPB-2.1.C Plant Detail'!O3529</f>
        <v>-7402.0034891979458</v>
      </c>
      <c r="M103" s="294">
        <f>'WPB-2.1.C Plant Detail'!O3643</f>
        <v>-7163.0720052157221</v>
      </c>
      <c r="N103" s="294">
        <f>'WPB-2.1.C Plant Detail'!O3757</f>
        <v>-6960.3565110898726</v>
      </c>
      <c r="O103" s="294">
        <f>'WPB-2.1.C Plant Detail'!O3871</f>
        <v>-6735.5540798483889</v>
      </c>
      <c r="P103" s="294">
        <f>'WPB-2.1.C Plant Detail'!O3985</f>
        <v>-6572.3362685854609</v>
      </c>
      <c r="Q103" s="294">
        <f>'WPB-2.1.C Plant Detail'!O4099</f>
        <v>-6263.7494284989325</v>
      </c>
      <c r="R103" s="294">
        <f>AVERAGE(E103:Q103)</f>
        <v>-7537.6323297761182</v>
      </c>
    </row>
    <row r="104" spans="1:18">
      <c r="A104" s="291">
        <f>A103+1</f>
        <v>29</v>
      </c>
      <c r="B104" s="307"/>
      <c r="C104" s="308" t="s">
        <v>1780</v>
      </c>
      <c r="E104" s="311">
        <f>SUM(E99:E103)</f>
        <v>-12173978.02000582</v>
      </c>
      <c r="F104" s="311">
        <f t="shared" ref="F104:R104" si="18">SUM(F99:F103)</f>
        <v>-12429775.498341706</v>
      </c>
      <c r="G104" s="311">
        <f t="shared" si="18"/>
        <v>-12485161.050689992</v>
      </c>
      <c r="H104" s="311">
        <f t="shared" si="18"/>
        <v>-12560042.053871451</v>
      </c>
      <c r="I104" s="311">
        <f t="shared" si="18"/>
        <v>-12724355.316580519</v>
      </c>
      <c r="J104" s="311">
        <f t="shared" si="18"/>
        <v>-12889492.701529985</v>
      </c>
      <c r="K104" s="311">
        <f t="shared" si="18"/>
        <v>-13049903.825139834</v>
      </c>
      <c r="L104" s="311">
        <f t="shared" si="18"/>
        <v>-13173978.114922727</v>
      </c>
      <c r="M104" s="311">
        <f t="shared" si="18"/>
        <v>-13237640.577656753</v>
      </c>
      <c r="N104" s="311">
        <f t="shared" si="18"/>
        <v>-13392379.465464763</v>
      </c>
      <c r="O104" s="311">
        <f t="shared" si="18"/>
        <v>-13572253.275234869</v>
      </c>
      <c r="P104" s="311">
        <f t="shared" si="18"/>
        <v>-13830787.321046574</v>
      </c>
      <c r="Q104" s="311">
        <f>SUM(Q99:Q103)</f>
        <v>-14288108.254032806</v>
      </c>
      <c r="R104" s="311">
        <f t="shared" si="18"/>
        <v>-13062142.728809064</v>
      </c>
    </row>
    <row r="105" spans="1:18">
      <c r="B105" s="307"/>
      <c r="C105" s="308"/>
    </row>
    <row r="106" spans="1:18">
      <c r="A106" s="291">
        <f>A104+1</f>
        <v>30</v>
      </c>
      <c r="B106" s="307"/>
      <c r="C106" s="308" t="s">
        <v>447</v>
      </c>
      <c r="E106" s="306">
        <f>E104+E96</f>
        <v>173711640.58932915</v>
      </c>
      <c r="F106" s="306">
        <f t="shared" ref="F106:R106" si="19">F104+F96</f>
        <v>174545374.36046883</v>
      </c>
      <c r="G106" s="306">
        <f t="shared" si="19"/>
        <v>176353306.26870725</v>
      </c>
      <c r="H106" s="306">
        <f t="shared" si="19"/>
        <v>177827121.29260188</v>
      </c>
      <c r="I106" s="306">
        <f t="shared" si="19"/>
        <v>178844733.8081221</v>
      </c>
      <c r="J106" s="306">
        <f t="shared" si="19"/>
        <v>179956083.05680385</v>
      </c>
      <c r="K106" s="306">
        <f t="shared" si="19"/>
        <v>181693253.23055813</v>
      </c>
      <c r="L106" s="306">
        <f t="shared" si="19"/>
        <v>183443333.64855614</v>
      </c>
      <c r="M106" s="306">
        <f t="shared" si="19"/>
        <v>184888237.54434207</v>
      </c>
      <c r="N106" s="306">
        <f t="shared" si="19"/>
        <v>186498016.62294129</v>
      </c>
      <c r="O106" s="306">
        <f t="shared" si="19"/>
        <v>188120400.84779605</v>
      </c>
      <c r="P106" s="306">
        <f t="shared" si="19"/>
        <v>189158055.44835901</v>
      </c>
      <c r="Q106" s="306">
        <f t="shared" si="19"/>
        <v>190037022.64543164</v>
      </c>
      <c r="R106" s="306">
        <f t="shared" si="19"/>
        <v>181928967.64338592</v>
      </c>
    </row>
  </sheetData>
  <mergeCells count="8">
    <mergeCell ref="A59:R59"/>
    <mergeCell ref="A60:R60"/>
    <mergeCell ref="A1:R1"/>
    <mergeCell ref="A2:R2"/>
    <mergeCell ref="A3:R3"/>
    <mergeCell ref="A4:R4"/>
    <mergeCell ref="A57:R57"/>
    <mergeCell ref="A58:R58"/>
  </mergeCells>
  <printOptions horizontalCentered="1"/>
  <pageMargins left="0.5" right="0.5" top="0.75" bottom="0.5" header="0.3" footer="0.3"/>
  <pageSetup scale="48" fitToHeight="2" orientation="landscape" r:id="rId1"/>
  <rowBreaks count="1" manualBreakCount="1">
    <brk id="5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46"/>
  <sheetViews>
    <sheetView zoomScaleNormal="100" zoomScaleSheetLayoutView="100" workbookViewId="0">
      <selection activeCell="I7" sqref="I7"/>
    </sheetView>
  </sheetViews>
  <sheetFormatPr defaultColWidth="12.5" defaultRowHeight="12.75"/>
  <cols>
    <col min="1" max="1" width="4.1640625" style="972" customWidth="1"/>
    <col min="2" max="2" width="1.6640625" style="972" customWidth="1"/>
    <col min="3" max="3" width="7.5" style="972" customWidth="1"/>
    <col min="4" max="4" width="1.6640625" style="972" customWidth="1"/>
    <col min="5" max="5" width="31.6640625" style="972" customWidth="1"/>
    <col min="6" max="6" width="1.6640625" style="972" customWidth="1"/>
    <col min="7" max="7" width="12.5" style="972"/>
    <col min="8" max="8" width="5.6640625" style="972" customWidth="1"/>
    <col min="9" max="9" width="18.5" style="972" bestFit="1" customWidth="1"/>
    <col min="10" max="10" width="1.6640625" style="972" customWidth="1"/>
    <col min="11" max="11" width="18.5" style="972" bestFit="1" customWidth="1"/>
    <col min="12" max="12" width="1.6640625" style="972" customWidth="1"/>
    <col min="13" max="13" width="15.6640625" style="972" bestFit="1" customWidth="1"/>
    <col min="14" max="14" width="1.6640625" style="972" customWidth="1"/>
    <col min="15" max="15" width="32.6640625" style="972" bestFit="1" customWidth="1"/>
    <col min="16" max="16" width="4.6640625" style="972" customWidth="1"/>
    <col min="17" max="16384" width="12.5" style="972"/>
  </cols>
  <sheetData>
    <row r="1" spans="1:15">
      <c r="A1" s="1317" t="str">
        <f>'General Headers Index'!B4</f>
        <v>COLUMBIA GAS OF KENTUCKY, INC.</v>
      </c>
      <c r="B1" s="1317"/>
      <c r="C1" s="1317"/>
      <c r="D1" s="1317"/>
      <c r="E1" s="1317"/>
      <c r="F1" s="1317"/>
      <c r="G1" s="1317"/>
      <c r="H1" s="1317"/>
      <c r="I1" s="1317"/>
      <c r="J1" s="1317"/>
      <c r="K1" s="1317"/>
      <c r="L1" s="1317"/>
      <c r="M1" s="1317"/>
      <c r="N1" s="1317"/>
      <c r="O1" s="1317"/>
    </row>
    <row r="2" spans="1:15">
      <c r="A2" s="1317" t="str">
        <f>'General Headers Index'!B6</f>
        <v>CASE NO. 2024 - 00092</v>
      </c>
      <c r="B2" s="1317"/>
      <c r="C2" s="1317"/>
      <c r="D2" s="1317"/>
      <c r="E2" s="1317"/>
      <c r="F2" s="1317"/>
      <c r="G2" s="1317"/>
      <c r="H2" s="1317"/>
      <c r="I2" s="1317"/>
      <c r="J2" s="1317"/>
      <c r="K2" s="1317"/>
      <c r="L2" s="1317"/>
      <c r="M2" s="1317"/>
      <c r="N2" s="1317"/>
      <c r="O2" s="1317"/>
    </row>
    <row r="3" spans="1:15">
      <c r="A3" s="1317" t="s">
        <v>516</v>
      </c>
      <c r="B3" s="1317"/>
      <c r="C3" s="1317"/>
      <c r="D3" s="1317"/>
      <c r="E3" s="1317"/>
      <c r="F3" s="1317"/>
      <c r="G3" s="1317"/>
      <c r="H3" s="1317"/>
      <c r="I3" s="1317"/>
      <c r="J3" s="1317"/>
      <c r="K3" s="1317"/>
      <c r="L3" s="1317"/>
      <c r="M3" s="1317"/>
      <c r="N3" s="1317"/>
      <c r="O3" s="1317"/>
    </row>
    <row r="4" spans="1:15">
      <c r="A4" s="1317" t="str">
        <f>'General Headers Index'!B10</f>
        <v>AS OF AUGUST 31, 2024</v>
      </c>
      <c r="B4" s="1317"/>
      <c r="C4" s="1317"/>
      <c r="D4" s="1317"/>
      <c r="E4" s="1317"/>
      <c r="F4" s="1317"/>
      <c r="G4" s="1317"/>
      <c r="H4" s="1317"/>
      <c r="I4" s="1317"/>
      <c r="J4" s="1317"/>
      <c r="K4" s="1317"/>
      <c r="L4" s="1317"/>
      <c r="M4" s="1317"/>
      <c r="N4" s="1317"/>
      <c r="O4" s="1317"/>
    </row>
    <row r="5" spans="1:15">
      <c r="H5" s="511"/>
    </row>
    <row r="6" spans="1:15">
      <c r="A6" s="512" t="s">
        <v>2790</v>
      </c>
      <c r="O6" s="513" t="s">
        <v>517</v>
      </c>
    </row>
    <row r="7" spans="1:15">
      <c r="A7" s="512" t="str">
        <f>'General Headers Index'!B37</f>
        <v>TYPE OF FILING:___X___ORIGINAL______UPDATED</v>
      </c>
      <c r="O7" s="513" t="s">
        <v>309</v>
      </c>
    </row>
    <row r="8" spans="1:15">
      <c r="A8" s="512" t="s">
        <v>367</v>
      </c>
      <c r="O8" s="513" t="str">
        <f>"WITNESS: "&amp;'General Headers Index'!B42</f>
        <v>WITNESS: GORE</v>
      </c>
    </row>
    <row r="9" spans="1:15">
      <c r="A9" s="512"/>
      <c r="O9" s="513"/>
    </row>
    <row r="10" spans="1:15">
      <c r="A10" s="514"/>
      <c r="B10" s="514"/>
      <c r="C10" s="514"/>
      <c r="D10" s="514"/>
      <c r="E10" s="514"/>
      <c r="F10" s="514"/>
      <c r="G10" s="515" t="s">
        <v>502</v>
      </c>
      <c r="H10" s="514"/>
      <c r="I10" s="514"/>
      <c r="J10" s="514"/>
      <c r="K10" s="514"/>
      <c r="L10" s="514"/>
      <c r="M10" s="514"/>
      <c r="N10" s="514"/>
      <c r="O10" s="514"/>
    </row>
    <row r="11" spans="1:15">
      <c r="A11" s="512" t="s">
        <v>313</v>
      </c>
      <c r="C11" s="511" t="s">
        <v>368</v>
      </c>
      <c r="G11" s="511" t="s">
        <v>371</v>
      </c>
      <c r="I11" s="511" t="s">
        <v>350</v>
      </c>
      <c r="K11" s="511" t="s">
        <v>350</v>
      </c>
      <c r="M11" s="511" t="s">
        <v>430</v>
      </c>
      <c r="O11" s="511" t="s">
        <v>518</v>
      </c>
    </row>
    <row r="12" spans="1:15">
      <c r="A12" s="511" t="s">
        <v>316</v>
      </c>
      <c r="C12" s="511" t="s">
        <v>316</v>
      </c>
      <c r="E12" s="511" t="s">
        <v>504</v>
      </c>
      <c r="G12" s="511" t="s">
        <v>433</v>
      </c>
      <c r="I12" s="511" t="s">
        <v>354</v>
      </c>
      <c r="K12" s="511" t="s">
        <v>433</v>
      </c>
      <c r="M12" s="511" t="s">
        <v>318</v>
      </c>
      <c r="O12" s="511" t="s">
        <v>519</v>
      </c>
    </row>
    <row r="13" spans="1:15">
      <c r="A13" s="973" t="s">
        <v>506</v>
      </c>
      <c r="B13" s="974"/>
      <c r="C13" s="973" t="s">
        <v>507</v>
      </c>
      <c r="D13" s="974"/>
      <c r="E13" s="973" t="s">
        <v>508</v>
      </c>
      <c r="F13" s="974"/>
      <c r="G13" s="973" t="s">
        <v>509</v>
      </c>
      <c r="H13" s="974"/>
      <c r="I13" s="973" t="s">
        <v>510</v>
      </c>
      <c r="J13" s="974"/>
      <c r="K13" s="973" t="s">
        <v>511</v>
      </c>
      <c r="L13" s="974"/>
      <c r="M13" s="973" t="s">
        <v>512</v>
      </c>
      <c r="N13" s="974"/>
      <c r="O13" s="973" t="s">
        <v>513</v>
      </c>
    </row>
    <row r="15" spans="1:15">
      <c r="C15" s="516"/>
      <c r="E15" s="517"/>
      <c r="G15" s="516"/>
      <c r="I15" s="516"/>
      <c r="K15" s="516"/>
      <c r="M15" s="516"/>
      <c r="O15" s="516"/>
    </row>
    <row r="16" spans="1:15">
      <c r="C16" s="516"/>
      <c r="E16" s="516"/>
      <c r="G16" s="516"/>
      <c r="I16" s="516"/>
      <c r="K16" s="516"/>
      <c r="M16" s="516"/>
      <c r="O16" s="516"/>
    </row>
    <row r="17" spans="1:15">
      <c r="C17" s="516"/>
      <c r="E17" s="516"/>
      <c r="G17" s="516"/>
      <c r="I17" s="516"/>
      <c r="K17" s="516"/>
      <c r="M17" s="516"/>
      <c r="O17" s="516"/>
    </row>
    <row r="18" spans="1:15">
      <c r="C18" s="516"/>
      <c r="E18" s="516"/>
      <c r="G18" s="516"/>
      <c r="I18" s="516"/>
      <c r="K18" s="516"/>
      <c r="M18" s="516"/>
      <c r="O18" s="516"/>
    </row>
    <row r="19" spans="1:15">
      <c r="C19" s="516"/>
      <c r="E19" s="516"/>
      <c r="G19" s="516"/>
      <c r="I19" s="516"/>
      <c r="K19" s="516"/>
      <c r="M19" s="516"/>
      <c r="O19" s="516"/>
    </row>
    <row r="20" spans="1:15">
      <c r="A20" s="825" t="s">
        <v>1063</v>
      </c>
      <c r="B20" s="825"/>
      <c r="C20" s="826"/>
      <c r="D20" s="825"/>
      <c r="E20" s="826"/>
      <c r="F20" s="825"/>
      <c r="G20" s="826"/>
      <c r="H20" s="825"/>
      <c r="I20" s="825"/>
      <c r="J20" s="825"/>
      <c r="K20" s="826"/>
      <c r="L20" s="825"/>
      <c r="M20" s="826"/>
      <c r="N20" s="825"/>
      <c r="O20" s="826"/>
    </row>
    <row r="21" spans="1:15">
      <c r="A21" s="826" t="s">
        <v>1136</v>
      </c>
      <c r="B21" s="825"/>
      <c r="C21" s="826"/>
      <c r="D21" s="825"/>
      <c r="E21" s="826"/>
      <c r="F21" s="825"/>
      <c r="G21" s="826"/>
      <c r="H21" s="825"/>
      <c r="I21" s="825"/>
      <c r="J21" s="825"/>
      <c r="K21" s="826"/>
      <c r="L21" s="825"/>
      <c r="M21" s="826"/>
      <c r="N21" s="825"/>
      <c r="O21" s="826"/>
    </row>
    <row r="22" spans="1:15">
      <c r="C22" s="516"/>
      <c r="E22" s="516"/>
      <c r="G22" s="516"/>
      <c r="I22" s="516"/>
      <c r="K22" s="516"/>
      <c r="M22" s="516"/>
      <c r="O22" s="516"/>
    </row>
    <row r="23" spans="1:15">
      <c r="C23" s="516"/>
      <c r="E23" s="517"/>
      <c r="G23" s="516"/>
      <c r="I23" s="516"/>
      <c r="K23" s="516"/>
      <c r="M23" s="516"/>
      <c r="O23" s="516"/>
    </row>
    <row r="24" spans="1:15">
      <c r="C24" s="516"/>
      <c r="E24" s="516"/>
      <c r="G24" s="516"/>
      <c r="K24" s="516"/>
      <c r="M24" s="516"/>
      <c r="O24" s="516"/>
    </row>
    <row r="25" spans="1:15">
      <c r="C25" s="516"/>
      <c r="E25" s="516"/>
      <c r="G25" s="516"/>
      <c r="I25" s="516"/>
      <c r="K25" s="516"/>
      <c r="M25" s="516"/>
      <c r="O25" s="516"/>
    </row>
    <row r="26" spans="1:15">
      <c r="C26" s="516"/>
      <c r="E26" s="516"/>
      <c r="G26" s="516"/>
      <c r="I26" s="516"/>
      <c r="K26" s="516"/>
      <c r="M26" s="516"/>
      <c r="O26" s="516"/>
    </row>
    <row r="27" spans="1:15">
      <c r="C27" s="516"/>
      <c r="E27" s="516"/>
      <c r="G27" s="516"/>
      <c r="I27" s="516"/>
      <c r="K27" s="516"/>
      <c r="M27" s="516"/>
      <c r="O27" s="516"/>
    </row>
    <row r="28" spans="1:15">
      <c r="C28" s="516"/>
      <c r="E28" s="516"/>
      <c r="G28" s="516"/>
      <c r="I28" s="516"/>
      <c r="K28" s="516"/>
      <c r="M28" s="516"/>
      <c r="O28" s="516"/>
    </row>
    <row r="29" spans="1:15">
      <c r="C29" s="516"/>
      <c r="E29" s="517"/>
      <c r="G29" s="516"/>
      <c r="I29" s="516"/>
      <c r="K29" s="516"/>
      <c r="M29" s="516"/>
      <c r="O29" s="516"/>
    </row>
    <row r="30" spans="1:15">
      <c r="C30" s="516"/>
      <c r="E30" s="516"/>
      <c r="G30" s="516"/>
      <c r="I30" s="516"/>
      <c r="K30" s="516"/>
      <c r="M30" s="516"/>
      <c r="O30" s="516"/>
    </row>
    <row r="31" spans="1:15">
      <c r="C31" s="516"/>
      <c r="E31" s="516"/>
      <c r="G31" s="516"/>
      <c r="I31" s="516"/>
      <c r="K31" s="516"/>
      <c r="M31" s="516"/>
      <c r="O31" s="516"/>
    </row>
    <row r="32" spans="1:15">
      <c r="C32" s="516"/>
      <c r="E32" s="516"/>
      <c r="G32" s="516"/>
      <c r="I32" s="516"/>
      <c r="K32" s="516"/>
      <c r="M32" s="516"/>
      <c r="O32" s="516"/>
    </row>
    <row r="33" spans="3:15">
      <c r="C33" s="516"/>
      <c r="E33" s="516"/>
      <c r="G33" s="516"/>
      <c r="I33" s="516"/>
      <c r="K33" s="516"/>
      <c r="M33" s="516"/>
      <c r="O33" s="516"/>
    </row>
    <row r="34" spans="3:15">
      <c r="C34" s="516"/>
      <c r="E34" s="516"/>
      <c r="G34" s="516"/>
      <c r="I34" s="516"/>
      <c r="K34" s="516"/>
      <c r="M34" s="516"/>
      <c r="O34" s="516"/>
    </row>
    <row r="35" spans="3:15">
      <c r="C35" s="516"/>
      <c r="E35" s="516"/>
      <c r="G35" s="516"/>
      <c r="I35" s="516"/>
      <c r="K35" s="516"/>
      <c r="M35" s="516"/>
      <c r="O35" s="516"/>
    </row>
    <row r="36" spans="3:15">
      <c r="C36" s="516"/>
      <c r="E36" s="516"/>
      <c r="G36" s="516"/>
      <c r="I36" s="516"/>
      <c r="K36" s="516"/>
      <c r="M36" s="516"/>
      <c r="O36" s="516"/>
    </row>
    <row r="37" spans="3:15">
      <c r="C37" s="516"/>
      <c r="E37" s="516"/>
      <c r="G37" s="516"/>
      <c r="I37" s="516"/>
      <c r="K37" s="516"/>
      <c r="M37" s="516"/>
      <c r="O37" s="516"/>
    </row>
    <row r="38" spans="3:15">
      <c r="C38" s="516"/>
      <c r="E38" s="516"/>
      <c r="G38" s="516"/>
      <c r="I38" s="516"/>
      <c r="K38" s="516"/>
      <c r="M38" s="516"/>
      <c r="O38" s="516"/>
    </row>
    <row r="39" spans="3:15">
      <c r="C39" s="516"/>
      <c r="E39" s="516"/>
      <c r="G39" s="516"/>
      <c r="I39" s="516"/>
      <c r="K39" s="516"/>
      <c r="M39" s="516"/>
      <c r="O39" s="516"/>
    </row>
    <row r="40" spans="3:15">
      <c r="C40" s="516"/>
      <c r="E40" s="516"/>
      <c r="G40" s="516"/>
      <c r="I40" s="516"/>
      <c r="K40" s="516"/>
      <c r="M40" s="516"/>
      <c r="O40" s="516"/>
    </row>
    <row r="41" spans="3:15">
      <c r="C41" s="516"/>
      <c r="E41" s="516"/>
      <c r="G41" s="516"/>
      <c r="I41" s="516"/>
      <c r="K41" s="516"/>
      <c r="M41" s="516"/>
      <c r="O41" s="516"/>
    </row>
    <row r="42" spans="3:15">
      <c r="C42" s="516"/>
      <c r="E42" s="516"/>
      <c r="G42" s="516"/>
      <c r="I42" s="516"/>
      <c r="K42" s="516"/>
      <c r="M42" s="516"/>
      <c r="O42" s="516"/>
    </row>
    <row r="43" spans="3:15">
      <c r="C43" s="516"/>
      <c r="E43" s="516"/>
      <c r="G43" s="516"/>
      <c r="I43" s="516"/>
      <c r="K43" s="516"/>
      <c r="M43" s="516"/>
      <c r="O43" s="516"/>
    </row>
    <row r="44" spans="3:15">
      <c r="C44" s="516"/>
      <c r="E44" s="516"/>
      <c r="G44" s="516"/>
      <c r="I44" s="516"/>
      <c r="K44" s="516"/>
      <c r="M44" s="516"/>
      <c r="O44" s="516"/>
    </row>
    <row r="45" spans="3:15">
      <c r="C45" s="516"/>
      <c r="E45" s="516"/>
      <c r="G45" s="516"/>
      <c r="I45" s="516"/>
      <c r="K45" s="516"/>
      <c r="M45" s="516"/>
      <c r="O45" s="516"/>
    </row>
    <row r="46" spans="3:15">
      <c r="C46" s="516"/>
      <c r="E46" s="516"/>
      <c r="G46" s="516"/>
      <c r="I46" s="516"/>
      <c r="K46" s="516"/>
      <c r="M46" s="516"/>
      <c r="O46" s="516"/>
    </row>
  </sheetData>
  <mergeCells count="4">
    <mergeCell ref="A1:O1"/>
    <mergeCell ref="A2:O2"/>
    <mergeCell ref="A3:O3"/>
    <mergeCell ref="A4:O4"/>
  </mergeCells>
  <printOptions horizontalCentered="1"/>
  <pageMargins left="0.5" right="0.5" top="0.75" bottom="0.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46"/>
  <sheetViews>
    <sheetView zoomScaleNormal="100" zoomScaleSheetLayoutView="100" workbookViewId="0">
      <selection activeCell="K18" sqref="K18"/>
    </sheetView>
  </sheetViews>
  <sheetFormatPr defaultColWidth="12.5" defaultRowHeight="12.75"/>
  <cols>
    <col min="1" max="1" width="4.1640625" style="972" customWidth="1"/>
    <col min="2" max="2" width="1.6640625" style="972" customWidth="1"/>
    <col min="3" max="3" width="7.5" style="972" customWidth="1"/>
    <col min="4" max="4" width="1.6640625" style="972" customWidth="1"/>
    <col min="5" max="5" width="31.6640625" style="972" customWidth="1"/>
    <col min="6" max="6" width="1.6640625" style="972" customWidth="1"/>
    <col min="7" max="7" width="12.5" style="972"/>
    <col min="8" max="8" width="5.6640625" style="972" customWidth="1"/>
    <col min="9" max="9" width="18.5" style="972" bestFit="1" customWidth="1"/>
    <col min="10" max="10" width="1.6640625" style="972" customWidth="1"/>
    <col min="11" max="11" width="18.5" style="972" bestFit="1" customWidth="1"/>
    <col min="12" max="12" width="1.6640625" style="972" customWidth="1"/>
    <col min="13" max="13" width="15.6640625" style="972" bestFit="1" customWidth="1"/>
    <col min="14" max="14" width="1.6640625" style="972" customWidth="1"/>
    <col min="15" max="15" width="32.6640625" style="972" bestFit="1" customWidth="1"/>
    <col min="16" max="16" width="4.6640625" style="972" customWidth="1"/>
    <col min="17" max="16384" width="12.5" style="972"/>
  </cols>
  <sheetData>
    <row r="1" spans="1:15">
      <c r="A1" s="1317" t="str">
        <f>'General Headers Index'!B4</f>
        <v>COLUMBIA GAS OF KENTUCKY, INC.</v>
      </c>
      <c r="B1" s="1317"/>
      <c r="C1" s="1317"/>
      <c r="D1" s="1317"/>
      <c r="E1" s="1317"/>
      <c r="F1" s="1317"/>
      <c r="G1" s="1317"/>
      <c r="H1" s="1317"/>
      <c r="I1" s="1317"/>
      <c r="J1" s="1317"/>
      <c r="K1" s="1317"/>
      <c r="L1" s="1317"/>
      <c r="M1" s="1317"/>
      <c r="N1" s="1317"/>
      <c r="O1" s="1317"/>
    </row>
    <row r="2" spans="1:15">
      <c r="A2" s="1317" t="str">
        <f>'General Headers Index'!B6</f>
        <v>CASE NO. 2024 - 00092</v>
      </c>
      <c r="B2" s="1317"/>
      <c r="C2" s="1317"/>
      <c r="D2" s="1317"/>
      <c r="E2" s="1317"/>
      <c r="F2" s="1317"/>
      <c r="G2" s="1317"/>
      <c r="H2" s="1317"/>
      <c r="I2" s="1317"/>
      <c r="J2" s="1317"/>
      <c r="K2" s="1317"/>
      <c r="L2" s="1317"/>
      <c r="M2" s="1317"/>
      <c r="N2" s="1317"/>
      <c r="O2" s="1317"/>
    </row>
    <row r="3" spans="1:15">
      <c r="A3" s="1317" t="s">
        <v>516</v>
      </c>
      <c r="B3" s="1317"/>
      <c r="C3" s="1317"/>
      <c r="D3" s="1317"/>
      <c r="E3" s="1317"/>
      <c r="F3" s="1317"/>
      <c r="G3" s="1317"/>
      <c r="H3" s="1317"/>
      <c r="I3" s="1317"/>
      <c r="J3" s="1317"/>
      <c r="K3" s="1317"/>
      <c r="L3" s="1317"/>
      <c r="M3" s="1317"/>
      <c r="N3" s="1317"/>
      <c r="O3" s="1317"/>
    </row>
    <row r="4" spans="1:15">
      <c r="A4" s="1317" t="str">
        <f>'General Headers Index'!B18</f>
        <v>FORECASTED TEST PERIOD 12/31/2024 to 12/31/2025</v>
      </c>
      <c r="B4" s="1317"/>
      <c r="C4" s="1317"/>
      <c r="D4" s="1317"/>
      <c r="E4" s="1317"/>
      <c r="F4" s="1317"/>
      <c r="G4" s="1317"/>
      <c r="H4" s="1317"/>
      <c r="I4" s="1317"/>
      <c r="J4" s="1317"/>
      <c r="K4" s="1317"/>
      <c r="L4" s="1317"/>
      <c r="M4" s="1317"/>
      <c r="N4" s="1317"/>
      <c r="O4" s="1317"/>
    </row>
    <row r="5" spans="1:15">
      <c r="H5" s="511"/>
    </row>
    <row r="6" spans="1:15">
      <c r="A6" s="512" t="s">
        <v>2793</v>
      </c>
      <c r="O6" s="513" t="s">
        <v>517</v>
      </c>
    </row>
    <row r="7" spans="1:15">
      <c r="A7" s="512" t="str">
        <f>'General Headers Index'!B37</f>
        <v>TYPE OF FILING:___X___ORIGINAL______UPDATED</v>
      </c>
      <c r="O7" s="513" t="s">
        <v>650</v>
      </c>
    </row>
    <row r="8" spans="1:15">
      <c r="A8" s="512" t="s">
        <v>367</v>
      </c>
      <c r="O8" s="513" t="str">
        <f>"WITNESS: "&amp;'General Headers Index'!B42</f>
        <v>WITNESS: GORE</v>
      </c>
    </row>
    <row r="9" spans="1:15">
      <c r="A9" s="512"/>
      <c r="O9" s="513"/>
    </row>
    <row r="10" spans="1:15">
      <c r="A10" s="514"/>
      <c r="B10" s="514"/>
      <c r="C10" s="514"/>
      <c r="D10" s="514"/>
      <c r="E10" s="514"/>
      <c r="F10" s="514"/>
      <c r="G10" s="515" t="s">
        <v>688</v>
      </c>
      <c r="H10" s="514"/>
      <c r="I10" s="514"/>
      <c r="J10" s="514"/>
      <c r="K10" s="514"/>
      <c r="L10" s="514"/>
      <c r="M10" s="514"/>
      <c r="N10" s="514"/>
      <c r="O10" s="514"/>
    </row>
    <row r="11" spans="1:15">
      <c r="A11" s="512" t="s">
        <v>313</v>
      </c>
      <c r="C11" s="511" t="s">
        <v>368</v>
      </c>
      <c r="G11" s="511" t="s">
        <v>371</v>
      </c>
      <c r="I11" s="511" t="s">
        <v>350</v>
      </c>
      <c r="K11" s="511" t="s">
        <v>350</v>
      </c>
      <c r="M11" s="511" t="s">
        <v>430</v>
      </c>
      <c r="O11" s="511" t="s">
        <v>518</v>
      </c>
    </row>
    <row r="12" spans="1:15">
      <c r="A12" s="511" t="s">
        <v>316</v>
      </c>
      <c r="C12" s="511" t="s">
        <v>316</v>
      </c>
      <c r="E12" s="511" t="s">
        <v>504</v>
      </c>
      <c r="G12" s="511" t="s">
        <v>433</v>
      </c>
      <c r="I12" s="511" t="s">
        <v>354</v>
      </c>
      <c r="K12" s="511" t="s">
        <v>433</v>
      </c>
      <c r="M12" s="511" t="s">
        <v>318</v>
      </c>
      <c r="O12" s="511" t="s">
        <v>519</v>
      </c>
    </row>
    <row r="13" spans="1:15">
      <c r="A13" s="973" t="s">
        <v>506</v>
      </c>
      <c r="B13" s="974"/>
      <c r="C13" s="973" t="s">
        <v>507</v>
      </c>
      <c r="D13" s="974"/>
      <c r="E13" s="973" t="s">
        <v>508</v>
      </c>
      <c r="F13" s="974"/>
      <c r="G13" s="973" t="s">
        <v>509</v>
      </c>
      <c r="H13" s="974"/>
      <c r="I13" s="973" t="s">
        <v>510</v>
      </c>
      <c r="J13" s="974"/>
      <c r="K13" s="973" t="s">
        <v>511</v>
      </c>
      <c r="L13" s="974"/>
      <c r="M13" s="973" t="s">
        <v>512</v>
      </c>
      <c r="N13" s="974"/>
      <c r="O13" s="973" t="s">
        <v>513</v>
      </c>
    </row>
    <row r="15" spans="1:15">
      <c r="C15" s="516"/>
      <c r="E15" s="517"/>
      <c r="G15" s="516"/>
      <c r="I15" s="516"/>
      <c r="K15" s="516"/>
      <c r="M15" s="516"/>
      <c r="O15" s="516"/>
    </row>
    <row r="16" spans="1:15">
      <c r="C16" s="516"/>
      <c r="E16" s="516"/>
      <c r="G16" s="516"/>
      <c r="I16" s="516"/>
      <c r="K16" s="516"/>
      <c r="M16" s="516"/>
      <c r="O16" s="516"/>
    </row>
    <row r="17" spans="1:15">
      <c r="C17" s="516"/>
      <c r="E17" s="516"/>
      <c r="G17" s="516"/>
      <c r="I17" s="516"/>
      <c r="K17" s="516"/>
      <c r="M17" s="516"/>
      <c r="O17" s="516"/>
    </row>
    <row r="18" spans="1:15">
      <c r="C18" s="516"/>
      <c r="E18" s="516"/>
      <c r="G18" s="516"/>
      <c r="I18" s="516"/>
      <c r="K18" s="516"/>
      <c r="M18" s="516"/>
      <c r="O18" s="516"/>
    </row>
    <row r="19" spans="1:15">
      <c r="C19" s="516"/>
      <c r="E19" s="516"/>
      <c r="G19" s="516"/>
      <c r="I19" s="516"/>
      <c r="K19" s="516"/>
      <c r="M19" s="516"/>
      <c r="O19" s="516"/>
    </row>
    <row r="20" spans="1:15">
      <c r="A20" s="825" t="s">
        <v>1063</v>
      </c>
      <c r="B20" s="825"/>
      <c r="C20" s="826"/>
      <c r="D20" s="825"/>
      <c r="E20" s="826"/>
      <c r="F20" s="825"/>
      <c r="G20" s="826"/>
      <c r="H20" s="825"/>
      <c r="I20" s="825"/>
      <c r="J20" s="825"/>
      <c r="K20" s="826"/>
      <c r="L20" s="825"/>
      <c r="M20" s="826"/>
      <c r="N20" s="825"/>
      <c r="O20" s="826"/>
    </row>
    <row r="21" spans="1:15">
      <c r="A21" s="826" t="s">
        <v>1136</v>
      </c>
      <c r="B21" s="825"/>
      <c r="C21" s="826"/>
      <c r="D21" s="825"/>
      <c r="E21" s="826"/>
      <c r="F21" s="825"/>
      <c r="G21" s="826"/>
      <c r="H21" s="825"/>
      <c r="I21" s="825"/>
      <c r="J21" s="825"/>
      <c r="K21" s="826"/>
      <c r="L21" s="825"/>
      <c r="M21" s="826"/>
      <c r="N21" s="825"/>
      <c r="O21" s="826"/>
    </row>
    <row r="22" spans="1:15">
      <c r="C22" s="516"/>
      <c r="E22" s="516"/>
      <c r="G22" s="516"/>
      <c r="I22" s="516"/>
      <c r="K22" s="516"/>
      <c r="M22" s="516"/>
      <c r="O22" s="516"/>
    </row>
    <row r="23" spans="1:15">
      <c r="C23" s="516"/>
      <c r="E23" s="517"/>
      <c r="G23" s="516"/>
      <c r="I23" s="516"/>
      <c r="K23" s="516"/>
      <c r="M23" s="516"/>
      <c r="O23" s="516"/>
    </row>
    <row r="24" spans="1:15">
      <c r="C24" s="516"/>
      <c r="E24" s="516"/>
      <c r="G24" s="516"/>
      <c r="K24" s="516"/>
      <c r="M24" s="516"/>
      <c r="O24" s="516"/>
    </row>
    <row r="25" spans="1:15">
      <c r="C25" s="516"/>
      <c r="E25" s="516"/>
      <c r="G25" s="516"/>
      <c r="I25" s="516"/>
      <c r="K25" s="516"/>
      <c r="M25" s="516"/>
      <c r="O25" s="516"/>
    </row>
    <row r="26" spans="1:15">
      <c r="C26" s="516"/>
      <c r="E26" s="516"/>
      <c r="G26" s="516"/>
      <c r="I26" s="516"/>
      <c r="K26" s="516"/>
      <c r="M26" s="516"/>
      <c r="O26" s="516"/>
    </row>
    <row r="27" spans="1:15">
      <c r="C27" s="516"/>
      <c r="E27" s="516"/>
      <c r="G27" s="516"/>
      <c r="I27" s="516"/>
      <c r="K27" s="516"/>
      <c r="M27" s="516"/>
      <c r="O27" s="516"/>
    </row>
    <row r="28" spans="1:15">
      <c r="C28" s="516"/>
      <c r="E28" s="516"/>
      <c r="G28" s="516"/>
      <c r="I28" s="516"/>
      <c r="K28" s="516"/>
      <c r="M28" s="516"/>
      <c r="O28" s="516"/>
    </row>
    <row r="29" spans="1:15">
      <c r="C29" s="516"/>
      <c r="E29" s="517"/>
      <c r="G29" s="516"/>
      <c r="I29" s="516"/>
      <c r="K29" s="516"/>
      <c r="M29" s="516"/>
      <c r="O29" s="516"/>
    </row>
    <row r="30" spans="1:15">
      <c r="C30" s="516"/>
      <c r="E30" s="516"/>
      <c r="G30" s="516"/>
      <c r="I30" s="516"/>
      <c r="K30" s="516"/>
      <c r="M30" s="516"/>
      <c r="O30" s="516"/>
    </row>
    <row r="31" spans="1:15">
      <c r="C31" s="516"/>
      <c r="E31" s="516"/>
      <c r="G31" s="516"/>
      <c r="I31" s="516"/>
      <c r="K31" s="516"/>
      <c r="M31" s="516"/>
      <c r="O31" s="516"/>
    </row>
    <row r="32" spans="1:15">
      <c r="C32" s="516"/>
      <c r="E32" s="516"/>
      <c r="G32" s="516"/>
      <c r="I32" s="516"/>
      <c r="K32" s="516"/>
      <c r="M32" s="516"/>
      <c r="O32" s="516"/>
    </row>
    <row r="33" spans="3:15">
      <c r="C33" s="516"/>
      <c r="E33" s="516"/>
      <c r="G33" s="516"/>
      <c r="I33" s="516"/>
      <c r="K33" s="516"/>
      <c r="M33" s="516"/>
      <c r="O33" s="516"/>
    </row>
    <row r="34" spans="3:15">
      <c r="C34" s="516"/>
      <c r="E34" s="516"/>
      <c r="G34" s="516"/>
      <c r="I34" s="516"/>
      <c r="K34" s="516"/>
      <c r="M34" s="516"/>
      <c r="O34" s="516"/>
    </row>
    <row r="35" spans="3:15">
      <c r="C35" s="516"/>
      <c r="E35" s="516"/>
      <c r="G35" s="516"/>
      <c r="I35" s="516"/>
      <c r="K35" s="516"/>
      <c r="M35" s="516"/>
      <c r="O35" s="516"/>
    </row>
    <row r="36" spans="3:15">
      <c r="C36" s="516"/>
      <c r="E36" s="516"/>
      <c r="G36" s="516"/>
      <c r="I36" s="516"/>
      <c r="K36" s="516"/>
      <c r="M36" s="516"/>
      <c r="O36" s="516"/>
    </row>
    <row r="37" spans="3:15">
      <c r="C37" s="516"/>
      <c r="E37" s="516"/>
      <c r="G37" s="516"/>
      <c r="I37" s="516"/>
      <c r="K37" s="516"/>
      <c r="M37" s="516"/>
      <c r="O37" s="516"/>
    </row>
    <row r="38" spans="3:15">
      <c r="C38" s="516"/>
      <c r="E38" s="516"/>
      <c r="G38" s="516"/>
      <c r="I38" s="516"/>
      <c r="K38" s="516"/>
      <c r="M38" s="516"/>
      <c r="O38" s="516"/>
    </row>
    <row r="39" spans="3:15">
      <c r="C39" s="516"/>
      <c r="E39" s="516"/>
      <c r="G39" s="516"/>
      <c r="I39" s="516"/>
      <c r="K39" s="516"/>
      <c r="M39" s="516"/>
      <c r="O39" s="516"/>
    </row>
    <row r="40" spans="3:15">
      <c r="C40" s="516"/>
      <c r="E40" s="516"/>
      <c r="G40" s="516"/>
      <c r="I40" s="516"/>
      <c r="K40" s="516"/>
      <c r="M40" s="516"/>
      <c r="O40" s="516"/>
    </row>
    <row r="41" spans="3:15">
      <c r="C41" s="516"/>
      <c r="E41" s="516"/>
      <c r="G41" s="516"/>
      <c r="I41" s="516"/>
      <c r="K41" s="516"/>
      <c r="M41" s="516"/>
      <c r="O41" s="516"/>
    </row>
    <row r="42" spans="3:15">
      <c r="C42" s="516"/>
      <c r="E42" s="516"/>
      <c r="G42" s="516"/>
      <c r="I42" s="516"/>
      <c r="K42" s="516"/>
      <c r="M42" s="516"/>
      <c r="O42" s="516"/>
    </row>
    <row r="43" spans="3:15">
      <c r="C43" s="516"/>
      <c r="E43" s="516"/>
      <c r="G43" s="516"/>
      <c r="I43" s="516"/>
      <c r="K43" s="516"/>
      <c r="M43" s="516"/>
      <c r="O43" s="516"/>
    </row>
    <row r="44" spans="3:15">
      <c r="C44" s="516"/>
      <c r="E44" s="516"/>
      <c r="G44" s="516"/>
      <c r="I44" s="516"/>
      <c r="K44" s="516"/>
      <c r="M44" s="516"/>
      <c r="O44" s="516"/>
    </row>
    <row r="45" spans="3:15">
      <c r="C45" s="516"/>
      <c r="E45" s="516"/>
      <c r="G45" s="516"/>
      <c r="I45" s="516"/>
      <c r="K45" s="516"/>
      <c r="M45" s="516"/>
      <c r="O45" s="516"/>
    </row>
    <row r="46" spans="3:15">
      <c r="C46" s="516"/>
      <c r="E46" s="516"/>
      <c r="G46" s="516"/>
      <c r="I46" s="516"/>
      <c r="K46" s="516"/>
      <c r="M46" s="516"/>
      <c r="O46" s="516"/>
    </row>
  </sheetData>
  <mergeCells count="4">
    <mergeCell ref="A1:O1"/>
    <mergeCell ref="A2:O2"/>
    <mergeCell ref="A3:O3"/>
    <mergeCell ref="A4:O4"/>
  </mergeCells>
  <printOptions horizontalCentered="1"/>
  <pageMargins left="0.5" right="0.5" top="0.75" bottom="0.5"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U139"/>
  <sheetViews>
    <sheetView zoomScaleNormal="100" zoomScaleSheetLayoutView="100" workbookViewId="0">
      <selection activeCell="D30" sqref="D30"/>
    </sheetView>
  </sheetViews>
  <sheetFormatPr defaultColWidth="6.1640625" defaultRowHeight="10.5"/>
  <cols>
    <col min="1" max="1" width="5" style="975" customWidth="1"/>
    <col min="2" max="2" width="3.33203125" style="975" customWidth="1"/>
    <col min="3" max="3" width="9.33203125" style="975" bestFit="1" customWidth="1"/>
    <col min="4" max="4" width="50.33203125" style="975" bestFit="1" customWidth="1"/>
    <col min="5" max="5" width="3.5" style="975" customWidth="1"/>
    <col min="6" max="6" width="13.5" style="975" customWidth="1"/>
    <col min="7" max="7" width="3.6640625" style="975" customWidth="1"/>
    <col min="8" max="8" width="27" style="975" bestFit="1" customWidth="1"/>
    <col min="9" max="9" width="3.6640625" style="975" customWidth="1"/>
    <col min="10" max="10" width="13.5" style="975" bestFit="1" customWidth="1"/>
    <col min="11" max="11" width="3.33203125" style="975" customWidth="1"/>
    <col min="12" max="12" width="18.5" style="975" bestFit="1" customWidth="1"/>
    <col min="13" max="13" width="3.1640625" style="975" customWidth="1"/>
    <col min="14" max="14" width="12" style="975" bestFit="1" customWidth="1"/>
    <col min="15" max="15" width="2.6640625" style="975" customWidth="1"/>
    <col min="16" max="16" width="2.5" style="975" customWidth="1"/>
    <col min="17" max="17" width="10.33203125" style="975" bestFit="1" customWidth="1"/>
    <col min="18" max="16384" width="6.1640625" style="975"/>
  </cols>
  <sheetData>
    <row r="1" spans="1:21" ht="12.75">
      <c r="A1" s="980" t="str">
        <f>'General Headers Index'!B4</f>
        <v>COLUMBIA GAS OF KENTUCKY, INC.</v>
      </c>
      <c r="B1" s="980"/>
      <c r="C1" s="980"/>
      <c r="D1" s="980"/>
      <c r="E1" s="980"/>
      <c r="F1" s="980"/>
      <c r="G1" s="980"/>
      <c r="H1" s="980"/>
      <c r="I1" s="980"/>
      <c r="J1" s="980"/>
      <c r="K1" s="980"/>
      <c r="L1" s="980"/>
      <c r="M1" s="980"/>
      <c r="N1" s="980"/>
      <c r="O1" s="509"/>
      <c r="P1" s="492"/>
      <c r="Q1" s="492"/>
    </row>
    <row r="2" spans="1:21" ht="12.75">
      <c r="A2" s="980" t="str">
        <f>'General Headers Index'!B6</f>
        <v>CASE NO. 2024 - 00092</v>
      </c>
      <c r="B2" s="980"/>
      <c r="C2" s="980"/>
      <c r="D2" s="980"/>
      <c r="E2" s="980"/>
      <c r="F2" s="980"/>
      <c r="G2" s="980"/>
      <c r="H2" s="980"/>
      <c r="I2" s="980"/>
      <c r="J2" s="980"/>
      <c r="K2" s="980"/>
      <c r="L2" s="980"/>
      <c r="M2" s="980"/>
      <c r="N2" s="980"/>
      <c r="O2" s="980"/>
      <c r="P2" s="492"/>
      <c r="Q2" s="492"/>
    </row>
    <row r="3" spans="1:21" ht="12.75">
      <c r="A3" s="980" t="s">
        <v>971</v>
      </c>
      <c r="B3" s="980"/>
      <c r="C3" s="980"/>
      <c r="D3" s="980"/>
      <c r="E3" s="980"/>
      <c r="F3" s="980"/>
      <c r="G3" s="980"/>
      <c r="H3" s="980"/>
      <c r="I3" s="980"/>
      <c r="J3" s="980"/>
      <c r="K3" s="980"/>
      <c r="L3" s="980"/>
      <c r="M3" s="980"/>
      <c r="N3" s="980"/>
      <c r="O3" s="492"/>
      <c r="P3" s="492"/>
      <c r="Q3" s="492"/>
    </row>
    <row r="4" spans="1:21" ht="12.75">
      <c r="A4" s="980" t="str">
        <f>'General Headers Index'!B26</f>
        <v>AS OF FEBRUARY 29, 2024</v>
      </c>
      <c r="B4" s="980"/>
      <c r="C4" s="980"/>
      <c r="D4" s="980"/>
      <c r="E4" s="980"/>
      <c r="F4" s="980"/>
      <c r="G4" s="980"/>
      <c r="H4" s="980"/>
      <c r="I4" s="980"/>
      <c r="J4" s="980"/>
      <c r="K4" s="980"/>
      <c r="L4" s="980"/>
      <c r="M4" s="980"/>
      <c r="N4" s="980"/>
      <c r="O4" s="492"/>
      <c r="P4" s="492"/>
      <c r="Q4" s="492"/>
    </row>
    <row r="5" spans="1:21" ht="12.75">
      <c r="A5" s="492"/>
      <c r="B5" s="492"/>
      <c r="C5" s="492"/>
      <c r="D5" s="492"/>
      <c r="E5" s="492"/>
      <c r="F5" s="492"/>
      <c r="G5" s="492"/>
      <c r="H5" s="492"/>
      <c r="I5" s="492"/>
      <c r="J5" s="492"/>
      <c r="K5" s="492"/>
      <c r="L5" s="492"/>
      <c r="M5" s="492"/>
      <c r="N5" s="492"/>
      <c r="O5" s="492"/>
      <c r="P5" s="492"/>
      <c r="Q5" s="492"/>
    </row>
    <row r="6" spans="1:21" ht="12.75">
      <c r="A6" s="220" t="s">
        <v>2786</v>
      </c>
      <c r="B6" s="492"/>
      <c r="C6" s="492"/>
      <c r="D6" s="492"/>
      <c r="E6" s="492"/>
      <c r="F6" s="492"/>
      <c r="G6" s="492"/>
      <c r="H6" s="492"/>
      <c r="I6" s="492"/>
      <c r="J6" s="492"/>
      <c r="K6" s="492"/>
      <c r="L6" s="492"/>
      <c r="N6" s="494" t="s">
        <v>525</v>
      </c>
      <c r="O6" s="492"/>
      <c r="P6" s="492"/>
      <c r="Q6" s="492"/>
    </row>
    <row r="7" spans="1:21" ht="12.75">
      <c r="A7" s="495" t="str">
        <f>'General Headers Index'!B37</f>
        <v>TYPE OF FILING:___X___ORIGINAL______UPDATED</v>
      </c>
      <c r="B7" s="492"/>
      <c r="C7" s="492"/>
      <c r="D7" s="492"/>
      <c r="E7" s="492"/>
      <c r="F7" s="492"/>
      <c r="G7" s="492"/>
      <c r="H7" s="492"/>
      <c r="I7" s="492"/>
      <c r="J7" s="492"/>
      <c r="K7" s="492"/>
      <c r="L7" s="492"/>
      <c r="N7" s="494" t="s">
        <v>722</v>
      </c>
      <c r="O7" s="492"/>
      <c r="P7" s="492"/>
      <c r="Q7" s="492"/>
    </row>
    <row r="8" spans="1:21" ht="12.75">
      <c r="A8" s="495" t="s">
        <v>2473</v>
      </c>
      <c r="B8" s="492"/>
      <c r="C8" s="492"/>
      <c r="D8" s="492"/>
      <c r="E8" s="492"/>
      <c r="F8" s="492"/>
      <c r="G8" s="492"/>
      <c r="H8" s="492"/>
      <c r="I8" s="492"/>
      <c r="J8" s="492"/>
      <c r="K8" s="492"/>
      <c r="L8" s="492"/>
      <c r="N8" s="494" t="str">
        <f>"WITNESS: "&amp;'General Headers Index'!B42</f>
        <v>WITNESS: GORE</v>
      </c>
      <c r="O8" s="492"/>
      <c r="P8" s="492"/>
      <c r="Q8" s="492"/>
      <c r="U8" s="496"/>
    </row>
    <row r="9" spans="1:21" ht="12.75">
      <c r="A9" s="495"/>
      <c r="B9" s="492"/>
      <c r="C9" s="492"/>
      <c r="D9" s="492"/>
      <c r="E9" s="492"/>
      <c r="F9" s="492"/>
      <c r="G9" s="492"/>
      <c r="H9" s="492"/>
      <c r="I9" s="492"/>
      <c r="J9" s="492"/>
      <c r="K9" s="492"/>
      <c r="L9" s="492"/>
      <c r="N9" s="492"/>
      <c r="O9" s="492"/>
      <c r="P9" s="492"/>
      <c r="Q9" s="492"/>
    </row>
    <row r="10" spans="1:21" ht="12.75">
      <c r="A10" s="497"/>
      <c r="B10" s="497"/>
      <c r="C10" s="497"/>
      <c r="D10" s="497"/>
      <c r="E10" s="497"/>
      <c r="F10" s="498"/>
      <c r="G10" s="498"/>
      <c r="H10" s="499" t="s">
        <v>526</v>
      </c>
      <c r="I10" s="498"/>
      <c r="J10" s="497"/>
      <c r="K10" s="497"/>
      <c r="L10" s="497"/>
      <c r="M10" s="497"/>
      <c r="N10" s="497"/>
      <c r="O10" s="492"/>
      <c r="P10" s="492"/>
      <c r="Q10" s="492"/>
    </row>
    <row r="11" spans="1:21" ht="12.75">
      <c r="A11" s="493"/>
      <c r="B11" s="492"/>
      <c r="C11" s="492"/>
      <c r="D11" s="492"/>
      <c r="E11" s="492"/>
      <c r="F11" s="493" t="s">
        <v>349</v>
      </c>
      <c r="G11" s="492"/>
      <c r="H11" s="492"/>
      <c r="I11" s="492"/>
      <c r="J11" s="493" t="s">
        <v>561</v>
      </c>
      <c r="K11" s="492"/>
      <c r="L11" s="500"/>
      <c r="M11" s="500"/>
      <c r="O11" s="492"/>
      <c r="P11" s="492"/>
      <c r="Q11" s="492"/>
    </row>
    <row r="12" spans="1:21" ht="12.75">
      <c r="A12" s="493" t="s">
        <v>313</v>
      </c>
      <c r="B12" s="492"/>
      <c r="C12" s="493"/>
      <c r="E12" s="492"/>
      <c r="F12" s="493" t="s">
        <v>561</v>
      </c>
      <c r="G12" s="492"/>
      <c r="H12" s="493" t="s">
        <v>528</v>
      </c>
      <c r="I12" s="492"/>
      <c r="J12" s="493" t="s">
        <v>444</v>
      </c>
      <c r="K12" s="492"/>
      <c r="L12" s="493"/>
      <c r="M12" s="492"/>
      <c r="N12" s="493" t="s">
        <v>349</v>
      </c>
      <c r="O12" s="492"/>
      <c r="P12" s="492"/>
      <c r="Q12" s="492"/>
    </row>
    <row r="13" spans="1:21" ht="12.75">
      <c r="A13" s="493" t="s">
        <v>316</v>
      </c>
      <c r="B13" s="492"/>
      <c r="C13" s="493" t="s">
        <v>982</v>
      </c>
      <c r="D13" s="493" t="s">
        <v>527</v>
      </c>
      <c r="E13" s="492"/>
      <c r="F13" s="493" t="s">
        <v>444</v>
      </c>
      <c r="G13" s="492"/>
      <c r="H13" s="493" t="s">
        <v>444</v>
      </c>
      <c r="I13" s="492"/>
      <c r="J13" s="493" t="s">
        <v>562</v>
      </c>
      <c r="K13" s="492"/>
      <c r="L13" s="493" t="s">
        <v>350</v>
      </c>
      <c r="M13" s="492"/>
      <c r="N13" s="493" t="s">
        <v>453</v>
      </c>
      <c r="P13" s="492"/>
      <c r="Q13" s="492"/>
    </row>
    <row r="14" spans="1:21" ht="12.75">
      <c r="A14" s="976" t="s">
        <v>506</v>
      </c>
      <c r="B14" s="977"/>
      <c r="C14" s="976" t="s">
        <v>507</v>
      </c>
      <c r="D14" s="976" t="s">
        <v>508</v>
      </c>
      <c r="E14" s="977"/>
      <c r="F14" s="976" t="s">
        <v>509</v>
      </c>
      <c r="G14" s="977"/>
      <c r="H14" s="976" t="s">
        <v>510</v>
      </c>
      <c r="I14" s="977"/>
      <c r="J14" s="978" t="s">
        <v>577</v>
      </c>
      <c r="K14" s="977"/>
      <c r="L14" s="978" t="s">
        <v>512</v>
      </c>
      <c r="M14" s="977"/>
      <c r="N14" s="978" t="s">
        <v>578</v>
      </c>
      <c r="P14" s="492"/>
      <c r="Q14" s="492"/>
    </row>
    <row r="15" spans="1:21" ht="12.75">
      <c r="A15" s="493"/>
      <c r="B15" s="492"/>
      <c r="C15" s="493"/>
      <c r="D15" s="493"/>
      <c r="E15" s="492"/>
      <c r="F15" s="300" t="s">
        <v>532</v>
      </c>
      <c r="H15" s="300" t="s">
        <v>2640</v>
      </c>
      <c r="I15" s="492"/>
      <c r="J15" s="300" t="s">
        <v>542</v>
      </c>
      <c r="K15" s="492"/>
      <c r="L15" s="300" t="s">
        <v>668</v>
      </c>
      <c r="M15" s="492"/>
      <c r="N15" s="300" t="s">
        <v>2641</v>
      </c>
      <c r="P15" s="492"/>
      <c r="Q15" s="492"/>
    </row>
    <row r="16" spans="1:21" ht="12.75">
      <c r="A16" s="493"/>
      <c r="B16" s="492"/>
      <c r="C16" s="492"/>
      <c r="D16" s="492"/>
      <c r="E16" s="492"/>
      <c r="F16" s="493" t="s">
        <v>320</v>
      </c>
      <c r="G16" s="492"/>
      <c r="H16" s="493" t="s">
        <v>320</v>
      </c>
      <c r="I16" s="492"/>
      <c r="J16" s="493" t="s">
        <v>320</v>
      </c>
      <c r="K16" s="492"/>
      <c r="L16" s="493" t="s">
        <v>529</v>
      </c>
      <c r="M16" s="492"/>
      <c r="N16" s="493" t="s">
        <v>320</v>
      </c>
      <c r="P16" s="492"/>
      <c r="Q16" s="492"/>
    </row>
    <row r="17" spans="1:21" ht="12.75">
      <c r="A17" s="493"/>
      <c r="B17" s="492"/>
      <c r="C17" s="492"/>
      <c r="D17" s="492"/>
      <c r="E17" s="492"/>
      <c r="F17" s="493"/>
      <c r="G17" s="492"/>
      <c r="H17" s="493"/>
      <c r="I17" s="492"/>
      <c r="J17" s="493"/>
      <c r="K17" s="492"/>
      <c r="L17" s="493"/>
      <c r="M17" s="492"/>
      <c r="N17" s="493"/>
      <c r="P17" s="492"/>
      <c r="Q17" s="492"/>
    </row>
    <row r="18" spans="1:21" ht="12.75">
      <c r="A18" s="493">
        <v>1</v>
      </c>
      <c r="B18" s="492"/>
      <c r="C18" s="301" t="s">
        <v>373</v>
      </c>
      <c r="D18" s="492"/>
      <c r="E18" s="492"/>
      <c r="F18" s="492"/>
      <c r="G18" s="492"/>
      <c r="H18" s="492"/>
      <c r="I18" s="492"/>
      <c r="J18" s="492"/>
      <c r="K18" s="492"/>
      <c r="L18" s="492"/>
      <c r="M18" s="492"/>
      <c r="N18" s="492"/>
      <c r="P18" s="492"/>
      <c r="Q18" s="492"/>
    </row>
    <row r="19" spans="1:21" ht="12.75">
      <c r="A19" s="493">
        <f>A18+1</f>
        <v>2</v>
      </c>
      <c r="B19" s="492"/>
      <c r="C19" s="501">
        <v>303</v>
      </c>
      <c r="D19" s="496" t="s">
        <v>563</v>
      </c>
      <c r="E19" s="492"/>
      <c r="F19" s="492">
        <v>0</v>
      </c>
      <c r="G19" s="492"/>
      <c r="H19" s="492">
        <f>F19-J19</f>
        <v>0</v>
      </c>
      <c r="I19" s="492"/>
      <c r="J19" s="492">
        <v>0</v>
      </c>
      <c r="K19" s="492"/>
      <c r="L19" s="493" t="s">
        <v>530</v>
      </c>
      <c r="M19" s="492"/>
      <c r="N19" s="492">
        <f>J19</f>
        <v>0</v>
      </c>
      <c r="P19" s="492"/>
      <c r="Q19" s="492"/>
    </row>
    <row r="20" spans="1:21" ht="12.75">
      <c r="A20" s="493">
        <f>A19+1</f>
        <v>3</v>
      </c>
      <c r="B20" s="492"/>
      <c r="C20" s="501">
        <v>303.3</v>
      </c>
      <c r="D20" s="496" t="s">
        <v>563</v>
      </c>
      <c r="E20" s="492"/>
      <c r="F20" s="492">
        <v>3251637.56</v>
      </c>
      <c r="G20" s="492"/>
      <c r="H20" s="492">
        <f>F20-J20</f>
        <v>3251637.56</v>
      </c>
      <c r="I20" s="492"/>
      <c r="J20" s="492">
        <v>0</v>
      </c>
      <c r="K20" s="492"/>
      <c r="L20" s="493"/>
      <c r="M20" s="492"/>
      <c r="N20" s="492">
        <f>J20</f>
        <v>0</v>
      </c>
      <c r="P20" s="492"/>
      <c r="Q20" s="492"/>
    </row>
    <row r="21" spans="1:21" ht="12.75">
      <c r="A21" s="493">
        <f>A20+1</f>
        <v>4</v>
      </c>
      <c r="B21" s="492"/>
      <c r="C21" s="501">
        <v>303.99</v>
      </c>
      <c r="D21" s="502" t="s">
        <v>1129</v>
      </c>
      <c r="E21" s="492"/>
      <c r="F21" s="979">
        <v>1432321.31</v>
      </c>
      <c r="G21" s="492"/>
      <c r="H21" s="979">
        <f>F21-J21</f>
        <v>1432321.31</v>
      </c>
      <c r="I21" s="492"/>
      <c r="J21" s="979">
        <v>0</v>
      </c>
      <c r="K21" s="492"/>
      <c r="L21" s="492"/>
      <c r="M21" s="492"/>
      <c r="N21" s="979">
        <f>J21</f>
        <v>0</v>
      </c>
      <c r="P21" s="492"/>
      <c r="Q21" s="492"/>
      <c r="U21" s="496"/>
    </row>
    <row r="22" spans="1:21" ht="12.75">
      <c r="A22" s="493">
        <f>A21+1</f>
        <v>5</v>
      </c>
      <c r="B22" s="492"/>
      <c r="C22" s="492"/>
      <c r="D22" s="496" t="s">
        <v>531</v>
      </c>
      <c r="E22" s="492"/>
      <c r="F22" s="1287">
        <f>SUM(F19:F21)</f>
        <v>4683958.87</v>
      </c>
      <c r="G22" s="492"/>
      <c r="H22" s="492">
        <f>SUM(H19:H21)</f>
        <v>4683958.87</v>
      </c>
      <c r="I22" s="492"/>
      <c r="J22" s="492">
        <f>SUM(J19:J21)</f>
        <v>0</v>
      </c>
      <c r="K22" s="492"/>
      <c r="L22" s="492"/>
      <c r="M22" s="492"/>
      <c r="N22" s="492">
        <f>SUM(N19:N21)</f>
        <v>0</v>
      </c>
      <c r="P22" s="492"/>
      <c r="Q22" s="492"/>
    </row>
    <row r="23" spans="1:21" ht="12.75">
      <c r="A23" s="493"/>
      <c r="B23" s="492"/>
      <c r="C23" s="492"/>
      <c r="D23" s="496"/>
      <c r="E23" s="492"/>
      <c r="F23" s="492"/>
      <c r="G23" s="492"/>
      <c r="H23" s="492"/>
      <c r="I23" s="492"/>
      <c r="J23" s="492"/>
      <c r="K23" s="492"/>
      <c r="L23" s="492"/>
      <c r="M23" s="492"/>
      <c r="N23" s="492"/>
      <c r="P23" s="492"/>
      <c r="Q23" s="492"/>
    </row>
    <row r="24" spans="1:21" ht="12.75">
      <c r="A24" s="493">
        <f>A22+1</f>
        <v>6</v>
      </c>
      <c r="B24" s="492"/>
      <c r="C24" s="301" t="s">
        <v>1600</v>
      </c>
      <c r="D24" s="496"/>
      <c r="E24" s="492"/>
      <c r="F24" s="492"/>
      <c r="G24" s="492"/>
      <c r="H24" s="492"/>
      <c r="I24" s="492"/>
      <c r="J24" s="492"/>
      <c r="K24" s="492"/>
      <c r="L24" s="492"/>
      <c r="M24" s="492"/>
      <c r="N24" s="492"/>
      <c r="P24" s="492"/>
      <c r="Q24" s="492"/>
    </row>
    <row r="25" spans="1:21" ht="12.75">
      <c r="A25" s="493">
        <f>A24+1</f>
        <v>7</v>
      </c>
      <c r="B25" s="492"/>
      <c r="C25" s="501">
        <v>374.2</v>
      </c>
      <c r="D25" s="503" t="s">
        <v>383</v>
      </c>
      <c r="E25" s="492"/>
      <c r="F25" s="492">
        <v>41783.72</v>
      </c>
      <c r="G25" s="492"/>
      <c r="H25" s="492">
        <f t="shared" ref="H25:H41" si="0">F25-J25</f>
        <v>41783.72</v>
      </c>
      <c r="I25" s="492"/>
      <c r="J25" s="492">
        <v>0</v>
      </c>
      <c r="K25" s="492"/>
      <c r="L25" s="492"/>
      <c r="M25" s="492"/>
      <c r="N25" s="492">
        <f t="shared" ref="N25:N41" si="1">J25</f>
        <v>0</v>
      </c>
      <c r="P25" s="492"/>
      <c r="Q25" s="492"/>
    </row>
    <row r="26" spans="1:21" ht="12.75">
      <c r="A26" s="493">
        <f>A25+1</f>
        <v>8</v>
      </c>
      <c r="B26" s="492"/>
      <c r="C26" s="501">
        <v>374.4</v>
      </c>
      <c r="D26" s="496" t="s">
        <v>564</v>
      </c>
      <c r="E26" s="492"/>
      <c r="F26" s="492">
        <v>291736.15000000002</v>
      </c>
      <c r="G26" s="492"/>
      <c r="H26" s="492">
        <f t="shared" si="0"/>
        <v>291736.15000000002</v>
      </c>
      <c r="I26" s="492"/>
      <c r="J26" s="492">
        <v>0</v>
      </c>
      <c r="K26" s="492"/>
      <c r="L26" s="492"/>
      <c r="M26" s="492"/>
      <c r="N26" s="492"/>
      <c r="P26" s="492"/>
      <c r="Q26" s="492"/>
    </row>
    <row r="27" spans="1:21" ht="12.75">
      <c r="A27" s="493">
        <f t="shared" ref="A27:A42" si="2">A26+1</f>
        <v>9</v>
      </c>
      <c r="B27" s="492"/>
      <c r="C27" s="501">
        <v>375.4</v>
      </c>
      <c r="D27" s="496" t="s">
        <v>565</v>
      </c>
      <c r="E27" s="492"/>
      <c r="F27" s="492">
        <v>-42452.25</v>
      </c>
      <c r="G27" s="492"/>
      <c r="H27" s="492">
        <f t="shared" si="0"/>
        <v>-42452.25</v>
      </c>
      <c r="I27" s="492"/>
      <c r="J27" s="492">
        <v>0</v>
      </c>
      <c r="K27" s="492"/>
      <c r="L27" s="492"/>
      <c r="M27" s="492"/>
      <c r="N27" s="492">
        <f t="shared" si="1"/>
        <v>0</v>
      </c>
      <c r="P27" s="492"/>
      <c r="Q27" s="492"/>
    </row>
    <row r="28" spans="1:21" ht="12.75">
      <c r="A28" s="493">
        <f t="shared" si="2"/>
        <v>10</v>
      </c>
      <c r="B28" s="492"/>
      <c r="C28" s="501">
        <v>375.7</v>
      </c>
      <c r="D28" s="496" t="s">
        <v>566</v>
      </c>
      <c r="E28" s="492"/>
      <c r="F28" s="492">
        <v>0</v>
      </c>
      <c r="G28" s="492"/>
      <c r="H28" s="492">
        <f t="shared" si="0"/>
        <v>0</v>
      </c>
      <c r="I28" s="492"/>
      <c r="J28" s="492">
        <v>0</v>
      </c>
      <c r="K28" s="492"/>
      <c r="L28" s="492"/>
      <c r="M28" s="492"/>
      <c r="N28" s="492">
        <f t="shared" si="1"/>
        <v>0</v>
      </c>
      <c r="P28" s="492"/>
      <c r="Q28" s="492"/>
    </row>
    <row r="29" spans="1:21" ht="12.75">
      <c r="A29" s="493">
        <f t="shared" si="2"/>
        <v>11</v>
      </c>
      <c r="B29" s="492"/>
      <c r="C29" s="501">
        <v>375.8</v>
      </c>
      <c r="D29" s="503" t="s">
        <v>392</v>
      </c>
      <c r="E29" s="492"/>
      <c r="F29" s="492">
        <v>-46.78</v>
      </c>
      <c r="G29" s="492"/>
      <c r="H29" s="492">
        <f t="shared" si="0"/>
        <v>-46.78</v>
      </c>
      <c r="I29" s="492"/>
      <c r="J29" s="492">
        <v>0</v>
      </c>
      <c r="K29" s="492"/>
      <c r="L29" s="492"/>
      <c r="M29" s="492"/>
      <c r="N29" s="492">
        <f t="shared" si="1"/>
        <v>0</v>
      </c>
      <c r="P29" s="492"/>
      <c r="Q29" s="492"/>
    </row>
    <row r="30" spans="1:21" ht="12.75" customHeight="1">
      <c r="A30" s="493">
        <f t="shared" si="2"/>
        <v>12</v>
      </c>
      <c r="B30" s="492"/>
      <c r="C30" s="501">
        <v>376</v>
      </c>
      <c r="D30" s="496" t="s">
        <v>393</v>
      </c>
      <c r="E30" s="492"/>
      <c r="F30" s="492">
        <v>9144849.5299999993</v>
      </c>
      <c r="G30" s="492"/>
      <c r="H30" s="492">
        <f t="shared" si="0"/>
        <v>9144849.5299999993</v>
      </c>
      <c r="I30" s="492"/>
      <c r="J30" s="492">
        <v>0</v>
      </c>
      <c r="K30" s="492"/>
      <c r="L30" s="492"/>
      <c r="M30" s="492"/>
      <c r="N30" s="492">
        <f t="shared" si="1"/>
        <v>0</v>
      </c>
      <c r="P30" s="492"/>
      <c r="Q30" s="492"/>
    </row>
    <row r="31" spans="1:21" ht="12.75" customHeight="1">
      <c r="A31" s="493">
        <f t="shared" si="2"/>
        <v>13</v>
      </c>
      <c r="B31" s="492"/>
      <c r="C31" s="501">
        <v>376.25</v>
      </c>
      <c r="D31" s="496" t="s">
        <v>1072</v>
      </c>
      <c r="E31" s="492"/>
      <c r="F31" s="492">
        <v>4079982.23</v>
      </c>
      <c r="G31" s="492"/>
      <c r="H31" s="492">
        <f t="shared" si="0"/>
        <v>4079982.23</v>
      </c>
      <c r="I31" s="492"/>
      <c r="J31" s="492">
        <v>0</v>
      </c>
      <c r="K31" s="492"/>
      <c r="L31" s="492"/>
      <c r="M31" s="492"/>
      <c r="N31" s="492">
        <f t="shared" si="1"/>
        <v>0</v>
      </c>
      <c r="P31" s="492"/>
      <c r="Q31" s="492"/>
    </row>
    <row r="32" spans="1:21" ht="12.75">
      <c r="A32" s="493">
        <f t="shared" si="2"/>
        <v>14</v>
      </c>
      <c r="B32" s="492"/>
      <c r="C32" s="501">
        <v>378.2</v>
      </c>
      <c r="D32" s="496" t="s">
        <v>567</v>
      </c>
      <c r="E32" s="492"/>
      <c r="F32" s="492">
        <v>445327.56</v>
      </c>
      <c r="G32" s="492"/>
      <c r="H32" s="492">
        <f t="shared" si="0"/>
        <v>445327.56</v>
      </c>
      <c r="I32" s="492"/>
      <c r="J32" s="492">
        <v>0</v>
      </c>
      <c r="K32" s="492"/>
      <c r="L32" s="492"/>
      <c r="M32" s="492"/>
      <c r="N32" s="492">
        <f t="shared" si="1"/>
        <v>0</v>
      </c>
      <c r="P32" s="492"/>
      <c r="Q32" s="492"/>
    </row>
    <row r="33" spans="1:17" ht="12.75">
      <c r="A33" s="493">
        <f t="shared" si="2"/>
        <v>15</v>
      </c>
      <c r="B33" s="492"/>
      <c r="C33" s="501">
        <v>379.1</v>
      </c>
      <c r="D33" s="502" t="s">
        <v>397</v>
      </c>
      <c r="E33" s="492"/>
      <c r="F33" s="492">
        <v>1400.37</v>
      </c>
      <c r="G33" s="492"/>
      <c r="H33" s="492">
        <f t="shared" si="0"/>
        <v>1400.37</v>
      </c>
      <c r="I33" s="492"/>
      <c r="J33" s="492">
        <v>0</v>
      </c>
      <c r="K33" s="492"/>
      <c r="L33" s="492"/>
      <c r="M33" s="492"/>
      <c r="N33" s="492">
        <f t="shared" si="1"/>
        <v>0</v>
      </c>
      <c r="P33" s="492"/>
      <c r="Q33" s="492"/>
    </row>
    <row r="34" spans="1:17" ht="12.75" customHeight="1">
      <c r="A34" s="493">
        <f t="shared" si="2"/>
        <v>16</v>
      </c>
      <c r="B34" s="492"/>
      <c r="C34" s="501">
        <v>380</v>
      </c>
      <c r="D34" s="496" t="s">
        <v>398</v>
      </c>
      <c r="E34" s="492"/>
      <c r="F34" s="492">
        <v>1796530.77</v>
      </c>
      <c r="G34" s="492"/>
      <c r="H34" s="492">
        <f t="shared" si="0"/>
        <v>1796530.77</v>
      </c>
      <c r="I34" s="492"/>
      <c r="J34" s="492">
        <v>0</v>
      </c>
      <c r="K34" s="492"/>
      <c r="L34" s="492"/>
      <c r="M34" s="492"/>
      <c r="N34" s="492">
        <f t="shared" si="1"/>
        <v>0</v>
      </c>
      <c r="P34" s="492"/>
      <c r="Q34" s="492"/>
    </row>
    <row r="35" spans="1:17" ht="12.75" customHeight="1">
      <c r="A35" s="493">
        <f t="shared" si="2"/>
        <v>17</v>
      </c>
      <c r="B35" s="492"/>
      <c r="C35" s="501">
        <v>380.25</v>
      </c>
      <c r="D35" s="502" t="s">
        <v>1073</v>
      </c>
      <c r="E35" s="492"/>
      <c r="F35" s="492">
        <v>86488.26</v>
      </c>
      <c r="G35" s="492"/>
      <c r="H35" s="492">
        <f t="shared" si="0"/>
        <v>86488.26</v>
      </c>
      <c r="I35" s="492"/>
      <c r="J35" s="492">
        <v>0</v>
      </c>
      <c r="K35" s="492"/>
      <c r="L35" s="492"/>
      <c r="M35" s="492"/>
      <c r="N35" s="492">
        <f t="shared" si="1"/>
        <v>0</v>
      </c>
      <c r="P35" s="492"/>
      <c r="Q35" s="492"/>
    </row>
    <row r="36" spans="1:17" ht="12.75" customHeight="1">
      <c r="A36" s="493">
        <f t="shared" si="2"/>
        <v>18</v>
      </c>
      <c r="B36" s="492"/>
      <c r="C36" s="501">
        <v>381</v>
      </c>
      <c r="D36" s="496" t="s">
        <v>399</v>
      </c>
      <c r="E36" s="492"/>
      <c r="F36" s="492">
        <v>6558.22</v>
      </c>
      <c r="G36" s="492"/>
      <c r="H36" s="492">
        <f t="shared" si="0"/>
        <v>6558.22</v>
      </c>
      <c r="I36" s="492"/>
      <c r="J36" s="492">
        <v>0</v>
      </c>
      <c r="K36" s="492"/>
      <c r="L36" s="492"/>
      <c r="M36" s="492"/>
      <c r="N36" s="492">
        <f t="shared" si="1"/>
        <v>0</v>
      </c>
      <c r="P36" s="492"/>
      <c r="Q36" s="492"/>
    </row>
    <row r="37" spans="1:17" ht="12.75" customHeight="1">
      <c r="A37" s="493">
        <f t="shared" si="2"/>
        <v>19</v>
      </c>
      <c r="B37" s="492"/>
      <c r="C37" s="504">
        <v>381.1</v>
      </c>
      <c r="D37" s="502" t="s">
        <v>2366</v>
      </c>
      <c r="E37" s="492"/>
      <c r="F37" s="492">
        <v>33628.629999999997</v>
      </c>
      <c r="G37" s="492"/>
      <c r="H37" s="492">
        <f t="shared" si="0"/>
        <v>33628.629999999997</v>
      </c>
      <c r="I37" s="492"/>
      <c r="J37" s="492">
        <v>0</v>
      </c>
      <c r="K37" s="492"/>
      <c r="L37" s="492"/>
      <c r="M37" s="492"/>
      <c r="N37" s="492">
        <f t="shared" si="1"/>
        <v>0</v>
      </c>
      <c r="P37" s="492"/>
      <c r="Q37" s="492"/>
    </row>
    <row r="38" spans="1:17" ht="12.75">
      <c r="A38" s="493">
        <f t="shared" si="2"/>
        <v>20</v>
      </c>
      <c r="B38" s="492"/>
      <c r="C38" s="501">
        <v>382</v>
      </c>
      <c r="D38" s="496" t="s">
        <v>400</v>
      </c>
      <c r="E38" s="492"/>
      <c r="F38" s="492">
        <v>15318.86</v>
      </c>
      <c r="G38" s="492"/>
      <c r="H38" s="492">
        <f t="shared" si="0"/>
        <v>15318.86</v>
      </c>
      <c r="I38" s="492"/>
      <c r="J38" s="492">
        <v>0</v>
      </c>
      <c r="K38" s="492"/>
      <c r="L38" s="492"/>
      <c r="M38" s="492"/>
      <c r="N38" s="492">
        <f t="shared" si="1"/>
        <v>0</v>
      </c>
      <c r="P38" s="492"/>
      <c r="Q38" s="492"/>
    </row>
    <row r="39" spans="1:17" ht="12.75">
      <c r="A39" s="493">
        <f t="shared" si="2"/>
        <v>21</v>
      </c>
      <c r="B39" s="492"/>
      <c r="C39" s="501">
        <v>383</v>
      </c>
      <c r="D39" s="496" t="s">
        <v>401</v>
      </c>
      <c r="E39" s="492"/>
      <c r="F39" s="492">
        <v>131912.26</v>
      </c>
      <c r="G39" s="492"/>
      <c r="H39" s="492">
        <f t="shared" si="0"/>
        <v>131912.26</v>
      </c>
      <c r="I39" s="492"/>
      <c r="J39" s="492">
        <v>0</v>
      </c>
      <c r="K39" s="492"/>
      <c r="L39" s="492"/>
      <c r="M39" s="492"/>
      <c r="N39" s="492">
        <f t="shared" si="1"/>
        <v>0</v>
      </c>
      <c r="P39" s="492"/>
      <c r="Q39" s="492"/>
    </row>
    <row r="40" spans="1:17" ht="12.75">
      <c r="A40" s="493">
        <f t="shared" si="2"/>
        <v>22</v>
      </c>
      <c r="B40" s="492"/>
      <c r="C40" s="501">
        <v>385</v>
      </c>
      <c r="D40" s="496" t="s">
        <v>568</v>
      </c>
      <c r="E40" s="492"/>
      <c r="F40" s="492">
        <v>36375.089999999997</v>
      </c>
      <c r="G40" s="492"/>
      <c r="H40" s="492">
        <f t="shared" si="0"/>
        <v>36375.089999999997</v>
      </c>
      <c r="I40" s="492"/>
      <c r="J40" s="492">
        <v>0</v>
      </c>
      <c r="K40" s="492"/>
      <c r="L40" s="492"/>
      <c r="M40" s="492"/>
      <c r="N40" s="492">
        <f t="shared" si="1"/>
        <v>0</v>
      </c>
      <c r="P40" s="492"/>
      <c r="Q40" s="492"/>
    </row>
    <row r="41" spans="1:17" ht="12.75">
      <c r="A41" s="493">
        <f t="shared" si="2"/>
        <v>23</v>
      </c>
      <c r="B41" s="492"/>
      <c r="C41" s="501">
        <v>387.45</v>
      </c>
      <c r="D41" s="496" t="s">
        <v>569</v>
      </c>
      <c r="E41" s="492"/>
      <c r="F41" s="979">
        <v>472233.3</v>
      </c>
      <c r="G41" s="492"/>
      <c r="H41" s="979">
        <f t="shared" si="0"/>
        <v>472233.3</v>
      </c>
      <c r="I41" s="492"/>
      <c r="J41" s="979">
        <v>0</v>
      </c>
      <c r="K41" s="492"/>
      <c r="L41" s="492"/>
      <c r="M41" s="492"/>
      <c r="N41" s="979">
        <f t="shared" si="1"/>
        <v>0</v>
      </c>
      <c r="P41" s="492"/>
      <c r="Q41" s="492"/>
    </row>
    <row r="42" spans="1:17" ht="12.75">
      <c r="A42" s="493">
        <f t="shared" si="2"/>
        <v>24</v>
      </c>
      <c r="B42" s="492"/>
      <c r="C42" s="501"/>
      <c r="D42" s="496" t="s">
        <v>531</v>
      </c>
      <c r="E42" s="492"/>
      <c r="F42" s="492">
        <f>SUM(F25:F41)</f>
        <v>16541625.92</v>
      </c>
      <c r="G42" s="492"/>
      <c r="H42" s="492">
        <f>SUM(H25:H41)</f>
        <v>16541625.92</v>
      </c>
      <c r="I42" s="492"/>
      <c r="J42" s="492">
        <f>SUM(J25:J41)</f>
        <v>0</v>
      </c>
      <c r="K42" s="492"/>
      <c r="L42" s="492"/>
      <c r="M42" s="492"/>
      <c r="N42" s="492">
        <f>SUM(N25:N41)</f>
        <v>0</v>
      </c>
      <c r="P42" s="492"/>
      <c r="Q42" s="492"/>
    </row>
    <row r="43" spans="1:17" ht="12.75">
      <c r="A43" s="493"/>
      <c r="B43" s="492"/>
      <c r="C43" s="492"/>
      <c r="D43" s="492"/>
      <c r="E43" s="492"/>
      <c r="F43" s="492"/>
      <c r="G43" s="492"/>
      <c r="H43" s="492"/>
      <c r="I43" s="492"/>
      <c r="J43" s="492"/>
      <c r="K43" s="492"/>
      <c r="L43" s="492"/>
      <c r="M43" s="492"/>
      <c r="N43" s="492"/>
      <c r="P43" s="492"/>
      <c r="Q43" s="492"/>
    </row>
    <row r="44" spans="1:17" ht="12.75">
      <c r="A44" s="493">
        <f>A42+1</f>
        <v>25</v>
      </c>
      <c r="B44" s="492"/>
      <c r="C44" s="505" t="s">
        <v>411</v>
      </c>
      <c r="D44" s="492"/>
      <c r="E44" s="492"/>
      <c r="F44" s="492"/>
      <c r="G44" s="492"/>
      <c r="H44" s="492"/>
      <c r="I44" s="492"/>
      <c r="J44" s="492"/>
      <c r="K44" s="492"/>
      <c r="L44" s="492"/>
      <c r="M44" s="492"/>
      <c r="N44" s="492"/>
      <c r="P44" s="492"/>
      <c r="Q44" s="492"/>
    </row>
    <row r="45" spans="1:17" ht="12.75">
      <c r="A45" s="493">
        <f>A44+1</f>
        <v>26</v>
      </c>
      <c r="B45" s="492"/>
      <c r="C45" s="506">
        <v>391.1</v>
      </c>
      <c r="D45" s="496" t="s">
        <v>570</v>
      </c>
      <c r="E45" s="492"/>
      <c r="F45" s="492">
        <v>0</v>
      </c>
      <c r="G45" s="492"/>
      <c r="H45" s="492">
        <f>F45-J45</f>
        <v>0</v>
      </c>
      <c r="I45" s="492"/>
      <c r="J45" s="492">
        <v>0</v>
      </c>
      <c r="K45" s="492"/>
      <c r="L45" s="492"/>
      <c r="M45" s="492"/>
      <c r="N45" s="492">
        <f>J45</f>
        <v>0</v>
      </c>
      <c r="P45" s="492"/>
      <c r="Q45" s="492"/>
    </row>
    <row r="46" spans="1:17" ht="12.75">
      <c r="A46" s="493">
        <f>A45+1</f>
        <v>27</v>
      </c>
      <c r="B46" s="492"/>
      <c r="C46" s="506">
        <v>391.12</v>
      </c>
      <c r="D46" s="496" t="s">
        <v>1034</v>
      </c>
      <c r="E46" s="492"/>
      <c r="F46" s="492">
        <v>0</v>
      </c>
      <c r="G46" s="492"/>
      <c r="H46" s="492">
        <f>F46-J46</f>
        <v>0</v>
      </c>
      <c r="I46" s="492"/>
      <c r="J46" s="492">
        <v>0</v>
      </c>
      <c r="K46" s="492"/>
      <c r="L46" s="492"/>
      <c r="M46" s="492"/>
      <c r="N46" s="492">
        <f>J46</f>
        <v>0</v>
      </c>
      <c r="P46" s="492"/>
      <c r="Q46" s="492"/>
    </row>
    <row r="47" spans="1:17" ht="12.75">
      <c r="A47" s="493">
        <f>A46+1</f>
        <v>28</v>
      </c>
      <c r="B47" s="492"/>
      <c r="C47" s="506">
        <v>394.3</v>
      </c>
      <c r="D47" s="496" t="s">
        <v>1033</v>
      </c>
      <c r="E47" s="492"/>
      <c r="F47" s="979">
        <v>19490.650000000001</v>
      </c>
      <c r="G47" s="492"/>
      <c r="H47" s="979">
        <f>F47-J47</f>
        <v>19490.650000000001</v>
      </c>
      <c r="I47" s="492"/>
      <c r="J47" s="979">
        <v>0</v>
      </c>
      <c r="K47" s="492"/>
      <c r="L47" s="492"/>
      <c r="M47" s="492"/>
      <c r="N47" s="979">
        <f>J47</f>
        <v>0</v>
      </c>
      <c r="P47" s="492"/>
      <c r="Q47" s="492"/>
    </row>
    <row r="48" spans="1:17" ht="12.75">
      <c r="A48" s="493">
        <f>A47+1</f>
        <v>29</v>
      </c>
      <c r="B48" s="492"/>
      <c r="C48" s="506"/>
      <c r="D48" s="496" t="s">
        <v>531</v>
      </c>
      <c r="E48" s="492"/>
      <c r="F48" s="1287">
        <f>SUM(F45:F47)</f>
        <v>19490.650000000001</v>
      </c>
      <c r="G48" s="492"/>
      <c r="H48" s="492">
        <f>SUM(H45:H47)</f>
        <v>19490.650000000001</v>
      </c>
      <c r="I48" s="492"/>
      <c r="J48" s="492">
        <f>SUM(J45:J47)</f>
        <v>0</v>
      </c>
      <c r="K48" s="492"/>
      <c r="L48" s="492"/>
      <c r="M48" s="492"/>
      <c r="N48" s="492">
        <f>SUM(N45:N47)</f>
        <v>0</v>
      </c>
      <c r="P48" s="492"/>
      <c r="Q48" s="492"/>
    </row>
    <row r="49" spans="1:17" ht="12.75">
      <c r="A49" s="493"/>
      <c r="B49" s="492"/>
      <c r="C49" s="506"/>
      <c r="D49" s="496"/>
      <c r="E49" s="492"/>
      <c r="F49" s="492"/>
      <c r="G49" s="492"/>
      <c r="H49" s="492"/>
      <c r="I49" s="492"/>
      <c r="J49" s="492"/>
      <c r="K49" s="492"/>
      <c r="L49" s="492"/>
      <c r="M49" s="492"/>
      <c r="N49" s="492"/>
      <c r="P49" s="492"/>
      <c r="Q49" s="492"/>
    </row>
    <row r="50" spans="1:17" ht="12.75">
      <c r="A50" s="493">
        <v>27</v>
      </c>
      <c r="B50" s="492"/>
      <c r="C50" s="506"/>
      <c r="D50" s="496" t="s">
        <v>2486</v>
      </c>
      <c r="E50" s="492"/>
      <c r="F50" s="979">
        <v>181681.87</v>
      </c>
      <c r="G50" s="492"/>
      <c r="H50" s="979">
        <f>F50-J50</f>
        <v>181681.87</v>
      </c>
      <c r="I50" s="492"/>
      <c r="J50" s="979">
        <v>0</v>
      </c>
      <c r="K50" s="492"/>
      <c r="L50" s="492"/>
      <c r="M50" s="492"/>
      <c r="N50" s="979">
        <f>J50</f>
        <v>0</v>
      </c>
      <c r="P50" s="492"/>
      <c r="Q50" s="492"/>
    </row>
    <row r="51" spans="1:17" ht="12.75">
      <c r="A51" s="493">
        <v>28</v>
      </c>
      <c r="B51" s="492"/>
      <c r="C51" s="506"/>
      <c r="D51" s="496" t="s">
        <v>531</v>
      </c>
      <c r="E51" s="492"/>
      <c r="F51" s="492">
        <f>SUM(F50)</f>
        <v>181681.87</v>
      </c>
      <c r="G51" s="492"/>
      <c r="H51" s="492">
        <f>SUM(H50)</f>
        <v>181681.87</v>
      </c>
      <c r="I51" s="492"/>
      <c r="J51" s="492">
        <f>SUM(J50)</f>
        <v>0</v>
      </c>
      <c r="K51" s="492"/>
      <c r="L51" s="492"/>
      <c r="M51" s="492"/>
      <c r="N51" s="492">
        <f>SUM(N50)</f>
        <v>0</v>
      </c>
      <c r="P51" s="492"/>
      <c r="Q51" s="492"/>
    </row>
    <row r="52" spans="1:17" ht="12.75">
      <c r="A52" s="493"/>
      <c r="B52" s="492"/>
      <c r="C52" s="496" t="s">
        <v>358</v>
      </c>
      <c r="D52" s="492"/>
      <c r="E52" s="492"/>
      <c r="F52" s="492"/>
      <c r="G52" s="492"/>
      <c r="H52" s="492"/>
      <c r="I52" s="492"/>
      <c r="J52" s="492"/>
      <c r="K52" s="492"/>
      <c r="L52" s="492"/>
      <c r="M52" s="492"/>
      <c r="N52" s="492"/>
      <c r="P52" s="492"/>
      <c r="Q52" s="492"/>
    </row>
    <row r="53" spans="1:17" ht="12.75">
      <c r="A53" s="493">
        <f>A51+1</f>
        <v>29</v>
      </c>
      <c r="B53" s="492"/>
      <c r="C53" s="496" t="s">
        <v>349</v>
      </c>
      <c r="D53" s="492"/>
      <c r="E53" s="492"/>
      <c r="F53" s="507">
        <f>F22+F42+F48+F51</f>
        <v>21426757.309999999</v>
      </c>
      <c r="G53" s="492"/>
      <c r="H53" s="507">
        <f>H22+H42+H48+H51</f>
        <v>21426757.309999999</v>
      </c>
      <c r="I53" s="492"/>
      <c r="J53" s="507">
        <f>J22+J42+J48+J51</f>
        <v>0</v>
      </c>
      <c r="K53" s="492"/>
      <c r="L53" s="492"/>
      <c r="M53" s="492"/>
      <c r="N53" s="507">
        <f>N22+N42+N48+N51</f>
        <v>0</v>
      </c>
      <c r="P53" s="492"/>
      <c r="Q53" s="492"/>
    </row>
    <row r="54" spans="1:17" ht="12.75">
      <c r="A54" s="508"/>
      <c r="B54" s="509"/>
      <c r="C54" s="509"/>
      <c r="D54" s="509"/>
      <c r="E54" s="509"/>
      <c r="F54" s="509"/>
      <c r="G54" s="509"/>
      <c r="H54" s="509"/>
      <c r="I54" s="509"/>
      <c r="J54" s="509"/>
      <c r="K54" s="509"/>
      <c r="L54" s="509"/>
      <c r="M54" s="509"/>
      <c r="N54" s="509"/>
      <c r="P54" s="509"/>
      <c r="Q54" s="509"/>
    </row>
    <row r="55" spans="1:17" ht="12.75">
      <c r="A55" s="508"/>
      <c r="B55" s="509"/>
      <c r="C55" s="509"/>
      <c r="D55" s="509"/>
      <c r="E55" s="509"/>
      <c r="F55" s="509"/>
      <c r="G55" s="509"/>
      <c r="H55" s="509"/>
      <c r="I55" s="509"/>
      <c r="J55" s="509"/>
      <c r="K55" s="509"/>
      <c r="L55" s="509"/>
      <c r="M55" s="509"/>
      <c r="N55" s="509"/>
      <c r="O55" s="509"/>
      <c r="P55" s="509"/>
      <c r="Q55" s="509"/>
    </row>
    <row r="56" spans="1:17" ht="12.75">
      <c r="A56" s="509"/>
      <c r="B56" s="509"/>
      <c r="C56" s="509"/>
      <c r="D56" s="509"/>
      <c r="E56" s="509"/>
      <c r="F56" s="509"/>
      <c r="G56" s="509"/>
      <c r="H56" s="509"/>
      <c r="I56" s="509"/>
      <c r="J56" s="509"/>
      <c r="K56" s="509"/>
      <c r="L56" s="509"/>
      <c r="M56" s="509"/>
      <c r="N56" s="509"/>
      <c r="O56" s="509"/>
      <c r="P56" s="509"/>
      <c r="Q56" s="509"/>
    </row>
    <row r="57" spans="1:17" ht="12.75">
      <c r="A57" s="509"/>
      <c r="B57" s="509"/>
      <c r="C57" s="509"/>
      <c r="D57" s="509"/>
      <c r="E57" s="509"/>
      <c r="F57" s="509"/>
      <c r="G57" s="509"/>
      <c r="H57" s="509"/>
      <c r="I57" s="509"/>
      <c r="J57" s="509"/>
      <c r="K57" s="509"/>
      <c r="L57" s="509"/>
      <c r="M57" s="509"/>
      <c r="N57" s="509"/>
      <c r="O57" s="509"/>
      <c r="P57" s="509"/>
      <c r="Q57" s="509"/>
    </row>
    <row r="58" spans="1:17" ht="12.75">
      <c r="A58" s="509"/>
      <c r="B58" s="509"/>
      <c r="C58" s="509"/>
      <c r="D58" s="509"/>
      <c r="E58" s="509"/>
      <c r="F58" s="509"/>
      <c r="G58" s="509"/>
      <c r="H58" s="509"/>
      <c r="I58" s="509"/>
      <c r="J58" s="509"/>
      <c r="K58" s="509"/>
      <c r="L58" s="509"/>
      <c r="M58" s="509"/>
      <c r="N58" s="509"/>
      <c r="O58" s="509"/>
      <c r="P58" s="509"/>
      <c r="Q58" s="509"/>
    </row>
    <row r="59" spans="1:17" ht="12.75">
      <c r="A59" s="509"/>
      <c r="B59" s="509"/>
      <c r="C59" s="509"/>
      <c r="D59" s="509"/>
      <c r="E59" s="509"/>
      <c r="F59" s="509"/>
      <c r="G59" s="509"/>
      <c r="H59" s="509"/>
      <c r="I59" s="509"/>
      <c r="J59" s="509"/>
      <c r="K59" s="509"/>
      <c r="L59" s="509"/>
      <c r="M59" s="509"/>
      <c r="N59" s="509"/>
      <c r="O59" s="509"/>
      <c r="P59" s="509"/>
      <c r="Q59" s="509"/>
    </row>
    <row r="60" spans="1:17" ht="12.75">
      <c r="A60" s="509"/>
      <c r="B60" s="509"/>
      <c r="C60" s="509"/>
      <c r="D60" s="509"/>
      <c r="E60" s="509"/>
      <c r="F60" s="509"/>
      <c r="G60" s="509"/>
      <c r="H60" s="509"/>
      <c r="I60" s="509"/>
      <c r="J60" s="509"/>
      <c r="K60" s="509"/>
      <c r="L60" s="509"/>
      <c r="M60" s="509"/>
      <c r="N60" s="509"/>
      <c r="O60" s="509"/>
      <c r="P60" s="509"/>
      <c r="Q60" s="509"/>
    </row>
    <row r="61" spans="1:17" ht="12.75">
      <c r="A61" s="509"/>
      <c r="B61" s="509"/>
      <c r="C61" s="509"/>
      <c r="D61" s="509"/>
      <c r="E61" s="509"/>
      <c r="F61" s="509"/>
      <c r="G61" s="509"/>
      <c r="H61" s="509"/>
      <c r="I61" s="509"/>
      <c r="J61" s="509"/>
      <c r="K61" s="509"/>
      <c r="L61" s="509"/>
      <c r="M61" s="509"/>
      <c r="N61" s="509"/>
      <c r="O61" s="509"/>
      <c r="P61" s="509"/>
      <c r="Q61" s="509"/>
    </row>
    <row r="62" spans="1:17" ht="12.75">
      <c r="A62" s="509"/>
      <c r="B62" s="509"/>
      <c r="C62" s="509"/>
      <c r="D62" s="509"/>
      <c r="E62" s="509"/>
      <c r="F62" s="509"/>
      <c r="G62" s="509"/>
      <c r="H62" s="509"/>
      <c r="I62" s="509"/>
      <c r="J62" s="509"/>
      <c r="K62" s="509"/>
      <c r="L62" s="509"/>
      <c r="M62" s="509"/>
      <c r="N62" s="509"/>
      <c r="O62" s="509"/>
      <c r="P62" s="509"/>
      <c r="Q62" s="509"/>
    </row>
    <row r="63" spans="1:17" ht="12.75">
      <c r="A63" s="509"/>
      <c r="B63" s="509"/>
      <c r="C63" s="509"/>
      <c r="D63" s="509"/>
      <c r="E63" s="509"/>
      <c r="F63" s="509"/>
      <c r="G63" s="509"/>
      <c r="H63" s="509"/>
      <c r="I63" s="509"/>
      <c r="J63" s="509"/>
      <c r="K63" s="509"/>
      <c r="L63" s="509"/>
      <c r="M63" s="509"/>
      <c r="N63" s="509"/>
      <c r="O63" s="509"/>
      <c r="P63" s="509"/>
      <c r="Q63" s="509"/>
    </row>
    <row r="64" spans="1:17" ht="12.75">
      <c r="A64" s="509"/>
      <c r="B64" s="509"/>
      <c r="C64" s="509"/>
      <c r="D64" s="509"/>
      <c r="E64" s="509"/>
      <c r="F64" s="509"/>
      <c r="G64" s="509"/>
      <c r="H64" s="509"/>
      <c r="I64" s="509"/>
      <c r="J64" s="509"/>
      <c r="K64" s="509"/>
      <c r="L64" s="509"/>
      <c r="M64" s="509"/>
      <c r="N64" s="509"/>
      <c r="O64" s="509"/>
      <c r="P64" s="509"/>
      <c r="Q64" s="509"/>
    </row>
    <row r="65" spans="1:17" ht="12.75">
      <c r="A65" s="509"/>
      <c r="B65" s="509"/>
      <c r="C65" s="509"/>
      <c r="D65" s="509"/>
      <c r="E65" s="509"/>
      <c r="F65" s="509"/>
      <c r="G65" s="509"/>
      <c r="H65" s="509"/>
      <c r="I65" s="509"/>
      <c r="J65" s="509"/>
      <c r="K65" s="509"/>
      <c r="L65" s="509"/>
      <c r="M65" s="509"/>
      <c r="N65" s="509"/>
      <c r="O65" s="509"/>
      <c r="P65" s="509"/>
      <c r="Q65" s="509"/>
    </row>
    <row r="66" spans="1:17" ht="12.75">
      <c r="A66" s="509"/>
      <c r="B66" s="509"/>
      <c r="C66" s="509"/>
      <c r="D66" s="509"/>
      <c r="E66" s="509"/>
      <c r="F66" s="509"/>
      <c r="G66" s="509"/>
      <c r="H66" s="509"/>
      <c r="I66" s="509"/>
      <c r="J66" s="509"/>
      <c r="K66" s="509"/>
      <c r="L66" s="509"/>
      <c r="M66" s="509"/>
      <c r="N66" s="509"/>
      <c r="O66" s="509"/>
      <c r="P66" s="509"/>
      <c r="Q66" s="509"/>
    </row>
    <row r="67" spans="1:17" ht="12.75">
      <c r="A67" s="509"/>
      <c r="B67" s="509"/>
      <c r="C67" s="509"/>
      <c r="D67" s="509"/>
      <c r="E67" s="509"/>
      <c r="F67" s="509"/>
      <c r="G67" s="509"/>
      <c r="H67" s="509"/>
      <c r="I67" s="509"/>
      <c r="J67" s="509"/>
      <c r="K67" s="509"/>
      <c r="L67" s="509"/>
      <c r="M67" s="509"/>
      <c r="N67" s="509"/>
      <c r="O67" s="509"/>
      <c r="P67" s="509"/>
      <c r="Q67" s="509"/>
    </row>
    <row r="68" spans="1:17" ht="12.75">
      <c r="A68" s="509"/>
      <c r="B68" s="509"/>
      <c r="C68" s="509"/>
      <c r="D68" s="509"/>
      <c r="E68" s="509"/>
      <c r="F68" s="509"/>
      <c r="G68" s="509"/>
      <c r="H68" s="509"/>
      <c r="I68" s="509"/>
      <c r="J68" s="509"/>
      <c r="K68" s="509"/>
      <c r="L68" s="509"/>
      <c r="M68" s="509"/>
      <c r="N68" s="509"/>
      <c r="O68" s="509"/>
      <c r="P68" s="510"/>
      <c r="Q68" s="510"/>
    </row>
    <row r="69" spans="1:17" ht="12.75">
      <c r="A69" s="509"/>
      <c r="B69" s="509"/>
      <c r="C69" s="509"/>
      <c r="D69" s="509"/>
      <c r="E69" s="509"/>
      <c r="F69" s="509"/>
      <c r="G69" s="509"/>
      <c r="H69" s="509"/>
      <c r="I69" s="509"/>
      <c r="J69" s="509"/>
      <c r="K69" s="509"/>
      <c r="L69" s="509"/>
      <c r="M69" s="509"/>
      <c r="N69" s="509"/>
      <c r="O69" s="509"/>
      <c r="P69" s="510"/>
      <c r="Q69" s="510"/>
    </row>
    <row r="70" spans="1:17" ht="12.75">
      <c r="A70" s="509"/>
      <c r="B70" s="509"/>
      <c r="C70" s="509"/>
      <c r="D70" s="509"/>
      <c r="E70" s="509"/>
      <c r="F70" s="509"/>
      <c r="G70" s="509"/>
      <c r="H70" s="509"/>
      <c r="I70" s="509"/>
      <c r="J70" s="509"/>
      <c r="K70" s="509"/>
      <c r="L70" s="509"/>
      <c r="M70" s="509"/>
      <c r="N70" s="509"/>
      <c r="O70" s="509"/>
      <c r="P70" s="510"/>
      <c r="Q70" s="510"/>
    </row>
    <row r="71" spans="1:17" ht="12.75">
      <c r="A71" s="492"/>
      <c r="B71" s="492"/>
      <c r="C71" s="492"/>
      <c r="D71" s="492"/>
      <c r="E71" s="492"/>
      <c r="F71" s="492"/>
      <c r="G71" s="492"/>
      <c r="H71" s="492"/>
      <c r="I71" s="492"/>
      <c r="J71" s="492"/>
      <c r="K71" s="492"/>
      <c r="L71" s="492"/>
      <c r="M71" s="492"/>
      <c r="N71" s="492"/>
      <c r="O71" s="492"/>
    </row>
    <row r="72" spans="1:17" ht="12.75">
      <c r="A72" s="492"/>
      <c r="B72" s="492"/>
      <c r="C72" s="492"/>
      <c r="D72" s="492"/>
      <c r="E72" s="492"/>
      <c r="F72" s="492"/>
      <c r="G72" s="492"/>
      <c r="H72" s="492"/>
      <c r="I72" s="492"/>
      <c r="J72" s="492"/>
      <c r="K72" s="492"/>
      <c r="L72" s="492"/>
      <c r="M72" s="492"/>
      <c r="N72" s="492"/>
      <c r="O72" s="492"/>
    </row>
    <row r="73" spans="1:17" ht="12.75">
      <c r="A73" s="492"/>
      <c r="B73" s="492"/>
      <c r="C73" s="492"/>
      <c r="D73" s="492"/>
      <c r="E73" s="492"/>
      <c r="F73" s="492"/>
      <c r="G73" s="492"/>
      <c r="H73" s="492"/>
      <c r="I73" s="492"/>
      <c r="J73" s="492"/>
      <c r="K73" s="492"/>
      <c r="L73" s="492"/>
      <c r="M73" s="492"/>
      <c r="N73" s="492"/>
      <c r="O73" s="492"/>
    </row>
    <row r="74" spans="1:17" ht="12.75">
      <c r="A74" s="492"/>
      <c r="B74" s="492"/>
      <c r="C74" s="492"/>
      <c r="D74" s="492"/>
      <c r="E74" s="492"/>
      <c r="F74" s="492"/>
      <c r="G74" s="492"/>
      <c r="H74" s="492"/>
      <c r="I74" s="492"/>
      <c r="J74" s="492"/>
      <c r="K74" s="492"/>
      <c r="L74" s="492"/>
      <c r="M74" s="492"/>
      <c r="N74" s="492"/>
      <c r="O74" s="492"/>
    </row>
    <row r="75" spans="1:17" ht="12.75">
      <c r="A75" s="492"/>
      <c r="B75" s="492"/>
      <c r="C75" s="492"/>
      <c r="D75" s="492"/>
      <c r="E75" s="492"/>
      <c r="F75" s="492"/>
      <c r="G75" s="492"/>
      <c r="H75" s="492"/>
      <c r="I75" s="492"/>
      <c r="J75" s="492"/>
      <c r="K75" s="492"/>
      <c r="L75" s="492"/>
      <c r="M75" s="492"/>
      <c r="N75" s="492"/>
      <c r="O75" s="492"/>
    </row>
    <row r="76" spans="1:17" ht="12.75">
      <c r="A76" s="492"/>
      <c r="B76" s="492"/>
      <c r="C76" s="492"/>
      <c r="D76" s="492"/>
      <c r="E76" s="492"/>
      <c r="F76" s="492"/>
      <c r="G76" s="492"/>
      <c r="H76" s="492"/>
      <c r="I76" s="492"/>
      <c r="J76" s="492"/>
      <c r="K76" s="492"/>
      <c r="L76" s="492"/>
      <c r="M76" s="492"/>
      <c r="N76" s="492"/>
      <c r="O76" s="492"/>
    </row>
    <row r="77" spans="1:17" ht="12.75">
      <c r="A77" s="492"/>
      <c r="B77" s="492"/>
      <c r="C77" s="492"/>
      <c r="D77" s="492"/>
      <c r="E77" s="492"/>
      <c r="F77" s="492"/>
      <c r="G77" s="492"/>
      <c r="H77" s="492"/>
      <c r="I77" s="492"/>
      <c r="J77" s="492"/>
      <c r="K77" s="492"/>
      <c r="L77" s="492"/>
      <c r="M77" s="492"/>
      <c r="N77" s="492"/>
      <c r="O77" s="492"/>
    </row>
    <row r="78" spans="1:17" ht="12.75">
      <c r="A78" s="492"/>
      <c r="B78" s="492"/>
      <c r="C78" s="492"/>
      <c r="D78" s="492"/>
      <c r="E78" s="492"/>
      <c r="F78" s="492"/>
      <c r="G78" s="492"/>
      <c r="H78" s="492"/>
      <c r="I78" s="492"/>
      <c r="J78" s="492"/>
      <c r="K78" s="492"/>
      <c r="L78" s="492"/>
      <c r="M78" s="492"/>
      <c r="N78" s="492"/>
      <c r="O78" s="492"/>
    </row>
    <row r="79" spans="1:17" ht="12.75">
      <c r="A79" s="492"/>
      <c r="B79" s="492"/>
      <c r="C79" s="492"/>
      <c r="D79" s="492"/>
      <c r="E79" s="492"/>
      <c r="F79" s="492"/>
      <c r="G79" s="492"/>
      <c r="H79" s="492"/>
      <c r="I79" s="492"/>
      <c r="J79" s="492"/>
      <c r="K79" s="492"/>
      <c r="L79" s="492"/>
      <c r="M79" s="492"/>
      <c r="N79" s="492"/>
      <c r="O79" s="492"/>
    </row>
    <row r="80" spans="1:17" ht="12.75">
      <c r="A80" s="492"/>
      <c r="B80" s="492"/>
      <c r="C80" s="492"/>
      <c r="D80" s="492"/>
      <c r="E80" s="492"/>
      <c r="F80" s="492"/>
      <c r="G80" s="492"/>
      <c r="H80" s="492"/>
      <c r="I80" s="492"/>
      <c r="J80" s="492"/>
      <c r="K80" s="492"/>
      <c r="L80" s="492"/>
      <c r="M80" s="492"/>
      <c r="N80" s="492"/>
      <c r="O80" s="492"/>
    </row>
    <row r="81" spans="1:15" ht="12.75">
      <c r="A81" s="492"/>
      <c r="B81" s="492"/>
      <c r="C81" s="492"/>
      <c r="D81" s="492"/>
      <c r="E81" s="492"/>
      <c r="F81" s="492"/>
      <c r="G81" s="492"/>
      <c r="H81" s="492"/>
      <c r="I81" s="492"/>
      <c r="J81" s="492"/>
      <c r="K81" s="492"/>
      <c r="L81" s="492"/>
      <c r="M81" s="492"/>
      <c r="N81" s="492"/>
      <c r="O81" s="492"/>
    </row>
    <row r="82" spans="1:15" ht="12.75">
      <c r="A82" s="492"/>
      <c r="B82" s="492"/>
      <c r="C82" s="492"/>
      <c r="D82" s="492"/>
      <c r="E82" s="492"/>
      <c r="F82" s="492"/>
      <c r="G82" s="492"/>
      <c r="H82" s="492"/>
      <c r="I82" s="492"/>
      <c r="J82" s="492"/>
      <c r="K82" s="492"/>
      <c r="L82" s="492"/>
      <c r="M82" s="492"/>
      <c r="N82" s="492"/>
      <c r="O82" s="492"/>
    </row>
    <row r="83" spans="1:15" ht="12.75">
      <c r="A83" s="492"/>
      <c r="B83" s="492"/>
      <c r="C83" s="492"/>
      <c r="D83" s="492"/>
      <c r="E83" s="492"/>
      <c r="F83" s="492"/>
      <c r="G83" s="492"/>
      <c r="H83" s="492"/>
      <c r="I83" s="492"/>
      <c r="J83" s="492"/>
      <c r="K83" s="492"/>
      <c r="L83" s="492"/>
      <c r="M83" s="492"/>
      <c r="N83" s="492"/>
      <c r="O83" s="492"/>
    </row>
    <row r="84" spans="1:15" ht="12.75">
      <c r="A84" s="492"/>
      <c r="B84" s="492"/>
      <c r="C84" s="492"/>
      <c r="D84" s="492"/>
      <c r="E84" s="492"/>
      <c r="F84" s="492"/>
      <c r="G84" s="492"/>
      <c r="H84" s="492"/>
      <c r="I84" s="492"/>
      <c r="J84" s="492"/>
      <c r="K84" s="492"/>
      <c r="L84" s="492"/>
      <c r="M84" s="492"/>
      <c r="N84" s="492"/>
      <c r="O84" s="492"/>
    </row>
    <row r="85" spans="1:15" ht="12.75">
      <c r="A85" s="492"/>
      <c r="B85" s="492"/>
      <c r="C85" s="492"/>
      <c r="D85" s="492"/>
      <c r="E85" s="492"/>
      <c r="F85" s="492"/>
      <c r="G85" s="492"/>
      <c r="H85" s="492"/>
      <c r="I85" s="492"/>
      <c r="J85" s="492"/>
      <c r="K85" s="492"/>
      <c r="L85" s="492"/>
      <c r="M85" s="492"/>
      <c r="N85" s="492"/>
      <c r="O85" s="492"/>
    </row>
    <row r="86" spans="1:15" ht="12.75">
      <c r="A86" s="492"/>
      <c r="B86" s="492"/>
      <c r="C86" s="492"/>
      <c r="D86" s="492"/>
      <c r="E86" s="492"/>
      <c r="F86" s="492"/>
      <c r="G86" s="492"/>
      <c r="H86" s="492"/>
      <c r="I86" s="492"/>
      <c r="J86" s="492"/>
      <c r="K86" s="492"/>
      <c r="L86" s="492"/>
      <c r="M86" s="492"/>
      <c r="N86" s="492"/>
      <c r="O86" s="492"/>
    </row>
    <row r="87" spans="1:15" ht="12.75">
      <c r="A87" s="492"/>
      <c r="B87" s="492"/>
      <c r="C87" s="492"/>
      <c r="D87" s="492"/>
      <c r="E87" s="492"/>
      <c r="F87" s="492"/>
      <c r="G87" s="492"/>
      <c r="H87" s="492"/>
      <c r="I87" s="492"/>
      <c r="J87" s="492"/>
      <c r="K87" s="492"/>
      <c r="L87" s="492"/>
      <c r="M87" s="492"/>
      <c r="N87" s="492"/>
      <c r="O87" s="492"/>
    </row>
    <row r="88" spans="1:15" ht="12.75">
      <c r="A88" s="492"/>
      <c r="B88" s="492"/>
      <c r="C88" s="492"/>
      <c r="D88" s="492"/>
      <c r="E88" s="492"/>
      <c r="F88" s="492"/>
      <c r="G88" s="492"/>
      <c r="H88" s="492"/>
      <c r="I88" s="492"/>
      <c r="J88" s="492"/>
      <c r="K88" s="492"/>
      <c r="L88" s="492"/>
      <c r="M88" s="492"/>
      <c r="N88" s="492"/>
      <c r="O88" s="492"/>
    </row>
    <row r="89" spans="1:15" ht="12.75">
      <c r="A89" s="492"/>
      <c r="B89" s="492"/>
      <c r="C89" s="492"/>
      <c r="D89" s="492"/>
      <c r="E89" s="492"/>
      <c r="F89" s="492"/>
      <c r="G89" s="492"/>
      <c r="H89" s="492"/>
      <c r="I89" s="492"/>
      <c r="J89" s="492"/>
      <c r="K89" s="492"/>
      <c r="L89" s="492"/>
      <c r="M89" s="492"/>
      <c r="N89" s="492"/>
      <c r="O89" s="492"/>
    </row>
    <row r="90" spans="1:15" ht="12.75">
      <c r="A90" s="492"/>
      <c r="B90" s="492"/>
      <c r="C90" s="492"/>
      <c r="D90" s="492"/>
      <c r="E90" s="492"/>
      <c r="F90" s="492"/>
      <c r="G90" s="492"/>
      <c r="H90" s="492"/>
      <c r="I90" s="492"/>
      <c r="J90" s="492"/>
      <c r="K90" s="492"/>
      <c r="L90" s="492"/>
      <c r="M90" s="492"/>
      <c r="N90" s="492"/>
      <c r="O90" s="492"/>
    </row>
    <row r="91" spans="1:15" ht="12.75">
      <c r="A91" s="492"/>
      <c r="B91" s="492"/>
      <c r="C91" s="492"/>
      <c r="D91" s="492"/>
      <c r="E91" s="492"/>
      <c r="F91" s="492"/>
      <c r="G91" s="492"/>
      <c r="H91" s="492"/>
      <c r="I91" s="492"/>
      <c r="J91" s="492"/>
      <c r="K91" s="492"/>
      <c r="L91" s="492"/>
      <c r="M91" s="492"/>
      <c r="N91" s="492"/>
      <c r="O91" s="492"/>
    </row>
    <row r="92" spans="1:15" ht="12.75">
      <c r="A92" s="492"/>
      <c r="B92" s="492"/>
      <c r="C92" s="492"/>
      <c r="D92" s="492"/>
      <c r="E92" s="492"/>
      <c r="F92" s="492"/>
      <c r="G92" s="492"/>
      <c r="H92" s="492"/>
      <c r="I92" s="492"/>
      <c r="J92" s="492"/>
      <c r="K92" s="492"/>
      <c r="L92" s="492"/>
      <c r="M92" s="492"/>
      <c r="N92" s="492"/>
      <c r="O92" s="492"/>
    </row>
    <row r="93" spans="1:15" ht="12.75">
      <c r="A93" s="492"/>
      <c r="B93" s="492"/>
      <c r="C93" s="492"/>
      <c r="D93" s="492"/>
      <c r="E93" s="492"/>
      <c r="F93" s="492"/>
      <c r="G93" s="492"/>
      <c r="H93" s="492"/>
      <c r="I93" s="492"/>
      <c r="J93" s="492"/>
      <c r="K93" s="492"/>
      <c r="L93" s="492"/>
      <c r="M93" s="492"/>
      <c r="N93" s="492"/>
      <c r="O93" s="492"/>
    </row>
    <row r="94" spans="1:15" ht="12.75">
      <c r="A94" s="492"/>
      <c r="B94" s="492"/>
      <c r="C94" s="492"/>
      <c r="D94" s="492"/>
      <c r="E94" s="492"/>
      <c r="F94" s="492"/>
      <c r="G94" s="492"/>
      <c r="H94" s="492"/>
      <c r="I94" s="492"/>
      <c r="J94" s="492"/>
      <c r="K94" s="492"/>
      <c r="L94" s="492"/>
      <c r="M94" s="492"/>
      <c r="N94" s="492"/>
      <c r="O94" s="492"/>
    </row>
    <row r="95" spans="1:15" ht="12.75">
      <c r="A95" s="492"/>
      <c r="B95" s="492"/>
      <c r="C95" s="492"/>
      <c r="D95" s="492"/>
      <c r="E95" s="492"/>
      <c r="F95" s="492"/>
      <c r="G95" s="492"/>
      <c r="H95" s="492"/>
      <c r="I95" s="492"/>
      <c r="J95" s="492"/>
      <c r="K95" s="492"/>
      <c r="L95" s="492"/>
      <c r="M95" s="492"/>
      <c r="N95" s="492"/>
      <c r="O95" s="492"/>
    </row>
    <row r="96" spans="1:15" ht="12.75">
      <c r="A96" s="492"/>
      <c r="B96" s="492"/>
      <c r="C96" s="492"/>
      <c r="D96" s="492"/>
      <c r="E96" s="492"/>
      <c r="F96" s="492"/>
      <c r="G96" s="492"/>
      <c r="H96" s="492"/>
      <c r="I96" s="492"/>
      <c r="J96" s="492"/>
      <c r="K96" s="492"/>
      <c r="L96" s="492"/>
      <c r="M96" s="492"/>
      <c r="N96" s="492"/>
      <c r="O96" s="492"/>
    </row>
    <row r="97" spans="1:15" ht="12.75">
      <c r="A97" s="492"/>
      <c r="B97" s="492"/>
      <c r="C97" s="492"/>
      <c r="D97" s="492"/>
      <c r="E97" s="492"/>
      <c r="F97" s="492"/>
      <c r="G97" s="492"/>
      <c r="H97" s="492"/>
      <c r="I97" s="492"/>
      <c r="J97" s="492"/>
      <c r="K97" s="492"/>
      <c r="L97" s="492"/>
      <c r="M97" s="492"/>
      <c r="N97" s="492"/>
      <c r="O97" s="492"/>
    </row>
    <row r="98" spans="1:15" ht="12.75">
      <c r="A98" s="492"/>
      <c r="B98" s="492"/>
      <c r="C98" s="492"/>
      <c r="D98" s="492"/>
      <c r="E98" s="492"/>
      <c r="F98" s="492"/>
      <c r="G98" s="492"/>
      <c r="H98" s="492"/>
      <c r="I98" s="492"/>
      <c r="J98" s="492"/>
      <c r="K98" s="492"/>
      <c r="L98" s="492"/>
      <c r="M98" s="492"/>
      <c r="N98" s="492"/>
      <c r="O98" s="492"/>
    </row>
    <row r="99" spans="1:15" ht="12.75">
      <c r="A99" s="492"/>
      <c r="B99" s="492"/>
      <c r="C99" s="492"/>
      <c r="D99" s="492"/>
      <c r="E99" s="492"/>
      <c r="F99" s="492"/>
      <c r="G99" s="492"/>
      <c r="H99" s="492"/>
      <c r="I99" s="492"/>
      <c r="J99" s="492"/>
      <c r="K99" s="492"/>
      <c r="L99" s="492"/>
      <c r="M99" s="492"/>
      <c r="N99" s="492"/>
      <c r="O99" s="492"/>
    </row>
    <row r="100" spans="1:15" ht="12.75">
      <c r="A100" s="492"/>
      <c r="B100" s="492"/>
      <c r="C100" s="492"/>
      <c r="D100" s="492"/>
      <c r="E100" s="492"/>
      <c r="F100" s="492"/>
      <c r="G100" s="492"/>
      <c r="H100" s="492"/>
      <c r="I100" s="492"/>
      <c r="J100" s="492"/>
      <c r="K100" s="492"/>
      <c r="L100" s="492"/>
      <c r="M100" s="492"/>
      <c r="N100" s="492"/>
      <c r="O100" s="492"/>
    </row>
    <row r="101" spans="1:15" ht="12.75">
      <c r="A101" s="492"/>
      <c r="B101" s="492"/>
      <c r="C101" s="492"/>
      <c r="D101" s="492"/>
      <c r="E101" s="492"/>
      <c r="F101" s="492"/>
      <c r="G101" s="492"/>
      <c r="H101" s="492"/>
      <c r="I101" s="492"/>
      <c r="J101" s="492"/>
      <c r="K101" s="492"/>
      <c r="L101" s="492"/>
      <c r="M101" s="492"/>
      <c r="N101" s="492"/>
      <c r="O101" s="492"/>
    </row>
    <row r="102" spans="1:15" ht="12.75">
      <c r="A102" s="492"/>
      <c r="B102" s="492"/>
      <c r="C102" s="492"/>
      <c r="D102" s="492"/>
      <c r="E102" s="492"/>
      <c r="F102" s="492"/>
      <c r="G102" s="492"/>
      <c r="H102" s="492"/>
      <c r="I102" s="492"/>
      <c r="J102" s="492"/>
      <c r="K102" s="492"/>
      <c r="L102" s="492"/>
      <c r="M102" s="492"/>
      <c r="N102" s="492"/>
      <c r="O102" s="492"/>
    </row>
    <row r="103" spans="1:15" ht="12.75">
      <c r="A103" s="492"/>
      <c r="B103" s="492"/>
      <c r="C103" s="492"/>
      <c r="D103" s="492"/>
      <c r="E103" s="492"/>
      <c r="F103" s="492"/>
      <c r="G103" s="492"/>
      <c r="H103" s="492"/>
      <c r="I103" s="492"/>
      <c r="J103" s="492"/>
      <c r="K103" s="492"/>
      <c r="L103" s="492"/>
      <c r="M103" s="492"/>
      <c r="N103" s="492"/>
      <c r="O103" s="492"/>
    </row>
    <row r="104" spans="1:15" ht="12.75">
      <c r="A104" s="492"/>
      <c r="B104" s="492"/>
      <c r="C104" s="492"/>
      <c r="D104" s="492"/>
      <c r="E104" s="492"/>
      <c r="F104" s="492"/>
      <c r="G104" s="492"/>
      <c r="H104" s="492"/>
      <c r="I104" s="492"/>
      <c r="J104" s="492"/>
      <c r="K104" s="492"/>
      <c r="L104" s="492"/>
      <c r="M104" s="492"/>
      <c r="N104" s="492"/>
      <c r="O104" s="492"/>
    </row>
    <row r="105" spans="1:15" ht="12.75">
      <c r="A105" s="492"/>
      <c r="B105" s="492"/>
      <c r="C105" s="492"/>
      <c r="D105" s="492"/>
      <c r="E105" s="492"/>
      <c r="F105" s="492"/>
      <c r="G105" s="492"/>
      <c r="H105" s="492"/>
      <c r="I105" s="492"/>
      <c r="J105" s="492"/>
      <c r="K105" s="492"/>
      <c r="L105" s="492"/>
      <c r="M105" s="492"/>
      <c r="N105" s="492"/>
      <c r="O105" s="492"/>
    </row>
    <row r="106" spans="1:15" ht="12.75">
      <c r="A106" s="492"/>
      <c r="B106" s="492"/>
      <c r="C106" s="492"/>
      <c r="D106" s="492"/>
      <c r="E106" s="492"/>
      <c r="F106" s="492"/>
      <c r="G106" s="492"/>
      <c r="H106" s="492"/>
      <c r="I106" s="492"/>
      <c r="J106" s="492"/>
      <c r="K106" s="492"/>
      <c r="L106" s="492"/>
      <c r="M106" s="492"/>
      <c r="N106" s="492"/>
      <c r="O106" s="492"/>
    </row>
    <row r="107" spans="1:15" ht="12.75">
      <c r="A107" s="492"/>
      <c r="B107" s="492"/>
      <c r="C107" s="492"/>
      <c r="D107" s="492"/>
      <c r="E107" s="492"/>
      <c r="F107" s="492"/>
      <c r="G107" s="492"/>
      <c r="H107" s="492"/>
      <c r="I107" s="492"/>
      <c r="J107" s="492"/>
      <c r="K107" s="492"/>
      <c r="L107" s="492"/>
      <c r="M107" s="492"/>
      <c r="N107" s="492"/>
      <c r="O107" s="492"/>
    </row>
    <row r="108" spans="1:15" ht="12.75">
      <c r="A108" s="492"/>
      <c r="B108" s="492"/>
      <c r="C108" s="492"/>
      <c r="D108" s="492"/>
      <c r="E108" s="492"/>
      <c r="F108" s="492"/>
      <c r="G108" s="492"/>
      <c r="H108" s="492"/>
      <c r="I108" s="492"/>
      <c r="J108" s="492"/>
      <c r="K108" s="492"/>
      <c r="L108" s="492"/>
      <c r="M108" s="492"/>
      <c r="N108" s="492"/>
      <c r="O108" s="492"/>
    </row>
    <row r="109" spans="1:15" ht="12.75">
      <c r="A109" s="492"/>
      <c r="B109" s="492"/>
      <c r="C109" s="492"/>
      <c r="D109" s="492"/>
      <c r="E109" s="492"/>
      <c r="F109" s="492"/>
      <c r="G109" s="492"/>
      <c r="H109" s="492"/>
      <c r="I109" s="492"/>
      <c r="J109" s="492"/>
      <c r="K109" s="492"/>
      <c r="L109" s="492"/>
      <c r="M109" s="492"/>
      <c r="N109" s="492"/>
      <c r="O109" s="492"/>
    </row>
    <row r="110" spans="1:15" ht="12.75">
      <c r="A110" s="492"/>
      <c r="B110" s="492"/>
      <c r="C110" s="492"/>
      <c r="D110" s="492"/>
      <c r="E110" s="492"/>
      <c r="F110" s="492"/>
      <c r="G110" s="492"/>
      <c r="H110" s="492"/>
      <c r="I110" s="492"/>
      <c r="J110" s="492"/>
      <c r="K110" s="492"/>
      <c r="L110" s="492"/>
      <c r="M110" s="492"/>
      <c r="N110" s="492"/>
      <c r="O110" s="492"/>
    </row>
    <row r="111" spans="1:15" ht="12.75">
      <c r="A111" s="492"/>
      <c r="B111" s="492"/>
      <c r="C111" s="492"/>
      <c r="D111" s="492"/>
      <c r="E111" s="492"/>
      <c r="F111" s="492"/>
      <c r="G111" s="492"/>
      <c r="H111" s="492"/>
      <c r="I111" s="492"/>
      <c r="J111" s="492"/>
      <c r="K111" s="492"/>
      <c r="L111" s="492"/>
      <c r="M111" s="492"/>
      <c r="N111" s="492"/>
      <c r="O111" s="492"/>
    </row>
    <row r="112" spans="1:15" ht="12.75">
      <c r="A112" s="492"/>
      <c r="B112" s="492"/>
      <c r="C112" s="492"/>
      <c r="D112" s="492"/>
      <c r="E112" s="492"/>
      <c r="F112" s="492"/>
      <c r="G112" s="492"/>
      <c r="H112" s="492"/>
      <c r="I112" s="492"/>
      <c r="J112" s="492"/>
      <c r="K112" s="492"/>
      <c r="L112" s="492"/>
      <c r="M112" s="492"/>
      <c r="N112" s="492"/>
      <c r="O112" s="492"/>
    </row>
    <row r="113" spans="1:15" ht="12.75">
      <c r="A113" s="492"/>
      <c r="B113" s="492"/>
      <c r="C113" s="492"/>
      <c r="D113" s="492"/>
      <c r="E113" s="492"/>
      <c r="F113" s="492"/>
      <c r="G113" s="492"/>
      <c r="H113" s="492"/>
      <c r="I113" s="492"/>
      <c r="J113" s="492"/>
      <c r="K113" s="492"/>
      <c r="L113" s="492"/>
      <c r="M113" s="492"/>
      <c r="N113" s="492"/>
      <c r="O113" s="492"/>
    </row>
    <row r="114" spans="1:15" ht="12.75">
      <c r="A114" s="492"/>
      <c r="B114" s="492"/>
      <c r="C114" s="492"/>
      <c r="D114" s="492"/>
      <c r="E114" s="492"/>
      <c r="F114" s="492"/>
      <c r="G114" s="492"/>
      <c r="H114" s="492"/>
      <c r="I114" s="492"/>
      <c r="J114" s="492"/>
      <c r="K114" s="492"/>
      <c r="L114" s="492"/>
      <c r="M114" s="492"/>
      <c r="N114" s="492"/>
      <c r="O114" s="492"/>
    </row>
    <row r="115" spans="1:15" ht="12.75">
      <c r="A115" s="492"/>
      <c r="B115" s="492"/>
      <c r="C115" s="492"/>
      <c r="D115" s="492"/>
      <c r="E115" s="492"/>
      <c r="F115" s="492"/>
      <c r="G115" s="492"/>
      <c r="H115" s="492"/>
      <c r="I115" s="492"/>
      <c r="J115" s="492"/>
      <c r="K115" s="492"/>
      <c r="L115" s="492"/>
      <c r="M115" s="492"/>
      <c r="N115" s="492"/>
      <c r="O115" s="492"/>
    </row>
    <row r="116" spans="1:15" ht="12.75">
      <c r="A116" s="492"/>
      <c r="B116" s="492"/>
      <c r="C116" s="492"/>
      <c r="D116" s="492"/>
      <c r="E116" s="492"/>
      <c r="F116" s="492"/>
      <c r="G116" s="492"/>
      <c r="H116" s="492"/>
      <c r="I116" s="492"/>
      <c r="J116" s="492"/>
      <c r="K116" s="492"/>
      <c r="L116" s="492"/>
      <c r="M116" s="492"/>
      <c r="N116" s="492"/>
      <c r="O116" s="492"/>
    </row>
    <row r="117" spans="1:15" ht="12.75">
      <c r="A117" s="492"/>
      <c r="B117" s="492"/>
      <c r="C117" s="492"/>
      <c r="D117" s="492"/>
      <c r="E117" s="492"/>
      <c r="F117" s="492"/>
      <c r="G117" s="492"/>
      <c r="H117" s="492"/>
      <c r="I117" s="492"/>
      <c r="J117" s="492"/>
      <c r="K117" s="492"/>
      <c r="L117" s="492"/>
      <c r="M117" s="492"/>
      <c r="N117" s="492"/>
      <c r="O117" s="492"/>
    </row>
    <row r="118" spans="1:15" ht="12.75">
      <c r="A118" s="492"/>
      <c r="B118" s="492"/>
      <c r="C118" s="492"/>
      <c r="D118" s="492"/>
      <c r="E118" s="492"/>
      <c r="F118" s="492"/>
      <c r="G118" s="492"/>
      <c r="H118" s="492"/>
      <c r="I118" s="492"/>
      <c r="J118" s="492"/>
      <c r="K118" s="492"/>
      <c r="L118" s="492"/>
      <c r="M118" s="492"/>
      <c r="N118" s="492"/>
      <c r="O118" s="492"/>
    </row>
    <row r="119" spans="1:15" ht="12.75">
      <c r="A119" s="492"/>
      <c r="B119" s="492"/>
      <c r="C119" s="492"/>
      <c r="D119" s="492"/>
      <c r="E119" s="492"/>
      <c r="F119" s="492"/>
      <c r="G119" s="492"/>
      <c r="H119" s="492"/>
      <c r="I119" s="492"/>
      <c r="J119" s="492"/>
      <c r="K119" s="492"/>
      <c r="L119" s="492"/>
      <c r="M119" s="492"/>
      <c r="N119" s="492"/>
      <c r="O119" s="492"/>
    </row>
    <row r="120" spans="1:15" ht="12.75">
      <c r="A120" s="492"/>
      <c r="B120" s="492"/>
      <c r="C120" s="492"/>
      <c r="D120" s="492"/>
      <c r="E120" s="492"/>
      <c r="F120" s="492"/>
      <c r="G120" s="492"/>
      <c r="H120" s="492"/>
      <c r="I120" s="492"/>
      <c r="J120" s="492"/>
      <c r="K120" s="492"/>
      <c r="L120" s="492"/>
      <c r="M120" s="492"/>
      <c r="N120" s="492"/>
      <c r="O120" s="492"/>
    </row>
    <row r="121" spans="1:15" ht="12.75">
      <c r="A121" s="492"/>
      <c r="B121" s="492"/>
      <c r="C121" s="492"/>
      <c r="D121" s="492"/>
      <c r="E121" s="492"/>
      <c r="F121" s="492"/>
      <c r="G121" s="492"/>
      <c r="H121" s="492"/>
      <c r="I121" s="492"/>
      <c r="J121" s="492"/>
      <c r="K121" s="492"/>
      <c r="L121" s="492"/>
      <c r="M121" s="492"/>
      <c r="N121" s="492"/>
      <c r="O121" s="492"/>
    </row>
    <row r="122" spans="1:15" ht="12.75">
      <c r="A122" s="492"/>
      <c r="B122" s="492"/>
      <c r="C122" s="492"/>
      <c r="D122" s="492"/>
      <c r="E122" s="492"/>
      <c r="F122" s="492"/>
      <c r="G122" s="492"/>
      <c r="H122" s="492"/>
      <c r="I122" s="492"/>
      <c r="J122" s="492"/>
      <c r="K122" s="492"/>
      <c r="L122" s="492"/>
      <c r="M122" s="492"/>
      <c r="N122" s="492"/>
      <c r="O122" s="492"/>
    </row>
    <row r="123" spans="1:15" ht="12.75">
      <c r="A123" s="492"/>
      <c r="B123" s="492"/>
      <c r="C123" s="492"/>
      <c r="D123" s="492"/>
      <c r="E123" s="492"/>
      <c r="F123" s="492"/>
      <c r="G123" s="492"/>
      <c r="H123" s="492"/>
      <c r="I123" s="492"/>
      <c r="J123" s="492"/>
      <c r="K123" s="492"/>
      <c r="L123" s="492"/>
      <c r="M123" s="492"/>
      <c r="N123" s="492"/>
      <c r="O123" s="492"/>
    </row>
    <row r="124" spans="1:15" ht="12.75">
      <c r="A124" s="492"/>
      <c r="B124" s="492"/>
      <c r="C124" s="492"/>
      <c r="D124" s="492"/>
      <c r="E124" s="492"/>
      <c r="F124" s="492"/>
      <c r="G124" s="492"/>
      <c r="H124" s="492"/>
      <c r="I124" s="492"/>
      <c r="J124" s="492"/>
      <c r="K124" s="492"/>
      <c r="L124" s="492"/>
      <c r="M124" s="492"/>
      <c r="N124" s="492"/>
      <c r="O124" s="492"/>
    </row>
    <row r="125" spans="1:15" ht="12.75">
      <c r="A125" s="492"/>
      <c r="B125" s="492"/>
      <c r="C125" s="492"/>
      <c r="D125" s="492"/>
      <c r="E125" s="492"/>
      <c r="F125" s="492"/>
      <c r="G125" s="492"/>
      <c r="H125" s="492"/>
      <c r="I125" s="492"/>
      <c r="J125" s="492"/>
      <c r="K125" s="492"/>
      <c r="L125" s="492"/>
      <c r="M125" s="492"/>
      <c r="N125" s="492"/>
      <c r="O125" s="492"/>
    </row>
    <row r="126" spans="1:15" ht="12.75">
      <c r="A126" s="492"/>
      <c r="B126" s="492"/>
      <c r="C126" s="492"/>
      <c r="D126" s="492"/>
      <c r="E126" s="492"/>
      <c r="F126" s="492"/>
      <c r="G126" s="492"/>
      <c r="H126" s="492"/>
      <c r="I126" s="492"/>
      <c r="J126" s="492"/>
      <c r="K126" s="492"/>
      <c r="L126" s="492"/>
      <c r="M126" s="492"/>
      <c r="N126" s="492"/>
      <c r="O126" s="492"/>
    </row>
    <row r="127" spans="1:15" ht="12.75">
      <c r="A127" s="492"/>
      <c r="B127" s="492"/>
      <c r="C127" s="492"/>
      <c r="D127" s="492"/>
      <c r="E127" s="492"/>
      <c r="F127" s="492"/>
      <c r="G127" s="492"/>
      <c r="H127" s="492"/>
      <c r="I127" s="492"/>
      <c r="J127" s="492"/>
      <c r="K127" s="492"/>
      <c r="L127" s="492"/>
      <c r="M127" s="492"/>
      <c r="N127" s="492"/>
      <c r="O127" s="492"/>
    </row>
    <row r="128" spans="1:15" ht="12.75">
      <c r="A128" s="492"/>
      <c r="B128" s="492"/>
      <c r="C128" s="492"/>
      <c r="D128" s="492"/>
      <c r="E128" s="492"/>
      <c r="F128" s="492"/>
      <c r="G128" s="492"/>
      <c r="H128" s="492"/>
      <c r="I128" s="492"/>
      <c r="J128" s="492"/>
      <c r="K128" s="492"/>
      <c r="L128" s="492"/>
      <c r="M128" s="492"/>
      <c r="N128" s="492"/>
      <c r="O128" s="492"/>
    </row>
    <row r="129" spans="1:15" ht="12.75">
      <c r="A129" s="492"/>
      <c r="B129" s="492"/>
      <c r="C129" s="492"/>
      <c r="D129" s="492"/>
      <c r="E129" s="492"/>
      <c r="F129" s="492"/>
      <c r="G129" s="492"/>
      <c r="H129" s="492"/>
      <c r="I129" s="492"/>
      <c r="J129" s="492"/>
      <c r="K129" s="492"/>
      <c r="L129" s="492"/>
      <c r="M129" s="492"/>
      <c r="N129" s="492"/>
      <c r="O129" s="492"/>
    </row>
    <row r="130" spans="1:15" ht="12.75">
      <c r="A130" s="492"/>
      <c r="B130" s="492"/>
      <c r="C130" s="492"/>
      <c r="D130" s="492"/>
      <c r="E130" s="492"/>
      <c r="F130" s="492"/>
      <c r="G130" s="492"/>
      <c r="H130" s="492"/>
      <c r="I130" s="492"/>
      <c r="J130" s="492"/>
      <c r="K130" s="492"/>
      <c r="L130" s="492"/>
      <c r="M130" s="492"/>
      <c r="N130" s="492"/>
      <c r="O130" s="492"/>
    </row>
    <row r="131" spans="1:15" ht="12.75">
      <c r="A131" s="492"/>
      <c r="B131" s="492"/>
      <c r="C131" s="492"/>
      <c r="D131" s="492"/>
      <c r="E131" s="492"/>
      <c r="F131" s="492"/>
      <c r="G131" s="492"/>
      <c r="H131" s="492"/>
      <c r="I131" s="492"/>
      <c r="J131" s="492"/>
      <c r="K131" s="492"/>
      <c r="L131" s="492"/>
      <c r="M131" s="492"/>
      <c r="N131" s="492"/>
      <c r="O131" s="492"/>
    </row>
    <row r="132" spans="1:15" ht="12.75">
      <c r="A132" s="492"/>
      <c r="B132" s="492"/>
      <c r="C132" s="492"/>
      <c r="D132" s="492"/>
      <c r="E132" s="492"/>
      <c r="F132" s="492"/>
      <c r="G132" s="492"/>
      <c r="H132" s="492"/>
      <c r="I132" s="492"/>
      <c r="J132" s="492"/>
      <c r="K132" s="492"/>
      <c r="L132" s="492"/>
      <c r="M132" s="492"/>
      <c r="N132" s="492"/>
      <c r="O132" s="492"/>
    </row>
    <row r="133" spans="1:15" ht="12.75">
      <c r="A133" s="492"/>
      <c r="B133" s="492"/>
      <c r="C133" s="492"/>
      <c r="D133" s="492"/>
      <c r="E133" s="492"/>
      <c r="F133" s="492"/>
      <c r="G133" s="492"/>
      <c r="H133" s="492"/>
      <c r="I133" s="492"/>
      <c r="J133" s="492"/>
      <c r="K133" s="492"/>
      <c r="L133" s="492"/>
      <c r="M133" s="492"/>
      <c r="N133" s="492"/>
      <c r="O133" s="492"/>
    </row>
    <row r="134" spans="1:15" ht="12.75">
      <c r="A134" s="492"/>
      <c r="B134" s="492"/>
      <c r="C134" s="492"/>
      <c r="D134" s="492"/>
      <c r="E134" s="492"/>
      <c r="F134" s="492"/>
      <c r="G134" s="492"/>
      <c r="H134" s="492"/>
      <c r="I134" s="492"/>
      <c r="J134" s="492"/>
      <c r="K134" s="492"/>
      <c r="L134" s="492"/>
      <c r="M134" s="492"/>
      <c r="N134" s="492"/>
      <c r="O134" s="492"/>
    </row>
    <row r="135" spans="1:15" ht="12.75">
      <c r="A135" s="492"/>
      <c r="B135" s="492"/>
      <c r="C135" s="492"/>
      <c r="D135" s="492"/>
      <c r="E135" s="492"/>
      <c r="F135" s="492"/>
      <c r="G135" s="492"/>
      <c r="H135" s="492"/>
      <c r="I135" s="492"/>
      <c r="J135" s="492"/>
      <c r="K135" s="492"/>
      <c r="L135" s="492"/>
      <c r="M135" s="492"/>
      <c r="N135" s="492"/>
      <c r="O135" s="492"/>
    </row>
    <row r="136" spans="1:15" ht="12.75">
      <c r="A136" s="492"/>
      <c r="B136" s="492"/>
      <c r="C136" s="492"/>
      <c r="D136" s="492"/>
      <c r="E136" s="492"/>
      <c r="F136" s="492"/>
      <c r="G136" s="492"/>
      <c r="H136" s="492"/>
      <c r="I136" s="492"/>
      <c r="J136" s="492"/>
      <c r="K136" s="492"/>
      <c r="L136" s="492"/>
      <c r="M136" s="492"/>
      <c r="N136" s="492"/>
      <c r="O136" s="492"/>
    </row>
    <row r="137" spans="1:15" ht="12.75">
      <c r="A137" s="492"/>
      <c r="B137" s="492"/>
      <c r="C137" s="492"/>
      <c r="D137" s="492"/>
      <c r="E137" s="492"/>
      <c r="F137" s="492"/>
      <c r="G137" s="492"/>
      <c r="H137" s="492"/>
      <c r="I137" s="492"/>
      <c r="J137" s="492"/>
      <c r="K137" s="492"/>
      <c r="L137" s="492"/>
      <c r="M137" s="492"/>
      <c r="N137" s="492"/>
      <c r="O137" s="492"/>
    </row>
    <row r="138" spans="1:15" ht="12.75">
      <c r="A138" s="492"/>
      <c r="B138" s="492"/>
      <c r="C138" s="492"/>
      <c r="D138" s="492"/>
      <c r="E138" s="492"/>
      <c r="F138" s="492"/>
      <c r="G138" s="492"/>
      <c r="H138" s="492"/>
      <c r="I138" s="492"/>
      <c r="J138" s="492"/>
      <c r="K138" s="492"/>
      <c r="L138" s="492"/>
      <c r="M138" s="492"/>
      <c r="N138" s="492"/>
      <c r="O138" s="492"/>
    </row>
    <row r="139" spans="1:15" ht="12.75">
      <c r="A139" s="492"/>
      <c r="B139" s="492"/>
      <c r="C139" s="492"/>
      <c r="D139" s="492"/>
      <c r="E139" s="492"/>
      <c r="F139" s="492"/>
      <c r="G139" s="492"/>
      <c r="H139" s="492"/>
      <c r="I139" s="492"/>
      <c r="J139" s="492"/>
      <c r="K139" s="492"/>
      <c r="L139" s="492"/>
      <c r="M139" s="492"/>
      <c r="N139" s="492"/>
      <c r="O139" s="492"/>
    </row>
  </sheetData>
  <printOptions horizontalCentered="1"/>
  <pageMargins left="0.5" right="0.5" top="0.75" bottom="0.5" header="0.3" footer="0.3"/>
  <pageSetup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M30"/>
  <sheetViews>
    <sheetView zoomScaleNormal="100" zoomScaleSheetLayoutView="100" workbookViewId="0">
      <selection activeCell="L20" sqref="L20"/>
    </sheetView>
  </sheetViews>
  <sheetFormatPr defaultColWidth="9.6640625" defaultRowHeight="10.5"/>
  <cols>
    <col min="1" max="1" width="6" style="948" customWidth="1"/>
    <col min="2" max="2" width="2.5" style="948" customWidth="1"/>
    <col min="3" max="3" width="47.1640625" style="948" customWidth="1"/>
    <col min="4" max="4" width="3.1640625" style="948" customWidth="1"/>
    <col min="5" max="5" width="39.1640625" style="948" bestFit="1" customWidth="1"/>
    <col min="6" max="6" width="3.6640625" style="948" customWidth="1"/>
    <col min="7" max="7" width="17.6640625" style="948" customWidth="1"/>
    <col min="8" max="8" width="2.6640625" style="948" customWidth="1"/>
    <col min="9" max="9" width="16.6640625" style="948" customWidth="1"/>
    <col min="10" max="10" width="18.6640625" style="948" customWidth="1"/>
    <col min="11" max="11" width="2" style="948" customWidth="1"/>
    <col min="12" max="12" width="18.33203125" style="948" customWidth="1"/>
    <col min="13" max="13" width="13.6640625" style="948" customWidth="1"/>
    <col min="14" max="16384" width="9.6640625" style="948"/>
  </cols>
  <sheetData>
    <row r="1" spans="1:13" ht="12.75">
      <c r="A1" s="1306" t="str">
        <f>'General Headers Index'!B4</f>
        <v>COLUMBIA GAS OF KENTUCKY, INC.</v>
      </c>
      <c r="B1" s="1306"/>
      <c r="C1" s="1306"/>
      <c r="D1" s="1306"/>
      <c r="E1" s="1306"/>
      <c r="F1" s="1306"/>
      <c r="G1" s="1306"/>
      <c r="H1" s="1306"/>
      <c r="I1" s="1306"/>
      <c r="J1" s="1306"/>
      <c r="K1" s="1306"/>
      <c r="L1" s="1306"/>
      <c r="M1" s="417"/>
    </row>
    <row r="2" spans="1:13" ht="12.75">
      <c r="A2" s="1306" t="str">
        <f>'General Headers Index'!B6</f>
        <v>CASE NO. 2024 - 00092</v>
      </c>
      <c r="B2" s="1306"/>
      <c r="C2" s="1306"/>
      <c r="D2" s="1306"/>
      <c r="E2" s="1306"/>
      <c r="F2" s="1306"/>
      <c r="G2" s="1306"/>
      <c r="H2" s="1306"/>
      <c r="I2" s="1306"/>
      <c r="J2" s="1306"/>
      <c r="K2" s="1306"/>
      <c r="L2" s="1306"/>
      <c r="M2" s="417"/>
    </row>
    <row r="3" spans="1:13" ht="12.75">
      <c r="A3" s="1306" t="s">
        <v>546</v>
      </c>
      <c r="B3" s="1306"/>
      <c r="C3" s="1306"/>
      <c r="D3" s="1306"/>
      <c r="E3" s="1306"/>
      <c r="F3" s="1306"/>
      <c r="G3" s="1306"/>
      <c r="H3" s="1306"/>
      <c r="I3" s="1306"/>
      <c r="J3" s="1306"/>
      <c r="K3" s="1306"/>
      <c r="L3" s="1306"/>
      <c r="M3" s="417"/>
    </row>
    <row r="4" spans="1:13" ht="12.75">
      <c r="A4" s="1306" t="str">
        <f>'General Headers Index'!B10</f>
        <v>AS OF AUGUST 31, 2024</v>
      </c>
      <c r="B4" s="1306"/>
      <c r="C4" s="1306"/>
      <c r="D4" s="1306"/>
      <c r="E4" s="1306"/>
      <c r="F4" s="1306"/>
      <c r="G4" s="1306"/>
      <c r="H4" s="1306"/>
      <c r="I4" s="1306"/>
      <c r="J4" s="1306"/>
      <c r="K4" s="1306"/>
      <c r="L4" s="1306"/>
      <c r="M4" s="417"/>
    </row>
    <row r="5" spans="1:13" ht="12.75">
      <c r="A5" s="220"/>
      <c r="B5" s="220"/>
      <c r="C5" s="220"/>
      <c r="D5" s="220"/>
      <c r="E5" s="220"/>
      <c r="F5" s="220"/>
      <c r="G5" s="220"/>
      <c r="H5" s="220"/>
      <c r="I5" s="220"/>
      <c r="J5" s="220"/>
      <c r="K5" s="220"/>
      <c r="L5" s="220"/>
      <c r="M5" s="417"/>
    </row>
    <row r="6" spans="1:13" ht="12.75">
      <c r="A6" s="229" t="s">
        <v>2787</v>
      </c>
      <c r="B6" s="220"/>
      <c r="C6" s="220"/>
      <c r="D6" s="220"/>
      <c r="E6" s="220"/>
      <c r="F6" s="220"/>
      <c r="G6" s="220"/>
      <c r="H6" s="220"/>
      <c r="I6" s="220"/>
      <c r="J6" s="417"/>
      <c r="K6" s="220"/>
      <c r="L6" s="326" t="s">
        <v>547</v>
      </c>
      <c r="M6" s="417"/>
    </row>
    <row r="7" spans="1:13" ht="12.75">
      <c r="A7" s="229" t="str">
        <f>'General Headers Index'!B37</f>
        <v>TYPE OF FILING:___X___ORIGINAL______UPDATED</v>
      </c>
      <c r="B7" s="220"/>
      <c r="C7" s="220"/>
      <c r="D7" s="220"/>
      <c r="E7" s="220"/>
      <c r="F7" s="220"/>
      <c r="G7" s="220"/>
      <c r="H7" s="220"/>
      <c r="I7" s="220"/>
      <c r="J7" s="417"/>
      <c r="K7" s="220"/>
      <c r="L7" s="326" t="s">
        <v>309</v>
      </c>
      <c r="M7" s="417"/>
    </row>
    <row r="8" spans="1:13" ht="12.75">
      <c r="A8" s="229" t="s">
        <v>573</v>
      </c>
      <c r="B8" s="220"/>
      <c r="C8" s="220"/>
      <c r="D8" s="220"/>
      <c r="E8" s="220"/>
      <c r="F8" s="220"/>
      <c r="G8" s="220"/>
      <c r="H8" s="220"/>
      <c r="I8" s="220"/>
      <c r="J8" s="417"/>
      <c r="K8" s="220"/>
      <c r="L8" s="326" t="str">
        <f>"WITNESS: "&amp;'General Headers Index'!B42</f>
        <v>WITNESS: GORE</v>
      </c>
      <c r="M8" s="417"/>
    </row>
    <row r="9" spans="1:13" ht="12.75">
      <c r="A9" s="229"/>
      <c r="B9" s="220"/>
      <c r="C9" s="220"/>
      <c r="D9" s="220"/>
      <c r="E9" s="220"/>
      <c r="F9" s="220"/>
      <c r="G9" s="220"/>
      <c r="H9" s="220"/>
      <c r="I9" s="220"/>
      <c r="J9" s="417"/>
      <c r="K9" s="220"/>
      <c r="L9" s="326"/>
      <c r="M9" s="417"/>
    </row>
    <row r="10" spans="1:13" ht="12.75">
      <c r="A10" s="465"/>
      <c r="B10" s="465"/>
      <c r="C10" s="465"/>
      <c r="D10" s="465"/>
      <c r="E10" s="439" t="s">
        <v>548</v>
      </c>
      <c r="F10" s="465"/>
      <c r="G10" s="465"/>
      <c r="H10" s="465"/>
      <c r="I10" s="465"/>
      <c r="J10" s="465"/>
      <c r="K10" s="465"/>
      <c r="L10" s="465"/>
      <c r="M10" s="417"/>
    </row>
    <row r="11" spans="1:13" ht="12.75">
      <c r="A11" s="217" t="s">
        <v>313</v>
      </c>
      <c r="B11" s="220"/>
      <c r="C11" s="217" t="s">
        <v>549</v>
      </c>
      <c r="D11" s="220"/>
      <c r="E11" s="217" t="s">
        <v>550</v>
      </c>
      <c r="F11" s="220"/>
      <c r="G11" s="217" t="s">
        <v>430</v>
      </c>
      <c r="H11" s="220"/>
      <c r="I11" s="217" t="s">
        <v>349</v>
      </c>
      <c r="J11" s="217" t="s">
        <v>350</v>
      </c>
      <c r="K11" s="220"/>
      <c r="L11" s="217" t="s">
        <v>350</v>
      </c>
      <c r="M11" s="417"/>
    </row>
    <row r="12" spans="1:13" ht="12.75">
      <c r="A12" s="890" t="s">
        <v>316</v>
      </c>
      <c r="B12" s="892"/>
      <c r="C12" s="890" t="s">
        <v>551</v>
      </c>
      <c r="D12" s="892"/>
      <c r="E12" s="890" t="s">
        <v>552</v>
      </c>
      <c r="F12" s="892"/>
      <c r="G12" s="890" t="s">
        <v>434</v>
      </c>
      <c r="H12" s="892"/>
      <c r="I12" s="890" t="s">
        <v>353</v>
      </c>
      <c r="J12" s="890" t="s">
        <v>354</v>
      </c>
      <c r="K12" s="892"/>
      <c r="L12" s="890" t="s">
        <v>444</v>
      </c>
      <c r="M12" s="417"/>
    </row>
    <row r="13" spans="1:13" ht="12.75">
      <c r="A13" s="217"/>
      <c r="B13" s="220"/>
      <c r="C13" s="229"/>
      <c r="D13" s="220"/>
      <c r="E13" s="217"/>
      <c r="F13" s="220"/>
      <c r="G13" s="217"/>
      <c r="H13" s="220"/>
      <c r="I13" s="300" t="s">
        <v>532</v>
      </c>
      <c r="J13" s="300" t="s">
        <v>541</v>
      </c>
      <c r="K13" s="220"/>
      <c r="L13" s="300" t="s">
        <v>2634</v>
      </c>
      <c r="M13" s="417"/>
    </row>
    <row r="14" spans="1:13" ht="12.75">
      <c r="A14" s="220"/>
      <c r="B14" s="220"/>
      <c r="C14" s="220"/>
      <c r="D14" s="220"/>
      <c r="E14" s="220"/>
      <c r="F14" s="220"/>
      <c r="G14" s="220"/>
      <c r="H14" s="220"/>
      <c r="I14" s="217" t="s">
        <v>320</v>
      </c>
      <c r="J14" s="220"/>
      <c r="K14" s="220"/>
      <c r="L14" s="217" t="s">
        <v>320</v>
      </c>
      <c r="M14" s="417"/>
    </row>
    <row r="15" spans="1:13" ht="12.75">
      <c r="A15" s="220"/>
      <c r="B15" s="220"/>
      <c r="C15" s="220"/>
      <c r="D15" s="220"/>
      <c r="E15" s="220"/>
      <c r="F15" s="220"/>
      <c r="G15" s="220"/>
      <c r="H15" s="220"/>
      <c r="I15" s="220"/>
      <c r="J15" s="220"/>
      <c r="K15" s="220"/>
      <c r="L15" s="220"/>
      <c r="M15" s="417"/>
    </row>
    <row r="16" spans="1:13" ht="12.75">
      <c r="A16" s="217">
        <v>1</v>
      </c>
      <c r="B16" s="220"/>
      <c r="C16" s="229" t="s">
        <v>543</v>
      </c>
      <c r="D16" s="220"/>
      <c r="E16" s="229" t="s">
        <v>1074</v>
      </c>
      <c r="F16" s="220"/>
      <c r="G16" s="217" t="s">
        <v>340</v>
      </c>
      <c r="H16" s="220"/>
      <c r="I16" s="328">
        <f>'B-5.2.A CWC (Base)'!K54</f>
        <v>0</v>
      </c>
      <c r="J16" s="217" t="s">
        <v>533</v>
      </c>
      <c r="K16" s="220"/>
      <c r="L16" s="328">
        <f>I16</f>
        <v>0</v>
      </c>
      <c r="M16" s="417"/>
    </row>
    <row r="17" spans="1:13" ht="12.75">
      <c r="A17" s="220"/>
      <c r="B17" s="220"/>
      <c r="C17" s="220"/>
      <c r="D17" s="220"/>
      <c r="E17" s="220"/>
      <c r="F17" s="328"/>
      <c r="G17" s="329"/>
      <c r="H17" s="328"/>
      <c r="I17" s="328"/>
      <c r="J17" s="328"/>
      <c r="K17" s="220"/>
      <c r="L17" s="328"/>
      <c r="M17" s="417"/>
    </row>
    <row r="18" spans="1:13" ht="12.75">
      <c r="A18" s="217">
        <v>2</v>
      </c>
      <c r="B18" s="220"/>
      <c r="C18" s="229" t="s">
        <v>539</v>
      </c>
      <c r="D18" s="220"/>
      <c r="E18" s="229" t="s">
        <v>553</v>
      </c>
      <c r="F18" s="328"/>
      <c r="G18" s="217" t="s">
        <v>343</v>
      </c>
      <c r="H18" s="328"/>
      <c r="I18" s="328">
        <v>0</v>
      </c>
      <c r="J18" s="328"/>
      <c r="K18" s="220"/>
      <c r="L18" s="328">
        <f>I18</f>
        <v>0</v>
      </c>
      <c r="M18" s="417"/>
    </row>
    <row r="19" spans="1:13" ht="12.75">
      <c r="A19" s="220"/>
      <c r="B19" s="220"/>
      <c r="C19" s="220"/>
      <c r="D19" s="220"/>
      <c r="E19" s="220"/>
      <c r="F19" s="328"/>
      <c r="G19" s="220"/>
      <c r="H19" s="220"/>
      <c r="I19" s="328"/>
      <c r="J19" s="328"/>
      <c r="K19" s="220"/>
      <c r="L19" s="328"/>
      <c r="M19" s="417"/>
    </row>
    <row r="20" spans="1:13" ht="12.75">
      <c r="A20" s="217">
        <v>3</v>
      </c>
      <c r="B20" s="220"/>
      <c r="C20" s="229" t="s">
        <v>540</v>
      </c>
      <c r="D20" s="220"/>
      <c r="E20" s="229" t="s">
        <v>553</v>
      </c>
      <c r="F20" s="328"/>
      <c r="G20" s="217" t="s">
        <v>343</v>
      </c>
      <c r="H20" s="328"/>
      <c r="I20" s="328">
        <f>'B-5.1 Working Cap. (Base)'!F18</f>
        <v>346971.85615384614</v>
      </c>
      <c r="J20" s="220"/>
      <c r="K20" s="220"/>
      <c r="L20" s="328">
        <f>I20</f>
        <v>346971.85615384614</v>
      </c>
      <c r="M20" s="417"/>
    </row>
    <row r="21" spans="1:13" ht="12.75">
      <c r="A21" s="220"/>
      <c r="B21" s="220"/>
      <c r="C21" s="220"/>
      <c r="D21" s="220"/>
      <c r="E21" s="220"/>
      <c r="F21" s="328"/>
      <c r="G21" s="329"/>
      <c r="H21" s="328"/>
      <c r="I21" s="328"/>
      <c r="J21" s="328"/>
      <c r="K21" s="220"/>
      <c r="L21" s="328"/>
      <c r="M21" s="417"/>
    </row>
    <row r="22" spans="1:13" ht="12.75">
      <c r="A22" s="217">
        <v>4</v>
      </c>
      <c r="B22" s="220"/>
      <c r="C22" s="229" t="s">
        <v>554</v>
      </c>
      <c r="D22" s="220"/>
      <c r="E22" s="229" t="s">
        <v>553</v>
      </c>
      <c r="F22" s="328"/>
      <c r="G22" s="217" t="s">
        <v>343</v>
      </c>
      <c r="H22" s="328"/>
      <c r="I22" s="894">
        <f>'B-5.1 Working Cap. (Base)'!F20</f>
        <v>38239810.502456896</v>
      </c>
      <c r="J22" s="328"/>
      <c r="K22" s="220"/>
      <c r="L22" s="894">
        <f>I22</f>
        <v>38239810.502456896</v>
      </c>
      <c r="M22" s="417"/>
    </row>
    <row r="23" spans="1:13" ht="12.75">
      <c r="A23" s="220"/>
      <c r="B23" s="220"/>
      <c r="C23" s="220"/>
      <c r="D23" s="220"/>
      <c r="E23" s="220"/>
      <c r="F23" s="328"/>
      <c r="G23" s="329"/>
      <c r="H23" s="328"/>
      <c r="I23" s="328"/>
      <c r="J23" s="328"/>
      <c r="K23" s="220"/>
      <c r="L23" s="328"/>
      <c r="M23" s="417"/>
    </row>
    <row r="24" spans="1:13" ht="12.75">
      <c r="A24" s="217">
        <v>6</v>
      </c>
      <c r="B24" s="220"/>
      <c r="C24" s="229" t="s">
        <v>555</v>
      </c>
      <c r="D24" s="220"/>
      <c r="E24" s="220"/>
      <c r="F24" s="328"/>
      <c r="G24" s="220"/>
      <c r="H24" s="328"/>
      <c r="I24" s="335">
        <f>SUM(I16:I22)</f>
        <v>38586782.358610742</v>
      </c>
      <c r="J24" s="328"/>
      <c r="K24" s="220"/>
      <c r="L24" s="335">
        <f>SUM(L16:L22)</f>
        <v>38586782.358610742</v>
      </c>
      <c r="M24" s="417"/>
    </row>
    <row r="25" spans="1:13" ht="12.75">
      <c r="A25" s="220"/>
      <c r="B25" s="220"/>
      <c r="C25" s="220"/>
      <c r="D25" s="220"/>
      <c r="E25" s="220"/>
      <c r="F25" s="328"/>
      <c r="G25" s="329"/>
      <c r="H25" s="328"/>
      <c r="I25" s="328"/>
      <c r="J25" s="328"/>
      <c r="K25" s="220"/>
      <c r="L25" s="328"/>
      <c r="M25" s="417"/>
    </row>
    <row r="26" spans="1:13" ht="11.25">
      <c r="A26" s="417"/>
      <c r="B26" s="417"/>
      <c r="C26" s="417"/>
      <c r="D26" s="417"/>
      <c r="E26" s="417"/>
      <c r="F26" s="490"/>
      <c r="G26" s="417"/>
      <c r="H26" s="490"/>
      <c r="I26" s="490"/>
      <c r="J26" s="490"/>
      <c r="K26" s="417"/>
      <c r="L26" s="490"/>
      <c r="M26" s="417"/>
    </row>
    <row r="27" spans="1:13" ht="11.25">
      <c r="A27" s="417"/>
      <c r="B27" s="417"/>
      <c r="C27" s="417"/>
      <c r="D27" s="417"/>
      <c r="E27" s="417"/>
      <c r="F27" s="490"/>
      <c r="G27" s="491"/>
      <c r="H27" s="490"/>
      <c r="I27" s="490"/>
      <c r="J27" s="490"/>
      <c r="K27" s="417"/>
      <c r="L27" s="490"/>
      <c r="M27" s="417"/>
    </row>
    <row r="28" spans="1:13" ht="11.25">
      <c r="A28" s="417"/>
      <c r="B28" s="417"/>
      <c r="C28" s="417"/>
      <c r="D28" s="417"/>
      <c r="E28" s="417"/>
      <c r="F28" s="490"/>
      <c r="G28" s="417"/>
      <c r="H28" s="490"/>
      <c r="I28" s="490"/>
      <c r="J28" s="490"/>
      <c r="K28" s="417"/>
      <c r="L28" s="490"/>
      <c r="M28" s="417"/>
    </row>
    <row r="29" spans="1:13" ht="11.25">
      <c r="A29" s="417"/>
      <c r="B29" s="417"/>
      <c r="C29" s="417"/>
      <c r="D29" s="417"/>
      <c r="E29" s="417"/>
      <c r="F29" s="490"/>
      <c r="G29" s="491"/>
      <c r="H29" s="490"/>
      <c r="I29" s="490"/>
      <c r="J29" s="490"/>
      <c r="K29" s="417"/>
      <c r="L29" s="490"/>
      <c r="M29" s="417"/>
    </row>
    <row r="30" spans="1:13" ht="11.25">
      <c r="A30" s="417"/>
      <c r="B30" s="417"/>
      <c r="C30" s="417"/>
      <c r="D30" s="417"/>
      <c r="E30" s="417"/>
      <c r="F30" s="490"/>
      <c r="G30" s="417"/>
      <c r="H30" s="490"/>
      <c r="I30" s="490"/>
      <c r="J30" s="490"/>
      <c r="K30" s="417"/>
      <c r="L30" s="490"/>
      <c r="M30" s="417"/>
    </row>
  </sheetData>
  <mergeCells count="4">
    <mergeCell ref="A1:L1"/>
    <mergeCell ref="A2:L2"/>
    <mergeCell ref="A3:L3"/>
    <mergeCell ref="A4:L4"/>
  </mergeCells>
  <printOptions horizontalCentered="1"/>
  <pageMargins left="0.5" right="0.5" top="0.75" bottom="0.5" header="0.3" footer="0.3"/>
  <pageSetup scale="9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30"/>
  <sheetViews>
    <sheetView zoomScaleNormal="100" zoomScaleSheetLayoutView="100" workbookViewId="0">
      <selection activeCell="L24" sqref="L24"/>
    </sheetView>
  </sheetViews>
  <sheetFormatPr defaultColWidth="9.6640625" defaultRowHeight="10.5"/>
  <cols>
    <col min="1" max="1" width="5.83203125" style="948" customWidth="1"/>
    <col min="2" max="2" width="2" style="948" customWidth="1"/>
    <col min="3" max="3" width="46.1640625" style="948" customWidth="1"/>
    <col min="4" max="4" width="2.33203125" style="948" customWidth="1"/>
    <col min="5" max="5" width="39.1640625" style="948" bestFit="1" customWidth="1"/>
    <col min="6" max="6" width="3.1640625" style="948" customWidth="1"/>
    <col min="7" max="7" width="19.6640625" style="948" customWidth="1"/>
    <col min="8" max="8" width="2.1640625" style="948" customWidth="1"/>
    <col min="9" max="9" width="16.6640625" style="948" customWidth="1"/>
    <col min="10" max="10" width="18.6640625" style="948" customWidth="1"/>
    <col min="11" max="11" width="1.5" style="948" customWidth="1"/>
    <col min="12" max="12" width="18.33203125" style="948" customWidth="1"/>
    <col min="13" max="13" width="13.6640625" style="948" customWidth="1"/>
    <col min="14" max="16384" width="9.6640625" style="948"/>
  </cols>
  <sheetData>
    <row r="1" spans="1:13" ht="12.75">
      <c r="A1" s="1306" t="str">
        <f>'General Headers Index'!B4</f>
        <v>COLUMBIA GAS OF KENTUCKY, INC.</v>
      </c>
      <c r="B1" s="1306"/>
      <c r="C1" s="1306"/>
      <c r="D1" s="1306"/>
      <c r="E1" s="1306"/>
      <c r="F1" s="1306"/>
      <c r="G1" s="1306"/>
      <c r="H1" s="1306"/>
      <c r="I1" s="1306"/>
      <c r="J1" s="1306"/>
      <c r="K1" s="1306"/>
      <c r="L1" s="1306"/>
      <c r="M1" s="417"/>
    </row>
    <row r="2" spans="1:13" ht="12.75">
      <c r="A2" s="1306" t="str">
        <f>'General Headers Index'!B6</f>
        <v>CASE NO. 2024 - 00092</v>
      </c>
      <c r="B2" s="1306"/>
      <c r="C2" s="1306"/>
      <c r="D2" s="1306"/>
      <c r="E2" s="1306"/>
      <c r="F2" s="1306"/>
      <c r="G2" s="1306"/>
      <c r="H2" s="1306"/>
      <c r="I2" s="1306"/>
      <c r="J2" s="1306"/>
      <c r="K2" s="1306"/>
      <c r="L2" s="1306"/>
      <c r="M2" s="417"/>
    </row>
    <row r="3" spans="1:13" ht="12.75">
      <c r="A3" s="1306" t="s">
        <v>546</v>
      </c>
      <c r="B3" s="1306"/>
      <c r="C3" s="1306"/>
      <c r="D3" s="1306"/>
      <c r="E3" s="1306"/>
      <c r="F3" s="1306"/>
      <c r="G3" s="1306"/>
      <c r="H3" s="1306"/>
      <c r="I3" s="1306"/>
      <c r="J3" s="1306"/>
      <c r="K3" s="1306"/>
      <c r="L3" s="1306"/>
      <c r="M3" s="417"/>
    </row>
    <row r="4" spans="1:13" ht="12.75">
      <c r="A4" s="1306" t="str">
        <f>'General Headers Index'!B17</f>
        <v>AS OF DECEMBER 31, 2025</v>
      </c>
      <c r="B4" s="1306"/>
      <c r="C4" s="1306"/>
      <c r="D4" s="1306"/>
      <c r="E4" s="1306"/>
      <c r="F4" s="1306"/>
      <c r="G4" s="1306"/>
      <c r="H4" s="1306"/>
      <c r="I4" s="1306"/>
      <c r="J4" s="1306"/>
      <c r="K4" s="1306"/>
      <c r="L4" s="1306"/>
      <c r="M4" s="417"/>
    </row>
    <row r="5" spans="1:13" ht="12.75">
      <c r="A5" s="220"/>
      <c r="B5" s="220"/>
      <c r="C5" s="220"/>
      <c r="D5" s="220"/>
      <c r="E5" s="220"/>
      <c r="F5" s="220"/>
      <c r="G5" s="220"/>
      <c r="H5" s="220"/>
      <c r="I5" s="220"/>
      <c r="J5" s="220"/>
      <c r="K5" s="220"/>
      <c r="L5" s="220"/>
      <c r="M5" s="417"/>
    </row>
    <row r="6" spans="1:13" ht="12.75">
      <c r="A6" s="229" t="s">
        <v>2788</v>
      </c>
      <c r="B6" s="220"/>
      <c r="C6" s="220"/>
      <c r="D6" s="220"/>
      <c r="E6" s="220"/>
      <c r="F6" s="220"/>
      <c r="G6" s="220"/>
      <c r="H6" s="220"/>
      <c r="I6" s="220"/>
      <c r="J6" s="417"/>
      <c r="K6" s="220"/>
      <c r="L6" s="326" t="s">
        <v>547</v>
      </c>
      <c r="M6" s="417"/>
    </row>
    <row r="7" spans="1:13" ht="12.75">
      <c r="A7" s="229" t="str">
        <f>'General Headers Index'!B37</f>
        <v>TYPE OF FILING:___X___ORIGINAL______UPDATED</v>
      </c>
      <c r="B7" s="220"/>
      <c r="C7" s="220"/>
      <c r="D7" s="220"/>
      <c r="E7" s="220"/>
      <c r="F7" s="220"/>
      <c r="G7" s="220"/>
      <c r="H7" s="220"/>
      <c r="I7" s="220"/>
      <c r="J7" s="417"/>
      <c r="K7" s="220"/>
      <c r="L7" s="326" t="s">
        <v>650</v>
      </c>
      <c r="M7" s="417"/>
    </row>
    <row r="8" spans="1:13" ht="12.75">
      <c r="A8" s="229" t="s">
        <v>573</v>
      </c>
      <c r="B8" s="220"/>
      <c r="C8" s="220"/>
      <c r="D8" s="220"/>
      <c r="E8" s="220"/>
      <c r="F8" s="220"/>
      <c r="G8" s="220"/>
      <c r="H8" s="220"/>
      <c r="I8" s="220"/>
      <c r="J8" s="417"/>
      <c r="K8" s="220"/>
      <c r="L8" s="326" t="str">
        <f>"WITNESS: "&amp;'General Headers Index'!B42</f>
        <v>WITNESS: GORE</v>
      </c>
      <c r="M8" s="417"/>
    </row>
    <row r="9" spans="1:13" ht="12.75">
      <c r="A9" s="229"/>
      <c r="B9" s="220"/>
      <c r="C9" s="220"/>
      <c r="D9" s="220"/>
      <c r="E9" s="220"/>
      <c r="F9" s="220"/>
      <c r="G9" s="220"/>
      <c r="H9" s="220"/>
      <c r="I9" s="220"/>
      <c r="J9" s="417"/>
      <c r="K9" s="220"/>
      <c r="L9" s="326"/>
      <c r="M9" s="417"/>
    </row>
    <row r="10" spans="1:13" ht="12.75">
      <c r="A10" s="465"/>
      <c r="B10" s="465"/>
      <c r="C10" s="465"/>
      <c r="D10" s="465"/>
      <c r="E10" s="439" t="s">
        <v>548</v>
      </c>
      <c r="F10" s="465"/>
      <c r="G10" s="465"/>
      <c r="H10" s="465"/>
      <c r="I10" s="465"/>
      <c r="J10" s="465"/>
      <c r="K10" s="465"/>
      <c r="L10" s="465"/>
      <c r="M10" s="417"/>
    </row>
    <row r="11" spans="1:13" ht="12.75">
      <c r="A11" s="217" t="s">
        <v>313</v>
      </c>
      <c r="B11" s="220"/>
      <c r="C11" s="217" t="s">
        <v>549</v>
      </c>
      <c r="D11" s="220"/>
      <c r="E11" s="217" t="s">
        <v>550</v>
      </c>
      <c r="F11" s="220"/>
      <c r="G11" s="217" t="s">
        <v>430</v>
      </c>
      <c r="H11" s="220"/>
      <c r="I11" s="217" t="s">
        <v>349</v>
      </c>
      <c r="J11" s="217" t="s">
        <v>350</v>
      </c>
      <c r="K11" s="220"/>
      <c r="L11" s="217" t="s">
        <v>350</v>
      </c>
      <c r="M11" s="417"/>
    </row>
    <row r="12" spans="1:13" ht="12.75">
      <c r="A12" s="890" t="s">
        <v>316</v>
      </c>
      <c r="B12" s="892"/>
      <c r="C12" s="890" t="s">
        <v>551</v>
      </c>
      <c r="D12" s="892"/>
      <c r="E12" s="890" t="s">
        <v>552</v>
      </c>
      <c r="F12" s="892"/>
      <c r="G12" s="890" t="s">
        <v>434</v>
      </c>
      <c r="H12" s="892"/>
      <c r="I12" s="890" t="s">
        <v>353</v>
      </c>
      <c r="J12" s="890" t="s">
        <v>354</v>
      </c>
      <c r="K12" s="892"/>
      <c r="L12" s="890" t="s">
        <v>444</v>
      </c>
      <c r="M12" s="417"/>
    </row>
    <row r="13" spans="1:13" ht="12.75">
      <c r="A13" s="217"/>
      <c r="B13" s="220"/>
      <c r="C13" s="229"/>
      <c r="D13" s="220"/>
      <c r="E13" s="217"/>
      <c r="F13" s="220"/>
      <c r="G13" s="217"/>
      <c r="H13" s="220"/>
      <c r="I13" s="300" t="s">
        <v>532</v>
      </c>
      <c r="J13" s="300" t="s">
        <v>541</v>
      </c>
      <c r="K13" s="220"/>
      <c r="L13" s="300" t="s">
        <v>2634</v>
      </c>
      <c r="M13" s="417"/>
    </row>
    <row r="14" spans="1:13" ht="12.75">
      <c r="A14" s="220"/>
      <c r="B14" s="220"/>
      <c r="C14" s="220"/>
      <c r="D14" s="220"/>
      <c r="E14" s="220"/>
      <c r="F14" s="220"/>
      <c r="G14" s="220"/>
      <c r="H14" s="220"/>
      <c r="I14" s="217" t="s">
        <v>320</v>
      </c>
      <c r="J14" s="220"/>
      <c r="K14" s="220"/>
      <c r="L14" s="217" t="s">
        <v>320</v>
      </c>
      <c r="M14" s="417"/>
    </row>
    <row r="15" spans="1:13" ht="12.75">
      <c r="A15" s="220"/>
      <c r="B15" s="220"/>
      <c r="C15" s="220"/>
      <c r="D15" s="220"/>
      <c r="E15" s="220"/>
      <c r="F15" s="220"/>
      <c r="G15" s="220"/>
      <c r="H15" s="220"/>
      <c r="I15" s="220"/>
      <c r="J15" s="220"/>
      <c r="K15" s="220"/>
      <c r="L15" s="220"/>
      <c r="M15" s="417"/>
    </row>
    <row r="16" spans="1:13" ht="12.75">
      <c r="A16" s="217">
        <v>1</v>
      </c>
      <c r="B16" s="220"/>
      <c r="C16" s="229" t="s">
        <v>543</v>
      </c>
      <c r="D16" s="220"/>
      <c r="E16" s="229" t="s">
        <v>1074</v>
      </c>
      <c r="F16" s="220"/>
      <c r="G16" s="217" t="s">
        <v>340</v>
      </c>
      <c r="H16" s="220"/>
      <c r="I16" s="328">
        <f>'B-5.2.A CWC (Forecast)'!K54</f>
        <v>0</v>
      </c>
      <c r="J16" s="217" t="s">
        <v>533</v>
      </c>
      <c r="K16" s="220"/>
      <c r="L16" s="328">
        <f>I16</f>
        <v>0</v>
      </c>
      <c r="M16" s="417"/>
    </row>
    <row r="17" spans="1:13" ht="12.75">
      <c r="A17" s="220"/>
      <c r="B17" s="220"/>
      <c r="C17" s="220"/>
      <c r="D17" s="220"/>
      <c r="E17" s="220"/>
      <c r="F17" s="328"/>
      <c r="G17" s="329"/>
      <c r="H17" s="328"/>
      <c r="I17" s="328"/>
      <c r="J17" s="328"/>
      <c r="K17" s="220"/>
      <c r="L17" s="328"/>
      <c r="M17" s="417"/>
    </row>
    <row r="18" spans="1:13" ht="12.75">
      <c r="A18" s="217">
        <v>2</v>
      </c>
      <c r="B18" s="220"/>
      <c r="C18" s="229" t="s">
        <v>539</v>
      </c>
      <c r="D18" s="220"/>
      <c r="E18" s="229" t="s">
        <v>553</v>
      </c>
      <c r="F18" s="328"/>
      <c r="G18" s="217" t="s">
        <v>343</v>
      </c>
      <c r="H18" s="328"/>
      <c r="I18" s="328">
        <v>0</v>
      </c>
      <c r="J18" s="328"/>
      <c r="K18" s="220"/>
      <c r="L18" s="328">
        <f>I18</f>
        <v>0</v>
      </c>
      <c r="M18" s="417"/>
    </row>
    <row r="19" spans="1:13" ht="12.75">
      <c r="A19" s="220"/>
      <c r="B19" s="220"/>
      <c r="C19" s="220"/>
      <c r="D19" s="220"/>
      <c r="E19" s="220"/>
      <c r="F19" s="328"/>
      <c r="G19" s="220"/>
      <c r="H19" s="220"/>
      <c r="I19" s="328"/>
      <c r="J19" s="328"/>
      <c r="K19" s="220"/>
      <c r="L19" s="328"/>
      <c r="M19" s="417"/>
    </row>
    <row r="20" spans="1:13" ht="12.75">
      <c r="A20" s="217">
        <v>3</v>
      </c>
      <c r="B20" s="220"/>
      <c r="C20" s="229" t="s">
        <v>540</v>
      </c>
      <c r="D20" s="220"/>
      <c r="E20" s="229" t="s">
        <v>553</v>
      </c>
      <c r="F20" s="328"/>
      <c r="G20" s="217" t="s">
        <v>343</v>
      </c>
      <c r="H20" s="328"/>
      <c r="I20" s="328">
        <f>'B-5.1 Working Cap. (Forecast)'!G18</f>
        <v>347374.73000000004</v>
      </c>
      <c r="J20" s="220"/>
      <c r="K20" s="220"/>
      <c r="L20" s="328">
        <f>I20</f>
        <v>347374.73000000004</v>
      </c>
      <c r="M20" s="417"/>
    </row>
    <row r="21" spans="1:13" ht="12.75">
      <c r="A21" s="220"/>
      <c r="B21" s="220"/>
      <c r="C21" s="220"/>
      <c r="D21" s="220"/>
      <c r="E21" s="220"/>
      <c r="F21" s="328"/>
      <c r="G21" s="329"/>
      <c r="H21" s="328"/>
      <c r="I21" s="328"/>
      <c r="J21" s="328"/>
      <c r="K21" s="220"/>
      <c r="L21" s="328"/>
      <c r="M21" s="417"/>
    </row>
    <row r="22" spans="1:13" ht="12.75">
      <c r="A22" s="217">
        <v>4</v>
      </c>
      <c r="B22" s="220"/>
      <c r="C22" s="229" t="s">
        <v>554</v>
      </c>
      <c r="D22" s="220"/>
      <c r="E22" s="229" t="s">
        <v>553</v>
      </c>
      <c r="F22" s="328"/>
      <c r="G22" s="217" t="s">
        <v>343</v>
      </c>
      <c r="H22" s="328"/>
      <c r="I22" s="894">
        <f>'B-5.1 Working Cap. (Forecast)'!G20</f>
        <v>37402515.758828245</v>
      </c>
      <c r="J22" s="328"/>
      <c r="K22" s="220"/>
      <c r="L22" s="894">
        <f>I22</f>
        <v>37402515.758828245</v>
      </c>
      <c r="M22" s="417"/>
    </row>
    <row r="23" spans="1:13" ht="12.75">
      <c r="A23" s="220"/>
      <c r="B23" s="220"/>
      <c r="C23" s="220"/>
      <c r="D23" s="220"/>
      <c r="E23" s="220"/>
      <c r="F23" s="328"/>
      <c r="G23" s="329"/>
      <c r="H23" s="328"/>
      <c r="I23" s="328"/>
      <c r="J23" s="328"/>
      <c r="K23" s="220"/>
      <c r="L23" s="328"/>
      <c r="M23" s="417"/>
    </row>
    <row r="24" spans="1:13" ht="12.75">
      <c r="A24" s="217">
        <v>5</v>
      </c>
      <c r="B24" s="220"/>
      <c r="C24" s="229" t="s">
        <v>555</v>
      </c>
      <c r="D24" s="220"/>
      <c r="E24" s="220"/>
      <c r="F24" s="328"/>
      <c r="G24" s="220"/>
      <c r="H24" s="328"/>
      <c r="I24" s="335">
        <f>SUM(I16:I22)</f>
        <v>37749890.488828242</v>
      </c>
      <c r="J24" s="328"/>
      <c r="K24" s="220"/>
      <c r="L24" s="335">
        <f>SUM(L16:L22)</f>
        <v>37749890.488828242</v>
      </c>
      <c r="M24" s="417"/>
    </row>
    <row r="25" spans="1:13" ht="12.75">
      <c r="A25" s="220"/>
      <c r="B25" s="220"/>
      <c r="C25" s="220"/>
      <c r="D25" s="220"/>
      <c r="E25" s="220"/>
      <c r="F25" s="328"/>
      <c r="G25" s="329"/>
      <c r="H25" s="328"/>
      <c r="I25" s="328"/>
      <c r="J25" s="328"/>
      <c r="K25" s="220"/>
      <c r="L25" s="328"/>
      <c r="M25" s="417"/>
    </row>
    <row r="26" spans="1:13" ht="11.25">
      <c r="A26" s="417"/>
      <c r="B26" s="417"/>
      <c r="C26" s="417"/>
      <c r="D26" s="417"/>
      <c r="E26" s="417"/>
      <c r="F26" s="490"/>
      <c r="G26" s="417"/>
      <c r="H26" s="490"/>
      <c r="I26" s="490"/>
      <c r="J26" s="490"/>
      <c r="K26" s="417"/>
      <c r="L26" s="490"/>
      <c r="M26" s="417"/>
    </row>
    <row r="27" spans="1:13" ht="11.25">
      <c r="A27" s="417"/>
      <c r="B27" s="417"/>
      <c r="C27" s="417"/>
      <c r="D27" s="417"/>
      <c r="E27" s="417"/>
      <c r="F27" s="490"/>
      <c r="G27" s="491"/>
      <c r="H27" s="490"/>
      <c r="I27" s="490"/>
      <c r="J27" s="490"/>
      <c r="K27" s="417"/>
      <c r="L27" s="490"/>
      <c r="M27" s="417"/>
    </row>
    <row r="28" spans="1:13" ht="11.25">
      <c r="A28" s="417"/>
      <c r="B28" s="417"/>
      <c r="C28" s="417"/>
      <c r="D28" s="417"/>
      <c r="E28" s="417"/>
      <c r="F28" s="490"/>
      <c r="G28" s="417"/>
      <c r="H28" s="490"/>
      <c r="I28" s="490"/>
      <c r="J28" s="490"/>
      <c r="K28" s="417"/>
      <c r="L28" s="490"/>
      <c r="M28" s="417"/>
    </row>
    <row r="29" spans="1:13" ht="11.25">
      <c r="A29" s="417"/>
      <c r="B29" s="417"/>
      <c r="C29" s="417"/>
      <c r="D29" s="417"/>
      <c r="E29" s="417"/>
      <c r="F29" s="490"/>
      <c r="G29" s="491"/>
      <c r="H29" s="490"/>
      <c r="I29" s="490"/>
      <c r="J29" s="490"/>
      <c r="K29" s="417"/>
      <c r="L29" s="490"/>
      <c r="M29" s="417"/>
    </row>
    <row r="30" spans="1:13" ht="11.25">
      <c r="A30" s="417"/>
      <c r="B30" s="417"/>
      <c r="C30" s="417"/>
      <c r="D30" s="417"/>
      <c r="E30" s="417"/>
      <c r="F30" s="490"/>
      <c r="G30" s="417"/>
      <c r="H30" s="490"/>
      <c r="I30" s="490"/>
      <c r="J30" s="490"/>
      <c r="K30" s="417"/>
      <c r="L30" s="490"/>
      <c r="M30" s="417"/>
    </row>
  </sheetData>
  <mergeCells count="4">
    <mergeCell ref="A1:L1"/>
    <mergeCell ref="A2:L2"/>
    <mergeCell ref="A3:L3"/>
    <mergeCell ref="A4:L4"/>
  </mergeCells>
  <printOptions horizontalCentered="1"/>
  <pageMargins left="0.5" right="0.5" top="0.75" bottom="0.5" header="0.3" footer="0.3"/>
  <pageSetup scale="91"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F34"/>
  <sheetViews>
    <sheetView zoomScaleNormal="100" zoomScaleSheetLayoutView="100" workbookViewId="0">
      <selection activeCell="F18" sqref="F18"/>
    </sheetView>
  </sheetViews>
  <sheetFormatPr defaultColWidth="9.6640625" defaultRowHeight="12.75"/>
  <cols>
    <col min="1" max="1" width="5.6640625" style="220" customWidth="1"/>
    <col min="2" max="2" width="2.6640625" style="220" customWidth="1"/>
    <col min="3" max="3" width="45.5" style="220" customWidth="1"/>
    <col min="4" max="4" width="21.6640625" style="220" customWidth="1"/>
    <col min="5" max="5" width="38.33203125" style="220" bestFit="1" customWidth="1"/>
    <col min="6" max="6" width="19" style="220" bestFit="1" customWidth="1"/>
    <col min="7" max="16384" width="9.6640625" style="220"/>
  </cols>
  <sheetData>
    <row r="1" spans="1:6">
      <c r="A1" s="1306" t="str">
        <f>'General Headers Index'!B4</f>
        <v>COLUMBIA GAS OF KENTUCKY, INC.</v>
      </c>
      <c r="B1" s="1306"/>
      <c r="C1" s="1306"/>
      <c r="D1" s="1306"/>
      <c r="E1" s="1306"/>
      <c r="F1" s="1306"/>
    </row>
    <row r="2" spans="1:6">
      <c r="A2" s="1306" t="str">
        <f>'General Headers Index'!B6</f>
        <v>CASE NO. 2024 - 00092</v>
      </c>
      <c r="B2" s="1306"/>
      <c r="C2" s="1306"/>
      <c r="D2" s="1306"/>
      <c r="E2" s="1306"/>
      <c r="F2" s="1306"/>
    </row>
    <row r="3" spans="1:6">
      <c r="A3" s="1306" t="s">
        <v>557</v>
      </c>
      <c r="B3" s="1306"/>
      <c r="C3" s="1306"/>
      <c r="D3" s="1306"/>
      <c r="E3" s="1306"/>
      <c r="F3" s="1306"/>
    </row>
    <row r="4" spans="1:6">
      <c r="A4" s="1306" t="str">
        <f>'General Headers Index'!B10</f>
        <v>AS OF AUGUST 31, 2024</v>
      </c>
      <c r="B4" s="1306"/>
      <c r="C4" s="1306"/>
      <c r="D4" s="1306"/>
      <c r="E4" s="1306"/>
      <c r="F4" s="1306"/>
    </row>
    <row r="6" spans="1:6">
      <c r="A6" s="229" t="s">
        <v>2787</v>
      </c>
      <c r="F6" s="326" t="s">
        <v>558</v>
      </c>
    </row>
    <row r="7" spans="1:6">
      <c r="A7" s="229" t="str">
        <f>'General Headers Index'!B37</f>
        <v>TYPE OF FILING:___X___ORIGINAL______UPDATED</v>
      </c>
      <c r="F7" s="326" t="s">
        <v>309</v>
      </c>
    </row>
    <row r="8" spans="1:6">
      <c r="A8" s="229" t="s">
        <v>1009</v>
      </c>
      <c r="F8" s="326" t="str">
        <f>"WITNESS: "&amp;'General Headers Index'!B42</f>
        <v>WITNESS: GORE</v>
      </c>
    </row>
    <row r="9" spans="1:6">
      <c r="A9" s="229"/>
    </row>
    <row r="10" spans="1:6">
      <c r="A10" s="465"/>
      <c r="B10" s="465"/>
      <c r="C10" s="465"/>
      <c r="D10" s="487"/>
      <c r="E10" s="488" t="s">
        <v>559</v>
      </c>
      <c r="F10" s="487"/>
    </row>
    <row r="11" spans="1:6">
      <c r="A11" s="217" t="s">
        <v>313</v>
      </c>
      <c r="D11" s="217" t="s">
        <v>538</v>
      </c>
      <c r="E11" s="217" t="s">
        <v>350</v>
      </c>
      <c r="F11" s="217" t="s">
        <v>350</v>
      </c>
    </row>
    <row r="12" spans="1:6">
      <c r="A12" s="890" t="s">
        <v>316</v>
      </c>
      <c r="B12" s="892"/>
      <c r="C12" s="890" t="s">
        <v>451</v>
      </c>
      <c r="D12" s="890" t="s">
        <v>353</v>
      </c>
      <c r="E12" s="890" t="s">
        <v>354</v>
      </c>
      <c r="F12" s="890" t="s">
        <v>444</v>
      </c>
    </row>
    <row r="13" spans="1:6">
      <c r="A13" s="217"/>
      <c r="C13" s="229"/>
      <c r="D13" s="300" t="s">
        <v>532</v>
      </c>
      <c r="E13" s="300" t="s">
        <v>541</v>
      </c>
      <c r="F13" s="300" t="s">
        <v>2634</v>
      </c>
    </row>
    <row r="14" spans="1:6">
      <c r="D14" s="217" t="s">
        <v>320</v>
      </c>
      <c r="F14" s="217" t="s">
        <v>320</v>
      </c>
    </row>
    <row r="16" spans="1:6">
      <c r="A16" s="217" t="s">
        <v>446</v>
      </c>
      <c r="C16" s="229" t="s">
        <v>539</v>
      </c>
      <c r="D16" s="328">
        <v>0</v>
      </c>
      <c r="E16" s="217" t="s">
        <v>533</v>
      </c>
      <c r="F16" s="328">
        <f>D16</f>
        <v>0</v>
      </c>
    </row>
    <row r="17" spans="1:6">
      <c r="E17" s="329"/>
      <c r="F17" s="328"/>
    </row>
    <row r="18" spans="1:6">
      <c r="A18" s="217" t="s">
        <v>324</v>
      </c>
      <c r="C18" s="229" t="s">
        <v>540</v>
      </c>
      <c r="D18" s="328">
        <f>'WPB-5.1 M&amp;S '!D28</f>
        <v>346971.85615384614</v>
      </c>
      <c r="E18" s="217" t="s">
        <v>533</v>
      </c>
      <c r="F18" s="328">
        <f>D18</f>
        <v>346971.85615384614</v>
      </c>
    </row>
    <row r="19" spans="1:6">
      <c r="F19" s="328"/>
    </row>
    <row r="20" spans="1:6">
      <c r="A20" s="217" t="s">
        <v>327</v>
      </c>
      <c r="C20" s="229" t="s">
        <v>560</v>
      </c>
      <c r="D20" s="489">
        <f>'WPB 5.3 Storage'!C71</f>
        <v>38239810.502456896</v>
      </c>
      <c r="E20" s="217" t="s">
        <v>533</v>
      </c>
      <c r="F20" s="489">
        <f>D20</f>
        <v>38239810.502456896</v>
      </c>
    </row>
    <row r="21" spans="1:6">
      <c r="E21" s="329"/>
      <c r="F21" s="328"/>
    </row>
    <row r="22" spans="1:6">
      <c r="A22" s="217">
        <v>4</v>
      </c>
      <c r="C22" s="229" t="s">
        <v>571</v>
      </c>
      <c r="D22" s="330">
        <f>SUM(D16:D20)</f>
        <v>38586782.358610742</v>
      </c>
      <c r="F22" s="330">
        <f>SUM(F16:F20)</f>
        <v>38586782.358610742</v>
      </c>
    </row>
    <row r="23" spans="1:6">
      <c r="E23" s="329"/>
      <c r="F23" s="328"/>
    </row>
    <row r="24" spans="1:6">
      <c r="F24" s="328"/>
    </row>
    <row r="25" spans="1:6">
      <c r="E25" s="329"/>
      <c r="F25" s="328"/>
    </row>
    <row r="26" spans="1:6">
      <c r="F26" s="328"/>
    </row>
    <row r="27" spans="1:6">
      <c r="E27" s="329"/>
      <c r="F27" s="328"/>
    </row>
    <row r="28" spans="1:6">
      <c r="F28" s="328"/>
    </row>
    <row r="29" spans="1:6">
      <c r="E29" s="329"/>
      <c r="F29" s="328"/>
    </row>
    <row r="30" spans="1:6">
      <c r="F30" s="328"/>
    </row>
    <row r="31" spans="1:6">
      <c r="E31" s="329"/>
      <c r="F31" s="328"/>
    </row>
    <row r="32" spans="1:6">
      <c r="F32" s="328"/>
    </row>
    <row r="33" spans="6:6">
      <c r="F33" s="328"/>
    </row>
    <row r="34" spans="6:6">
      <c r="F34" s="328"/>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G34"/>
  <sheetViews>
    <sheetView zoomScaleNormal="100" zoomScaleSheetLayoutView="100" workbookViewId="0">
      <selection activeCell="G16" sqref="G16"/>
    </sheetView>
  </sheetViews>
  <sheetFormatPr defaultColWidth="9.6640625" defaultRowHeight="12.75"/>
  <cols>
    <col min="1" max="1" width="5.6640625" style="220" customWidth="1"/>
    <col min="2" max="2" width="2.6640625" style="220" customWidth="1"/>
    <col min="3" max="3" width="45.5" style="220" customWidth="1"/>
    <col min="4" max="4" width="25.5" style="220" customWidth="1"/>
    <col min="5" max="5" width="32.5" style="220" customWidth="1"/>
    <col min="6" max="6" width="9.5" style="220" customWidth="1"/>
    <col min="7" max="7" width="19" style="220" bestFit="1" customWidth="1"/>
    <col min="8" max="16384" width="9.6640625" style="220"/>
  </cols>
  <sheetData>
    <row r="1" spans="1:7">
      <c r="A1" s="1306" t="str">
        <f>'General Headers Index'!B4</f>
        <v>COLUMBIA GAS OF KENTUCKY, INC.</v>
      </c>
      <c r="B1" s="1306"/>
      <c r="C1" s="1306"/>
      <c r="D1" s="1306"/>
      <c r="E1" s="1306"/>
      <c r="F1" s="1306"/>
      <c r="G1" s="1306"/>
    </row>
    <row r="2" spans="1:7">
      <c r="A2" s="1306" t="str">
        <f>'General Headers Index'!B6</f>
        <v>CASE NO. 2024 - 00092</v>
      </c>
      <c r="B2" s="1306"/>
      <c r="C2" s="1306"/>
      <c r="D2" s="1306"/>
      <c r="E2" s="1306"/>
      <c r="F2" s="1306"/>
      <c r="G2" s="1306"/>
    </row>
    <row r="3" spans="1:7">
      <c r="A3" s="1306" t="s">
        <v>557</v>
      </c>
      <c r="B3" s="1306"/>
      <c r="C3" s="1306"/>
      <c r="D3" s="1306"/>
      <c r="E3" s="1306"/>
      <c r="F3" s="1306"/>
      <c r="G3" s="1306"/>
    </row>
    <row r="4" spans="1:7">
      <c r="A4" s="1306" t="str">
        <f>'General Headers Index'!B17</f>
        <v>AS OF DECEMBER 31, 2025</v>
      </c>
      <c r="B4" s="1306"/>
      <c r="C4" s="1306"/>
      <c r="D4" s="1306"/>
      <c r="E4" s="1306"/>
      <c r="F4" s="1306"/>
      <c r="G4" s="1306"/>
    </row>
    <row r="6" spans="1:7">
      <c r="A6" s="229" t="s">
        <v>2788</v>
      </c>
      <c r="G6" s="326" t="s">
        <v>558</v>
      </c>
    </row>
    <row r="7" spans="1:7">
      <c r="A7" s="229" t="str">
        <f>'General Headers Index'!B37</f>
        <v>TYPE OF FILING:___X___ORIGINAL______UPDATED</v>
      </c>
      <c r="G7" s="326" t="s">
        <v>650</v>
      </c>
    </row>
    <row r="8" spans="1:7">
      <c r="A8" s="229" t="s">
        <v>1009</v>
      </c>
      <c r="G8" s="326" t="str">
        <f>"WITNESS: "&amp;'General Headers Index'!B42</f>
        <v>WITNESS: GORE</v>
      </c>
    </row>
    <row r="9" spans="1:7">
      <c r="A9" s="229"/>
    </row>
    <row r="10" spans="1:7">
      <c r="A10" s="465"/>
      <c r="B10" s="465"/>
      <c r="C10" s="465"/>
      <c r="D10" s="487"/>
      <c r="E10" s="488" t="s">
        <v>559</v>
      </c>
      <c r="F10" s="488"/>
      <c r="G10" s="487"/>
    </row>
    <row r="11" spans="1:7">
      <c r="A11" s="217" t="s">
        <v>313</v>
      </c>
      <c r="D11" s="217" t="s">
        <v>538</v>
      </c>
      <c r="E11" s="217" t="s">
        <v>350</v>
      </c>
      <c r="F11" s="217"/>
      <c r="G11" s="217" t="s">
        <v>350</v>
      </c>
    </row>
    <row r="12" spans="1:7">
      <c r="A12" s="890" t="s">
        <v>316</v>
      </c>
      <c r="B12" s="892"/>
      <c r="C12" s="890" t="s">
        <v>451</v>
      </c>
      <c r="D12" s="890" t="s">
        <v>353</v>
      </c>
      <c r="E12" s="890" t="s">
        <v>354</v>
      </c>
      <c r="F12" s="890"/>
      <c r="G12" s="890" t="s">
        <v>444</v>
      </c>
    </row>
    <row r="13" spans="1:7">
      <c r="A13" s="217"/>
      <c r="C13" s="229"/>
      <c r="D13" s="300" t="s">
        <v>532</v>
      </c>
      <c r="E13" s="300" t="s">
        <v>541</v>
      </c>
      <c r="G13" s="300" t="s">
        <v>2634</v>
      </c>
    </row>
    <row r="14" spans="1:7">
      <c r="D14" s="217" t="s">
        <v>320</v>
      </c>
      <c r="G14" s="217" t="s">
        <v>320</v>
      </c>
    </row>
    <row r="16" spans="1:7">
      <c r="A16" s="217" t="s">
        <v>446</v>
      </c>
      <c r="C16" s="229" t="s">
        <v>539</v>
      </c>
      <c r="D16" s="328">
        <v>0</v>
      </c>
      <c r="E16" s="217" t="s">
        <v>533</v>
      </c>
      <c r="F16" s="217"/>
      <c r="G16" s="328">
        <f>D16</f>
        <v>0</v>
      </c>
    </row>
    <row r="17" spans="1:7">
      <c r="E17" s="329"/>
      <c r="F17" s="329"/>
      <c r="G17" s="328"/>
    </row>
    <row r="18" spans="1:7">
      <c r="A18" s="217" t="s">
        <v>324</v>
      </c>
      <c r="C18" s="229" t="s">
        <v>540</v>
      </c>
      <c r="D18" s="328">
        <f>'WPB-5.1 M&amp;S '!D48</f>
        <v>347374.73000000004</v>
      </c>
      <c r="E18" s="217" t="s">
        <v>533</v>
      </c>
      <c r="F18" s="217"/>
      <c r="G18" s="328">
        <f>D18</f>
        <v>347374.73000000004</v>
      </c>
    </row>
    <row r="19" spans="1:7">
      <c r="G19" s="328"/>
    </row>
    <row r="20" spans="1:7">
      <c r="A20" s="217" t="s">
        <v>327</v>
      </c>
      <c r="C20" s="229" t="s">
        <v>560</v>
      </c>
      <c r="D20" s="489">
        <f>'WPB 5.3 Storage'!C72</f>
        <v>37402515.758828245</v>
      </c>
      <c r="E20" s="217" t="s">
        <v>533</v>
      </c>
      <c r="F20" s="217"/>
      <c r="G20" s="489">
        <f>D20</f>
        <v>37402515.758828245</v>
      </c>
    </row>
    <row r="21" spans="1:7">
      <c r="E21" s="329"/>
      <c r="F21" s="329"/>
      <c r="G21" s="328"/>
    </row>
    <row r="22" spans="1:7">
      <c r="A22" s="217">
        <v>4</v>
      </c>
      <c r="C22" s="229" t="s">
        <v>571</v>
      </c>
      <c r="D22" s="330">
        <f>SUM(D16:D20)</f>
        <v>37749890.488828242</v>
      </c>
      <c r="G22" s="330">
        <f>SUM(G16:G20)</f>
        <v>37749890.488828242</v>
      </c>
    </row>
    <row r="23" spans="1:7">
      <c r="E23" s="329"/>
      <c r="F23" s="329"/>
      <c r="G23" s="328"/>
    </row>
    <row r="24" spans="1:7">
      <c r="G24" s="328"/>
    </row>
    <row r="25" spans="1:7">
      <c r="E25" s="329"/>
      <c r="F25" s="329"/>
      <c r="G25" s="328"/>
    </row>
    <row r="26" spans="1:7">
      <c r="G26" s="328"/>
    </row>
    <row r="27" spans="1:7">
      <c r="E27" s="329"/>
      <c r="F27" s="329"/>
      <c r="G27" s="328"/>
    </row>
    <row r="28" spans="1:7">
      <c r="G28" s="328"/>
    </row>
    <row r="29" spans="1:7">
      <c r="E29" s="329"/>
      <c r="F29" s="329"/>
      <c r="G29" s="328"/>
    </row>
    <row r="30" spans="1:7">
      <c r="G30" s="328"/>
    </row>
    <row r="31" spans="1:7">
      <c r="E31" s="329"/>
      <c r="F31" s="329"/>
      <c r="G31" s="328"/>
    </row>
    <row r="32" spans="1:7">
      <c r="G32" s="328"/>
    </row>
    <row r="33" spans="7:7">
      <c r="G33" s="328"/>
    </row>
    <row r="34" spans="7:7">
      <c r="G34" s="328"/>
    </row>
  </sheetData>
  <mergeCells count="4">
    <mergeCell ref="A1:G1"/>
    <mergeCell ref="A2:G2"/>
    <mergeCell ref="A3:G3"/>
    <mergeCell ref="A4:G4"/>
  </mergeCells>
  <printOptions horizontalCentered="1"/>
  <pageMargins left="0.5" right="0.5" top="0.75" bottom="0.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1735"/>
  <sheetViews>
    <sheetView zoomScaleNormal="100" zoomScaleSheetLayoutView="100" workbookViewId="0">
      <selection activeCell="C5" sqref="C5"/>
    </sheetView>
  </sheetViews>
  <sheetFormatPr defaultColWidth="10.6640625" defaultRowHeight="12.75" outlineLevelRow="1"/>
  <cols>
    <col min="1" max="1" width="58.5" style="33" bestFit="1" customWidth="1"/>
    <col min="2" max="2" width="7.1640625" style="40" bestFit="1" customWidth="1"/>
    <col min="3" max="3" width="43.6640625" style="40" customWidth="1"/>
    <col min="4" max="4" width="19" style="40" bestFit="1" customWidth="1"/>
    <col min="5" max="5" width="21.33203125" style="40" bestFit="1" customWidth="1"/>
    <col min="6" max="6" width="24.6640625" style="186" bestFit="1" customWidth="1"/>
    <col min="7" max="7" width="10.6640625" style="40"/>
    <col min="8" max="8" width="13.33203125" style="40" bestFit="1" customWidth="1"/>
    <col min="11" max="16384" width="10.6640625" style="40"/>
  </cols>
  <sheetData>
    <row r="1" spans="1:11" ht="33" customHeight="1">
      <c r="A1" s="1167" t="s">
        <v>1548</v>
      </c>
      <c r="B1" s="1293" t="s">
        <v>1549</v>
      </c>
      <c r="C1" s="1293"/>
      <c r="D1" s="1293"/>
      <c r="E1" s="1293"/>
      <c r="F1" s="1293"/>
    </row>
    <row r="2" spans="1:11">
      <c r="A2" s="185" t="s">
        <v>2316</v>
      </c>
    </row>
    <row r="3" spans="1:11">
      <c r="A3" s="185" t="s">
        <v>2314</v>
      </c>
      <c r="C3" s="187"/>
    </row>
    <row r="4" spans="1:11">
      <c r="A4" s="185"/>
      <c r="E4" s="188" t="s">
        <v>980</v>
      </c>
      <c r="F4" s="188" t="s">
        <v>980</v>
      </c>
    </row>
    <row r="5" spans="1:11">
      <c r="A5" s="185"/>
      <c r="B5" s="189"/>
      <c r="C5" s="189"/>
      <c r="E5" s="24" t="s">
        <v>53</v>
      </c>
      <c r="F5" s="24" t="s">
        <v>2317</v>
      </c>
    </row>
    <row r="6" spans="1:11">
      <c r="A6" s="185"/>
      <c r="B6" s="185"/>
      <c r="C6" s="189"/>
      <c r="D6" s="190" t="s">
        <v>2315</v>
      </c>
      <c r="E6" s="24" t="s">
        <v>2318</v>
      </c>
      <c r="F6" s="24" t="s">
        <v>2319</v>
      </c>
    </row>
    <row r="7" spans="1:11" ht="15">
      <c r="A7" s="12" t="s">
        <v>1082</v>
      </c>
      <c r="B7" s="12" t="s">
        <v>1083</v>
      </c>
      <c r="C7" s="12" t="s">
        <v>1263</v>
      </c>
      <c r="D7" s="191" t="s">
        <v>52</v>
      </c>
      <c r="E7" s="192" t="s">
        <v>677</v>
      </c>
      <c r="F7" s="192" t="s">
        <v>677</v>
      </c>
      <c r="K7"/>
    </row>
    <row r="8" spans="1:11" ht="12.6" hidden="1" customHeight="1" outlineLevel="1">
      <c r="A8" s="33" t="s">
        <v>1087</v>
      </c>
      <c r="B8" s="33">
        <v>801</v>
      </c>
      <c r="C8" s="40" t="str">
        <f t="shared" ref="C8:C55" si="0">A8&amp;B8</f>
        <v>401K801</v>
      </c>
      <c r="D8" s="104">
        <f t="shared" ref="D8:D55" si="1">+F8-E8</f>
        <v>0</v>
      </c>
      <c r="E8" s="186">
        <v>0</v>
      </c>
      <c r="F8" s="186">
        <v>0</v>
      </c>
      <c r="K8"/>
    </row>
    <row r="9" spans="1:11" ht="12.6" hidden="1" customHeight="1" outlineLevel="1">
      <c r="A9" s="33" t="s">
        <v>1087</v>
      </c>
      <c r="B9" s="33">
        <v>803</v>
      </c>
      <c r="C9" s="40" t="str">
        <f t="shared" si="0"/>
        <v>401K803</v>
      </c>
      <c r="D9" s="104">
        <f t="shared" si="1"/>
        <v>0</v>
      </c>
      <c r="E9" s="186">
        <v>0</v>
      </c>
      <c r="F9" s="186">
        <v>0</v>
      </c>
      <c r="K9"/>
    </row>
    <row r="10" spans="1:11" ht="12.6" hidden="1" customHeight="1" outlineLevel="1">
      <c r="A10" s="33" t="s">
        <v>1087</v>
      </c>
      <c r="B10" s="33">
        <v>804</v>
      </c>
      <c r="C10" s="40" t="str">
        <f t="shared" si="0"/>
        <v>401K804</v>
      </c>
      <c r="D10" s="104">
        <f t="shared" si="1"/>
        <v>0</v>
      </c>
      <c r="E10" s="186">
        <v>0</v>
      </c>
      <c r="F10" s="186">
        <v>0</v>
      </c>
      <c r="K10"/>
    </row>
    <row r="11" spans="1:11" ht="12.6" hidden="1" customHeight="1" outlineLevel="1">
      <c r="A11" s="33" t="s">
        <v>1087</v>
      </c>
      <c r="B11" s="33">
        <v>805</v>
      </c>
      <c r="C11" s="40" t="str">
        <f t="shared" si="0"/>
        <v>401K805</v>
      </c>
      <c r="D11" s="104">
        <f t="shared" si="1"/>
        <v>0</v>
      </c>
      <c r="E11" s="186">
        <v>0</v>
      </c>
      <c r="F11" s="186">
        <v>0</v>
      </c>
      <c r="K11"/>
    </row>
    <row r="12" spans="1:11" ht="12.6" hidden="1" customHeight="1" outlineLevel="1">
      <c r="A12" s="33" t="s">
        <v>1087</v>
      </c>
      <c r="B12" s="33">
        <v>806</v>
      </c>
      <c r="C12" s="40" t="str">
        <f t="shared" si="0"/>
        <v>401K806</v>
      </c>
      <c r="D12" s="104">
        <f t="shared" si="1"/>
        <v>0</v>
      </c>
      <c r="E12" s="186">
        <v>0</v>
      </c>
      <c r="F12" s="186">
        <v>0</v>
      </c>
      <c r="K12"/>
    </row>
    <row r="13" spans="1:11" ht="12.6" hidden="1" customHeight="1" outlineLevel="1">
      <c r="A13" s="33" t="s">
        <v>1087</v>
      </c>
      <c r="B13" s="33">
        <v>807</v>
      </c>
      <c r="C13" s="40" t="str">
        <f t="shared" si="0"/>
        <v>401K807</v>
      </c>
      <c r="D13" s="104">
        <f t="shared" si="1"/>
        <v>0</v>
      </c>
      <c r="E13" s="186">
        <v>0</v>
      </c>
      <c r="F13" s="186">
        <v>0</v>
      </c>
      <c r="K13"/>
    </row>
    <row r="14" spans="1:11" ht="12.6" hidden="1" customHeight="1" outlineLevel="1">
      <c r="A14" s="33" t="s">
        <v>1087</v>
      </c>
      <c r="B14" s="33">
        <v>808</v>
      </c>
      <c r="C14" s="40" t="str">
        <f t="shared" si="0"/>
        <v>401K808</v>
      </c>
      <c r="D14" s="104">
        <f t="shared" si="1"/>
        <v>0</v>
      </c>
      <c r="E14" s="186">
        <v>0</v>
      </c>
      <c r="F14" s="186">
        <v>0</v>
      </c>
      <c r="K14"/>
    </row>
    <row r="15" spans="1:11" ht="12.6" hidden="1" customHeight="1" outlineLevel="1">
      <c r="A15" s="33" t="s">
        <v>1087</v>
      </c>
      <c r="B15" s="33">
        <v>812</v>
      </c>
      <c r="C15" s="40" t="str">
        <f t="shared" si="0"/>
        <v>401K812</v>
      </c>
      <c r="D15" s="104">
        <f t="shared" si="1"/>
        <v>0</v>
      </c>
      <c r="E15" s="186">
        <v>0</v>
      </c>
      <c r="F15" s="186">
        <v>0</v>
      </c>
      <c r="K15"/>
    </row>
    <row r="16" spans="1:11" ht="12.6" hidden="1" customHeight="1" outlineLevel="1">
      <c r="A16" s="33" t="s">
        <v>1087</v>
      </c>
      <c r="B16" s="33">
        <v>870</v>
      </c>
      <c r="C16" s="40" t="str">
        <f t="shared" si="0"/>
        <v>401K870</v>
      </c>
      <c r="D16" s="104">
        <f t="shared" si="1"/>
        <v>0</v>
      </c>
      <c r="E16" s="186">
        <v>0</v>
      </c>
      <c r="F16" s="186">
        <v>0</v>
      </c>
      <c r="K16"/>
    </row>
    <row r="17" spans="1:11" ht="12.6" hidden="1" customHeight="1" outlineLevel="1">
      <c r="A17" s="33" t="s">
        <v>1087</v>
      </c>
      <c r="B17" s="33">
        <v>871</v>
      </c>
      <c r="C17" s="40" t="str">
        <f t="shared" si="0"/>
        <v>401K871</v>
      </c>
      <c r="D17" s="104">
        <f t="shared" si="1"/>
        <v>0</v>
      </c>
      <c r="E17" s="186">
        <v>0</v>
      </c>
      <c r="F17" s="186">
        <v>0</v>
      </c>
      <c r="K17"/>
    </row>
    <row r="18" spans="1:11" ht="12.6" hidden="1" customHeight="1" outlineLevel="1">
      <c r="A18" s="33" t="s">
        <v>1087</v>
      </c>
      <c r="B18" s="33">
        <v>874</v>
      </c>
      <c r="C18" s="40" t="str">
        <f t="shared" si="0"/>
        <v>401K874</v>
      </c>
      <c r="D18" s="104">
        <f t="shared" si="1"/>
        <v>-6.2299999999999986</v>
      </c>
      <c r="E18" s="186">
        <v>20.18</v>
      </c>
      <c r="F18" s="186">
        <v>13.950000000000001</v>
      </c>
      <c r="K18"/>
    </row>
    <row r="19" spans="1:11" ht="12.6" hidden="1" customHeight="1" outlineLevel="1">
      <c r="A19" s="33" t="s">
        <v>1087</v>
      </c>
      <c r="B19" s="33">
        <v>875</v>
      </c>
      <c r="C19" s="40" t="str">
        <f t="shared" si="0"/>
        <v>401K875</v>
      </c>
      <c r="D19" s="104">
        <f t="shared" si="1"/>
        <v>0</v>
      </c>
      <c r="E19" s="186">
        <v>0</v>
      </c>
      <c r="F19" s="186">
        <v>0</v>
      </c>
      <c r="K19"/>
    </row>
    <row r="20" spans="1:11" ht="12.6" hidden="1" customHeight="1" outlineLevel="1">
      <c r="A20" s="33" t="s">
        <v>1087</v>
      </c>
      <c r="B20" s="33">
        <v>876</v>
      </c>
      <c r="C20" s="40" t="str">
        <f t="shared" si="0"/>
        <v>401K876</v>
      </c>
      <c r="D20" s="104">
        <f t="shared" si="1"/>
        <v>0</v>
      </c>
      <c r="E20" s="186">
        <v>0</v>
      </c>
      <c r="F20" s="186">
        <v>0</v>
      </c>
      <c r="K20"/>
    </row>
    <row r="21" spans="1:11" ht="12.6" hidden="1" customHeight="1" outlineLevel="1">
      <c r="A21" s="33" t="s">
        <v>1087</v>
      </c>
      <c r="B21" s="33">
        <v>878</v>
      </c>
      <c r="C21" s="40" t="str">
        <f t="shared" si="0"/>
        <v>401K878</v>
      </c>
      <c r="D21" s="104">
        <f t="shared" si="1"/>
        <v>0</v>
      </c>
      <c r="E21" s="186">
        <v>0</v>
      </c>
      <c r="F21" s="186">
        <v>0</v>
      </c>
      <c r="K21"/>
    </row>
    <row r="22" spans="1:11" ht="12.6" hidden="1" customHeight="1" outlineLevel="1">
      <c r="A22" s="33" t="s">
        <v>1087</v>
      </c>
      <c r="B22" s="33">
        <v>879</v>
      </c>
      <c r="C22" s="40" t="str">
        <f t="shared" si="0"/>
        <v>401K879</v>
      </c>
      <c r="D22" s="104">
        <f t="shared" si="1"/>
        <v>0</v>
      </c>
      <c r="E22" s="186">
        <v>0</v>
      </c>
      <c r="F22" s="186">
        <v>0</v>
      </c>
      <c r="K22"/>
    </row>
    <row r="23" spans="1:11" ht="12.6" hidden="1" customHeight="1" outlineLevel="1">
      <c r="A23" s="33" t="s">
        <v>1087</v>
      </c>
      <c r="B23" s="33">
        <v>880</v>
      </c>
      <c r="C23" s="40" t="str">
        <f t="shared" si="0"/>
        <v>401K880</v>
      </c>
      <c r="D23" s="104">
        <f t="shared" si="1"/>
        <v>61.400000000000034</v>
      </c>
      <c r="E23" s="186">
        <v>171.95</v>
      </c>
      <c r="F23" s="186">
        <v>233.35000000000002</v>
      </c>
      <c r="K23"/>
    </row>
    <row r="24" spans="1:11" ht="12.6" hidden="1" customHeight="1" outlineLevel="1">
      <c r="A24" s="33" t="s">
        <v>1087</v>
      </c>
      <c r="B24" s="33">
        <v>881</v>
      </c>
      <c r="C24" s="40" t="str">
        <f t="shared" si="0"/>
        <v>401K881</v>
      </c>
      <c r="D24" s="104">
        <f t="shared" si="1"/>
        <v>0</v>
      </c>
      <c r="E24" s="186">
        <v>0</v>
      </c>
      <c r="F24" s="186">
        <v>0</v>
      </c>
      <c r="K24"/>
    </row>
    <row r="25" spans="1:11" ht="12.6" hidden="1" customHeight="1" outlineLevel="1">
      <c r="A25" s="33" t="s">
        <v>1087</v>
      </c>
      <c r="B25" s="33">
        <v>885</v>
      </c>
      <c r="C25" s="40" t="str">
        <f t="shared" si="0"/>
        <v>401K885</v>
      </c>
      <c r="D25" s="104">
        <f t="shared" si="1"/>
        <v>0</v>
      </c>
      <c r="E25" s="186">
        <v>0</v>
      </c>
      <c r="F25" s="186">
        <v>0</v>
      </c>
    </row>
    <row r="26" spans="1:11" ht="12.6" hidden="1" customHeight="1" outlineLevel="1">
      <c r="A26" s="33" t="s">
        <v>1087</v>
      </c>
      <c r="B26" s="33">
        <v>886</v>
      </c>
      <c r="C26" s="40" t="str">
        <f t="shared" si="0"/>
        <v>401K886</v>
      </c>
      <c r="D26" s="104">
        <f t="shared" si="1"/>
        <v>0</v>
      </c>
      <c r="E26" s="186">
        <v>0</v>
      </c>
      <c r="F26" s="186">
        <v>0</v>
      </c>
    </row>
    <row r="27" spans="1:11" ht="12.6" hidden="1" customHeight="1" outlineLevel="1">
      <c r="A27" s="33" t="s">
        <v>1087</v>
      </c>
      <c r="B27" s="33">
        <v>887</v>
      </c>
      <c r="C27" s="40" t="str">
        <f t="shared" si="0"/>
        <v>401K887</v>
      </c>
      <c r="D27" s="104">
        <f t="shared" si="1"/>
        <v>0</v>
      </c>
      <c r="E27" s="186">
        <v>0</v>
      </c>
      <c r="F27" s="186">
        <v>0</v>
      </c>
    </row>
    <row r="28" spans="1:11" ht="12.6" hidden="1" customHeight="1" outlineLevel="1">
      <c r="A28" s="33" t="s">
        <v>1087</v>
      </c>
      <c r="B28" s="33">
        <v>889</v>
      </c>
      <c r="C28" s="40" t="str">
        <f t="shared" si="0"/>
        <v>401K889</v>
      </c>
      <c r="D28" s="104">
        <f t="shared" si="1"/>
        <v>0</v>
      </c>
      <c r="E28" s="186">
        <v>0</v>
      </c>
      <c r="F28" s="186">
        <v>0</v>
      </c>
    </row>
    <row r="29" spans="1:11" ht="12.6" hidden="1" customHeight="1" outlineLevel="1">
      <c r="A29" s="33" t="s">
        <v>1087</v>
      </c>
      <c r="B29" s="33">
        <v>890</v>
      </c>
      <c r="C29" s="40" t="str">
        <f t="shared" si="0"/>
        <v>401K890</v>
      </c>
      <c r="D29" s="104">
        <f t="shared" si="1"/>
        <v>0</v>
      </c>
      <c r="E29" s="186">
        <v>0</v>
      </c>
      <c r="F29" s="186">
        <v>0</v>
      </c>
    </row>
    <row r="30" spans="1:11" ht="12.6" hidden="1" customHeight="1" outlineLevel="1">
      <c r="A30" s="33" t="s">
        <v>1087</v>
      </c>
      <c r="B30" s="33">
        <v>892</v>
      </c>
      <c r="C30" s="40" t="str">
        <f t="shared" si="0"/>
        <v>401K892</v>
      </c>
      <c r="D30" s="104">
        <f t="shared" si="1"/>
        <v>0</v>
      </c>
      <c r="E30" s="186">
        <v>0</v>
      </c>
      <c r="F30" s="186">
        <v>0</v>
      </c>
    </row>
    <row r="31" spans="1:11" ht="12.6" hidden="1" customHeight="1" outlineLevel="1">
      <c r="A31" s="33" t="s">
        <v>1087</v>
      </c>
      <c r="B31" s="33">
        <v>893</v>
      </c>
      <c r="C31" s="40" t="str">
        <f t="shared" si="0"/>
        <v>401K893</v>
      </c>
      <c r="D31" s="104">
        <f t="shared" si="1"/>
        <v>0</v>
      </c>
      <c r="E31" s="186">
        <v>0</v>
      </c>
      <c r="F31" s="186">
        <v>0</v>
      </c>
    </row>
    <row r="32" spans="1:11" ht="12.6" hidden="1" customHeight="1" outlineLevel="1">
      <c r="A32" s="33" t="s">
        <v>1087</v>
      </c>
      <c r="B32" s="33">
        <v>894</v>
      </c>
      <c r="C32" s="40" t="str">
        <f t="shared" si="0"/>
        <v>401K894</v>
      </c>
      <c r="D32" s="104">
        <f t="shared" si="1"/>
        <v>0</v>
      </c>
      <c r="E32" s="186">
        <v>0</v>
      </c>
      <c r="F32" s="186">
        <v>0</v>
      </c>
    </row>
    <row r="33" spans="1:6" ht="12.6" hidden="1" customHeight="1" outlineLevel="1">
      <c r="A33" s="33" t="s">
        <v>1087</v>
      </c>
      <c r="B33" s="33">
        <v>902</v>
      </c>
      <c r="C33" s="40" t="str">
        <f t="shared" si="0"/>
        <v>401K902</v>
      </c>
      <c r="D33" s="104">
        <f t="shared" si="1"/>
        <v>0</v>
      </c>
      <c r="E33" s="186">
        <v>0</v>
      </c>
      <c r="F33" s="186">
        <v>0</v>
      </c>
    </row>
    <row r="34" spans="1:6" ht="12.6" hidden="1" customHeight="1" outlineLevel="1">
      <c r="A34" s="33" t="s">
        <v>1087</v>
      </c>
      <c r="B34" s="33">
        <v>903</v>
      </c>
      <c r="C34" s="40" t="str">
        <f t="shared" si="0"/>
        <v>401K903</v>
      </c>
      <c r="D34" s="104">
        <f t="shared" si="1"/>
        <v>0</v>
      </c>
      <c r="E34" s="186">
        <v>0</v>
      </c>
      <c r="F34" s="186">
        <v>0</v>
      </c>
    </row>
    <row r="35" spans="1:6" ht="12.6" hidden="1" customHeight="1" outlineLevel="1">
      <c r="A35" s="33" t="s">
        <v>1087</v>
      </c>
      <c r="B35" s="33">
        <v>904</v>
      </c>
      <c r="C35" s="40" t="str">
        <f t="shared" si="0"/>
        <v>401K904</v>
      </c>
      <c r="D35" s="104">
        <f t="shared" si="1"/>
        <v>0</v>
      </c>
      <c r="E35" s="186">
        <v>0</v>
      </c>
      <c r="F35" s="186">
        <v>0</v>
      </c>
    </row>
    <row r="36" spans="1:6" ht="12.6" hidden="1" customHeight="1" outlineLevel="1">
      <c r="A36" s="33" t="s">
        <v>1087</v>
      </c>
      <c r="B36" s="33">
        <v>905</v>
      </c>
      <c r="C36" s="40" t="str">
        <f t="shared" si="0"/>
        <v>401K905</v>
      </c>
      <c r="D36" s="104">
        <f t="shared" si="1"/>
        <v>0</v>
      </c>
      <c r="E36" s="186">
        <v>0</v>
      </c>
      <c r="F36" s="186">
        <v>0</v>
      </c>
    </row>
    <row r="37" spans="1:6" ht="12.6" hidden="1" customHeight="1" outlineLevel="1">
      <c r="A37" s="33" t="s">
        <v>1087</v>
      </c>
      <c r="B37" s="33">
        <v>907</v>
      </c>
      <c r="C37" s="40" t="str">
        <f t="shared" si="0"/>
        <v>401K907</v>
      </c>
      <c r="D37" s="104">
        <f t="shared" si="1"/>
        <v>0</v>
      </c>
      <c r="E37" s="186">
        <v>0</v>
      </c>
      <c r="F37" s="186">
        <v>0</v>
      </c>
    </row>
    <row r="38" spans="1:6" ht="12.6" hidden="1" customHeight="1" outlineLevel="1">
      <c r="A38" s="33" t="s">
        <v>1087</v>
      </c>
      <c r="B38" s="33">
        <v>908</v>
      </c>
      <c r="C38" s="40" t="str">
        <f t="shared" si="0"/>
        <v>401K908</v>
      </c>
      <c r="D38" s="104">
        <f t="shared" si="1"/>
        <v>0</v>
      </c>
      <c r="E38" s="186">
        <v>0</v>
      </c>
      <c r="F38" s="186">
        <v>0</v>
      </c>
    </row>
    <row r="39" spans="1:6" ht="12.6" hidden="1" customHeight="1" outlineLevel="1">
      <c r="A39" s="33" t="s">
        <v>1087</v>
      </c>
      <c r="B39" s="33">
        <v>909</v>
      </c>
      <c r="C39" s="40" t="str">
        <f t="shared" si="0"/>
        <v>401K909</v>
      </c>
      <c r="D39" s="104">
        <f t="shared" si="1"/>
        <v>0</v>
      </c>
      <c r="E39" s="186">
        <v>0</v>
      </c>
      <c r="F39" s="186">
        <v>0</v>
      </c>
    </row>
    <row r="40" spans="1:6" ht="12.6" hidden="1" customHeight="1" outlineLevel="1">
      <c r="A40" s="33" t="s">
        <v>1087</v>
      </c>
      <c r="B40" s="33">
        <v>910</v>
      </c>
      <c r="C40" s="40" t="str">
        <f t="shared" si="0"/>
        <v>401K910</v>
      </c>
      <c r="D40" s="104">
        <f t="shared" si="1"/>
        <v>0</v>
      </c>
      <c r="E40" s="186">
        <v>0</v>
      </c>
      <c r="F40" s="186">
        <v>0</v>
      </c>
    </row>
    <row r="41" spans="1:6" ht="12.6" hidden="1" customHeight="1" outlineLevel="1">
      <c r="A41" s="33" t="s">
        <v>1087</v>
      </c>
      <c r="B41" s="33">
        <v>911</v>
      </c>
      <c r="C41" s="40" t="str">
        <f t="shared" si="0"/>
        <v>401K911</v>
      </c>
      <c r="D41" s="104">
        <f t="shared" si="1"/>
        <v>0</v>
      </c>
      <c r="E41" s="186">
        <v>0</v>
      </c>
      <c r="F41" s="186">
        <v>0</v>
      </c>
    </row>
    <row r="42" spans="1:6" ht="12.6" hidden="1" customHeight="1" outlineLevel="1">
      <c r="A42" s="33" t="s">
        <v>1087</v>
      </c>
      <c r="B42" s="33">
        <v>912</v>
      </c>
      <c r="C42" s="40" t="str">
        <f t="shared" si="0"/>
        <v>401K912</v>
      </c>
      <c r="D42" s="104">
        <f t="shared" si="1"/>
        <v>0</v>
      </c>
      <c r="E42" s="186">
        <v>0</v>
      </c>
      <c r="F42" s="186">
        <v>0</v>
      </c>
    </row>
    <row r="43" spans="1:6" ht="12.6" hidden="1" customHeight="1" outlineLevel="1">
      <c r="A43" s="33" t="s">
        <v>1087</v>
      </c>
      <c r="B43" s="33">
        <v>913</v>
      </c>
      <c r="C43" s="40" t="str">
        <f t="shared" si="0"/>
        <v>401K913</v>
      </c>
      <c r="D43" s="104">
        <f t="shared" si="1"/>
        <v>0</v>
      </c>
      <c r="E43" s="186">
        <v>0</v>
      </c>
      <c r="F43" s="186">
        <v>0</v>
      </c>
    </row>
    <row r="44" spans="1:6" ht="12.6" hidden="1" customHeight="1" outlineLevel="1">
      <c r="A44" s="33" t="s">
        <v>1087</v>
      </c>
      <c r="B44" s="33">
        <v>920</v>
      </c>
      <c r="C44" s="40" t="str">
        <f t="shared" si="0"/>
        <v>401K920</v>
      </c>
      <c r="D44" s="104">
        <f t="shared" si="1"/>
        <v>0</v>
      </c>
      <c r="E44" s="186">
        <v>0</v>
      </c>
      <c r="F44" s="186">
        <v>0</v>
      </c>
    </row>
    <row r="45" spans="1:6" ht="12.6" hidden="1" customHeight="1" outlineLevel="1">
      <c r="A45" s="33" t="s">
        <v>1087</v>
      </c>
      <c r="B45" s="33">
        <v>921</v>
      </c>
      <c r="C45" s="40" t="str">
        <f t="shared" si="0"/>
        <v>401K921</v>
      </c>
      <c r="D45" s="104">
        <f t="shared" si="1"/>
        <v>0</v>
      </c>
      <c r="E45" s="186">
        <v>0</v>
      </c>
      <c r="F45" s="186">
        <v>0</v>
      </c>
    </row>
    <row r="46" spans="1:6" ht="12.6" hidden="1" customHeight="1" outlineLevel="1">
      <c r="A46" s="33" t="s">
        <v>1087</v>
      </c>
      <c r="B46" s="33">
        <v>923</v>
      </c>
      <c r="C46" s="40" t="str">
        <f t="shared" si="0"/>
        <v>401K923</v>
      </c>
      <c r="D46" s="104">
        <f t="shared" si="1"/>
        <v>0</v>
      </c>
      <c r="E46" s="186">
        <v>0</v>
      </c>
      <c r="F46" s="186">
        <v>0</v>
      </c>
    </row>
    <row r="47" spans="1:6" ht="12.6" hidden="1" customHeight="1" outlineLevel="1">
      <c r="A47" s="33" t="s">
        <v>1087</v>
      </c>
      <c r="B47" s="33">
        <v>924</v>
      </c>
      <c r="C47" s="40" t="str">
        <f t="shared" si="0"/>
        <v>401K924</v>
      </c>
      <c r="D47" s="104">
        <f t="shared" si="1"/>
        <v>0</v>
      </c>
      <c r="E47" s="186">
        <v>0</v>
      </c>
      <c r="F47" s="186">
        <v>0</v>
      </c>
    </row>
    <row r="48" spans="1:6" ht="12.6" hidden="1" customHeight="1" outlineLevel="1">
      <c r="A48" s="33" t="s">
        <v>1087</v>
      </c>
      <c r="B48" s="33">
        <v>925</v>
      </c>
      <c r="C48" s="40" t="str">
        <f t="shared" si="0"/>
        <v>401K925</v>
      </c>
      <c r="D48" s="104">
        <f t="shared" si="1"/>
        <v>0</v>
      </c>
      <c r="E48" s="186">
        <v>0</v>
      </c>
      <c r="F48" s="186">
        <v>0</v>
      </c>
    </row>
    <row r="49" spans="1:6" ht="12.6" hidden="1" customHeight="1" outlineLevel="1">
      <c r="A49" s="33" t="s">
        <v>1087</v>
      </c>
      <c r="B49" s="33">
        <v>926</v>
      </c>
      <c r="C49" s="40" t="str">
        <f t="shared" si="0"/>
        <v>401K926</v>
      </c>
      <c r="D49" s="104">
        <f t="shared" si="1"/>
        <v>21410.100000000093</v>
      </c>
      <c r="E49" s="186">
        <v>719226.46</v>
      </c>
      <c r="F49" s="186">
        <v>740636.56</v>
      </c>
    </row>
    <row r="50" spans="1:6" ht="12.6" hidden="1" customHeight="1" outlineLevel="1">
      <c r="A50" s="33" t="s">
        <v>1087</v>
      </c>
      <c r="B50" s="33">
        <v>928</v>
      </c>
      <c r="C50" s="40" t="str">
        <f t="shared" si="0"/>
        <v>401K928</v>
      </c>
      <c r="D50" s="104">
        <f t="shared" si="1"/>
        <v>0</v>
      </c>
      <c r="E50" s="186">
        <v>0</v>
      </c>
      <c r="F50" s="186">
        <v>0</v>
      </c>
    </row>
    <row r="51" spans="1:6" ht="12.6" hidden="1" customHeight="1" outlineLevel="1">
      <c r="A51" s="33" t="s">
        <v>1087</v>
      </c>
      <c r="B51" s="33">
        <v>9301</v>
      </c>
      <c r="C51" s="40" t="str">
        <f t="shared" si="0"/>
        <v>401K9301</v>
      </c>
      <c r="D51" s="104">
        <f t="shared" si="1"/>
        <v>0</v>
      </c>
      <c r="E51" s="186">
        <v>0</v>
      </c>
      <c r="F51" s="186">
        <v>0</v>
      </c>
    </row>
    <row r="52" spans="1:6" ht="12.6" hidden="1" customHeight="1" outlineLevel="1">
      <c r="A52" s="33" t="s">
        <v>1087</v>
      </c>
      <c r="B52" s="33">
        <v>9302</v>
      </c>
      <c r="C52" s="40" t="str">
        <f t="shared" si="0"/>
        <v>401K9302</v>
      </c>
      <c r="D52" s="104">
        <f t="shared" si="1"/>
        <v>0</v>
      </c>
      <c r="E52" s="186">
        <v>0</v>
      </c>
      <c r="F52" s="186">
        <v>0</v>
      </c>
    </row>
    <row r="53" spans="1:6" ht="12.6" hidden="1" customHeight="1" outlineLevel="1">
      <c r="A53" s="33" t="s">
        <v>1087</v>
      </c>
      <c r="B53" s="33">
        <v>931</v>
      </c>
      <c r="C53" s="40" t="str">
        <f t="shared" si="0"/>
        <v>401K931</v>
      </c>
      <c r="D53" s="104">
        <f t="shared" si="1"/>
        <v>0</v>
      </c>
      <c r="E53" s="186">
        <v>0</v>
      </c>
      <c r="F53" s="186">
        <v>0</v>
      </c>
    </row>
    <row r="54" spans="1:6" ht="12.6" hidden="1" customHeight="1" outlineLevel="1">
      <c r="A54" s="33" t="s">
        <v>1087</v>
      </c>
      <c r="B54" s="33">
        <v>932</v>
      </c>
      <c r="C54" s="40" t="str">
        <f t="shared" si="0"/>
        <v>401K932</v>
      </c>
      <c r="D54" s="104">
        <f t="shared" si="1"/>
        <v>0</v>
      </c>
      <c r="E54" s="186">
        <v>0</v>
      </c>
      <c r="F54" s="186">
        <v>0</v>
      </c>
    </row>
    <row r="55" spans="1:6" ht="12.6" hidden="1" customHeight="1" outlineLevel="1">
      <c r="A55" s="1043" t="s">
        <v>1087</v>
      </c>
      <c r="B55" s="33">
        <v>935</v>
      </c>
      <c r="C55" s="40" t="str">
        <f t="shared" si="0"/>
        <v>401K935</v>
      </c>
      <c r="D55" s="104">
        <f t="shared" si="1"/>
        <v>0</v>
      </c>
      <c r="E55" s="186">
        <v>0</v>
      </c>
      <c r="F55" s="186">
        <v>0</v>
      </c>
    </row>
    <row r="56" spans="1:6" collapsed="1">
      <c r="A56" s="14" t="s">
        <v>1087</v>
      </c>
      <c r="B56" s="13"/>
      <c r="C56" s="13"/>
      <c r="D56" s="193">
        <f>SUM(D8:D55)</f>
        <v>21465.270000000091</v>
      </c>
      <c r="E56" s="193">
        <f>SUM(E8:E55)</f>
        <v>719418.59</v>
      </c>
      <c r="F56" s="193">
        <f>SUM(F8:F55)</f>
        <v>740883.8600000001</v>
      </c>
    </row>
    <row r="57" spans="1:6" ht="12.95" hidden="1" customHeight="1" outlineLevel="1">
      <c r="A57" s="33" t="s">
        <v>1088</v>
      </c>
      <c r="B57" s="33">
        <v>801</v>
      </c>
      <c r="C57" s="40" t="str">
        <f t="shared" ref="C57:C104" si="2">A57&amp;B57</f>
        <v>Advertising Expense801</v>
      </c>
      <c r="D57" s="104">
        <f t="shared" ref="D57:D104" si="3">+F57-E57</f>
        <v>0</v>
      </c>
      <c r="E57" s="186">
        <v>0</v>
      </c>
      <c r="F57" s="186">
        <v>0</v>
      </c>
    </row>
    <row r="58" spans="1:6" ht="12.95" hidden="1" customHeight="1" outlineLevel="1">
      <c r="A58" s="33" t="s">
        <v>1088</v>
      </c>
      <c r="B58" s="33">
        <v>803</v>
      </c>
      <c r="C58" s="40" t="str">
        <f t="shared" si="2"/>
        <v>Advertising Expense803</v>
      </c>
      <c r="D58" s="104">
        <f t="shared" si="3"/>
        <v>0</v>
      </c>
      <c r="E58" s="186">
        <v>0</v>
      </c>
      <c r="F58" s="186">
        <v>0</v>
      </c>
    </row>
    <row r="59" spans="1:6" ht="12.95" hidden="1" customHeight="1" outlineLevel="1">
      <c r="A59" s="33" t="s">
        <v>1088</v>
      </c>
      <c r="B59" s="33">
        <v>804</v>
      </c>
      <c r="C59" s="40" t="str">
        <f t="shared" si="2"/>
        <v>Advertising Expense804</v>
      </c>
      <c r="D59" s="104">
        <f t="shared" si="3"/>
        <v>0</v>
      </c>
      <c r="E59" s="186">
        <v>0</v>
      </c>
      <c r="F59" s="186">
        <v>0</v>
      </c>
    </row>
    <row r="60" spans="1:6" ht="12.95" hidden="1" customHeight="1" outlineLevel="1">
      <c r="A60" s="33" t="s">
        <v>1088</v>
      </c>
      <c r="B60" s="33">
        <v>805</v>
      </c>
      <c r="C60" s="40" t="str">
        <f t="shared" si="2"/>
        <v>Advertising Expense805</v>
      </c>
      <c r="D60" s="104">
        <f t="shared" si="3"/>
        <v>0</v>
      </c>
      <c r="E60" s="186">
        <v>0</v>
      </c>
      <c r="F60" s="186">
        <v>0</v>
      </c>
    </row>
    <row r="61" spans="1:6" ht="12.95" hidden="1" customHeight="1" outlineLevel="1">
      <c r="A61" s="33" t="s">
        <v>1088</v>
      </c>
      <c r="B61" s="33">
        <v>806</v>
      </c>
      <c r="C61" s="40" t="str">
        <f t="shared" si="2"/>
        <v>Advertising Expense806</v>
      </c>
      <c r="D61" s="104">
        <f t="shared" si="3"/>
        <v>0</v>
      </c>
      <c r="E61" s="186">
        <v>0</v>
      </c>
      <c r="F61" s="186">
        <v>0</v>
      </c>
    </row>
    <row r="62" spans="1:6" ht="12.95" hidden="1" customHeight="1" outlineLevel="1">
      <c r="A62" s="33" t="s">
        <v>1088</v>
      </c>
      <c r="B62" s="33">
        <v>807</v>
      </c>
      <c r="C62" s="40" t="str">
        <f t="shared" si="2"/>
        <v>Advertising Expense807</v>
      </c>
      <c r="D62" s="104">
        <f t="shared" si="3"/>
        <v>0</v>
      </c>
      <c r="E62" s="186">
        <v>0</v>
      </c>
      <c r="F62" s="186">
        <v>0</v>
      </c>
    </row>
    <row r="63" spans="1:6" ht="12.95" hidden="1" customHeight="1" outlineLevel="1">
      <c r="A63" s="33" t="s">
        <v>1088</v>
      </c>
      <c r="B63" s="33">
        <v>808</v>
      </c>
      <c r="C63" s="40" t="str">
        <f t="shared" si="2"/>
        <v>Advertising Expense808</v>
      </c>
      <c r="D63" s="104">
        <f t="shared" si="3"/>
        <v>0</v>
      </c>
      <c r="E63" s="186">
        <v>0</v>
      </c>
      <c r="F63" s="186">
        <v>0</v>
      </c>
    </row>
    <row r="64" spans="1:6" ht="12.95" hidden="1" customHeight="1" outlineLevel="1">
      <c r="A64" s="33" t="s">
        <v>1088</v>
      </c>
      <c r="B64" s="33">
        <v>812</v>
      </c>
      <c r="C64" s="40" t="str">
        <f t="shared" si="2"/>
        <v>Advertising Expense812</v>
      </c>
      <c r="D64" s="104">
        <f t="shared" si="3"/>
        <v>0</v>
      </c>
      <c r="E64" s="186">
        <v>0</v>
      </c>
      <c r="F64" s="186">
        <v>0</v>
      </c>
    </row>
    <row r="65" spans="1:6" ht="12.95" hidden="1" customHeight="1" outlineLevel="1">
      <c r="A65" s="33" t="s">
        <v>1088</v>
      </c>
      <c r="B65" s="33">
        <v>870</v>
      </c>
      <c r="C65" s="40" t="str">
        <f t="shared" si="2"/>
        <v>Advertising Expense870</v>
      </c>
      <c r="D65" s="104">
        <f t="shared" si="3"/>
        <v>0</v>
      </c>
      <c r="E65" s="186">
        <v>0</v>
      </c>
      <c r="F65" s="186">
        <v>0</v>
      </c>
    </row>
    <row r="66" spans="1:6" ht="12.95" hidden="1" customHeight="1" outlineLevel="1">
      <c r="A66" s="33" t="s">
        <v>1088</v>
      </c>
      <c r="B66" s="33">
        <v>871</v>
      </c>
      <c r="C66" s="40" t="str">
        <f t="shared" si="2"/>
        <v>Advertising Expense871</v>
      </c>
      <c r="D66" s="104">
        <f t="shared" si="3"/>
        <v>0</v>
      </c>
      <c r="E66" s="186">
        <v>0</v>
      </c>
      <c r="F66" s="186">
        <v>0</v>
      </c>
    </row>
    <row r="67" spans="1:6" ht="12.95" hidden="1" customHeight="1" outlineLevel="1">
      <c r="A67" s="33" t="s">
        <v>1088</v>
      </c>
      <c r="B67" s="33">
        <v>874</v>
      </c>
      <c r="C67" s="40" t="str">
        <f t="shared" si="2"/>
        <v>Advertising Expense874</v>
      </c>
      <c r="D67" s="104">
        <f t="shared" si="3"/>
        <v>0</v>
      </c>
      <c r="E67" s="186">
        <v>0</v>
      </c>
      <c r="F67" s="186">
        <v>0</v>
      </c>
    </row>
    <row r="68" spans="1:6" ht="12.95" hidden="1" customHeight="1" outlineLevel="1">
      <c r="A68" s="33" t="s">
        <v>1088</v>
      </c>
      <c r="B68" s="33">
        <v>875</v>
      </c>
      <c r="C68" s="40" t="str">
        <f t="shared" si="2"/>
        <v>Advertising Expense875</v>
      </c>
      <c r="D68" s="104">
        <f t="shared" si="3"/>
        <v>0</v>
      </c>
      <c r="E68" s="186">
        <v>0</v>
      </c>
      <c r="F68" s="186">
        <v>0</v>
      </c>
    </row>
    <row r="69" spans="1:6" ht="12.95" hidden="1" customHeight="1" outlineLevel="1">
      <c r="A69" s="33" t="s">
        <v>1088</v>
      </c>
      <c r="B69" s="33">
        <v>876</v>
      </c>
      <c r="C69" s="40" t="str">
        <f t="shared" si="2"/>
        <v>Advertising Expense876</v>
      </c>
      <c r="D69" s="104">
        <f t="shared" si="3"/>
        <v>0</v>
      </c>
      <c r="E69" s="186">
        <v>0</v>
      </c>
      <c r="F69" s="186">
        <v>0</v>
      </c>
    </row>
    <row r="70" spans="1:6" ht="12.95" hidden="1" customHeight="1" outlineLevel="1">
      <c r="A70" s="33" t="s">
        <v>1088</v>
      </c>
      <c r="B70" s="33">
        <v>878</v>
      </c>
      <c r="C70" s="40" t="str">
        <f t="shared" si="2"/>
        <v>Advertising Expense878</v>
      </c>
      <c r="D70" s="104">
        <f t="shared" si="3"/>
        <v>0</v>
      </c>
      <c r="E70" s="186">
        <v>0</v>
      </c>
      <c r="F70" s="186">
        <v>0</v>
      </c>
    </row>
    <row r="71" spans="1:6" ht="12.95" hidden="1" customHeight="1" outlineLevel="1">
      <c r="A71" s="33" t="s">
        <v>1088</v>
      </c>
      <c r="B71" s="33">
        <v>879</v>
      </c>
      <c r="C71" s="40" t="str">
        <f t="shared" si="2"/>
        <v>Advertising Expense879</v>
      </c>
      <c r="D71" s="104">
        <f t="shared" si="3"/>
        <v>0</v>
      </c>
      <c r="E71" s="186">
        <v>0</v>
      </c>
      <c r="F71" s="186">
        <v>0</v>
      </c>
    </row>
    <row r="72" spans="1:6" ht="12.95" hidden="1" customHeight="1" outlineLevel="1">
      <c r="A72" s="33" t="s">
        <v>1088</v>
      </c>
      <c r="B72" s="33">
        <v>880</v>
      </c>
      <c r="C72" s="40" t="str">
        <f t="shared" si="2"/>
        <v>Advertising Expense880</v>
      </c>
      <c r="D72" s="104">
        <f t="shared" si="3"/>
        <v>0</v>
      </c>
      <c r="E72" s="186">
        <v>0</v>
      </c>
      <c r="F72" s="186">
        <v>0</v>
      </c>
    </row>
    <row r="73" spans="1:6" ht="12.95" hidden="1" customHeight="1" outlineLevel="1">
      <c r="A73" s="33" t="s">
        <v>1088</v>
      </c>
      <c r="B73" s="33">
        <v>881</v>
      </c>
      <c r="C73" s="40" t="str">
        <f t="shared" si="2"/>
        <v>Advertising Expense881</v>
      </c>
      <c r="D73" s="104">
        <f t="shared" si="3"/>
        <v>0</v>
      </c>
      <c r="E73" s="186">
        <v>0</v>
      </c>
      <c r="F73" s="186">
        <v>0</v>
      </c>
    </row>
    <row r="74" spans="1:6" ht="12.95" hidden="1" customHeight="1" outlineLevel="1">
      <c r="A74" s="33" t="s">
        <v>1088</v>
      </c>
      <c r="B74" s="33">
        <v>885</v>
      </c>
      <c r="C74" s="40" t="str">
        <f t="shared" si="2"/>
        <v>Advertising Expense885</v>
      </c>
      <c r="D74" s="104">
        <f t="shared" si="3"/>
        <v>0</v>
      </c>
      <c r="E74" s="186">
        <v>0</v>
      </c>
      <c r="F74" s="186">
        <v>0</v>
      </c>
    </row>
    <row r="75" spans="1:6" ht="12.95" hidden="1" customHeight="1" outlineLevel="1">
      <c r="A75" s="33" t="s">
        <v>1088</v>
      </c>
      <c r="B75" s="33">
        <v>886</v>
      </c>
      <c r="C75" s="40" t="str">
        <f t="shared" si="2"/>
        <v>Advertising Expense886</v>
      </c>
      <c r="D75" s="104">
        <f t="shared" si="3"/>
        <v>0</v>
      </c>
      <c r="E75" s="186">
        <v>0</v>
      </c>
      <c r="F75" s="186">
        <v>0</v>
      </c>
    </row>
    <row r="76" spans="1:6" ht="12.95" hidden="1" customHeight="1" outlineLevel="1">
      <c r="A76" s="33" t="s">
        <v>1088</v>
      </c>
      <c r="B76" s="33">
        <v>887</v>
      </c>
      <c r="C76" s="40" t="str">
        <f t="shared" si="2"/>
        <v>Advertising Expense887</v>
      </c>
      <c r="D76" s="104">
        <f t="shared" si="3"/>
        <v>0</v>
      </c>
      <c r="E76" s="186">
        <v>0</v>
      </c>
      <c r="F76" s="186">
        <v>0</v>
      </c>
    </row>
    <row r="77" spans="1:6" ht="12.95" hidden="1" customHeight="1" outlineLevel="1">
      <c r="A77" s="33" t="s">
        <v>1088</v>
      </c>
      <c r="B77" s="33">
        <v>889</v>
      </c>
      <c r="C77" s="40" t="str">
        <f t="shared" si="2"/>
        <v>Advertising Expense889</v>
      </c>
      <c r="D77" s="104">
        <f t="shared" si="3"/>
        <v>0</v>
      </c>
      <c r="E77" s="186">
        <v>0</v>
      </c>
      <c r="F77" s="186">
        <v>0</v>
      </c>
    </row>
    <row r="78" spans="1:6" ht="12.95" hidden="1" customHeight="1" outlineLevel="1">
      <c r="A78" s="33" t="s">
        <v>1088</v>
      </c>
      <c r="B78" s="33">
        <v>890</v>
      </c>
      <c r="C78" s="40" t="str">
        <f t="shared" si="2"/>
        <v>Advertising Expense890</v>
      </c>
      <c r="D78" s="104">
        <f t="shared" si="3"/>
        <v>0</v>
      </c>
      <c r="E78" s="186">
        <v>0</v>
      </c>
      <c r="F78" s="186">
        <v>0</v>
      </c>
    </row>
    <row r="79" spans="1:6" ht="12.95" hidden="1" customHeight="1" outlineLevel="1">
      <c r="A79" s="33" t="s">
        <v>1088</v>
      </c>
      <c r="B79" s="33">
        <v>892</v>
      </c>
      <c r="C79" s="40" t="str">
        <f t="shared" si="2"/>
        <v>Advertising Expense892</v>
      </c>
      <c r="D79" s="104">
        <f t="shared" si="3"/>
        <v>0</v>
      </c>
      <c r="E79" s="186">
        <v>0</v>
      </c>
      <c r="F79" s="186">
        <v>0</v>
      </c>
    </row>
    <row r="80" spans="1:6" ht="12.95" hidden="1" customHeight="1" outlineLevel="1">
      <c r="A80" s="33" t="s">
        <v>1088</v>
      </c>
      <c r="B80" s="33">
        <v>893</v>
      </c>
      <c r="C80" s="40" t="str">
        <f t="shared" si="2"/>
        <v>Advertising Expense893</v>
      </c>
      <c r="D80" s="104">
        <f t="shared" si="3"/>
        <v>0</v>
      </c>
      <c r="E80" s="186">
        <v>0</v>
      </c>
      <c r="F80" s="186">
        <v>0</v>
      </c>
    </row>
    <row r="81" spans="1:6" ht="12.95" hidden="1" customHeight="1" outlineLevel="1">
      <c r="A81" s="33" t="s">
        <v>1088</v>
      </c>
      <c r="B81" s="33">
        <v>894</v>
      </c>
      <c r="C81" s="40" t="str">
        <f t="shared" si="2"/>
        <v>Advertising Expense894</v>
      </c>
      <c r="D81" s="104">
        <f t="shared" si="3"/>
        <v>0</v>
      </c>
      <c r="E81" s="186">
        <v>0</v>
      </c>
      <c r="F81" s="186">
        <v>0</v>
      </c>
    </row>
    <row r="82" spans="1:6" ht="12.95" hidden="1" customHeight="1" outlineLevel="1">
      <c r="A82" s="33" t="s">
        <v>1088</v>
      </c>
      <c r="B82" s="33">
        <v>902</v>
      </c>
      <c r="C82" s="40" t="str">
        <f t="shared" si="2"/>
        <v>Advertising Expense902</v>
      </c>
      <c r="D82" s="104">
        <f t="shared" si="3"/>
        <v>0</v>
      </c>
      <c r="E82" s="186">
        <v>0</v>
      </c>
      <c r="F82" s="186">
        <v>0</v>
      </c>
    </row>
    <row r="83" spans="1:6" ht="12.95" hidden="1" customHeight="1" outlineLevel="1">
      <c r="A83" s="33" t="s">
        <v>1088</v>
      </c>
      <c r="B83" s="33">
        <v>903</v>
      </c>
      <c r="C83" s="40" t="str">
        <f t="shared" si="2"/>
        <v>Advertising Expense903</v>
      </c>
      <c r="D83" s="104">
        <f t="shared" si="3"/>
        <v>0</v>
      </c>
      <c r="E83" s="186">
        <v>0</v>
      </c>
      <c r="F83" s="186">
        <v>0</v>
      </c>
    </row>
    <row r="84" spans="1:6" ht="12.95" hidden="1" customHeight="1" outlineLevel="1">
      <c r="A84" s="33" t="s">
        <v>1088</v>
      </c>
      <c r="B84" s="33">
        <v>904</v>
      </c>
      <c r="C84" s="40" t="str">
        <f t="shared" si="2"/>
        <v>Advertising Expense904</v>
      </c>
      <c r="D84" s="104">
        <f t="shared" si="3"/>
        <v>0</v>
      </c>
      <c r="E84" s="186">
        <v>0</v>
      </c>
      <c r="F84" s="186">
        <v>0</v>
      </c>
    </row>
    <row r="85" spans="1:6" ht="12.95" hidden="1" customHeight="1" outlineLevel="1">
      <c r="A85" s="33" t="s">
        <v>1088</v>
      </c>
      <c r="B85" s="33">
        <v>905</v>
      </c>
      <c r="C85" s="40" t="str">
        <f t="shared" si="2"/>
        <v>Advertising Expense905</v>
      </c>
      <c r="D85" s="104">
        <f t="shared" si="3"/>
        <v>0</v>
      </c>
      <c r="E85" s="186">
        <v>0</v>
      </c>
      <c r="F85" s="186">
        <v>0</v>
      </c>
    </row>
    <row r="86" spans="1:6" ht="12.95" hidden="1" customHeight="1" outlineLevel="1">
      <c r="A86" s="33" t="s">
        <v>1088</v>
      </c>
      <c r="B86" s="33">
        <v>907</v>
      </c>
      <c r="C86" s="40" t="str">
        <f t="shared" si="2"/>
        <v>Advertising Expense907</v>
      </c>
      <c r="D86" s="104">
        <f t="shared" si="3"/>
        <v>0</v>
      </c>
      <c r="E86" s="186">
        <v>0</v>
      </c>
      <c r="F86" s="186">
        <v>0</v>
      </c>
    </row>
    <row r="87" spans="1:6" ht="12.95" hidden="1" customHeight="1" outlineLevel="1">
      <c r="A87" s="33" t="s">
        <v>1088</v>
      </c>
      <c r="B87" s="33">
        <v>908</v>
      </c>
      <c r="C87" s="40" t="str">
        <f t="shared" si="2"/>
        <v>Advertising Expense908</v>
      </c>
      <c r="D87" s="104">
        <f t="shared" si="3"/>
        <v>0</v>
      </c>
      <c r="E87" s="186">
        <v>0</v>
      </c>
      <c r="F87" s="186">
        <v>0</v>
      </c>
    </row>
    <row r="88" spans="1:6" ht="12.95" hidden="1" customHeight="1" outlineLevel="1">
      <c r="A88" s="33" t="s">
        <v>1088</v>
      </c>
      <c r="B88" s="33">
        <v>909</v>
      </c>
      <c r="C88" s="40" t="str">
        <f t="shared" si="2"/>
        <v>Advertising Expense909</v>
      </c>
      <c r="D88" s="104">
        <f t="shared" si="3"/>
        <v>-187.50000000000006</v>
      </c>
      <c r="E88" s="186">
        <v>212.46000000000006</v>
      </c>
      <c r="F88" s="186">
        <v>24.959999999999994</v>
      </c>
    </row>
    <row r="89" spans="1:6" ht="12.95" hidden="1" customHeight="1" outlineLevel="1">
      <c r="A89" s="33" t="s">
        <v>1088</v>
      </c>
      <c r="B89" s="33">
        <v>910</v>
      </c>
      <c r="C89" s="40" t="str">
        <f t="shared" si="2"/>
        <v>Advertising Expense910</v>
      </c>
      <c r="D89" s="104">
        <f t="shared" si="3"/>
        <v>0</v>
      </c>
      <c r="E89" s="186">
        <v>0</v>
      </c>
      <c r="F89" s="186">
        <v>0</v>
      </c>
    </row>
    <row r="90" spans="1:6" ht="12.95" hidden="1" customHeight="1" outlineLevel="1">
      <c r="A90" s="33" t="s">
        <v>1088</v>
      </c>
      <c r="B90" s="33">
        <v>911</v>
      </c>
      <c r="C90" s="40" t="str">
        <f t="shared" si="2"/>
        <v>Advertising Expense911</v>
      </c>
      <c r="D90" s="104">
        <f t="shared" si="3"/>
        <v>0</v>
      </c>
      <c r="E90" s="186">
        <v>0</v>
      </c>
      <c r="F90" s="186">
        <v>0</v>
      </c>
    </row>
    <row r="91" spans="1:6" ht="12.95" hidden="1" customHeight="1" outlineLevel="1">
      <c r="A91" s="33" t="s">
        <v>1088</v>
      </c>
      <c r="B91" s="33">
        <v>912</v>
      </c>
      <c r="C91" s="40" t="str">
        <f t="shared" si="2"/>
        <v>Advertising Expense912</v>
      </c>
      <c r="D91" s="104">
        <f t="shared" si="3"/>
        <v>0</v>
      </c>
      <c r="E91" s="186">
        <v>0</v>
      </c>
      <c r="F91" s="186">
        <v>0</v>
      </c>
    </row>
    <row r="92" spans="1:6" ht="12.95" hidden="1" customHeight="1" outlineLevel="1">
      <c r="A92" s="33" t="s">
        <v>1088</v>
      </c>
      <c r="B92" s="33">
        <v>913</v>
      </c>
      <c r="C92" s="40" t="str">
        <f t="shared" si="2"/>
        <v>Advertising Expense913</v>
      </c>
      <c r="D92" s="104">
        <f t="shared" si="3"/>
        <v>0</v>
      </c>
      <c r="E92" s="186">
        <v>0</v>
      </c>
      <c r="F92" s="186">
        <v>0</v>
      </c>
    </row>
    <row r="93" spans="1:6" ht="12.95" hidden="1" customHeight="1" outlineLevel="1">
      <c r="A93" s="33" t="s">
        <v>1088</v>
      </c>
      <c r="B93" s="33">
        <v>920</v>
      </c>
      <c r="C93" s="40" t="str">
        <f t="shared" si="2"/>
        <v>Advertising Expense920</v>
      </c>
      <c r="D93" s="104">
        <f t="shared" si="3"/>
        <v>0</v>
      </c>
      <c r="E93" s="186">
        <v>0</v>
      </c>
      <c r="F93" s="186">
        <v>0</v>
      </c>
    </row>
    <row r="94" spans="1:6" ht="12.95" hidden="1" customHeight="1" outlineLevel="1">
      <c r="A94" s="33" t="s">
        <v>1088</v>
      </c>
      <c r="B94" s="33">
        <v>921</v>
      </c>
      <c r="C94" s="40" t="str">
        <f t="shared" si="2"/>
        <v>Advertising Expense921</v>
      </c>
      <c r="D94" s="104">
        <f t="shared" si="3"/>
        <v>0</v>
      </c>
      <c r="E94" s="186">
        <v>0</v>
      </c>
      <c r="F94" s="186">
        <v>0</v>
      </c>
    </row>
    <row r="95" spans="1:6" ht="12.95" hidden="1" customHeight="1" outlineLevel="1">
      <c r="A95" s="33" t="s">
        <v>1088</v>
      </c>
      <c r="B95" s="33">
        <v>923</v>
      </c>
      <c r="C95" s="40" t="str">
        <f t="shared" si="2"/>
        <v>Advertising Expense923</v>
      </c>
      <c r="D95" s="104">
        <f t="shared" si="3"/>
        <v>-762.33000000000038</v>
      </c>
      <c r="E95" s="186">
        <v>1624.8900000000003</v>
      </c>
      <c r="F95" s="186">
        <v>862.56</v>
      </c>
    </row>
    <row r="96" spans="1:6" ht="12.95" hidden="1" customHeight="1" outlineLevel="1">
      <c r="A96" s="33" t="s">
        <v>1088</v>
      </c>
      <c r="B96" s="33">
        <v>924</v>
      </c>
      <c r="C96" s="40" t="str">
        <f t="shared" si="2"/>
        <v>Advertising Expense924</v>
      </c>
      <c r="D96" s="104">
        <f t="shared" si="3"/>
        <v>0</v>
      </c>
      <c r="E96" s="186">
        <v>0</v>
      </c>
      <c r="F96" s="186">
        <v>0</v>
      </c>
    </row>
    <row r="97" spans="1:6" ht="12.95" hidden="1" customHeight="1" outlineLevel="1">
      <c r="A97" s="33" t="s">
        <v>1088</v>
      </c>
      <c r="B97" s="33">
        <v>925</v>
      </c>
      <c r="C97" s="40" t="str">
        <f t="shared" si="2"/>
        <v>Advertising Expense925</v>
      </c>
      <c r="D97" s="104">
        <f t="shared" si="3"/>
        <v>0</v>
      </c>
      <c r="E97" s="186">
        <v>0</v>
      </c>
      <c r="F97" s="186">
        <v>0</v>
      </c>
    </row>
    <row r="98" spans="1:6" ht="12.95" hidden="1" customHeight="1" outlineLevel="1">
      <c r="A98" s="33" t="s">
        <v>1088</v>
      </c>
      <c r="B98" s="33">
        <v>926</v>
      </c>
      <c r="C98" s="40" t="str">
        <f t="shared" si="2"/>
        <v>Advertising Expense926</v>
      </c>
      <c r="D98" s="104">
        <f t="shared" si="3"/>
        <v>0</v>
      </c>
      <c r="E98" s="186">
        <v>0</v>
      </c>
      <c r="F98" s="186">
        <v>0</v>
      </c>
    </row>
    <row r="99" spans="1:6" ht="12.95" hidden="1" customHeight="1" outlineLevel="1">
      <c r="A99" s="33" t="s">
        <v>1088</v>
      </c>
      <c r="B99" s="33">
        <v>928</v>
      </c>
      <c r="C99" s="40" t="str">
        <f t="shared" si="2"/>
        <v>Advertising Expense928</v>
      </c>
      <c r="D99" s="104">
        <f t="shared" si="3"/>
        <v>0</v>
      </c>
      <c r="E99" s="186">
        <v>0</v>
      </c>
      <c r="F99" s="186">
        <v>0</v>
      </c>
    </row>
    <row r="100" spans="1:6" ht="12.95" hidden="1" customHeight="1" outlineLevel="1">
      <c r="A100" s="33" t="s">
        <v>1088</v>
      </c>
      <c r="B100" s="33">
        <v>9301</v>
      </c>
      <c r="C100" s="40" t="str">
        <f t="shared" si="2"/>
        <v>Advertising Expense9301</v>
      </c>
      <c r="D100" s="104">
        <f t="shared" si="3"/>
        <v>-97.179999999999993</v>
      </c>
      <c r="E100" s="186">
        <v>102.82</v>
      </c>
      <c r="F100" s="186">
        <v>5.6399999999999979</v>
      </c>
    </row>
    <row r="101" spans="1:6" ht="12.95" hidden="1" customHeight="1" outlineLevel="1">
      <c r="A101" s="33" t="s">
        <v>1088</v>
      </c>
      <c r="B101" s="33">
        <v>9302</v>
      </c>
      <c r="C101" s="40" t="str">
        <f t="shared" si="2"/>
        <v>Advertising Expense9302</v>
      </c>
      <c r="D101" s="104">
        <f t="shared" si="3"/>
        <v>-1794.6999999999998</v>
      </c>
      <c r="E101" s="186">
        <v>2201.3799999999997</v>
      </c>
      <c r="F101" s="186">
        <v>406.67999999999989</v>
      </c>
    </row>
    <row r="102" spans="1:6" ht="12.95" hidden="1" customHeight="1" outlineLevel="1">
      <c r="A102" s="33" t="s">
        <v>1088</v>
      </c>
      <c r="B102" s="33">
        <v>931</v>
      </c>
      <c r="C102" s="40" t="str">
        <f t="shared" si="2"/>
        <v>Advertising Expense931</v>
      </c>
      <c r="D102" s="104">
        <f t="shared" si="3"/>
        <v>0</v>
      </c>
      <c r="E102" s="186">
        <v>0</v>
      </c>
      <c r="F102" s="186">
        <v>0</v>
      </c>
    </row>
    <row r="103" spans="1:6" ht="12.95" hidden="1" customHeight="1" outlineLevel="1">
      <c r="A103" s="33" t="s">
        <v>1088</v>
      </c>
      <c r="B103" s="33">
        <v>932</v>
      </c>
      <c r="C103" s="40" t="str">
        <f t="shared" si="2"/>
        <v>Advertising Expense932</v>
      </c>
      <c r="D103" s="104">
        <f t="shared" si="3"/>
        <v>0</v>
      </c>
      <c r="E103" s="186">
        <v>0</v>
      </c>
      <c r="F103" s="186">
        <v>0</v>
      </c>
    </row>
    <row r="104" spans="1:6" ht="12.95" hidden="1" customHeight="1" outlineLevel="1">
      <c r="A104" s="1043" t="s">
        <v>1088</v>
      </c>
      <c r="B104" s="33">
        <v>935</v>
      </c>
      <c r="C104" s="40" t="str">
        <f t="shared" si="2"/>
        <v>Advertising Expense935</v>
      </c>
      <c r="D104" s="104">
        <f t="shared" si="3"/>
        <v>0</v>
      </c>
      <c r="E104" s="186">
        <v>0</v>
      </c>
      <c r="F104" s="186">
        <v>0</v>
      </c>
    </row>
    <row r="105" spans="1:6" s="13" customFormat="1" collapsed="1">
      <c r="A105" s="14" t="s">
        <v>1088</v>
      </c>
      <c r="D105" s="193">
        <f>SUM(D57:D104)</f>
        <v>-2841.71</v>
      </c>
      <c r="E105" s="193">
        <f>SUM(E57:E104)</f>
        <v>4141.55</v>
      </c>
      <c r="F105" s="193">
        <f>SUM(F57:F104)</f>
        <v>1299.8399999999999</v>
      </c>
    </row>
    <row r="106" spans="1:6" ht="12.95" hidden="1" customHeight="1" outlineLevel="1">
      <c r="A106" s="33" t="s">
        <v>1089</v>
      </c>
      <c r="B106" s="33">
        <v>801</v>
      </c>
      <c r="C106" s="40" t="str">
        <f t="shared" ref="C106:C153" si="4">A106&amp;B106</f>
        <v>Amortizations801</v>
      </c>
      <c r="D106" s="104">
        <f t="shared" ref="D106:D153" si="5">+F106-E106</f>
        <v>0</v>
      </c>
      <c r="E106" s="186">
        <v>0</v>
      </c>
      <c r="F106" s="186">
        <v>0</v>
      </c>
    </row>
    <row r="107" spans="1:6" ht="12.95" hidden="1" customHeight="1" outlineLevel="1">
      <c r="A107" s="33" t="s">
        <v>1089</v>
      </c>
      <c r="B107" s="33">
        <v>803</v>
      </c>
      <c r="C107" s="40" t="str">
        <f t="shared" si="4"/>
        <v>Amortizations803</v>
      </c>
      <c r="D107" s="104">
        <f t="shared" si="5"/>
        <v>0</v>
      </c>
      <c r="E107" s="186">
        <v>0</v>
      </c>
      <c r="F107" s="186">
        <v>0</v>
      </c>
    </row>
    <row r="108" spans="1:6" ht="12.95" hidden="1" customHeight="1" outlineLevel="1">
      <c r="A108" s="33" t="s">
        <v>1089</v>
      </c>
      <c r="B108" s="33">
        <v>804</v>
      </c>
      <c r="C108" s="40" t="str">
        <f t="shared" si="4"/>
        <v>Amortizations804</v>
      </c>
      <c r="D108" s="104">
        <f t="shared" si="5"/>
        <v>0</v>
      </c>
      <c r="E108" s="186">
        <v>0</v>
      </c>
      <c r="F108" s="186">
        <v>0</v>
      </c>
    </row>
    <row r="109" spans="1:6" ht="12.95" hidden="1" customHeight="1" outlineLevel="1">
      <c r="A109" s="33" t="s">
        <v>1089</v>
      </c>
      <c r="B109" s="33">
        <v>805</v>
      </c>
      <c r="C109" s="40" t="str">
        <f t="shared" si="4"/>
        <v>Amortizations805</v>
      </c>
      <c r="D109" s="104">
        <f t="shared" si="5"/>
        <v>0</v>
      </c>
      <c r="E109" s="186">
        <v>0</v>
      </c>
      <c r="F109" s="186">
        <v>0</v>
      </c>
    </row>
    <row r="110" spans="1:6" ht="12.95" hidden="1" customHeight="1" outlineLevel="1">
      <c r="A110" s="33" t="s">
        <v>1089</v>
      </c>
      <c r="B110" s="33">
        <v>806</v>
      </c>
      <c r="C110" s="40" t="str">
        <f t="shared" si="4"/>
        <v>Amortizations806</v>
      </c>
      <c r="D110" s="104">
        <f t="shared" si="5"/>
        <v>0</v>
      </c>
      <c r="E110" s="186">
        <v>0</v>
      </c>
      <c r="F110" s="186">
        <v>0</v>
      </c>
    </row>
    <row r="111" spans="1:6" ht="12.95" hidden="1" customHeight="1" outlineLevel="1">
      <c r="A111" s="33" t="s">
        <v>1089</v>
      </c>
      <c r="B111" s="33">
        <v>807</v>
      </c>
      <c r="C111" s="40" t="str">
        <f t="shared" si="4"/>
        <v>Amortizations807</v>
      </c>
      <c r="D111" s="104">
        <f t="shared" si="5"/>
        <v>0</v>
      </c>
      <c r="E111" s="186">
        <v>0</v>
      </c>
      <c r="F111" s="186">
        <v>0</v>
      </c>
    </row>
    <row r="112" spans="1:6" ht="12.95" hidden="1" customHeight="1" outlineLevel="1">
      <c r="A112" s="33" t="s">
        <v>1089</v>
      </c>
      <c r="B112" s="33">
        <v>808</v>
      </c>
      <c r="C112" s="40" t="str">
        <f t="shared" si="4"/>
        <v>Amortizations808</v>
      </c>
      <c r="D112" s="104">
        <f t="shared" si="5"/>
        <v>0</v>
      </c>
      <c r="E112" s="186">
        <v>0</v>
      </c>
      <c r="F112" s="186">
        <v>0</v>
      </c>
    </row>
    <row r="113" spans="1:6" ht="12.95" hidden="1" customHeight="1" outlineLevel="1">
      <c r="A113" s="33" t="s">
        <v>1089</v>
      </c>
      <c r="B113" s="33">
        <v>812</v>
      </c>
      <c r="C113" s="40" t="str">
        <f t="shared" si="4"/>
        <v>Amortizations812</v>
      </c>
      <c r="D113" s="104">
        <f t="shared" si="5"/>
        <v>0</v>
      </c>
      <c r="E113" s="186">
        <v>0</v>
      </c>
      <c r="F113" s="186">
        <v>0</v>
      </c>
    </row>
    <row r="114" spans="1:6" ht="12.95" hidden="1" customHeight="1" outlineLevel="1">
      <c r="A114" s="33" t="s">
        <v>1089</v>
      </c>
      <c r="B114" s="33">
        <v>870</v>
      </c>
      <c r="C114" s="40" t="str">
        <f t="shared" si="4"/>
        <v>Amortizations870</v>
      </c>
      <c r="D114" s="104">
        <f t="shared" si="5"/>
        <v>0</v>
      </c>
      <c r="E114" s="186">
        <v>0</v>
      </c>
      <c r="F114" s="186">
        <v>0</v>
      </c>
    </row>
    <row r="115" spans="1:6" ht="12.95" hidden="1" customHeight="1" outlineLevel="1">
      <c r="A115" s="33" t="s">
        <v>1089</v>
      </c>
      <c r="B115" s="33">
        <v>871</v>
      </c>
      <c r="C115" s="40" t="str">
        <f t="shared" si="4"/>
        <v>Amortizations871</v>
      </c>
      <c r="D115" s="104">
        <f t="shared" si="5"/>
        <v>0</v>
      </c>
      <c r="E115" s="186">
        <v>0</v>
      </c>
      <c r="F115" s="186">
        <v>0</v>
      </c>
    </row>
    <row r="116" spans="1:6" ht="12.95" hidden="1" customHeight="1" outlineLevel="1">
      <c r="A116" s="33" t="s">
        <v>1089</v>
      </c>
      <c r="B116" s="33">
        <v>874</v>
      </c>
      <c r="C116" s="40" t="str">
        <f t="shared" si="4"/>
        <v>Amortizations874</v>
      </c>
      <c r="D116" s="104">
        <f t="shared" si="5"/>
        <v>0</v>
      </c>
      <c r="E116" s="186">
        <v>0</v>
      </c>
      <c r="F116" s="186">
        <v>0</v>
      </c>
    </row>
    <row r="117" spans="1:6" ht="12.95" hidden="1" customHeight="1" outlineLevel="1">
      <c r="A117" s="33" t="s">
        <v>1089</v>
      </c>
      <c r="B117" s="33">
        <v>875</v>
      </c>
      <c r="C117" s="40" t="str">
        <f t="shared" si="4"/>
        <v>Amortizations875</v>
      </c>
      <c r="D117" s="104">
        <f t="shared" si="5"/>
        <v>0</v>
      </c>
      <c r="E117" s="186">
        <v>0</v>
      </c>
      <c r="F117" s="186">
        <v>0</v>
      </c>
    </row>
    <row r="118" spans="1:6" ht="12.95" hidden="1" customHeight="1" outlineLevel="1">
      <c r="A118" s="33" t="s">
        <v>1089</v>
      </c>
      <c r="B118" s="33">
        <v>876</v>
      </c>
      <c r="C118" s="40" t="str">
        <f t="shared" si="4"/>
        <v>Amortizations876</v>
      </c>
      <c r="D118" s="104">
        <f t="shared" si="5"/>
        <v>0</v>
      </c>
      <c r="E118" s="186">
        <v>0</v>
      </c>
      <c r="F118" s="186">
        <v>0</v>
      </c>
    </row>
    <row r="119" spans="1:6" ht="12.95" hidden="1" customHeight="1" outlineLevel="1">
      <c r="A119" s="33" t="s">
        <v>1089</v>
      </c>
      <c r="B119" s="33">
        <v>878</v>
      </c>
      <c r="C119" s="40" t="str">
        <f t="shared" si="4"/>
        <v>Amortizations878</v>
      </c>
      <c r="D119" s="104">
        <f t="shared" si="5"/>
        <v>0</v>
      </c>
      <c r="E119" s="186">
        <v>0</v>
      </c>
      <c r="F119" s="186">
        <v>0</v>
      </c>
    </row>
    <row r="120" spans="1:6" ht="12.95" hidden="1" customHeight="1" outlineLevel="1">
      <c r="A120" s="33" t="s">
        <v>1089</v>
      </c>
      <c r="B120" s="33">
        <v>879</v>
      </c>
      <c r="C120" s="40" t="str">
        <f t="shared" si="4"/>
        <v>Amortizations879</v>
      </c>
      <c r="D120" s="104">
        <f t="shared" si="5"/>
        <v>0</v>
      </c>
      <c r="E120" s="186">
        <v>0</v>
      </c>
      <c r="F120" s="186">
        <v>0</v>
      </c>
    </row>
    <row r="121" spans="1:6" ht="12.95" hidden="1" customHeight="1" outlineLevel="1">
      <c r="A121" s="33" t="s">
        <v>1089</v>
      </c>
      <c r="B121" s="33">
        <v>880</v>
      </c>
      <c r="C121" s="40" t="str">
        <f t="shared" si="4"/>
        <v>Amortizations880</v>
      </c>
      <c r="D121" s="104">
        <f t="shared" si="5"/>
        <v>0</v>
      </c>
      <c r="E121" s="186">
        <v>0</v>
      </c>
      <c r="F121" s="186">
        <v>0</v>
      </c>
    </row>
    <row r="122" spans="1:6" ht="12.95" hidden="1" customHeight="1" outlineLevel="1">
      <c r="A122" s="33" t="s">
        <v>1089</v>
      </c>
      <c r="B122" s="33">
        <v>881</v>
      </c>
      <c r="C122" s="40" t="str">
        <f t="shared" si="4"/>
        <v>Amortizations881</v>
      </c>
      <c r="D122" s="104">
        <f t="shared" si="5"/>
        <v>0</v>
      </c>
      <c r="E122" s="186">
        <v>0</v>
      </c>
      <c r="F122" s="186">
        <v>0</v>
      </c>
    </row>
    <row r="123" spans="1:6" ht="12.95" hidden="1" customHeight="1" outlineLevel="1">
      <c r="A123" s="33" t="s">
        <v>1089</v>
      </c>
      <c r="B123" s="33">
        <v>885</v>
      </c>
      <c r="C123" s="40" t="str">
        <f t="shared" si="4"/>
        <v>Amortizations885</v>
      </c>
      <c r="D123" s="104">
        <f t="shared" si="5"/>
        <v>0</v>
      </c>
      <c r="E123" s="186">
        <v>0</v>
      </c>
      <c r="F123" s="186">
        <v>0</v>
      </c>
    </row>
    <row r="124" spans="1:6" ht="12.95" hidden="1" customHeight="1" outlineLevel="1">
      <c r="A124" s="33" t="s">
        <v>1089</v>
      </c>
      <c r="B124" s="33">
        <v>886</v>
      </c>
      <c r="C124" s="40" t="str">
        <f t="shared" si="4"/>
        <v>Amortizations886</v>
      </c>
      <c r="D124" s="104">
        <f t="shared" si="5"/>
        <v>0</v>
      </c>
      <c r="E124" s="186">
        <v>0</v>
      </c>
      <c r="F124" s="186">
        <v>0</v>
      </c>
    </row>
    <row r="125" spans="1:6" ht="12.95" hidden="1" customHeight="1" outlineLevel="1">
      <c r="A125" s="33" t="s">
        <v>1089</v>
      </c>
      <c r="B125" s="33">
        <v>887</v>
      </c>
      <c r="C125" s="40" t="str">
        <f t="shared" si="4"/>
        <v>Amortizations887</v>
      </c>
      <c r="D125" s="104">
        <f t="shared" si="5"/>
        <v>0</v>
      </c>
      <c r="E125" s="186">
        <v>0</v>
      </c>
      <c r="F125" s="186">
        <v>0</v>
      </c>
    </row>
    <row r="126" spans="1:6" ht="12.95" hidden="1" customHeight="1" outlineLevel="1">
      <c r="A126" s="33" t="s">
        <v>1089</v>
      </c>
      <c r="B126" s="33">
        <v>889</v>
      </c>
      <c r="C126" s="40" t="str">
        <f t="shared" si="4"/>
        <v>Amortizations889</v>
      </c>
      <c r="D126" s="104">
        <f t="shared" si="5"/>
        <v>0</v>
      </c>
      <c r="E126" s="186">
        <v>0</v>
      </c>
      <c r="F126" s="186">
        <v>0</v>
      </c>
    </row>
    <row r="127" spans="1:6" ht="12.95" hidden="1" customHeight="1" outlineLevel="1">
      <c r="A127" s="33" t="s">
        <v>1089</v>
      </c>
      <c r="B127" s="33">
        <v>890</v>
      </c>
      <c r="C127" s="40" t="str">
        <f t="shared" si="4"/>
        <v>Amortizations890</v>
      </c>
      <c r="D127" s="104">
        <f t="shared" si="5"/>
        <v>0</v>
      </c>
      <c r="E127" s="186">
        <v>0</v>
      </c>
      <c r="F127" s="186">
        <v>0</v>
      </c>
    </row>
    <row r="128" spans="1:6" ht="12.95" hidden="1" customHeight="1" outlineLevel="1">
      <c r="A128" s="33" t="s">
        <v>1089</v>
      </c>
      <c r="B128" s="33">
        <v>892</v>
      </c>
      <c r="C128" s="40" t="str">
        <f t="shared" si="4"/>
        <v>Amortizations892</v>
      </c>
      <c r="D128" s="104">
        <f t="shared" si="5"/>
        <v>0</v>
      </c>
      <c r="E128" s="186">
        <v>0</v>
      </c>
      <c r="F128" s="186">
        <v>0</v>
      </c>
    </row>
    <row r="129" spans="1:6" ht="12.95" hidden="1" customHeight="1" outlineLevel="1">
      <c r="A129" s="33" t="s">
        <v>1089</v>
      </c>
      <c r="B129" s="33">
        <v>893</v>
      </c>
      <c r="C129" s="40" t="str">
        <f t="shared" si="4"/>
        <v>Amortizations893</v>
      </c>
      <c r="D129" s="104">
        <f t="shared" si="5"/>
        <v>0</v>
      </c>
      <c r="E129" s="186">
        <v>0</v>
      </c>
      <c r="F129" s="186">
        <v>0</v>
      </c>
    </row>
    <row r="130" spans="1:6" ht="12.95" hidden="1" customHeight="1" outlineLevel="1">
      <c r="A130" s="33" t="s">
        <v>1089</v>
      </c>
      <c r="B130" s="33">
        <v>894</v>
      </c>
      <c r="C130" s="40" t="str">
        <f t="shared" si="4"/>
        <v>Amortizations894</v>
      </c>
      <c r="D130" s="104">
        <f t="shared" si="5"/>
        <v>0</v>
      </c>
      <c r="E130" s="186">
        <v>0</v>
      </c>
      <c r="F130" s="186">
        <v>0</v>
      </c>
    </row>
    <row r="131" spans="1:6" ht="12.95" hidden="1" customHeight="1" outlineLevel="1">
      <c r="A131" s="33" t="s">
        <v>1089</v>
      </c>
      <c r="B131" s="33">
        <v>902</v>
      </c>
      <c r="C131" s="40" t="str">
        <f t="shared" si="4"/>
        <v>Amortizations902</v>
      </c>
      <c r="D131" s="104">
        <f t="shared" si="5"/>
        <v>0</v>
      </c>
      <c r="E131" s="186">
        <v>0</v>
      </c>
      <c r="F131" s="186">
        <v>0</v>
      </c>
    </row>
    <row r="132" spans="1:6" ht="12.95" hidden="1" customHeight="1" outlineLevel="1">
      <c r="A132" s="33" t="s">
        <v>1089</v>
      </c>
      <c r="B132" s="33">
        <v>903</v>
      </c>
      <c r="C132" s="40" t="str">
        <f t="shared" si="4"/>
        <v>Amortizations903</v>
      </c>
      <c r="D132" s="104">
        <f t="shared" si="5"/>
        <v>0</v>
      </c>
      <c r="E132" s="186">
        <v>0</v>
      </c>
      <c r="F132" s="186">
        <v>0</v>
      </c>
    </row>
    <row r="133" spans="1:6" ht="12.95" hidden="1" customHeight="1" outlineLevel="1">
      <c r="A133" s="33" t="s">
        <v>1089</v>
      </c>
      <c r="B133" s="33">
        <v>904</v>
      </c>
      <c r="C133" s="40" t="str">
        <f t="shared" si="4"/>
        <v>Amortizations904</v>
      </c>
      <c r="D133" s="104">
        <f t="shared" si="5"/>
        <v>0</v>
      </c>
      <c r="E133" s="186">
        <v>0</v>
      </c>
      <c r="F133" s="186">
        <v>0</v>
      </c>
    </row>
    <row r="134" spans="1:6" ht="12.95" hidden="1" customHeight="1" outlineLevel="1">
      <c r="A134" s="33" t="s">
        <v>1089</v>
      </c>
      <c r="B134" s="33">
        <v>905</v>
      </c>
      <c r="C134" s="40" t="str">
        <f t="shared" si="4"/>
        <v>Amortizations905</v>
      </c>
      <c r="D134" s="104">
        <f t="shared" si="5"/>
        <v>0</v>
      </c>
      <c r="E134" s="186">
        <v>0</v>
      </c>
      <c r="F134" s="186">
        <v>0</v>
      </c>
    </row>
    <row r="135" spans="1:6" ht="12.95" hidden="1" customHeight="1" outlineLevel="1">
      <c r="A135" s="33" t="s">
        <v>1089</v>
      </c>
      <c r="B135" s="33">
        <v>907</v>
      </c>
      <c r="C135" s="40" t="str">
        <f t="shared" si="4"/>
        <v>Amortizations907</v>
      </c>
      <c r="D135" s="104">
        <f t="shared" si="5"/>
        <v>0</v>
      </c>
      <c r="E135" s="186">
        <v>0</v>
      </c>
      <c r="F135" s="186">
        <v>0</v>
      </c>
    </row>
    <row r="136" spans="1:6" ht="12.95" hidden="1" customHeight="1" outlineLevel="1">
      <c r="A136" s="33" t="s">
        <v>1089</v>
      </c>
      <c r="B136" s="33">
        <v>908</v>
      </c>
      <c r="C136" s="40" t="str">
        <f t="shared" si="4"/>
        <v>Amortizations908</v>
      </c>
      <c r="D136" s="104">
        <f t="shared" si="5"/>
        <v>0</v>
      </c>
      <c r="E136" s="186">
        <v>0</v>
      </c>
      <c r="F136" s="186">
        <v>0</v>
      </c>
    </row>
    <row r="137" spans="1:6" ht="12.95" hidden="1" customHeight="1" outlineLevel="1">
      <c r="A137" s="33" t="s">
        <v>1089</v>
      </c>
      <c r="B137" s="33">
        <v>909</v>
      </c>
      <c r="C137" s="40" t="str">
        <f t="shared" si="4"/>
        <v>Amortizations909</v>
      </c>
      <c r="D137" s="104">
        <f t="shared" si="5"/>
        <v>0</v>
      </c>
      <c r="E137" s="186">
        <v>0</v>
      </c>
      <c r="F137" s="186">
        <v>0</v>
      </c>
    </row>
    <row r="138" spans="1:6" ht="12.95" hidden="1" customHeight="1" outlineLevel="1">
      <c r="A138" s="33" t="s">
        <v>1089</v>
      </c>
      <c r="B138" s="33">
        <v>910</v>
      </c>
      <c r="C138" s="40" t="str">
        <f t="shared" si="4"/>
        <v>Amortizations910</v>
      </c>
      <c r="D138" s="104">
        <f t="shared" si="5"/>
        <v>0</v>
      </c>
      <c r="E138" s="186">
        <v>0</v>
      </c>
      <c r="F138" s="186">
        <v>0</v>
      </c>
    </row>
    <row r="139" spans="1:6" ht="12.95" hidden="1" customHeight="1" outlineLevel="1">
      <c r="A139" s="33" t="s">
        <v>1089</v>
      </c>
      <c r="B139" s="33">
        <v>911</v>
      </c>
      <c r="C139" s="40" t="str">
        <f t="shared" si="4"/>
        <v>Amortizations911</v>
      </c>
      <c r="D139" s="104">
        <f t="shared" si="5"/>
        <v>0</v>
      </c>
      <c r="E139" s="186">
        <v>0</v>
      </c>
      <c r="F139" s="186">
        <v>0</v>
      </c>
    </row>
    <row r="140" spans="1:6" ht="12.95" hidden="1" customHeight="1" outlineLevel="1">
      <c r="A140" s="33" t="s">
        <v>1089</v>
      </c>
      <c r="B140" s="33">
        <v>912</v>
      </c>
      <c r="C140" s="40" t="str">
        <f t="shared" si="4"/>
        <v>Amortizations912</v>
      </c>
      <c r="D140" s="104">
        <f t="shared" si="5"/>
        <v>0</v>
      </c>
      <c r="E140" s="186">
        <v>0</v>
      </c>
      <c r="F140" s="186">
        <v>0</v>
      </c>
    </row>
    <row r="141" spans="1:6" ht="12.95" hidden="1" customHeight="1" outlineLevel="1">
      <c r="A141" s="33" t="s">
        <v>1089</v>
      </c>
      <c r="B141" s="33">
        <v>913</v>
      </c>
      <c r="C141" s="40" t="str">
        <f t="shared" si="4"/>
        <v>Amortizations913</v>
      </c>
      <c r="D141" s="104">
        <f t="shared" si="5"/>
        <v>0</v>
      </c>
      <c r="E141" s="186">
        <v>0</v>
      </c>
      <c r="F141" s="186">
        <v>0</v>
      </c>
    </row>
    <row r="142" spans="1:6" ht="12.95" hidden="1" customHeight="1" outlineLevel="1">
      <c r="A142" s="33" t="s">
        <v>1089</v>
      </c>
      <c r="B142" s="33">
        <v>920</v>
      </c>
      <c r="C142" s="40" t="str">
        <f t="shared" si="4"/>
        <v>Amortizations920</v>
      </c>
      <c r="D142" s="104">
        <f t="shared" si="5"/>
        <v>0</v>
      </c>
      <c r="E142" s="186">
        <v>0</v>
      </c>
      <c r="F142" s="186">
        <v>0</v>
      </c>
    </row>
    <row r="143" spans="1:6" ht="12.95" hidden="1" customHeight="1" outlineLevel="1">
      <c r="A143" s="33" t="s">
        <v>1089</v>
      </c>
      <c r="B143" s="33">
        <v>921</v>
      </c>
      <c r="C143" s="40" t="str">
        <f t="shared" si="4"/>
        <v>Amortizations921</v>
      </c>
      <c r="D143" s="104">
        <f t="shared" si="5"/>
        <v>0</v>
      </c>
      <c r="E143" s="186">
        <v>11318.039999999999</v>
      </c>
      <c r="F143" s="186">
        <v>11318.039999999999</v>
      </c>
    </row>
    <row r="144" spans="1:6" ht="12.95" hidden="1" customHeight="1" outlineLevel="1">
      <c r="A144" s="33" t="s">
        <v>1089</v>
      </c>
      <c r="B144" s="33">
        <v>923</v>
      </c>
      <c r="C144" s="40" t="str">
        <f t="shared" si="4"/>
        <v>Amortizations923</v>
      </c>
      <c r="D144" s="104">
        <f t="shared" si="5"/>
        <v>0</v>
      </c>
      <c r="E144" s="186">
        <v>0</v>
      </c>
      <c r="F144" s="186">
        <v>0</v>
      </c>
    </row>
    <row r="145" spans="1:6" ht="12.95" hidden="1" customHeight="1" outlineLevel="1">
      <c r="A145" s="33" t="s">
        <v>1089</v>
      </c>
      <c r="B145" s="33">
        <v>924</v>
      </c>
      <c r="C145" s="40" t="str">
        <f t="shared" si="4"/>
        <v>Amortizations924</v>
      </c>
      <c r="D145" s="104">
        <f t="shared" si="5"/>
        <v>0</v>
      </c>
      <c r="E145" s="186">
        <v>0</v>
      </c>
      <c r="F145" s="186">
        <v>0</v>
      </c>
    </row>
    <row r="146" spans="1:6" ht="12.95" hidden="1" customHeight="1" outlineLevel="1">
      <c r="A146" s="33" t="s">
        <v>1089</v>
      </c>
      <c r="B146" s="33">
        <v>925</v>
      </c>
      <c r="C146" s="40" t="str">
        <f t="shared" si="4"/>
        <v>Amortizations925</v>
      </c>
      <c r="D146" s="104">
        <f t="shared" si="5"/>
        <v>0</v>
      </c>
      <c r="E146" s="186">
        <v>0</v>
      </c>
      <c r="F146" s="186">
        <v>0</v>
      </c>
    </row>
    <row r="147" spans="1:6" ht="12.95" hidden="1" customHeight="1" outlineLevel="1">
      <c r="A147" s="33" t="s">
        <v>1089</v>
      </c>
      <c r="B147" s="33">
        <v>926</v>
      </c>
      <c r="C147" s="40" t="str">
        <f t="shared" si="4"/>
        <v>Amortizations926</v>
      </c>
      <c r="D147" s="104">
        <f t="shared" si="5"/>
        <v>0</v>
      </c>
      <c r="E147" s="186">
        <v>0</v>
      </c>
      <c r="F147" s="186">
        <v>0</v>
      </c>
    </row>
    <row r="148" spans="1:6" ht="12.95" hidden="1" customHeight="1" outlineLevel="1">
      <c r="A148" s="33" t="s">
        <v>1089</v>
      </c>
      <c r="B148" s="33">
        <v>928</v>
      </c>
      <c r="C148" s="40" t="str">
        <f t="shared" si="4"/>
        <v>Amortizations928</v>
      </c>
      <c r="D148" s="104">
        <f t="shared" si="5"/>
        <v>-0.23999999999068677</v>
      </c>
      <c r="E148" s="186">
        <v>185185.19999999995</v>
      </c>
      <c r="F148" s="186">
        <v>185184.95999999996</v>
      </c>
    </row>
    <row r="149" spans="1:6" ht="12.95" hidden="1" customHeight="1" outlineLevel="1">
      <c r="A149" s="33" t="s">
        <v>1089</v>
      </c>
      <c r="B149" s="33">
        <v>9301</v>
      </c>
      <c r="C149" s="40" t="str">
        <f t="shared" si="4"/>
        <v>Amortizations9301</v>
      </c>
      <c r="D149" s="104">
        <f t="shared" si="5"/>
        <v>0</v>
      </c>
      <c r="E149" s="186">
        <v>0</v>
      </c>
      <c r="F149" s="186">
        <v>0</v>
      </c>
    </row>
    <row r="150" spans="1:6" ht="12.95" hidden="1" customHeight="1" outlineLevel="1">
      <c r="A150" s="33" t="s">
        <v>1089</v>
      </c>
      <c r="B150" s="33">
        <v>9302</v>
      </c>
      <c r="C150" s="40" t="str">
        <f t="shared" si="4"/>
        <v>Amortizations9302</v>
      </c>
      <c r="D150" s="104">
        <f t="shared" si="5"/>
        <v>0</v>
      </c>
      <c r="E150" s="186">
        <v>0</v>
      </c>
      <c r="F150" s="186">
        <v>0</v>
      </c>
    </row>
    <row r="151" spans="1:6" ht="12.95" hidden="1" customHeight="1" outlineLevel="1">
      <c r="A151" s="33" t="s">
        <v>1089</v>
      </c>
      <c r="B151" s="33">
        <v>931</v>
      </c>
      <c r="C151" s="40" t="str">
        <f t="shared" si="4"/>
        <v>Amortizations931</v>
      </c>
      <c r="D151" s="104">
        <f t="shared" si="5"/>
        <v>0</v>
      </c>
      <c r="E151" s="186">
        <v>0</v>
      </c>
      <c r="F151" s="186">
        <v>0</v>
      </c>
    </row>
    <row r="152" spans="1:6" ht="12.95" hidden="1" customHeight="1" outlineLevel="1">
      <c r="A152" s="33" t="s">
        <v>1089</v>
      </c>
      <c r="B152" s="33">
        <v>932</v>
      </c>
      <c r="C152" s="40" t="str">
        <f t="shared" si="4"/>
        <v>Amortizations932</v>
      </c>
      <c r="D152" s="104">
        <f t="shared" si="5"/>
        <v>0</v>
      </c>
      <c r="E152" s="186">
        <v>0</v>
      </c>
      <c r="F152" s="186">
        <v>0</v>
      </c>
    </row>
    <row r="153" spans="1:6" ht="12.95" hidden="1" customHeight="1" outlineLevel="1">
      <c r="A153" s="1043" t="s">
        <v>1089</v>
      </c>
      <c r="B153" s="33">
        <v>935</v>
      </c>
      <c r="C153" s="40" t="str">
        <f t="shared" si="4"/>
        <v>Amortizations935</v>
      </c>
      <c r="D153" s="104">
        <f t="shared" si="5"/>
        <v>0</v>
      </c>
      <c r="E153" s="186">
        <v>0</v>
      </c>
      <c r="F153" s="186">
        <v>0</v>
      </c>
    </row>
    <row r="154" spans="1:6" s="13" customFormat="1" collapsed="1">
      <c r="A154" s="14" t="s">
        <v>1089</v>
      </c>
      <c r="D154" s="193">
        <f>SUM(D106:D153)</f>
        <v>-0.23999999999068677</v>
      </c>
      <c r="E154" s="193">
        <f>SUM(E106:E153)</f>
        <v>196503.23999999996</v>
      </c>
      <c r="F154" s="193">
        <f>SUM(F106:F153)</f>
        <v>196502.99999999997</v>
      </c>
    </row>
    <row r="155" spans="1:6" ht="12.95" hidden="1" customHeight="1" outlineLevel="1">
      <c r="A155" s="33" t="s">
        <v>1090</v>
      </c>
      <c r="B155" s="33">
        <v>801</v>
      </c>
      <c r="C155" s="40" t="str">
        <f t="shared" ref="C155:C202" si="6">A155&amp;B155</f>
        <v>Audit Fees801</v>
      </c>
      <c r="D155" s="104">
        <f t="shared" ref="D155:D202" si="7">+F155-E155</f>
        <v>0</v>
      </c>
      <c r="E155" s="186">
        <v>0</v>
      </c>
      <c r="F155" s="186">
        <v>0</v>
      </c>
    </row>
    <row r="156" spans="1:6" ht="12.95" hidden="1" customHeight="1" outlineLevel="1">
      <c r="A156" s="33" t="s">
        <v>1090</v>
      </c>
      <c r="B156" s="33">
        <v>803</v>
      </c>
      <c r="C156" s="40" t="str">
        <f t="shared" si="6"/>
        <v>Audit Fees803</v>
      </c>
      <c r="D156" s="104">
        <f t="shared" si="7"/>
        <v>0</v>
      </c>
      <c r="E156" s="186">
        <v>0</v>
      </c>
      <c r="F156" s="186">
        <v>0</v>
      </c>
    </row>
    <row r="157" spans="1:6" ht="12.95" hidden="1" customHeight="1" outlineLevel="1">
      <c r="A157" s="33" t="s">
        <v>1090</v>
      </c>
      <c r="B157" s="33">
        <v>804</v>
      </c>
      <c r="C157" s="40" t="str">
        <f t="shared" si="6"/>
        <v>Audit Fees804</v>
      </c>
      <c r="D157" s="104">
        <f t="shared" si="7"/>
        <v>0</v>
      </c>
      <c r="E157" s="186">
        <v>0</v>
      </c>
      <c r="F157" s="186">
        <v>0</v>
      </c>
    </row>
    <row r="158" spans="1:6" ht="12.95" hidden="1" customHeight="1" outlineLevel="1">
      <c r="A158" s="33" t="s">
        <v>1090</v>
      </c>
      <c r="B158" s="33">
        <v>805</v>
      </c>
      <c r="C158" s="40" t="str">
        <f t="shared" si="6"/>
        <v>Audit Fees805</v>
      </c>
      <c r="D158" s="104">
        <f t="shared" si="7"/>
        <v>0</v>
      </c>
      <c r="E158" s="186">
        <v>0</v>
      </c>
      <c r="F158" s="186">
        <v>0</v>
      </c>
    </row>
    <row r="159" spans="1:6" ht="12.95" hidden="1" customHeight="1" outlineLevel="1">
      <c r="A159" s="33" t="s">
        <v>1090</v>
      </c>
      <c r="B159" s="33">
        <v>806</v>
      </c>
      <c r="C159" s="40" t="str">
        <f t="shared" si="6"/>
        <v>Audit Fees806</v>
      </c>
      <c r="D159" s="104">
        <f t="shared" si="7"/>
        <v>0</v>
      </c>
      <c r="E159" s="186">
        <v>0</v>
      </c>
      <c r="F159" s="186">
        <v>0</v>
      </c>
    </row>
    <row r="160" spans="1:6" ht="12.95" hidden="1" customHeight="1" outlineLevel="1">
      <c r="A160" s="33" t="s">
        <v>1090</v>
      </c>
      <c r="B160" s="33">
        <v>807</v>
      </c>
      <c r="C160" s="40" t="str">
        <f t="shared" si="6"/>
        <v>Audit Fees807</v>
      </c>
      <c r="D160" s="104">
        <f t="shared" si="7"/>
        <v>0</v>
      </c>
      <c r="E160" s="186">
        <v>0</v>
      </c>
      <c r="F160" s="186">
        <v>0</v>
      </c>
    </row>
    <row r="161" spans="1:6" ht="12.95" hidden="1" customHeight="1" outlineLevel="1">
      <c r="A161" s="33" t="s">
        <v>1090</v>
      </c>
      <c r="B161" s="33">
        <v>808</v>
      </c>
      <c r="C161" s="40" t="str">
        <f t="shared" si="6"/>
        <v>Audit Fees808</v>
      </c>
      <c r="D161" s="104">
        <f t="shared" si="7"/>
        <v>0</v>
      </c>
      <c r="E161" s="186">
        <v>0</v>
      </c>
      <c r="F161" s="186">
        <v>0</v>
      </c>
    </row>
    <row r="162" spans="1:6" ht="12.95" hidden="1" customHeight="1" outlineLevel="1">
      <c r="A162" s="33" t="s">
        <v>1090</v>
      </c>
      <c r="B162" s="33">
        <v>812</v>
      </c>
      <c r="C162" s="40" t="str">
        <f t="shared" si="6"/>
        <v>Audit Fees812</v>
      </c>
      <c r="D162" s="104">
        <f t="shared" si="7"/>
        <v>0</v>
      </c>
      <c r="E162" s="186">
        <v>0</v>
      </c>
      <c r="F162" s="186">
        <v>0</v>
      </c>
    </row>
    <row r="163" spans="1:6" ht="12.95" hidden="1" customHeight="1" outlineLevel="1">
      <c r="A163" s="33" t="s">
        <v>1090</v>
      </c>
      <c r="B163" s="33">
        <v>870</v>
      </c>
      <c r="C163" s="40" t="str">
        <f t="shared" si="6"/>
        <v>Audit Fees870</v>
      </c>
      <c r="D163" s="104">
        <f t="shared" si="7"/>
        <v>0</v>
      </c>
      <c r="E163" s="186">
        <v>0</v>
      </c>
      <c r="F163" s="186">
        <v>0</v>
      </c>
    </row>
    <row r="164" spans="1:6" ht="12.95" hidden="1" customHeight="1" outlineLevel="1">
      <c r="A164" s="33" t="s">
        <v>1090</v>
      </c>
      <c r="B164" s="33">
        <v>871</v>
      </c>
      <c r="C164" s="40" t="str">
        <f t="shared" si="6"/>
        <v>Audit Fees871</v>
      </c>
      <c r="D164" s="104">
        <f t="shared" si="7"/>
        <v>0</v>
      </c>
      <c r="E164" s="186">
        <v>0</v>
      </c>
      <c r="F164" s="186">
        <v>0</v>
      </c>
    </row>
    <row r="165" spans="1:6" ht="12.95" hidden="1" customHeight="1" outlineLevel="1">
      <c r="A165" s="33" t="s">
        <v>1090</v>
      </c>
      <c r="B165" s="33">
        <v>874</v>
      </c>
      <c r="C165" s="40" t="str">
        <f t="shared" si="6"/>
        <v>Audit Fees874</v>
      </c>
      <c r="D165" s="104">
        <f t="shared" si="7"/>
        <v>0</v>
      </c>
      <c r="E165" s="186">
        <v>0</v>
      </c>
      <c r="F165" s="186">
        <v>0</v>
      </c>
    </row>
    <row r="166" spans="1:6" ht="12.95" hidden="1" customHeight="1" outlineLevel="1">
      <c r="A166" s="33" t="s">
        <v>1090</v>
      </c>
      <c r="B166" s="33">
        <v>875</v>
      </c>
      <c r="C166" s="40" t="str">
        <f t="shared" si="6"/>
        <v>Audit Fees875</v>
      </c>
      <c r="D166" s="104">
        <f t="shared" si="7"/>
        <v>0</v>
      </c>
      <c r="E166" s="186">
        <v>0</v>
      </c>
      <c r="F166" s="186">
        <v>0</v>
      </c>
    </row>
    <row r="167" spans="1:6" ht="12.95" hidden="1" customHeight="1" outlineLevel="1">
      <c r="A167" s="33" t="s">
        <v>1090</v>
      </c>
      <c r="B167" s="33">
        <v>876</v>
      </c>
      <c r="C167" s="40" t="str">
        <f t="shared" si="6"/>
        <v>Audit Fees876</v>
      </c>
      <c r="D167" s="104">
        <f t="shared" si="7"/>
        <v>0</v>
      </c>
      <c r="E167" s="186">
        <v>0</v>
      </c>
      <c r="F167" s="186">
        <v>0</v>
      </c>
    </row>
    <row r="168" spans="1:6" ht="12.95" hidden="1" customHeight="1" outlineLevel="1">
      <c r="A168" s="33" t="s">
        <v>1090</v>
      </c>
      <c r="B168" s="33">
        <v>878</v>
      </c>
      <c r="C168" s="40" t="str">
        <f t="shared" si="6"/>
        <v>Audit Fees878</v>
      </c>
      <c r="D168" s="104">
        <f t="shared" si="7"/>
        <v>0</v>
      </c>
      <c r="E168" s="186">
        <v>0</v>
      </c>
      <c r="F168" s="186">
        <v>0</v>
      </c>
    </row>
    <row r="169" spans="1:6" ht="12.95" hidden="1" customHeight="1" outlineLevel="1">
      <c r="A169" s="33" t="s">
        <v>1090</v>
      </c>
      <c r="B169" s="33">
        <v>879</v>
      </c>
      <c r="C169" s="40" t="str">
        <f t="shared" si="6"/>
        <v>Audit Fees879</v>
      </c>
      <c r="D169" s="104">
        <f t="shared" si="7"/>
        <v>0</v>
      </c>
      <c r="E169" s="186">
        <v>0</v>
      </c>
      <c r="F169" s="186">
        <v>0</v>
      </c>
    </row>
    <row r="170" spans="1:6" ht="12.95" hidden="1" customHeight="1" outlineLevel="1">
      <c r="A170" s="33" t="s">
        <v>1090</v>
      </c>
      <c r="B170" s="33">
        <v>880</v>
      </c>
      <c r="C170" s="40" t="str">
        <f t="shared" si="6"/>
        <v>Audit Fees880</v>
      </c>
      <c r="D170" s="104">
        <f t="shared" si="7"/>
        <v>0</v>
      </c>
      <c r="E170" s="186">
        <v>0</v>
      </c>
      <c r="F170" s="186">
        <v>0</v>
      </c>
    </row>
    <row r="171" spans="1:6" ht="12.95" hidden="1" customHeight="1" outlineLevel="1">
      <c r="A171" s="33" t="s">
        <v>1090</v>
      </c>
      <c r="B171" s="33">
        <v>881</v>
      </c>
      <c r="C171" s="40" t="str">
        <f t="shared" si="6"/>
        <v>Audit Fees881</v>
      </c>
      <c r="D171" s="104">
        <f t="shared" si="7"/>
        <v>0</v>
      </c>
      <c r="E171" s="186">
        <v>0</v>
      </c>
      <c r="F171" s="186">
        <v>0</v>
      </c>
    </row>
    <row r="172" spans="1:6" ht="12.95" hidden="1" customHeight="1" outlineLevel="1">
      <c r="A172" s="33" t="s">
        <v>1090</v>
      </c>
      <c r="B172" s="33">
        <v>885</v>
      </c>
      <c r="C172" s="40" t="str">
        <f t="shared" si="6"/>
        <v>Audit Fees885</v>
      </c>
      <c r="D172" s="104">
        <f t="shared" si="7"/>
        <v>0</v>
      </c>
      <c r="E172" s="186">
        <v>0</v>
      </c>
      <c r="F172" s="186">
        <v>0</v>
      </c>
    </row>
    <row r="173" spans="1:6" ht="12.95" hidden="1" customHeight="1" outlineLevel="1">
      <c r="A173" s="33" t="s">
        <v>1090</v>
      </c>
      <c r="B173" s="33">
        <v>886</v>
      </c>
      <c r="C173" s="40" t="str">
        <f t="shared" si="6"/>
        <v>Audit Fees886</v>
      </c>
      <c r="D173" s="104">
        <f t="shared" si="7"/>
        <v>0</v>
      </c>
      <c r="E173" s="186">
        <v>0</v>
      </c>
      <c r="F173" s="186">
        <v>0</v>
      </c>
    </row>
    <row r="174" spans="1:6" ht="12.95" hidden="1" customHeight="1" outlineLevel="1">
      <c r="A174" s="33" t="s">
        <v>1090</v>
      </c>
      <c r="B174" s="33">
        <v>887</v>
      </c>
      <c r="C174" s="40" t="str">
        <f t="shared" si="6"/>
        <v>Audit Fees887</v>
      </c>
      <c r="D174" s="104">
        <f t="shared" si="7"/>
        <v>0</v>
      </c>
      <c r="E174" s="186">
        <v>0</v>
      </c>
      <c r="F174" s="186">
        <v>0</v>
      </c>
    </row>
    <row r="175" spans="1:6" ht="12.95" hidden="1" customHeight="1" outlineLevel="1">
      <c r="A175" s="33" t="s">
        <v>1090</v>
      </c>
      <c r="B175" s="33">
        <v>889</v>
      </c>
      <c r="C175" s="40" t="str">
        <f t="shared" si="6"/>
        <v>Audit Fees889</v>
      </c>
      <c r="D175" s="104">
        <f t="shared" si="7"/>
        <v>0</v>
      </c>
      <c r="E175" s="186">
        <v>0</v>
      </c>
      <c r="F175" s="186">
        <v>0</v>
      </c>
    </row>
    <row r="176" spans="1:6" ht="12.95" hidden="1" customHeight="1" outlineLevel="1">
      <c r="A176" s="33" t="s">
        <v>1090</v>
      </c>
      <c r="B176" s="33">
        <v>890</v>
      </c>
      <c r="C176" s="40" t="str">
        <f t="shared" si="6"/>
        <v>Audit Fees890</v>
      </c>
      <c r="D176" s="104">
        <f t="shared" si="7"/>
        <v>0</v>
      </c>
      <c r="E176" s="186">
        <v>0</v>
      </c>
      <c r="F176" s="186">
        <v>0</v>
      </c>
    </row>
    <row r="177" spans="1:6" ht="12.95" hidden="1" customHeight="1" outlineLevel="1">
      <c r="A177" s="33" t="s">
        <v>1090</v>
      </c>
      <c r="B177" s="33">
        <v>892</v>
      </c>
      <c r="C177" s="40" t="str">
        <f t="shared" si="6"/>
        <v>Audit Fees892</v>
      </c>
      <c r="D177" s="104">
        <f t="shared" si="7"/>
        <v>0</v>
      </c>
      <c r="E177" s="186">
        <v>0</v>
      </c>
      <c r="F177" s="186">
        <v>0</v>
      </c>
    </row>
    <row r="178" spans="1:6" ht="12.95" hidden="1" customHeight="1" outlineLevel="1">
      <c r="A178" s="33" t="s">
        <v>1090</v>
      </c>
      <c r="B178" s="33">
        <v>893</v>
      </c>
      <c r="C178" s="40" t="str">
        <f t="shared" si="6"/>
        <v>Audit Fees893</v>
      </c>
      <c r="D178" s="104">
        <f t="shared" si="7"/>
        <v>0</v>
      </c>
      <c r="E178" s="186">
        <v>0</v>
      </c>
      <c r="F178" s="186">
        <v>0</v>
      </c>
    </row>
    <row r="179" spans="1:6" ht="12.95" hidden="1" customHeight="1" outlineLevel="1">
      <c r="A179" s="33" t="s">
        <v>1090</v>
      </c>
      <c r="B179" s="33">
        <v>894</v>
      </c>
      <c r="C179" s="40" t="str">
        <f t="shared" si="6"/>
        <v>Audit Fees894</v>
      </c>
      <c r="D179" s="104">
        <f t="shared" si="7"/>
        <v>0</v>
      </c>
      <c r="E179" s="186">
        <v>0</v>
      </c>
      <c r="F179" s="186">
        <v>0</v>
      </c>
    </row>
    <row r="180" spans="1:6" ht="12.95" hidden="1" customHeight="1" outlineLevel="1">
      <c r="A180" s="33" t="s">
        <v>1090</v>
      </c>
      <c r="B180" s="33">
        <v>902</v>
      </c>
      <c r="C180" s="40" t="str">
        <f t="shared" si="6"/>
        <v>Audit Fees902</v>
      </c>
      <c r="D180" s="104">
        <f t="shared" si="7"/>
        <v>0</v>
      </c>
      <c r="E180" s="186">
        <v>0</v>
      </c>
      <c r="F180" s="186">
        <v>0</v>
      </c>
    </row>
    <row r="181" spans="1:6" ht="12.95" hidden="1" customHeight="1" outlineLevel="1">
      <c r="A181" s="33" t="s">
        <v>1090</v>
      </c>
      <c r="B181" s="33">
        <v>903</v>
      </c>
      <c r="C181" s="40" t="str">
        <f t="shared" si="6"/>
        <v>Audit Fees903</v>
      </c>
      <c r="D181" s="104">
        <f t="shared" si="7"/>
        <v>0</v>
      </c>
      <c r="E181" s="186">
        <v>0</v>
      </c>
      <c r="F181" s="186">
        <v>0</v>
      </c>
    </row>
    <row r="182" spans="1:6" ht="12.95" hidden="1" customHeight="1" outlineLevel="1">
      <c r="A182" s="33" t="s">
        <v>1090</v>
      </c>
      <c r="B182" s="33">
        <v>904</v>
      </c>
      <c r="C182" s="40" t="str">
        <f t="shared" si="6"/>
        <v>Audit Fees904</v>
      </c>
      <c r="D182" s="104">
        <f t="shared" si="7"/>
        <v>0</v>
      </c>
      <c r="E182" s="186">
        <v>0</v>
      </c>
      <c r="F182" s="186">
        <v>0</v>
      </c>
    </row>
    <row r="183" spans="1:6" ht="12.95" hidden="1" customHeight="1" outlineLevel="1">
      <c r="A183" s="33" t="s">
        <v>1090</v>
      </c>
      <c r="B183" s="33">
        <v>905</v>
      </c>
      <c r="C183" s="40" t="str">
        <f t="shared" si="6"/>
        <v>Audit Fees905</v>
      </c>
      <c r="D183" s="104">
        <f t="shared" si="7"/>
        <v>0</v>
      </c>
      <c r="E183" s="186">
        <v>0</v>
      </c>
      <c r="F183" s="186">
        <v>0</v>
      </c>
    </row>
    <row r="184" spans="1:6" ht="12.95" hidden="1" customHeight="1" outlineLevel="1">
      <c r="A184" s="33" t="s">
        <v>1090</v>
      </c>
      <c r="B184" s="33">
        <v>907</v>
      </c>
      <c r="C184" s="40" t="str">
        <f t="shared" si="6"/>
        <v>Audit Fees907</v>
      </c>
      <c r="D184" s="104">
        <f t="shared" si="7"/>
        <v>0</v>
      </c>
      <c r="E184" s="186">
        <v>0</v>
      </c>
      <c r="F184" s="186">
        <v>0</v>
      </c>
    </row>
    <row r="185" spans="1:6" ht="12.95" hidden="1" customHeight="1" outlineLevel="1">
      <c r="A185" s="33" t="s">
        <v>1090</v>
      </c>
      <c r="B185" s="33">
        <v>908</v>
      </c>
      <c r="C185" s="40" t="str">
        <f t="shared" si="6"/>
        <v>Audit Fees908</v>
      </c>
      <c r="D185" s="104">
        <f t="shared" si="7"/>
        <v>0</v>
      </c>
      <c r="E185" s="186">
        <v>0</v>
      </c>
      <c r="F185" s="186">
        <v>0</v>
      </c>
    </row>
    <row r="186" spans="1:6" ht="12.95" hidden="1" customHeight="1" outlineLevel="1">
      <c r="A186" s="33" t="s">
        <v>1090</v>
      </c>
      <c r="B186" s="33">
        <v>909</v>
      </c>
      <c r="C186" s="40" t="str">
        <f t="shared" si="6"/>
        <v>Audit Fees909</v>
      </c>
      <c r="D186" s="104">
        <f t="shared" si="7"/>
        <v>0</v>
      </c>
      <c r="E186" s="186">
        <v>0</v>
      </c>
      <c r="F186" s="186">
        <v>0</v>
      </c>
    </row>
    <row r="187" spans="1:6" ht="12.95" hidden="1" customHeight="1" outlineLevel="1">
      <c r="A187" s="33" t="s">
        <v>1090</v>
      </c>
      <c r="B187" s="33">
        <v>910</v>
      </c>
      <c r="C187" s="40" t="str">
        <f t="shared" si="6"/>
        <v>Audit Fees910</v>
      </c>
      <c r="D187" s="104">
        <f t="shared" si="7"/>
        <v>0</v>
      </c>
      <c r="E187" s="186">
        <v>0</v>
      </c>
      <c r="F187" s="186">
        <v>0</v>
      </c>
    </row>
    <row r="188" spans="1:6" ht="12.95" hidden="1" customHeight="1" outlineLevel="1">
      <c r="A188" s="33" t="s">
        <v>1090</v>
      </c>
      <c r="B188" s="33">
        <v>911</v>
      </c>
      <c r="C188" s="40" t="str">
        <f t="shared" si="6"/>
        <v>Audit Fees911</v>
      </c>
      <c r="D188" s="104">
        <f t="shared" si="7"/>
        <v>0</v>
      </c>
      <c r="E188" s="186">
        <v>0</v>
      </c>
      <c r="F188" s="186">
        <v>0</v>
      </c>
    </row>
    <row r="189" spans="1:6" ht="12.95" hidden="1" customHeight="1" outlineLevel="1">
      <c r="A189" s="33" t="s">
        <v>1090</v>
      </c>
      <c r="B189" s="33">
        <v>912</v>
      </c>
      <c r="C189" s="40" t="str">
        <f t="shared" si="6"/>
        <v>Audit Fees912</v>
      </c>
      <c r="D189" s="104">
        <f t="shared" si="7"/>
        <v>0</v>
      </c>
      <c r="E189" s="186">
        <v>0</v>
      </c>
      <c r="F189" s="186">
        <v>0</v>
      </c>
    </row>
    <row r="190" spans="1:6" ht="12.95" hidden="1" customHeight="1" outlineLevel="1">
      <c r="A190" s="33" t="s">
        <v>1090</v>
      </c>
      <c r="B190" s="33">
        <v>913</v>
      </c>
      <c r="C190" s="40" t="str">
        <f t="shared" si="6"/>
        <v>Audit Fees913</v>
      </c>
      <c r="D190" s="104">
        <f t="shared" si="7"/>
        <v>0</v>
      </c>
      <c r="E190" s="186">
        <v>0</v>
      </c>
      <c r="F190" s="186">
        <v>0</v>
      </c>
    </row>
    <row r="191" spans="1:6" ht="12.95" hidden="1" customHeight="1" outlineLevel="1">
      <c r="A191" s="33" t="s">
        <v>1090</v>
      </c>
      <c r="B191" s="33">
        <v>920</v>
      </c>
      <c r="C191" s="40" t="str">
        <f t="shared" si="6"/>
        <v>Audit Fees920</v>
      </c>
      <c r="D191" s="104">
        <f t="shared" si="7"/>
        <v>0</v>
      </c>
      <c r="E191" s="186">
        <v>0</v>
      </c>
      <c r="F191" s="186">
        <v>0</v>
      </c>
    </row>
    <row r="192" spans="1:6" ht="12.95" hidden="1" customHeight="1" outlineLevel="1">
      <c r="A192" s="33" t="s">
        <v>1090</v>
      </c>
      <c r="B192" s="33">
        <v>921</v>
      </c>
      <c r="C192" s="40" t="str">
        <f t="shared" si="6"/>
        <v>Audit Fees921</v>
      </c>
      <c r="D192" s="104">
        <f t="shared" si="7"/>
        <v>0</v>
      </c>
      <c r="E192" s="186">
        <v>0</v>
      </c>
      <c r="F192" s="186">
        <v>0</v>
      </c>
    </row>
    <row r="193" spans="1:6" ht="12.95" hidden="1" customHeight="1" outlineLevel="1">
      <c r="A193" s="33" t="s">
        <v>1090</v>
      </c>
      <c r="B193" s="33">
        <v>923</v>
      </c>
      <c r="C193" s="40" t="str">
        <f t="shared" si="6"/>
        <v>Audit Fees923</v>
      </c>
      <c r="D193" s="104">
        <f t="shared" si="7"/>
        <v>2476.3000000000175</v>
      </c>
      <c r="E193" s="186">
        <v>204545.54000000004</v>
      </c>
      <c r="F193" s="186">
        <v>207021.84000000005</v>
      </c>
    </row>
    <row r="194" spans="1:6" ht="12.95" hidden="1" customHeight="1" outlineLevel="1">
      <c r="A194" s="33" t="s">
        <v>1090</v>
      </c>
      <c r="B194" s="33">
        <v>924</v>
      </c>
      <c r="C194" s="40" t="str">
        <f t="shared" si="6"/>
        <v>Audit Fees924</v>
      </c>
      <c r="D194" s="104">
        <f t="shared" si="7"/>
        <v>0</v>
      </c>
      <c r="E194" s="186">
        <v>0</v>
      </c>
      <c r="F194" s="186">
        <v>0</v>
      </c>
    </row>
    <row r="195" spans="1:6" ht="12.95" hidden="1" customHeight="1" outlineLevel="1">
      <c r="A195" s="33" t="s">
        <v>1090</v>
      </c>
      <c r="B195" s="33">
        <v>925</v>
      </c>
      <c r="C195" s="40" t="str">
        <f t="shared" si="6"/>
        <v>Audit Fees925</v>
      </c>
      <c r="D195" s="104">
        <f t="shared" si="7"/>
        <v>0</v>
      </c>
      <c r="E195" s="186">
        <v>0</v>
      </c>
      <c r="F195" s="186">
        <v>0</v>
      </c>
    </row>
    <row r="196" spans="1:6" ht="12.95" hidden="1" customHeight="1" outlineLevel="1">
      <c r="A196" s="33" t="s">
        <v>1090</v>
      </c>
      <c r="B196" s="33">
        <v>926</v>
      </c>
      <c r="C196" s="40" t="str">
        <f t="shared" si="6"/>
        <v>Audit Fees926</v>
      </c>
      <c r="D196" s="104">
        <f t="shared" si="7"/>
        <v>0</v>
      </c>
      <c r="E196" s="186">
        <v>0</v>
      </c>
      <c r="F196" s="186">
        <v>0</v>
      </c>
    </row>
    <row r="197" spans="1:6" ht="12.95" hidden="1" customHeight="1" outlineLevel="1">
      <c r="A197" s="33" t="s">
        <v>1090</v>
      </c>
      <c r="B197" s="33">
        <v>928</v>
      </c>
      <c r="C197" s="40" t="str">
        <f t="shared" si="6"/>
        <v>Audit Fees928</v>
      </c>
      <c r="D197" s="104">
        <f t="shared" si="7"/>
        <v>0</v>
      </c>
      <c r="E197" s="186">
        <v>0</v>
      </c>
      <c r="F197" s="186">
        <v>0</v>
      </c>
    </row>
    <row r="198" spans="1:6" ht="12.95" hidden="1" customHeight="1" outlineLevel="1">
      <c r="A198" s="33" t="s">
        <v>1090</v>
      </c>
      <c r="B198" s="33">
        <v>9301</v>
      </c>
      <c r="C198" s="40" t="str">
        <f t="shared" si="6"/>
        <v>Audit Fees9301</v>
      </c>
      <c r="D198" s="104">
        <f t="shared" si="7"/>
        <v>0</v>
      </c>
      <c r="E198" s="186">
        <v>0</v>
      </c>
      <c r="F198" s="186">
        <v>0</v>
      </c>
    </row>
    <row r="199" spans="1:6" ht="12.95" hidden="1" customHeight="1" outlineLevel="1">
      <c r="A199" s="33" t="s">
        <v>1090</v>
      </c>
      <c r="B199" s="33">
        <v>9302</v>
      </c>
      <c r="C199" s="40" t="str">
        <f t="shared" si="6"/>
        <v>Audit Fees9302</v>
      </c>
      <c r="D199" s="104">
        <f t="shared" si="7"/>
        <v>0</v>
      </c>
      <c r="E199" s="186">
        <v>0</v>
      </c>
      <c r="F199" s="186">
        <v>0</v>
      </c>
    </row>
    <row r="200" spans="1:6" ht="12.95" hidden="1" customHeight="1" outlineLevel="1">
      <c r="A200" s="33" t="s">
        <v>1090</v>
      </c>
      <c r="B200" s="33">
        <v>931</v>
      </c>
      <c r="C200" s="40" t="str">
        <f t="shared" si="6"/>
        <v>Audit Fees931</v>
      </c>
      <c r="D200" s="104">
        <f t="shared" si="7"/>
        <v>0</v>
      </c>
      <c r="E200" s="186">
        <v>0</v>
      </c>
      <c r="F200" s="186">
        <v>0</v>
      </c>
    </row>
    <row r="201" spans="1:6" ht="12.95" hidden="1" customHeight="1" outlineLevel="1">
      <c r="A201" s="33" t="s">
        <v>1090</v>
      </c>
      <c r="B201" s="33">
        <v>932</v>
      </c>
      <c r="C201" s="40" t="str">
        <f t="shared" si="6"/>
        <v>Audit Fees932</v>
      </c>
      <c r="D201" s="104">
        <f t="shared" si="7"/>
        <v>0</v>
      </c>
      <c r="E201" s="186">
        <v>0</v>
      </c>
      <c r="F201" s="186">
        <v>0</v>
      </c>
    </row>
    <row r="202" spans="1:6" ht="12.95" hidden="1" customHeight="1" outlineLevel="1">
      <c r="A202" s="1043" t="s">
        <v>1090</v>
      </c>
      <c r="B202" s="33">
        <v>935</v>
      </c>
      <c r="C202" s="40" t="str">
        <f t="shared" si="6"/>
        <v>Audit Fees935</v>
      </c>
      <c r="D202" s="104">
        <f t="shared" si="7"/>
        <v>0</v>
      </c>
      <c r="E202" s="186">
        <v>0</v>
      </c>
      <c r="F202" s="186">
        <v>0</v>
      </c>
    </row>
    <row r="203" spans="1:6" s="13" customFormat="1" collapsed="1">
      <c r="A203" s="14" t="s">
        <v>1090</v>
      </c>
      <c r="B203" s="15"/>
      <c r="D203" s="193">
        <f>SUM(D155:D202)</f>
        <v>2476.3000000000175</v>
      </c>
      <c r="E203" s="193">
        <f>SUM(E155:E202)</f>
        <v>204545.54000000004</v>
      </c>
      <c r="F203" s="193">
        <f>SUM(F155:F202)</f>
        <v>207021.84000000005</v>
      </c>
    </row>
    <row r="204" spans="1:6" ht="12.95" hidden="1" customHeight="1" outlineLevel="1">
      <c r="A204" s="33" t="s">
        <v>1883</v>
      </c>
      <c r="B204" s="33">
        <v>920</v>
      </c>
      <c r="C204" s="40" t="str">
        <f>A204&amp;B204</f>
        <v>Charitable Contributions920</v>
      </c>
      <c r="D204" s="104">
        <f>+F204-E204</f>
        <v>0</v>
      </c>
      <c r="E204" s="186">
        <v>0</v>
      </c>
      <c r="F204" s="186">
        <v>0</v>
      </c>
    </row>
    <row r="205" spans="1:6" ht="12.95" hidden="1" customHeight="1" outlineLevel="1">
      <c r="A205" s="1043" t="s">
        <v>1883</v>
      </c>
      <c r="B205" s="33">
        <v>921</v>
      </c>
      <c r="C205" s="40" t="str">
        <f>A205&amp;B205</f>
        <v>Charitable Contributions921</v>
      </c>
      <c r="D205" s="104">
        <f>+F205-E205</f>
        <v>0</v>
      </c>
      <c r="E205" s="186">
        <v>0</v>
      </c>
      <c r="F205" s="186">
        <v>0</v>
      </c>
    </row>
    <row r="206" spans="1:6" s="13" customFormat="1" collapsed="1">
      <c r="A206" s="14" t="s">
        <v>1883</v>
      </c>
      <c r="B206" s="15"/>
      <c r="D206" s="194">
        <f>SUM(D204:D205)</f>
        <v>0</v>
      </c>
      <c r="E206" s="194">
        <f>SUM(E204:E205)</f>
        <v>0</v>
      </c>
      <c r="F206" s="194">
        <f>SUM(F204:F205)</f>
        <v>0</v>
      </c>
    </row>
    <row r="207" spans="1:6" ht="12.95" hidden="1" customHeight="1" outlineLevel="1">
      <c r="A207" s="33" t="s">
        <v>1086</v>
      </c>
      <c r="B207" s="33">
        <v>801</v>
      </c>
      <c r="C207" s="40" t="str">
        <f t="shared" ref="C207:C254" si="8">A207&amp;B207</f>
        <v>Clearing Accounts801</v>
      </c>
      <c r="D207" s="104">
        <f t="shared" ref="D207:D254" si="9">+F207-E207</f>
        <v>0</v>
      </c>
      <c r="E207" s="186">
        <v>0</v>
      </c>
      <c r="F207" s="186">
        <v>0</v>
      </c>
    </row>
    <row r="208" spans="1:6" ht="12.95" hidden="1" customHeight="1" outlineLevel="1">
      <c r="A208" s="33" t="s">
        <v>1086</v>
      </c>
      <c r="B208" s="33">
        <v>803</v>
      </c>
      <c r="C208" s="40" t="str">
        <f t="shared" si="8"/>
        <v>Clearing Accounts803</v>
      </c>
      <c r="D208" s="104">
        <f t="shared" si="9"/>
        <v>0</v>
      </c>
      <c r="E208" s="186">
        <v>0</v>
      </c>
      <c r="F208" s="186">
        <v>0</v>
      </c>
    </row>
    <row r="209" spans="1:6" ht="12.95" hidden="1" customHeight="1" outlineLevel="1">
      <c r="A209" s="33" t="s">
        <v>1086</v>
      </c>
      <c r="B209" s="33">
        <v>804</v>
      </c>
      <c r="C209" s="40" t="str">
        <f t="shared" si="8"/>
        <v>Clearing Accounts804</v>
      </c>
      <c r="D209" s="104">
        <f t="shared" si="9"/>
        <v>0</v>
      </c>
      <c r="E209" s="186">
        <v>0</v>
      </c>
      <c r="F209" s="186">
        <v>0</v>
      </c>
    </row>
    <row r="210" spans="1:6" ht="12.95" hidden="1" customHeight="1" outlineLevel="1">
      <c r="A210" s="33" t="s">
        <v>1086</v>
      </c>
      <c r="B210" s="33">
        <v>805</v>
      </c>
      <c r="C210" s="40" t="str">
        <f t="shared" si="8"/>
        <v>Clearing Accounts805</v>
      </c>
      <c r="D210" s="104">
        <f t="shared" si="9"/>
        <v>0</v>
      </c>
      <c r="E210" s="186">
        <v>0</v>
      </c>
      <c r="F210" s="186">
        <v>0</v>
      </c>
    </row>
    <row r="211" spans="1:6" ht="12.95" hidden="1" customHeight="1" outlineLevel="1">
      <c r="A211" s="33" t="s">
        <v>1086</v>
      </c>
      <c r="B211" s="33">
        <v>806</v>
      </c>
      <c r="C211" s="40" t="str">
        <f t="shared" si="8"/>
        <v>Clearing Accounts806</v>
      </c>
      <c r="D211" s="104">
        <f t="shared" si="9"/>
        <v>0</v>
      </c>
      <c r="E211" s="186">
        <v>0</v>
      </c>
      <c r="F211" s="186">
        <v>0</v>
      </c>
    </row>
    <row r="212" spans="1:6" ht="12.95" hidden="1" customHeight="1" outlineLevel="1">
      <c r="A212" s="33" t="s">
        <v>1086</v>
      </c>
      <c r="B212" s="33">
        <v>807</v>
      </c>
      <c r="C212" s="40" t="str">
        <f t="shared" si="8"/>
        <v>Clearing Accounts807</v>
      </c>
      <c r="D212" s="104">
        <f t="shared" si="9"/>
        <v>0</v>
      </c>
      <c r="E212" s="186">
        <v>0</v>
      </c>
      <c r="F212" s="186">
        <v>0</v>
      </c>
    </row>
    <row r="213" spans="1:6" ht="12.95" hidden="1" customHeight="1" outlineLevel="1">
      <c r="A213" s="33" t="s">
        <v>1086</v>
      </c>
      <c r="B213" s="33">
        <v>808</v>
      </c>
      <c r="C213" s="40" t="str">
        <f t="shared" si="8"/>
        <v>Clearing Accounts808</v>
      </c>
      <c r="D213" s="104">
        <f t="shared" si="9"/>
        <v>0</v>
      </c>
      <c r="E213" s="186">
        <v>0</v>
      </c>
      <c r="F213" s="186">
        <v>0</v>
      </c>
    </row>
    <row r="214" spans="1:6" ht="12.95" hidden="1" customHeight="1" outlineLevel="1">
      <c r="A214" s="33" t="s">
        <v>1086</v>
      </c>
      <c r="B214" s="33">
        <v>812</v>
      </c>
      <c r="C214" s="40" t="str">
        <f t="shared" si="8"/>
        <v>Clearing Accounts812</v>
      </c>
      <c r="D214" s="104">
        <f t="shared" si="9"/>
        <v>0</v>
      </c>
      <c r="E214" s="186">
        <v>0</v>
      </c>
      <c r="F214" s="186">
        <v>0</v>
      </c>
    </row>
    <row r="215" spans="1:6" ht="12.95" hidden="1" customHeight="1" outlineLevel="1">
      <c r="A215" s="33" t="s">
        <v>1086</v>
      </c>
      <c r="B215" s="33">
        <v>870</v>
      </c>
      <c r="C215" s="40" t="str">
        <f t="shared" si="8"/>
        <v>Clearing Accounts870</v>
      </c>
      <c r="D215" s="104">
        <f t="shared" si="9"/>
        <v>1516.7400000000016</v>
      </c>
      <c r="E215" s="186">
        <v>16112.11</v>
      </c>
      <c r="F215" s="186">
        <v>17628.850000000002</v>
      </c>
    </row>
    <row r="216" spans="1:6" ht="12.95" hidden="1" customHeight="1" outlineLevel="1">
      <c r="A216" s="33" t="s">
        <v>1086</v>
      </c>
      <c r="B216" s="33">
        <v>871</v>
      </c>
      <c r="C216" s="40" t="str">
        <f t="shared" si="8"/>
        <v>Clearing Accounts871</v>
      </c>
      <c r="D216" s="104">
        <f t="shared" si="9"/>
        <v>-12726.830000000009</v>
      </c>
      <c r="E216" s="186">
        <v>62375.320000000007</v>
      </c>
      <c r="F216" s="186">
        <v>49648.49</v>
      </c>
    </row>
    <row r="217" spans="1:6" ht="12.95" hidden="1" customHeight="1" outlineLevel="1">
      <c r="A217" s="33" t="s">
        <v>1086</v>
      </c>
      <c r="B217" s="33">
        <v>874</v>
      </c>
      <c r="C217" s="40" t="str">
        <f t="shared" si="8"/>
        <v>Clearing Accounts874</v>
      </c>
      <c r="D217" s="104">
        <f t="shared" si="9"/>
        <v>-139589.50999999995</v>
      </c>
      <c r="E217" s="186">
        <v>650758.32999999996</v>
      </c>
      <c r="F217" s="186">
        <v>511168.82</v>
      </c>
    </row>
    <row r="218" spans="1:6" ht="12.95" hidden="1" customHeight="1" outlineLevel="1">
      <c r="A218" s="33" t="s">
        <v>1086</v>
      </c>
      <c r="B218" s="33">
        <v>875</v>
      </c>
      <c r="C218" s="40" t="str">
        <f t="shared" si="8"/>
        <v>Clearing Accounts875</v>
      </c>
      <c r="D218" s="104">
        <f t="shared" si="9"/>
        <v>-13240.099999999984</v>
      </c>
      <c r="E218" s="186">
        <v>65776.64999999998</v>
      </c>
      <c r="F218" s="186">
        <v>52536.549999999996</v>
      </c>
    </row>
    <row r="219" spans="1:6" ht="12.95" hidden="1" customHeight="1" outlineLevel="1">
      <c r="A219" s="33" t="s">
        <v>1086</v>
      </c>
      <c r="B219" s="33">
        <v>876</v>
      </c>
      <c r="C219" s="40" t="str">
        <f t="shared" si="8"/>
        <v>Clearing Accounts876</v>
      </c>
      <c r="D219" s="104">
        <f t="shared" si="9"/>
        <v>-549.88000000000466</v>
      </c>
      <c r="E219" s="186">
        <v>24323.870000000003</v>
      </c>
      <c r="F219" s="186">
        <v>23773.989999999998</v>
      </c>
    </row>
    <row r="220" spans="1:6" ht="12.95" hidden="1" customHeight="1" outlineLevel="1">
      <c r="A220" s="33" t="s">
        <v>1086</v>
      </c>
      <c r="B220" s="33">
        <v>878</v>
      </c>
      <c r="C220" s="40" t="str">
        <f t="shared" si="8"/>
        <v>Clearing Accounts878</v>
      </c>
      <c r="D220" s="104">
        <f t="shared" si="9"/>
        <v>-61582.960000000079</v>
      </c>
      <c r="E220" s="186">
        <v>326214.95000000007</v>
      </c>
      <c r="F220" s="186">
        <v>264631.99</v>
      </c>
    </row>
    <row r="221" spans="1:6" ht="12.95" hidden="1" customHeight="1" outlineLevel="1">
      <c r="A221" s="33" t="s">
        <v>1086</v>
      </c>
      <c r="B221" s="33">
        <v>879</v>
      </c>
      <c r="C221" s="40" t="str">
        <f t="shared" si="8"/>
        <v>Clearing Accounts879</v>
      </c>
      <c r="D221" s="104">
        <f t="shared" si="9"/>
        <v>-56225.669999999984</v>
      </c>
      <c r="E221" s="186">
        <v>456601.16000000003</v>
      </c>
      <c r="F221" s="186">
        <v>400375.49000000005</v>
      </c>
    </row>
    <row r="222" spans="1:6" ht="12.95" hidden="1" customHeight="1" outlineLevel="1">
      <c r="A222" s="33" t="s">
        <v>1086</v>
      </c>
      <c r="B222" s="33">
        <v>880</v>
      </c>
      <c r="C222" s="40" t="str">
        <f t="shared" si="8"/>
        <v>Clearing Accounts880</v>
      </c>
      <c r="D222" s="104">
        <f t="shared" si="9"/>
        <v>-38725.22000000003</v>
      </c>
      <c r="E222" s="186">
        <v>167467.42000000001</v>
      </c>
      <c r="F222" s="186">
        <v>128742.19999999998</v>
      </c>
    </row>
    <row r="223" spans="1:6" ht="12.95" hidden="1" customHeight="1" outlineLevel="1">
      <c r="A223" s="33" t="s">
        <v>1086</v>
      </c>
      <c r="B223" s="33">
        <v>881</v>
      </c>
      <c r="C223" s="40" t="str">
        <f t="shared" si="8"/>
        <v>Clearing Accounts881</v>
      </c>
      <c r="D223" s="104">
        <f t="shared" si="9"/>
        <v>0</v>
      </c>
      <c r="E223" s="186">
        <v>0</v>
      </c>
      <c r="F223" s="186">
        <v>0</v>
      </c>
    </row>
    <row r="224" spans="1:6" ht="12.95" hidden="1" customHeight="1" outlineLevel="1">
      <c r="A224" s="33" t="s">
        <v>1086</v>
      </c>
      <c r="B224" s="33">
        <v>885</v>
      </c>
      <c r="C224" s="40" t="str">
        <f t="shared" si="8"/>
        <v>Clearing Accounts885</v>
      </c>
      <c r="D224" s="104">
        <f t="shared" si="9"/>
        <v>-230.00000000000091</v>
      </c>
      <c r="E224" s="186">
        <v>2782.3000000000006</v>
      </c>
      <c r="F224" s="186">
        <v>2552.2999999999997</v>
      </c>
    </row>
    <row r="225" spans="1:6" ht="12.95" hidden="1" customHeight="1" outlineLevel="1">
      <c r="A225" s="33" t="s">
        <v>1086</v>
      </c>
      <c r="B225" s="33">
        <v>886</v>
      </c>
      <c r="C225" s="40" t="str">
        <f t="shared" si="8"/>
        <v>Clearing Accounts886</v>
      </c>
      <c r="D225" s="104">
        <f t="shared" si="9"/>
        <v>322.2800000000002</v>
      </c>
      <c r="E225" s="186">
        <v>2294.96</v>
      </c>
      <c r="F225" s="186">
        <v>2617.2400000000002</v>
      </c>
    </row>
    <row r="226" spans="1:6" ht="12.95" hidden="1" customHeight="1" outlineLevel="1">
      <c r="A226" s="33" t="s">
        <v>1086</v>
      </c>
      <c r="B226" s="33">
        <v>887</v>
      </c>
      <c r="C226" s="40" t="str">
        <f t="shared" si="8"/>
        <v>Clearing Accounts887</v>
      </c>
      <c r="D226" s="104">
        <f t="shared" si="9"/>
        <v>-21104.089999999997</v>
      </c>
      <c r="E226" s="186">
        <v>279907.31</v>
      </c>
      <c r="F226" s="186">
        <v>258803.22</v>
      </c>
    </row>
    <row r="227" spans="1:6" ht="12.95" hidden="1" customHeight="1" outlineLevel="1">
      <c r="A227" s="33" t="s">
        <v>1086</v>
      </c>
      <c r="B227" s="33">
        <v>889</v>
      </c>
      <c r="C227" s="40" t="str">
        <f t="shared" si="8"/>
        <v>Clearing Accounts889</v>
      </c>
      <c r="D227" s="104">
        <f t="shared" si="9"/>
        <v>33999.579999999958</v>
      </c>
      <c r="E227" s="186">
        <v>120757.46000000002</v>
      </c>
      <c r="F227" s="186">
        <v>154757.03999999998</v>
      </c>
    </row>
    <row r="228" spans="1:6" ht="12.95" hidden="1" customHeight="1" outlineLevel="1">
      <c r="A228" s="33" t="s">
        <v>1086</v>
      </c>
      <c r="B228" s="33">
        <v>890</v>
      </c>
      <c r="C228" s="40" t="str">
        <f t="shared" si="8"/>
        <v>Clearing Accounts890</v>
      </c>
      <c r="D228" s="104">
        <f t="shared" si="9"/>
        <v>-1215.4800000000014</v>
      </c>
      <c r="E228" s="186">
        <v>15621.27</v>
      </c>
      <c r="F228" s="186">
        <v>14405.789999999999</v>
      </c>
    </row>
    <row r="229" spans="1:6" ht="12.95" hidden="1" customHeight="1" outlineLevel="1">
      <c r="A229" s="33" t="s">
        <v>1086</v>
      </c>
      <c r="B229" s="33">
        <v>892</v>
      </c>
      <c r="C229" s="40" t="str">
        <f t="shared" si="8"/>
        <v>Clearing Accounts892</v>
      </c>
      <c r="D229" s="104">
        <f t="shared" si="9"/>
        <v>7415.2299999999959</v>
      </c>
      <c r="E229" s="186">
        <v>34444.850000000006</v>
      </c>
      <c r="F229" s="186">
        <v>41860.080000000002</v>
      </c>
    </row>
    <row r="230" spans="1:6" ht="12.95" hidden="1" customHeight="1" outlineLevel="1">
      <c r="A230" s="33" t="s">
        <v>1086</v>
      </c>
      <c r="B230" s="33">
        <v>893</v>
      </c>
      <c r="C230" s="40" t="str">
        <f t="shared" si="8"/>
        <v>Clearing Accounts893</v>
      </c>
      <c r="D230" s="104">
        <f t="shared" si="9"/>
        <v>3215.4700000000012</v>
      </c>
      <c r="E230" s="186">
        <v>34087.32</v>
      </c>
      <c r="F230" s="186">
        <v>37302.79</v>
      </c>
    </row>
    <row r="231" spans="1:6" ht="12.95" hidden="1" customHeight="1" outlineLevel="1">
      <c r="A231" s="33" t="s">
        <v>1086</v>
      </c>
      <c r="B231" s="33">
        <v>894</v>
      </c>
      <c r="C231" s="40" t="str">
        <f t="shared" si="8"/>
        <v>Clearing Accounts894</v>
      </c>
      <c r="D231" s="104">
        <f t="shared" si="9"/>
        <v>-11782.389999999978</v>
      </c>
      <c r="E231" s="186">
        <v>72705.76999999999</v>
      </c>
      <c r="F231" s="186">
        <v>60923.380000000012</v>
      </c>
    </row>
    <row r="232" spans="1:6" ht="12.95" hidden="1" customHeight="1" outlineLevel="1">
      <c r="A232" s="33" t="s">
        <v>1086</v>
      </c>
      <c r="B232" s="33">
        <v>902</v>
      </c>
      <c r="C232" s="40" t="str">
        <f t="shared" si="8"/>
        <v>Clearing Accounts902</v>
      </c>
      <c r="D232" s="104">
        <f t="shared" si="9"/>
        <v>129.18999999999505</v>
      </c>
      <c r="E232" s="186">
        <v>35478.590000000004</v>
      </c>
      <c r="F232" s="186">
        <v>35607.78</v>
      </c>
    </row>
    <row r="233" spans="1:6" ht="12.95" hidden="1" customHeight="1" outlineLevel="1">
      <c r="A233" s="33" t="s">
        <v>1086</v>
      </c>
      <c r="B233" s="33">
        <v>903</v>
      </c>
      <c r="C233" s="40" t="str">
        <f t="shared" si="8"/>
        <v>Clearing Accounts903</v>
      </c>
      <c r="D233" s="104">
        <f t="shared" si="9"/>
        <v>-18870.50999999998</v>
      </c>
      <c r="E233" s="186">
        <v>108463.81999999999</v>
      </c>
      <c r="F233" s="186">
        <v>89593.310000000012</v>
      </c>
    </row>
    <row r="234" spans="1:6" ht="12.95" hidden="1" customHeight="1" outlineLevel="1">
      <c r="A234" s="33" t="s">
        <v>1086</v>
      </c>
      <c r="B234" s="33">
        <v>904</v>
      </c>
      <c r="C234" s="40" t="str">
        <f t="shared" si="8"/>
        <v>Clearing Accounts904</v>
      </c>
      <c r="D234" s="104">
        <f t="shared" si="9"/>
        <v>0</v>
      </c>
      <c r="E234" s="186">
        <v>0</v>
      </c>
      <c r="F234" s="186">
        <v>0</v>
      </c>
    </row>
    <row r="235" spans="1:6" ht="12.95" hidden="1" customHeight="1" outlineLevel="1">
      <c r="A235" s="33" t="s">
        <v>1086</v>
      </c>
      <c r="B235" s="33">
        <v>905</v>
      </c>
      <c r="C235" s="40" t="str">
        <f t="shared" si="8"/>
        <v>Clearing Accounts905</v>
      </c>
      <c r="D235" s="104">
        <f t="shared" si="9"/>
        <v>0</v>
      </c>
      <c r="E235" s="186">
        <v>0</v>
      </c>
      <c r="F235" s="186">
        <v>0</v>
      </c>
    </row>
    <row r="236" spans="1:6" ht="12.95" hidden="1" customHeight="1" outlineLevel="1">
      <c r="A236" s="33" t="s">
        <v>1086</v>
      </c>
      <c r="B236" s="33">
        <v>907</v>
      </c>
      <c r="C236" s="40" t="str">
        <f t="shared" si="8"/>
        <v>Clearing Accounts907</v>
      </c>
      <c r="D236" s="104">
        <f t="shared" si="9"/>
        <v>0</v>
      </c>
      <c r="E236" s="186">
        <v>0</v>
      </c>
      <c r="F236" s="186">
        <v>0</v>
      </c>
    </row>
    <row r="237" spans="1:6" ht="12.95" hidden="1" customHeight="1" outlineLevel="1">
      <c r="A237" s="33" t="s">
        <v>1086</v>
      </c>
      <c r="B237" s="33">
        <v>908</v>
      </c>
      <c r="C237" s="40" t="str">
        <f t="shared" si="8"/>
        <v>Clearing Accounts908</v>
      </c>
      <c r="D237" s="104">
        <f t="shared" si="9"/>
        <v>0</v>
      </c>
      <c r="E237" s="186">
        <v>0</v>
      </c>
      <c r="F237" s="186">
        <v>0</v>
      </c>
    </row>
    <row r="238" spans="1:6" ht="12.95" hidden="1" customHeight="1" outlineLevel="1">
      <c r="A238" s="33" t="s">
        <v>1086</v>
      </c>
      <c r="B238" s="33">
        <v>909</v>
      </c>
      <c r="C238" s="40" t="str">
        <f t="shared" si="8"/>
        <v>Clearing Accounts909</v>
      </c>
      <c r="D238" s="104">
        <f t="shared" si="9"/>
        <v>0</v>
      </c>
      <c r="E238" s="186">
        <v>0</v>
      </c>
      <c r="F238" s="186">
        <v>0</v>
      </c>
    </row>
    <row r="239" spans="1:6" ht="12.95" hidden="1" customHeight="1" outlineLevel="1">
      <c r="A239" s="33" t="s">
        <v>1086</v>
      </c>
      <c r="B239" s="33">
        <v>910</v>
      </c>
      <c r="C239" s="40" t="str">
        <f t="shared" si="8"/>
        <v>Clearing Accounts910</v>
      </c>
      <c r="D239" s="104">
        <f t="shared" si="9"/>
        <v>0</v>
      </c>
      <c r="E239" s="186">
        <v>0</v>
      </c>
      <c r="F239" s="186">
        <v>0</v>
      </c>
    </row>
    <row r="240" spans="1:6" ht="12.95" hidden="1" customHeight="1" outlineLevel="1">
      <c r="A240" s="33" t="s">
        <v>1086</v>
      </c>
      <c r="B240" s="33">
        <v>911</v>
      </c>
      <c r="C240" s="40" t="str">
        <f t="shared" si="8"/>
        <v>Clearing Accounts911</v>
      </c>
      <c r="D240" s="104">
        <f t="shared" si="9"/>
        <v>0</v>
      </c>
      <c r="E240" s="186">
        <v>0</v>
      </c>
      <c r="F240" s="186">
        <v>0</v>
      </c>
    </row>
    <row r="241" spans="1:6" ht="12.95" hidden="1" customHeight="1" outlineLevel="1">
      <c r="A241" s="33" t="s">
        <v>1086</v>
      </c>
      <c r="B241" s="33">
        <v>912</v>
      </c>
      <c r="C241" s="40" t="str">
        <f t="shared" si="8"/>
        <v>Clearing Accounts912</v>
      </c>
      <c r="D241" s="104">
        <f t="shared" si="9"/>
        <v>0</v>
      </c>
      <c r="E241" s="186">
        <v>0</v>
      </c>
      <c r="F241" s="186">
        <v>0</v>
      </c>
    </row>
    <row r="242" spans="1:6" ht="12.95" hidden="1" customHeight="1" outlineLevel="1">
      <c r="A242" s="33" t="s">
        <v>1086</v>
      </c>
      <c r="B242" s="33">
        <v>913</v>
      </c>
      <c r="C242" s="40" t="str">
        <f t="shared" si="8"/>
        <v>Clearing Accounts913</v>
      </c>
      <c r="D242" s="104">
        <f t="shared" si="9"/>
        <v>0</v>
      </c>
      <c r="E242" s="186">
        <v>0</v>
      </c>
      <c r="F242" s="186">
        <v>0</v>
      </c>
    </row>
    <row r="243" spans="1:6" ht="12.95" hidden="1" customHeight="1" outlineLevel="1">
      <c r="A243" s="33" t="s">
        <v>1086</v>
      </c>
      <c r="B243" s="33">
        <v>920</v>
      </c>
      <c r="C243" s="40" t="str">
        <f t="shared" si="8"/>
        <v>Clearing Accounts920</v>
      </c>
      <c r="D243" s="104">
        <f t="shared" si="9"/>
        <v>8484.9600000000064</v>
      </c>
      <c r="E243" s="186">
        <v>33435.149999999994</v>
      </c>
      <c r="F243" s="186">
        <v>41920.11</v>
      </c>
    </row>
    <row r="244" spans="1:6" ht="12.95" hidden="1" customHeight="1" outlineLevel="1">
      <c r="A244" s="33" t="s">
        <v>1086</v>
      </c>
      <c r="B244" s="33">
        <v>921</v>
      </c>
      <c r="C244" s="40" t="str">
        <f t="shared" si="8"/>
        <v>Clearing Accounts921</v>
      </c>
      <c r="D244" s="104">
        <f t="shared" si="9"/>
        <v>-1309.1399999999999</v>
      </c>
      <c r="E244" s="186">
        <v>3509.56</v>
      </c>
      <c r="F244" s="186">
        <v>2200.42</v>
      </c>
    </row>
    <row r="245" spans="1:6" ht="12.95" hidden="1" customHeight="1" outlineLevel="1">
      <c r="A245" s="33" t="s">
        <v>1086</v>
      </c>
      <c r="B245" s="33">
        <v>923</v>
      </c>
      <c r="C245" s="40" t="str">
        <f t="shared" si="8"/>
        <v>Clearing Accounts923</v>
      </c>
      <c r="D245" s="104">
        <f t="shared" si="9"/>
        <v>0</v>
      </c>
      <c r="E245" s="186">
        <v>0</v>
      </c>
      <c r="F245" s="186">
        <v>0</v>
      </c>
    </row>
    <row r="246" spans="1:6" ht="12.95" hidden="1" customHeight="1" outlineLevel="1">
      <c r="A246" s="33" t="s">
        <v>1086</v>
      </c>
      <c r="B246" s="33">
        <v>924</v>
      </c>
      <c r="C246" s="40" t="str">
        <f t="shared" si="8"/>
        <v>Clearing Accounts924</v>
      </c>
      <c r="D246" s="104">
        <f t="shared" si="9"/>
        <v>0</v>
      </c>
      <c r="E246" s="186">
        <v>0</v>
      </c>
      <c r="F246" s="186">
        <v>0</v>
      </c>
    </row>
    <row r="247" spans="1:6" ht="12.95" hidden="1" customHeight="1" outlineLevel="1">
      <c r="A247" s="33" t="s">
        <v>1086</v>
      </c>
      <c r="B247" s="33">
        <v>925</v>
      </c>
      <c r="C247" s="40" t="str">
        <f t="shared" si="8"/>
        <v>Clearing Accounts925</v>
      </c>
      <c r="D247" s="104">
        <f t="shared" si="9"/>
        <v>0</v>
      </c>
      <c r="E247" s="186">
        <v>0</v>
      </c>
      <c r="F247" s="186">
        <v>0</v>
      </c>
    </row>
    <row r="248" spans="1:6" ht="12.95" hidden="1" customHeight="1" outlineLevel="1">
      <c r="A248" s="33" t="s">
        <v>1086</v>
      </c>
      <c r="B248" s="33">
        <v>926</v>
      </c>
      <c r="C248" s="40" t="str">
        <f t="shared" si="8"/>
        <v>Clearing Accounts926</v>
      </c>
      <c r="D248" s="104">
        <f t="shared" si="9"/>
        <v>0</v>
      </c>
      <c r="E248" s="186">
        <v>0</v>
      </c>
      <c r="F248" s="186">
        <v>0</v>
      </c>
    </row>
    <row r="249" spans="1:6" ht="12.95" hidden="1" customHeight="1" outlineLevel="1">
      <c r="A249" s="33" t="s">
        <v>1086</v>
      </c>
      <c r="B249" s="33">
        <v>928</v>
      </c>
      <c r="C249" s="40" t="str">
        <f t="shared" si="8"/>
        <v>Clearing Accounts928</v>
      </c>
      <c r="D249" s="104">
        <f t="shared" si="9"/>
        <v>0</v>
      </c>
      <c r="E249" s="186">
        <v>0</v>
      </c>
      <c r="F249" s="186">
        <v>0</v>
      </c>
    </row>
    <row r="250" spans="1:6" ht="12.95" hidden="1" customHeight="1" outlineLevel="1">
      <c r="A250" s="33" t="s">
        <v>1086</v>
      </c>
      <c r="B250" s="33">
        <v>9301</v>
      </c>
      <c r="C250" s="40" t="str">
        <f t="shared" si="8"/>
        <v>Clearing Accounts9301</v>
      </c>
      <c r="D250" s="104">
        <f t="shared" si="9"/>
        <v>0</v>
      </c>
      <c r="E250" s="186">
        <v>0</v>
      </c>
      <c r="F250" s="186">
        <v>0</v>
      </c>
    </row>
    <row r="251" spans="1:6" ht="12.95" hidden="1" customHeight="1" outlineLevel="1">
      <c r="A251" s="33" t="s">
        <v>1086</v>
      </c>
      <c r="B251" s="33">
        <v>9302</v>
      </c>
      <c r="C251" s="40" t="str">
        <f t="shared" si="8"/>
        <v>Clearing Accounts9302</v>
      </c>
      <c r="D251" s="104">
        <f t="shared" si="9"/>
        <v>0</v>
      </c>
      <c r="E251" s="186">
        <v>0</v>
      </c>
      <c r="F251" s="186">
        <v>0</v>
      </c>
    </row>
    <row r="252" spans="1:6" ht="12.95" hidden="1" customHeight="1" outlineLevel="1">
      <c r="A252" s="33" t="s">
        <v>1086</v>
      </c>
      <c r="B252" s="33">
        <v>931</v>
      </c>
      <c r="C252" s="40" t="str">
        <f t="shared" si="8"/>
        <v>Clearing Accounts931</v>
      </c>
      <c r="D252" s="104">
        <f t="shared" si="9"/>
        <v>0</v>
      </c>
      <c r="E252" s="186">
        <v>0</v>
      </c>
      <c r="F252" s="186">
        <v>0</v>
      </c>
    </row>
    <row r="253" spans="1:6" ht="12.95" hidden="1" customHeight="1" outlineLevel="1">
      <c r="A253" s="33" t="s">
        <v>1086</v>
      </c>
      <c r="B253" s="33">
        <v>932</v>
      </c>
      <c r="C253" s="40" t="str">
        <f t="shared" si="8"/>
        <v>Clearing Accounts932</v>
      </c>
      <c r="D253" s="104">
        <f t="shared" si="9"/>
        <v>0</v>
      </c>
      <c r="E253" s="186">
        <v>0</v>
      </c>
      <c r="F253" s="186">
        <v>0</v>
      </c>
    </row>
    <row r="254" spans="1:6" ht="12.95" hidden="1" customHeight="1" outlineLevel="1">
      <c r="A254" s="1043" t="s">
        <v>1086</v>
      </c>
      <c r="B254" s="33">
        <v>935</v>
      </c>
      <c r="C254" s="40" t="str">
        <f t="shared" si="8"/>
        <v>Clearing Accounts935</v>
      </c>
      <c r="D254" s="104">
        <f t="shared" si="9"/>
        <v>0</v>
      </c>
      <c r="E254" s="186">
        <v>0</v>
      </c>
      <c r="F254" s="186">
        <v>0</v>
      </c>
    </row>
    <row r="255" spans="1:6" s="13" customFormat="1" collapsed="1">
      <c r="A255" s="14" t="s">
        <v>1086</v>
      </c>
      <c r="B255" s="15"/>
      <c r="D255" s="194">
        <f>SUM(D207:D254)</f>
        <v>-322068.33</v>
      </c>
      <c r="E255" s="194">
        <f>SUM(E207:E254)</f>
        <v>2513118.17</v>
      </c>
      <c r="F255" s="194">
        <f>SUM(F207:F254)</f>
        <v>2191049.8400000003</v>
      </c>
    </row>
    <row r="256" spans="1:6" ht="12.95" hidden="1" customHeight="1" outlineLevel="1">
      <c r="A256" s="33" t="s">
        <v>1558</v>
      </c>
      <c r="B256" s="33">
        <v>801</v>
      </c>
      <c r="C256" s="40" t="str">
        <f t="shared" ref="C256:C303" si="10">A256&amp;B256</f>
        <v>Commission Fees801</v>
      </c>
      <c r="D256" s="104">
        <f t="shared" ref="D256:D303" si="11">+F256-E256</f>
        <v>0</v>
      </c>
      <c r="E256" s="186">
        <v>0</v>
      </c>
      <c r="F256" s="186">
        <v>0</v>
      </c>
    </row>
    <row r="257" spans="1:6" ht="12.95" hidden="1" customHeight="1" outlineLevel="1">
      <c r="A257" s="33" t="s">
        <v>1558</v>
      </c>
      <c r="B257" s="33">
        <v>803</v>
      </c>
      <c r="C257" s="40" t="str">
        <f t="shared" si="10"/>
        <v>Commission Fees803</v>
      </c>
      <c r="D257" s="104">
        <f t="shared" si="11"/>
        <v>0</v>
      </c>
      <c r="E257" s="186">
        <v>0</v>
      </c>
      <c r="F257" s="186">
        <v>0</v>
      </c>
    </row>
    <row r="258" spans="1:6" ht="12.95" hidden="1" customHeight="1" outlineLevel="1">
      <c r="A258" s="33" t="s">
        <v>1558</v>
      </c>
      <c r="B258" s="33">
        <v>804</v>
      </c>
      <c r="C258" s="40" t="str">
        <f t="shared" si="10"/>
        <v>Commission Fees804</v>
      </c>
      <c r="D258" s="104">
        <f t="shared" si="11"/>
        <v>0</v>
      </c>
      <c r="E258" s="186">
        <v>0</v>
      </c>
      <c r="F258" s="186">
        <v>0</v>
      </c>
    </row>
    <row r="259" spans="1:6" ht="12.95" hidden="1" customHeight="1" outlineLevel="1">
      <c r="A259" s="33" t="s">
        <v>1558</v>
      </c>
      <c r="B259" s="33">
        <v>805</v>
      </c>
      <c r="C259" s="40" t="str">
        <f t="shared" si="10"/>
        <v>Commission Fees805</v>
      </c>
      <c r="D259" s="104">
        <f t="shared" si="11"/>
        <v>0</v>
      </c>
      <c r="E259" s="186">
        <v>0</v>
      </c>
      <c r="F259" s="186">
        <v>0</v>
      </c>
    </row>
    <row r="260" spans="1:6" ht="12.95" hidden="1" customHeight="1" outlineLevel="1">
      <c r="A260" s="33" t="s">
        <v>1558</v>
      </c>
      <c r="B260" s="33">
        <v>806</v>
      </c>
      <c r="C260" s="40" t="str">
        <f t="shared" si="10"/>
        <v>Commission Fees806</v>
      </c>
      <c r="D260" s="104">
        <f t="shared" si="11"/>
        <v>0</v>
      </c>
      <c r="E260" s="186">
        <v>0</v>
      </c>
      <c r="F260" s="186">
        <v>0</v>
      </c>
    </row>
    <row r="261" spans="1:6" ht="12.95" hidden="1" customHeight="1" outlineLevel="1">
      <c r="A261" s="33" t="s">
        <v>1558</v>
      </c>
      <c r="B261" s="33">
        <v>807</v>
      </c>
      <c r="C261" s="40" t="str">
        <f t="shared" si="10"/>
        <v>Commission Fees807</v>
      </c>
      <c r="D261" s="104">
        <f t="shared" si="11"/>
        <v>0</v>
      </c>
      <c r="E261" s="186">
        <v>0</v>
      </c>
      <c r="F261" s="186">
        <v>0</v>
      </c>
    </row>
    <row r="262" spans="1:6" ht="12.95" hidden="1" customHeight="1" outlineLevel="1">
      <c r="A262" s="33" t="s">
        <v>1558</v>
      </c>
      <c r="B262" s="33">
        <v>808</v>
      </c>
      <c r="C262" s="40" t="str">
        <f t="shared" si="10"/>
        <v>Commission Fees808</v>
      </c>
      <c r="D262" s="104">
        <f t="shared" si="11"/>
        <v>0</v>
      </c>
      <c r="E262" s="186">
        <v>0</v>
      </c>
      <c r="F262" s="186">
        <v>0</v>
      </c>
    </row>
    <row r="263" spans="1:6" ht="12.95" hidden="1" customHeight="1" outlineLevel="1">
      <c r="A263" s="33" t="s">
        <v>1558</v>
      </c>
      <c r="B263" s="33">
        <v>812</v>
      </c>
      <c r="C263" s="40" t="str">
        <f t="shared" si="10"/>
        <v>Commission Fees812</v>
      </c>
      <c r="D263" s="104">
        <f t="shared" si="11"/>
        <v>0</v>
      </c>
      <c r="E263" s="186">
        <v>0</v>
      </c>
      <c r="F263" s="186">
        <v>0</v>
      </c>
    </row>
    <row r="264" spans="1:6" ht="12.95" hidden="1" customHeight="1" outlineLevel="1">
      <c r="A264" s="33" t="s">
        <v>1558</v>
      </c>
      <c r="B264" s="33">
        <v>870</v>
      </c>
      <c r="C264" s="40" t="str">
        <f t="shared" si="10"/>
        <v>Commission Fees870</v>
      </c>
      <c r="D264" s="104">
        <f t="shared" si="11"/>
        <v>0</v>
      </c>
      <c r="E264" s="186">
        <v>0</v>
      </c>
      <c r="F264" s="186">
        <v>0</v>
      </c>
    </row>
    <row r="265" spans="1:6" ht="12.95" hidden="1" customHeight="1" outlineLevel="1">
      <c r="A265" s="33" t="s">
        <v>1558</v>
      </c>
      <c r="B265" s="33">
        <v>871</v>
      </c>
      <c r="C265" s="40" t="str">
        <f t="shared" si="10"/>
        <v>Commission Fees871</v>
      </c>
      <c r="D265" s="104">
        <f t="shared" si="11"/>
        <v>0</v>
      </c>
      <c r="E265" s="186">
        <v>0</v>
      </c>
      <c r="F265" s="186">
        <v>0</v>
      </c>
    </row>
    <row r="266" spans="1:6" ht="12.95" hidden="1" customHeight="1" outlineLevel="1">
      <c r="A266" s="33" t="s">
        <v>1558</v>
      </c>
      <c r="B266" s="33">
        <v>874</v>
      </c>
      <c r="C266" s="40" t="str">
        <f t="shared" si="10"/>
        <v>Commission Fees874</v>
      </c>
      <c r="D266" s="104">
        <f t="shared" si="11"/>
        <v>0</v>
      </c>
      <c r="E266" s="186">
        <v>0</v>
      </c>
      <c r="F266" s="186">
        <v>0</v>
      </c>
    </row>
    <row r="267" spans="1:6" ht="12.95" hidden="1" customHeight="1" outlineLevel="1">
      <c r="A267" s="33" t="s">
        <v>1558</v>
      </c>
      <c r="B267" s="33">
        <v>875</v>
      </c>
      <c r="C267" s="40" t="str">
        <f t="shared" si="10"/>
        <v>Commission Fees875</v>
      </c>
      <c r="D267" s="104">
        <f t="shared" si="11"/>
        <v>0</v>
      </c>
      <c r="E267" s="186">
        <v>0</v>
      </c>
      <c r="F267" s="186">
        <v>0</v>
      </c>
    </row>
    <row r="268" spans="1:6" ht="12.95" hidden="1" customHeight="1" outlineLevel="1">
      <c r="A268" s="33" t="s">
        <v>1558</v>
      </c>
      <c r="B268" s="33">
        <v>876</v>
      </c>
      <c r="C268" s="40" t="str">
        <f t="shared" si="10"/>
        <v>Commission Fees876</v>
      </c>
      <c r="D268" s="104">
        <f t="shared" si="11"/>
        <v>0</v>
      </c>
      <c r="E268" s="186">
        <v>0</v>
      </c>
      <c r="F268" s="186">
        <v>0</v>
      </c>
    </row>
    <row r="269" spans="1:6" ht="12.95" hidden="1" customHeight="1" outlineLevel="1">
      <c r="A269" s="33" t="s">
        <v>1558</v>
      </c>
      <c r="B269" s="33">
        <v>878</v>
      </c>
      <c r="C269" s="40" t="str">
        <f t="shared" si="10"/>
        <v>Commission Fees878</v>
      </c>
      <c r="D269" s="104">
        <f t="shared" si="11"/>
        <v>0</v>
      </c>
      <c r="E269" s="186">
        <v>0</v>
      </c>
      <c r="F269" s="186">
        <v>0</v>
      </c>
    </row>
    <row r="270" spans="1:6" ht="12.95" hidden="1" customHeight="1" outlineLevel="1">
      <c r="A270" s="33" t="s">
        <v>1558</v>
      </c>
      <c r="B270" s="33">
        <v>879</v>
      </c>
      <c r="C270" s="40" t="str">
        <f t="shared" si="10"/>
        <v>Commission Fees879</v>
      </c>
      <c r="D270" s="104">
        <f t="shared" si="11"/>
        <v>0</v>
      </c>
      <c r="E270" s="186">
        <v>0</v>
      </c>
      <c r="F270" s="186">
        <v>0</v>
      </c>
    </row>
    <row r="271" spans="1:6" ht="12.95" hidden="1" customHeight="1" outlineLevel="1">
      <c r="A271" s="33" t="s">
        <v>1558</v>
      </c>
      <c r="B271" s="33">
        <v>880</v>
      </c>
      <c r="C271" s="40" t="str">
        <f t="shared" si="10"/>
        <v>Commission Fees880</v>
      </c>
      <c r="D271" s="104">
        <f t="shared" si="11"/>
        <v>0</v>
      </c>
      <c r="E271" s="186">
        <v>0</v>
      </c>
      <c r="F271" s="186">
        <v>0</v>
      </c>
    </row>
    <row r="272" spans="1:6" ht="12.95" hidden="1" customHeight="1" outlineLevel="1">
      <c r="A272" s="33" t="s">
        <v>1558</v>
      </c>
      <c r="B272" s="33">
        <v>881</v>
      </c>
      <c r="C272" s="40" t="str">
        <f t="shared" si="10"/>
        <v>Commission Fees881</v>
      </c>
      <c r="D272" s="104">
        <f t="shared" si="11"/>
        <v>0</v>
      </c>
      <c r="E272" s="186">
        <v>0</v>
      </c>
      <c r="F272" s="186">
        <v>0</v>
      </c>
    </row>
    <row r="273" spans="1:6" ht="12.95" hidden="1" customHeight="1" outlineLevel="1">
      <c r="A273" s="33" t="s">
        <v>1558</v>
      </c>
      <c r="B273" s="33">
        <v>885</v>
      </c>
      <c r="C273" s="40" t="str">
        <f t="shared" si="10"/>
        <v>Commission Fees885</v>
      </c>
      <c r="D273" s="104">
        <f t="shared" si="11"/>
        <v>0</v>
      </c>
      <c r="E273" s="186">
        <v>0</v>
      </c>
      <c r="F273" s="186">
        <v>0</v>
      </c>
    </row>
    <row r="274" spans="1:6" ht="12.95" hidden="1" customHeight="1" outlineLevel="1">
      <c r="A274" s="33" t="s">
        <v>1558</v>
      </c>
      <c r="B274" s="33">
        <v>886</v>
      </c>
      <c r="C274" s="40" t="str">
        <f t="shared" si="10"/>
        <v>Commission Fees886</v>
      </c>
      <c r="D274" s="104">
        <f t="shared" si="11"/>
        <v>0</v>
      </c>
      <c r="E274" s="186">
        <v>0</v>
      </c>
      <c r="F274" s="186">
        <v>0</v>
      </c>
    </row>
    <row r="275" spans="1:6" ht="12.95" hidden="1" customHeight="1" outlineLevel="1">
      <c r="A275" s="33" t="s">
        <v>1558</v>
      </c>
      <c r="B275" s="33">
        <v>887</v>
      </c>
      <c r="C275" s="40" t="str">
        <f t="shared" si="10"/>
        <v>Commission Fees887</v>
      </c>
      <c r="D275" s="104">
        <f t="shared" si="11"/>
        <v>0</v>
      </c>
      <c r="E275" s="186">
        <v>0</v>
      </c>
      <c r="F275" s="186">
        <v>0</v>
      </c>
    </row>
    <row r="276" spans="1:6" ht="12.95" hidden="1" customHeight="1" outlineLevel="1">
      <c r="A276" s="33" t="s">
        <v>1558</v>
      </c>
      <c r="B276" s="33">
        <v>889</v>
      </c>
      <c r="C276" s="40" t="str">
        <f t="shared" si="10"/>
        <v>Commission Fees889</v>
      </c>
      <c r="D276" s="104">
        <f t="shared" si="11"/>
        <v>0</v>
      </c>
      <c r="E276" s="186">
        <v>0</v>
      </c>
      <c r="F276" s="186">
        <v>0</v>
      </c>
    </row>
    <row r="277" spans="1:6" ht="12.95" hidden="1" customHeight="1" outlineLevel="1">
      <c r="A277" s="33" t="s">
        <v>1558</v>
      </c>
      <c r="B277" s="33">
        <v>890</v>
      </c>
      <c r="C277" s="40" t="str">
        <f t="shared" si="10"/>
        <v>Commission Fees890</v>
      </c>
      <c r="D277" s="104">
        <f t="shared" si="11"/>
        <v>0</v>
      </c>
      <c r="E277" s="186">
        <v>0</v>
      </c>
      <c r="F277" s="186">
        <v>0</v>
      </c>
    </row>
    <row r="278" spans="1:6" ht="12.95" hidden="1" customHeight="1" outlineLevel="1">
      <c r="A278" s="33" t="s">
        <v>1558</v>
      </c>
      <c r="B278" s="33">
        <v>892</v>
      </c>
      <c r="C278" s="40" t="str">
        <f t="shared" si="10"/>
        <v>Commission Fees892</v>
      </c>
      <c r="D278" s="104">
        <f t="shared" si="11"/>
        <v>0</v>
      </c>
      <c r="E278" s="186">
        <v>0</v>
      </c>
      <c r="F278" s="186">
        <v>0</v>
      </c>
    </row>
    <row r="279" spans="1:6" ht="12.95" hidden="1" customHeight="1" outlineLevel="1">
      <c r="A279" s="33" t="s">
        <v>1558</v>
      </c>
      <c r="B279" s="33">
        <v>893</v>
      </c>
      <c r="C279" s="40" t="str">
        <f t="shared" si="10"/>
        <v>Commission Fees893</v>
      </c>
      <c r="D279" s="104">
        <f t="shared" si="11"/>
        <v>0</v>
      </c>
      <c r="E279" s="186">
        <v>0</v>
      </c>
      <c r="F279" s="186">
        <v>0</v>
      </c>
    </row>
    <row r="280" spans="1:6" ht="12.95" hidden="1" customHeight="1" outlineLevel="1">
      <c r="A280" s="33" t="s">
        <v>1558</v>
      </c>
      <c r="B280" s="33">
        <v>894</v>
      </c>
      <c r="C280" s="40" t="str">
        <f t="shared" si="10"/>
        <v>Commission Fees894</v>
      </c>
      <c r="D280" s="104">
        <f t="shared" si="11"/>
        <v>0</v>
      </c>
      <c r="E280" s="186">
        <v>0</v>
      </c>
      <c r="F280" s="186">
        <v>0</v>
      </c>
    </row>
    <row r="281" spans="1:6" ht="12.95" hidden="1" customHeight="1" outlineLevel="1">
      <c r="A281" s="33" t="s">
        <v>1558</v>
      </c>
      <c r="B281" s="33">
        <v>902</v>
      </c>
      <c r="C281" s="40" t="str">
        <f t="shared" si="10"/>
        <v>Commission Fees902</v>
      </c>
      <c r="D281" s="104">
        <f t="shared" si="11"/>
        <v>0</v>
      </c>
      <c r="E281" s="186">
        <v>0</v>
      </c>
      <c r="F281" s="186">
        <v>0</v>
      </c>
    </row>
    <row r="282" spans="1:6" ht="12.95" hidden="1" customHeight="1" outlineLevel="1">
      <c r="A282" s="33" t="s">
        <v>1558</v>
      </c>
      <c r="B282" s="33">
        <v>903</v>
      </c>
      <c r="C282" s="40" t="str">
        <f t="shared" si="10"/>
        <v>Commission Fees903</v>
      </c>
      <c r="D282" s="104">
        <f t="shared" si="11"/>
        <v>0</v>
      </c>
      <c r="E282" s="186">
        <v>0</v>
      </c>
      <c r="F282" s="186">
        <v>0</v>
      </c>
    </row>
    <row r="283" spans="1:6" ht="12.95" hidden="1" customHeight="1" outlineLevel="1">
      <c r="A283" s="33" t="s">
        <v>1558</v>
      </c>
      <c r="B283" s="33">
        <v>904</v>
      </c>
      <c r="C283" s="40" t="str">
        <f t="shared" si="10"/>
        <v>Commission Fees904</v>
      </c>
      <c r="D283" s="104">
        <f t="shared" si="11"/>
        <v>0</v>
      </c>
      <c r="E283" s="186">
        <v>0</v>
      </c>
      <c r="F283" s="186">
        <v>0</v>
      </c>
    </row>
    <row r="284" spans="1:6" ht="12.95" hidden="1" customHeight="1" outlineLevel="1">
      <c r="A284" s="33" t="s">
        <v>1558</v>
      </c>
      <c r="B284" s="33">
        <v>905</v>
      </c>
      <c r="C284" s="40" t="str">
        <f t="shared" si="10"/>
        <v>Commission Fees905</v>
      </c>
      <c r="D284" s="104">
        <f t="shared" si="11"/>
        <v>0</v>
      </c>
      <c r="E284" s="186">
        <v>0</v>
      </c>
      <c r="F284" s="186">
        <v>0</v>
      </c>
    </row>
    <row r="285" spans="1:6" ht="12.95" hidden="1" customHeight="1" outlineLevel="1">
      <c r="A285" s="33" t="s">
        <v>1558</v>
      </c>
      <c r="B285" s="33">
        <v>907</v>
      </c>
      <c r="C285" s="40" t="str">
        <f t="shared" si="10"/>
        <v>Commission Fees907</v>
      </c>
      <c r="D285" s="104">
        <f t="shared" si="11"/>
        <v>0</v>
      </c>
      <c r="E285" s="186">
        <v>0</v>
      </c>
      <c r="F285" s="186">
        <v>0</v>
      </c>
    </row>
    <row r="286" spans="1:6" ht="12.95" hidden="1" customHeight="1" outlineLevel="1">
      <c r="A286" s="33" t="s">
        <v>1558</v>
      </c>
      <c r="B286" s="33">
        <v>908</v>
      </c>
      <c r="C286" s="40" t="str">
        <f t="shared" si="10"/>
        <v>Commission Fees908</v>
      </c>
      <c r="D286" s="104">
        <f t="shared" si="11"/>
        <v>0</v>
      </c>
      <c r="E286" s="186">
        <v>0</v>
      </c>
      <c r="F286" s="186">
        <v>0</v>
      </c>
    </row>
    <row r="287" spans="1:6" ht="12.95" hidden="1" customHeight="1" outlineLevel="1">
      <c r="A287" s="33" t="s">
        <v>1558</v>
      </c>
      <c r="B287" s="33">
        <v>909</v>
      </c>
      <c r="C287" s="40" t="str">
        <f t="shared" si="10"/>
        <v>Commission Fees909</v>
      </c>
      <c r="D287" s="104">
        <f t="shared" si="11"/>
        <v>0</v>
      </c>
      <c r="E287" s="186">
        <v>0</v>
      </c>
      <c r="F287" s="186">
        <v>0</v>
      </c>
    </row>
    <row r="288" spans="1:6" ht="12.95" hidden="1" customHeight="1" outlineLevel="1">
      <c r="A288" s="33" t="s">
        <v>1558</v>
      </c>
      <c r="B288" s="33">
        <v>910</v>
      </c>
      <c r="C288" s="40" t="str">
        <f t="shared" si="10"/>
        <v>Commission Fees910</v>
      </c>
      <c r="D288" s="104">
        <f t="shared" si="11"/>
        <v>0</v>
      </c>
      <c r="E288" s="186">
        <v>0</v>
      </c>
      <c r="F288" s="186">
        <v>0</v>
      </c>
    </row>
    <row r="289" spans="1:6" ht="12.95" hidden="1" customHeight="1" outlineLevel="1">
      <c r="A289" s="33" t="s">
        <v>1558</v>
      </c>
      <c r="B289" s="33">
        <v>911</v>
      </c>
      <c r="C289" s="40" t="str">
        <f t="shared" si="10"/>
        <v>Commission Fees911</v>
      </c>
      <c r="D289" s="104">
        <f t="shared" si="11"/>
        <v>0</v>
      </c>
      <c r="E289" s="186">
        <v>0</v>
      </c>
      <c r="F289" s="186">
        <v>0</v>
      </c>
    </row>
    <row r="290" spans="1:6" ht="12.95" hidden="1" customHeight="1" outlineLevel="1">
      <c r="A290" s="33" t="s">
        <v>1558</v>
      </c>
      <c r="B290" s="33">
        <v>912</v>
      </c>
      <c r="C290" s="40" t="str">
        <f t="shared" si="10"/>
        <v>Commission Fees912</v>
      </c>
      <c r="D290" s="104">
        <f t="shared" si="11"/>
        <v>0</v>
      </c>
      <c r="E290" s="186">
        <v>0</v>
      </c>
      <c r="F290" s="186">
        <v>0</v>
      </c>
    </row>
    <row r="291" spans="1:6" ht="12.95" hidden="1" customHeight="1" outlineLevel="1">
      <c r="A291" s="33" t="s">
        <v>1558</v>
      </c>
      <c r="B291" s="33">
        <v>913</v>
      </c>
      <c r="C291" s="40" t="str">
        <f t="shared" si="10"/>
        <v>Commission Fees913</v>
      </c>
      <c r="D291" s="104">
        <f t="shared" si="11"/>
        <v>0</v>
      </c>
      <c r="E291" s="186">
        <v>0</v>
      </c>
      <c r="F291" s="186">
        <v>0</v>
      </c>
    </row>
    <row r="292" spans="1:6" ht="12.95" hidden="1" customHeight="1" outlineLevel="1">
      <c r="A292" s="33" t="s">
        <v>1558</v>
      </c>
      <c r="B292" s="33">
        <v>920</v>
      </c>
      <c r="C292" s="40" t="str">
        <f t="shared" si="10"/>
        <v>Commission Fees920</v>
      </c>
      <c r="D292" s="104">
        <f t="shared" si="11"/>
        <v>0</v>
      </c>
      <c r="E292" s="186">
        <v>0</v>
      </c>
      <c r="F292" s="186">
        <v>0</v>
      </c>
    </row>
    <row r="293" spans="1:6" ht="12.95" hidden="1" customHeight="1" outlineLevel="1">
      <c r="A293" s="33" t="s">
        <v>1558</v>
      </c>
      <c r="B293" s="33">
        <v>921</v>
      </c>
      <c r="C293" s="40" t="str">
        <f t="shared" si="10"/>
        <v>Commission Fees921</v>
      </c>
      <c r="D293" s="104">
        <f t="shared" si="11"/>
        <v>0</v>
      </c>
      <c r="E293" s="186">
        <v>0</v>
      </c>
      <c r="F293" s="186">
        <v>0</v>
      </c>
    </row>
    <row r="294" spans="1:6" ht="12.95" hidden="1" customHeight="1" outlineLevel="1">
      <c r="A294" s="33" t="s">
        <v>1558</v>
      </c>
      <c r="B294" s="33">
        <v>923</v>
      </c>
      <c r="C294" s="40" t="str">
        <f t="shared" si="10"/>
        <v>Commission Fees923</v>
      </c>
      <c r="D294" s="104">
        <f t="shared" si="11"/>
        <v>0</v>
      </c>
      <c r="E294" s="186">
        <v>0</v>
      </c>
      <c r="F294" s="186">
        <v>0</v>
      </c>
    </row>
    <row r="295" spans="1:6" ht="12.95" hidden="1" customHeight="1" outlineLevel="1">
      <c r="A295" s="33" t="s">
        <v>1558</v>
      </c>
      <c r="B295" s="33">
        <v>924</v>
      </c>
      <c r="C295" s="40" t="str">
        <f t="shared" si="10"/>
        <v>Commission Fees924</v>
      </c>
      <c r="D295" s="104">
        <f t="shared" si="11"/>
        <v>0</v>
      </c>
      <c r="E295" s="186">
        <v>0</v>
      </c>
      <c r="F295" s="186">
        <v>0</v>
      </c>
    </row>
    <row r="296" spans="1:6" ht="12.95" hidden="1" customHeight="1" outlineLevel="1">
      <c r="A296" s="33" t="s">
        <v>1558</v>
      </c>
      <c r="B296" s="33">
        <v>925</v>
      </c>
      <c r="C296" s="40" t="str">
        <f t="shared" si="10"/>
        <v>Commission Fees925</v>
      </c>
      <c r="D296" s="104">
        <f t="shared" si="11"/>
        <v>0</v>
      </c>
      <c r="E296" s="186">
        <v>0</v>
      </c>
      <c r="F296" s="186">
        <v>0</v>
      </c>
    </row>
    <row r="297" spans="1:6" ht="12.95" hidden="1" customHeight="1" outlineLevel="1">
      <c r="A297" s="33" t="s">
        <v>1558</v>
      </c>
      <c r="B297" s="33">
        <v>926</v>
      </c>
      <c r="C297" s="40" t="str">
        <f t="shared" si="10"/>
        <v>Commission Fees926</v>
      </c>
      <c r="D297" s="104">
        <f t="shared" si="11"/>
        <v>0</v>
      </c>
      <c r="E297" s="186">
        <v>0</v>
      </c>
      <c r="F297" s="186">
        <v>0</v>
      </c>
    </row>
    <row r="298" spans="1:6" ht="12.95" hidden="1" customHeight="1" outlineLevel="1">
      <c r="A298" s="33" t="s">
        <v>1558</v>
      </c>
      <c r="B298" s="33">
        <v>928</v>
      </c>
      <c r="C298" s="40" t="str">
        <f t="shared" si="10"/>
        <v>Commission Fees928</v>
      </c>
      <c r="D298" s="104">
        <f t="shared" si="11"/>
        <v>0</v>
      </c>
      <c r="E298" s="186">
        <v>268832.03999999992</v>
      </c>
      <c r="F298" s="186">
        <v>268832.03999999992</v>
      </c>
    </row>
    <row r="299" spans="1:6" ht="12.95" hidden="1" customHeight="1" outlineLevel="1">
      <c r="A299" s="33" t="s">
        <v>1558</v>
      </c>
      <c r="B299" s="33">
        <v>9301</v>
      </c>
      <c r="C299" s="40" t="str">
        <f t="shared" si="10"/>
        <v>Commission Fees9301</v>
      </c>
      <c r="D299" s="104">
        <f t="shared" si="11"/>
        <v>0</v>
      </c>
      <c r="E299" s="186">
        <v>0</v>
      </c>
      <c r="F299" s="186">
        <v>0</v>
      </c>
    </row>
    <row r="300" spans="1:6" ht="12.95" hidden="1" customHeight="1" outlineLevel="1">
      <c r="A300" s="33" t="s">
        <v>1558</v>
      </c>
      <c r="B300" s="33">
        <v>9302</v>
      </c>
      <c r="C300" s="40" t="str">
        <f t="shared" si="10"/>
        <v>Commission Fees9302</v>
      </c>
      <c r="D300" s="104">
        <f t="shared" si="11"/>
        <v>0</v>
      </c>
      <c r="E300" s="186">
        <v>0</v>
      </c>
      <c r="F300" s="186">
        <v>0</v>
      </c>
    </row>
    <row r="301" spans="1:6" ht="12.95" hidden="1" customHeight="1" outlineLevel="1">
      <c r="A301" s="33" t="s">
        <v>1558</v>
      </c>
      <c r="B301" s="33">
        <v>931</v>
      </c>
      <c r="C301" s="40" t="str">
        <f t="shared" si="10"/>
        <v>Commission Fees931</v>
      </c>
      <c r="D301" s="104">
        <f t="shared" si="11"/>
        <v>0</v>
      </c>
      <c r="E301" s="186">
        <v>0</v>
      </c>
      <c r="F301" s="186">
        <v>0</v>
      </c>
    </row>
    <row r="302" spans="1:6" ht="12.95" hidden="1" customHeight="1" outlineLevel="1">
      <c r="A302" s="33" t="s">
        <v>1558</v>
      </c>
      <c r="B302" s="33">
        <v>932</v>
      </c>
      <c r="C302" s="40" t="str">
        <f t="shared" si="10"/>
        <v>Commission Fees932</v>
      </c>
      <c r="D302" s="104">
        <f t="shared" si="11"/>
        <v>0</v>
      </c>
      <c r="E302" s="186">
        <v>0</v>
      </c>
      <c r="F302" s="186">
        <v>0</v>
      </c>
    </row>
    <row r="303" spans="1:6" ht="12.95" hidden="1" customHeight="1" outlineLevel="1">
      <c r="A303" s="33" t="s">
        <v>1558</v>
      </c>
      <c r="B303" s="33">
        <v>935</v>
      </c>
      <c r="C303" s="40" t="str">
        <f t="shared" si="10"/>
        <v>Commission Fees935</v>
      </c>
      <c r="D303" s="104">
        <f t="shared" si="11"/>
        <v>0</v>
      </c>
      <c r="E303" s="186">
        <v>0</v>
      </c>
      <c r="F303" s="186">
        <v>0</v>
      </c>
    </row>
    <row r="304" spans="1:6" s="13" customFormat="1" collapsed="1">
      <c r="A304" s="14" t="s">
        <v>1558</v>
      </c>
      <c r="B304" s="15"/>
      <c r="D304" s="194">
        <f>SUM(D256:D303)</f>
        <v>0</v>
      </c>
      <c r="E304" s="194">
        <f>SUM(E256:E303)</f>
        <v>268832.03999999992</v>
      </c>
      <c r="F304" s="194">
        <f>SUM(F256:F303)</f>
        <v>268832.03999999992</v>
      </c>
    </row>
    <row r="305" spans="1:6" ht="12.95" hidden="1" customHeight="1" outlineLevel="1">
      <c r="A305" s="33" t="s">
        <v>1085</v>
      </c>
      <c r="B305" s="33">
        <v>801</v>
      </c>
      <c r="C305" s="40" t="str">
        <f t="shared" ref="C305:C351" si="12">A305&amp;B305</f>
        <v>Corporate Insurance801</v>
      </c>
      <c r="D305" s="104">
        <f t="shared" ref="D305:D351" si="13">+F305-E305</f>
        <v>0</v>
      </c>
      <c r="E305" s="186">
        <v>0</v>
      </c>
      <c r="F305" s="186">
        <v>0</v>
      </c>
    </row>
    <row r="306" spans="1:6" ht="12.95" hidden="1" customHeight="1" outlineLevel="1">
      <c r="A306" s="33" t="s">
        <v>1085</v>
      </c>
      <c r="B306" s="33">
        <v>803</v>
      </c>
      <c r="C306" s="40" t="str">
        <f t="shared" si="12"/>
        <v>Corporate Insurance803</v>
      </c>
      <c r="D306" s="104">
        <f t="shared" si="13"/>
        <v>0</v>
      </c>
      <c r="E306" s="186">
        <v>0</v>
      </c>
      <c r="F306" s="186">
        <v>0</v>
      </c>
    </row>
    <row r="307" spans="1:6" ht="12.95" hidden="1" customHeight="1" outlineLevel="1">
      <c r="A307" s="33" t="s">
        <v>1085</v>
      </c>
      <c r="B307" s="33">
        <v>804</v>
      </c>
      <c r="C307" s="40" t="str">
        <f t="shared" si="12"/>
        <v>Corporate Insurance804</v>
      </c>
      <c r="D307" s="104">
        <f t="shared" si="13"/>
        <v>0</v>
      </c>
      <c r="E307" s="186">
        <v>0</v>
      </c>
      <c r="F307" s="186">
        <v>0</v>
      </c>
    </row>
    <row r="308" spans="1:6" ht="12.95" hidden="1" customHeight="1" outlineLevel="1">
      <c r="A308" s="33" t="s">
        <v>1085</v>
      </c>
      <c r="B308" s="33">
        <v>805</v>
      </c>
      <c r="C308" s="40" t="str">
        <f t="shared" si="12"/>
        <v>Corporate Insurance805</v>
      </c>
      <c r="D308" s="104">
        <f t="shared" si="13"/>
        <v>0</v>
      </c>
      <c r="E308" s="186">
        <v>0</v>
      </c>
      <c r="F308" s="186">
        <v>0</v>
      </c>
    </row>
    <row r="309" spans="1:6" ht="12.95" hidden="1" customHeight="1" outlineLevel="1">
      <c r="A309" s="33" t="s">
        <v>1085</v>
      </c>
      <c r="B309" s="33">
        <v>806</v>
      </c>
      <c r="C309" s="40" t="str">
        <f t="shared" si="12"/>
        <v>Corporate Insurance806</v>
      </c>
      <c r="D309" s="104">
        <f t="shared" si="13"/>
        <v>0</v>
      </c>
      <c r="E309" s="186">
        <v>0</v>
      </c>
      <c r="F309" s="186">
        <v>0</v>
      </c>
    </row>
    <row r="310" spans="1:6" ht="12.95" hidden="1" customHeight="1" outlineLevel="1">
      <c r="A310" s="33" t="s">
        <v>1085</v>
      </c>
      <c r="B310" s="33">
        <v>807</v>
      </c>
      <c r="C310" s="40" t="str">
        <f t="shared" si="12"/>
        <v>Corporate Insurance807</v>
      </c>
      <c r="D310" s="104">
        <f t="shared" si="13"/>
        <v>0</v>
      </c>
      <c r="E310" s="186">
        <v>0</v>
      </c>
      <c r="F310" s="186">
        <v>0</v>
      </c>
    </row>
    <row r="311" spans="1:6" ht="12.95" hidden="1" customHeight="1" outlineLevel="1">
      <c r="A311" s="33" t="s">
        <v>1085</v>
      </c>
      <c r="B311" s="33">
        <v>808</v>
      </c>
      <c r="C311" s="40" t="str">
        <f t="shared" si="12"/>
        <v>Corporate Insurance808</v>
      </c>
      <c r="D311" s="104">
        <f t="shared" si="13"/>
        <v>0</v>
      </c>
      <c r="E311" s="186">
        <v>0</v>
      </c>
      <c r="F311" s="186">
        <v>0</v>
      </c>
    </row>
    <row r="312" spans="1:6" ht="12.95" hidden="1" customHeight="1" outlineLevel="1">
      <c r="A312" s="33" t="s">
        <v>1085</v>
      </c>
      <c r="B312" s="33">
        <v>812</v>
      </c>
      <c r="C312" s="40" t="str">
        <f t="shared" si="12"/>
        <v>Corporate Insurance812</v>
      </c>
      <c r="D312" s="104">
        <f t="shared" si="13"/>
        <v>0</v>
      </c>
      <c r="E312" s="186">
        <v>0</v>
      </c>
      <c r="F312" s="186">
        <v>0</v>
      </c>
    </row>
    <row r="313" spans="1:6" ht="12.95" hidden="1" customHeight="1" outlineLevel="1">
      <c r="A313" s="33" t="s">
        <v>1085</v>
      </c>
      <c r="B313" s="33">
        <v>870</v>
      </c>
      <c r="C313" s="40" t="str">
        <f t="shared" si="12"/>
        <v>Corporate Insurance870</v>
      </c>
      <c r="D313" s="104">
        <f t="shared" si="13"/>
        <v>0</v>
      </c>
      <c r="E313" s="186">
        <v>0</v>
      </c>
      <c r="F313" s="186">
        <v>0</v>
      </c>
    </row>
    <row r="314" spans="1:6" ht="12.95" hidden="1" customHeight="1" outlineLevel="1">
      <c r="A314" s="33" t="s">
        <v>1085</v>
      </c>
      <c r="B314" s="33">
        <v>871</v>
      </c>
      <c r="C314" s="40" t="str">
        <f t="shared" si="12"/>
        <v>Corporate Insurance871</v>
      </c>
      <c r="D314" s="104">
        <f t="shared" si="13"/>
        <v>0</v>
      </c>
      <c r="E314" s="186">
        <v>0</v>
      </c>
      <c r="F314" s="186">
        <v>0</v>
      </c>
    </row>
    <row r="315" spans="1:6" ht="12.95" hidden="1" customHeight="1" outlineLevel="1">
      <c r="A315" s="33" t="s">
        <v>1085</v>
      </c>
      <c r="B315" s="33">
        <v>874</v>
      </c>
      <c r="C315" s="40" t="str">
        <f t="shared" si="12"/>
        <v>Corporate Insurance874</v>
      </c>
      <c r="D315" s="104">
        <f t="shared" si="13"/>
        <v>-1.9800000000000004</v>
      </c>
      <c r="E315" s="186">
        <v>6.36</v>
      </c>
      <c r="F315" s="186">
        <v>4.38</v>
      </c>
    </row>
    <row r="316" spans="1:6" ht="12.95" hidden="1" customHeight="1" outlineLevel="1">
      <c r="A316" s="33" t="s">
        <v>1085</v>
      </c>
      <c r="B316" s="33">
        <v>875</v>
      </c>
      <c r="C316" s="40" t="str">
        <f t="shared" si="12"/>
        <v>Corporate Insurance875</v>
      </c>
      <c r="D316" s="104">
        <f t="shared" si="13"/>
        <v>0</v>
      </c>
      <c r="E316" s="186">
        <v>0</v>
      </c>
      <c r="F316" s="186">
        <v>0</v>
      </c>
    </row>
    <row r="317" spans="1:6" ht="12.95" hidden="1" customHeight="1" outlineLevel="1">
      <c r="A317" s="33" t="s">
        <v>1085</v>
      </c>
      <c r="B317" s="33">
        <v>876</v>
      </c>
      <c r="C317" s="40" t="str">
        <f t="shared" si="12"/>
        <v>Corporate Insurance876</v>
      </c>
      <c r="D317" s="104">
        <f t="shared" si="13"/>
        <v>0</v>
      </c>
      <c r="E317" s="186">
        <v>0</v>
      </c>
      <c r="F317" s="186">
        <v>0</v>
      </c>
    </row>
    <row r="318" spans="1:6" ht="12.95" hidden="1" customHeight="1" outlineLevel="1">
      <c r="A318" s="33" t="s">
        <v>1085</v>
      </c>
      <c r="B318" s="33">
        <v>878</v>
      </c>
      <c r="C318" s="40" t="str">
        <f t="shared" si="12"/>
        <v>Corporate Insurance878</v>
      </c>
      <c r="D318" s="104">
        <f t="shared" si="13"/>
        <v>0</v>
      </c>
      <c r="E318" s="186">
        <v>0</v>
      </c>
      <c r="F318" s="186">
        <v>0</v>
      </c>
    </row>
    <row r="319" spans="1:6" ht="12.95" hidden="1" customHeight="1" outlineLevel="1">
      <c r="A319" s="33" t="s">
        <v>1085</v>
      </c>
      <c r="B319" s="33">
        <v>879</v>
      </c>
      <c r="C319" s="40" t="str">
        <f t="shared" si="12"/>
        <v>Corporate Insurance879</v>
      </c>
      <c r="D319" s="104">
        <f t="shared" si="13"/>
        <v>0</v>
      </c>
      <c r="E319" s="186">
        <v>0</v>
      </c>
      <c r="F319" s="186">
        <v>0</v>
      </c>
    </row>
    <row r="320" spans="1:6" ht="12.95" hidden="1" customHeight="1" outlineLevel="1">
      <c r="A320" s="33" t="s">
        <v>1085</v>
      </c>
      <c r="B320" s="33">
        <v>880</v>
      </c>
      <c r="C320" s="40" t="str">
        <f t="shared" si="12"/>
        <v>Corporate Insurance880</v>
      </c>
      <c r="D320" s="104">
        <f t="shared" si="13"/>
        <v>14.989999999999988</v>
      </c>
      <c r="E320" s="186">
        <v>30.410000000000004</v>
      </c>
      <c r="F320" s="186">
        <v>45.399999999999991</v>
      </c>
    </row>
    <row r="321" spans="1:6" ht="12.95" hidden="1" customHeight="1" outlineLevel="1">
      <c r="A321" s="33" t="s">
        <v>1085</v>
      </c>
      <c r="B321" s="33">
        <v>881</v>
      </c>
      <c r="C321" s="40" t="str">
        <f t="shared" si="12"/>
        <v>Corporate Insurance881</v>
      </c>
      <c r="D321" s="104">
        <f t="shared" si="13"/>
        <v>0</v>
      </c>
      <c r="E321" s="186">
        <v>0</v>
      </c>
      <c r="F321" s="186">
        <v>0</v>
      </c>
    </row>
    <row r="322" spans="1:6" ht="12.95" hidden="1" customHeight="1" outlineLevel="1">
      <c r="A322" s="33" t="s">
        <v>1085</v>
      </c>
      <c r="B322" s="33">
        <v>885</v>
      </c>
      <c r="C322" s="40" t="str">
        <f t="shared" si="12"/>
        <v>Corporate Insurance885</v>
      </c>
      <c r="D322" s="104">
        <f t="shared" si="13"/>
        <v>0</v>
      </c>
      <c r="E322" s="186">
        <v>0</v>
      </c>
      <c r="F322" s="186">
        <v>0</v>
      </c>
    </row>
    <row r="323" spans="1:6" ht="12.95" hidden="1" customHeight="1" outlineLevel="1">
      <c r="A323" s="33" t="s">
        <v>1085</v>
      </c>
      <c r="B323" s="33">
        <v>886</v>
      </c>
      <c r="C323" s="40" t="str">
        <f t="shared" si="12"/>
        <v>Corporate Insurance886</v>
      </c>
      <c r="D323" s="104">
        <f t="shared" si="13"/>
        <v>0</v>
      </c>
      <c r="E323" s="186">
        <v>0</v>
      </c>
      <c r="F323" s="186">
        <v>0</v>
      </c>
    </row>
    <row r="324" spans="1:6" ht="12.95" hidden="1" customHeight="1" outlineLevel="1">
      <c r="A324" s="33" t="s">
        <v>1085</v>
      </c>
      <c r="B324" s="33">
        <v>887</v>
      </c>
      <c r="C324" s="40" t="str">
        <f t="shared" si="12"/>
        <v>Corporate Insurance887</v>
      </c>
      <c r="D324" s="104">
        <f t="shared" si="13"/>
        <v>0</v>
      </c>
      <c r="E324" s="186">
        <v>0</v>
      </c>
      <c r="F324" s="186">
        <v>0</v>
      </c>
    </row>
    <row r="325" spans="1:6" ht="12.95" hidden="1" customHeight="1" outlineLevel="1">
      <c r="A325" s="33" t="s">
        <v>1085</v>
      </c>
      <c r="B325" s="33">
        <v>889</v>
      </c>
      <c r="C325" s="40" t="str">
        <f t="shared" si="12"/>
        <v>Corporate Insurance889</v>
      </c>
      <c r="D325" s="104">
        <f t="shared" si="13"/>
        <v>0</v>
      </c>
      <c r="E325" s="186">
        <v>0</v>
      </c>
      <c r="F325" s="186">
        <v>0</v>
      </c>
    </row>
    <row r="326" spans="1:6" ht="12.95" hidden="1" customHeight="1" outlineLevel="1">
      <c r="A326" s="33" t="s">
        <v>1085</v>
      </c>
      <c r="B326" s="33">
        <v>890</v>
      </c>
      <c r="C326" s="40" t="str">
        <f t="shared" si="12"/>
        <v>Corporate Insurance890</v>
      </c>
      <c r="D326" s="104">
        <f t="shared" si="13"/>
        <v>0</v>
      </c>
      <c r="E326" s="186">
        <v>0</v>
      </c>
      <c r="F326" s="186">
        <v>0</v>
      </c>
    </row>
    <row r="327" spans="1:6" ht="12.95" hidden="1" customHeight="1" outlineLevel="1">
      <c r="A327" s="33" t="s">
        <v>1085</v>
      </c>
      <c r="B327" s="33">
        <v>892</v>
      </c>
      <c r="C327" s="40" t="str">
        <f t="shared" si="12"/>
        <v>Corporate Insurance892</v>
      </c>
      <c r="D327" s="104">
        <f t="shared" si="13"/>
        <v>0</v>
      </c>
      <c r="E327" s="186">
        <v>0</v>
      </c>
      <c r="F327" s="186">
        <v>0</v>
      </c>
    </row>
    <row r="328" spans="1:6" ht="12.95" hidden="1" customHeight="1" outlineLevel="1">
      <c r="A328" s="33" t="s">
        <v>1085</v>
      </c>
      <c r="B328" s="33">
        <v>893</v>
      </c>
      <c r="C328" s="40" t="str">
        <f t="shared" si="12"/>
        <v>Corporate Insurance893</v>
      </c>
      <c r="D328" s="104">
        <f t="shared" si="13"/>
        <v>0</v>
      </c>
      <c r="E328" s="186">
        <v>0</v>
      </c>
      <c r="F328" s="186">
        <v>0</v>
      </c>
    </row>
    <row r="329" spans="1:6" ht="12.95" hidden="1" customHeight="1" outlineLevel="1">
      <c r="A329" s="33" t="s">
        <v>1085</v>
      </c>
      <c r="B329" s="33">
        <v>894</v>
      </c>
      <c r="C329" s="40" t="str">
        <f t="shared" si="12"/>
        <v>Corporate Insurance894</v>
      </c>
      <c r="D329" s="104">
        <f t="shared" si="13"/>
        <v>0</v>
      </c>
      <c r="E329" s="186">
        <v>0</v>
      </c>
      <c r="F329" s="186">
        <v>0</v>
      </c>
    </row>
    <row r="330" spans="1:6" ht="12.95" hidden="1" customHeight="1" outlineLevel="1">
      <c r="A330" s="33" t="s">
        <v>1085</v>
      </c>
      <c r="B330" s="33">
        <v>902</v>
      </c>
      <c r="C330" s="40" t="str">
        <f t="shared" si="12"/>
        <v>Corporate Insurance902</v>
      </c>
      <c r="D330" s="104">
        <f t="shared" si="13"/>
        <v>0</v>
      </c>
      <c r="E330" s="186">
        <v>0</v>
      </c>
      <c r="F330" s="186">
        <v>0</v>
      </c>
    </row>
    <row r="331" spans="1:6" ht="12.95" hidden="1" customHeight="1" outlineLevel="1">
      <c r="A331" s="33" t="s">
        <v>1085</v>
      </c>
      <c r="B331" s="33">
        <v>903</v>
      </c>
      <c r="C331" s="40" t="str">
        <f t="shared" si="12"/>
        <v>Corporate Insurance903</v>
      </c>
      <c r="D331" s="104">
        <f t="shared" si="13"/>
        <v>0</v>
      </c>
      <c r="E331" s="186">
        <v>0</v>
      </c>
      <c r="F331" s="186">
        <v>0</v>
      </c>
    </row>
    <row r="332" spans="1:6" ht="12.95" hidden="1" customHeight="1" outlineLevel="1">
      <c r="A332" s="33" t="s">
        <v>1085</v>
      </c>
      <c r="B332" s="33">
        <v>904</v>
      </c>
      <c r="C332" s="40" t="str">
        <f t="shared" si="12"/>
        <v>Corporate Insurance904</v>
      </c>
      <c r="D332" s="104">
        <f t="shared" si="13"/>
        <v>0</v>
      </c>
      <c r="E332" s="186">
        <v>0</v>
      </c>
      <c r="F332" s="186">
        <v>0</v>
      </c>
    </row>
    <row r="333" spans="1:6" ht="12.95" hidden="1" customHeight="1" outlineLevel="1">
      <c r="A333" s="33" t="s">
        <v>1085</v>
      </c>
      <c r="B333" s="33">
        <v>905</v>
      </c>
      <c r="C333" s="40" t="str">
        <f t="shared" si="12"/>
        <v>Corporate Insurance905</v>
      </c>
      <c r="D333" s="104">
        <f t="shared" si="13"/>
        <v>0</v>
      </c>
      <c r="E333" s="186">
        <v>0</v>
      </c>
      <c r="F333" s="186">
        <v>0</v>
      </c>
    </row>
    <row r="334" spans="1:6" ht="12.95" hidden="1" customHeight="1" outlineLevel="1">
      <c r="A334" s="33" t="s">
        <v>1085</v>
      </c>
      <c r="B334" s="33">
        <v>907</v>
      </c>
      <c r="C334" s="40" t="str">
        <f t="shared" si="12"/>
        <v>Corporate Insurance907</v>
      </c>
      <c r="D334" s="104">
        <f t="shared" si="13"/>
        <v>0</v>
      </c>
      <c r="E334" s="186">
        <v>0</v>
      </c>
      <c r="F334" s="186">
        <v>0</v>
      </c>
    </row>
    <row r="335" spans="1:6" ht="12.95" hidden="1" customHeight="1" outlineLevel="1">
      <c r="A335" s="33" t="s">
        <v>1085</v>
      </c>
      <c r="B335" s="33">
        <v>908</v>
      </c>
      <c r="C335" s="40" t="str">
        <f t="shared" si="12"/>
        <v>Corporate Insurance908</v>
      </c>
      <c r="D335" s="104">
        <f t="shared" si="13"/>
        <v>0</v>
      </c>
      <c r="E335" s="186">
        <v>0</v>
      </c>
      <c r="F335" s="186">
        <v>0</v>
      </c>
    </row>
    <row r="336" spans="1:6" ht="12.95" hidden="1" customHeight="1" outlineLevel="1">
      <c r="A336" s="33" t="s">
        <v>1085</v>
      </c>
      <c r="B336" s="33">
        <v>909</v>
      </c>
      <c r="C336" s="40" t="str">
        <f t="shared" si="12"/>
        <v>Corporate Insurance909</v>
      </c>
      <c r="D336" s="104">
        <f t="shared" si="13"/>
        <v>0</v>
      </c>
      <c r="E336" s="186">
        <v>0</v>
      </c>
      <c r="F336" s="186">
        <v>0</v>
      </c>
    </row>
    <row r="337" spans="1:6" ht="12.95" hidden="1" customHeight="1" outlineLevel="1">
      <c r="A337" s="33" t="s">
        <v>1085</v>
      </c>
      <c r="B337" s="33">
        <v>910</v>
      </c>
      <c r="C337" s="40" t="str">
        <f t="shared" si="12"/>
        <v>Corporate Insurance910</v>
      </c>
      <c r="D337" s="104">
        <f t="shared" si="13"/>
        <v>0</v>
      </c>
      <c r="E337" s="186">
        <v>0</v>
      </c>
      <c r="F337" s="186">
        <v>0</v>
      </c>
    </row>
    <row r="338" spans="1:6" ht="12.95" hidden="1" customHeight="1" outlineLevel="1">
      <c r="A338" s="33" t="s">
        <v>1085</v>
      </c>
      <c r="B338" s="33">
        <v>911</v>
      </c>
      <c r="C338" s="40" t="str">
        <f t="shared" si="12"/>
        <v>Corporate Insurance911</v>
      </c>
      <c r="D338" s="104">
        <f t="shared" si="13"/>
        <v>0</v>
      </c>
      <c r="E338" s="186">
        <v>0</v>
      </c>
      <c r="F338" s="186">
        <v>0</v>
      </c>
    </row>
    <row r="339" spans="1:6" ht="12.95" hidden="1" customHeight="1" outlineLevel="1">
      <c r="A339" s="33" t="s">
        <v>1085</v>
      </c>
      <c r="B339" s="33">
        <v>912</v>
      </c>
      <c r="C339" s="40" t="str">
        <f t="shared" si="12"/>
        <v>Corporate Insurance912</v>
      </c>
      <c r="D339" s="104">
        <f t="shared" si="13"/>
        <v>0</v>
      </c>
      <c r="E339" s="186">
        <v>0</v>
      </c>
      <c r="F339" s="186">
        <v>0</v>
      </c>
    </row>
    <row r="340" spans="1:6" ht="12.95" hidden="1" customHeight="1" outlineLevel="1">
      <c r="A340" s="33" t="s">
        <v>1085</v>
      </c>
      <c r="B340" s="33">
        <v>913</v>
      </c>
      <c r="C340" s="40" t="str">
        <f t="shared" si="12"/>
        <v>Corporate Insurance913</v>
      </c>
      <c r="D340" s="104">
        <f t="shared" si="13"/>
        <v>0</v>
      </c>
      <c r="E340" s="186">
        <v>0</v>
      </c>
      <c r="F340" s="186">
        <v>0</v>
      </c>
    </row>
    <row r="341" spans="1:6" ht="12.95" hidden="1" customHeight="1" outlineLevel="1">
      <c r="A341" s="33" t="s">
        <v>1085</v>
      </c>
      <c r="B341" s="33">
        <v>920</v>
      </c>
      <c r="C341" s="40" t="str">
        <f t="shared" si="12"/>
        <v>Corporate Insurance920</v>
      </c>
      <c r="D341" s="104">
        <f t="shared" si="13"/>
        <v>0</v>
      </c>
      <c r="E341" s="186">
        <v>0</v>
      </c>
      <c r="F341" s="186">
        <v>0</v>
      </c>
    </row>
    <row r="342" spans="1:6" ht="12.95" hidden="1" customHeight="1" outlineLevel="1">
      <c r="A342" s="33" t="s">
        <v>1085</v>
      </c>
      <c r="B342" s="33">
        <v>921</v>
      </c>
      <c r="C342" s="40" t="str">
        <f t="shared" si="12"/>
        <v>Corporate Insurance921</v>
      </c>
      <c r="D342" s="104">
        <f t="shared" si="13"/>
        <v>0</v>
      </c>
      <c r="E342" s="186">
        <v>0</v>
      </c>
      <c r="F342" s="186">
        <v>0</v>
      </c>
    </row>
    <row r="343" spans="1:6" ht="12.95" hidden="1" customHeight="1" outlineLevel="1">
      <c r="A343" s="33" t="s">
        <v>1085</v>
      </c>
      <c r="B343" s="33">
        <v>923</v>
      </c>
      <c r="C343" s="40" t="str">
        <f t="shared" si="12"/>
        <v>Corporate Insurance923</v>
      </c>
      <c r="D343" s="104">
        <f t="shared" si="13"/>
        <v>0</v>
      </c>
      <c r="E343" s="186">
        <v>0</v>
      </c>
      <c r="F343" s="186">
        <v>0</v>
      </c>
    </row>
    <row r="344" spans="1:6" ht="12.95" hidden="1" customHeight="1" outlineLevel="1">
      <c r="A344" s="33" t="s">
        <v>1085</v>
      </c>
      <c r="B344" s="33">
        <v>924</v>
      </c>
      <c r="C344" s="40" t="str">
        <f t="shared" si="12"/>
        <v>Corporate Insurance924</v>
      </c>
      <c r="D344" s="104">
        <f t="shared" si="13"/>
        <v>6109.7100000000064</v>
      </c>
      <c r="E344" s="186">
        <v>78064.23</v>
      </c>
      <c r="F344" s="186">
        <v>84173.94</v>
      </c>
    </row>
    <row r="345" spans="1:6" ht="12.95" hidden="1" customHeight="1" outlineLevel="1">
      <c r="A345" s="33" t="s">
        <v>1085</v>
      </c>
      <c r="B345" s="33">
        <v>925</v>
      </c>
      <c r="C345" s="40" t="str">
        <f t="shared" si="12"/>
        <v>Corporate Insurance925</v>
      </c>
      <c r="D345" s="104">
        <f t="shared" si="13"/>
        <v>123064.42999999993</v>
      </c>
      <c r="E345" s="186">
        <v>1458869.5600000003</v>
      </c>
      <c r="F345" s="186">
        <v>1581933.9900000002</v>
      </c>
    </row>
    <row r="346" spans="1:6" ht="12.95" hidden="1" customHeight="1" outlineLevel="1">
      <c r="A346" s="33" t="s">
        <v>1085</v>
      </c>
      <c r="B346" s="33">
        <v>926</v>
      </c>
      <c r="C346" s="40" t="str">
        <f t="shared" si="12"/>
        <v>Corporate Insurance926</v>
      </c>
      <c r="D346" s="104">
        <f t="shared" si="13"/>
        <v>9005.1899999999987</v>
      </c>
      <c r="E346" s="186">
        <v>8030.5299999999988</v>
      </c>
      <c r="F346" s="186">
        <v>17035.719999999998</v>
      </c>
    </row>
    <row r="347" spans="1:6" ht="12.95" hidden="1" customHeight="1" outlineLevel="1">
      <c r="A347" s="33" t="s">
        <v>1085</v>
      </c>
      <c r="B347" s="33">
        <v>928</v>
      </c>
      <c r="C347" s="40" t="str">
        <f t="shared" si="12"/>
        <v>Corporate Insurance928</v>
      </c>
      <c r="D347" s="104">
        <f t="shared" si="13"/>
        <v>0</v>
      </c>
      <c r="E347" s="186">
        <v>0</v>
      </c>
      <c r="F347" s="186">
        <v>0</v>
      </c>
    </row>
    <row r="348" spans="1:6" ht="12.95" hidden="1" customHeight="1" outlineLevel="1">
      <c r="A348" s="33" t="s">
        <v>1085</v>
      </c>
      <c r="B348" s="33">
        <v>930</v>
      </c>
      <c r="C348" s="40" t="str">
        <f t="shared" si="12"/>
        <v>Corporate Insurance930</v>
      </c>
      <c r="D348" s="104">
        <f t="shared" si="13"/>
        <v>0</v>
      </c>
      <c r="E348" s="186">
        <v>0</v>
      </c>
      <c r="F348" s="186">
        <v>0</v>
      </c>
    </row>
    <row r="349" spans="1:6" ht="12.95" hidden="1" customHeight="1" outlineLevel="1">
      <c r="A349" s="33" t="s">
        <v>1085</v>
      </c>
      <c r="B349" s="33">
        <v>931</v>
      </c>
      <c r="C349" s="40" t="str">
        <f t="shared" si="12"/>
        <v>Corporate Insurance931</v>
      </c>
      <c r="D349" s="104">
        <f t="shared" si="13"/>
        <v>0</v>
      </c>
      <c r="E349" s="186">
        <v>0</v>
      </c>
      <c r="F349" s="186">
        <v>0</v>
      </c>
    </row>
    <row r="350" spans="1:6" ht="12.95" hidden="1" customHeight="1" outlineLevel="1">
      <c r="A350" s="33" t="s">
        <v>1085</v>
      </c>
      <c r="B350" s="33">
        <v>932</v>
      </c>
      <c r="C350" s="40" t="str">
        <f t="shared" si="12"/>
        <v>Corporate Insurance932</v>
      </c>
      <c r="D350" s="104">
        <f t="shared" si="13"/>
        <v>0</v>
      </c>
      <c r="E350" s="186">
        <v>0</v>
      </c>
      <c r="F350" s="186">
        <v>0</v>
      </c>
    </row>
    <row r="351" spans="1:6" ht="12.95" hidden="1" customHeight="1" outlineLevel="1">
      <c r="A351" s="33" t="s">
        <v>1085</v>
      </c>
      <c r="B351" s="33">
        <v>935</v>
      </c>
      <c r="C351" s="40" t="str">
        <f t="shared" si="12"/>
        <v>Corporate Insurance935</v>
      </c>
      <c r="D351" s="104">
        <f t="shared" si="13"/>
        <v>0</v>
      </c>
      <c r="E351" s="186">
        <v>0</v>
      </c>
      <c r="F351" s="186">
        <v>0</v>
      </c>
    </row>
    <row r="352" spans="1:6" s="13" customFormat="1" collapsed="1">
      <c r="A352" s="14" t="s">
        <v>1085</v>
      </c>
      <c r="B352" s="15"/>
      <c r="D352" s="194">
        <f>SUM(D305:D351)</f>
        <v>138192.33999999994</v>
      </c>
      <c r="E352" s="194">
        <f>SUM(E305:E351)</f>
        <v>1545001.0900000003</v>
      </c>
      <c r="F352" s="194">
        <f>SUM(F305:F351)</f>
        <v>1683193.4300000002</v>
      </c>
    </row>
    <row r="353" spans="1:6" ht="12.95" hidden="1" customHeight="1" outlineLevel="1">
      <c r="A353" s="33" t="s">
        <v>1091</v>
      </c>
      <c r="B353" s="33">
        <v>500</v>
      </c>
      <c r="C353" s="40" t="str">
        <f>A353&amp;B353</f>
        <v>Corporate Service Bill500</v>
      </c>
      <c r="D353" s="104">
        <f>+F353-E353</f>
        <v>-10.050000000000001</v>
      </c>
      <c r="E353" s="186">
        <v>10.050000000000001</v>
      </c>
      <c r="F353" s="213"/>
    </row>
    <row r="354" spans="1:6" ht="12.95" hidden="1" customHeight="1" outlineLevel="1">
      <c r="A354" s="33" t="s">
        <v>1091</v>
      </c>
      <c r="B354" s="33">
        <v>505</v>
      </c>
      <c r="C354" s="40" t="str">
        <f>A353&amp;B354</f>
        <v>Corporate Service Bill505</v>
      </c>
      <c r="D354" s="104">
        <f t="shared" ref="D354:D403" si="14">+F354-E354</f>
        <v>1.0000000000000675E-2</v>
      </c>
      <c r="E354" s="186">
        <v>-1.0000000000000675E-2</v>
      </c>
      <c r="F354" s="213"/>
    </row>
    <row r="355" spans="1:6" ht="12.95" hidden="1" customHeight="1" outlineLevel="1">
      <c r="A355" s="33" t="s">
        <v>1091</v>
      </c>
      <c r="B355" s="33">
        <v>801</v>
      </c>
      <c r="C355" s="40" t="str">
        <f t="shared" ref="C355:C403" si="15">A355&amp;B355</f>
        <v>Corporate Service Bill801</v>
      </c>
      <c r="D355" s="104">
        <f t="shared" si="14"/>
        <v>0</v>
      </c>
      <c r="E355" s="186">
        <v>0</v>
      </c>
      <c r="F355" s="186">
        <v>0</v>
      </c>
    </row>
    <row r="356" spans="1:6" ht="12.95" hidden="1" customHeight="1" outlineLevel="1">
      <c r="A356" s="33" t="s">
        <v>1091</v>
      </c>
      <c r="B356" s="33">
        <v>803</v>
      </c>
      <c r="C356" s="40" t="str">
        <f t="shared" si="15"/>
        <v>Corporate Service Bill803</v>
      </c>
      <c r="D356" s="104">
        <f t="shared" si="14"/>
        <v>0</v>
      </c>
      <c r="E356" s="186">
        <v>0</v>
      </c>
      <c r="F356" s="186">
        <v>0</v>
      </c>
    </row>
    <row r="357" spans="1:6" ht="12.95" hidden="1" customHeight="1" outlineLevel="1">
      <c r="A357" s="33" t="s">
        <v>1091</v>
      </c>
      <c r="B357" s="33">
        <v>804</v>
      </c>
      <c r="C357" s="40" t="str">
        <f t="shared" si="15"/>
        <v>Corporate Service Bill804</v>
      </c>
      <c r="D357" s="104">
        <f t="shared" si="14"/>
        <v>0</v>
      </c>
      <c r="E357" s="186">
        <v>0</v>
      </c>
      <c r="F357" s="186">
        <v>0</v>
      </c>
    </row>
    <row r="358" spans="1:6" ht="12.95" hidden="1" customHeight="1" outlineLevel="1">
      <c r="A358" s="33" t="s">
        <v>1091</v>
      </c>
      <c r="B358" s="33">
        <v>805</v>
      </c>
      <c r="C358" s="40" t="str">
        <f t="shared" si="15"/>
        <v>Corporate Service Bill805</v>
      </c>
      <c r="D358" s="104">
        <f t="shared" si="14"/>
        <v>0</v>
      </c>
      <c r="E358" s="186">
        <v>0</v>
      </c>
      <c r="F358" s="186">
        <v>0</v>
      </c>
    </row>
    <row r="359" spans="1:6" ht="12.95" hidden="1" customHeight="1" outlineLevel="1">
      <c r="A359" s="33" t="s">
        <v>1091</v>
      </c>
      <c r="B359" s="33">
        <v>806</v>
      </c>
      <c r="C359" s="40" t="str">
        <f t="shared" si="15"/>
        <v>Corporate Service Bill806</v>
      </c>
      <c r="D359" s="104">
        <f t="shared" si="14"/>
        <v>0</v>
      </c>
      <c r="E359" s="186">
        <v>0</v>
      </c>
      <c r="F359" s="186">
        <v>0</v>
      </c>
    </row>
    <row r="360" spans="1:6" ht="12.95" hidden="1" customHeight="1" outlineLevel="1">
      <c r="A360" s="33" t="s">
        <v>1091</v>
      </c>
      <c r="B360" s="33">
        <v>807</v>
      </c>
      <c r="C360" s="40" t="str">
        <f t="shared" si="15"/>
        <v>Corporate Service Bill807</v>
      </c>
      <c r="D360" s="104">
        <f t="shared" si="14"/>
        <v>-1342.5599999999977</v>
      </c>
      <c r="E360" s="186">
        <v>410680.55999999994</v>
      </c>
      <c r="F360" s="186">
        <v>409337.99999999994</v>
      </c>
    </row>
    <row r="361" spans="1:6" ht="12.95" hidden="1" customHeight="1" outlineLevel="1">
      <c r="A361" s="33" t="s">
        <v>1091</v>
      </c>
      <c r="B361" s="33">
        <v>808</v>
      </c>
      <c r="C361" s="40" t="str">
        <f t="shared" si="15"/>
        <v>Corporate Service Bill808</v>
      </c>
      <c r="D361" s="104">
        <f t="shared" si="14"/>
        <v>0</v>
      </c>
      <c r="E361" s="186">
        <v>0</v>
      </c>
      <c r="F361" s="186">
        <v>0</v>
      </c>
    </row>
    <row r="362" spans="1:6" ht="12.95" hidden="1" customHeight="1" outlineLevel="1">
      <c r="A362" s="33" t="s">
        <v>1091</v>
      </c>
      <c r="B362" s="33">
        <v>812</v>
      </c>
      <c r="C362" s="40" t="str">
        <f t="shared" si="15"/>
        <v>Corporate Service Bill812</v>
      </c>
      <c r="D362" s="104">
        <f t="shared" si="14"/>
        <v>0</v>
      </c>
      <c r="E362" s="186">
        <v>0</v>
      </c>
      <c r="F362" s="186">
        <v>0</v>
      </c>
    </row>
    <row r="363" spans="1:6" ht="12.95" hidden="1" customHeight="1" outlineLevel="1">
      <c r="A363" s="33" t="s">
        <v>1091</v>
      </c>
      <c r="B363" s="33">
        <v>870</v>
      </c>
      <c r="C363" s="40" t="str">
        <f t="shared" si="15"/>
        <v>Corporate Service Bill870</v>
      </c>
      <c r="D363" s="104">
        <f t="shared" si="14"/>
        <v>-27000.359999999986</v>
      </c>
      <c r="E363" s="186">
        <v>509148.5</v>
      </c>
      <c r="F363" s="186">
        <v>482148.14</v>
      </c>
    </row>
    <row r="364" spans="1:6" ht="12.95" hidden="1" customHeight="1" outlineLevel="1">
      <c r="A364" s="33" t="s">
        <v>1091</v>
      </c>
      <c r="B364" s="33">
        <v>871</v>
      </c>
      <c r="C364" s="40" t="str">
        <f t="shared" si="15"/>
        <v>Corporate Service Bill871</v>
      </c>
      <c r="D364" s="104">
        <f t="shared" si="14"/>
        <v>0</v>
      </c>
      <c r="E364" s="186">
        <v>0</v>
      </c>
      <c r="F364" s="186">
        <v>0</v>
      </c>
    </row>
    <row r="365" spans="1:6" ht="12.95" hidden="1" customHeight="1" outlineLevel="1">
      <c r="A365" s="33" t="s">
        <v>1091</v>
      </c>
      <c r="B365" s="33">
        <v>874</v>
      </c>
      <c r="C365" s="40" t="str">
        <f t="shared" si="15"/>
        <v>Corporate Service Bill874</v>
      </c>
      <c r="D365" s="104">
        <f t="shared" si="14"/>
        <v>-7930.6699999999837</v>
      </c>
      <c r="E365" s="186">
        <v>201469.12</v>
      </c>
      <c r="F365" s="186">
        <v>193538.45</v>
      </c>
    </row>
    <row r="366" spans="1:6" ht="12.95" hidden="1" customHeight="1" outlineLevel="1">
      <c r="A366" s="33" t="s">
        <v>1091</v>
      </c>
      <c r="B366" s="33">
        <v>875</v>
      </c>
      <c r="C366" s="40" t="str">
        <f t="shared" si="15"/>
        <v>Corporate Service Bill875</v>
      </c>
      <c r="D366" s="104">
        <f t="shared" si="14"/>
        <v>5562.4599999999991</v>
      </c>
      <c r="E366" s="186">
        <v>10282.040000000001</v>
      </c>
      <c r="F366" s="186">
        <v>15844.5</v>
      </c>
    </row>
    <row r="367" spans="1:6" ht="12.95" hidden="1" customHeight="1" outlineLevel="1">
      <c r="A367" s="33" t="s">
        <v>1091</v>
      </c>
      <c r="B367" s="33">
        <v>876</v>
      </c>
      <c r="C367" s="40" t="str">
        <f t="shared" si="15"/>
        <v>Corporate Service Bill876</v>
      </c>
      <c r="D367" s="104">
        <f t="shared" si="14"/>
        <v>4550.5200000000004</v>
      </c>
      <c r="E367" s="186">
        <v>8411.99</v>
      </c>
      <c r="F367" s="186">
        <v>12962.51</v>
      </c>
    </row>
    <row r="368" spans="1:6" ht="12.95" hidden="1" customHeight="1" outlineLevel="1">
      <c r="A368" s="33" t="s">
        <v>1091</v>
      </c>
      <c r="B368" s="33">
        <v>878</v>
      </c>
      <c r="C368" s="40" t="str">
        <f t="shared" si="15"/>
        <v>Corporate Service Bill878</v>
      </c>
      <c r="D368" s="104">
        <f t="shared" si="14"/>
        <v>-5529.0499999999884</v>
      </c>
      <c r="E368" s="186">
        <v>132179.68</v>
      </c>
      <c r="F368" s="186">
        <v>126650.63</v>
      </c>
    </row>
    <row r="369" spans="1:6" ht="12.95" hidden="1" customHeight="1" outlineLevel="1">
      <c r="A369" s="33" t="s">
        <v>1091</v>
      </c>
      <c r="B369" s="33">
        <v>879</v>
      </c>
      <c r="C369" s="40" t="str">
        <f t="shared" si="15"/>
        <v>Corporate Service Bill879</v>
      </c>
      <c r="D369" s="104">
        <f t="shared" si="14"/>
        <v>-5479.6399999999849</v>
      </c>
      <c r="E369" s="186">
        <v>128208.94999999998</v>
      </c>
      <c r="F369" s="186">
        <v>122729.31</v>
      </c>
    </row>
    <row r="370" spans="1:6" ht="12.95" hidden="1" customHeight="1" outlineLevel="1">
      <c r="A370" s="33" t="s">
        <v>1091</v>
      </c>
      <c r="B370" s="33">
        <v>880</v>
      </c>
      <c r="C370" s="40" t="str">
        <f t="shared" si="15"/>
        <v>Corporate Service Bill880</v>
      </c>
      <c r="D370" s="104">
        <f t="shared" si="14"/>
        <v>-3042.320000000007</v>
      </c>
      <c r="E370" s="186">
        <v>29784.760000000006</v>
      </c>
      <c r="F370" s="186">
        <v>26742.44</v>
      </c>
    </row>
    <row r="371" spans="1:6" ht="12.95" hidden="1" customHeight="1" outlineLevel="1">
      <c r="A371" s="33" t="s">
        <v>1091</v>
      </c>
      <c r="B371" s="33">
        <v>881</v>
      </c>
      <c r="C371" s="40" t="str">
        <f t="shared" si="15"/>
        <v>Corporate Service Bill881</v>
      </c>
      <c r="D371" s="104">
        <f t="shared" si="14"/>
        <v>0</v>
      </c>
      <c r="E371" s="186">
        <v>0</v>
      </c>
      <c r="F371" s="186">
        <v>0</v>
      </c>
    </row>
    <row r="372" spans="1:6" ht="12.95" hidden="1" customHeight="1" outlineLevel="1">
      <c r="A372" s="33" t="s">
        <v>1091</v>
      </c>
      <c r="B372" s="33">
        <v>885</v>
      </c>
      <c r="C372" s="40" t="str">
        <f t="shared" si="15"/>
        <v>Corporate Service Bill885</v>
      </c>
      <c r="D372" s="104">
        <f t="shared" si="14"/>
        <v>0</v>
      </c>
      <c r="E372" s="186">
        <v>0</v>
      </c>
      <c r="F372" s="186">
        <v>0</v>
      </c>
    </row>
    <row r="373" spans="1:6" ht="12.95" hidden="1" customHeight="1" outlineLevel="1">
      <c r="A373" s="33" t="s">
        <v>1091</v>
      </c>
      <c r="B373" s="33">
        <v>886</v>
      </c>
      <c r="C373" s="40" t="str">
        <f t="shared" si="15"/>
        <v>Corporate Service Bill886</v>
      </c>
      <c r="D373" s="104">
        <f t="shared" si="14"/>
        <v>0</v>
      </c>
      <c r="E373" s="186">
        <v>0</v>
      </c>
      <c r="F373" s="186">
        <v>0</v>
      </c>
    </row>
    <row r="374" spans="1:6" ht="12.95" hidden="1" customHeight="1" outlineLevel="1">
      <c r="A374" s="33" t="s">
        <v>1091</v>
      </c>
      <c r="B374" s="33">
        <v>887</v>
      </c>
      <c r="C374" s="40" t="str">
        <f t="shared" si="15"/>
        <v>Corporate Service Bill887</v>
      </c>
      <c r="D374" s="104">
        <f t="shared" si="14"/>
        <v>-10092.709999999999</v>
      </c>
      <c r="E374" s="186">
        <v>75427</v>
      </c>
      <c r="F374" s="186">
        <v>65334.29</v>
      </c>
    </row>
    <row r="375" spans="1:6" ht="12.95" hidden="1" customHeight="1" outlineLevel="1">
      <c r="A375" s="33" t="s">
        <v>1091</v>
      </c>
      <c r="B375" s="33">
        <v>889</v>
      </c>
      <c r="C375" s="40" t="str">
        <f t="shared" si="15"/>
        <v>Corporate Service Bill889</v>
      </c>
      <c r="D375" s="104">
        <f t="shared" si="14"/>
        <v>5562.4599999999991</v>
      </c>
      <c r="E375" s="186">
        <v>10282.040000000001</v>
      </c>
      <c r="F375" s="186">
        <v>15844.5</v>
      </c>
    </row>
    <row r="376" spans="1:6" ht="12.95" hidden="1" customHeight="1" outlineLevel="1">
      <c r="A376" s="33" t="s">
        <v>1091</v>
      </c>
      <c r="B376" s="33">
        <v>890</v>
      </c>
      <c r="C376" s="40" t="str">
        <f t="shared" si="15"/>
        <v>Corporate Service Bill890</v>
      </c>
      <c r="D376" s="104">
        <f t="shared" si="14"/>
        <v>4821.1499999999978</v>
      </c>
      <c r="E376" s="186">
        <v>8005.0500000000011</v>
      </c>
      <c r="F376" s="186">
        <v>12826.199999999999</v>
      </c>
    </row>
    <row r="377" spans="1:6" ht="12.95" hidden="1" customHeight="1" outlineLevel="1">
      <c r="A377" s="33" t="s">
        <v>1091</v>
      </c>
      <c r="B377" s="33">
        <v>892</v>
      </c>
      <c r="C377" s="40" t="str">
        <f t="shared" si="15"/>
        <v>Corporate Service Bill892</v>
      </c>
      <c r="D377" s="104">
        <f t="shared" si="14"/>
        <v>3512.0099999999984</v>
      </c>
      <c r="E377" s="186">
        <v>24542.079999999998</v>
      </c>
      <c r="F377" s="186">
        <v>28054.089999999997</v>
      </c>
    </row>
    <row r="378" spans="1:6" ht="12.95" hidden="1" customHeight="1" outlineLevel="1">
      <c r="A378" s="33" t="s">
        <v>1091</v>
      </c>
      <c r="B378" s="33">
        <v>893</v>
      </c>
      <c r="C378" s="40" t="str">
        <f t="shared" si="15"/>
        <v>Corporate Service Bill893</v>
      </c>
      <c r="D378" s="104">
        <f t="shared" si="14"/>
        <v>-5044.2100000000009</v>
      </c>
      <c r="E378" s="186">
        <v>10058.650000000001</v>
      </c>
      <c r="F378" s="186">
        <v>5014.4400000000005</v>
      </c>
    </row>
    <row r="379" spans="1:6" ht="12.95" hidden="1" customHeight="1" outlineLevel="1">
      <c r="A379" s="33" t="s">
        <v>1091</v>
      </c>
      <c r="B379" s="33">
        <v>894</v>
      </c>
      <c r="C379" s="40" t="str">
        <f t="shared" si="15"/>
        <v>Corporate Service Bill894</v>
      </c>
      <c r="D379" s="104">
        <f t="shared" si="14"/>
        <v>5728.79</v>
      </c>
      <c r="E379" s="186">
        <v>-7190.16</v>
      </c>
      <c r="F379" s="186">
        <v>-1461.37</v>
      </c>
    </row>
    <row r="380" spans="1:6" ht="12.95" hidden="1" customHeight="1" outlineLevel="1">
      <c r="A380" s="33" t="s">
        <v>1091</v>
      </c>
      <c r="B380" s="33">
        <v>901</v>
      </c>
      <c r="C380" s="40" t="str">
        <f t="shared" si="15"/>
        <v>Corporate Service Bill901</v>
      </c>
      <c r="D380" s="104">
        <f t="shared" si="14"/>
        <v>1.18</v>
      </c>
      <c r="E380" s="186">
        <v>-0.96</v>
      </c>
      <c r="F380" s="186">
        <v>0.21999999999999997</v>
      </c>
    </row>
    <row r="381" spans="1:6" ht="12.95" hidden="1" customHeight="1" outlineLevel="1">
      <c r="A381" s="33" t="s">
        <v>1091</v>
      </c>
      <c r="B381" s="33">
        <v>902</v>
      </c>
      <c r="C381" s="40" t="str">
        <f t="shared" si="15"/>
        <v>Corporate Service Bill902</v>
      </c>
      <c r="D381" s="104">
        <f t="shared" si="14"/>
        <v>0</v>
      </c>
      <c r="E381" s="186">
        <v>0</v>
      </c>
      <c r="F381" s="186">
        <v>0</v>
      </c>
    </row>
    <row r="382" spans="1:6" ht="12.95" hidden="1" customHeight="1" outlineLevel="1">
      <c r="A382" s="33" t="s">
        <v>1091</v>
      </c>
      <c r="B382" s="33">
        <v>903</v>
      </c>
      <c r="C382" s="40" t="str">
        <f t="shared" si="15"/>
        <v>Corporate Service Bill903</v>
      </c>
      <c r="D382" s="104">
        <f t="shared" si="14"/>
        <v>-129188.48000000021</v>
      </c>
      <c r="E382" s="186">
        <v>1274830.0400000003</v>
      </c>
      <c r="F382" s="186">
        <v>1145641.56</v>
      </c>
    </row>
    <row r="383" spans="1:6" ht="12.95" hidden="1" customHeight="1" outlineLevel="1">
      <c r="A383" s="33" t="s">
        <v>1091</v>
      </c>
      <c r="B383" s="33">
        <v>904</v>
      </c>
      <c r="C383" s="40" t="str">
        <f t="shared" si="15"/>
        <v>Corporate Service Bill904</v>
      </c>
      <c r="D383" s="104">
        <f t="shared" si="14"/>
        <v>0</v>
      </c>
      <c r="E383" s="186">
        <v>0</v>
      </c>
      <c r="F383" s="186">
        <v>0</v>
      </c>
    </row>
    <row r="384" spans="1:6" ht="12.95" hidden="1" customHeight="1" outlineLevel="1">
      <c r="A384" s="33" t="s">
        <v>1091</v>
      </c>
      <c r="B384" s="33">
        <v>905</v>
      </c>
      <c r="C384" s="40" t="str">
        <f t="shared" si="15"/>
        <v>Corporate Service Bill905</v>
      </c>
      <c r="D384" s="104">
        <f t="shared" si="14"/>
        <v>0</v>
      </c>
      <c r="E384" s="186">
        <v>0</v>
      </c>
      <c r="F384" s="186">
        <v>0</v>
      </c>
    </row>
    <row r="385" spans="1:6" ht="12.95" hidden="1" customHeight="1" outlineLevel="1">
      <c r="A385" s="33" t="s">
        <v>1091</v>
      </c>
      <c r="B385" s="33">
        <v>907</v>
      </c>
      <c r="C385" s="40" t="str">
        <f t="shared" si="15"/>
        <v>Corporate Service Bill907</v>
      </c>
      <c r="D385" s="104">
        <f t="shared" si="14"/>
        <v>0</v>
      </c>
      <c r="E385" s="186">
        <v>0</v>
      </c>
      <c r="F385" s="186">
        <v>0</v>
      </c>
    </row>
    <row r="386" spans="1:6" ht="12.95" hidden="1" customHeight="1" outlineLevel="1">
      <c r="A386" s="33" t="s">
        <v>1091</v>
      </c>
      <c r="B386" s="33">
        <v>908</v>
      </c>
      <c r="C386" s="40" t="str">
        <f t="shared" si="15"/>
        <v>Corporate Service Bill908</v>
      </c>
      <c r="D386" s="104">
        <f t="shared" si="14"/>
        <v>-65.539999999999992</v>
      </c>
      <c r="E386" s="186">
        <v>-70.860000000000014</v>
      </c>
      <c r="F386" s="186">
        <v>-136.4</v>
      </c>
    </row>
    <row r="387" spans="1:6" ht="12.95" hidden="1" customHeight="1" outlineLevel="1">
      <c r="A387" s="33" t="s">
        <v>1091</v>
      </c>
      <c r="B387" s="33">
        <v>909</v>
      </c>
      <c r="C387" s="40" t="str">
        <f t="shared" si="15"/>
        <v>Corporate Service Bill909</v>
      </c>
      <c r="D387" s="104">
        <f t="shared" si="14"/>
        <v>0</v>
      </c>
      <c r="E387" s="186">
        <v>0</v>
      </c>
      <c r="F387" s="186">
        <v>0</v>
      </c>
    </row>
    <row r="388" spans="1:6" ht="12.95" hidden="1" customHeight="1" outlineLevel="1">
      <c r="A388" s="33" t="s">
        <v>1091</v>
      </c>
      <c r="B388" s="33">
        <v>910</v>
      </c>
      <c r="C388" s="40" t="str">
        <f t="shared" si="15"/>
        <v>Corporate Service Bill910</v>
      </c>
      <c r="D388" s="104">
        <f t="shared" si="14"/>
        <v>-16959.819999999949</v>
      </c>
      <c r="E388" s="186">
        <v>309067.44</v>
      </c>
      <c r="F388" s="186">
        <v>292107.62000000005</v>
      </c>
    </row>
    <row r="389" spans="1:6" ht="12.95" hidden="1" customHeight="1" outlineLevel="1">
      <c r="A389" s="33" t="s">
        <v>1091</v>
      </c>
      <c r="B389" s="33">
        <v>911</v>
      </c>
      <c r="C389" s="40" t="str">
        <f t="shared" si="15"/>
        <v>Corporate Service Bill911</v>
      </c>
      <c r="D389" s="104">
        <f t="shared" si="14"/>
        <v>0</v>
      </c>
      <c r="E389" s="186">
        <v>0</v>
      </c>
      <c r="F389" s="186">
        <v>0</v>
      </c>
    </row>
    <row r="390" spans="1:6" ht="12.95" hidden="1" customHeight="1" outlineLevel="1">
      <c r="A390" s="33" t="s">
        <v>1091</v>
      </c>
      <c r="B390" s="33">
        <v>912</v>
      </c>
      <c r="C390" s="40" t="str">
        <f t="shared" si="15"/>
        <v>Corporate Service Bill912</v>
      </c>
      <c r="D390" s="104">
        <f t="shared" si="14"/>
        <v>-717.56999999999789</v>
      </c>
      <c r="E390" s="186">
        <v>5396.7599999999984</v>
      </c>
      <c r="F390" s="186">
        <v>4679.1900000000005</v>
      </c>
    </row>
    <row r="391" spans="1:6" ht="12.95" hidden="1" customHeight="1" outlineLevel="1">
      <c r="A391" s="33" t="s">
        <v>1091</v>
      </c>
      <c r="B391" s="33">
        <v>913</v>
      </c>
      <c r="C391" s="40" t="str">
        <f t="shared" si="15"/>
        <v>Corporate Service Bill913</v>
      </c>
      <c r="D391" s="104">
        <f t="shared" si="14"/>
        <v>-4192.1399999999985</v>
      </c>
      <c r="E391" s="186">
        <v>11867.8</v>
      </c>
      <c r="F391" s="186">
        <v>7675.6600000000008</v>
      </c>
    </row>
    <row r="392" spans="1:6" ht="12.95" hidden="1" customHeight="1" outlineLevel="1">
      <c r="A392" s="33" t="s">
        <v>1091</v>
      </c>
      <c r="B392" s="33">
        <v>920</v>
      </c>
      <c r="C392" s="40" t="str">
        <f t="shared" si="15"/>
        <v>Corporate Service Bill920</v>
      </c>
      <c r="D392" s="104">
        <f t="shared" si="14"/>
        <v>-890667.98999999929</v>
      </c>
      <c r="E392" s="186">
        <v>7383146.5099999998</v>
      </c>
      <c r="F392" s="186">
        <v>6492478.5200000005</v>
      </c>
    </row>
    <row r="393" spans="1:6" ht="12.95" hidden="1" customHeight="1" outlineLevel="1">
      <c r="A393" s="33" t="s">
        <v>1091</v>
      </c>
      <c r="B393" s="33">
        <v>921</v>
      </c>
      <c r="C393" s="40" t="str">
        <f t="shared" si="15"/>
        <v>Corporate Service Bill921</v>
      </c>
      <c r="D393" s="104">
        <f t="shared" si="14"/>
        <v>-28261.460000000021</v>
      </c>
      <c r="E393" s="186">
        <v>432247.95</v>
      </c>
      <c r="F393" s="186">
        <v>403986.49</v>
      </c>
    </row>
    <row r="394" spans="1:6" ht="12.95" hidden="1" customHeight="1" outlineLevel="1">
      <c r="A394" s="33" t="s">
        <v>1091</v>
      </c>
      <c r="B394" s="33">
        <v>923</v>
      </c>
      <c r="C394" s="40" t="str">
        <f t="shared" si="15"/>
        <v>Corporate Service Bill923</v>
      </c>
      <c r="D394" s="104">
        <f t="shared" si="14"/>
        <v>-843946.41999999993</v>
      </c>
      <c r="E394" s="186">
        <v>6664969.2200000007</v>
      </c>
      <c r="F394" s="186">
        <v>5821022.8000000007</v>
      </c>
    </row>
    <row r="395" spans="1:6" ht="12.95" hidden="1" customHeight="1" outlineLevel="1">
      <c r="A395" s="33" t="s">
        <v>1091</v>
      </c>
      <c r="B395" s="33">
        <v>924</v>
      </c>
      <c r="C395" s="40" t="str">
        <f t="shared" si="15"/>
        <v>Corporate Service Bill924</v>
      </c>
      <c r="D395" s="104">
        <f t="shared" si="14"/>
        <v>-201.08000000000015</v>
      </c>
      <c r="E395" s="186">
        <v>2160.9500000000003</v>
      </c>
      <c r="F395" s="186">
        <v>1959.8700000000001</v>
      </c>
    </row>
    <row r="396" spans="1:6" ht="12.95" hidden="1" customHeight="1" outlineLevel="1">
      <c r="A396" s="33" t="s">
        <v>1091</v>
      </c>
      <c r="B396" s="33">
        <v>925</v>
      </c>
      <c r="C396" s="40" t="str">
        <f t="shared" si="15"/>
        <v>Corporate Service Bill925</v>
      </c>
      <c r="D396" s="104">
        <f t="shared" si="14"/>
        <v>-8755.2000000000044</v>
      </c>
      <c r="E396" s="186">
        <v>64344.729999999996</v>
      </c>
      <c r="F396" s="186">
        <v>55589.529999999992</v>
      </c>
    </row>
    <row r="397" spans="1:6" ht="12.95" hidden="1" customHeight="1" outlineLevel="1">
      <c r="A397" s="33" t="s">
        <v>1091</v>
      </c>
      <c r="B397" s="33">
        <v>926</v>
      </c>
      <c r="C397" s="40" t="str">
        <f t="shared" si="15"/>
        <v>Corporate Service Bill926</v>
      </c>
      <c r="D397" s="104">
        <f t="shared" si="14"/>
        <v>-269926.39999999991</v>
      </c>
      <c r="E397" s="186">
        <v>2021439.7400000002</v>
      </c>
      <c r="F397" s="186">
        <v>1751513.3400000003</v>
      </c>
    </row>
    <row r="398" spans="1:6" ht="12.95" hidden="1" customHeight="1" outlineLevel="1">
      <c r="A398" s="33" t="s">
        <v>1091</v>
      </c>
      <c r="B398" s="33">
        <v>928</v>
      </c>
      <c r="C398" s="40" t="str">
        <f t="shared" si="15"/>
        <v>Corporate Service Bill928</v>
      </c>
      <c r="D398" s="104">
        <f t="shared" si="14"/>
        <v>6.7600000000000016</v>
      </c>
      <c r="E398" s="186">
        <v>23.749999999999996</v>
      </c>
      <c r="F398" s="186">
        <v>30.509999999999998</v>
      </c>
    </row>
    <row r="399" spans="1:6" ht="12.95" hidden="1" customHeight="1" outlineLevel="1">
      <c r="A399" s="33" t="s">
        <v>1091</v>
      </c>
      <c r="B399" s="33">
        <v>9301</v>
      </c>
      <c r="C399" s="40" t="str">
        <f t="shared" si="15"/>
        <v>Corporate Service Bill9301</v>
      </c>
      <c r="D399" s="104">
        <f t="shared" si="14"/>
        <v>-7489.9399999999987</v>
      </c>
      <c r="E399" s="186">
        <v>30710.65</v>
      </c>
      <c r="F399" s="186">
        <v>23220.710000000003</v>
      </c>
    </row>
    <row r="400" spans="1:6" ht="12.95" hidden="1" customHeight="1" outlineLevel="1">
      <c r="A400" s="33" t="s">
        <v>1091</v>
      </c>
      <c r="B400" s="33">
        <v>9302</v>
      </c>
      <c r="C400" s="40" t="str">
        <f t="shared" si="15"/>
        <v>Corporate Service Bill9302</v>
      </c>
      <c r="D400" s="104">
        <f t="shared" si="14"/>
        <v>-12571.960000000003</v>
      </c>
      <c r="E400" s="186">
        <v>40353.9</v>
      </c>
      <c r="F400" s="186">
        <v>27781.94</v>
      </c>
    </row>
    <row r="401" spans="1:8" ht="12.95" hidden="1" customHeight="1" outlineLevel="1">
      <c r="A401" s="33" t="s">
        <v>1091</v>
      </c>
      <c r="B401" s="33">
        <v>931</v>
      </c>
      <c r="C401" s="40" t="str">
        <f t="shared" si="15"/>
        <v>Corporate Service Bill931</v>
      </c>
      <c r="D401" s="104">
        <f t="shared" si="14"/>
        <v>-35065.550000000047</v>
      </c>
      <c r="E401" s="186">
        <v>659727.89000000013</v>
      </c>
      <c r="F401" s="186">
        <v>624662.34000000008</v>
      </c>
    </row>
    <row r="402" spans="1:8" ht="12.95" hidden="1" customHeight="1" outlineLevel="1">
      <c r="A402" s="33" t="s">
        <v>1091</v>
      </c>
      <c r="B402" s="33">
        <v>932</v>
      </c>
      <c r="C402" s="40" t="str">
        <f t="shared" si="15"/>
        <v>Corporate Service Bill932</v>
      </c>
      <c r="D402" s="104">
        <f t="shared" si="14"/>
        <v>-130440.81000000006</v>
      </c>
      <c r="E402" s="186">
        <v>1830977.2100000002</v>
      </c>
      <c r="F402" s="186">
        <v>1700536.4000000001</v>
      </c>
    </row>
    <row r="403" spans="1:8" ht="12.95" hidden="1" customHeight="1" outlineLevel="1">
      <c r="A403" s="33" t="s">
        <v>1091</v>
      </c>
      <c r="B403" s="33">
        <v>935</v>
      </c>
      <c r="C403" s="40" t="str">
        <f t="shared" si="15"/>
        <v>Corporate Service Bill935</v>
      </c>
      <c r="D403" s="104">
        <f t="shared" si="14"/>
        <v>0</v>
      </c>
      <c r="E403" s="186">
        <v>0</v>
      </c>
      <c r="F403" s="186">
        <v>0</v>
      </c>
    </row>
    <row r="404" spans="1:8" s="13" customFormat="1" collapsed="1">
      <c r="A404" s="14" t="s">
        <v>1091</v>
      </c>
      <c r="B404" s="15"/>
      <c r="D404" s="194">
        <f>SUM(D353:D403)</f>
        <v>-2414176.5899999994</v>
      </c>
      <c r="E404" s="194">
        <f>SUM(E353:E403)</f>
        <v>22282493.019999996</v>
      </c>
      <c r="F404" s="194">
        <f>SUM(F353:F403)</f>
        <v>19868316.430000003</v>
      </c>
      <c r="H404" s="195"/>
    </row>
    <row r="405" spans="1:8" ht="12.95" hidden="1" customHeight="1" outlineLevel="1">
      <c r="A405" s="33" t="s">
        <v>1092</v>
      </c>
      <c r="B405" s="33">
        <v>801</v>
      </c>
      <c r="C405" s="40" t="str">
        <f t="shared" ref="C405:C452" si="16">A405&amp;B405</f>
        <v>Dues &amp; Donations801</v>
      </c>
      <c r="D405" s="104">
        <f t="shared" ref="D405:D452" si="17">+F405-E405</f>
        <v>0</v>
      </c>
      <c r="E405" s="186">
        <v>0</v>
      </c>
      <c r="F405" s="186">
        <v>0</v>
      </c>
    </row>
    <row r="406" spans="1:8" ht="12.95" hidden="1" customHeight="1" outlineLevel="1">
      <c r="A406" s="33" t="s">
        <v>1092</v>
      </c>
      <c r="B406" s="33">
        <v>803</v>
      </c>
      <c r="C406" s="40" t="str">
        <f t="shared" si="16"/>
        <v>Dues &amp; Donations803</v>
      </c>
      <c r="D406" s="104">
        <f t="shared" si="17"/>
        <v>0</v>
      </c>
      <c r="E406" s="186">
        <v>0</v>
      </c>
      <c r="F406" s="186">
        <v>0</v>
      </c>
    </row>
    <row r="407" spans="1:8" ht="12.95" hidden="1" customHeight="1" outlineLevel="1">
      <c r="A407" s="33" t="s">
        <v>1092</v>
      </c>
      <c r="B407" s="33">
        <v>804</v>
      </c>
      <c r="C407" s="40" t="str">
        <f t="shared" si="16"/>
        <v>Dues &amp; Donations804</v>
      </c>
      <c r="D407" s="104">
        <f t="shared" si="17"/>
        <v>0</v>
      </c>
      <c r="E407" s="186">
        <v>0</v>
      </c>
      <c r="F407" s="186">
        <v>0</v>
      </c>
    </row>
    <row r="408" spans="1:8" ht="12.95" hidden="1" customHeight="1" outlineLevel="1">
      <c r="A408" s="33" t="s">
        <v>1092</v>
      </c>
      <c r="B408" s="33">
        <v>805</v>
      </c>
      <c r="C408" s="40" t="str">
        <f t="shared" si="16"/>
        <v>Dues &amp; Donations805</v>
      </c>
      <c r="D408" s="104">
        <f t="shared" si="17"/>
        <v>0</v>
      </c>
      <c r="E408" s="186">
        <v>0</v>
      </c>
      <c r="F408" s="186">
        <v>0</v>
      </c>
    </row>
    <row r="409" spans="1:8" ht="12.95" hidden="1" customHeight="1" outlineLevel="1">
      <c r="A409" s="33" t="s">
        <v>1092</v>
      </c>
      <c r="B409" s="33">
        <v>806</v>
      </c>
      <c r="C409" s="40" t="str">
        <f t="shared" si="16"/>
        <v>Dues &amp; Donations806</v>
      </c>
      <c r="D409" s="104">
        <f t="shared" si="17"/>
        <v>0</v>
      </c>
      <c r="E409" s="186">
        <v>0</v>
      </c>
      <c r="F409" s="186">
        <v>0</v>
      </c>
    </row>
    <row r="410" spans="1:8" ht="12.95" hidden="1" customHeight="1" outlineLevel="1">
      <c r="A410" s="33" t="s">
        <v>1092</v>
      </c>
      <c r="B410" s="33">
        <v>807</v>
      </c>
      <c r="C410" s="40" t="str">
        <f t="shared" si="16"/>
        <v>Dues &amp; Donations807</v>
      </c>
      <c r="D410" s="104">
        <f t="shared" si="17"/>
        <v>0</v>
      </c>
      <c r="E410" s="186">
        <v>0</v>
      </c>
      <c r="F410" s="186">
        <v>0</v>
      </c>
    </row>
    <row r="411" spans="1:8" ht="12.95" hidden="1" customHeight="1" outlineLevel="1">
      <c r="A411" s="33" t="s">
        <v>1092</v>
      </c>
      <c r="B411" s="33">
        <v>808</v>
      </c>
      <c r="C411" s="40" t="str">
        <f t="shared" si="16"/>
        <v>Dues &amp; Donations808</v>
      </c>
      <c r="D411" s="104">
        <f t="shared" si="17"/>
        <v>0</v>
      </c>
      <c r="E411" s="186">
        <v>0</v>
      </c>
      <c r="F411" s="186">
        <v>0</v>
      </c>
    </row>
    <row r="412" spans="1:8" ht="12.95" hidden="1" customHeight="1" outlineLevel="1">
      <c r="A412" s="33" t="s">
        <v>1092</v>
      </c>
      <c r="B412" s="33">
        <v>812</v>
      </c>
      <c r="C412" s="40" t="str">
        <f t="shared" si="16"/>
        <v>Dues &amp; Donations812</v>
      </c>
      <c r="D412" s="104">
        <f t="shared" si="17"/>
        <v>0</v>
      </c>
      <c r="E412" s="186">
        <v>0</v>
      </c>
      <c r="F412" s="186">
        <v>0</v>
      </c>
    </row>
    <row r="413" spans="1:8" ht="12.95" hidden="1" customHeight="1" outlineLevel="1">
      <c r="A413" s="33" t="s">
        <v>1092</v>
      </c>
      <c r="B413" s="33">
        <v>870</v>
      </c>
      <c r="C413" s="40" t="str">
        <f t="shared" si="16"/>
        <v>Dues &amp; Donations870</v>
      </c>
      <c r="D413" s="104">
        <f t="shared" si="17"/>
        <v>0</v>
      </c>
      <c r="E413" s="186">
        <v>0</v>
      </c>
      <c r="F413" s="186">
        <v>0</v>
      </c>
    </row>
    <row r="414" spans="1:8" ht="12.95" hidden="1" customHeight="1" outlineLevel="1">
      <c r="A414" s="33" t="s">
        <v>1092</v>
      </c>
      <c r="B414" s="33">
        <v>871</v>
      </c>
      <c r="C414" s="40" t="str">
        <f t="shared" si="16"/>
        <v>Dues &amp; Donations871</v>
      </c>
      <c r="D414" s="104">
        <f t="shared" si="17"/>
        <v>0</v>
      </c>
      <c r="E414" s="186">
        <v>0</v>
      </c>
      <c r="F414" s="186">
        <v>0</v>
      </c>
    </row>
    <row r="415" spans="1:8" ht="12.95" hidden="1" customHeight="1" outlineLevel="1">
      <c r="A415" s="33" t="s">
        <v>1092</v>
      </c>
      <c r="B415" s="33">
        <v>874</v>
      </c>
      <c r="C415" s="40" t="str">
        <f t="shared" si="16"/>
        <v>Dues &amp; Donations874</v>
      </c>
      <c r="D415" s="104">
        <f t="shared" si="17"/>
        <v>0</v>
      </c>
      <c r="E415" s="186">
        <v>0</v>
      </c>
      <c r="F415" s="186">
        <v>0</v>
      </c>
    </row>
    <row r="416" spans="1:8" ht="12.95" hidden="1" customHeight="1" outlineLevel="1">
      <c r="A416" s="33" t="s">
        <v>1092</v>
      </c>
      <c r="B416" s="33">
        <v>875</v>
      </c>
      <c r="C416" s="40" t="str">
        <f t="shared" si="16"/>
        <v>Dues &amp; Donations875</v>
      </c>
      <c r="D416" s="104">
        <f t="shared" si="17"/>
        <v>0</v>
      </c>
      <c r="E416" s="186">
        <v>0</v>
      </c>
      <c r="F416" s="186">
        <v>0</v>
      </c>
    </row>
    <row r="417" spans="1:6" ht="12.95" hidden="1" customHeight="1" outlineLevel="1">
      <c r="A417" s="33" t="s">
        <v>1092</v>
      </c>
      <c r="B417" s="33">
        <v>876</v>
      </c>
      <c r="C417" s="40" t="str">
        <f t="shared" si="16"/>
        <v>Dues &amp; Donations876</v>
      </c>
      <c r="D417" s="104">
        <f t="shared" si="17"/>
        <v>0</v>
      </c>
      <c r="E417" s="186">
        <v>0</v>
      </c>
      <c r="F417" s="186">
        <v>0</v>
      </c>
    </row>
    <row r="418" spans="1:6" ht="12.95" hidden="1" customHeight="1" outlineLevel="1">
      <c r="A418" s="33" t="s">
        <v>1092</v>
      </c>
      <c r="B418" s="33">
        <v>878</v>
      </c>
      <c r="C418" s="40" t="str">
        <f t="shared" si="16"/>
        <v>Dues &amp; Donations878</v>
      </c>
      <c r="D418" s="104">
        <f t="shared" si="17"/>
        <v>0</v>
      </c>
      <c r="E418" s="186">
        <v>0</v>
      </c>
      <c r="F418" s="186">
        <v>0</v>
      </c>
    </row>
    <row r="419" spans="1:6" ht="12.95" hidden="1" customHeight="1" outlineLevel="1">
      <c r="A419" s="33" t="s">
        <v>1092</v>
      </c>
      <c r="B419" s="33">
        <v>879</v>
      </c>
      <c r="C419" s="40" t="str">
        <f t="shared" si="16"/>
        <v>Dues &amp; Donations879</v>
      </c>
      <c r="D419" s="104">
        <f t="shared" si="17"/>
        <v>0</v>
      </c>
      <c r="E419" s="186">
        <v>0</v>
      </c>
      <c r="F419" s="186">
        <v>0</v>
      </c>
    </row>
    <row r="420" spans="1:6" ht="12.95" hidden="1" customHeight="1" outlineLevel="1">
      <c r="A420" s="33" t="s">
        <v>1092</v>
      </c>
      <c r="B420" s="33">
        <v>880</v>
      </c>
      <c r="C420" s="40" t="str">
        <f t="shared" si="16"/>
        <v>Dues &amp; Donations880</v>
      </c>
      <c r="D420" s="104">
        <f t="shared" si="17"/>
        <v>0</v>
      </c>
      <c r="E420" s="186">
        <v>0</v>
      </c>
      <c r="F420" s="186">
        <v>0</v>
      </c>
    </row>
    <row r="421" spans="1:6" ht="12.95" hidden="1" customHeight="1" outlineLevel="1">
      <c r="A421" s="33" t="s">
        <v>1092</v>
      </c>
      <c r="B421" s="33">
        <v>881</v>
      </c>
      <c r="C421" s="40" t="str">
        <f t="shared" si="16"/>
        <v>Dues &amp; Donations881</v>
      </c>
      <c r="D421" s="104">
        <f t="shared" si="17"/>
        <v>0</v>
      </c>
      <c r="E421" s="186">
        <v>0</v>
      </c>
      <c r="F421" s="186">
        <v>0</v>
      </c>
    </row>
    <row r="422" spans="1:6" ht="12.95" hidden="1" customHeight="1" outlineLevel="1">
      <c r="A422" s="33" t="s">
        <v>1092</v>
      </c>
      <c r="B422" s="33">
        <v>885</v>
      </c>
      <c r="C422" s="40" t="str">
        <f t="shared" si="16"/>
        <v>Dues &amp; Donations885</v>
      </c>
      <c r="D422" s="104">
        <f t="shared" si="17"/>
        <v>0</v>
      </c>
      <c r="E422" s="186">
        <v>0</v>
      </c>
      <c r="F422" s="186">
        <v>0</v>
      </c>
    </row>
    <row r="423" spans="1:6" ht="12.95" hidden="1" customHeight="1" outlineLevel="1">
      <c r="A423" s="33" t="s">
        <v>1092</v>
      </c>
      <c r="B423" s="33">
        <v>886</v>
      </c>
      <c r="C423" s="40" t="str">
        <f t="shared" si="16"/>
        <v>Dues &amp; Donations886</v>
      </c>
      <c r="D423" s="104">
        <f t="shared" si="17"/>
        <v>0</v>
      </c>
      <c r="E423" s="186">
        <v>0</v>
      </c>
      <c r="F423" s="186">
        <v>0</v>
      </c>
    </row>
    <row r="424" spans="1:6" ht="12.95" hidden="1" customHeight="1" outlineLevel="1">
      <c r="A424" s="33" t="s">
        <v>1092</v>
      </c>
      <c r="B424" s="33">
        <v>887</v>
      </c>
      <c r="C424" s="40" t="str">
        <f t="shared" si="16"/>
        <v>Dues &amp; Donations887</v>
      </c>
      <c r="D424" s="104">
        <f t="shared" si="17"/>
        <v>0</v>
      </c>
      <c r="E424" s="186">
        <v>0</v>
      </c>
      <c r="F424" s="186">
        <v>0</v>
      </c>
    </row>
    <row r="425" spans="1:6" ht="12.95" hidden="1" customHeight="1" outlineLevel="1">
      <c r="A425" s="33" t="s">
        <v>1092</v>
      </c>
      <c r="B425" s="33">
        <v>889</v>
      </c>
      <c r="C425" s="40" t="str">
        <f t="shared" si="16"/>
        <v>Dues &amp; Donations889</v>
      </c>
      <c r="D425" s="104">
        <f t="shared" si="17"/>
        <v>0</v>
      </c>
      <c r="E425" s="186">
        <v>0</v>
      </c>
      <c r="F425" s="186">
        <v>0</v>
      </c>
    </row>
    <row r="426" spans="1:6" ht="12.95" hidden="1" customHeight="1" outlineLevel="1">
      <c r="A426" s="33" t="s">
        <v>1092</v>
      </c>
      <c r="B426" s="33">
        <v>890</v>
      </c>
      <c r="C426" s="40" t="str">
        <f t="shared" si="16"/>
        <v>Dues &amp; Donations890</v>
      </c>
      <c r="D426" s="104">
        <f t="shared" si="17"/>
        <v>0</v>
      </c>
      <c r="E426" s="186">
        <v>0</v>
      </c>
      <c r="F426" s="186">
        <v>0</v>
      </c>
    </row>
    <row r="427" spans="1:6" ht="12.95" hidden="1" customHeight="1" outlineLevel="1">
      <c r="A427" s="33" t="s">
        <v>1092</v>
      </c>
      <c r="B427" s="33">
        <v>892</v>
      </c>
      <c r="C427" s="40" t="str">
        <f t="shared" si="16"/>
        <v>Dues &amp; Donations892</v>
      </c>
      <c r="D427" s="104">
        <f t="shared" si="17"/>
        <v>0</v>
      </c>
      <c r="E427" s="186">
        <v>0</v>
      </c>
      <c r="F427" s="186">
        <v>0</v>
      </c>
    </row>
    <row r="428" spans="1:6" ht="12.95" hidden="1" customHeight="1" outlineLevel="1">
      <c r="A428" s="33" t="s">
        <v>1092</v>
      </c>
      <c r="B428" s="33">
        <v>893</v>
      </c>
      <c r="C428" s="40" t="str">
        <f t="shared" si="16"/>
        <v>Dues &amp; Donations893</v>
      </c>
      <c r="D428" s="104">
        <f t="shared" si="17"/>
        <v>0</v>
      </c>
      <c r="E428" s="186">
        <v>0</v>
      </c>
      <c r="F428" s="186">
        <v>0</v>
      </c>
    </row>
    <row r="429" spans="1:6" ht="12.95" hidden="1" customHeight="1" outlineLevel="1">
      <c r="A429" s="33" t="s">
        <v>1092</v>
      </c>
      <c r="B429" s="33">
        <v>894</v>
      </c>
      <c r="C429" s="40" t="str">
        <f t="shared" si="16"/>
        <v>Dues &amp; Donations894</v>
      </c>
      <c r="D429" s="104">
        <f t="shared" si="17"/>
        <v>0</v>
      </c>
      <c r="E429" s="186">
        <v>0</v>
      </c>
      <c r="F429" s="186">
        <v>0</v>
      </c>
    </row>
    <row r="430" spans="1:6" ht="12.95" hidden="1" customHeight="1" outlineLevel="1">
      <c r="A430" s="33" t="s">
        <v>1092</v>
      </c>
      <c r="B430" s="33">
        <v>902</v>
      </c>
      <c r="C430" s="40" t="str">
        <f t="shared" si="16"/>
        <v>Dues &amp; Donations902</v>
      </c>
      <c r="D430" s="104">
        <f t="shared" si="17"/>
        <v>0</v>
      </c>
      <c r="E430" s="186">
        <v>0</v>
      </c>
      <c r="F430" s="186">
        <v>0</v>
      </c>
    </row>
    <row r="431" spans="1:6" ht="12.95" hidden="1" customHeight="1" outlineLevel="1">
      <c r="A431" s="33" t="s">
        <v>1092</v>
      </c>
      <c r="B431" s="33">
        <v>903</v>
      </c>
      <c r="C431" s="40" t="str">
        <f t="shared" si="16"/>
        <v>Dues &amp; Donations903</v>
      </c>
      <c r="D431" s="104">
        <f t="shared" si="17"/>
        <v>0</v>
      </c>
      <c r="E431" s="186">
        <v>0</v>
      </c>
      <c r="F431" s="186">
        <v>0</v>
      </c>
    </row>
    <row r="432" spans="1:6" ht="12.95" hidden="1" customHeight="1" outlineLevel="1">
      <c r="A432" s="33" t="s">
        <v>1092</v>
      </c>
      <c r="B432" s="33">
        <v>904</v>
      </c>
      <c r="C432" s="40" t="str">
        <f t="shared" si="16"/>
        <v>Dues &amp; Donations904</v>
      </c>
      <c r="D432" s="104">
        <f t="shared" si="17"/>
        <v>0</v>
      </c>
      <c r="E432" s="186">
        <v>0</v>
      </c>
      <c r="F432" s="186">
        <v>0</v>
      </c>
    </row>
    <row r="433" spans="1:6" ht="12.95" hidden="1" customHeight="1" outlineLevel="1">
      <c r="A433" s="33" t="s">
        <v>1092</v>
      </c>
      <c r="B433" s="33">
        <v>905</v>
      </c>
      <c r="C433" s="40" t="str">
        <f t="shared" si="16"/>
        <v>Dues &amp; Donations905</v>
      </c>
      <c r="D433" s="104">
        <f t="shared" si="17"/>
        <v>0</v>
      </c>
      <c r="E433" s="186">
        <v>0</v>
      </c>
      <c r="F433" s="186">
        <v>0</v>
      </c>
    </row>
    <row r="434" spans="1:6" ht="12.95" hidden="1" customHeight="1" outlineLevel="1">
      <c r="A434" s="33" t="s">
        <v>1092</v>
      </c>
      <c r="B434" s="33">
        <v>907</v>
      </c>
      <c r="C434" s="40" t="str">
        <f t="shared" si="16"/>
        <v>Dues &amp; Donations907</v>
      </c>
      <c r="D434" s="104">
        <f t="shared" si="17"/>
        <v>0</v>
      </c>
      <c r="E434" s="186">
        <v>0</v>
      </c>
      <c r="F434" s="186">
        <v>0</v>
      </c>
    </row>
    <row r="435" spans="1:6" ht="12.95" hidden="1" customHeight="1" outlineLevel="1">
      <c r="A435" s="33" t="s">
        <v>1092</v>
      </c>
      <c r="B435" s="33">
        <v>908</v>
      </c>
      <c r="C435" s="40" t="str">
        <f t="shared" si="16"/>
        <v>Dues &amp; Donations908</v>
      </c>
      <c r="D435" s="104">
        <f t="shared" si="17"/>
        <v>0</v>
      </c>
      <c r="E435" s="186">
        <v>0</v>
      </c>
      <c r="F435" s="186">
        <v>0</v>
      </c>
    </row>
    <row r="436" spans="1:6" ht="12.95" hidden="1" customHeight="1" outlineLevel="1">
      <c r="A436" s="33" t="s">
        <v>1092</v>
      </c>
      <c r="B436" s="33">
        <v>909</v>
      </c>
      <c r="C436" s="40" t="str">
        <f t="shared" si="16"/>
        <v>Dues &amp; Donations909</v>
      </c>
      <c r="D436" s="104">
        <f t="shared" si="17"/>
        <v>0</v>
      </c>
      <c r="E436" s="186">
        <v>0</v>
      </c>
      <c r="F436" s="186">
        <v>0</v>
      </c>
    </row>
    <row r="437" spans="1:6" ht="12.95" hidden="1" customHeight="1" outlineLevel="1">
      <c r="A437" s="33" t="s">
        <v>1092</v>
      </c>
      <c r="B437" s="33">
        <v>910</v>
      </c>
      <c r="C437" s="40" t="str">
        <f t="shared" si="16"/>
        <v>Dues &amp; Donations910</v>
      </c>
      <c r="D437" s="104">
        <f t="shared" si="17"/>
        <v>0</v>
      </c>
      <c r="E437" s="186">
        <v>0</v>
      </c>
      <c r="F437" s="186">
        <v>0</v>
      </c>
    </row>
    <row r="438" spans="1:6" ht="12.95" hidden="1" customHeight="1" outlineLevel="1">
      <c r="A438" s="33" t="s">
        <v>1092</v>
      </c>
      <c r="B438" s="33">
        <v>911</v>
      </c>
      <c r="C438" s="40" t="str">
        <f t="shared" si="16"/>
        <v>Dues &amp; Donations911</v>
      </c>
      <c r="D438" s="104">
        <f t="shared" si="17"/>
        <v>0</v>
      </c>
      <c r="E438" s="186">
        <v>0</v>
      </c>
      <c r="F438" s="186">
        <v>0</v>
      </c>
    </row>
    <row r="439" spans="1:6" ht="12.95" hidden="1" customHeight="1" outlineLevel="1">
      <c r="A439" s="33" t="s">
        <v>1092</v>
      </c>
      <c r="B439" s="33">
        <v>912</v>
      </c>
      <c r="C439" s="40" t="str">
        <f t="shared" si="16"/>
        <v>Dues &amp; Donations912</v>
      </c>
      <c r="D439" s="104">
        <f t="shared" si="17"/>
        <v>0</v>
      </c>
      <c r="E439" s="186">
        <v>0</v>
      </c>
      <c r="F439" s="186">
        <v>0</v>
      </c>
    </row>
    <row r="440" spans="1:6" ht="12.95" hidden="1" customHeight="1" outlineLevel="1">
      <c r="A440" s="33" t="s">
        <v>1092</v>
      </c>
      <c r="B440" s="33">
        <v>913</v>
      </c>
      <c r="C440" s="40" t="str">
        <f t="shared" si="16"/>
        <v>Dues &amp; Donations913</v>
      </c>
      <c r="D440" s="104">
        <f t="shared" si="17"/>
        <v>0</v>
      </c>
      <c r="E440" s="186">
        <v>0</v>
      </c>
      <c r="F440" s="186">
        <v>0</v>
      </c>
    </row>
    <row r="441" spans="1:6" ht="12.95" hidden="1" customHeight="1" outlineLevel="1">
      <c r="A441" s="33" t="s">
        <v>1092</v>
      </c>
      <c r="B441" s="33">
        <v>920</v>
      </c>
      <c r="C441" s="40" t="str">
        <f t="shared" si="16"/>
        <v>Dues &amp; Donations920</v>
      </c>
      <c r="D441" s="104">
        <f t="shared" si="17"/>
        <v>0</v>
      </c>
      <c r="E441" s="186">
        <v>0</v>
      </c>
      <c r="F441" s="186">
        <v>0</v>
      </c>
    </row>
    <row r="442" spans="1:6" ht="12.95" hidden="1" customHeight="1" outlineLevel="1">
      <c r="A442" s="33" t="s">
        <v>1092</v>
      </c>
      <c r="B442" s="33">
        <v>921</v>
      </c>
      <c r="C442" s="40" t="str">
        <f t="shared" si="16"/>
        <v>Dues &amp; Donations921</v>
      </c>
      <c r="D442" s="104">
        <f t="shared" si="17"/>
        <v>268.15999999999985</v>
      </c>
      <c r="E442" s="186">
        <v>10446.16</v>
      </c>
      <c r="F442" s="186">
        <v>10714.32</v>
      </c>
    </row>
    <row r="443" spans="1:6" ht="12.95" hidden="1" customHeight="1" outlineLevel="1">
      <c r="A443" s="33" t="s">
        <v>1092</v>
      </c>
      <c r="B443" s="33">
        <v>923</v>
      </c>
      <c r="C443" s="40" t="str">
        <f t="shared" si="16"/>
        <v>Dues &amp; Donations923</v>
      </c>
      <c r="D443" s="104">
        <f t="shared" si="17"/>
        <v>-531.26</v>
      </c>
      <c r="E443" s="186">
        <v>2268.7399999999998</v>
      </c>
      <c r="F443" s="186">
        <v>1737.4799999999998</v>
      </c>
    </row>
    <row r="444" spans="1:6" ht="12.95" hidden="1" customHeight="1" outlineLevel="1">
      <c r="A444" s="33" t="s">
        <v>1092</v>
      </c>
      <c r="B444" s="33">
        <v>924</v>
      </c>
      <c r="C444" s="40" t="str">
        <f t="shared" si="16"/>
        <v>Dues &amp; Donations924</v>
      </c>
      <c r="D444" s="104">
        <f t="shared" si="17"/>
        <v>0</v>
      </c>
      <c r="E444" s="186">
        <v>0</v>
      </c>
      <c r="F444" s="186">
        <v>0</v>
      </c>
    </row>
    <row r="445" spans="1:6" ht="12.95" hidden="1" customHeight="1" outlineLevel="1">
      <c r="A445" s="33" t="s">
        <v>1092</v>
      </c>
      <c r="B445" s="33">
        <v>925</v>
      </c>
      <c r="C445" s="40" t="str">
        <f t="shared" si="16"/>
        <v>Dues &amp; Donations925</v>
      </c>
      <c r="D445" s="104">
        <f t="shared" si="17"/>
        <v>0</v>
      </c>
      <c r="E445" s="186">
        <v>0</v>
      </c>
      <c r="F445" s="186">
        <v>0</v>
      </c>
    </row>
    <row r="446" spans="1:6" ht="12.95" hidden="1" customHeight="1" outlineLevel="1">
      <c r="A446" s="33" t="s">
        <v>1092</v>
      </c>
      <c r="B446" s="33">
        <v>926</v>
      </c>
      <c r="C446" s="40" t="str">
        <f t="shared" si="16"/>
        <v>Dues &amp; Donations926</v>
      </c>
      <c r="D446" s="104">
        <f t="shared" si="17"/>
        <v>0</v>
      </c>
      <c r="E446" s="186">
        <v>0</v>
      </c>
      <c r="F446" s="186">
        <v>0</v>
      </c>
    </row>
    <row r="447" spans="1:6" ht="12.95" hidden="1" customHeight="1" outlineLevel="1">
      <c r="A447" s="33" t="s">
        <v>1092</v>
      </c>
      <c r="B447" s="33">
        <v>928</v>
      </c>
      <c r="C447" s="40" t="str">
        <f t="shared" si="16"/>
        <v>Dues &amp; Donations928</v>
      </c>
      <c r="D447" s="104">
        <f t="shared" si="17"/>
        <v>0</v>
      </c>
      <c r="E447" s="186">
        <v>0</v>
      </c>
      <c r="F447" s="186">
        <v>0</v>
      </c>
    </row>
    <row r="448" spans="1:6" ht="12.95" hidden="1" customHeight="1" outlineLevel="1">
      <c r="A448" s="33" t="s">
        <v>1092</v>
      </c>
      <c r="B448" s="33">
        <v>9301</v>
      </c>
      <c r="C448" s="40" t="str">
        <f t="shared" si="16"/>
        <v>Dues &amp; Donations9301</v>
      </c>
      <c r="D448" s="104">
        <f t="shared" si="17"/>
        <v>0</v>
      </c>
      <c r="E448" s="186">
        <v>0</v>
      </c>
      <c r="F448" s="186">
        <v>0</v>
      </c>
    </row>
    <row r="449" spans="1:6" ht="12.95" hidden="1" customHeight="1" outlineLevel="1">
      <c r="A449" s="33" t="s">
        <v>1092</v>
      </c>
      <c r="B449" s="33">
        <v>9302</v>
      </c>
      <c r="C449" s="40" t="str">
        <f t="shared" si="16"/>
        <v>Dues &amp; Donations9302</v>
      </c>
      <c r="D449" s="104">
        <f t="shared" si="17"/>
        <v>-8617.14</v>
      </c>
      <c r="E449" s="186">
        <v>100101.42000000001</v>
      </c>
      <c r="F449" s="186">
        <v>91484.280000000013</v>
      </c>
    </row>
    <row r="450" spans="1:6" ht="12.95" hidden="1" customHeight="1" outlineLevel="1">
      <c r="A450" s="33" t="s">
        <v>1092</v>
      </c>
      <c r="B450" s="33">
        <v>931</v>
      </c>
      <c r="C450" s="40" t="str">
        <f t="shared" si="16"/>
        <v>Dues &amp; Donations931</v>
      </c>
      <c r="D450" s="104">
        <f t="shared" si="17"/>
        <v>0</v>
      </c>
      <c r="E450" s="186">
        <v>0</v>
      </c>
      <c r="F450" s="186">
        <v>0</v>
      </c>
    </row>
    <row r="451" spans="1:6" ht="12.95" hidden="1" customHeight="1" outlineLevel="1">
      <c r="A451" s="33" t="s">
        <v>1092</v>
      </c>
      <c r="B451" s="33">
        <v>932</v>
      </c>
      <c r="C451" s="40" t="str">
        <f t="shared" si="16"/>
        <v>Dues &amp; Donations932</v>
      </c>
      <c r="D451" s="104">
        <f t="shared" si="17"/>
        <v>0</v>
      </c>
      <c r="E451" s="186">
        <v>0</v>
      </c>
      <c r="F451" s="186">
        <v>0</v>
      </c>
    </row>
    <row r="452" spans="1:6" ht="12.95" hidden="1" customHeight="1" outlineLevel="1">
      <c r="A452" s="33" t="s">
        <v>1092</v>
      </c>
      <c r="B452" s="33">
        <v>935</v>
      </c>
      <c r="C452" s="40" t="str">
        <f t="shared" si="16"/>
        <v>Dues &amp; Donations935</v>
      </c>
      <c r="D452" s="104">
        <f t="shared" si="17"/>
        <v>0</v>
      </c>
      <c r="E452" s="186">
        <v>0</v>
      </c>
      <c r="F452" s="186">
        <v>0</v>
      </c>
    </row>
    <row r="453" spans="1:6" s="13" customFormat="1" collapsed="1">
      <c r="A453" s="14" t="s">
        <v>1092</v>
      </c>
      <c r="B453" s="15"/>
      <c r="D453" s="194">
        <f>SUM(D405:D452)</f>
        <v>-8880.24</v>
      </c>
      <c r="E453" s="194">
        <f>SUM(E405:E452)</f>
        <v>112816.32000000001</v>
      </c>
      <c r="F453" s="194">
        <f>SUM(F405:F452)</f>
        <v>103936.08000000002</v>
      </c>
    </row>
    <row r="454" spans="1:6" ht="12.95" hidden="1" customHeight="1" outlineLevel="1">
      <c r="A454" s="33" t="s">
        <v>1030</v>
      </c>
      <c r="B454" s="33">
        <v>801</v>
      </c>
      <c r="C454" s="40" t="str">
        <f t="shared" ref="C454:C501" si="18">A454&amp;B454</f>
        <v>Employee Expenses801</v>
      </c>
      <c r="D454" s="104">
        <f t="shared" ref="D454:D501" si="19">+F454-E454</f>
        <v>0</v>
      </c>
      <c r="E454" s="186">
        <v>0</v>
      </c>
      <c r="F454" s="186">
        <v>0</v>
      </c>
    </row>
    <row r="455" spans="1:6" ht="12.95" hidden="1" customHeight="1" outlineLevel="1">
      <c r="A455" s="33" t="s">
        <v>1030</v>
      </c>
      <c r="B455" s="33">
        <v>803</v>
      </c>
      <c r="C455" s="40" t="str">
        <f t="shared" si="18"/>
        <v>Employee Expenses803</v>
      </c>
      <c r="D455" s="104">
        <f t="shared" si="19"/>
        <v>0</v>
      </c>
      <c r="E455" s="186">
        <v>0</v>
      </c>
      <c r="F455" s="186">
        <v>0</v>
      </c>
    </row>
    <row r="456" spans="1:6" ht="12.95" hidden="1" customHeight="1" outlineLevel="1">
      <c r="A456" s="33" t="s">
        <v>1030</v>
      </c>
      <c r="B456" s="33">
        <v>804</v>
      </c>
      <c r="C456" s="40" t="str">
        <f t="shared" si="18"/>
        <v>Employee Expenses804</v>
      </c>
      <c r="D456" s="104">
        <f t="shared" si="19"/>
        <v>0</v>
      </c>
      <c r="E456" s="186">
        <v>0</v>
      </c>
      <c r="F456" s="186">
        <v>0</v>
      </c>
    </row>
    <row r="457" spans="1:6" ht="12.95" hidden="1" customHeight="1" outlineLevel="1">
      <c r="A457" s="33" t="s">
        <v>1030</v>
      </c>
      <c r="B457" s="33">
        <v>805</v>
      </c>
      <c r="C457" s="40" t="str">
        <f t="shared" si="18"/>
        <v>Employee Expenses805</v>
      </c>
      <c r="D457" s="104">
        <f t="shared" si="19"/>
        <v>0</v>
      </c>
      <c r="E457" s="186">
        <v>0</v>
      </c>
      <c r="F457" s="186">
        <v>0</v>
      </c>
    </row>
    <row r="458" spans="1:6" ht="12.95" hidden="1" customHeight="1" outlineLevel="1">
      <c r="A458" s="33" t="s">
        <v>1030</v>
      </c>
      <c r="B458" s="33">
        <v>806</v>
      </c>
      <c r="C458" s="40" t="str">
        <f t="shared" si="18"/>
        <v>Employee Expenses806</v>
      </c>
      <c r="D458" s="104">
        <f t="shared" si="19"/>
        <v>0</v>
      </c>
      <c r="E458" s="186">
        <v>0</v>
      </c>
      <c r="F458" s="186">
        <v>0</v>
      </c>
    </row>
    <row r="459" spans="1:6" ht="12.95" hidden="1" customHeight="1" outlineLevel="1">
      <c r="A459" s="33" t="s">
        <v>1030</v>
      </c>
      <c r="B459" s="33">
        <v>807</v>
      </c>
      <c r="C459" s="40" t="str">
        <f t="shared" si="18"/>
        <v>Employee Expenses807</v>
      </c>
      <c r="D459" s="104">
        <f t="shared" si="19"/>
        <v>0</v>
      </c>
      <c r="E459" s="186">
        <v>0</v>
      </c>
      <c r="F459" s="186">
        <v>0</v>
      </c>
    </row>
    <row r="460" spans="1:6" ht="12.95" hidden="1" customHeight="1" outlineLevel="1">
      <c r="A460" s="33" t="s">
        <v>1030</v>
      </c>
      <c r="B460" s="33">
        <v>808</v>
      </c>
      <c r="C460" s="40" t="str">
        <f t="shared" si="18"/>
        <v>Employee Expenses808</v>
      </c>
      <c r="D460" s="104">
        <f t="shared" si="19"/>
        <v>0</v>
      </c>
      <c r="E460" s="186">
        <v>0</v>
      </c>
      <c r="F460" s="186">
        <v>0</v>
      </c>
    </row>
    <row r="461" spans="1:6" ht="12.95" hidden="1" customHeight="1" outlineLevel="1">
      <c r="A461" s="33" t="s">
        <v>1030</v>
      </c>
      <c r="B461" s="33">
        <v>812</v>
      </c>
      <c r="C461" s="40" t="str">
        <f t="shared" si="18"/>
        <v>Employee Expenses812</v>
      </c>
      <c r="D461" s="104">
        <f t="shared" si="19"/>
        <v>0</v>
      </c>
      <c r="E461" s="186">
        <v>0</v>
      </c>
      <c r="F461" s="186">
        <v>0</v>
      </c>
    </row>
    <row r="462" spans="1:6" ht="12.95" hidden="1" customHeight="1" outlineLevel="1">
      <c r="A462" s="33" t="s">
        <v>1030</v>
      </c>
      <c r="B462" s="33">
        <v>870</v>
      </c>
      <c r="C462" s="40" t="str">
        <f t="shared" si="18"/>
        <v>Employee Expenses870</v>
      </c>
      <c r="D462" s="104">
        <f t="shared" si="19"/>
        <v>1808.739999999998</v>
      </c>
      <c r="E462" s="186">
        <v>9011.880000000001</v>
      </c>
      <c r="F462" s="186">
        <v>10820.619999999999</v>
      </c>
    </row>
    <row r="463" spans="1:6" ht="12.95" hidden="1" customHeight="1" outlineLevel="1">
      <c r="A463" s="33" t="s">
        <v>1030</v>
      </c>
      <c r="B463" s="33">
        <v>871</v>
      </c>
      <c r="C463" s="40" t="str">
        <f t="shared" si="18"/>
        <v>Employee Expenses871</v>
      </c>
      <c r="D463" s="104">
        <f t="shared" si="19"/>
        <v>0</v>
      </c>
      <c r="E463" s="186">
        <v>0</v>
      </c>
      <c r="F463" s="186">
        <v>0</v>
      </c>
    </row>
    <row r="464" spans="1:6" ht="12.95" hidden="1" customHeight="1" outlineLevel="1">
      <c r="A464" s="33" t="s">
        <v>1030</v>
      </c>
      <c r="B464" s="33">
        <v>874</v>
      </c>
      <c r="C464" s="40" t="str">
        <f t="shared" si="18"/>
        <v>Employee Expenses874</v>
      </c>
      <c r="D464" s="104">
        <f t="shared" si="19"/>
        <v>16456.630000000005</v>
      </c>
      <c r="E464" s="186">
        <v>129864.97999999998</v>
      </c>
      <c r="F464" s="186">
        <v>146321.60999999999</v>
      </c>
    </row>
    <row r="465" spans="1:6" ht="12.95" hidden="1" customHeight="1" outlineLevel="1">
      <c r="A465" s="33" t="s">
        <v>1030</v>
      </c>
      <c r="B465" s="33">
        <v>875</v>
      </c>
      <c r="C465" s="40" t="str">
        <f t="shared" si="18"/>
        <v>Employee Expenses875</v>
      </c>
      <c r="D465" s="104">
        <f t="shared" si="19"/>
        <v>60.039999999999964</v>
      </c>
      <c r="E465" s="186">
        <v>975.34999999999991</v>
      </c>
      <c r="F465" s="186">
        <v>1035.3899999999999</v>
      </c>
    </row>
    <row r="466" spans="1:6" ht="12.95" hidden="1" customHeight="1" outlineLevel="1">
      <c r="A466" s="33" t="s">
        <v>1030</v>
      </c>
      <c r="B466" s="33">
        <v>876</v>
      </c>
      <c r="C466" s="40" t="str">
        <f t="shared" si="18"/>
        <v>Employee Expenses876</v>
      </c>
      <c r="D466" s="104">
        <f t="shared" si="19"/>
        <v>-105.24000000000001</v>
      </c>
      <c r="E466" s="186">
        <v>951.88</v>
      </c>
      <c r="F466" s="186">
        <v>846.64</v>
      </c>
    </row>
    <row r="467" spans="1:6" ht="12.95" hidden="1" customHeight="1" outlineLevel="1">
      <c r="A467" s="33" t="s">
        <v>1030</v>
      </c>
      <c r="B467" s="33">
        <v>878</v>
      </c>
      <c r="C467" s="40" t="str">
        <f t="shared" si="18"/>
        <v>Employee Expenses878</v>
      </c>
      <c r="D467" s="104">
        <f t="shared" si="19"/>
        <v>4560.9000000000015</v>
      </c>
      <c r="E467" s="186">
        <v>29787.22</v>
      </c>
      <c r="F467" s="186">
        <v>34348.120000000003</v>
      </c>
    </row>
    <row r="468" spans="1:6" ht="12.95" hidden="1" customHeight="1" outlineLevel="1">
      <c r="A468" s="33" t="s">
        <v>1030</v>
      </c>
      <c r="B468" s="33">
        <v>879</v>
      </c>
      <c r="C468" s="40" t="str">
        <f t="shared" si="18"/>
        <v>Employee Expenses879</v>
      </c>
      <c r="D468" s="104">
        <f t="shared" si="19"/>
        <v>640.75999999999931</v>
      </c>
      <c r="E468" s="186">
        <v>5321.5900000000011</v>
      </c>
      <c r="F468" s="186">
        <v>5962.35</v>
      </c>
    </row>
    <row r="469" spans="1:6" ht="12.95" hidden="1" customHeight="1" outlineLevel="1">
      <c r="A469" s="33" t="s">
        <v>1030</v>
      </c>
      <c r="B469" s="33">
        <v>880</v>
      </c>
      <c r="C469" s="40" t="str">
        <f t="shared" si="18"/>
        <v>Employee Expenses880</v>
      </c>
      <c r="D469" s="104">
        <f t="shared" si="19"/>
        <v>-2016.7200000000012</v>
      </c>
      <c r="E469" s="186">
        <v>13012.58</v>
      </c>
      <c r="F469" s="186">
        <v>10995.859999999999</v>
      </c>
    </row>
    <row r="470" spans="1:6" ht="12.95" hidden="1" customHeight="1" outlineLevel="1">
      <c r="A470" s="33" t="s">
        <v>1030</v>
      </c>
      <c r="B470" s="33">
        <v>881</v>
      </c>
      <c r="C470" s="40" t="str">
        <f t="shared" si="18"/>
        <v>Employee Expenses881</v>
      </c>
      <c r="D470" s="104">
        <f t="shared" si="19"/>
        <v>0</v>
      </c>
      <c r="E470" s="186">
        <v>0</v>
      </c>
      <c r="F470" s="186">
        <v>0</v>
      </c>
    </row>
    <row r="471" spans="1:6" ht="12.95" hidden="1" customHeight="1" outlineLevel="1">
      <c r="A471" s="33" t="s">
        <v>1030</v>
      </c>
      <c r="B471" s="33">
        <v>885</v>
      </c>
      <c r="C471" s="40" t="str">
        <f t="shared" si="18"/>
        <v>Employee Expenses885</v>
      </c>
      <c r="D471" s="104">
        <f t="shared" si="19"/>
        <v>231.09000000000106</v>
      </c>
      <c r="E471" s="186">
        <v>2943.2999999999997</v>
      </c>
      <c r="F471" s="186">
        <v>3174.3900000000008</v>
      </c>
    </row>
    <row r="472" spans="1:6" ht="12.95" hidden="1" customHeight="1" outlineLevel="1">
      <c r="A472" s="33" t="s">
        <v>1030</v>
      </c>
      <c r="B472" s="33">
        <v>886</v>
      </c>
      <c r="C472" s="40" t="str">
        <f t="shared" si="18"/>
        <v>Employee Expenses886</v>
      </c>
      <c r="D472" s="104">
        <f t="shared" si="19"/>
        <v>0</v>
      </c>
      <c r="E472" s="186">
        <v>0</v>
      </c>
      <c r="F472" s="186">
        <v>0</v>
      </c>
    </row>
    <row r="473" spans="1:6" ht="12.95" hidden="1" customHeight="1" outlineLevel="1">
      <c r="A473" s="33" t="s">
        <v>1030</v>
      </c>
      <c r="B473" s="33">
        <v>887</v>
      </c>
      <c r="C473" s="40" t="str">
        <f t="shared" si="18"/>
        <v>Employee Expenses887</v>
      </c>
      <c r="D473" s="104">
        <f t="shared" si="19"/>
        <v>1313.9800000000014</v>
      </c>
      <c r="E473" s="186">
        <v>10593.55</v>
      </c>
      <c r="F473" s="186">
        <v>11907.53</v>
      </c>
    </row>
    <row r="474" spans="1:6" ht="12.95" hidden="1" customHeight="1" outlineLevel="1">
      <c r="A474" s="33" t="s">
        <v>1030</v>
      </c>
      <c r="B474" s="33">
        <v>889</v>
      </c>
      <c r="C474" s="40" t="str">
        <f t="shared" si="18"/>
        <v>Employee Expenses889</v>
      </c>
      <c r="D474" s="104">
        <f t="shared" si="19"/>
        <v>60.039999999999964</v>
      </c>
      <c r="E474" s="186">
        <v>975.34999999999991</v>
      </c>
      <c r="F474" s="186">
        <v>1035.3899999999999</v>
      </c>
    </row>
    <row r="475" spans="1:6" ht="12.95" hidden="1" customHeight="1" outlineLevel="1">
      <c r="A475" s="33" t="s">
        <v>1030</v>
      </c>
      <c r="B475" s="33">
        <v>890</v>
      </c>
      <c r="C475" s="40" t="str">
        <f t="shared" si="18"/>
        <v>Employee Expenses890</v>
      </c>
      <c r="D475" s="104">
        <f t="shared" si="19"/>
        <v>30.009999999999877</v>
      </c>
      <c r="E475" s="186">
        <v>487.70000000000005</v>
      </c>
      <c r="F475" s="186">
        <v>517.70999999999992</v>
      </c>
    </row>
    <row r="476" spans="1:6" ht="12.95" hidden="1" customHeight="1" outlineLevel="1">
      <c r="A476" s="33" t="s">
        <v>1030</v>
      </c>
      <c r="B476" s="33">
        <v>892</v>
      </c>
      <c r="C476" s="40" t="str">
        <f t="shared" si="18"/>
        <v>Employee Expenses892</v>
      </c>
      <c r="D476" s="104">
        <f t="shared" si="19"/>
        <v>707.38999999999942</v>
      </c>
      <c r="E476" s="186">
        <v>5645.3600000000006</v>
      </c>
      <c r="F476" s="186">
        <v>6352.75</v>
      </c>
    </row>
    <row r="477" spans="1:6" ht="12.95" hidden="1" customHeight="1" outlineLevel="1">
      <c r="A477" s="33" t="s">
        <v>1030</v>
      </c>
      <c r="B477" s="33">
        <v>893</v>
      </c>
      <c r="C477" s="40" t="str">
        <f t="shared" si="18"/>
        <v>Employee Expenses893</v>
      </c>
      <c r="D477" s="104">
        <f t="shared" si="19"/>
        <v>0</v>
      </c>
      <c r="E477" s="186">
        <v>0</v>
      </c>
      <c r="F477" s="186">
        <v>0</v>
      </c>
    </row>
    <row r="478" spans="1:6" ht="12.95" hidden="1" customHeight="1" outlineLevel="1">
      <c r="A478" s="33" t="s">
        <v>1030</v>
      </c>
      <c r="B478" s="33">
        <v>894</v>
      </c>
      <c r="C478" s="40" t="str">
        <f t="shared" si="18"/>
        <v>Employee Expenses894</v>
      </c>
      <c r="D478" s="104">
        <f t="shared" si="19"/>
        <v>0</v>
      </c>
      <c r="E478" s="186">
        <v>0</v>
      </c>
      <c r="F478" s="186">
        <v>0</v>
      </c>
    </row>
    <row r="479" spans="1:6" ht="12.95" hidden="1" customHeight="1" outlineLevel="1">
      <c r="A479" s="33" t="s">
        <v>1030</v>
      </c>
      <c r="B479" s="33">
        <v>902</v>
      </c>
      <c r="C479" s="40" t="str">
        <f t="shared" si="18"/>
        <v>Employee Expenses902</v>
      </c>
      <c r="D479" s="104">
        <f t="shared" si="19"/>
        <v>0</v>
      </c>
      <c r="E479" s="186">
        <v>0</v>
      </c>
      <c r="F479" s="186">
        <v>0</v>
      </c>
    </row>
    <row r="480" spans="1:6" ht="12.95" hidden="1" customHeight="1" outlineLevel="1">
      <c r="A480" s="33" t="s">
        <v>1030</v>
      </c>
      <c r="B480" s="33">
        <v>903</v>
      </c>
      <c r="C480" s="40" t="str">
        <f t="shared" si="18"/>
        <v>Employee Expenses903</v>
      </c>
      <c r="D480" s="104">
        <f t="shared" si="19"/>
        <v>354.44000000000005</v>
      </c>
      <c r="E480" s="186">
        <v>2338.2500000000005</v>
      </c>
      <c r="F480" s="186">
        <v>2692.6900000000005</v>
      </c>
    </row>
    <row r="481" spans="1:6" ht="12.95" hidden="1" customHeight="1" outlineLevel="1">
      <c r="A481" s="33" t="s">
        <v>1030</v>
      </c>
      <c r="B481" s="33">
        <v>904</v>
      </c>
      <c r="C481" s="40" t="str">
        <f t="shared" si="18"/>
        <v>Employee Expenses904</v>
      </c>
      <c r="D481" s="104">
        <f t="shared" si="19"/>
        <v>0</v>
      </c>
      <c r="E481" s="186">
        <v>0</v>
      </c>
      <c r="F481" s="186">
        <v>0</v>
      </c>
    </row>
    <row r="482" spans="1:6" ht="12.95" hidden="1" customHeight="1" outlineLevel="1">
      <c r="A482" s="33" t="s">
        <v>1030</v>
      </c>
      <c r="B482" s="33">
        <v>905</v>
      </c>
      <c r="C482" s="40" t="str">
        <f t="shared" si="18"/>
        <v>Employee Expenses905</v>
      </c>
      <c r="D482" s="104">
        <f t="shared" si="19"/>
        <v>0</v>
      </c>
      <c r="E482" s="186">
        <v>0</v>
      </c>
      <c r="F482" s="186">
        <v>0</v>
      </c>
    </row>
    <row r="483" spans="1:6" ht="12.95" hidden="1" customHeight="1" outlineLevel="1">
      <c r="A483" s="33" t="s">
        <v>1030</v>
      </c>
      <c r="B483" s="33">
        <v>907</v>
      </c>
      <c r="C483" s="40" t="str">
        <f t="shared" si="18"/>
        <v>Employee Expenses907</v>
      </c>
      <c r="D483" s="104">
        <f t="shared" si="19"/>
        <v>0</v>
      </c>
      <c r="E483" s="186">
        <v>0</v>
      </c>
      <c r="F483" s="186">
        <v>0</v>
      </c>
    </row>
    <row r="484" spans="1:6" ht="12.95" hidden="1" customHeight="1" outlineLevel="1">
      <c r="A484" s="33" t="s">
        <v>1030</v>
      </c>
      <c r="B484" s="33">
        <v>908</v>
      </c>
      <c r="C484" s="40" t="str">
        <f t="shared" si="18"/>
        <v>Employee Expenses908</v>
      </c>
      <c r="D484" s="104">
        <f t="shared" si="19"/>
        <v>0</v>
      </c>
      <c r="E484" s="186">
        <v>0</v>
      </c>
      <c r="F484" s="186">
        <v>0</v>
      </c>
    </row>
    <row r="485" spans="1:6" ht="12.95" hidden="1" customHeight="1" outlineLevel="1">
      <c r="A485" s="33" t="s">
        <v>1030</v>
      </c>
      <c r="B485" s="33">
        <v>909</v>
      </c>
      <c r="C485" s="40" t="str">
        <f t="shared" si="18"/>
        <v>Employee Expenses909</v>
      </c>
      <c r="D485" s="104">
        <f t="shared" si="19"/>
        <v>0</v>
      </c>
      <c r="E485" s="186">
        <v>0</v>
      </c>
      <c r="F485" s="186">
        <v>0</v>
      </c>
    </row>
    <row r="486" spans="1:6" ht="12.95" hidden="1" customHeight="1" outlineLevel="1">
      <c r="A486" s="33" t="s">
        <v>1030</v>
      </c>
      <c r="B486" s="33">
        <v>910</v>
      </c>
      <c r="C486" s="40" t="str">
        <f t="shared" si="18"/>
        <v>Employee Expenses910</v>
      </c>
      <c r="D486" s="104">
        <f t="shared" si="19"/>
        <v>0</v>
      </c>
      <c r="E486" s="186">
        <v>0</v>
      </c>
      <c r="F486" s="186">
        <v>0</v>
      </c>
    </row>
    <row r="487" spans="1:6" ht="12.95" hidden="1" customHeight="1" outlineLevel="1">
      <c r="A487" s="33" t="s">
        <v>1030</v>
      </c>
      <c r="B487" s="33">
        <v>911</v>
      </c>
      <c r="C487" s="40" t="str">
        <f t="shared" si="18"/>
        <v>Employee Expenses911</v>
      </c>
      <c r="D487" s="104">
        <f t="shared" si="19"/>
        <v>0</v>
      </c>
      <c r="E487" s="186">
        <v>0</v>
      </c>
      <c r="F487" s="186">
        <v>0</v>
      </c>
    </row>
    <row r="488" spans="1:6" ht="12.95" hidden="1" customHeight="1" outlineLevel="1">
      <c r="A488" s="33" t="s">
        <v>1030</v>
      </c>
      <c r="B488" s="33">
        <v>912</v>
      </c>
      <c r="C488" s="40" t="str">
        <f t="shared" si="18"/>
        <v>Employee Expenses912</v>
      </c>
      <c r="D488" s="104">
        <f t="shared" si="19"/>
        <v>0</v>
      </c>
      <c r="E488" s="186">
        <v>0</v>
      </c>
      <c r="F488" s="186">
        <v>0</v>
      </c>
    </row>
    <row r="489" spans="1:6" ht="12.95" hidden="1" customHeight="1" outlineLevel="1">
      <c r="A489" s="33" t="s">
        <v>1030</v>
      </c>
      <c r="B489" s="33">
        <v>913</v>
      </c>
      <c r="C489" s="40" t="str">
        <f t="shared" si="18"/>
        <v>Employee Expenses913</v>
      </c>
      <c r="D489" s="104">
        <f t="shared" si="19"/>
        <v>0</v>
      </c>
      <c r="E489" s="186">
        <v>0</v>
      </c>
      <c r="F489" s="186">
        <v>0</v>
      </c>
    </row>
    <row r="490" spans="1:6" ht="12.95" hidden="1" customHeight="1" outlineLevel="1">
      <c r="A490" s="33" t="s">
        <v>1030</v>
      </c>
      <c r="B490" s="33">
        <v>920</v>
      </c>
      <c r="C490" s="40" t="str">
        <f t="shared" si="18"/>
        <v>Employee Expenses920</v>
      </c>
      <c r="D490" s="104">
        <f t="shared" si="19"/>
        <v>726.17999999999665</v>
      </c>
      <c r="E490" s="186">
        <v>11613.410000000002</v>
      </c>
      <c r="F490" s="186">
        <v>12339.589999999998</v>
      </c>
    </row>
    <row r="491" spans="1:6" ht="12.95" hidden="1" customHeight="1" outlineLevel="1">
      <c r="A491" s="33" t="s">
        <v>1030</v>
      </c>
      <c r="B491" s="33">
        <v>921</v>
      </c>
      <c r="C491" s="40" t="str">
        <f t="shared" si="18"/>
        <v>Employee Expenses921</v>
      </c>
      <c r="D491" s="104">
        <f t="shared" si="19"/>
        <v>5478.6600000000035</v>
      </c>
      <c r="E491" s="186">
        <v>220909.46</v>
      </c>
      <c r="F491" s="186">
        <v>226388.12</v>
      </c>
    </row>
    <row r="492" spans="1:6" ht="12.95" hidden="1" customHeight="1" outlineLevel="1">
      <c r="A492" s="33" t="s">
        <v>1030</v>
      </c>
      <c r="B492" s="33">
        <v>923</v>
      </c>
      <c r="C492" s="40" t="str">
        <f t="shared" si="18"/>
        <v>Employee Expenses923</v>
      </c>
      <c r="D492" s="104">
        <f t="shared" si="19"/>
        <v>365</v>
      </c>
      <c r="E492" s="186">
        <v>-365</v>
      </c>
      <c r="F492" s="186">
        <v>0</v>
      </c>
    </row>
    <row r="493" spans="1:6" ht="12.95" hidden="1" customHeight="1" outlineLevel="1">
      <c r="A493" s="33" t="s">
        <v>1030</v>
      </c>
      <c r="B493" s="33">
        <v>924</v>
      </c>
      <c r="C493" s="40" t="str">
        <f t="shared" si="18"/>
        <v>Employee Expenses924</v>
      </c>
      <c r="D493" s="104">
        <f t="shared" si="19"/>
        <v>0</v>
      </c>
      <c r="E493" s="186">
        <v>0</v>
      </c>
      <c r="F493" s="186">
        <v>0</v>
      </c>
    </row>
    <row r="494" spans="1:6" ht="12.95" hidden="1" customHeight="1" outlineLevel="1">
      <c r="A494" s="33" t="s">
        <v>1030</v>
      </c>
      <c r="B494" s="33">
        <v>925</v>
      </c>
      <c r="C494" s="40" t="str">
        <f t="shared" si="18"/>
        <v>Employee Expenses925</v>
      </c>
      <c r="D494" s="104">
        <f t="shared" si="19"/>
        <v>0</v>
      </c>
      <c r="E494" s="186">
        <v>0</v>
      </c>
      <c r="F494" s="186">
        <v>0</v>
      </c>
    </row>
    <row r="495" spans="1:6" ht="12.95" hidden="1" customHeight="1" outlineLevel="1">
      <c r="A495" s="33" t="s">
        <v>1030</v>
      </c>
      <c r="B495" s="33">
        <v>926</v>
      </c>
      <c r="C495" s="40" t="str">
        <f t="shared" si="18"/>
        <v>Employee Expenses926</v>
      </c>
      <c r="D495" s="104">
        <f t="shared" si="19"/>
        <v>-77448.760000000068</v>
      </c>
      <c r="E495" s="186">
        <v>375251.36000000004</v>
      </c>
      <c r="F495" s="186">
        <v>297802.59999999998</v>
      </c>
    </row>
    <row r="496" spans="1:6" ht="12.95" hidden="1" customHeight="1" outlineLevel="1">
      <c r="A496" s="33" t="s">
        <v>1030</v>
      </c>
      <c r="B496" s="33">
        <v>928</v>
      </c>
      <c r="C496" s="40" t="str">
        <f t="shared" si="18"/>
        <v>Employee Expenses928</v>
      </c>
      <c r="D496" s="104">
        <f t="shared" si="19"/>
        <v>0</v>
      </c>
      <c r="E496" s="186">
        <v>0</v>
      </c>
      <c r="F496" s="186">
        <v>0</v>
      </c>
    </row>
    <row r="497" spans="1:6" ht="12.95" hidden="1" customHeight="1" outlineLevel="1">
      <c r="A497" s="33" t="s">
        <v>1030</v>
      </c>
      <c r="B497" s="33">
        <v>9301</v>
      </c>
      <c r="C497" s="40" t="str">
        <f t="shared" si="18"/>
        <v>Employee Expenses9301</v>
      </c>
      <c r="D497" s="104">
        <f t="shared" si="19"/>
        <v>0</v>
      </c>
      <c r="E497" s="186">
        <v>0</v>
      </c>
      <c r="F497" s="186">
        <v>0</v>
      </c>
    </row>
    <row r="498" spans="1:6" ht="12.95" hidden="1" customHeight="1" outlineLevel="1">
      <c r="A498" s="33" t="s">
        <v>1030</v>
      </c>
      <c r="B498" s="33">
        <v>9302</v>
      </c>
      <c r="C498" s="40" t="str">
        <f t="shared" si="18"/>
        <v>Employee Expenses9302</v>
      </c>
      <c r="D498" s="104">
        <f t="shared" si="19"/>
        <v>0</v>
      </c>
      <c r="E498" s="186">
        <v>0</v>
      </c>
      <c r="F498" s="186">
        <v>0</v>
      </c>
    </row>
    <row r="499" spans="1:6" ht="12.95" hidden="1" customHeight="1" outlineLevel="1">
      <c r="A499" s="33" t="s">
        <v>1030</v>
      </c>
      <c r="B499" s="33">
        <v>931</v>
      </c>
      <c r="C499" s="40" t="str">
        <f t="shared" si="18"/>
        <v>Employee Expenses931</v>
      </c>
      <c r="D499" s="104">
        <f t="shared" si="19"/>
        <v>0</v>
      </c>
      <c r="E499" s="186">
        <v>0</v>
      </c>
      <c r="F499" s="186">
        <v>0</v>
      </c>
    </row>
    <row r="500" spans="1:6" ht="12.95" hidden="1" customHeight="1" outlineLevel="1">
      <c r="A500" s="33" t="s">
        <v>1030</v>
      </c>
      <c r="B500" s="33">
        <v>932</v>
      </c>
      <c r="C500" s="40" t="str">
        <f t="shared" si="18"/>
        <v>Employee Expenses932</v>
      </c>
      <c r="D500" s="104">
        <f t="shared" si="19"/>
        <v>0</v>
      </c>
      <c r="E500" s="186">
        <v>0</v>
      </c>
      <c r="F500" s="186">
        <v>0</v>
      </c>
    </row>
    <row r="501" spans="1:6" ht="12.95" hidden="1" customHeight="1" outlineLevel="1">
      <c r="A501" s="33" t="s">
        <v>1030</v>
      </c>
      <c r="B501" s="33">
        <v>935</v>
      </c>
      <c r="C501" s="40" t="str">
        <f t="shared" si="18"/>
        <v>Employee Expenses935</v>
      </c>
      <c r="D501" s="104">
        <f t="shared" si="19"/>
        <v>0</v>
      </c>
      <c r="E501" s="186">
        <v>0</v>
      </c>
      <c r="F501" s="186">
        <v>0</v>
      </c>
    </row>
    <row r="502" spans="1:6" s="13" customFormat="1" collapsed="1">
      <c r="A502" s="14" t="s">
        <v>1030</v>
      </c>
      <c r="B502" s="15"/>
      <c r="D502" s="194">
        <f>SUM(D454:D501)</f>
        <v>-46776.860000000073</v>
      </c>
      <c r="E502" s="194">
        <f>SUM(E454:E501)</f>
        <v>819318.22</v>
      </c>
      <c r="F502" s="194">
        <f>SUM(F454:F501)</f>
        <v>772541.36</v>
      </c>
    </row>
    <row r="503" spans="1:6" ht="12.95" hidden="1" customHeight="1" outlineLevel="1">
      <c r="A503" s="33" t="s">
        <v>1550</v>
      </c>
      <c r="B503" s="33">
        <v>801</v>
      </c>
      <c r="C503" s="40" t="str">
        <f t="shared" ref="C503:C549" si="20">A503&amp;B503</f>
        <v>Employees' Insurance Plans801</v>
      </c>
      <c r="D503" s="104">
        <f t="shared" ref="D503:D549" si="21">+F503-E503</f>
        <v>0</v>
      </c>
      <c r="E503" s="186">
        <v>0</v>
      </c>
      <c r="F503" s="186">
        <v>0</v>
      </c>
    </row>
    <row r="504" spans="1:6" ht="12.95" hidden="1" customHeight="1" outlineLevel="1">
      <c r="A504" s="33" t="s">
        <v>1550</v>
      </c>
      <c r="B504" s="33">
        <v>803</v>
      </c>
      <c r="C504" s="40" t="str">
        <f t="shared" si="20"/>
        <v>Employees' Insurance Plans803</v>
      </c>
      <c r="D504" s="104">
        <f t="shared" si="21"/>
        <v>0</v>
      </c>
      <c r="E504" s="186">
        <v>0</v>
      </c>
      <c r="F504" s="186">
        <v>0</v>
      </c>
    </row>
    <row r="505" spans="1:6" ht="12.95" hidden="1" customHeight="1" outlineLevel="1">
      <c r="A505" s="33" t="s">
        <v>1550</v>
      </c>
      <c r="B505" s="33">
        <v>804</v>
      </c>
      <c r="C505" s="40" t="str">
        <f t="shared" si="20"/>
        <v>Employees' Insurance Plans804</v>
      </c>
      <c r="D505" s="104">
        <f t="shared" si="21"/>
        <v>0</v>
      </c>
      <c r="E505" s="186">
        <v>0</v>
      </c>
      <c r="F505" s="186">
        <v>0</v>
      </c>
    </row>
    <row r="506" spans="1:6" ht="12.95" hidden="1" customHeight="1" outlineLevel="1">
      <c r="A506" s="33" t="s">
        <v>1550</v>
      </c>
      <c r="B506" s="33">
        <v>805</v>
      </c>
      <c r="C506" s="40" t="str">
        <f t="shared" si="20"/>
        <v>Employees' Insurance Plans805</v>
      </c>
      <c r="D506" s="104">
        <f t="shared" si="21"/>
        <v>0</v>
      </c>
      <c r="E506" s="186">
        <v>0</v>
      </c>
      <c r="F506" s="186">
        <v>0</v>
      </c>
    </row>
    <row r="507" spans="1:6" ht="12.95" hidden="1" customHeight="1" outlineLevel="1">
      <c r="A507" s="33" t="s">
        <v>1550</v>
      </c>
      <c r="B507" s="33">
        <v>806</v>
      </c>
      <c r="C507" s="40" t="str">
        <f t="shared" si="20"/>
        <v>Employees' Insurance Plans806</v>
      </c>
      <c r="D507" s="104">
        <f t="shared" si="21"/>
        <v>0</v>
      </c>
      <c r="E507" s="186">
        <v>0</v>
      </c>
      <c r="F507" s="186">
        <v>0</v>
      </c>
    </row>
    <row r="508" spans="1:6" ht="12.95" hidden="1" customHeight="1" outlineLevel="1">
      <c r="A508" s="33" t="s">
        <v>1550</v>
      </c>
      <c r="B508" s="33">
        <v>807</v>
      </c>
      <c r="C508" s="40" t="str">
        <f t="shared" si="20"/>
        <v>Employees' Insurance Plans807</v>
      </c>
      <c r="D508" s="104">
        <f t="shared" si="21"/>
        <v>0</v>
      </c>
      <c r="E508" s="186">
        <v>0</v>
      </c>
      <c r="F508" s="186">
        <v>0</v>
      </c>
    </row>
    <row r="509" spans="1:6" ht="12.95" hidden="1" customHeight="1" outlineLevel="1">
      <c r="A509" s="33" t="s">
        <v>1550</v>
      </c>
      <c r="B509" s="33">
        <v>808</v>
      </c>
      <c r="C509" s="40" t="str">
        <f t="shared" si="20"/>
        <v>Employees' Insurance Plans808</v>
      </c>
      <c r="D509" s="104">
        <f t="shared" si="21"/>
        <v>0</v>
      </c>
      <c r="E509" s="186">
        <v>0</v>
      </c>
      <c r="F509" s="186">
        <v>0</v>
      </c>
    </row>
    <row r="510" spans="1:6" ht="12.95" hidden="1" customHeight="1" outlineLevel="1">
      <c r="A510" s="33" t="s">
        <v>1550</v>
      </c>
      <c r="B510" s="33">
        <v>812</v>
      </c>
      <c r="C510" s="40" t="str">
        <f t="shared" si="20"/>
        <v>Employees' Insurance Plans812</v>
      </c>
      <c r="D510" s="104">
        <f t="shared" si="21"/>
        <v>0</v>
      </c>
      <c r="E510" s="186">
        <v>0</v>
      </c>
      <c r="F510" s="186">
        <v>0</v>
      </c>
    </row>
    <row r="511" spans="1:6" ht="12.95" hidden="1" customHeight="1" outlineLevel="1">
      <c r="A511" s="33" t="s">
        <v>1550</v>
      </c>
      <c r="B511" s="33">
        <v>870</v>
      </c>
      <c r="C511" s="40" t="str">
        <f t="shared" si="20"/>
        <v>Employees' Insurance Plans870</v>
      </c>
      <c r="D511" s="104">
        <f t="shared" si="21"/>
        <v>0</v>
      </c>
      <c r="E511" s="186">
        <v>0</v>
      </c>
      <c r="F511" s="186">
        <v>0</v>
      </c>
    </row>
    <row r="512" spans="1:6" ht="12.95" hidden="1" customHeight="1" outlineLevel="1">
      <c r="A512" s="33" t="s">
        <v>1550</v>
      </c>
      <c r="B512" s="33">
        <v>871</v>
      </c>
      <c r="C512" s="40" t="str">
        <f t="shared" si="20"/>
        <v>Employees' Insurance Plans871</v>
      </c>
      <c r="D512" s="104">
        <f t="shared" si="21"/>
        <v>0</v>
      </c>
      <c r="E512" s="186">
        <v>0</v>
      </c>
      <c r="F512" s="186">
        <v>0</v>
      </c>
    </row>
    <row r="513" spans="1:6" ht="12.95" hidden="1" customHeight="1" outlineLevel="1">
      <c r="A513" s="33" t="s">
        <v>1550</v>
      </c>
      <c r="B513" s="33">
        <v>874</v>
      </c>
      <c r="C513" s="40" t="str">
        <f t="shared" si="20"/>
        <v>Employees' Insurance Plans874</v>
      </c>
      <c r="D513" s="104">
        <f t="shared" si="21"/>
        <v>-25.39</v>
      </c>
      <c r="E513" s="186">
        <v>119.57000000000001</v>
      </c>
      <c r="F513" s="186">
        <v>94.18</v>
      </c>
    </row>
    <row r="514" spans="1:6" ht="12.95" hidden="1" customHeight="1" outlineLevel="1">
      <c r="A514" s="33" t="s">
        <v>1550</v>
      </c>
      <c r="B514" s="33">
        <v>875</v>
      </c>
      <c r="C514" s="40" t="str">
        <f t="shared" si="20"/>
        <v>Employees' Insurance Plans875</v>
      </c>
      <c r="D514" s="104">
        <f t="shared" si="21"/>
        <v>0</v>
      </c>
      <c r="E514" s="186">
        <v>0</v>
      </c>
      <c r="F514" s="186">
        <v>0</v>
      </c>
    </row>
    <row r="515" spans="1:6" ht="12.95" hidden="1" customHeight="1" outlineLevel="1">
      <c r="A515" s="33" t="s">
        <v>1550</v>
      </c>
      <c r="B515" s="33">
        <v>876</v>
      </c>
      <c r="C515" s="40" t="str">
        <f t="shared" si="20"/>
        <v>Employees' Insurance Plans876</v>
      </c>
      <c r="D515" s="104">
        <f t="shared" si="21"/>
        <v>0</v>
      </c>
      <c r="E515" s="186">
        <v>0</v>
      </c>
      <c r="F515" s="186">
        <v>0</v>
      </c>
    </row>
    <row r="516" spans="1:6" ht="12.95" hidden="1" customHeight="1" outlineLevel="1">
      <c r="A516" s="33" t="s">
        <v>1550</v>
      </c>
      <c r="B516" s="33">
        <v>878</v>
      </c>
      <c r="C516" s="40" t="str">
        <f t="shared" si="20"/>
        <v>Employees' Insurance Plans878</v>
      </c>
      <c r="D516" s="104">
        <f t="shared" si="21"/>
        <v>0</v>
      </c>
      <c r="E516" s="186">
        <v>0</v>
      </c>
      <c r="F516" s="186">
        <v>0</v>
      </c>
    </row>
    <row r="517" spans="1:6" ht="12.95" hidden="1" customHeight="1" outlineLevel="1">
      <c r="A517" s="33" t="s">
        <v>1550</v>
      </c>
      <c r="B517" s="33">
        <v>879</v>
      </c>
      <c r="C517" s="40" t="str">
        <f t="shared" si="20"/>
        <v>Employees' Insurance Plans879</v>
      </c>
      <c r="D517" s="104">
        <f t="shared" si="21"/>
        <v>0</v>
      </c>
      <c r="E517" s="186">
        <v>0</v>
      </c>
      <c r="F517" s="186">
        <v>0</v>
      </c>
    </row>
    <row r="518" spans="1:6" ht="12.95" hidden="1" customHeight="1" outlineLevel="1">
      <c r="A518" s="33" t="s">
        <v>1550</v>
      </c>
      <c r="B518" s="33">
        <v>880</v>
      </c>
      <c r="C518" s="40" t="str">
        <f t="shared" si="20"/>
        <v>Employees' Insurance Plans880</v>
      </c>
      <c r="D518" s="104">
        <f t="shared" si="21"/>
        <v>191.59999999999997</v>
      </c>
      <c r="E518" s="186">
        <v>280.54000000000002</v>
      </c>
      <c r="F518" s="186">
        <v>472.14</v>
      </c>
    </row>
    <row r="519" spans="1:6" ht="12.95" hidden="1" customHeight="1" outlineLevel="1">
      <c r="A519" s="33" t="s">
        <v>1550</v>
      </c>
      <c r="B519" s="33">
        <v>881</v>
      </c>
      <c r="C519" s="40" t="str">
        <f t="shared" si="20"/>
        <v>Employees' Insurance Plans881</v>
      </c>
      <c r="D519" s="104">
        <f t="shared" si="21"/>
        <v>0</v>
      </c>
      <c r="E519" s="186">
        <v>0</v>
      </c>
      <c r="F519" s="186">
        <v>0</v>
      </c>
    </row>
    <row r="520" spans="1:6" ht="12.95" hidden="1" customHeight="1" outlineLevel="1">
      <c r="A520" s="33" t="s">
        <v>1550</v>
      </c>
      <c r="B520" s="33">
        <v>885</v>
      </c>
      <c r="C520" s="40" t="str">
        <f t="shared" si="20"/>
        <v>Employees' Insurance Plans885</v>
      </c>
      <c r="D520" s="104">
        <f t="shared" si="21"/>
        <v>0</v>
      </c>
      <c r="E520" s="186">
        <v>0</v>
      </c>
      <c r="F520" s="186">
        <v>0</v>
      </c>
    </row>
    <row r="521" spans="1:6" ht="12.95" hidden="1" customHeight="1" outlineLevel="1">
      <c r="A521" s="33" t="s">
        <v>1550</v>
      </c>
      <c r="B521" s="33">
        <v>886</v>
      </c>
      <c r="C521" s="40" t="str">
        <f t="shared" si="20"/>
        <v>Employees' Insurance Plans886</v>
      </c>
      <c r="D521" s="104">
        <f t="shared" si="21"/>
        <v>0</v>
      </c>
      <c r="E521" s="186">
        <v>0</v>
      </c>
      <c r="F521" s="186">
        <v>0</v>
      </c>
    </row>
    <row r="522" spans="1:6" ht="12.95" hidden="1" customHeight="1" outlineLevel="1">
      <c r="A522" s="33" t="s">
        <v>1550</v>
      </c>
      <c r="B522" s="33">
        <v>887</v>
      </c>
      <c r="C522" s="40" t="str">
        <f t="shared" si="20"/>
        <v>Employees' Insurance Plans887</v>
      </c>
      <c r="D522" s="104">
        <f t="shared" si="21"/>
        <v>0</v>
      </c>
      <c r="E522" s="186">
        <v>0</v>
      </c>
      <c r="F522" s="186">
        <v>0</v>
      </c>
    </row>
    <row r="523" spans="1:6" ht="12.95" hidden="1" customHeight="1" outlineLevel="1">
      <c r="A523" s="33" t="s">
        <v>1550</v>
      </c>
      <c r="B523" s="33">
        <v>889</v>
      </c>
      <c r="C523" s="40" t="str">
        <f t="shared" si="20"/>
        <v>Employees' Insurance Plans889</v>
      </c>
      <c r="D523" s="104">
        <f t="shared" si="21"/>
        <v>0</v>
      </c>
      <c r="E523" s="186">
        <v>0</v>
      </c>
      <c r="F523" s="186">
        <v>0</v>
      </c>
    </row>
    <row r="524" spans="1:6" ht="12.95" hidden="1" customHeight="1" outlineLevel="1">
      <c r="A524" s="33" t="s">
        <v>1550</v>
      </c>
      <c r="B524" s="33">
        <v>890</v>
      </c>
      <c r="C524" s="40" t="str">
        <f t="shared" si="20"/>
        <v>Employees' Insurance Plans890</v>
      </c>
      <c r="D524" s="104">
        <f t="shared" si="21"/>
        <v>0</v>
      </c>
      <c r="E524" s="186">
        <v>0</v>
      </c>
      <c r="F524" s="186">
        <v>0</v>
      </c>
    </row>
    <row r="525" spans="1:6" ht="12.95" hidden="1" customHeight="1" outlineLevel="1">
      <c r="A525" s="33" t="s">
        <v>1550</v>
      </c>
      <c r="B525" s="33">
        <v>892</v>
      </c>
      <c r="C525" s="40" t="str">
        <f t="shared" si="20"/>
        <v>Employees' Insurance Plans892</v>
      </c>
      <c r="D525" s="104">
        <f t="shared" si="21"/>
        <v>0</v>
      </c>
      <c r="E525" s="186">
        <v>0</v>
      </c>
      <c r="F525" s="186">
        <v>0</v>
      </c>
    </row>
    <row r="526" spans="1:6" ht="12.95" hidden="1" customHeight="1" outlineLevel="1">
      <c r="A526" s="33" t="s">
        <v>1550</v>
      </c>
      <c r="B526" s="33">
        <v>893</v>
      </c>
      <c r="C526" s="40" t="str">
        <f t="shared" si="20"/>
        <v>Employees' Insurance Plans893</v>
      </c>
      <c r="D526" s="104">
        <f t="shared" si="21"/>
        <v>0</v>
      </c>
      <c r="E526" s="186">
        <v>0</v>
      </c>
      <c r="F526" s="186">
        <v>0</v>
      </c>
    </row>
    <row r="527" spans="1:6" ht="12.95" hidden="1" customHeight="1" outlineLevel="1">
      <c r="A527" s="33" t="s">
        <v>1550</v>
      </c>
      <c r="B527" s="33">
        <v>894</v>
      </c>
      <c r="C527" s="40" t="str">
        <f t="shared" si="20"/>
        <v>Employees' Insurance Plans894</v>
      </c>
      <c r="D527" s="104">
        <f t="shared" si="21"/>
        <v>0</v>
      </c>
      <c r="E527" s="186">
        <v>0</v>
      </c>
      <c r="F527" s="186">
        <v>0</v>
      </c>
    </row>
    <row r="528" spans="1:6" ht="12.95" hidden="1" customHeight="1" outlineLevel="1">
      <c r="A528" s="33" t="s">
        <v>1550</v>
      </c>
      <c r="B528" s="33">
        <v>902</v>
      </c>
      <c r="C528" s="40" t="str">
        <f t="shared" si="20"/>
        <v>Employees' Insurance Plans902</v>
      </c>
      <c r="D528" s="104">
        <f t="shared" si="21"/>
        <v>0</v>
      </c>
      <c r="E528" s="186">
        <v>0</v>
      </c>
      <c r="F528" s="186">
        <v>0</v>
      </c>
    </row>
    <row r="529" spans="1:6" ht="12.95" hidden="1" customHeight="1" outlineLevel="1">
      <c r="A529" s="33" t="s">
        <v>1550</v>
      </c>
      <c r="B529" s="33">
        <v>903</v>
      </c>
      <c r="C529" s="40" t="str">
        <f t="shared" si="20"/>
        <v>Employees' Insurance Plans903</v>
      </c>
      <c r="D529" s="104">
        <f t="shared" si="21"/>
        <v>0</v>
      </c>
      <c r="E529" s="186">
        <v>0</v>
      </c>
      <c r="F529" s="186">
        <v>0</v>
      </c>
    </row>
    <row r="530" spans="1:6" ht="12.95" hidden="1" customHeight="1" outlineLevel="1">
      <c r="A530" s="33" t="s">
        <v>1550</v>
      </c>
      <c r="B530" s="33">
        <v>904</v>
      </c>
      <c r="C530" s="40" t="str">
        <f t="shared" si="20"/>
        <v>Employees' Insurance Plans904</v>
      </c>
      <c r="D530" s="104">
        <f t="shared" si="21"/>
        <v>0</v>
      </c>
      <c r="E530" s="186">
        <v>0</v>
      </c>
      <c r="F530" s="186">
        <v>0</v>
      </c>
    </row>
    <row r="531" spans="1:6" ht="12.95" hidden="1" customHeight="1" outlineLevel="1">
      <c r="A531" s="33" t="s">
        <v>1550</v>
      </c>
      <c r="B531" s="33">
        <v>905</v>
      </c>
      <c r="C531" s="40" t="str">
        <f t="shared" si="20"/>
        <v>Employees' Insurance Plans905</v>
      </c>
      <c r="D531" s="104">
        <f t="shared" si="21"/>
        <v>0</v>
      </c>
      <c r="E531" s="186">
        <v>0</v>
      </c>
      <c r="F531" s="186">
        <v>0</v>
      </c>
    </row>
    <row r="532" spans="1:6" ht="12.95" hidden="1" customHeight="1" outlineLevel="1">
      <c r="A532" s="33" t="s">
        <v>1550</v>
      </c>
      <c r="B532" s="33">
        <v>907</v>
      </c>
      <c r="C532" s="40" t="str">
        <f t="shared" si="20"/>
        <v>Employees' Insurance Plans907</v>
      </c>
      <c r="D532" s="104">
        <f t="shared" si="21"/>
        <v>0</v>
      </c>
      <c r="E532" s="186">
        <v>0</v>
      </c>
      <c r="F532" s="186">
        <v>0</v>
      </c>
    </row>
    <row r="533" spans="1:6" ht="12.95" hidden="1" customHeight="1" outlineLevel="1">
      <c r="A533" s="33" t="s">
        <v>1550</v>
      </c>
      <c r="B533" s="33">
        <v>908</v>
      </c>
      <c r="C533" s="40" t="str">
        <f t="shared" si="20"/>
        <v>Employees' Insurance Plans908</v>
      </c>
      <c r="D533" s="104">
        <f t="shared" si="21"/>
        <v>0</v>
      </c>
      <c r="E533" s="186">
        <v>0</v>
      </c>
      <c r="F533" s="186">
        <v>0</v>
      </c>
    </row>
    <row r="534" spans="1:6" ht="12.95" hidden="1" customHeight="1" outlineLevel="1">
      <c r="A534" s="33" t="s">
        <v>1550</v>
      </c>
      <c r="B534" s="33">
        <v>909</v>
      </c>
      <c r="C534" s="40" t="str">
        <f t="shared" si="20"/>
        <v>Employees' Insurance Plans909</v>
      </c>
      <c r="D534" s="104">
        <f t="shared" si="21"/>
        <v>0</v>
      </c>
      <c r="E534" s="186">
        <v>0</v>
      </c>
      <c r="F534" s="186">
        <v>0</v>
      </c>
    </row>
    <row r="535" spans="1:6" ht="12.95" hidden="1" customHeight="1" outlineLevel="1">
      <c r="A535" s="33" t="s">
        <v>1550</v>
      </c>
      <c r="B535" s="33">
        <v>910</v>
      </c>
      <c r="C535" s="40" t="str">
        <f t="shared" si="20"/>
        <v>Employees' Insurance Plans910</v>
      </c>
      <c r="D535" s="104">
        <f t="shared" si="21"/>
        <v>0</v>
      </c>
      <c r="E535" s="186">
        <v>0</v>
      </c>
      <c r="F535" s="186">
        <v>0</v>
      </c>
    </row>
    <row r="536" spans="1:6" ht="12.95" hidden="1" customHeight="1" outlineLevel="1">
      <c r="A536" s="33" t="s">
        <v>1550</v>
      </c>
      <c r="B536" s="33">
        <v>911</v>
      </c>
      <c r="C536" s="40" t="str">
        <f t="shared" si="20"/>
        <v>Employees' Insurance Plans911</v>
      </c>
      <c r="D536" s="104">
        <f t="shared" si="21"/>
        <v>0</v>
      </c>
      <c r="E536" s="186">
        <v>0</v>
      </c>
      <c r="F536" s="186">
        <v>0</v>
      </c>
    </row>
    <row r="537" spans="1:6" ht="12.95" hidden="1" customHeight="1" outlineLevel="1">
      <c r="A537" s="33" t="s">
        <v>1550</v>
      </c>
      <c r="B537" s="33">
        <v>912</v>
      </c>
      <c r="C537" s="40" t="str">
        <f t="shared" si="20"/>
        <v>Employees' Insurance Plans912</v>
      </c>
      <c r="D537" s="104">
        <f t="shared" si="21"/>
        <v>0</v>
      </c>
      <c r="E537" s="186">
        <v>0</v>
      </c>
      <c r="F537" s="186">
        <v>0</v>
      </c>
    </row>
    <row r="538" spans="1:6" ht="12.95" hidden="1" customHeight="1" outlineLevel="1">
      <c r="A538" s="33" t="s">
        <v>1550</v>
      </c>
      <c r="B538" s="33">
        <v>913</v>
      </c>
      <c r="C538" s="40" t="str">
        <f t="shared" si="20"/>
        <v>Employees' Insurance Plans913</v>
      </c>
      <c r="D538" s="104">
        <f t="shared" si="21"/>
        <v>0</v>
      </c>
      <c r="E538" s="186">
        <v>0</v>
      </c>
      <c r="F538" s="186">
        <v>0</v>
      </c>
    </row>
    <row r="539" spans="1:6" ht="12.95" hidden="1" customHeight="1" outlineLevel="1">
      <c r="A539" s="33" t="s">
        <v>1550</v>
      </c>
      <c r="B539" s="33">
        <v>920</v>
      </c>
      <c r="C539" s="40" t="str">
        <f t="shared" si="20"/>
        <v>Employees' Insurance Plans920</v>
      </c>
      <c r="D539" s="104">
        <f t="shared" si="21"/>
        <v>0</v>
      </c>
      <c r="E539" s="186">
        <v>0</v>
      </c>
      <c r="F539" s="186">
        <v>0</v>
      </c>
    </row>
    <row r="540" spans="1:6" ht="12.95" hidden="1" customHeight="1" outlineLevel="1">
      <c r="A540" s="33" t="s">
        <v>1550</v>
      </c>
      <c r="B540" s="33">
        <v>921</v>
      </c>
      <c r="C540" s="40" t="str">
        <f t="shared" si="20"/>
        <v>Employees' Insurance Plans921</v>
      </c>
      <c r="D540" s="104">
        <f t="shared" si="21"/>
        <v>0</v>
      </c>
      <c r="E540" s="186">
        <v>0</v>
      </c>
      <c r="F540" s="186">
        <v>0</v>
      </c>
    </row>
    <row r="541" spans="1:6" ht="12.95" hidden="1" customHeight="1" outlineLevel="1">
      <c r="A541" s="33" t="s">
        <v>1550</v>
      </c>
      <c r="B541" s="33">
        <v>923</v>
      </c>
      <c r="C541" s="40" t="str">
        <f t="shared" si="20"/>
        <v>Employees' Insurance Plans923</v>
      </c>
      <c r="D541" s="104">
        <f t="shared" si="21"/>
        <v>0</v>
      </c>
      <c r="E541" s="186">
        <v>0</v>
      </c>
      <c r="F541" s="186">
        <v>0</v>
      </c>
    </row>
    <row r="542" spans="1:6" ht="12.95" hidden="1" customHeight="1" outlineLevel="1">
      <c r="A542" s="33" t="s">
        <v>1550</v>
      </c>
      <c r="B542" s="33">
        <v>924</v>
      </c>
      <c r="C542" s="40" t="str">
        <f t="shared" si="20"/>
        <v>Employees' Insurance Plans924</v>
      </c>
      <c r="D542" s="104">
        <f t="shared" si="21"/>
        <v>0</v>
      </c>
      <c r="E542" s="186">
        <v>0</v>
      </c>
      <c r="F542" s="186">
        <v>0</v>
      </c>
    </row>
    <row r="543" spans="1:6" ht="12.95" hidden="1" customHeight="1" outlineLevel="1">
      <c r="A543" s="33" t="s">
        <v>1550</v>
      </c>
      <c r="B543" s="33">
        <v>925</v>
      </c>
      <c r="C543" s="40" t="str">
        <f t="shared" si="20"/>
        <v>Employees' Insurance Plans925</v>
      </c>
      <c r="D543" s="104">
        <f t="shared" si="21"/>
        <v>0</v>
      </c>
      <c r="E543" s="186">
        <v>0</v>
      </c>
      <c r="F543" s="186">
        <v>0</v>
      </c>
    </row>
    <row r="544" spans="1:6" ht="12.95" hidden="1" customHeight="1" outlineLevel="1">
      <c r="A544" s="33" t="s">
        <v>1550</v>
      </c>
      <c r="B544" s="33">
        <v>926</v>
      </c>
      <c r="C544" s="40" t="str">
        <f t="shared" si="20"/>
        <v>Employees' Insurance Plans926</v>
      </c>
      <c r="D544" s="104">
        <f t="shared" si="21"/>
        <v>197176.17000000039</v>
      </c>
      <c r="E544" s="186">
        <v>1552537.38</v>
      </c>
      <c r="F544" s="186">
        <v>1749713.5500000003</v>
      </c>
    </row>
    <row r="545" spans="1:6" ht="12.95" hidden="1" customHeight="1" outlineLevel="1">
      <c r="A545" s="33" t="s">
        <v>1550</v>
      </c>
      <c r="B545" s="33">
        <v>928</v>
      </c>
      <c r="C545" s="40" t="str">
        <f t="shared" si="20"/>
        <v>Employees' Insurance Plans928</v>
      </c>
      <c r="D545" s="104">
        <f t="shared" si="21"/>
        <v>0</v>
      </c>
      <c r="E545" s="186">
        <v>0</v>
      </c>
      <c r="F545" s="186">
        <v>0</v>
      </c>
    </row>
    <row r="546" spans="1:6" ht="12.95" hidden="1" customHeight="1" outlineLevel="1">
      <c r="A546" s="33" t="s">
        <v>1550</v>
      </c>
      <c r="B546" s="33">
        <v>930</v>
      </c>
      <c r="C546" s="40" t="str">
        <f t="shared" si="20"/>
        <v>Employees' Insurance Plans930</v>
      </c>
      <c r="D546" s="104">
        <f t="shared" si="21"/>
        <v>0</v>
      </c>
      <c r="E546" s="186">
        <v>0</v>
      </c>
      <c r="F546" s="186">
        <v>0</v>
      </c>
    </row>
    <row r="547" spans="1:6" ht="12.95" hidden="1" customHeight="1" outlineLevel="1">
      <c r="A547" s="33" t="s">
        <v>1550</v>
      </c>
      <c r="B547" s="33">
        <v>931</v>
      </c>
      <c r="C547" s="40" t="str">
        <f t="shared" si="20"/>
        <v>Employees' Insurance Plans931</v>
      </c>
      <c r="D547" s="104">
        <f t="shared" si="21"/>
        <v>0</v>
      </c>
      <c r="E547" s="186">
        <v>0</v>
      </c>
      <c r="F547" s="186">
        <v>0</v>
      </c>
    </row>
    <row r="548" spans="1:6" ht="12.95" hidden="1" customHeight="1" outlineLevel="1">
      <c r="A548" s="33" t="s">
        <v>1550</v>
      </c>
      <c r="B548" s="33">
        <v>932</v>
      </c>
      <c r="C548" s="40" t="str">
        <f t="shared" si="20"/>
        <v>Employees' Insurance Plans932</v>
      </c>
      <c r="D548" s="104">
        <f t="shared" si="21"/>
        <v>0</v>
      </c>
      <c r="E548" s="186">
        <v>0</v>
      </c>
      <c r="F548" s="186">
        <v>0</v>
      </c>
    </row>
    <row r="549" spans="1:6" ht="12.95" hidden="1" customHeight="1" outlineLevel="1">
      <c r="A549" s="33" t="s">
        <v>1550</v>
      </c>
      <c r="B549" s="33">
        <v>935</v>
      </c>
      <c r="C549" s="40" t="str">
        <f t="shared" si="20"/>
        <v>Employees' Insurance Plans935</v>
      </c>
      <c r="D549" s="104">
        <f t="shared" si="21"/>
        <v>0</v>
      </c>
      <c r="E549" s="186">
        <v>0</v>
      </c>
      <c r="F549" s="186">
        <v>0</v>
      </c>
    </row>
    <row r="550" spans="1:6" s="13" customFormat="1" collapsed="1">
      <c r="A550" s="14" t="s">
        <v>1550</v>
      </c>
      <c r="B550" s="15"/>
      <c r="D550" s="194">
        <f>SUM(D503:D549)</f>
        <v>197342.38000000038</v>
      </c>
      <c r="E550" s="194">
        <f>SUM(E503:E549)</f>
        <v>1552937.49</v>
      </c>
      <c r="F550" s="194">
        <f>SUM(F503:F549)</f>
        <v>1750279.8700000003</v>
      </c>
    </row>
    <row r="551" spans="1:6" ht="12.95" hidden="1" customHeight="1" outlineLevel="1">
      <c r="A551" s="33" t="s">
        <v>1541</v>
      </c>
      <c r="B551" s="33">
        <v>801</v>
      </c>
      <c r="C551" s="40" t="str">
        <f t="shared" ref="C551:C597" si="22">A551&amp;B551</f>
        <v>Energy Assistance Program Tracker801</v>
      </c>
      <c r="D551" s="104">
        <f t="shared" ref="D551:D597" si="23">+F551-E551</f>
        <v>0</v>
      </c>
      <c r="E551" s="186">
        <v>0</v>
      </c>
      <c r="F551" s="186">
        <v>0</v>
      </c>
    </row>
    <row r="552" spans="1:6" ht="12.95" hidden="1" customHeight="1" outlineLevel="1">
      <c r="A552" s="33" t="s">
        <v>1541</v>
      </c>
      <c r="B552" s="33">
        <v>803</v>
      </c>
      <c r="C552" s="40" t="str">
        <f t="shared" si="22"/>
        <v>Energy Assistance Program Tracker803</v>
      </c>
      <c r="D552" s="104">
        <f t="shared" si="23"/>
        <v>0</v>
      </c>
      <c r="E552" s="186">
        <v>0</v>
      </c>
      <c r="F552" s="186">
        <v>0</v>
      </c>
    </row>
    <row r="553" spans="1:6" ht="12.95" hidden="1" customHeight="1" outlineLevel="1">
      <c r="A553" s="33" t="s">
        <v>1541</v>
      </c>
      <c r="B553" s="33">
        <v>804</v>
      </c>
      <c r="C553" s="40" t="str">
        <f t="shared" si="22"/>
        <v>Energy Assistance Program Tracker804</v>
      </c>
      <c r="D553" s="104">
        <f t="shared" si="23"/>
        <v>0</v>
      </c>
      <c r="E553" s="186">
        <v>0</v>
      </c>
      <c r="F553" s="186">
        <v>0</v>
      </c>
    </row>
    <row r="554" spans="1:6" ht="12.95" hidden="1" customHeight="1" outlineLevel="1">
      <c r="A554" s="33" t="s">
        <v>1541</v>
      </c>
      <c r="B554" s="33">
        <v>805</v>
      </c>
      <c r="C554" s="40" t="str">
        <f t="shared" si="22"/>
        <v>Energy Assistance Program Tracker805</v>
      </c>
      <c r="D554" s="104">
        <f t="shared" si="23"/>
        <v>0</v>
      </c>
      <c r="E554" s="186">
        <v>0</v>
      </c>
      <c r="F554" s="186">
        <v>0</v>
      </c>
    </row>
    <row r="555" spans="1:6" ht="12.95" hidden="1" customHeight="1" outlineLevel="1">
      <c r="A555" s="33" t="s">
        <v>1541</v>
      </c>
      <c r="B555" s="33">
        <v>806</v>
      </c>
      <c r="C555" s="40" t="str">
        <f t="shared" si="22"/>
        <v>Energy Assistance Program Tracker806</v>
      </c>
      <c r="D555" s="104">
        <f t="shared" si="23"/>
        <v>0</v>
      </c>
      <c r="E555" s="186">
        <v>0</v>
      </c>
      <c r="F555" s="186">
        <v>0</v>
      </c>
    </row>
    <row r="556" spans="1:6" ht="12.95" hidden="1" customHeight="1" outlineLevel="1">
      <c r="A556" s="33" t="s">
        <v>1541</v>
      </c>
      <c r="B556" s="33">
        <v>807</v>
      </c>
      <c r="C556" s="40" t="str">
        <f t="shared" si="22"/>
        <v>Energy Assistance Program Tracker807</v>
      </c>
      <c r="D556" s="104">
        <f t="shared" si="23"/>
        <v>0</v>
      </c>
      <c r="E556" s="186">
        <v>0</v>
      </c>
      <c r="F556" s="186">
        <v>0</v>
      </c>
    </row>
    <row r="557" spans="1:6" ht="12.95" hidden="1" customHeight="1" outlineLevel="1">
      <c r="A557" s="33" t="s">
        <v>1541</v>
      </c>
      <c r="B557" s="33">
        <v>808</v>
      </c>
      <c r="C557" s="40" t="str">
        <f t="shared" si="22"/>
        <v>Energy Assistance Program Tracker808</v>
      </c>
      <c r="D557" s="104">
        <f t="shared" si="23"/>
        <v>0</v>
      </c>
      <c r="E557" s="186">
        <v>0</v>
      </c>
      <c r="F557" s="186">
        <v>0</v>
      </c>
    </row>
    <row r="558" spans="1:6" ht="12.95" hidden="1" customHeight="1" outlineLevel="1">
      <c r="A558" s="33" t="s">
        <v>1541</v>
      </c>
      <c r="B558" s="33">
        <v>812</v>
      </c>
      <c r="C558" s="40" t="str">
        <f t="shared" si="22"/>
        <v>Energy Assistance Program Tracker812</v>
      </c>
      <c r="D558" s="104">
        <f t="shared" si="23"/>
        <v>0</v>
      </c>
      <c r="E558" s="186">
        <v>0</v>
      </c>
      <c r="F558" s="186">
        <v>0</v>
      </c>
    </row>
    <row r="559" spans="1:6" ht="12.95" hidden="1" customHeight="1" outlineLevel="1">
      <c r="A559" s="33" t="s">
        <v>1541</v>
      </c>
      <c r="B559" s="33">
        <v>870</v>
      </c>
      <c r="C559" s="40" t="str">
        <f t="shared" si="22"/>
        <v>Energy Assistance Program Tracker870</v>
      </c>
      <c r="D559" s="104">
        <f t="shared" si="23"/>
        <v>0</v>
      </c>
      <c r="E559" s="186">
        <v>0</v>
      </c>
      <c r="F559" s="186">
        <v>0</v>
      </c>
    </row>
    <row r="560" spans="1:6" ht="12.95" hidden="1" customHeight="1" outlineLevel="1">
      <c r="A560" s="33" t="s">
        <v>1541</v>
      </c>
      <c r="B560" s="33">
        <v>871</v>
      </c>
      <c r="C560" s="40" t="str">
        <f t="shared" si="22"/>
        <v>Energy Assistance Program Tracker871</v>
      </c>
      <c r="D560" s="104">
        <f t="shared" si="23"/>
        <v>0</v>
      </c>
      <c r="E560" s="186">
        <v>0</v>
      </c>
      <c r="F560" s="186">
        <v>0</v>
      </c>
    </row>
    <row r="561" spans="1:6" ht="12.95" hidden="1" customHeight="1" outlineLevel="1">
      <c r="A561" s="33" t="s">
        <v>1541</v>
      </c>
      <c r="B561" s="33">
        <v>874</v>
      </c>
      <c r="C561" s="40" t="str">
        <f t="shared" si="22"/>
        <v>Energy Assistance Program Tracker874</v>
      </c>
      <c r="D561" s="104">
        <f t="shared" si="23"/>
        <v>0</v>
      </c>
      <c r="E561" s="186">
        <v>0</v>
      </c>
      <c r="F561" s="186">
        <v>0</v>
      </c>
    </row>
    <row r="562" spans="1:6" ht="12.95" hidden="1" customHeight="1" outlineLevel="1">
      <c r="A562" s="33" t="s">
        <v>1541</v>
      </c>
      <c r="B562" s="33">
        <v>875</v>
      </c>
      <c r="C562" s="40" t="str">
        <f t="shared" si="22"/>
        <v>Energy Assistance Program Tracker875</v>
      </c>
      <c r="D562" s="104">
        <f t="shared" si="23"/>
        <v>0</v>
      </c>
      <c r="E562" s="186">
        <v>0</v>
      </c>
      <c r="F562" s="186">
        <v>0</v>
      </c>
    </row>
    <row r="563" spans="1:6" ht="12.95" hidden="1" customHeight="1" outlineLevel="1">
      <c r="A563" s="33" t="s">
        <v>1541</v>
      </c>
      <c r="B563" s="33">
        <v>876</v>
      </c>
      <c r="C563" s="40" t="str">
        <f t="shared" si="22"/>
        <v>Energy Assistance Program Tracker876</v>
      </c>
      <c r="D563" s="104">
        <f t="shared" si="23"/>
        <v>0</v>
      </c>
      <c r="E563" s="186">
        <v>0</v>
      </c>
      <c r="F563" s="186">
        <v>0</v>
      </c>
    </row>
    <row r="564" spans="1:6" ht="12.95" hidden="1" customHeight="1" outlineLevel="1">
      <c r="A564" s="33" t="s">
        <v>1541</v>
      </c>
      <c r="B564" s="33">
        <v>878</v>
      </c>
      <c r="C564" s="40" t="str">
        <f t="shared" si="22"/>
        <v>Energy Assistance Program Tracker878</v>
      </c>
      <c r="D564" s="104">
        <f t="shared" si="23"/>
        <v>0</v>
      </c>
      <c r="E564" s="186">
        <v>0</v>
      </c>
      <c r="F564" s="186">
        <v>0</v>
      </c>
    </row>
    <row r="565" spans="1:6" ht="12.95" hidden="1" customHeight="1" outlineLevel="1">
      <c r="A565" s="33" t="s">
        <v>1541</v>
      </c>
      <c r="B565" s="33">
        <v>879</v>
      </c>
      <c r="C565" s="40" t="str">
        <f t="shared" si="22"/>
        <v>Energy Assistance Program Tracker879</v>
      </c>
      <c r="D565" s="104">
        <f t="shared" si="23"/>
        <v>0</v>
      </c>
      <c r="E565" s="186">
        <v>0</v>
      </c>
      <c r="F565" s="186">
        <v>0</v>
      </c>
    </row>
    <row r="566" spans="1:6" ht="12.95" hidden="1" customHeight="1" outlineLevel="1">
      <c r="A566" s="33" t="s">
        <v>1541</v>
      </c>
      <c r="B566" s="33">
        <v>880</v>
      </c>
      <c r="C566" s="40" t="str">
        <f t="shared" si="22"/>
        <v>Energy Assistance Program Tracker880</v>
      </c>
      <c r="D566" s="104">
        <f t="shared" si="23"/>
        <v>0</v>
      </c>
      <c r="E566" s="186">
        <v>0</v>
      </c>
      <c r="F566" s="186">
        <v>0</v>
      </c>
    </row>
    <row r="567" spans="1:6" ht="12.95" hidden="1" customHeight="1" outlineLevel="1">
      <c r="A567" s="33" t="s">
        <v>1541</v>
      </c>
      <c r="B567" s="33">
        <v>881</v>
      </c>
      <c r="C567" s="40" t="str">
        <f t="shared" si="22"/>
        <v>Energy Assistance Program Tracker881</v>
      </c>
      <c r="D567" s="104">
        <f t="shared" si="23"/>
        <v>0</v>
      </c>
      <c r="E567" s="186">
        <v>0</v>
      </c>
      <c r="F567" s="186">
        <v>0</v>
      </c>
    </row>
    <row r="568" spans="1:6" ht="12.95" hidden="1" customHeight="1" outlineLevel="1">
      <c r="A568" s="33" t="s">
        <v>1541</v>
      </c>
      <c r="B568" s="33">
        <v>885</v>
      </c>
      <c r="C568" s="40" t="str">
        <f t="shared" si="22"/>
        <v>Energy Assistance Program Tracker885</v>
      </c>
      <c r="D568" s="104">
        <f t="shared" si="23"/>
        <v>0</v>
      </c>
      <c r="E568" s="186">
        <v>0</v>
      </c>
      <c r="F568" s="186">
        <v>0</v>
      </c>
    </row>
    <row r="569" spans="1:6" ht="12.95" hidden="1" customHeight="1" outlineLevel="1">
      <c r="A569" s="33" t="s">
        <v>1541</v>
      </c>
      <c r="B569" s="33">
        <v>886</v>
      </c>
      <c r="C569" s="40" t="str">
        <f t="shared" si="22"/>
        <v>Energy Assistance Program Tracker886</v>
      </c>
      <c r="D569" s="104">
        <f t="shared" si="23"/>
        <v>0</v>
      </c>
      <c r="E569" s="186">
        <v>0</v>
      </c>
      <c r="F569" s="186">
        <v>0</v>
      </c>
    </row>
    <row r="570" spans="1:6" ht="12.95" hidden="1" customHeight="1" outlineLevel="1">
      <c r="A570" s="33" t="s">
        <v>1541</v>
      </c>
      <c r="B570" s="33">
        <v>887</v>
      </c>
      <c r="C570" s="40" t="str">
        <f t="shared" si="22"/>
        <v>Energy Assistance Program Tracker887</v>
      </c>
      <c r="D570" s="104">
        <f t="shared" si="23"/>
        <v>0</v>
      </c>
      <c r="E570" s="186">
        <v>0</v>
      </c>
      <c r="F570" s="186">
        <v>0</v>
      </c>
    </row>
    <row r="571" spans="1:6" ht="12.95" hidden="1" customHeight="1" outlineLevel="1">
      <c r="A571" s="33" t="s">
        <v>1541</v>
      </c>
      <c r="B571" s="33">
        <v>889</v>
      </c>
      <c r="C571" s="40" t="str">
        <f t="shared" si="22"/>
        <v>Energy Assistance Program Tracker889</v>
      </c>
      <c r="D571" s="104">
        <f t="shared" si="23"/>
        <v>0</v>
      </c>
      <c r="E571" s="186">
        <v>0</v>
      </c>
      <c r="F571" s="186">
        <v>0</v>
      </c>
    </row>
    <row r="572" spans="1:6" ht="12.95" hidden="1" customHeight="1" outlineLevel="1">
      <c r="A572" s="33" t="s">
        <v>1541</v>
      </c>
      <c r="B572" s="33">
        <v>890</v>
      </c>
      <c r="C572" s="40" t="str">
        <f t="shared" si="22"/>
        <v>Energy Assistance Program Tracker890</v>
      </c>
      <c r="D572" s="104">
        <f t="shared" si="23"/>
        <v>0</v>
      </c>
      <c r="E572" s="186">
        <v>0</v>
      </c>
      <c r="F572" s="186">
        <v>0</v>
      </c>
    </row>
    <row r="573" spans="1:6" ht="12.95" hidden="1" customHeight="1" outlineLevel="1">
      <c r="A573" s="33" t="s">
        <v>1541</v>
      </c>
      <c r="B573" s="33">
        <v>892</v>
      </c>
      <c r="C573" s="40" t="str">
        <f t="shared" si="22"/>
        <v>Energy Assistance Program Tracker892</v>
      </c>
      <c r="D573" s="104">
        <f t="shared" si="23"/>
        <v>0</v>
      </c>
      <c r="E573" s="186">
        <v>0</v>
      </c>
      <c r="F573" s="186">
        <v>0</v>
      </c>
    </row>
    <row r="574" spans="1:6" ht="12.95" hidden="1" customHeight="1" outlineLevel="1">
      <c r="A574" s="33" t="s">
        <v>1541</v>
      </c>
      <c r="B574" s="33">
        <v>893</v>
      </c>
      <c r="C574" s="40" t="str">
        <f t="shared" si="22"/>
        <v>Energy Assistance Program Tracker893</v>
      </c>
      <c r="D574" s="104">
        <f t="shared" si="23"/>
        <v>0</v>
      </c>
      <c r="E574" s="186">
        <v>0</v>
      </c>
      <c r="F574" s="186">
        <v>0</v>
      </c>
    </row>
    <row r="575" spans="1:6" ht="12.95" hidden="1" customHeight="1" outlineLevel="1">
      <c r="A575" s="33" t="s">
        <v>1541</v>
      </c>
      <c r="B575" s="33">
        <v>894</v>
      </c>
      <c r="C575" s="40" t="str">
        <f t="shared" si="22"/>
        <v>Energy Assistance Program Tracker894</v>
      </c>
      <c r="D575" s="104">
        <f t="shared" si="23"/>
        <v>0</v>
      </c>
      <c r="E575" s="186">
        <v>0</v>
      </c>
      <c r="F575" s="186">
        <v>0</v>
      </c>
    </row>
    <row r="576" spans="1:6" ht="12.95" hidden="1" customHeight="1" outlineLevel="1">
      <c r="A576" s="33" t="s">
        <v>1541</v>
      </c>
      <c r="B576" s="33">
        <v>902</v>
      </c>
      <c r="C576" s="40" t="str">
        <f t="shared" si="22"/>
        <v>Energy Assistance Program Tracker902</v>
      </c>
      <c r="D576" s="104">
        <f t="shared" si="23"/>
        <v>0</v>
      </c>
      <c r="E576" s="186">
        <v>0</v>
      </c>
      <c r="F576" s="186">
        <v>0</v>
      </c>
    </row>
    <row r="577" spans="1:6" ht="12.95" hidden="1" customHeight="1" outlineLevel="1">
      <c r="A577" s="33" t="s">
        <v>1541</v>
      </c>
      <c r="B577" s="33">
        <v>903</v>
      </c>
      <c r="C577" s="40" t="str">
        <f t="shared" si="22"/>
        <v>Energy Assistance Program Tracker903</v>
      </c>
      <c r="D577" s="104">
        <f t="shared" si="23"/>
        <v>0</v>
      </c>
      <c r="E577" s="186">
        <v>0</v>
      </c>
      <c r="F577" s="186">
        <v>0</v>
      </c>
    </row>
    <row r="578" spans="1:6" ht="12.95" hidden="1" customHeight="1" outlineLevel="1">
      <c r="A578" s="33" t="s">
        <v>1541</v>
      </c>
      <c r="B578" s="33">
        <v>904</v>
      </c>
      <c r="C578" s="40" t="str">
        <f t="shared" si="22"/>
        <v>Energy Assistance Program Tracker904</v>
      </c>
      <c r="D578" s="104">
        <f t="shared" si="23"/>
        <v>8124.0400000000955</v>
      </c>
      <c r="E578" s="186">
        <v>457683.36999999994</v>
      </c>
      <c r="F578" s="186">
        <v>465807.41000000003</v>
      </c>
    </row>
    <row r="579" spans="1:6" ht="12.95" hidden="1" customHeight="1" outlineLevel="1">
      <c r="A579" s="33" t="s">
        <v>1541</v>
      </c>
      <c r="B579" s="33">
        <v>905</v>
      </c>
      <c r="C579" s="40" t="str">
        <f t="shared" si="22"/>
        <v>Energy Assistance Program Tracker905</v>
      </c>
      <c r="D579" s="104">
        <f t="shared" si="23"/>
        <v>0</v>
      </c>
      <c r="E579" s="186">
        <v>0</v>
      </c>
      <c r="F579" s="186">
        <v>0</v>
      </c>
    </row>
    <row r="580" spans="1:6" ht="12.95" hidden="1" customHeight="1" outlineLevel="1">
      <c r="A580" s="33" t="s">
        <v>1541</v>
      </c>
      <c r="B580" s="33">
        <v>907</v>
      </c>
      <c r="C580" s="40" t="str">
        <f t="shared" si="22"/>
        <v>Energy Assistance Program Tracker907</v>
      </c>
      <c r="D580" s="104">
        <f t="shared" si="23"/>
        <v>0</v>
      </c>
      <c r="E580" s="186">
        <v>0</v>
      </c>
      <c r="F580" s="186">
        <v>0</v>
      </c>
    </row>
    <row r="581" spans="1:6" ht="12.95" hidden="1" customHeight="1" outlineLevel="1">
      <c r="A581" s="33" t="s">
        <v>1541</v>
      </c>
      <c r="B581" s="33">
        <v>908</v>
      </c>
      <c r="C581" s="40" t="str">
        <f t="shared" si="22"/>
        <v>Energy Assistance Program Tracker908</v>
      </c>
      <c r="D581" s="104">
        <f t="shared" si="23"/>
        <v>0</v>
      </c>
      <c r="E581" s="186">
        <v>0</v>
      </c>
      <c r="F581" s="186">
        <v>0</v>
      </c>
    </row>
    <row r="582" spans="1:6" ht="12.95" hidden="1" customHeight="1" outlineLevel="1">
      <c r="A582" s="33" t="s">
        <v>1541</v>
      </c>
      <c r="B582" s="33">
        <v>909</v>
      </c>
      <c r="C582" s="40" t="str">
        <f t="shared" si="22"/>
        <v>Energy Assistance Program Tracker909</v>
      </c>
      <c r="D582" s="104">
        <f t="shared" si="23"/>
        <v>0</v>
      </c>
      <c r="E582" s="186">
        <v>0</v>
      </c>
      <c r="F582" s="186">
        <v>0</v>
      </c>
    </row>
    <row r="583" spans="1:6" ht="12.95" hidden="1" customHeight="1" outlineLevel="1">
      <c r="A583" s="33" t="s">
        <v>1541</v>
      </c>
      <c r="B583" s="33">
        <v>910</v>
      </c>
      <c r="C583" s="40" t="str">
        <f t="shared" si="22"/>
        <v>Energy Assistance Program Tracker910</v>
      </c>
      <c r="D583" s="104">
        <f t="shared" si="23"/>
        <v>0</v>
      </c>
      <c r="E583" s="186">
        <v>0</v>
      </c>
      <c r="F583" s="186">
        <v>0</v>
      </c>
    </row>
    <row r="584" spans="1:6" ht="12.95" hidden="1" customHeight="1" outlineLevel="1">
      <c r="A584" s="33" t="s">
        <v>1541</v>
      </c>
      <c r="B584" s="33">
        <v>911</v>
      </c>
      <c r="C584" s="40" t="str">
        <f t="shared" si="22"/>
        <v>Energy Assistance Program Tracker911</v>
      </c>
      <c r="D584" s="104">
        <f t="shared" si="23"/>
        <v>0</v>
      </c>
      <c r="E584" s="186">
        <v>0</v>
      </c>
      <c r="F584" s="186">
        <v>0</v>
      </c>
    </row>
    <row r="585" spans="1:6" ht="12.95" hidden="1" customHeight="1" outlineLevel="1">
      <c r="A585" s="33" t="s">
        <v>1541</v>
      </c>
      <c r="B585" s="33">
        <v>912</v>
      </c>
      <c r="C585" s="40" t="str">
        <f t="shared" si="22"/>
        <v>Energy Assistance Program Tracker912</v>
      </c>
      <c r="D585" s="104">
        <f t="shared" si="23"/>
        <v>0</v>
      </c>
      <c r="E585" s="186">
        <v>0</v>
      </c>
      <c r="F585" s="186">
        <v>0</v>
      </c>
    </row>
    <row r="586" spans="1:6" ht="12.95" hidden="1" customHeight="1" outlineLevel="1">
      <c r="A586" s="33" t="s">
        <v>1541</v>
      </c>
      <c r="B586" s="33">
        <v>913</v>
      </c>
      <c r="C586" s="40" t="str">
        <f t="shared" si="22"/>
        <v>Energy Assistance Program Tracker913</v>
      </c>
      <c r="D586" s="104">
        <f t="shared" si="23"/>
        <v>0</v>
      </c>
      <c r="E586" s="186">
        <v>0</v>
      </c>
      <c r="F586" s="186">
        <v>0</v>
      </c>
    </row>
    <row r="587" spans="1:6" ht="12.95" hidden="1" customHeight="1" outlineLevel="1">
      <c r="A587" s="33" t="s">
        <v>1541</v>
      </c>
      <c r="B587" s="33">
        <v>920</v>
      </c>
      <c r="C587" s="40" t="str">
        <f t="shared" si="22"/>
        <v>Energy Assistance Program Tracker920</v>
      </c>
      <c r="D587" s="104">
        <f t="shared" si="23"/>
        <v>0</v>
      </c>
      <c r="E587" s="186">
        <v>0</v>
      </c>
      <c r="F587" s="186">
        <v>0</v>
      </c>
    </row>
    <row r="588" spans="1:6" ht="12.95" hidden="1" customHeight="1" outlineLevel="1">
      <c r="A588" s="33" t="s">
        <v>1541</v>
      </c>
      <c r="B588" s="33">
        <v>921</v>
      </c>
      <c r="C588" s="40" t="str">
        <f t="shared" si="22"/>
        <v>Energy Assistance Program Tracker921</v>
      </c>
      <c r="D588" s="104">
        <f t="shared" si="23"/>
        <v>0</v>
      </c>
      <c r="E588" s="186">
        <v>0</v>
      </c>
      <c r="F588" s="186">
        <v>0</v>
      </c>
    </row>
    <row r="589" spans="1:6" ht="12.95" hidden="1" customHeight="1" outlineLevel="1">
      <c r="A589" s="33" t="s">
        <v>1541</v>
      </c>
      <c r="B589" s="33">
        <v>923</v>
      </c>
      <c r="C589" s="40" t="str">
        <f t="shared" si="22"/>
        <v>Energy Assistance Program Tracker923</v>
      </c>
      <c r="D589" s="104">
        <f t="shared" si="23"/>
        <v>0</v>
      </c>
      <c r="E589" s="186">
        <v>0</v>
      </c>
      <c r="F589" s="186">
        <v>0</v>
      </c>
    </row>
    <row r="590" spans="1:6" ht="12.95" hidden="1" customHeight="1" outlineLevel="1">
      <c r="A590" s="33" t="s">
        <v>1541</v>
      </c>
      <c r="B590" s="33">
        <v>924</v>
      </c>
      <c r="C590" s="40" t="str">
        <f t="shared" si="22"/>
        <v>Energy Assistance Program Tracker924</v>
      </c>
      <c r="D590" s="104">
        <f t="shared" si="23"/>
        <v>0</v>
      </c>
      <c r="E590" s="186">
        <v>0</v>
      </c>
      <c r="F590" s="186">
        <v>0</v>
      </c>
    </row>
    <row r="591" spans="1:6" ht="12.95" hidden="1" customHeight="1" outlineLevel="1">
      <c r="A591" s="33" t="s">
        <v>1541</v>
      </c>
      <c r="B591" s="33">
        <v>925</v>
      </c>
      <c r="C591" s="40" t="str">
        <f t="shared" si="22"/>
        <v>Energy Assistance Program Tracker925</v>
      </c>
      <c r="D591" s="104">
        <f t="shared" si="23"/>
        <v>0</v>
      </c>
      <c r="E591" s="186">
        <v>0</v>
      </c>
      <c r="F591" s="186">
        <v>0</v>
      </c>
    </row>
    <row r="592" spans="1:6" ht="12.95" hidden="1" customHeight="1" outlineLevel="1">
      <c r="A592" s="33" t="s">
        <v>1541</v>
      </c>
      <c r="B592" s="33">
        <v>926</v>
      </c>
      <c r="C592" s="40" t="str">
        <f t="shared" si="22"/>
        <v>Energy Assistance Program Tracker926</v>
      </c>
      <c r="D592" s="104">
        <f t="shared" si="23"/>
        <v>0</v>
      </c>
      <c r="E592" s="186">
        <v>0</v>
      </c>
      <c r="F592" s="186">
        <v>0</v>
      </c>
    </row>
    <row r="593" spans="1:6" ht="12.95" hidden="1" customHeight="1" outlineLevel="1">
      <c r="A593" s="33" t="s">
        <v>1541</v>
      </c>
      <c r="B593" s="33">
        <v>928</v>
      </c>
      <c r="C593" s="40" t="str">
        <f t="shared" si="22"/>
        <v>Energy Assistance Program Tracker928</v>
      </c>
      <c r="D593" s="104">
        <f t="shared" si="23"/>
        <v>0</v>
      </c>
      <c r="E593" s="186">
        <v>0</v>
      </c>
      <c r="F593" s="186">
        <v>0</v>
      </c>
    </row>
    <row r="594" spans="1:6" ht="12.95" hidden="1" customHeight="1" outlineLevel="1">
      <c r="A594" s="33" t="s">
        <v>1541</v>
      </c>
      <c r="B594" s="33">
        <v>930</v>
      </c>
      <c r="C594" s="40" t="str">
        <f t="shared" si="22"/>
        <v>Energy Assistance Program Tracker930</v>
      </c>
      <c r="D594" s="104">
        <f t="shared" si="23"/>
        <v>0</v>
      </c>
      <c r="E594" s="186">
        <v>0</v>
      </c>
      <c r="F594" s="186">
        <v>0</v>
      </c>
    </row>
    <row r="595" spans="1:6" ht="12.95" hidden="1" customHeight="1" outlineLevel="1">
      <c r="A595" s="33" t="s">
        <v>1541</v>
      </c>
      <c r="B595" s="33">
        <v>931</v>
      </c>
      <c r="C595" s="40" t="str">
        <f t="shared" si="22"/>
        <v>Energy Assistance Program Tracker931</v>
      </c>
      <c r="D595" s="104">
        <f t="shared" si="23"/>
        <v>0</v>
      </c>
      <c r="E595" s="186">
        <v>0</v>
      </c>
      <c r="F595" s="186">
        <v>0</v>
      </c>
    </row>
    <row r="596" spans="1:6" ht="12.95" hidden="1" customHeight="1" outlineLevel="1">
      <c r="A596" s="33" t="s">
        <v>1541</v>
      </c>
      <c r="B596" s="33">
        <v>932</v>
      </c>
      <c r="C596" s="40" t="str">
        <f t="shared" si="22"/>
        <v>Energy Assistance Program Tracker932</v>
      </c>
      <c r="D596" s="104">
        <f t="shared" si="23"/>
        <v>0</v>
      </c>
      <c r="E596" s="186">
        <v>0</v>
      </c>
      <c r="F596" s="186">
        <v>0</v>
      </c>
    </row>
    <row r="597" spans="1:6" ht="12.95" hidden="1" customHeight="1" outlineLevel="1">
      <c r="A597" s="33" t="s">
        <v>1541</v>
      </c>
      <c r="B597" s="33">
        <v>935</v>
      </c>
      <c r="C597" s="40" t="str">
        <f t="shared" si="22"/>
        <v>Energy Assistance Program Tracker935</v>
      </c>
      <c r="D597" s="104">
        <f t="shared" si="23"/>
        <v>0</v>
      </c>
      <c r="E597" s="186">
        <v>0</v>
      </c>
      <c r="F597" s="186">
        <v>0</v>
      </c>
    </row>
    <row r="598" spans="1:6" s="13" customFormat="1" collapsed="1">
      <c r="A598" s="14" t="s">
        <v>1541</v>
      </c>
      <c r="B598" s="15"/>
      <c r="D598" s="195">
        <f>SUM(D551:D597)</f>
        <v>8124.0400000000955</v>
      </c>
      <c r="E598" s="195">
        <f>SUM(E551:E597)</f>
        <v>457683.36999999994</v>
      </c>
      <c r="F598" s="195">
        <f>SUM(F551:F597)</f>
        <v>465807.41000000003</v>
      </c>
    </row>
    <row r="599" spans="1:6" ht="12.95" hidden="1" customHeight="1" outlineLevel="1">
      <c r="A599" s="33" t="s">
        <v>1093</v>
      </c>
      <c r="B599" s="33">
        <v>801</v>
      </c>
      <c r="C599" s="40" t="str">
        <f t="shared" ref="C599:C646" si="24">A599&amp;B599</f>
        <v>Gas Cost801</v>
      </c>
      <c r="D599" s="104">
        <f t="shared" ref="D599:D646" si="25">+F599-E599</f>
        <v>-28895.78</v>
      </c>
      <c r="E599" s="186">
        <v>161280.37</v>
      </c>
      <c r="F599" s="186">
        <v>132384.59</v>
      </c>
    </row>
    <row r="600" spans="1:6" ht="12.95" hidden="1" customHeight="1" outlineLevel="1">
      <c r="A600" s="33" t="s">
        <v>1093</v>
      </c>
      <c r="B600" s="33">
        <v>803</v>
      </c>
      <c r="C600" s="40" t="str">
        <f t="shared" si="24"/>
        <v>Gas Cost803</v>
      </c>
      <c r="D600" s="104">
        <f t="shared" si="25"/>
        <v>-3253627.7899999991</v>
      </c>
      <c r="E600" s="186">
        <v>20785240.949999999</v>
      </c>
      <c r="F600" s="186">
        <v>17531613.16</v>
      </c>
    </row>
    <row r="601" spans="1:6" ht="12.95" hidden="1" customHeight="1" outlineLevel="1">
      <c r="A601" s="33" t="s">
        <v>1093</v>
      </c>
      <c r="B601" s="33">
        <v>804</v>
      </c>
      <c r="C601" s="40" t="str">
        <f t="shared" si="24"/>
        <v>Gas Cost804</v>
      </c>
      <c r="D601" s="104">
        <f t="shared" si="25"/>
        <v>-928985.40999999968</v>
      </c>
      <c r="E601" s="186">
        <v>2087886.1699999997</v>
      </c>
      <c r="F601" s="186">
        <v>1158900.76</v>
      </c>
    </row>
    <row r="602" spans="1:6" ht="12.95" hidden="1" customHeight="1" outlineLevel="1">
      <c r="A602" s="33" t="s">
        <v>1093</v>
      </c>
      <c r="B602" s="33">
        <v>805</v>
      </c>
      <c r="C602" s="40" t="str">
        <f t="shared" si="24"/>
        <v>Gas Cost805</v>
      </c>
      <c r="D602" s="104">
        <f t="shared" si="25"/>
        <v>1089908.8199999966</v>
      </c>
      <c r="E602" s="186">
        <v>14253516.030000003</v>
      </c>
      <c r="F602" s="186">
        <v>15343424.85</v>
      </c>
    </row>
    <row r="603" spans="1:6" ht="12.95" hidden="1" customHeight="1" outlineLevel="1">
      <c r="A603" s="33" t="s">
        <v>1093</v>
      </c>
      <c r="B603" s="33">
        <v>806</v>
      </c>
      <c r="C603" s="40" t="str">
        <f t="shared" si="24"/>
        <v>Gas Cost806</v>
      </c>
      <c r="D603" s="104">
        <f t="shared" si="25"/>
        <v>-115351.72999999952</v>
      </c>
      <c r="E603" s="186">
        <v>1789436.9</v>
      </c>
      <c r="F603" s="186">
        <v>1674085.1700000004</v>
      </c>
    </row>
    <row r="604" spans="1:6" ht="12.95" hidden="1" customHeight="1" outlineLevel="1">
      <c r="A604" s="33" t="s">
        <v>1093</v>
      </c>
      <c r="B604" s="33">
        <v>807</v>
      </c>
      <c r="C604" s="40" t="str">
        <f t="shared" si="24"/>
        <v>Gas Cost807</v>
      </c>
      <c r="D604" s="104">
        <f t="shared" si="25"/>
        <v>0</v>
      </c>
      <c r="E604" s="186">
        <v>0</v>
      </c>
      <c r="F604" s="186">
        <v>0</v>
      </c>
    </row>
    <row r="605" spans="1:6" ht="12.95" hidden="1" customHeight="1" outlineLevel="1">
      <c r="A605" s="33" t="s">
        <v>1093</v>
      </c>
      <c r="B605" s="33">
        <v>8071</v>
      </c>
      <c r="C605" s="40" t="str">
        <f t="shared" si="24"/>
        <v>Gas Cost8071</v>
      </c>
      <c r="D605" s="104">
        <f t="shared" si="25"/>
        <v>-2277618.4300000006</v>
      </c>
      <c r="E605" s="186">
        <v>-6756263.6499999994</v>
      </c>
      <c r="F605" s="186">
        <v>-9033882.0800000001</v>
      </c>
    </row>
    <row r="606" spans="1:6" ht="12.95" hidden="1" customHeight="1" outlineLevel="1">
      <c r="A606" s="33" t="s">
        <v>1093</v>
      </c>
      <c r="B606" s="33">
        <v>808</v>
      </c>
      <c r="C606" s="40" t="str">
        <f t="shared" si="24"/>
        <v>Gas Cost808</v>
      </c>
      <c r="D606" s="104">
        <f t="shared" si="25"/>
        <v>-7360845.129999999</v>
      </c>
      <c r="E606" s="186">
        <v>16007754.52</v>
      </c>
      <c r="F606" s="186">
        <v>8646909.3900000006</v>
      </c>
    </row>
    <row r="607" spans="1:6" ht="12.95" hidden="1" customHeight="1" outlineLevel="1">
      <c r="A607" s="33" t="s">
        <v>1093</v>
      </c>
      <c r="B607" s="33">
        <v>812</v>
      </c>
      <c r="C607" s="40" t="str">
        <f t="shared" si="24"/>
        <v>Gas Cost812</v>
      </c>
      <c r="D607" s="104">
        <f t="shared" si="25"/>
        <v>14472.86</v>
      </c>
      <c r="E607" s="186">
        <v>-54887.040000000001</v>
      </c>
      <c r="F607" s="186">
        <v>-40414.18</v>
      </c>
    </row>
    <row r="608" spans="1:6" ht="12.95" hidden="1" customHeight="1" outlineLevel="1">
      <c r="A608" s="33" t="s">
        <v>1093</v>
      </c>
      <c r="B608" s="33">
        <v>870</v>
      </c>
      <c r="C608" s="40" t="str">
        <f t="shared" si="24"/>
        <v>Gas Cost870</v>
      </c>
      <c r="D608" s="104">
        <f t="shared" si="25"/>
        <v>0</v>
      </c>
      <c r="E608" s="186">
        <v>0</v>
      </c>
      <c r="F608" s="186">
        <v>0</v>
      </c>
    </row>
    <row r="609" spans="1:6" ht="12.95" hidden="1" customHeight="1" outlineLevel="1">
      <c r="A609" s="33" t="s">
        <v>1093</v>
      </c>
      <c r="B609" s="33">
        <v>871</v>
      </c>
      <c r="C609" s="40" t="str">
        <f t="shared" si="24"/>
        <v>Gas Cost871</v>
      </c>
      <c r="D609" s="104">
        <f t="shared" si="25"/>
        <v>0</v>
      </c>
      <c r="E609" s="186">
        <v>0</v>
      </c>
      <c r="F609" s="186">
        <v>0</v>
      </c>
    </row>
    <row r="610" spans="1:6" ht="12.95" hidden="1" customHeight="1" outlineLevel="1">
      <c r="A610" s="33" t="s">
        <v>1093</v>
      </c>
      <c r="B610" s="33">
        <v>874</v>
      </c>
      <c r="C610" s="40" t="str">
        <f t="shared" si="24"/>
        <v>Gas Cost874</v>
      </c>
      <c r="D610" s="104">
        <f t="shared" si="25"/>
        <v>0</v>
      </c>
      <c r="E610" s="186">
        <v>0</v>
      </c>
      <c r="F610" s="186">
        <v>0</v>
      </c>
    </row>
    <row r="611" spans="1:6" ht="12.95" hidden="1" customHeight="1" outlineLevel="1">
      <c r="A611" s="33" t="s">
        <v>1093</v>
      </c>
      <c r="B611" s="33">
        <v>875</v>
      </c>
      <c r="C611" s="40" t="str">
        <f t="shared" si="24"/>
        <v>Gas Cost875</v>
      </c>
      <c r="D611" s="104">
        <f t="shared" si="25"/>
        <v>0</v>
      </c>
      <c r="E611" s="186">
        <v>0</v>
      </c>
      <c r="F611" s="186">
        <v>0</v>
      </c>
    </row>
    <row r="612" spans="1:6" ht="12.95" hidden="1" customHeight="1" outlineLevel="1">
      <c r="A612" s="33" t="s">
        <v>1093</v>
      </c>
      <c r="B612" s="33">
        <v>876</v>
      </c>
      <c r="C612" s="40" t="str">
        <f t="shared" si="24"/>
        <v>Gas Cost876</v>
      </c>
      <c r="D612" s="104">
        <f t="shared" si="25"/>
        <v>0</v>
      </c>
      <c r="E612" s="186">
        <v>0</v>
      </c>
      <c r="F612" s="186">
        <v>0</v>
      </c>
    </row>
    <row r="613" spans="1:6" ht="12.95" hidden="1" customHeight="1" outlineLevel="1">
      <c r="A613" s="33" t="s">
        <v>1093</v>
      </c>
      <c r="B613" s="33">
        <v>878</v>
      </c>
      <c r="C613" s="40" t="str">
        <f t="shared" si="24"/>
        <v>Gas Cost878</v>
      </c>
      <c r="D613" s="104">
        <f t="shared" si="25"/>
        <v>0</v>
      </c>
      <c r="E613" s="186">
        <v>0</v>
      </c>
      <c r="F613" s="186">
        <v>0</v>
      </c>
    </row>
    <row r="614" spans="1:6" ht="12.95" hidden="1" customHeight="1" outlineLevel="1">
      <c r="A614" s="33" t="s">
        <v>1093</v>
      </c>
      <c r="B614" s="33">
        <v>879</v>
      </c>
      <c r="C614" s="40" t="str">
        <f t="shared" si="24"/>
        <v>Gas Cost879</v>
      </c>
      <c r="D614" s="104">
        <f t="shared" si="25"/>
        <v>0</v>
      </c>
      <c r="E614" s="186">
        <v>0</v>
      </c>
      <c r="F614" s="186">
        <v>0</v>
      </c>
    </row>
    <row r="615" spans="1:6" ht="12.95" hidden="1" customHeight="1" outlineLevel="1">
      <c r="A615" s="33" t="s">
        <v>1093</v>
      </c>
      <c r="B615" s="33">
        <v>880</v>
      </c>
      <c r="C615" s="40" t="str">
        <f t="shared" si="24"/>
        <v>Gas Cost880</v>
      </c>
      <c r="D615" s="104">
        <f t="shared" si="25"/>
        <v>0</v>
      </c>
      <c r="E615" s="186">
        <v>0</v>
      </c>
      <c r="F615" s="186">
        <v>0</v>
      </c>
    </row>
    <row r="616" spans="1:6" ht="12.95" hidden="1" customHeight="1" outlineLevel="1">
      <c r="A616" s="33" t="s">
        <v>1093</v>
      </c>
      <c r="B616" s="33">
        <v>881</v>
      </c>
      <c r="C616" s="40" t="str">
        <f t="shared" si="24"/>
        <v>Gas Cost881</v>
      </c>
      <c r="D616" s="104">
        <f t="shared" si="25"/>
        <v>0</v>
      </c>
      <c r="E616" s="186">
        <v>0</v>
      </c>
      <c r="F616" s="186">
        <v>0</v>
      </c>
    </row>
    <row r="617" spans="1:6" ht="12.95" hidden="1" customHeight="1" outlineLevel="1">
      <c r="A617" s="33" t="s">
        <v>1093</v>
      </c>
      <c r="B617" s="33">
        <v>885</v>
      </c>
      <c r="C617" s="40" t="str">
        <f t="shared" si="24"/>
        <v>Gas Cost885</v>
      </c>
      <c r="D617" s="104">
        <f t="shared" si="25"/>
        <v>0</v>
      </c>
      <c r="E617" s="186">
        <v>0</v>
      </c>
      <c r="F617" s="186">
        <v>0</v>
      </c>
    </row>
    <row r="618" spans="1:6" ht="12.95" hidden="1" customHeight="1" outlineLevel="1">
      <c r="A618" s="33" t="s">
        <v>1093</v>
      </c>
      <c r="B618" s="33">
        <v>886</v>
      </c>
      <c r="C618" s="40" t="str">
        <f t="shared" si="24"/>
        <v>Gas Cost886</v>
      </c>
      <c r="D618" s="104">
        <f t="shared" si="25"/>
        <v>0</v>
      </c>
      <c r="E618" s="186">
        <v>0</v>
      </c>
      <c r="F618" s="186">
        <v>0</v>
      </c>
    </row>
    <row r="619" spans="1:6" ht="12.95" hidden="1" customHeight="1" outlineLevel="1">
      <c r="A619" s="33" t="s">
        <v>1093</v>
      </c>
      <c r="B619" s="33">
        <v>887</v>
      </c>
      <c r="C619" s="40" t="str">
        <f t="shared" si="24"/>
        <v>Gas Cost887</v>
      </c>
      <c r="D619" s="104">
        <f t="shared" si="25"/>
        <v>0</v>
      </c>
      <c r="E619" s="186">
        <v>0</v>
      </c>
      <c r="F619" s="186">
        <v>0</v>
      </c>
    </row>
    <row r="620" spans="1:6" ht="12.95" hidden="1" customHeight="1" outlineLevel="1">
      <c r="A620" s="33" t="s">
        <v>1093</v>
      </c>
      <c r="B620" s="33">
        <v>889</v>
      </c>
      <c r="C620" s="40" t="str">
        <f t="shared" si="24"/>
        <v>Gas Cost889</v>
      </c>
      <c r="D620" s="104">
        <f t="shared" si="25"/>
        <v>0</v>
      </c>
      <c r="E620" s="186">
        <v>0</v>
      </c>
      <c r="F620" s="186">
        <v>0</v>
      </c>
    </row>
    <row r="621" spans="1:6" ht="12.95" hidden="1" customHeight="1" outlineLevel="1">
      <c r="A621" s="33" t="s">
        <v>1093</v>
      </c>
      <c r="B621" s="33">
        <v>890</v>
      </c>
      <c r="C621" s="40" t="str">
        <f t="shared" si="24"/>
        <v>Gas Cost890</v>
      </c>
      <c r="D621" s="104">
        <f t="shared" si="25"/>
        <v>0</v>
      </c>
      <c r="E621" s="186">
        <v>0</v>
      </c>
      <c r="F621" s="186">
        <v>0</v>
      </c>
    </row>
    <row r="622" spans="1:6" ht="12.95" hidden="1" customHeight="1" outlineLevel="1">
      <c r="A622" s="33" t="s">
        <v>1093</v>
      </c>
      <c r="B622" s="33">
        <v>892</v>
      </c>
      <c r="C622" s="40" t="str">
        <f t="shared" si="24"/>
        <v>Gas Cost892</v>
      </c>
      <c r="D622" s="104">
        <f t="shared" si="25"/>
        <v>0</v>
      </c>
      <c r="E622" s="186">
        <v>0</v>
      </c>
      <c r="F622" s="186">
        <v>0</v>
      </c>
    </row>
    <row r="623" spans="1:6" ht="12.95" hidden="1" customHeight="1" outlineLevel="1">
      <c r="A623" s="33" t="s">
        <v>1093</v>
      </c>
      <c r="B623" s="33">
        <v>893</v>
      </c>
      <c r="C623" s="40" t="str">
        <f t="shared" si="24"/>
        <v>Gas Cost893</v>
      </c>
      <c r="D623" s="104">
        <f t="shared" si="25"/>
        <v>0</v>
      </c>
      <c r="E623" s="186">
        <v>0</v>
      </c>
      <c r="F623" s="186">
        <v>0</v>
      </c>
    </row>
    <row r="624" spans="1:6" ht="12.95" hidden="1" customHeight="1" outlineLevel="1">
      <c r="A624" s="33" t="s">
        <v>1093</v>
      </c>
      <c r="B624" s="33">
        <v>894</v>
      </c>
      <c r="C624" s="40" t="str">
        <f t="shared" si="24"/>
        <v>Gas Cost894</v>
      </c>
      <c r="D624" s="104">
        <f t="shared" si="25"/>
        <v>0</v>
      </c>
      <c r="E624" s="186">
        <v>0</v>
      </c>
      <c r="F624" s="186">
        <v>0</v>
      </c>
    </row>
    <row r="625" spans="1:6" ht="12.95" hidden="1" customHeight="1" outlineLevel="1">
      <c r="A625" s="33" t="s">
        <v>1093</v>
      </c>
      <c r="B625" s="33">
        <v>902</v>
      </c>
      <c r="C625" s="40" t="str">
        <f t="shared" si="24"/>
        <v>Gas Cost902</v>
      </c>
      <c r="D625" s="104">
        <f t="shared" si="25"/>
        <v>0</v>
      </c>
      <c r="E625" s="186">
        <v>0</v>
      </c>
      <c r="F625" s="186">
        <v>0</v>
      </c>
    </row>
    <row r="626" spans="1:6" ht="12.95" hidden="1" customHeight="1" outlineLevel="1">
      <c r="A626" s="33" t="s">
        <v>1093</v>
      </c>
      <c r="B626" s="33">
        <v>903</v>
      </c>
      <c r="C626" s="40" t="str">
        <f t="shared" si="24"/>
        <v>Gas Cost903</v>
      </c>
      <c r="D626" s="104">
        <f t="shared" si="25"/>
        <v>0</v>
      </c>
      <c r="E626" s="186">
        <v>0</v>
      </c>
      <c r="F626" s="186">
        <v>0</v>
      </c>
    </row>
    <row r="627" spans="1:6" ht="12.95" hidden="1" customHeight="1" outlineLevel="1">
      <c r="A627" s="33" t="s">
        <v>1093</v>
      </c>
      <c r="B627" s="33">
        <v>904</v>
      </c>
      <c r="C627" s="40" t="str">
        <f t="shared" si="24"/>
        <v>Gas Cost904</v>
      </c>
      <c r="D627" s="104">
        <f t="shared" si="25"/>
        <v>0</v>
      </c>
      <c r="E627" s="186">
        <v>0</v>
      </c>
      <c r="F627" s="186">
        <v>0</v>
      </c>
    </row>
    <row r="628" spans="1:6" ht="12.95" hidden="1" customHeight="1" outlineLevel="1">
      <c r="A628" s="33" t="s">
        <v>1093</v>
      </c>
      <c r="B628" s="33">
        <v>905</v>
      </c>
      <c r="C628" s="40" t="str">
        <f t="shared" si="24"/>
        <v>Gas Cost905</v>
      </c>
      <c r="D628" s="104">
        <f t="shared" si="25"/>
        <v>0</v>
      </c>
      <c r="E628" s="186">
        <v>0</v>
      </c>
      <c r="F628" s="186">
        <v>0</v>
      </c>
    </row>
    <row r="629" spans="1:6" ht="12.95" hidden="1" customHeight="1" outlineLevel="1">
      <c r="A629" s="33" t="s">
        <v>1093</v>
      </c>
      <c r="B629" s="33">
        <v>907</v>
      </c>
      <c r="C629" s="40" t="str">
        <f t="shared" si="24"/>
        <v>Gas Cost907</v>
      </c>
      <c r="D629" s="104">
        <f t="shared" si="25"/>
        <v>0</v>
      </c>
      <c r="E629" s="186">
        <v>0</v>
      </c>
      <c r="F629" s="186">
        <v>0</v>
      </c>
    </row>
    <row r="630" spans="1:6" ht="12.95" hidden="1" customHeight="1" outlineLevel="1">
      <c r="A630" s="33" t="s">
        <v>1093</v>
      </c>
      <c r="B630" s="33">
        <v>908</v>
      </c>
      <c r="C630" s="40" t="str">
        <f t="shared" si="24"/>
        <v>Gas Cost908</v>
      </c>
      <c r="D630" s="104">
        <f t="shared" si="25"/>
        <v>0</v>
      </c>
      <c r="E630" s="186">
        <v>0</v>
      </c>
      <c r="F630" s="186">
        <v>0</v>
      </c>
    </row>
    <row r="631" spans="1:6" ht="12.95" hidden="1" customHeight="1" outlineLevel="1">
      <c r="A631" s="33" t="s">
        <v>1093</v>
      </c>
      <c r="B631" s="33">
        <v>909</v>
      </c>
      <c r="C631" s="40" t="str">
        <f t="shared" si="24"/>
        <v>Gas Cost909</v>
      </c>
      <c r="D631" s="104">
        <f t="shared" si="25"/>
        <v>0</v>
      </c>
      <c r="E631" s="186">
        <v>0</v>
      </c>
      <c r="F631" s="186">
        <v>0</v>
      </c>
    </row>
    <row r="632" spans="1:6" ht="12.95" hidden="1" customHeight="1" outlineLevel="1">
      <c r="A632" s="33" t="s">
        <v>1093</v>
      </c>
      <c r="B632" s="33">
        <v>910</v>
      </c>
      <c r="C632" s="40" t="str">
        <f t="shared" si="24"/>
        <v>Gas Cost910</v>
      </c>
      <c r="D632" s="104">
        <f t="shared" si="25"/>
        <v>0</v>
      </c>
      <c r="E632" s="186">
        <v>0</v>
      </c>
      <c r="F632" s="186">
        <v>0</v>
      </c>
    </row>
    <row r="633" spans="1:6" ht="12.95" hidden="1" customHeight="1" outlineLevel="1">
      <c r="A633" s="33" t="s">
        <v>1093</v>
      </c>
      <c r="B633" s="33">
        <v>911</v>
      </c>
      <c r="C633" s="40" t="str">
        <f t="shared" si="24"/>
        <v>Gas Cost911</v>
      </c>
      <c r="D633" s="104">
        <f t="shared" si="25"/>
        <v>0</v>
      </c>
      <c r="E633" s="186">
        <v>0</v>
      </c>
      <c r="F633" s="186">
        <v>0</v>
      </c>
    </row>
    <row r="634" spans="1:6" ht="12.95" hidden="1" customHeight="1" outlineLevel="1">
      <c r="A634" s="33" t="s">
        <v>1093</v>
      </c>
      <c r="B634" s="33">
        <v>912</v>
      </c>
      <c r="C634" s="40" t="str">
        <f t="shared" si="24"/>
        <v>Gas Cost912</v>
      </c>
      <c r="D634" s="104">
        <f t="shared" si="25"/>
        <v>0</v>
      </c>
      <c r="E634" s="186">
        <v>0</v>
      </c>
      <c r="F634" s="186">
        <v>0</v>
      </c>
    </row>
    <row r="635" spans="1:6" ht="12.95" hidden="1" customHeight="1" outlineLevel="1">
      <c r="A635" s="33" t="s">
        <v>1093</v>
      </c>
      <c r="B635" s="33">
        <v>913</v>
      </c>
      <c r="C635" s="40" t="str">
        <f t="shared" si="24"/>
        <v>Gas Cost913</v>
      </c>
      <c r="D635" s="104">
        <f t="shared" si="25"/>
        <v>0</v>
      </c>
      <c r="E635" s="186">
        <v>0</v>
      </c>
      <c r="F635" s="186">
        <v>0</v>
      </c>
    </row>
    <row r="636" spans="1:6" ht="12.95" hidden="1" customHeight="1" outlineLevel="1">
      <c r="A636" s="33" t="s">
        <v>1093</v>
      </c>
      <c r="B636" s="33">
        <v>920</v>
      </c>
      <c r="C636" s="40" t="str">
        <f t="shared" si="24"/>
        <v>Gas Cost920</v>
      </c>
      <c r="D636" s="104">
        <f t="shared" si="25"/>
        <v>0</v>
      </c>
      <c r="E636" s="186">
        <v>0</v>
      </c>
      <c r="F636" s="186">
        <v>0</v>
      </c>
    </row>
    <row r="637" spans="1:6" ht="12.95" hidden="1" customHeight="1" outlineLevel="1">
      <c r="A637" s="33" t="s">
        <v>1093</v>
      </c>
      <c r="B637" s="33">
        <v>921</v>
      </c>
      <c r="C637" s="40" t="str">
        <f t="shared" si="24"/>
        <v>Gas Cost921</v>
      </c>
      <c r="D637" s="104">
        <f t="shared" si="25"/>
        <v>0</v>
      </c>
      <c r="E637" s="186">
        <v>0</v>
      </c>
      <c r="F637" s="186">
        <v>0</v>
      </c>
    </row>
    <row r="638" spans="1:6" ht="12.95" hidden="1" customHeight="1" outlineLevel="1">
      <c r="A638" s="33" t="s">
        <v>1093</v>
      </c>
      <c r="B638" s="33">
        <v>923</v>
      </c>
      <c r="C638" s="40" t="str">
        <f t="shared" si="24"/>
        <v>Gas Cost923</v>
      </c>
      <c r="D638" s="104">
        <f t="shared" si="25"/>
        <v>0</v>
      </c>
      <c r="E638" s="186">
        <v>0</v>
      </c>
      <c r="F638" s="186">
        <v>0</v>
      </c>
    </row>
    <row r="639" spans="1:6" ht="12.95" hidden="1" customHeight="1" outlineLevel="1">
      <c r="A639" s="33" t="s">
        <v>1093</v>
      </c>
      <c r="B639" s="33">
        <v>924</v>
      </c>
      <c r="C639" s="40" t="str">
        <f t="shared" si="24"/>
        <v>Gas Cost924</v>
      </c>
      <c r="D639" s="104">
        <f t="shared" si="25"/>
        <v>0</v>
      </c>
      <c r="E639" s="186">
        <v>0</v>
      </c>
      <c r="F639" s="186">
        <v>0</v>
      </c>
    </row>
    <row r="640" spans="1:6" ht="12.95" hidden="1" customHeight="1" outlineLevel="1">
      <c r="A640" s="33" t="s">
        <v>1093</v>
      </c>
      <c r="B640" s="33">
        <v>925</v>
      </c>
      <c r="C640" s="40" t="str">
        <f t="shared" si="24"/>
        <v>Gas Cost925</v>
      </c>
      <c r="D640" s="104">
        <f t="shared" si="25"/>
        <v>0</v>
      </c>
      <c r="E640" s="186">
        <v>0</v>
      </c>
      <c r="F640" s="186">
        <v>0</v>
      </c>
    </row>
    <row r="641" spans="1:6" ht="12.95" hidden="1" customHeight="1" outlineLevel="1">
      <c r="A641" s="33" t="s">
        <v>1093</v>
      </c>
      <c r="B641" s="33">
        <v>926</v>
      </c>
      <c r="C641" s="40" t="str">
        <f t="shared" si="24"/>
        <v>Gas Cost926</v>
      </c>
      <c r="D641" s="104">
        <f t="shared" si="25"/>
        <v>0</v>
      </c>
      <c r="E641" s="186">
        <v>0</v>
      </c>
      <c r="F641" s="186">
        <v>0</v>
      </c>
    </row>
    <row r="642" spans="1:6" ht="12.95" hidden="1" customHeight="1" outlineLevel="1">
      <c r="A642" s="33" t="s">
        <v>1093</v>
      </c>
      <c r="B642" s="33">
        <v>928</v>
      </c>
      <c r="C642" s="40" t="str">
        <f t="shared" si="24"/>
        <v>Gas Cost928</v>
      </c>
      <c r="D642" s="104">
        <f t="shared" si="25"/>
        <v>0</v>
      </c>
      <c r="E642" s="186">
        <v>0</v>
      </c>
      <c r="F642" s="186">
        <v>0</v>
      </c>
    </row>
    <row r="643" spans="1:6" ht="12.95" hidden="1" customHeight="1" outlineLevel="1">
      <c r="A643" s="33" t="s">
        <v>1093</v>
      </c>
      <c r="B643" s="33">
        <v>930</v>
      </c>
      <c r="C643" s="40" t="str">
        <f t="shared" si="24"/>
        <v>Gas Cost930</v>
      </c>
      <c r="D643" s="104">
        <f t="shared" si="25"/>
        <v>0</v>
      </c>
      <c r="E643" s="186">
        <v>0</v>
      </c>
      <c r="F643" s="186">
        <v>0</v>
      </c>
    </row>
    <row r="644" spans="1:6" ht="12.95" hidden="1" customHeight="1" outlineLevel="1">
      <c r="A644" s="33" t="s">
        <v>1093</v>
      </c>
      <c r="B644" s="33">
        <v>931</v>
      </c>
      <c r="C644" s="40" t="str">
        <f t="shared" si="24"/>
        <v>Gas Cost931</v>
      </c>
      <c r="D644" s="104">
        <f t="shared" si="25"/>
        <v>0</v>
      </c>
      <c r="E644" s="186">
        <v>0</v>
      </c>
      <c r="F644" s="186">
        <v>0</v>
      </c>
    </row>
    <row r="645" spans="1:6" ht="12.95" hidden="1" customHeight="1" outlineLevel="1">
      <c r="A645" s="33" t="s">
        <v>1093</v>
      </c>
      <c r="B645" s="33">
        <v>932</v>
      </c>
      <c r="C645" s="40" t="str">
        <f t="shared" si="24"/>
        <v>Gas Cost932</v>
      </c>
      <c r="D645" s="104">
        <f t="shared" si="25"/>
        <v>0</v>
      </c>
      <c r="E645" s="186">
        <v>0</v>
      </c>
      <c r="F645" s="186">
        <v>0</v>
      </c>
    </row>
    <row r="646" spans="1:6" ht="12.95" hidden="1" customHeight="1" outlineLevel="1">
      <c r="A646" s="33" t="s">
        <v>1093</v>
      </c>
      <c r="B646" s="33">
        <v>935</v>
      </c>
      <c r="C646" s="40" t="str">
        <f t="shared" si="24"/>
        <v>Gas Cost935</v>
      </c>
      <c r="D646" s="104">
        <f t="shared" si="25"/>
        <v>0</v>
      </c>
      <c r="E646" s="186">
        <v>0</v>
      </c>
      <c r="F646" s="186">
        <v>0</v>
      </c>
    </row>
    <row r="647" spans="1:6" s="13" customFormat="1" collapsed="1">
      <c r="A647" s="14" t="s">
        <v>1093</v>
      </c>
      <c r="B647" s="15"/>
      <c r="D647" s="194">
        <f>SUM(D599:D646)</f>
        <v>-12860942.590000002</v>
      </c>
      <c r="E647" s="194">
        <f>SUM(E599:E646)</f>
        <v>48273964.250000007</v>
      </c>
      <c r="F647" s="194">
        <f>SUM(F599:F646)</f>
        <v>35413021.660000004</v>
      </c>
    </row>
    <row r="648" spans="1:6" ht="12.95" hidden="1" customHeight="1" outlineLevel="1">
      <c r="A648" s="33" t="s">
        <v>1094</v>
      </c>
      <c r="B648" s="33">
        <v>801</v>
      </c>
      <c r="C648" s="40" t="str">
        <f t="shared" ref="C648:C694" si="26">A648&amp;B648</f>
        <v>Incentive Compensation801</v>
      </c>
      <c r="D648" s="104">
        <f t="shared" ref="D648:D694" si="27">+F648-E648</f>
        <v>0</v>
      </c>
      <c r="E648" s="186">
        <v>0</v>
      </c>
      <c r="F648" s="186">
        <v>0</v>
      </c>
    </row>
    <row r="649" spans="1:6" ht="12.95" hidden="1" customHeight="1" outlineLevel="1">
      <c r="A649" s="33" t="s">
        <v>1094</v>
      </c>
      <c r="B649" s="33">
        <v>803</v>
      </c>
      <c r="C649" s="40" t="str">
        <f t="shared" si="26"/>
        <v>Incentive Compensation803</v>
      </c>
      <c r="D649" s="104">
        <f t="shared" si="27"/>
        <v>0</v>
      </c>
      <c r="E649" s="186">
        <v>0</v>
      </c>
      <c r="F649" s="186">
        <v>0</v>
      </c>
    </row>
    <row r="650" spans="1:6" ht="12.95" hidden="1" customHeight="1" outlineLevel="1">
      <c r="A650" s="33" t="s">
        <v>1094</v>
      </c>
      <c r="B650" s="33">
        <v>804</v>
      </c>
      <c r="C650" s="40" t="str">
        <f t="shared" si="26"/>
        <v>Incentive Compensation804</v>
      </c>
      <c r="D650" s="104">
        <f t="shared" si="27"/>
        <v>0</v>
      </c>
      <c r="E650" s="186">
        <v>0</v>
      </c>
      <c r="F650" s="186">
        <v>0</v>
      </c>
    </row>
    <row r="651" spans="1:6" ht="12.95" hidden="1" customHeight="1" outlineLevel="1">
      <c r="A651" s="33" t="s">
        <v>1094</v>
      </c>
      <c r="B651" s="33">
        <v>805</v>
      </c>
      <c r="C651" s="40" t="str">
        <f t="shared" si="26"/>
        <v>Incentive Compensation805</v>
      </c>
      <c r="D651" s="104">
        <f t="shared" si="27"/>
        <v>0</v>
      </c>
      <c r="E651" s="186">
        <v>0</v>
      </c>
      <c r="F651" s="186">
        <v>0</v>
      </c>
    </row>
    <row r="652" spans="1:6" ht="12.95" hidden="1" customHeight="1" outlineLevel="1">
      <c r="A652" s="33" t="s">
        <v>1094</v>
      </c>
      <c r="B652" s="33">
        <v>806</v>
      </c>
      <c r="C652" s="40" t="str">
        <f t="shared" si="26"/>
        <v>Incentive Compensation806</v>
      </c>
      <c r="D652" s="104">
        <f t="shared" si="27"/>
        <v>0</v>
      </c>
      <c r="E652" s="186">
        <v>0</v>
      </c>
      <c r="F652" s="186">
        <v>0</v>
      </c>
    </row>
    <row r="653" spans="1:6" ht="12.95" hidden="1" customHeight="1" outlineLevel="1">
      <c r="A653" s="33" t="s">
        <v>1094</v>
      </c>
      <c r="B653" s="33">
        <v>807</v>
      </c>
      <c r="C653" s="40" t="str">
        <f t="shared" si="26"/>
        <v>Incentive Compensation807</v>
      </c>
      <c r="D653" s="104">
        <f t="shared" si="27"/>
        <v>0</v>
      </c>
      <c r="E653" s="186">
        <v>0</v>
      </c>
      <c r="F653" s="186">
        <v>0</v>
      </c>
    </row>
    <row r="654" spans="1:6" ht="12.95" hidden="1" customHeight="1" outlineLevel="1">
      <c r="A654" s="33" t="s">
        <v>1094</v>
      </c>
      <c r="B654" s="33">
        <v>808</v>
      </c>
      <c r="C654" s="40" t="str">
        <f t="shared" si="26"/>
        <v>Incentive Compensation808</v>
      </c>
      <c r="D654" s="104">
        <f t="shared" si="27"/>
        <v>0</v>
      </c>
      <c r="E654" s="186">
        <v>0</v>
      </c>
      <c r="F654" s="186">
        <v>0</v>
      </c>
    </row>
    <row r="655" spans="1:6" ht="12.95" hidden="1" customHeight="1" outlineLevel="1">
      <c r="A655" s="33" t="s">
        <v>1094</v>
      </c>
      <c r="B655" s="33">
        <v>812</v>
      </c>
      <c r="C655" s="40" t="str">
        <f t="shared" si="26"/>
        <v>Incentive Compensation812</v>
      </c>
      <c r="D655" s="104">
        <f t="shared" si="27"/>
        <v>0</v>
      </c>
      <c r="E655" s="186">
        <v>0</v>
      </c>
      <c r="F655" s="186">
        <v>0</v>
      </c>
    </row>
    <row r="656" spans="1:6" ht="12.95" hidden="1" customHeight="1" outlineLevel="1">
      <c r="A656" s="33" t="s">
        <v>1094</v>
      </c>
      <c r="B656" s="33">
        <v>870</v>
      </c>
      <c r="C656" s="40" t="str">
        <f t="shared" si="26"/>
        <v>Incentive Compensation870</v>
      </c>
      <c r="D656" s="104">
        <f t="shared" si="27"/>
        <v>0</v>
      </c>
      <c r="E656" s="186">
        <v>0</v>
      </c>
      <c r="F656" s="186">
        <v>0</v>
      </c>
    </row>
    <row r="657" spans="1:6" ht="12.95" hidden="1" customHeight="1" outlineLevel="1">
      <c r="A657" s="33" t="s">
        <v>1094</v>
      </c>
      <c r="B657" s="33">
        <v>871</v>
      </c>
      <c r="C657" s="40" t="str">
        <f t="shared" si="26"/>
        <v>Incentive Compensation871</v>
      </c>
      <c r="D657" s="104">
        <f t="shared" si="27"/>
        <v>0</v>
      </c>
      <c r="E657" s="186">
        <v>0</v>
      </c>
      <c r="F657" s="186">
        <v>0</v>
      </c>
    </row>
    <row r="658" spans="1:6" ht="12.95" hidden="1" customHeight="1" outlineLevel="1">
      <c r="A658" s="33" t="s">
        <v>1094</v>
      </c>
      <c r="B658" s="33">
        <v>874</v>
      </c>
      <c r="C658" s="40" t="str">
        <f t="shared" si="26"/>
        <v>Incentive Compensation874</v>
      </c>
      <c r="D658" s="104">
        <f t="shared" si="27"/>
        <v>0</v>
      </c>
      <c r="E658" s="186">
        <v>0</v>
      </c>
      <c r="F658" s="186">
        <v>0</v>
      </c>
    </row>
    <row r="659" spans="1:6" ht="12.95" hidden="1" customHeight="1" outlineLevel="1">
      <c r="A659" s="33" t="s">
        <v>1094</v>
      </c>
      <c r="B659" s="33">
        <v>875</v>
      </c>
      <c r="C659" s="40" t="str">
        <f t="shared" si="26"/>
        <v>Incentive Compensation875</v>
      </c>
      <c r="D659" s="104">
        <f t="shared" si="27"/>
        <v>0</v>
      </c>
      <c r="E659" s="186">
        <v>0</v>
      </c>
      <c r="F659" s="186">
        <v>0</v>
      </c>
    </row>
    <row r="660" spans="1:6" ht="12.95" hidden="1" customHeight="1" outlineLevel="1">
      <c r="A660" s="33" t="s">
        <v>1094</v>
      </c>
      <c r="B660" s="33">
        <v>876</v>
      </c>
      <c r="C660" s="40" t="str">
        <f t="shared" si="26"/>
        <v>Incentive Compensation876</v>
      </c>
      <c r="D660" s="104">
        <f t="shared" si="27"/>
        <v>0</v>
      </c>
      <c r="E660" s="186">
        <v>0</v>
      </c>
      <c r="F660" s="186">
        <v>0</v>
      </c>
    </row>
    <row r="661" spans="1:6" ht="12.95" hidden="1" customHeight="1" outlineLevel="1">
      <c r="A661" s="33" t="s">
        <v>1094</v>
      </c>
      <c r="B661" s="33">
        <v>878</v>
      </c>
      <c r="C661" s="40" t="str">
        <f t="shared" si="26"/>
        <v>Incentive Compensation878</v>
      </c>
      <c r="D661" s="104">
        <f t="shared" si="27"/>
        <v>0</v>
      </c>
      <c r="E661" s="186">
        <v>0</v>
      </c>
      <c r="F661" s="186">
        <v>0</v>
      </c>
    </row>
    <row r="662" spans="1:6" ht="12.95" hidden="1" customHeight="1" outlineLevel="1">
      <c r="A662" s="33" t="s">
        <v>1094</v>
      </c>
      <c r="B662" s="33">
        <v>879</v>
      </c>
      <c r="C662" s="40" t="str">
        <f t="shared" si="26"/>
        <v>Incentive Compensation879</v>
      </c>
      <c r="D662" s="104">
        <f t="shared" si="27"/>
        <v>0</v>
      </c>
      <c r="E662" s="186">
        <v>0</v>
      </c>
      <c r="F662" s="186">
        <v>0</v>
      </c>
    </row>
    <row r="663" spans="1:6" ht="12.95" hidden="1" customHeight="1" outlineLevel="1">
      <c r="A663" s="33" t="s">
        <v>1094</v>
      </c>
      <c r="B663" s="33">
        <v>880</v>
      </c>
      <c r="C663" s="40" t="str">
        <f t="shared" si="26"/>
        <v>Incentive Compensation880</v>
      </c>
      <c r="D663" s="104">
        <f t="shared" si="27"/>
        <v>0</v>
      </c>
      <c r="E663" s="186">
        <v>0</v>
      </c>
      <c r="F663" s="186">
        <v>0</v>
      </c>
    </row>
    <row r="664" spans="1:6" ht="12.95" hidden="1" customHeight="1" outlineLevel="1">
      <c r="A664" s="33" t="s">
        <v>1094</v>
      </c>
      <c r="B664" s="33">
        <v>881</v>
      </c>
      <c r="C664" s="40" t="str">
        <f t="shared" si="26"/>
        <v>Incentive Compensation881</v>
      </c>
      <c r="D664" s="104">
        <f t="shared" si="27"/>
        <v>0</v>
      </c>
      <c r="E664" s="186">
        <v>0</v>
      </c>
      <c r="F664" s="186">
        <v>0</v>
      </c>
    </row>
    <row r="665" spans="1:6" ht="12.95" hidden="1" customHeight="1" outlineLevel="1">
      <c r="A665" s="33" t="s">
        <v>1094</v>
      </c>
      <c r="B665" s="33">
        <v>885</v>
      </c>
      <c r="C665" s="40" t="str">
        <f t="shared" si="26"/>
        <v>Incentive Compensation885</v>
      </c>
      <c r="D665" s="104">
        <f t="shared" si="27"/>
        <v>0</v>
      </c>
      <c r="E665" s="186">
        <v>0</v>
      </c>
      <c r="F665" s="186">
        <v>0</v>
      </c>
    </row>
    <row r="666" spans="1:6" ht="12.95" hidden="1" customHeight="1" outlineLevel="1">
      <c r="A666" s="33" t="s">
        <v>1094</v>
      </c>
      <c r="B666" s="33">
        <v>886</v>
      </c>
      <c r="C666" s="40" t="str">
        <f t="shared" si="26"/>
        <v>Incentive Compensation886</v>
      </c>
      <c r="D666" s="104">
        <f t="shared" si="27"/>
        <v>0</v>
      </c>
      <c r="E666" s="186">
        <v>0</v>
      </c>
      <c r="F666" s="186">
        <v>0</v>
      </c>
    </row>
    <row r="667" spans="1:6" ht="12.95" hidden="1" customHeight="1" outlineLevel="1">
      <c r="A667" s="33" t="s">
        <v>1094</v>
      </c>
      <c r="B667" s="33">
        <v>887</v>
      </c>
      <c r="C667" s="40" t="str">
        <f t="shared" si="26"/>
        <v>Incentive Compensation887</v>
      </c>
      <c r="D667" s="104">
        <f t="shared" si="27"/>
        <v>0</v>
      </c>
      <c r="E667" s="186">
        <v>0</v>
      </c>
      <c r="F667" s="186">
        <v>0</v>
      </c>
    </row>
    <row r="668" spans="1:6" ht="12.95" hidden="1" customHeight="1" outlineLevel="1">
      <c r="A668" s="33" t="s">
        <v>1094</v>
      </c>
      <c r="B668" s="33">
        <v>889</v>
      </c>
      <c r="C668" s="40" t="str">
        <f t="shared" si="26"/>
        <v>Incentive Compensation889</v>
      </c>
      <c r="D668" s="104">
        <f t="shared" si="27"/>
        <v>0</v>
      </c>
      <c r="E668" s="186">
        <v>0</v>
      </c>
      <c r="F668" s="186">
        <v>0</v>
      </c>
    </row>
    <row r="669" spans="1:6" ht="12.95" hidden="1" customHeight="1" outlineLevel="1">
      <c r="A669" s="33" t="s">
        <v>1094</v>
      </c>
      <c r="B669" s="33">
        <v>890</v>
      </c>
      <c r="C669" s="40" t="str">
        <f t="shared" si="26"/>
        <v>Incentive Compensation890</v>
      </c>
      <c r="D669" s="104">
        <f t="shared" si="27"/>
        <v>0</v>
      </c>
      <c r="E669" s="186">
        <v>0</v>
      </c>
      <c r="F669" s="186">
        <v>0</v>
      </c>
    </row>
    <row r="670" spans="1:6" ht="12.95" hidden="1" customHeight="1" outlineLevel="1">
      <c r="A670" s="33" t="s">
        <v>1094</v>
      </c>
      <c r="B670" s="33">
        <v>892</v>
      </c>
      <c r="C670" s="40" t="str">
        <f t="shared" si="26"/>
        <v>Incentive Compensation892</v>
      </c>
      <c r="D670" s="104">
        <f t="shared" si="27"/>
        <v>0</v>
      </c>
      <c r="E670" s="186">
        <v>0</v>
      </c>
      <c r="F670" s="186">
        <v>0</v>
      </c>
    </row>
    <row r="671" spans="1:6" ht="12.95" hidden="1" customHeight="1" outlineLevel="1">
      <c r="A671" s="33" t="s">
        <v>1094</v>
      </c>
      <c r="B671" s="33">
        <v>893</v>
      </c>
      <c r="C671" s="40" t="str">
        <f t="shared" si="26"/>
        <v>Incentive Compensation893</v>
      </c>
      <c r="D671" s="104">
        <f t="shared" si="27"/>
        <v>0</v>
      </c>
      <c r="E671" s="186">
        <v>0</v>
      </c>
      <c r="F671" s="186">
        <v>0</v>
      </c>
    </row>
    <row r="672" spans="1:6" ht="12.95" hidden="1" customHeight="1" outlineLevel="1">
      <c r="A672" s="33" t="s">
        <v>1094</v>
      </c>
      <c r="B672" s="33">
        <v>894</v>
      </c>
      <c r="C672" s="40" t="str">
        <f t="shared" si="26"/>
        <v>Incentive Compensation894</v>
      </c>
      <c r="D672" s="104">
        <f t="shared" si="27"/>
        <v>0</v>
      </c>
      <c r="E672" s="186">
        <v>0</v>
      </c>
      <c r="F672" s="186">
        <v>0</v>
      </c>
    </row>
    <row r="673" spans="1:6" ht="12.95" hidden="1" customHeight="1" outlineLevel="1">
      <c r="A673" s="33" t="s">
        <v>1094</v>
      </c>
      <c r="B673" s="33">
        <v>902</v>
      </c>
      <c r="C673" s="40" t="str">
        <f t="shared" si="26"/>
        <v>Incentive Compensation902</v>
      </c>
      <c r="D673" s="104">
        <f t="shared" si="27"/>
        <v>0</v>
      </c>
      <c r="E673" s="186">
        <v>0</v>
      </c>
      <c r="F673" s="186">
        <v>0</v>
      </c>
    </row>
    <row r="674" spans="1:6" ht="12.95" hidden="1" customHeight="1" outlineLevel="1">
      <c r="A674" s="33" t="s">
        <v>1094</v>
      </c>
      <c r="B674" s="33">
        <v>903</v>
      </c>
      <c r="C674" s="40" t="str">
        <f t="shared" si="26"/>
        <v>Incentive Compensation903</v>
      </c>
      <c r="D674" s="104">
        <f t="shared" si="27"/>
        <v>0</v>
      </c>
      <c r="E674" s="186">
        <v>0</v>
      </c>
      <c r="F674" s="186">
        <v>0</v>
      </c>
    </row>
    <row r="675" spans="1:6" ht="12.95" hidden="1" customHeight="1" outlineLevel="1">
      <c r="A675" s="33" t="s">
        <v>1094</v>
      </c>
      <c r="B675" s="33">
        <v>904</v>
      </c>
      <c r="C675" s="40" t="str">
        <f t="shared" si="26"/>
        <v>Incentive Compensation904</v>
      </c>
      <c r="D675" s="104">
        <f t="shared" si="27"/>
        <v>0</v>
      </c>
      <c r="E675" s="186">
        <v>0</v>
      </c>
      <c r="F675" s="186">
        <v>0</v>
      </c>
    </row>
    <row r="676" spans="1:6" ht="12.95" hidden="1" customHeight="1" outlineLevel="1">
      <c r="A676" s="33" t="s">
        <v>1094</v>
      </c>
      <c r="B676" s="33">
        <v>905</v>
      </c>
      <c r="C676" s="40" t="str">
        <f t="shared" si="26"/>
        <v>Incentive Compensation905</v>
      </c>
      <c r="D676" s="104">
        <f t="shared" si="27"/>
        <v>0</v>
      </c>
      <c r="E676" s="186">
        <v>0</v>
      </c>
      <c r="F676" s="186">
        <v>0</v>
      </c>
    </row>
    <row r="677" spans="1:6" ht="12.95" hidden="1" customHeight="1" outlineLevel="1">
      <c r="A677" s="33" t="s">
        <v>1094</v>
      </c>
      <c r="B677" s="33">
        <v>907</v>
      </c>
      <c r="C677" s="40" t="str">
        <f t="shared" si="26"/>
        <v>Incentive Compensation907</v>
      </c>
      <c r="D677" s="104">
        <f t="shared" si="27"/>
        <v>0</v>
      </c>
      <c r="E677" s="186">
        <v>0</v>
      </c>
      <c r="F677" s="186">
        <v>0</v>
      </c>
    </row>
    <row r="678" spans="1:6" ht="12.95" hidden="1" customHeight="1" outlineLevel="1">
      <c r="A678" s="33" t="s">
        <v>1094</v>
      </c>
      <c r="B678" s="33">
        <v>908</v>
      </c>
      <c r="C678" s="40" t="str">
        <f t="shared" si="26"/>
        <v>Incentive Compensation908</v>
      </c>
      <c r="D678" s="104">
        <f t="shared" si="27"/>
        <v>0</v>
      </c>
      <c r="E678" s="186">
        <v>0</v>
      </c>
      <c r="F678" s="186">
        <v>0</v>
      </c>
    </row>
    <row r="679" spans="1:6" ht="12.95" hidden="1" customHeight="1" outlineLevel="1">
      <c r="A679" s="33" t="s">
        <v>1094</v>
      </c>
      <c r="B679" s="33">
        <v>909</v>
      </c>
      <c r="C679" s="40" t="str">
        <f t="shared" si="26"/>
        <v>Incentive Compensation909</v>
      </c>
      <c r="D679" s="104">
        <f t="shared" si="27"/>
        <v>0</v>
      </c>
      <c r="E679" s="186">
        <v>0</v>
      </c>
      <c r="F679" s="186">
        <v>0</v>
      </c>
    </row>
    <row r="680" spans="1:6" ht="12.95" hidden="1" customHeight="1" outlineLevel="1">
      <c r="A680" s="33" t="s">
        <v>1094</v>
      </c>
      <c r="B680" s="33">
        <v>910</v>
      </c>
      <c r="C680" s="40" t="str">
        <f t="shared" si="26"/>
        <v>Incentive Compensation910</v>
      </c>
      <c r="D680" s="104">
        <f t="shared" si="27"/>
        <v>0</v>
      </c>
      <c r="E680" s="186">
        <v>0</v>
      </c>
      <c r="F680" s="186">
        <v>0</v>
      </c>
    </row>
    <row r="681" spans="1:6" ht="12.95" hidden="1" customHeight="1" outlineLevel="1">
      <c r="A681" s="33" t="s">
        <v>1094</v>
      </c>
      <c r="B681" s="33">
        <v>911</v>
      </c>
      <c r="C681" s="40" t="str">
        <f t="shared" si="26"/>
        <v>Incentive Compensation911</v>
      </c>
      <c r="D681" s="104">
        <f t="shared" si="27"/>
        <v>0</v>
      </c>
      <c r="E681" s="186">
        <v>0</v>
      </c>
      <c r="F681" s="186">
        <v>0</v>
      </c>
    </row>
    <row r="682" spans="1:6" ht="12.95" hidden="1" customHeight="1" outlineLevel="1">
      <c r="A682" s="33" t="s">
        <v>1094</v>
      </c>
      <c r="B682" s="33">
        <v>912</v>
      </c>
      <c r="C682" s="40" t="str">
        <f t="shared" si="26"/>
        <v>Incentive Compensation912</v>
      </c>
      <c r="D682" s="104">
        <f t="shared" si="27"/>
        <v>0</v>
      </c>
      <c r="E682" s="186">
        <v>0</v>
      </c>
      <c r="F682" s="186">
        <v>0</v>
      </c>
    </row>
    <row r="683" spans="1:6" ht="12.95" hidden="1" customHeight="1" outlineLevel="1">
      <c r="A683" s="33" t="s">
        <v>1094</v>
      </c>
      <c r="B683" s="33">
        <v>913</v>
      </c>
      <c r="C683" s="40" t="str">
        <f t="shared" si="26"/>
        <v>Incentive Compensation913</v>
      </c>
      <c r="D683" s="104">
        <f t="shared" si="27"/>
        <v>0</v>
      </c>
      <c r="E683" s="186">
        <v>0</v>
      </c>
      <c r="F683" s="186">
        <v>0</v>
      </c>
    </row>
    <row r="684" spans="1:6" ht="12.95" hidden="1" customHeight="1" outlineLevel="1">
      <c r="A684" s="33" t="s">
        <v>1094</v>
      </c>
      <c r="B684" s="33">
        <v>920</v>
      </c>
      <c r="C684" s="40" t="str">
        <f t="shared" si="26"/>
        <v>Incentive Compensation920</v>
      </c>
      <c r="D684" s="104">
        <f t="shared" si="27"/>
        <v>-439985.63</v>
      </c>
      <c r="E684" s="186">
        <v>1269165.7700000003</v>
      </c>
      <c r="F684" s="186">
        <v>829180.14000000025</v>
      </c>
    </row>
    <row r="685" spans="1:6" ht="12.95" hidden="1" customHeight="1" outlineLevel="1">
      <c r="A685" s="33" t="s">
        <v>1094</v>
      </c>
      <c r="B685" s="33">
        <v>921</v>
      </c>
      <c r="C685" s="40" t="str">
        <f t="shared" si="26"/>
        <v>Incentive Compensation921</v>
      </c>
      <c r="D685" s="104">
        <f t="shared" si="27"/>
        <v>0</v>
      </c>
      <c r="E685" s="186">
        <v>0</v>
      </c>
      <c r="F685" s="186">
        <v>0</v>
      </c>
    </row>
    <row r="686" spans="1:6" ht="12.95" hidden="1" customHeight="1" outlineLevel="1">
      <c r="A686" s="33" t="s">
        <v>1094</v>
      </c>
      <c r="B686" s="33">
        <v>923</v>
      </c>
      <c r="C686" s="40" t="str">
        <f t="shared" si="26"/>
        <v>Incentive Compensation923</v>
      </c>
      <c r="D686" s="104">
        <f t="shared" si="27"/>
        <v>0</v>
      </c>
      <c r="E686" s="186">
        <v>0</v>
      </c>
      <c r="F686" s="186">
        <v>0</v>
      </c>
    </row>
    <row r="687" spans="1:6" ht="12.95" hidden="1" customHeight="1" outlineLevel="1">
      <c r="A687" s="33" t="s">
        <v>1094</v>
      </c>
      <c r="B687" s="33">
        <v>924</v>
      </c>
      <c r="C687" s="40" t="str">
        <f t="shared" si="26"/>
        <v>Incentive Compensation924</v>
      </c>
      <c r="D687" s="104">
        <f t="shared" si="27"/>
        <v>0</v>
      </c>
      <c r="E687" s="186">
        <v>0</v>
      </c>
      <c r="F687" s="186">
        <v>0</v>
      </c>
    </row>
    <row r="688" spans="1:6" ht="12.95" hidden="1" customHeight="1" outlineLevel="1">
      <c r="A688" s="33" t="s">
        <v>1094</v>
      </c>
      <c r="B688" s="33">
        <v>925</v>
      </c>
      <c r="C688" s="40" t="str">
        <f t="shared" si="26"/>
        <v>Incentive Compensation925</v>
      </c>
      <c r="D688" s="104">
        <f t="shared" si="27"/>
        <v>0</v>
      </c>
      <c r="E688" s="186">
        <v>0</v>
      </c>
      <c r="F688" s="186">
        <v>0</v>
      </c>
    </row>
    <row r="689" spans="1:6" ht="12.95" hidden="1" customHeight="1" outlineLevel="1">
      <c r="A689" s="33" t="s">
        <v>1094</v>
      </c>
      <c r="B689" s="33">
        <v>926</v>
      </c>
      <c r="C689" s="40" t="str">
        <f t="shared" si="26"/>
        <v>Incentive Compensation926</v>
      </c>
      <c r="D689" s="104">
        <f t="shared" si="27"/>
        <v>0</v>
      </c>
      <c r="E689" s="186">
        <v>0</v>
      </c>
      <c r="F689" s="186">
        <v>0</v>
      </c>
    </row>
    <row r="690" spans="1:6" ht="12.95" hidden="1" customHeight="1" outlineLevel="1">
      <c r="A690" s="33" t="s">
        <v>1094</v>
      </c>
      <c r="B690" s="33">
        <v>928</v>
      </c>
      <c r="C690" s="40" t="str">
        <f t="shared" si="26"/>
        <v>Incentive Compensation928</v>
      </c>
      <c r="D690" s="104">
        <f t="shared" si="27"/>
        <v>0</v>
      </c>
      <c r="E690" s="186">
        <v>0</v>
      </c>
      <c r="F690" s="186">
        <v>0</v>
      </c>
    </row>
    <row r="691" spans="1:6" ht="12.95" hidden="1" customHeight="1" outlineLevel="1">
      <c r="A691" s="33" t="s">
        <v>1094</v>
      </c>
      <c r="B691" s="33">
        <v>930</v>
      </c>
      <c r="C691" s="40" t="str">
        <f t="shared" si="26"/>
        <v>Incentive Compensation930</v>
      </c>
      <c r="D691" s="104">
        <f t="shared" si="27"/>
        <v>0</v>
      </c>
      <c r="E691" s="186">
        <v>0</v>
      </c>
      <c r="F691" s="186">
        <v>0</v>
      </c>
    </row>
    <row r="692" spans="1:6" ht="12.95" hidden="1" customHeight="1" outlineLevel="1">
      <c r="A692" s="33" t="s">
        <v>1094</v>
      </c>
      <c r="B692" s="33">
        <v>931</v>
      </c>
      <c r="C692" s="40" t="str">
        <f t="shared" si="26"/>
        <v>Incentive Compensation931</v>
      </c>
      <c r="D692" s="104">
        <f t="shared" si="27"/>
        <v>0</v>
      </c>
      <c r="E692" s="186">
        <v>0</v>
      </c>
      <c r="F692" s="186">
        <v>0</v>
      </c>
    </row>
    <row r="693" spans="1:6" ht="12.95" hidden="1" customHeight="1" outlineLevel="1">
      <c r="A693" s="33" t="s">
        <v>1094</v>
      </c>
      <c r="B693" s="33">
        <v>932</v>
      </c>
      <c r="C693" s="40" t="str">
        <f t="shared" si="26"/>
        <v>Incentive Compensation932</v>
      </c>
      <c r="D693" s="104">
        <f t="shared" si="27"/>
        <v>0</v>
      </c>
      <c r="E693" s="186">
        <v>0</v>
      </c>
      <c r="F693" s="186">
        <v>0</v>
      </c>
    </row>
    <row r="694" spans="1:6" ht="12.95" hidden="1" customHeight="1" outlineLevel="1">
      <c r="A694" s="33" t="s">
        <v>1094</v>
      </c>
      <c r="B694" s="33">
        <v>935</v>
      </c>
      <c r="C694" s="40" t="str">
        <f t="shared" si="26"/>
        <v>Incentive Compensation935</v>
      </c>
      <c r="D694" s="104">
        <f t="shared" si="27"/>
        <v>0</v>
      </c>
      <c r="E694" s="186">
        <v>0</v>
      </c>
      <c r="F694" s="186">
        <v>0</v>
      </c>
    </row>
    <row r="695" spans="1:6" s="13" customFormat="1" collapsed="1">
      <c r="A695" s="14" t="s">
        <v>1094</v>
      </c>
      <c r="B695" s="15"/>
      <c r="D695" s="194">
        <f>SUM(D648:D694)</f>
        <v>-439985.63</v>
      </c>
      <c r="E695" s="194">
        <f>SUM(E648:E694)</f>
        <v>1269165.7700000003</v>
      </c>
      <c r="F695" s="194">
        <f>SUM(F648:F694)</f>
        <v>829180.14000000025</v>
      </c>
    </row>
    <row r="696" spans="1:6" ht="12.95" hidden="1" customHeight="1" outlineLevel="1">
      <c r="A696" s="33" t="s">
        <v>1095</v>
      </c>
      <c r="B696" s="33">
        <v>801</v>
      </c>
      <c r="C696" s="40" t="str">
        <f t="shared" ref="C696:C742" si="28">A696&amp;B696</f>
        <v>Injuries &amp; Damages801</v>
      </c>
      <c r="D696" s="104">
        <f t="shared" ref="D696:D742" si="29">+F696-E696</f>
        <v>0</v>
      </c>
      <c r="E696" s="186">
        <v>0</v>
      </c>
      <c r="F696" s="186">
        <v>0</v>
      </c>
    </row>
    <row r="697" spans="1:6" ht="12.95" hidden="1" customHeight="1" outlineLevel="1">
      <c r="A697" s="33" t="s">
        <v>1095</v>
      </c>
      <c r="B697" s="33">
        <v>803</v>
      </c>
      <c r="C697" s="40" t="str">
        <f t="shared" si="28"/>
        <v>Injuries &amp; Damages803</v>
      </c>
      <c r="D697" s="104">
        <f t="shared" si="29"/>
        <v>0</v>
      </c>
      <c r="E697" s="186">
        <v>0</v>
      </c>
      <c r="F697" s="186">
        <v>0</v>
      </c>
    </row>
    <row r="698" spans="1:6" ht="12.95" hidden="1" customHeight="1" outlineLevel="1">
      <c r="A698" s="33" t="s">
        <v>1095</v>
      </c>
      <c r="B698" s="33">
        <v>804</v>
      </c>
      <c r="C698" s="40" t="str">
        <f t="shared" si="28"/>
        <v>Injuries &amp; Damages804</v>
      </c>
      <c r="D698" s="104">
        <f t="shared" si="29"/>
        <v>0</v>
      </c>
      <c r="E698" s="186">
        <v>0</v>
      </c>
      <c r="F698" s="186">
        <v>0</v>
      </c>
    </row>
    <row r="699" spans="1:6" ht="12.95" hidden="1" customHeight="1" outlineLevel="1">
      <c r="A699" s="33" t="s">
        <v>1095</v>
      </c>
      <c r="B699" s="33">
        <v>805</v>
      </c>
      <c r="C699" s="40" t="str">
        <f t="shared" si="28"/>
        <v>Injuries &amp; Damages805</v>
      </c>
      <c r="D699" s="104">
        <f t="shared" si="29"/>
        <v>0</v>
      </c>
      <c r="E699" s="186">
        <v>0</v>
      </c>
      <c r="F699" s="186">
        <v>0</v>
      </c>
    </row>
    <row r="700" spans="1:6" ht="12.95" hidden="1" customHeight="1" outlineLevel="1">
      <c r="A700" s="33" t="s">
        <v>1095</v>
      </c>
      <c r="B700" s="33">
        <v>806</v>
      </c>
      <c r="C700" s="40" t="str">
        <f t="shared" si="28"/>
        <v>Injuries &amp; Damages806</v>
      </c>
      <c r="D700" s="104">
        <f t="shared" si="29"/>
        <v>0</v>
      </c>
      <c r="E700" s="186">
        <v>0</v>
      </c>
      <c r="F700" s="186">
        <v>0</v>
      </c>
    </row>
    <row r="701" spans="1:6" ht="12.95" hidden="1" customHeight="1" outlineLevel="1">
      <c r="A701" s="33" t="s">
        <v>1095</v>
      </c>
      <c r="B701" s="33">
        <v>807</v>
      </c>
      <c r="C701" s="40" t="str">
        <f t="shared" si="28"/>
        <v>Injuries &amp; Damages807</v>
      </c>
      <c r="D701" s="104">
        <f t="shared" si="29"/>
        <v>0</v>
      </c>
      <c r="E701" s="186">
        <v>0</v>
      </c>
      <c r="F701" s="186">
        <v>0</v>
      </c>
    </row>
    <row r="702" spans="1:6" ht="12.95" hidden="1" customHeight="1" outlineLevel="1">
      <c r="A702" s="33" t="s">
        <v>1095</v>
      </c>
      <c r="B702" s="33">
        <v>808</v>
      </c>
      <c r="C702" s="40" t="str">
        <f t="shared" si="28"/>
        <v>Injuries &amp; Damages808</v>
      </c>
      <c r="D702" s="104">
        <f t="shared" si="29"/>
        <v>0</v>
      </c>
      <c r="E702" s="186">
        <v>0</v>
      </c>
      <c r="F702" s="186">
        <v>0</v>
      </c>
    </row>
    <row r="703" spans="1:6" ht="12.95" hidden="1" customHeight="1" outlineLevel="1">
      <c r="A703" s="33" t="s">
        <v>1095</v>
      </c>
      <c r="B703" s="33">
        <v>812</v>
      </c>
      <c r="C703" s="40" t="str">
        <f t="shared" si="28"/>
        <v>Injuries &amp; Damages812</v>
      </c>
      <c r="D703" s="104">
        <f t="shared" si="29"/>
        <v>0</v>
      </c>
      <c r="E703" s="186">
        <v>0</v>
      </c>
      <c r="F703" s="186">
        <v>0</v>
      </c>
    </row>
    <row r="704" spans="1:6" ht="12.95" hidden="1" customHeight="1" outlineLevel="1">
      <c r="A704" s="33" t="s">
        <v>1095</v>
      </c>
      <c r="B704" s="33">
        <v>870</v>
      </c>
      <c r="C704" s="40" t="str">
        <f t="shared" si="28"/>
        <v>Injuries &amp; Damages870</v>
      </c>
      <c r="D704" s="104">
        <f t="shared" si="29"/>
        <v>0</v>
      </c>
      <c r="E704" s="186">
        <v>0</v>
      </c>
      <c r="F704" s="186">
        <v>0</v>
      </c>
    </row>
    <row r="705" spans="1:6" ht="12.95" hidden="1" customHeight="1" outlineLevel="1">
      <c r="A705" s="33" t="s">
        <v>1095</v>
      </c>
      <c r="B705" s="33">
        <v>871</v>
      </c>
      <c r="C705" s="40" t="str">
        <f t="shared" si="28"/>
        <v>Injuries &amp; Damages871</v>
      </c>
      <c r="D705" s="104">
        <f t="shared" si="29"/>
        <v>0</v>
      </c>
      <c r="E705" s="186">
        <v>0</v>
      </c>
      <c r="F705" s="186">
        <v>0</v>
      </c>
    </row>
    <row r="706" spans="1:6" ht="12.95" hidden="1" customHeight="1" outlineLevel="1">
      <c r="A706" s="33" t="s">
        <v>1095</v>
      </c>
      <c r="B706" s="33">
        <v>874</v>
      </c>
      <c r="C706" s="40" t="str">
        <f t="shared" si="28"/>
        <v>Injuries &amp; Damages874</v>
      </c>
      <c r="D706" s="104">
        <f t="shared" si="29"/>
        <v>0</v>
      </c>
      <c r="E706" s="186">
        <v>0</v>
      </c>
      <c r="F706" s="186">
        <v>0</v>
      </c>
    </row>
    <row r="707" spans="1:6" ht="12.95" hidden="1" customHeight="1" outlineLevel="1">
      <c r="A707" s="33" t="s">
        <v>1095</v>
      </c>
      <c r="B707" s="33">
        <v>875</v>
      </c>
      <c r="C707" s="40" t="str">
        <f t="shared" si="28"/>
        <v>Injuries &amp; Damages875</v>
      </c>
      <c r="D707" s="104">
        <f t="shared" si="29"/>
        <v>0</v>
      </c>
      <c r="E707" s="186">
        <v>0</v>
      </c>
      <c r="F707" s="186">
        <v>0</v>
      </c>
    </row>
    <row r="708" spans="1:6" ht="12.95" hidden="1" customHeight="1" outlineLevel="1">
      <c r="A708" s="33" t="s">
        <v>1095</v>
      </c>
      <c r="B708" s="33">
        <v>876</v>
      </c>
      <c r="C708" s="40" t="str">
        <f t="shared" si="28"/>
        <v>Injuries &amp; Damages876</v>
      </c>
      <c r="D708" s="104">
        <f t="shared" si="29"/>
        <v>0</v>
      </c>
      <c r="E708" s="186">
        <v>0</v>
      </c>
      <c r="F708" s="186">
        <v>0</v>
      </c>
    </row>
    <row r="709" spans="1:6" ht="12.95" hidden="1" customHeight="1" outlineLevel="1">
      <c r="A709" s="33" t="s">
        <v>1095</v>
      </c>
      <c r="B709" s="33">
        <v>878</v>
      </c>
      <c r="C709" s="40" t="str">
        <f t="shared" si="28"/>
        <v>Injuries &amp; Damages878</v>
      </c>
      <c r="D709" s="104">
        <f t="shared" si="29"/>
        <v>0</v>
      </c>
      <c r="E709" s="186">
        <v>0</v>
      </c>
      <c r="F709" s="186">
        <v>0</v>
      </c>
    </row>
    <row r="710" spans="1:6" ht="12.95" hidden="1" customHeight="1" outlineLevel="1">
      <c r="A710" s="33" t="s">
        <v>1095</v>
      </c>
      <c r="B710" s="33">
        <v>879</v>
      </c>
      <c r="C710" s="40" t="str">
        <f t="shared" si="28"/>
        <v>Injuries &amp; Damages879</v>
      </c>
      <c r="D710" s="104">
        <f t="shared" si="29"/>
        <v>0</v>
      </c>
      <c r="E710" s="186">
        <v>0</v>
      </c>
      <c r="F710" s="186">
        <v>0</v>
      </c>
    </row>
    <row r="711" spans="1:6" ht="12.95" hidden="1" customHeight="1" outlineLevel="1">
      <c r="A711" s="33" t="s">
        <v>1095</v>
      </c>
      <c r="B711" s="33">
        <v>880</v>
      </c>
      <c r="C711" s="40" t="str">
        <f t="shared" si="28"/>
        <v>Injuries &amp; Damages880</v>
      </c>
      <c r="D711" s="104">
        <f t="shared" si="29"/>
        <v>0</v>
      </c>
      <c r="E711" s="186">
        <v>0</v>
      </c>
      <c r="F711" s="186">
        <v>0</v>
      </c>
    </row>
    <row r="712" spans="1:6" ht="12.95" hidden="1" customHeight="1" outlineLevel="1">
      <c r="A712" s="33" t="s">
        <v>1095</v>
      </c>
      <c r="B712" s="33">
        <v>881</v>
      </c>
      <c r="C712" s="40" t="str">
        <f t="shared" si="28"/>
        <v>Injuries &amp; Damages881</v>
      </c>
      <c r="D712" s="104">
        <f t="shared" si="29"/>
        <v>0</v>
      </c>
      <c r="E712" s="186">
        <v>0</v>
      </c>
      <c r="F712" s="186">
        <v>0</v>
      </c>
    </row>
    <row r="713" spans="1:6" ht="12.95" hidden="1" customHeight="1" outlineLevel="1">
      <c r="A713" s="33" t="s">
        <v>1095</v>
      </c>
      <c r="B713" s="33">
        <v>885</v>
      </c>
      <c r="C713" s="40" t="str">
        <f t="shared" si="28"/>
        <v>Injuries &amp; Damages885</v>
      </c>
      <c r="D713" s="104">
        <f t="shared" si="29"/>
        <v>0</v>
      </c>
      <c r="E713" s="186">
        <v>0</v>
      </c>
      <c r="F713" s="186">
        <v>0</v>
      </c>
    </row>
    <row r="714" spans="1:6" ht="12.95" hidden="1" customHeight="1" outlineLevel="1">
      <c r="A714" s="33" t="s">
        <v>1095</v>
      </c>
      <c r="B714" s="33">
        <v>886</v>
      </c>
      <c r="C714" s="40" t="str">
        <f t="shared" si="28"/>
        <v>Injuries &amp; Damages886</v>
      </c>
      <c r="D714" s="104">
        <f t="shared" si="29"/>
        <v>0</v>
      </c>
      <c r="E714" s="186">
        <v>0</v>
      </c>
      <c r="F714" s="186">
        <v>0</v>
      </c>
    </row>
    <row r="715" spans="1:6" ht="12.95" hidden="1" customHeight="1" outlineLevel="1">
      <c r="A715" s="33" t="s">
        <v>1095</v>
      </c>
      <c r="B715" s="33">
        <v>887</v>
      </c>
      <c r="C715" s="40" t="str">
        <f t="shared" si="28"/>
        <v>Injuries &amp; Damages887</v>
      </c>
      <c r="D715" s="104">
        <f t="shared" si="29"/>
        <v>0</v>
      </c>
      <c r="E715" s="186">
        <v>0</v>
      </c>
      <c r="F715" s="186">
        <v>0</v>
      </c>
    </row>
    <row r="716" spans="1:6" ht="12.95" hidden="1" customHeight="1" outlineLevel="1">
      <c r="A716" s="33" t="s">
        <v>1095</v>
      </c>
      <c r="B716" s="33">
        <v>889</v>
      </c>
      <c r="C716" s="40" t="str">
        <f t="shared" si="28"/>
        <v>Injuries &amp; Damages889</v>
      </c>
      <c r="D716" s="104">
        <f t="shared" si="29"/>
        <v>0</v>
      </c>
      <c r="E716" s="186">
        <v>0</v>
      </c>
      <c r="F716" s="186">
        <v>0</v>
      </c>
    </row>
    <row r="717" spans="1:6" ht="12.95" hidden="1" customHeight="1" outlineLevel="1">
      <c r="A717" s="33" t="s">
        <v>1095</v>
      </c>
      <c r="B717" s="33">
        <v>890</v>
      </c>
      <c r="C717" s="40" t="str">
        <f t="shared" si="28"/>
        <v>Injuries &amp; Damages890</v>
      </c>
      <c r="D717" s="104">
        <f t="shared" si="29"/>
        <v>0</v>
      </c>
      <c r="E717" s="186">
        <v>0</v>
      </c>
      <c r="F717" s="186">
        <v>0</v>
      </c>
    </row>
    <row r="718" spans="1:6" ht="12.95" hidden="1" customHeight="1" outlineLevel="1">
      <c r="A718" s="33" t="s">
        <v>1095</v>
      </c>
      <c r="B718" s="33">
        <v>892</v>
      </c>
      <c r="C718" s="40" t="str">
        <f t="shared" si="28"/>
        <v>Injuries &amp; Damages892</v>
      </c>
      <c r="D718" s="104">
        <f t="shared" si="29"/>
        <v>0</v>
      </c>
      <c r="E718" s="186">
        <v>0</v>
      </c>
      <c r="F718" s="186">
        <v>0</v>
      </c>
    </row>
    <row r="719" spans="1:6" ht="12.95" hidden="1" customHeight="1" outlineLevel="1">
      <c r="A719" s="33" t="s">
        <v>1095</v>
      </c>
      <c r="B719" s="33">
        <v>893</v>
      </c>
      <c r="C719" s="40" t="str">
        <f t="shared" si="28"/>
        <v>Injuries &amp; Damages893</v>
      </c>
      <c r="D719" s="104">
        <f t="shared" si="29"/>
        <v>0</v>
      </c>
      <c r="E719" s="186">
        <v>0</v>
      </c>
      <c r="F719" s="186">
        <v>0</v>
      </c>
    </row>
    <row r="720" spans="1:6" ht="12.95" hidden="1" customHeight="1" outlineLevel="1">
      <c r="A720" s="33" t="s">
        <v>1095</v>
      </c>
      <c r="B720" s="33">
        <v>894</v>
      </c>
      <c r="C720" s="40" t="str">
        <f t="shared" si="28"/>
        <v>Injuries &amp; Damages894</v>
      </c>
      <c r="D720" s="104">
        <f t="shared" si="29"/>
        <v>0</v>
      </c>
      <c r="E720" s="186">
        <v>0</v>
      </c>
      <c r="F720" s="186">
        <v>0</v>
      </c>
    </row>
    <row r="721" spans="1:6" ht="12.95" hidden="1" customHeight="1" outlineLevel="1">
      <c r="A721" s="33" t="s">
        <v>1095</v>
      </c>
      <c r="B721" s="33">
        <v>902</v>
      </c>
      <c r="C721" s="40" t="str">
        <f t="shared" si="28"/>
        <v>Injuries &amp; Damages902</v>
      </c>
      <c r="D721" s="104">
        <f t="shared" si="29"/>
        <v>0</v>
      </c>
      <c r="E721" s="186">
        <v>0</v>
      </c>
      <c r="F721" s="186">
        <v>0</v>
      </c>
    </row>
    <row r="722" spans="1:6" ht="12.95" hidden="1" customHeight="1" outlineLevel="1">
      <c r="A722" s="33" t="s">
        <v>1095</v>
      </c>
      <c r="B722" s="33">
        <v>903</v>
      </c>
      <c r="C722" s="40" t="str">
        <f t="shared" si="28"/>
        <v>Injuries &amp; Damages903</v>
      </c>
      <c r="D722" s="104">
        <f t="shared" si="29"/>
        <v>0</v>
      </c>
      <c r="E722" s="186">
        <v>0</v>
      </c>
      <c r="F722" s="186">
        <v>0</v>
      </c>
    </row>
    <row r="723" spans="1:6" ht="12.95" hidden="1" customHeight="1" outlineLevel="1">
      <c r="A723" s="33" t="s">
        <v>1095</v>
      </c>
      <c r="B723" s="33">
        <v>904</v>
      </c>
      <c r="C723" s="40" t="str">
        <f t="shared" si="28"/>
        <v>Injuries &amp; Damages904</v>
      </c>
      <c r="D723" s="104">
        <f t="shared" si="29"/>
        <v>0</v>
      </c>
      <c r="E723" s="186">
        <v>0</v>
      </c>
      <c r="F723" s="186">
        <v>0</v>
      </c>
    </row>
    <row r="724" spans="1:6" ht="12.95" hidden="1" customHeight="1" outlineLevel="1">
      <c r="A724" s="33" t="s">
        <v>1095</v>
      </c>
      <c r="B724" s="33">
        <v>905</v>
      </c>
      <c r="C724" s="40" t="str">
        <f t="shared" si="28"/>
        <v>Injuries &amp; Damages905</v>
      </c>
      <c r="D724" s="104">
        <f t="shared" si="29"/>
        <v>0</v>
      </c>
      <c r="E724" s="186">
        <v>0</v>
      </c>
      <c r="F724" s="186">
        <v>0</v>
      </c>
    </row>
    <row r="725" spans="1:6" ht="12.95" hidden="1" customHeight="1" outlineLevel="1">
      <c r="A725" s="33" t="s">
        <v>1095</v>
      </c>
      <c r="B725" s="33">
        <v>907</v>
      </c>
      <c r="C725" s="40" t="str">
        <f t="shared" si="28"/>
        <v>Injuries &amp; Damages907</v>
      </c>
      <c r="D725" s="104">
        <f t="shared" si="29"/>
        <v>0</v>
      </c>
      <c r="E725" s="186">
        <v>0</v>
      </c>
      <c r="F725" s="186">
        <v>0</v>
      </c>
    </row>
    <row r="726" spans="1:6" ht="12.95" hidden="1" customHeight="1" outlineLevel="1">
      <c r="A726" s="33" t="s">
        <v>1095</v>
      </c>
      <c r="B726" s="33">
        <v>908</v>
      </c>
      <c r="C726" s="40" t="str">
        <f t="shared" si="28"/>
        <v>Injuries &amp; Damages908</v>
      </c>
      <c r="D726" s="104">
        <f t="shared" si="29"/>
        <v>0</v>
      </c>
      <c r="E726" s="186">
        <v>0</v>
      </c>
      <c r="F726" s="186">
        <v>0</v>
      </c>
    </row>
    <row r="727" spans="1:6" ht="12.95" hidden="1" customHeight="1" outlineLevel="1">
      <c r="A727" s="33" t="s">
        <v>1095</v>
      </c>
      <c r="B727" s="33">
        <v>909</v>
      </c>
      <c r="C727" s="40" t="str">
        <f t="shared" si="28"/>
        <v>Injuries &amp; Damages909</v>
      </c>
      <c r="D727" s="104">
        <f t="shared" si="29"/>
        <v>0</v>
      </c>
      <c r="E727" s="186">
        <v>0</v>
      </c>
      <c r="F727" s="186">
        <v>0</v>
      </c>
    </row>
    <row r="728" spans="1:6" ht="12.95" hidden="1" customHeight="1" outlineLevel="1">
      <c r="A728" s="33" t="s">
        <v>1095</v>
      </c>
      <c r="B728" s="33">
        <v>910</v>
      </c>
      <c r="C728" s="40" t="str">
        <f t="shared" si="28"/>
        <v>Injuries &amp; Damages910</v>
      </c>
      <c r="D728" s="104">
        <f t="shared" si="29"/>
        <v>0</v>
      </c>
      <c r="E728" s="186">
        <v>0</v>
      </c>
      <c r="F728" s="186">
        <v>0</v>
      </c>
    </row>
    <row r="729" spans="1:6" ht="12.95" hidden="1" customHeight="1" outlineLevel="1">
      <c r="A729" s="33" t="s">
        <v>1095</v>
      </c>
      <c r="B729" s="33">
        <v>911</v>
      </c>
      <c r="C729" s="40" t="str">
        <f t="shared" si="28"/>
        <v>Injuries &amp; Damages911</v>
      </c>
      <c r="D729" s="104">
        <f t="shared" si="29"/>
        <v>0</v>
      </c>
      <c r="E729" s="186">
        <v>0</v>
      </c>
      <c r="F729" s="186">
        <v>0</v>
      </c>
    </row>
    <row r="730" spans="1:6" ht="12.95" hidden="1" customHeight="1" outlineLevel="1">
      <c r="A730" s="33" t="s">
        <v>1095</v>
      </c>
      <c r="B730" s="33">
        <v>912</v>
      </c>
      <c r="C730" s="40" t="str">
        <f t="shared" si="28"/>
        <v>Injuries &amp; Damages912</v>
      </c>
      <c r="D730" s="104">
        <f t="shared" si="29"/>
        <v>0</v>
      </c>
      <c r="E730" s="186">
        <v>0</v>
      </c>
      <c r="F730" s="186">
        <v>0</v>
      </c>
    </row>
    <row r="731" spans="1:6" ht="12.95" hidden="1" customHeight="1" outlineLevel="1">
      <c r="A731" s="33" t="s">
        <v>1095</v>
      </c>
      <c r="B731" s="33">
        <v>913</v>
      </c>
      <c r="C731" s="40" t="str">
        <f t="shared" si="28"/>
        <v>Injuries &amp; Damages913</v>
      </c>
      <c r="D731" s="104">
        <f t="shared" si="29"/>
        <v>0</v>
      </c>
      <c r="E731" s="186">
        <v>0</v>
      </c>
      <c r="F731" s="186">
        <v>0</v>
      </c>
    </row>
    <row r="732" spans="1:6" ht="12.95" hidden="1" customHeight="1" outlineLevel="1">
      <c r="A732" s="33" t="s">
        <v>1095</v>
      </c>
      <c r="B732" s="33">
        <v>920</v>
      </c>
      <c r="C732" s="40" t="str">
        <f t="shared" si="28"/>
        <v>Injuries &amp; Damages920</v>
      </c>
      <c r="D732" s="104">
        <f t="shared" si="29"/>
        <v>0</v>
      </c>
      <c r="E732" s="186">
        <v>0</v>
      </c>
      <c r="F732" s="186">
        <v>0</v>
      </c>
    </row>
    <row r="733" spans="1:6" ht="12.95" hidden="1" customHeight="1" outlineLevel="1">
      <c r="A733" s="33" t="s">
        <v>1095</v>
      </c>
      <c r="B733" s="33">
        <v>921</v>
      </c>
      <c r="C733" s="40" t="str">
        <f t="shared" si="28"/>
        <v>Injuries &amp; Damages921</v>
      </c>
      <c r="D733" s="104">
        <f t="shared" si="29"/>
        <v>0</v>
      </c>
      <c r="E733" s="186">
        <v>0</v>
      </c>
      <c r="F733" s="186">
        <v>0</v>
      </c>
    </row>
    <row r="734" spans="1:6" ht="12.95" hidden="1" customHeight="1" outlineLevel="1">
      <c r="A734" s="33" t="s">
        <v>1095</v>
      </c>
      <c r="B734" s="33">
        <v>923</v>
      </c>
      <c r="C734" s="40" t="str">
        <f t="shared" si="28"/>
        <v>Injuries &amp; Damages923</v>
      </c>
      <c r="D734" s="104">
        <f t="shared" si="29"/>
        <v>0</v>
      </c>
      <c r="E734" s="186">
        <v>0</v>
      </c>
      <c r="F734" s="186">
        <v>0</v>
      </c>
    </row>
    <row r="735" spans="1:6" ht="12.95" hidden="1" customHeight="1" outlineLevel="1">
      <c r="A735" s="33" t="s">
        <v>1095</v>
      </c>
      <c r="B735" s="33">
        <v>924</v>
      </c>
      <c r="C735" s="40" t="str">
        <f t="shared" si="28"/>
        <v>Injuries &amp; Damages924</v>
      </c>
      <c r="D735" s="104">
        <f t="shared" si="29"/>
        <v>0</v>
      </c>
      <c r="E735" s="186">
        <v>0</v>
      </c>
      <c r="F735" s="186">
        <v>0</v>
      </c>
    </row>
    <row r="736" spans="1:6" ht="12.95" hidden="1" customHeight="1" outlineLevel="1">
      <c r="A736" s="33" t="s">
        <v>1095</v>
      </c>
      <c r="B736" s="33">
        <v>925</v>
      </c>
      <c r="C736" s="40" t="str">
        <f t="shared" si="28"/>
        <v>Injuries &amp; Damages925</v>
      </c>
      <c r="D736" s="104">
        <f t="shared" si="29"/>
        <v>-52276.849999999919</v>
      </c>
      <c r="E736" s="186">
        <v>196712.80999999991</v>
      </c>
      <c r="F736" s="186">
        <v>144435.96</v>
      </c>
    </row>
    <row r="737" spans="1:6" ht="12.95" hidden="1" customHeight="1" outlineLevel="1">
      <c r="A737" s="33" t="s">
        <v>1095</v>
      </c>
      <c r="B737" s="33">
        <v>926</v>
      </c>
      <c r="C737" s="40" t="str">
        <f t="shared" si="28"/>
        <v>Injuries &amp; Damages926</v>
      </c>
      <c r="D737" s="104">
        <f t="shared" si="29"/>
        <v>0</v>
      </c>
      <c r="E737" s="186">
        <v>0</v>
      </c>
      <c r="F737" s="186">
        <v>0</v>
      </c>
    </row>
    <row r="738" spans="1:6" ht="12.95" hidden="1" customHeight="1" outlineLevel="1">
      <c r="A738" s="33" t="s">
        <v>1095</v>
      </c>
      <c r="B738" s="33">
        <v>928</v>
      </c>
      <c r="C738" s="40" t="str">
        <f t="shared" si="28"/>
        <v>Injuries &amp; Damages928</v>
      </c>
      <c r="D738" s="104">
        <f t="shared" si="29"/>
        <v>0</v>
      </c>
      <c r="E738" s="186">
        <v>0</v>
      </c>
      <c r="F738" s="186">
        <v>0</v>
      </c>
    </row>
    <row r="739" spans="1:6" ht="12.95" hidden="1" customHeight="1" outlineLevel="1">
      <c r="A739" s="33" t="s">
        <v>1095</v>
      </c>
      <c r="B739" s="33">
        <v>930</v>
      </c>
      <c r="C739" s="40" t="str">
        <f t="shared" si="28"/>
        <v>Injuries &amp; Damages930</v>
      </c>
      <c r="D739" s="104">
        <f t="shared" si="29"/>
        <v>0</v>
      </c>
      <c r="E739" s="186">
        <v>0</v>
      </c>
      <c r="F739" s="186">
        <v>0</v>
      </c>
    </row>
    <row r="740" spans="1:6" ht="12.95" hidden="1" customHeight="1" outlineLevel="1">
      <c r="A740" s="33" t="s">
        <v>1095</v>
      </c>
      <c r="B740" s="33">
        <v>931</v>
      </c>
      <c r="C740" s="40" t="str">
        <f t="shared" si="28"/>
        <v>Injuries &amp; Damages931</v>
      </c>
      <c r="D740" s="104">
        <f t="shared" si="29"/>
        <v>0</v>
      </c>
      <c r="E740" s="186">
        <v>0</v>
      </c>
      <c r="F740" s="186">
        <v>0</v>
      </c>
    </row>
    <row r="741" spans="1:6" ht="12.95" hidden="1" customHeight="1" outlineLevel="1">
      <c r="A741" s="33" t="s">
        <v>1095</v>
      </c>
      <c r="B741" s="33">
        <v>932</v>
      </c>
      <c r="C741" s="40" t="str">
        <f t="shared" si="28"/>
        <v>Injuries &amp; Damages932</v>
      </c>
      <c r="D741" s="104">
        <f t="shared" si="29"/>
        <v>0</v>
      </c>
      <c r="E741" s="186">
        <v>0</v>
      </c>
      <c r="F741" s="186">
        <v>0</v>
      </c>
    </row>
    <row r="742" spans="1:6" ht="12.95" hidden="1" customHeight="1" outlineLevel="1">
      <c r="A742" s="33" t="s">
        <v>1095</v>
      </c>
      <c r="B742" s="33">
        <v>935</v>
      </c>
      <c r="C742" s="40" t="str">
        <f t="shared" si="28"/>
        <v>Injuries &amp; Damages935</v>
      </c>
      <c r="D742" s="104">
        <f t="shared" si="29"/>
        <v>0</v>
      </c>
      <c r="E742" s="186">
        <v>0</v>
      </c>
      <c r="F742" s="186">
        <v>0</v>
      </c>
    </row>
    <row r="743" spans="1:6" s="13" customFormat="1" collapsed="1">
      <c r="A743" s="14" t="s">
        <v>1095</v>
      </c>
      <c r="B743" s="15"/>
      <c r="D743" s="194">
        <f>SUM(D696:D742)</f>
        <v>-52276.849999999919</v>
      </c>
      <c r="E743" s="194">
        <f>SUM(E696:E742)</f>
        <v>196712.80999999991</v>
      </c>
      <c r="F743" s="194">
        <f>SUM(F696:F742)</f>
        <v>144435.96</v>
      </c>
    </row>
    <row r="744" spans="1:6" ht="12.95" hidden="1" customHeight="1" outlineLevel="1">
      <c r="A744" s="33" t="s">
        <v>1096</v>
      </c>
      <c r="B744" s="33">
        <v>801</v>
      </c>
      <c r="C744" s="40" t="str">
        <f t="shared" ref="C744:C790" si="30">A744&amp;B744</f>
        <v>Labor801</v>
      </c>
      <c r="D744" s="104">
        <f t="shared" ref="D744:D790" si="31">+F744-E744</f>
        <v>0</v>
      </c>
      <c r="E744" s="186">
        <v>0</v>
      </c>
      <c r="F744" s="186">
        <v>0</v>
      </c>
    </row>
    <row r="745" spans="1:6" ht="12.95" hidden="1" customHeight="1" outlineLevel="1">
      <c r="A745" s="33" t="s">
        <v>1096</v>
      </c>
      <c r="B745" s="33">
        <v>803</v>
      </c>
      <c r="C745" s="40" t="str">
        <f t="shared" si="30"/>
        <v>Labor803</v>
      </c>
      <c r="D745" s="104">
        <f t="shared" si="31"/>
        <v>0</v>
      </c>
      <c r="E745" s="186">
        <v>0</v>
      </c>
      <c r="F745" s="186">
        <v>0</v>
      </c>
    </row>
    <row r="746" spans="1:6" ht="12.95" hidden="1" customHeight="1" outlineLevel="1">
      <c r="A746" s="33" t="s">
        <v>1096</v>
      </c>
      <c r="B746" s="33">
        <v>804</v>
      </c>
      <c r="C746" s="40" t="str">
        <f t="shared" si="30"/>
        <v>Labor804</v>
      </c>
      <c r="D746" s="104">
        <f t="shared" si="31"/>
        <v>0</v>
      </c>
      <c r="E746" s="186">
        <v>0</v>
      </c>
      <c r="F746" s="186">
        <v>0</v>
      </c>
    </row>
    <row r="747" spans="1:6" ht="12.95" hidden="1" customHeight="1" outlineLevel="1">
      <c r="A747" s="33" t="s">
        <v>1096</v>
      </c>
      <c r="B747" s="33">
        <v>805</v>
      </c>
      <c r="C747" s="40" t="str">
        <f t="shared" si="30"/>
        <v>Labor805</v>
      </c>
      <c r="D747" s="104">
        <f t="shared" si="31"/>
        <v>0</v>
      </c>
      <c r="E747" s="186">
        <v>0</v>
      </c>
      <c r="F747" s="186">
        <v>0</v>
      </c>
    </row>
    <row r="748" spans="1:6" ht="12.95" hidden="1" customHeight="1" outlineLevel="1">
      <c r="A748" s="33" t="s">
        <v>1096</v>
      </c>
      <c r="B748" s="33">
        <v>806</v>
      </c>
      <c r="C748" s="40" t="str">
        <f t="shared" si="30"/>
        <v>Labor806</v>
      </c>
      <c r="D748" s="104">
        <f t="shared" si="31"/>
        <v>0</v>
      </c>
      <c r="E748" s="186">
        <v>0</v>
      </c>
      <c r="F748" s="186">
        <v>0</v>
      </c>
    </row>
    <row r="749" spans="1:6" ht="12.95" hidden="1" customHeight="1" outlineLevel="1">
      <c r="A749" s="33" t="s">
        <v>1096</v>
      </c>
      <c r="B749" s="33">
        <v>807</v>
      </c>
      <c r="C749" s="40" t="str">
        <f t="shared" si="30"/>
        <v>Labor807</v>
      </c>
      <c r="D749" s="104">
        <f t="shared" si="31"/>
        <v>0</v>
      </c>
      <c r="E749" s="186">
        <v>0</v>
      </c>
      <c r="F749" s="186">
        <v>0</v>
      </c>
    </row>
    <row r="750" spans="1:6" ht="12.95" hidden="1" customHeight="1" outlineLevel="1">
      <c r="A750" s="33" t="s">
        <v>1096</v>
      </c>
      <c r="B750" s="33">
        <v>808</v>
      </c>
      <c r="C750" s="40" t="str">
        <f t="shared" si="30"/>
        <v>Labor808</v>
      </c>
      <c r="D750" s="104">
        <f t="shared" si="31"/>
        <v>0</v>
      </c>
      <c r="E750" s="186">
        <v>0</v>
      </c>
      <c r="F750" s="186">
        <v>0</v>
      </c>
    </row>
    <row r="751" spans="1:6" ht="12.95" hidden="1" customHeight="1" outlineLevel="1">
      <c r="A751" s="33" t="s">
        <v>1096</v>
      </c>
      <c r="B751" s="33">
        <v>812</v>
      </c>
      <c r="C751" s="40" t="str">
        <f t="shared" si="30"/>
        <v>Labor812</v>
      </c>
      <c r="D751" s="104">
        <f t="shared" si="31"/>
        <v>0</v>
      </c>
      <c r="E751" s="186">
        <v>0</v>
      </c>
      <c r="F751" s="186">
        <v>0</v>
      </c>
    </row>
    <row r="752" spans="1:6" ht="12.95" hidden="1" customHeight="1" outlineLevel="1">
      <c r="A752" s="33" t="s">
        <v>1096</v>
      </c>
      <c r="B752" s="33">
        <v>870</v>
      </c>
      <c r="C752" s="40" t="str">
        <f t="shared" si="30"/>
        <v>Labor870</v>
      </c>
      <c r="D752" s="104">
        <f t="shared" si="31"/>
        <v>-15647.859999999986</v>
      </c>
      <c r="E752" s="186">
        <v>375079.75</v>
      </c>
      <c r="F752" s="186">
        <v>359431.89</v>
      </c>
    </row>
    <row r="753" spans="1:6" ht="12.95" hidden="1" customHeight="1" outlineLevel="1">
      <c r="A753" s="33" t="s">
        <v>1096</v>
      </c>
      <c r="B753" s="33">
        <v>871</v>
      </c>
      <c r="C753" s="40" t="str">
        <f t="shared" si="30"/>
        <v>Labor871</v>
      </c>
      <c r="D753" s="104">
        <f t="shared" si="31"/>
        <v>4412.8399999999674</v>
      </c>
      <c r="E753" s="186">
        <v>139732.08000000002</v>
      </c>
      <c r="F753" s="186">
        <v>144144.91999999998</v>
      </c>
    </row>
    <row r="754" spans="1:6" ht="12.95" hidden="1" customHeight="1" outlineLevel="1">
      <c r="A754" s="33" t="s">
        <v>1096</v>
      </c>
      <c r="B754" s="33">
        <v>874</v>
      </c>
      <c r="C754" s="40" t="str">
        <f t="shared" si="30"/>
        <v>Labor874</v>
      </c>
      <c r="D754" s="104">
        <f t="shared" si="31"/>
        <v>27485.900000000373</v>
      </c>
      <c r="E754" s="186">
        <v>1890699.6999999997</v>
      </c>
      <c r="F754" s="186">
        <v>1918185.6</v>
      </c>
    </row>
    <row r="755" spans="1:6" ht="12.95" hidden="1" customHeight="1" outlineLevel="1">
      <c r="A755" s="33" t="s">
        <v>1096</v>
      </c>
      <c r="B755" s="33">
        <v>875</v>
      </c>
      <c r="C755" s="40" t="str">
        <f t="shared" si="30"/>
        <v>Labor875</v>
      </c>
      <c r="D755" s="104">
        <f t="shared" si="31"/>
        <v>-14351.699999999983</v>
      </c>
      <c r="E755" s="186">
        <v>168201.87</v>
      </c>
      <c r="F755" s="186">
        <v>153850.17000000001</v>
      </c>
    </row>
    <row r="756" spans="1:6" ht="12.95" hidden="1" customHeight="1" outlineLevel="1">
      <c r="A756" s="33" t="s">
        <v>1096</v>
      </c>
      <c r="B756" s="33">
        <v>876</v>
      </c>
      <c r="C756" s="40" t="str">
        <f t="shared" si="30"/>
        <v>Labor876</v>
      </c>
      <c r="D756" s="104">
        <f t="shared" si="31"/>
        <v>5919.7400000000052</v>
      </c>
      <c r="E756" s="186">
        <v>68394.819999999992</v>
      </c>
      <c r="F756" s="186">
        <v>74314.559999999998</v>
      </c>
    </row>
    <row r="757" spans="1:6" ht="12.95" hidden="1" customHeight="1" outlineLevel="1">
      <c r="A757" s="33" t="s">
        <v>1096</v>
      </c>
      <c r="B757" s="33">
        <v>878</v>
      </c>
      <c r="C757" s="40" t="str">
        <f t="shared" si="30"/>
        <v>Labor878</v>
      </c>
      <c r="D757" s="104">
        <f t="shared" si="31"/>
        <v>-36212.85999999987</v>
      </c>
      <c r="E757" s="186">
        <v>1342830.8499999999</v>
      </c>
      <c r="F757" s="186">
        <v>1306617.99</v>
      </c>
    </row>
    <row r="758" spans="1:6" ht="12.95" hidden="1" customHeight="1" outlineLevel="1">
      <c r="A758" s="33" t="s">
        <v>1096</v>
      </c>
      <c r="B758" s="33">
        <v>879</v>
      </c>
      <c r="C758" s="40" t="str">
        <f t="shared" si="30"/>
        <v>Labor879</v>
      </c>
      <c r="D758" s="104">
        <f t="shared" si="31"/>
        <v>-11161.870000000577</v>
      </c>
      <c r="E758" s="186">
        <v>2239654.7400000002</v>
      </c>
      <c r="F758" s="186">
        <v>2228492.8699999996</v>
      </c>
    </row>
    <row r="759" spans="1:6" ht="12.95" hidden="1" customHeight="1" outlineLevel="1">
      <c r="A759" s="33" t="s">
        <v>1096</v>
      </c>
      <c r="B759" s="33">
        <v>880</v>
      </c>
      <c r="C759" s="40" t="str">
        <f t="shared" si="30"/>
        <v>Labor880</v>
      </c>
      <c r="D759" s="104">
        <f t="shared" si="31"/>
        <v>-24002.030000000028</v>
      </c>
      <c r="E759" s="186">
        <v>558455.73</v>
      </c>
      <c r="F759" s="186">
        <v>534453.69999999995</v>
      </c>
    </row>
    <row r="760" spans="1:6" ht="12.95" hidden="1" customHeight="1" outlineLevel="1">
      <c r="A760" s="33" t="s">
        <v>1096</v>
      </c>
      <c r="B760" s="33">
        <v>881</v>
      </c>
      <c r="C760" s="40" t="str">
        <f t="shared" si="30"/>
        <v>Labor881</v>
      </c>
      <c r="D760" s="104">
        <f t="shared" si="31"/>
        <v>0</v>
      </c>
      <c r="E760" s="186">
        <v>0</v>
      </c>
      <c r="F760" s="186">
        <v>0</v>
      </c>
    </row>
    <row r="761" spans="1:6" ht="12.95" hidden="1" customHeight="1" outlineLevel="1">
      <c r="A761" s="33" t="s">
        <v>1096</v>
      </c>
      <c r="B761" s="33">
        <v>885</v>
      </c>
      <c r="C761" s="40" t="str">
        <f t="shared" si="30"/>
        <v>Labor885</v>
      </c>
      <c r="D761" s="104">
        <f t="shared" si="31"/>
        <v>-2072.7600000000093</v>
      </c>
      <c r="E761" s="186">
        <v>80083.62000000001</v>
      </c>
      <c r="F761" s="186">
        <v>78010.86</v>
      </c>
    </row>
    <row r="762" spans="1:6" ht="12.95" hidden="1" customHeight="1" outlineLevel="1">
      <c r="A762" s="33" t="s">
        <v>1096</v>
      </c>
      <c r="B762" s="33">
        <v>886</v>
      </c>
      <c r="C762" s="40" t="str">
        <f t="shared" si="30"/>
        <v>Labor886</v>
      </c>
      <c r="D762" s="104">
        <f t="shared" si="31"/>
        <v>1005.1899999999996</v>
      </c>
      <c r="E762" s="186">
        <v>3330.2200000000003</v>
      </c>
      <c r="F762" s="186">
        <v>4335.41</v>
      </c>
    </row>
    <row r="763" spans="1:6" ht="12.95" hidden="1" customHeight="1" outlineLevel="1">
      <c r="A763" s="33" t="s">
        <v>1096</v>
      </c>
      <c r="B763" s="33">
        <v>887</v>
      </c>
      <c r="C763" s="40" t="str">
        <f t="shared" si="30"/>
        <v>Labor887</v>
      </c>
      <c r="D763" s="104">
        <f t="shared" si="31"/>
        <v>-21524.100000000093</v>
      </c>
      <c r="E763" s="186">
        <v>1244969.0300000003</v>
      </c>
      <c r="F763" s="186">
        <v>1223444.9300000002</v>
      </c>
    </row>
    <row r="764" spans="1:6" ht="12.95" hidden="1" customHeight="1" outlineLevel="1">
      <c r="A764" s="33" t="s">
        <v>1096</v>
      </c>
      <c r="B764" s="33">
        <v>889</v>
      </c>
      <c r="C764" s="40" t="str">
        <f t="shared" si="30"/>
        <v>Labor889</v>
      </c>
      <c r="D764" s="104">
        <f t="shared" si="31"/>
        <v>104112.77999999997</v>
      </c>
      <c r="E764" s="186">
        <v>288976</v>
      </c>
      <c r="F764" s="186">
        <v>393088.77999999997</v>
      </c>
    </row>
    <row r="765" spans="1:6" ht="12.95" hidden="1" customHeight="1" outlineLevel="1">
      <c r="A765" s="33" t="s">
        <v>1096</v>
      </c>
      <c r="B765" s="33">
        <v>890</v>
      </c>
      <c r="C765" s="40" t="str">
        <f t="shared" si="30"/>
        <v>Labor890</v>
      </c>
      <c r="D765" s="104">
        <f t="shared" si="31"/>
        <v>3323.5900000000038</v>
      </c>
      <c r="E765" s="186">
        <v>51385.99</v>
      </c>
      <c r="F765" s="186">
        <v>54709.58</v>
      </c>
    </row>
    <row r="766" spans="1:6" ht="12.95" hidden="1" customHeight="1" outlineLevel="1">
      <c r="A766" s="33" t="s">
        <v>1096</v>
      </c>
      <c r="B766" s="33">
        <v>892</v>
      </c>
      <c r="C766" s="40" t="str">
        <f t="shared" si="30"/>
        <v>Labor892</v>
      </c>
      <c r="D766" s="104">
        <f t="shared" si="31"/>
        <v>37011.590000000026</v>
      </c>
      <c r="E766" s="186">
        <v>372296.73</v>
      </c>
      <c r="F766" s="186">
        <v>409308.32</v>
      </c>
    </row>
    <row r="767" spans="1:6" ht="12.95" hidden="1" customHeight="1" outlineLevel="1">
      <c r="A767" s="33" t="s">
        <v>1096</v>
      </c>
      <c r="B767" s="33">
        <v>893</v>
      </c>
      <c r="C767" s="40" t="str">
        <f t="shared" si="30"/>
        <v>Labor893</v>
      </c>
      <c r="D767" s="104">
        <f t="shared" si="31"/>
        <v>27203.100000000006</v>
      </c>
      <c r="E767" s="186">
        <v>144882.45000000001</v>
      </c>
      <c r="F767" s="186">
        <v>172085.55000000002</v>
      </c>
    </row>
    <row r="768" spans="1:6" ht="12.95" hidden="1" customHeight="1" outlineLevel="1">
      <c r="A768" s="33" t="s">
        <v>1096</v>
      </c>
      <c r="B768" s="33">
        <v>894</v>
      </c>
      <c r="C768" s="40" t="str">
        <f t="shared" si="30"/>
        <v>Labor894</v>
      </c>
      <c r="D768" s="104">
        <f t="shared" si="31"/>
        <v>-6911.8899999999849</v>
      </c>
      <c r="E768" s="186">
        <v>136573.85999999999</v>
      </c>
      <c r="F768" s="186">
        <v>129661.97</v>
      </c>
    </row>
    <row r="769" spans="1:6" ht="12.95" hidden="1" customHeight="1" outlineLevel="1">
      <c r="A769" s="33" t="s">
        <v>1096</v>
      </c>
      <c r="B769" s="33">
        <v>902</v>
      </c>
      <c r="C769" s="40" t="str">
        <f t="shared" si="30"/>
        <v>Labor902</v>
      </c>
      <c r="D769" s="104">
        <f t="shared" si="31"/>
        <v>-5300.3799999999901</v>
      </c>
      <c r="E769" s="186">
        <v>115166.83</v>
      </c>
      <c r="F769" s="186">
        <v>109866.45000000001</v>
      </c>
    </row>
    <row r="770" spans="1:6" ht="12.95" hidden="1" customHeight="1" outlineLevel="1">
      <c r="A770" s="33" t="s">
        <v>1096</v>
      </c>
      <c r="B770" s="33">
        <v>903</v>
      </c>
      <c r="C770" s="40" t="str">
        <f t="shared" si="30"/>
        <v>Labor903</v>
      </c>
      <c r="D770" s="104">
        <f t="shared" si="31"/>
        <v>-15657.890000000014</v>
      </c>
      <c r="E770" s="186">
        <v>740058.17</v>
      </c>
      <c r="F770" s="186">
        <v>724400.28</v>
      </c>
    </row>
    <row r="771" spans="1:6" ht="12.95" hidden="1" customHeight="1" outlineLevel="1">
      <c r="A771" s="33" t="s">
        <v>1096</v>
      </c>
      <c r="B771" s="33">
        <v>904</v>
      </c>
      <c r="C771" s="40" t="str">
        <f t="shared" si="30"/>
        <v>Labor904</v>
      </c>
      <c r="D771" s="104">
        <f t="shared" si="31"/>
        <v>0</v>
      </c>
      <c r="E771" s="186">
        <v>0</v>
      </c>
      <c r="F771" s="186">
        <v>0</v>
      </c>
    </row>
    <row r="772" spans="1:6" ht="12.95" hidden="1" customHeight="1" outlineLevel="1">
      <c r="A772" s="33" t="s">
        <v>1096</v>
      </c>
      <c r="B772" s="33">
        <v>905</v>
      </c>
      <c r="C772" s="40" t="str">
        <f t="shared" si="30"/>
        <v>Labor905</v>
      </c>
      <c r="D772" s="104">
        <f t="shared" si="31"/>
        <v>0</v>
      </c>
      <c r="E772" s="186">
        <v>0</v>
      </c>
      <c r="F772" s="186">
        <v>0</v>
      </c>
    </row>
    <row r="773" spans="1:6" ht="12.95" hidden="1" customHeight="1" outlineLevel="1">
      <c r="A773" s="33" t="s">
        <v>1096</v>
      </c>
      <c r="B773" s="33">
        <v>907</v>
      </c>
      <c r="C773" s="40" t="str">
        <f t="shared" si="30"/>
        <v>Labor907</v>
      </c>
      <c r="D773" s="104">
        <f t="shared" si="31"/>
        <v>0</v>
      </c>
      <c r="E773" s="186">
        <v>0</v>
      </c>
      <c r="F773" s="186">
        <v>0</v>
      </c>
    </row>
    <row r="774" spans="1:6" ht="12.95" hidden="1" customHeight="1" outlineLevel="1">
      <c r="A774" s="33" t="s">
        <v>1096</v>
      </c>
      <c r="B774" s="33">
        <v>908</v>
      </c>
      <c r="C774" s="40" t="str">
        <f t="shared" si="30"/>
        <v>Labor908</v>
      </c>
      <c r="D774" s="104">
        <f t="shared" si="31"/>
        <v>0</v>
      </c>
      <c r="E774" s="186">
        <v>0</v>
      </c>
      <c r="F774" s="186">
        <v>0</v>
      </c>
    </row>
    <row r="775" spans="1:6" ht="12.95" hidden="1" customHeight="1" outlineLevel="1">
      <c r="A775" s="33" t="s">
        <v>1096</v>
      </c>
      <c r="B775" s="33">
        <v>909</v>
      </c>
      <c r="C775" s="40" t="str">
        <f t="shared" si="30"/>
        <v>Labor909</v>
      </c>
      <c r="D775" s="104">
        <f t="shared" si="31"/>
        <v>0</v>
      </c>
      <c r="E775" s="186">
        <v>0</v>
      </c>
      <c r="F775" s="186">
        <v>0</v>
      </c>
    </row>
    <row r="776" spans="1:6" ht="12.95" hidden="1" customHeight="1" outlineLevel="1">
      <c r="A776" s="33" t="s">
        <v>1096</v>
      </c>
      <c r="B776" s="33">
        <v>910</v>
      </c>
      <c r="C776" s="40" t="str">
        <f t="shared" si="30"/>
        <v>Labor910</v>
      </c>
      <c r="D776" s="104">
        <f t="shared" si="31"/>
        <v>0</v>
      </c>
      <c r="E776" s="186">
        <v>0</v>
      </c>
      <c r="F776" s="186">
        <v>0</v>
      </c>
    </row>
    <row r="777" spans="1:6" ht="12.95" hidden="1" customHeight="1" outlineLevel="1">
      <c r="A777" s="33" t="s">
        <v>1096</v>
      </c>
      <c r="B777" s="33">
        <v>911</v>
      </c>
      <c r="C777" s="40" t="str">
        <f t="shared" si="30"/>
        <v>Labor911</v>
      </c>
      <c r="D777" s="104">
        <f t="shared" si="31"/>
        <v>0</v>
      </c>
      <c r="E777" s="186">
        <v>0</v>
      </c>
      <c r="F777" s="186">
        <v>0</v>
      </c>
    </row>
    <row r="778" spans="1:6" ht="12.95" hidden="1" customHeight="1" outlineLevel="1">
      <c r="A778" s="33" t="s">
        <v>1096</v>
      </c>
      <c r="B778" s="33">
        <v>912</v>
      </c>
      <c r="C778" s="40" t="str">
        <f t="shared" si="30"/>
        <v>Labor912</v>
      </c>
      <c r="D778" s="104">
        <f t="shared" si="31"/>
        <v>0</v>
      </c>
      <c r="E778" s="186">
        <v>0</v>
      </c>
      <c r="F778" s="186">
        <v>0</v>
      </c>
    </row>
    <row r="779" spans="1:6" ht="12.95" hidden="1" customHeight="1" outlineLevel="1">
      <c r="A779" s="33" t="s">
        <v>1096</v>
      </c>
      <c r="B779" s="33">
        <v>913</v>
      </c>
      <c r="C779" s="40" t="str">
        <f t="shared" si="30"/>
        <v>Labor913</v>
      </c>
      <c r="D779" s="104">
        <f t="shared" si="31"/>
        <v>0</v>
      </c>
      <c r="E779" s="186">
        <v>0</v>
      </c>
      <c r="F779" s="186">
        <v>0</v>
      </c>
    </row>
    <row r="780" spans="1:6" ht="12.95" hidden="1" customHeight="1" outlineLevel="1">
      <c r="A780" s="33" t="s">
        <v>1096</v>
      </c>
      <c r="B780" s="33">
        <v>920</v>
      </c>
      <c r="C780" s="40" t="str">
        <f t="shared" si="30"/>
        <v>Labor920</v>
      </c>
      <c r="D780" s="104">
        <f t="shared" si="31"/>
        <v>-8174.4500000001863</v>
      </c>
      <c r="E780" s="186">
        <v>1536264.8399999999</v>
      </c>
      <c r="F780" s="186">
        <v>1528090.3899999997</v>
      </c>
    </row>
    <row r="781" spans="1:6" ht="12.95" hidden="1" customHeight="1" outlineLevel="1">
      <c r="A781" s="33" t="s">
        <v>1096</v>
      </c>
      <c r="B781" s="33">
        <v>921</v>
      </c>
      <c r="C781" s="40" t="str">
        <f t="shared" si="30"/>
        <v>Labor921</v>
      </c>
      <c r="D781" s="104">
        <f t="shared" si="31"/>
        <v>0</v>
      </c>
      <c r="E781" s="186">
        <v>0</v>
      </c>
      <c r="F781" s="186">
        <v>0</v>
      </c>
    </row>
    <row r="782" spans="1:6" ht="12.95" hidden="1" customHeight="1" outlineLevel="1">
      <c r="A782" s="33" t="s">
        <v>1096</v>
      </c>
      <c r="B782" s="33">
        <v>923</v>
      </c>
      <c r="C782" s="40" t="str">
        <f t="shared" si="30"/>
        <v>Labor923</v>
      </c>
      <c r="D782" s="104">
        <f t="shared" si="31"/>
        <v>0</v>
      </c>
      <c r="E782" s="186">
        <v>0</v>
      </c>
      <c r="F782" s="186">
        <v>0</v>
      </c>
    </row>
    <row r="783" spans="1:6" ht="12.95" hidden="1" customHeight="1" outlineLevel="1">
      <c r="A783" s="33" t="s">
        <v>1096</v>
      </c>
      <c r="B783" s="33">
        <v>924</v>
      </c>
      <c r="C783" s="40" t="str">
        <f t="shared" si="30"/>
        <v>Labor924</v>
      </c>
      <c r="D783" s="104">
        <f t="shared" si="31"/>
        <v>0</v>
      </c>
      <c r="E783" s="186">
        <v>0</v>
      </c>
      <c r="F783" s="186">
        <v>0</v>
      </c>
    </row>
    <row r="784" spans="1:6" ht="12.95" hidden="1" customHeight="1" outlineLevel="1">
      <c r="A784" s="33" t="s">
        <v>1096</v>
      </c>
      <c r="B784" s="33">
        <v>925</v>
      </c>
      <c r="C784" s="40" t="str">
        <f t="shared" si="30"/>
        <v>Labor925</v>
      </c>
      <c r="D784" s="104">
        <f t="shared" si="31"/>
        <v>0</v>
      </c>
      <c r="E784" s="186">
        <v>0</v>
      </c>
      <c r="F784" s="186">
        <v>0</v>
      </c>
    </row>
    <row r="785" spans="1:6" ht="12.95" hidden="1" customHeight="1" outlineLevel="1">
      <c r="A785" s="33" t="s">
        <v>1096</v>
      </c>
      <c r="B785" s="33">
        <v>926</v>
      </c>
      <c r="C785" s="40" t="str">
        <f t="shared" si="30"/>
        <v>Labor926</v>
      </c>
      <c r="D785" s="104">
        <f t="shared" si="31"/>
        <v>0</v>
      </c>
      <c r="E785" s="186">
        <v>0</v>
      </c>
      <c r="F785" s="186">
        <v>0</v>
      </c>
    </row>
    <row r="786" spans="1:6" ht="12.95" hidden="1" customHeight="1" outlineLevel="1">
      <c r="A786" s="33" t="s">
        <v>1096</v>
      </c>
      <c r="B786" s="33">
        <v>928</v>
      </c>
      <c r="C786" s="40" t="str">
        <f t="shared" si="30"/>
        <v>Labor928</v>
      </c>
      <c r="D786" s="104">
        <f t="shared" si="31"/>
        <v>0</v>
      </c>
      <c r="E786" s="186">
        <v>0</v>
      </c>
      <c r="F786" s="186">
        <v>0</v>
      </c>
    </row>
    <row r="787" spans="1:6" ht="12.95" hidden="1" customHeight="1" outlineLevel="1">
      <c r="A787" s="33" t="s">
        <v>1096</v>
      </c>
      <c r="B787" s="33">
        <v>930</v>
      </c>
      <c r="C787" s="40" t="str">
        <f t="shared" si="30"/>
        <v>Labor930</v>
      </c>
      <c r="D787" s="104">
        <f t="shared" si="31"/>
        <v>0</v>
      </c>
      <c r="E787" s="186">
        <v>0</v>
      </c>
      <c r="F787" s="186">
        <v>0</v>
      </c>
    </row>
    <row r="788" spans="1:6" ht="12.95" hidden="1" customHeight="1" outlineLevel="1">
      <c r="A788" s="33" t="s">
        <v>1096</v>
      </c>
      <c r="B788" s="33">
        <v>931</v>
      </c>
      <c r="C788" s="40" t="str">
        <f t="shared" si="30"/>
        <v>Labor931</v>
      </c>
      <c r="D788" s="104">
        <f t="shared" si="31"/>
        <v>0</v>
      </c>
      <c r="E788" s="186">
        <v>0</v>
      </c>
      <c r="F788" s="186">
        <v>0</v>
      </c>
    </row>
    <row r="789" spans="1:6" ht="12.95" hidden="1" customHeight="1" outlineLevel="1">
      <c r="A789" s="33" t="s">
        <v>1096</v>
      </c>
      <c r="B789" s="33">
        <v>932</v>
      </c>
      <c r="C789" s="40" t="str">
        <f t="shared" si="30"/>
        <v>Labor932</v>
      </c>
      <c r="D789" s="104">
        <f t="shared" si="31"/>
        <v>0</v>
      </c>
      <c r="E789" s="186">
        <v>0</v>
      </c>
      <c r="F789" s="186">
        <v>0</v>
      </c>
    </row>
    <row r="790" spans="1:6" ht="12.95" hidden="1" customHeight="1" outlineLevel="1">
      <c r="A790" s="33" t="s">
        <v>1096</v>
      </c>
      <c r="B790" s="33">
        <v>935</v>
      </c>
      <c r="C790" s="40" t="str">
        <f t="shared" si="30"/>
        <v>Labor935</v>
      </c>
      <c r="D790" s="104">
        <f t="shared" si="31"/>
        <v>0</v>
      </c>
      <c r="E790" s="186">
        <v>0</v>
      </c>
      <c r="F790" s="186">
        <v>0</v>
      </c>
    </row>
    <row r="791" spans="1:6" s="13" customFormat="1" collapsed="1">
      <c r="A791" s="14" t="s">
        <v>1096</v>
      </c>
      <c r="B791" s="15"/>
      <c r="D791" s="194">
        <f>SUM(D744:D790)</f>
        <v>49456.939999999639</v>
      </c>
      <c r="E791" s="194">
        <f>SUM(E744:E790)</f>
        <v>11497037.279999999</v>
      </c>
      <c r="F791" s="194">
        <f>SUM(F744:F790)</f>
        <v>11546494.219999999</v>
      </c>
    </row>
    <row r="792" spans="1:6" ht="12.95" hidden="1" customHeight="1" outlineLevel="1">
      <c r="A792" s="33" t="s">
        <v>1099</v>
      </c>
      <c r="B792" s="33">
        <v>801</v>
      </c>
      <c r="C792" s="40" t="str">
        <f t="shared" ref="C792:C838" si="32">A792&amp;B792</f>
        <v>Legal Fees801</v>
      </c>
      <c r="D792" s="104">
        <f t="shared" ref="D792:D838" si="33">+F792-E792</f>
        <v>0</v>
      </c>
      <c r="E792" s="186">
        <v>0</v>
      </c>
      <c r="F792" s="186">
        <v>0</v>
      </c>
    </row>
    <row r="793" spans="1:6" ht="12.95" hidden="1" customHeight="1" outlineLevel="1">
      <c r="A793" s="33" t="s">
        <v>1099</v>
      </c>
      <c r="B793" s="33">
        <v>803</v>
      </c>
      <c r="C793" s="40" t="str">
        <f t="shared" si="32"/>
        <v>Legal Fees803</v>
      </c>
      <c r="D793" s="104">
        <f t="shared" si="33"/>
        <v>0</v>
      </c>
      <c r="E793" s="186">
        <v>0</v>
      </c>
      <c r="F793" s="186">
        <v>0</v>
      </c>
    </row>
    <row r="794" spans="1:6" ht="12.95" hidden="1" customHeight="1" outlineLevel="1">
      <c r="A794" s="33" t="s">
        <v>1099</v>
      </c>
      <c r="B794" s="33">
        <v>804</v>
      </c>
      <c r="C794" s="40" t="str">
        <f t="shared" si="32"/>
        <v>Legal Fees804</v>
      </c>
      <c r="D794" s="104">
        <f t="shared" si="33"/>
        <v>0</v>
      </c>
      <c r="E794" s="186">
        <v>0</v>
      </c>
      <c r="F794" s="186">
        <v>0</v>
      </c>
    </row>
    <row r="795" spans="1:6" ht="12.95" hidden="1" customHeight="1" outlineLevel="1">
      <c r="A795" s="33" t="s">
        <v>1099</v>
      </c>
      <c r="B795" s="33">
        <v>805</v>
      </c>
      <c r="C795" s="40" t="str">
        <f t="shared" si="32"/>
        <v>Legal Fees805</v>
      </c>
      <c r="D795" s="104">
        <f t="shared" si="33"/>
        <v>0</v>
      </c>
      <c r="E795" s="186">
        <v>0</v>
      </c>
      <c r="F795" s="186">
        <v>0</v>
      </c>
    </row>
    <row r="796" spans="1:6" ht="12.95" hidden="1" customHeight="1" outlineLevel="1">
      <c r="A796" s="33" t="s">
        <v>1099</v>
      </c>
      <c r="B796" s="33">
        <v>806</v>
      </c>
      <c r="C796" s="40" t="str">
        <f t="shared" si="32"/>
        <v>Legal Fees806</v>
      </c>
      <c r="D796" s="104">
        <f t="shared" si="33"/>
        <v>0</v>
      </c>
      <c r="E796" s="186">
        <v>0</v>
      </c>
      <c r="F796" s="186">
        <v>0</v>
      </c>
    </row>
    <row r="797" spans="1:6" ht="12.95" hidden="1" customHeight="1" outlineLevel="1">
      <c r="A797" s="33" t="s">
        <v>1099</v>
      </c>
      <c r="B797" s="33">
        <v>807</v>
      </c>
      <c r="C797" s="40" t="str">
        <f t="shared" si="32"/>
        <v>Legal Fees807</v>
      </c>
      <c r="D797" s="104">
        <f t="shared" si="33"/>
        <v>0</v>
      </c>
      <c r="E797" s="186">
        <v>0</v>
      </c>
      <c r="F797" s="186">
        <v>0</v>
      </c>
    </row>
    <row r="798" spans="1:6" ht="12.95" hidden="1" customHeight="1" outlineLevel="1">
      <c r="A798" s="33" t="s">
        <v>1099</v>
      </c>
      <c r="B798" s="33">
        <v>808</v>
      </c>
      <c r="C798" s="40" t="str">
        <f t="shared" si="32"/>
        <v>Legal Fees808</v>
      </c>
      <c r="D798" s="104">
        <f t="shared" si="33"/>
        <v>0</v>
      </c>
      <c r="E798" s="186">
        <v>0</v>
      </c>
      <c r="F798" s="186">
        <v>0</v>
      </c>
    </row>
    <row r="799" spans="1:6" ht="12.95" hidden="1" customHeight="1" outlineLevel="1">
      <c r="A799" s="33" t="s">
        <v>1099</v>
      </c>
      <c r="B799" s="33">
        <v>812</v>
      </c>
      <c r="C799" s="40" t="str">
        <f t="shared" si="32"/>
        <v>Legal Fees812</v>
      </c>
      <c r="D799" s="104">
        <f t="shared" si="33"/>
        <v>0</v>
      </c>
      <c r="E799" s="186">
        <v>0</v>
      </c>
      <c r="F799" s="186">
        <v>0</v>
      </c>
    </row>
    <row r="800" spans="1:6" ht="12.95" hidden="1" customHeight="1" outlineLevel="1">
      <c r="A800" s="33" t="s">
        <v>1099</v>
      </c>
      <c r="B800" s="33">
        <v>870</v>
      </c>
      <c r="C800" s="40" t="str">
        <f t="shared" si="32"/>
        <v>Legal Fees870</v>
      </c>
      <c r="D800" s="104">
        <f t="shared" si="33"/>
        <v>0</v>
      </c>
      <c r="E800" s="186">
        <v>0</v>
      </c>
      <c r="F800" s="186">
        <v>0</v>
      </c>
    </row>
    <row r="801" spans="1:6" ht="12.95" hidden="1" customHeight="1" outlineLevel="1">
      <c r="A801" s="33" t="s">
        <v>1099</v>
      </c>
      <c r="B801" s="33">
        <v>871</v>
      </c>
      <c r="C801" s="40" t="str">
        <f t="shared" si="32"/>
        <v>Legal Fees871</v>
      </c>
      <c r="D801" s="104">
        <f t="shared" si="33"/>
        <v>0</v>
      </c>
      <c r="E801" s="186">
        <v>0</v>
      </c>
      <c r="F801" s="186">
        <v>0</v>
      </c>
    </row>
    <row r="802" spans="1:6" ht="12.95" hidden="1" customHeight="1" outlineLevel="1">
      <c r="A802" s="33" t="s">
        <v>1099</v>
      </c>
      <c r="B802" s="33">
        <v>874</v>
      </c>
      <c r="C802" s="40" t="str">
        <f t="shared" si="32"/>
        <v>Legal Fees874</v>
      </c>
      <c r="D802" s="104">
        <f t="shared" si="33"/>
        <v>0</v>
      </c>
      <c r="E802" s="186">
        <v>0</v>
      </c>
      <c r="F802" s="186">
        <v>0</v>
      </c>
    </row>
    <row r="803" spans="1:6" ht="12.95" hidden="1" customHeight="1" outlineLevel="1">
      <c r="A803" s="33" t="s">
        <v>1099</v>
      </c>
      <c r="B803" s="33">
        <v>875</v>
      </c>
      <c r="C803" s="40" t="str">
        <f t="shared" si="32"/>
        <v>Legal Fees875</v>
      </c>
      <c r="D803" s="104">
        <f t="shared" si="33"/>
        <v>0</v>
      </c>
      <c r="E803" s="186">
        <v>0</v>
      </c>
      <c r="F803" s="186">
        <v>0</v>
      </c>
    </row>
    <row r="804" spans="1:6" ht="12.95" hidden="1" customHeight="1" outlineLevel="1">
      <c r="A804" s="33" t="s">
        <v>1099</v>
      </c>
      <c r="B804" s="33">
        <v>876</v>
      </c>
      <c r="C804" s="40" t="str">
        <f t="shared" si="32"/>
        <v>Legal Fees876</v>
      </c>
      <c r="D804" s="104">
        <f t="shared" si="33"/>
        <v>0</v>
      </c>
      <c r="E804" s="186">
        <v>0</v>
      </c>
      <c r="F804" s="186">
        <v>0</v>
      </c>
    </row>
    <row r="805" spans="1:6" ht="12.95" hidden="1" customHeight="1" outlineLevel="1">
      <c r="A805" s="33" t="s">
        <v>1099</v>
      </c>
      <c r="B805" s="33">
        <v>878</v>
      </c>
      <c r="C805" s="40" t="str">
        <f t="shared" si="32"/>
        <v>Legal Fees878</v>
      </c>
      <c r="D805" s="104">
        <f t="shared" si="33"/>
        <v>0</v>
      </c>
      <c r="E805" s="186">
        <v>0</v>
      </c>
      <c r="F805" s="186">
        <v>0</v>
      </c>
    </row>
    <row r="806" spans="1:6" ht="12.95" hidden="1" customHeight="1" outlineLevel="1">
      <c r="A806" s="33" t="s">
        <v>1099</v>
      </c>
      <c r="B806" s="33">
        <v>879</v>
      </c>
      <c r="C806" s="40" t="str">
        <f t="shared" si="32"/>
        <v>Legal Fees879</v>
      </c>
      <c r="D806" s="104">
        <f t="shared" si="33"/>
        <v>0</v>
      </c>
      <c r="E806" s="186">
        <v>0</v>
      </c>
      <c r="F806" s="186">
        <v>0</v>
      </c>
    </row>
    <row r="807" spans="1:6" ht="12.95" hidden="1" customHeight="1" outlineLevel="1">
      <c r="A807" s="33" t="s">
        <v>1099</v>
      </c>
      <c r="B807" s="33">
        <v>880</v>
      </c>
      <c r="C807" s="40" t="str">
        <f t="shared" si="32"/>
        <v>Legal Fees880</v>
      </c>
      <c r="D807" s="104">
        <f t="shared" si="33"/>
        <v>0</v>
      </c>
      <c r="E807" s="186">
        <v>0</v>
      </c>
      <c r="F807" s="186">
        <v>0</v>
      </c>
    </row>
    <row r="808" spans="1:6" ht="12.95" hidden="1" customHeight="1" outlineLevel="1">
      <c r="A808" s="33" t="s">
        <v>1099</v>
      </c>
      <c r="B808" s="33">
        <v>881</v>
      </c>
      <c r="C808" s="40" t="str">
        <f t="shared" si="32"/>
        <v>Legal Fees881</v>
      </c>
      <c r="D808" s="104">
        <f t="shared" si="33"/>
        <v>0</v>
      </c>
      <c r="E808" s="186">
        <v>0</v>
      </c>
      <c r="F808" s="186">
        <v>0</v>
      </c>
    </row>
    <row r="809" spans="1:6" ht="12.95" hidden="1" customHeight="1" outlineLevel="1">
      <c r="A809" s="33" t="s">
        <v>1099</v>
      </c>
      <c r="B809" s="33">
        <v>885</v>
      </c>
      <c r="C809" s="40" t="str">
        <f t="shared" si="32"/>
        <v>Legal Fees885</v>
      </c>
      <c r="D809" s="104">
        <f t="shared" si="33"/>
        <v>0</v>
      </c>
      <c r="E809" s="186">
        <v>0</v>
      </c>
      <c r="F809" s="186">
        <v>0</v>
      </c>
    </row>
    <row r="810" spans="1:6" ht="12.95" hidden="1" customHeight="1" outlineLevel="1">
      <c r="A810" s="33" t="s">
        <v>1099</v>
      </c>
      <c r="B810" s="33">
        <v>886</v>
      </c>
      <c r="C810" s="40" t="str">
        <f t="shared" si="32"/>
        <v>Legal Fees886</v>
      </c>
      <c r="D810" s="104">
        <f t="shared" si="33"/>
        <v>0</v>
      </c>
      <c r="E810" s="186">
        <v>0</v>
      </c>
      <c r="F810" s="186">
        <v>0</v>
      </c>
    </row>
    <row r="811" spans="1:6" ht="12.95" hidden="1" customHeight="1" outlineLevel="1">
      <c r="A811" s="33" t="s">
        <v>1099</v>
      </c>
      <c r="B811" s="33">
        <v>887</v>
      </c>
      <c r="C811" s="40" t="str">
        <f t="shared" si="32"/>
        <v>Legal Fees887</v>
      </c>
      <c r="D811" s="104">
        <f t="shared" si="33"/>
        <v>0</v>
      </c>
      <c r="E811" s="186">
        <v>0</v>
      </c>
      <c r="F811" s="186">
        <v>0</v>
      </c>
    </row>
    <row r="812" spans="1:6" ht="12.95" hidden="1" customHeight="1" outlineLevel="1">
      <c r="A812" s="33" t="s">
        <v>1099</v>
      </c>
      <c r="B812" s="33">
        <v>889</v>
      </c>
      <c r="C812" s="40" t="str">
        <f t="shared" si="32"/>
        <v>Legal Fees889</v>
      </c>
      <c r="D812" s="104">
        <f t="shared" si="33"/>
        <v>0</v>
      </c>
      <c r="E812" s="186">
        <v>0</v>
      </c>
      <c r="F812" s="186">
        <v>0</v>
      </c>
    </row>
    <row r="813" spans="1:6" ht="12.95" hidden="1" customHeight="1" outlineLevel="1">
      <c r="A813" s="33" t="s">
        <v>1099</v>
      </c>
      <c r="B813" s="33">
        <v>890</v>
      </c>
      <c r="C813" s="40" t="str">
        <f t="shared" si="32"/>
        <v>Legal Fees890</v>
      </c>
      <c r="D813" s="104">
        <f t="shared" si="33"/>
        <v>0</v>
      </c>
      <c r="E813" s="186">
        <v>0</v>
      </c>
      <c r="F813" s="186">
        <v>0</v>
      </c>
    </row>
    <row r="814" spans="1:6" ht="12.95" hidden="1" customHeight="1" outlineLevel="1">
      <c r="A814" s="33" t="s">
        <v>1099</v>
      </c>
      <c r="B814" s="33">
        <v>892</v>
      </c>
      <c r="C814" s="40" t="str">
        <f t="shared" si="32"/>
        <v>Legal Fees892</v>
      </c>
      <c r="D814" s="104">
        <f t="shared" si="33"/>
        <v>0</v>
      </c>
      <c r="E814" s="186">
        <v>0</v>
      </c>
      <c r="F814" s="186">
        <v>0</v>
      </c>
    </row>
    <row r="815" spans="1:6" ht="12.95" hidden="1" customHeight="1" outlineLevel="1">
      <c r="A815" s="33" t="s">
        <v>1099</v>
      </c>
      <c r="B815" s="33">
        <v>893</v>
      </c>
      <c r="C815" s="40" t="str">
        <f t="shared" si="32"/>
        <v>Legal Fees893</v>
      </c>
      <c r="D815" s="104">
        <f t="shared" si="33"/>
        <v>0</v>
      </c>
      <c r="E815" s="186">
        <v>0</v>
      </c>
      <c r="F815" s="186">
        <v>0</v>
      </c>
    </row>
    <row r="816" spans="1:6" ht="12.95" hidden="1" customHeight="1" outlineLevel="1">
      <c r="A816" s="33" t="s">
        <v>1099</v>
      </c>
      <c r="B816" s="33">
        <v>894</v>
      </c>
      <c r="C816" s="40" t="str">
        <f t="shared" si="32"/>
        <v>Legal Fees894</v>
      </c>
      <c r="D816" s="104">
        <f t="shared" si="33"/>
        <v>0</v>
      </c>
      <c r="E816" s="186">
        <v>0</v>
      </c>
      <c r="F816" s="186">
        <v>0</v>
      </c>
    </row>
    <row r="817" spans="1:6" ht="12.95" hidden="1" customHeight="1" outlineLevel="1">
      <c r="A817" s="33" t="s">
        <v>1099</v>
      </c>
      <c r="B817" s="33">
        <v>902</v>
      </c>
      <c r="C817" s="40" t="str">
        <f t="shared" si="32"/>
        <v>Legal Fees902</v>
      </c>
      <c r="D817" s="104">
        <f t="shared" si="33"/>
        <v>0</v>
      </c>
      <c r="E817" s="186">
        <v>0</v>
      </c>
      <c r="F817" s="186">
        <v>0</v>
      </c>
    </row>
    <row r="818" spans="1:6" ht="12.95" hidden="1" customHeight="1" outlineLevel="1">
      <c r="A818" s="33" t="s">
        <v>1099</v>
      </c>
      <c r="B818" s="33">
        <v>903</v>
      </c>
      <c r="C818" s="40" t="str">
        <f t="shared" si="32"/>
        <v>Legal Fees903</v>
      </c>
      <c r="D818" s="104">
        <f t="shared" si="33"/>
        <v>0</v>
      </c>
      <c r="E818" s="186">
        <v>0</v>
      </c>
      <c r="F818" s="186">
        <v>0</v>
      </c>
    </row>
    <row r="819" spans="1:6" ht="12.95" hidden="1" customHeight="1" outlineLevel="1">
      <c r="A819" s="33" t="s">
        <v>1099</v>
      </c>
      <c r="B819" s="33">
        <v>904</v>
      </c>
      <c r="C819" s="40" t="str">
        <f t="shared" si="32"/>
        <v>Legal Fees904</v>
      </c>
      <c r="D819" s="104">
        <f t="shared" si="33"/>
        <v>0</v>
      </c>
      <c r="E819" s="186">
        <v>0</v>
      </c>
      <c r="F819" s="186">
        <v>0</v>
      </c>
    </row>
    <row r="820" spans="1:6" ht="12.95" hidden="1" customHeight="1" outlineLevel="1">
      <c r="A820" s="33" t="s">
        <v>1099</v>
      </c>
      <c r="B820" s="33">
        <v>905</v>
      </c>
      <c r="C820" s="40" t="str">
        <f t="shared" si="32"/>
        <v>Legal Fees905</v>
      </c>
      <c r="D820" s="104">
        <f t="shared" si="33"/>
        <v>0</v>
      </c>
      <c r="E820" s="186">
        <v>0</v>
      </c>
      <c r="F820" s="186">
        <v>0</v>
      </c>
    </row>
    <row r="821" spans="1:6" ht="12.95" hidden="1" customHeight="1" outlineLevel="1">
      <c r="A821" s="33" t="s">
        <v>1099</v>
      </c>
      <c r="B821" s="33">
        <v>907</v>
      </c>
      <c r="C821" s="40" t="str">
        <f t="shared" si="32"/>
        <v>Legal Fees907</v>
      </c>
      <c r="D821" s="104">
        <f t="shared" si="33"/>
        <v>0</v>
      </c>
      <c r="E821" s="186">
        <v>0</v>
      </c>
      <c r="F821" s="186">
        <v>0</v>
      </c>
    </row>
    <row r="822" spans="1:6" ht="12.95" hidden="1" customHeight="1" outlineLevel="1">
      <c r="A822" s="33" t="s">
        <v>1099</v>
      </c>
      <c r="B822" s="33">
        <v>908</v>
      </c>
      <c r="C822" s="40" t="str">
        <f t="shared" si="32"/>
        <v>Legal Fees908</v>
      </c>
      <c r="D822" s="104">
        <f t="shared" si="33"/>
        <v>0</v>
      </c>
      <c r="E822" s="186">
        <v>0</v>
      </c>
      <c r="F822" s="186">
        <v>0</v>
      </c>
    </row>
    <row r="823" spans="1:6" ht="12.95" hidden="1" customHeight="1" outlineLevel="1">
      <c r="A823" s="33" t="s">
        <v>1099</v>
      </c>
      <c r="B823" s="33">
        <v>909</v>
      </c>
      <c r="C823" s="40" t="str">
        <f t="shared" si="32"/>
        <v>Legal Fees909</v>
      </c>
      <c r="D823" s="104">
        <f t="shared" si="33"/>
        <v>0</v>
      </c>
      <c r="E823" s="186">
        <v>0</v>
      </c>
      <c r="F823" s="186">
        <v>0</v>
      </c>
    </row>
    <row r="824" spans="1:6" ht="12.95" hidden="1" customHeight="1" outlineLevel="1">
      <c r="A824" s="33" t="s">
        <v>1099</v>
      </c>
      <c r="B824" s="33">
        <v>910</v>
      </c>
      <c r="C824" s="40" t="str">
        <f t="shared" si="32"/>
        <v>Legal Fees910</v>
      </c>
      <c r="D824" s="104">
        <f t="shared" si="33"/>
        <v>0</v>
      </c>
      <c r="E824" s="186">
        <v>0</v>
      </c>
      <c r="F824" s="186">
        <v>0</v>
      </c>
    </row>
    <row r="825" spans="1:6" ht="12.95" hidden="1" customHeight="1" outlineLevel="1">
      <c r="A825" s="33" t="s">
        <v>1099</v>
      </c>
      <c r="B825" s="33">
        <v>911</v>
      </c>
      <c r="C825" s="40" t="str">
        <f t="shared" si="32"/>
        <v>Legal Fees911</v>
      </c>
      <c r="D825" s="104">
        <f t="shared" si="33"/>
        <v>0</v>
      </c>
      <c r="E825" s="186">
        <v>0</v>
      </c>
      <c r="F825" s="186">
        <v>0</v>
      </c>
    </row>
    <row r="826" spans="1:6" ht="12.95" hidden="1" customHeight="1" outlineLevel="1">
      <c r="A826" s="33" t="s">
        <v>1099</v>
      </c>
      <c r="B826" s="33">
        <v>912</v>
      </c>
      <c r="C826" s="40" t="str">
        <f t="shared" si="32"/>
        <v>Legal Fees912</v>
      </c>
      <c r="D826" s="104">
        <f t="shared" si="33"/>
        <v>0</v>
      </c>
      <c r="E826" s="186">
        <v>0</v>
      </c>
      <c r="F826" s="186">
        <v>0</v>
      </c>
    </row>
    <row r="827" spans="1:6" ht="12.95" hidden="1" customHeight="1" outlineLevel="1">
      <c r="A827" s="33" t="s">
        <v>1099</v>
      </c>
      <c r="B827" s="33">
        <v>913</v>
      </c>
      <c r="C827" s="40" t="str">
        <f t="shared" si="32"/>
        <v>Legal Fees913</v>
      </c>
      <c r="D827" s="104">
        <f t="shared" si="33"/>
        <v>0</v>
      </c>
      <c r="E827" s="186">
        <v>0</v>
      </c>
      <c r="F827" s="186">
        <v>0</v>
      </c>
    </row>
    <row r="828" spans="1:6" ht="12.95" hidden="1" customHeight="1" outlineLevel="1">
      <c r="A828" s="33" t="s">
        <v>1099</v>
      </c>
      <c r="B828" s="33">
        <v>920</v>
      </c>
      <c r="C828" s="40" t="str">
        <f t="shared" si="32"/>
        <v>Legal Fees920</v>
      </c>
      <c r="D828" s="104">
        <f t="shared" si="33"/>
        <v>0</v>
      </c>
      <c r="E828" s="186">
        <v>0</v>
      </c>
      <c r="F828" s="186">
        <v>0</v>
      </c>
    </row>
    <row r="829" spans="1:6" ht="12.95" hidden="1" customHeight="1" outlineLevel="1">
      <c r="A829" s="33" t="s">
        <v>1099</v>
      </c>
      <c r="B829" s="33">
        <v>921</v>
      </c>
      <c r="C829" s="40" t="str">
        <f t="shared" si="32"/>
        <v>Legal Fees921</v>
      </c>
      <c r="D829" s="104">
        <f t="shared" si="33"/>
        <v>0</v>
      </c>
      <c r="E829" s="186">
        <v>0</v>
      </c>
      <c r="F829" s="186">
        <v>0</v>
      </c>
    </row>
    <row r="830" spans="1:6" ht="12.95" hidden="1" customHeight="1" outlineLevel="1">
      <c r="A830" s="33" t="s">
        <v>1099</v>
      </c>
      <c r="B830" s="33">
        <v>923</v>
      </c>
      <c r="C830" s="40" t="str">
        <f t="shared" si="32"/>
        <v>Legal Fees923</v>
      </c>
      <c r="D830" s="104">
        <f t="shared" si="33"/>
        <v>-900</v>
      </c>
      <c r="E830" s="186">
        <v>900</v>
      </c>
      <c r="F830" s="186">
        <v>0</v>
      </c>
    </row>
    <row r="831" spans="1:6" ht="12.95" hidden="1" customHeight="1" outlineLevel="1">
      <c r="A831" s="33" t="s">
        <v>1099</v>
      </c>
      <c r="B831" s="33">
        <v>924</v>
      </c>
      <c r="C831" s="40" t="str">
        <f t="shared" si="32"/>
        <v>Legal Fees924</v>
      </c>
      <c r="D831" s="104">
        <f t="shared" si="33"/>
        <v>0</v>
      </c>
      <c r="E831" s="186">
        <v>0</v>
      </c>
      <c r="F831" s="186">
        <v>0</v>
      </c>
    </row>
    <row r="832" spans="1:6" ht="12.95" hidden="1" customHeight="1" outlineLevel="1">
      <c r="A832" s="33" t="s">
        <v>1099</v>
      </c>
      <c r="B832" s="33">
        <v>925</v>
      </c>
      <c r="C832" s="40" t="str">
        <f t="shared" si="32"/>
        <v>Legal Fees925</v>
      </c>
      <c r="D832" s="104">
        <f t="shared" si="33"/>
        <v>0</v>
      </c>
      <c r="E832" s="186">
        <v>0</v>
      </c>
      <c r="F832" s="186">
        <v>0</v>
      </c>
    </row>
    <row r="833" spans="1:6" ht="12.95" hidden="1" customHeight="1" outlineLevel="1">
      <c r="A833" s="33" t="s">
        <v>1099</v>
      </c>
      <c r="B833" s="33">
        <v>926</v>
      </c>
      <c r="C833" s="40" t="str">
        <f t="shared" si="32"/>
        <v>Legal Fees926</v>
      </c>
      <c r="D833" s="104">
        <f t="shared" si="33"/>
        <v>0</v>
      </c>
      <c r="E833" s="186">
        <v>0</v>
      </c>
      <c r="F833" s="186">
        <v>0</v>
      </c>
    </row>
    <row r="834" spans="1:6" ht="12.95" hidden="1" customHeight="1" outlineLevel="1">
      <c r="A834" s="33" t="s">
        <v>1099</v>
      </c>
      <c r="B834" s="33">
        <v>928</v>
      </c>
      <c r="C834" s="40" t="str">
        <f t="shared" si="32"/>
        <v>Legal Fees928</v>
      </c>
      <c r="D834" s="104">
        <f t="shared" si="33"/>
        <v>0</v>
      </c>
      <c r="E834" s="186">
        <v>0</v>
      </c>
      <c r="F834" s="186">
        <v>0</v>
      </c>
    </row>
    <row r="835" spans="1:6" ht="12.95" hidden="1" customHeight="1" outlineLevel="1">
      <c r="A835" s="33" t="s">
        <v>1099</v>
      </c>
      <c r="B835" s="33">
        <v>930</v>
      </c>
      <c r="C835" s="40" t="str">
        <f t="shared" si="32"/>
        <v>Legal Fees930</v>
      </c>
      <c r="D835" s="104">
        <f t="shared" si="33"/>
        <v>0</v>
      </c>
      <c r="E835" s="186">
        <v>0</v>
      </c>
      <c r="F835" s="186">
        <v>0</v>
      </c>
    </row>
    <row r="836" spans="1:6" ht="12.95" hidden="1" customHeight="1" outlineLevel="1">
      <c r="A836" s="33" t="s">
        <v>1099</v>
      </c>
      <c r="B836" s="33">
        <v>931</v>
      </c>
      <c r="C836" s="40" t="str">
        <f t="shared" si="32"/>
        <v>Legal Fees931</v>
      </c>
      <c r="D836" s="104">
        <f t="shared" si="33"/>
        <v>0</v>
      </c>
      <c r="E836" s="186">
        <v>0</v>
      </c>
      <c r="F836" s="186">
        <v>0</v>
      </c>
    </row>
    <row r="837" spans="1:6" ht="12.95" hidden="1" customHeight="1" outlineLevel="1">
      <c r="A837" s="33" t="s">
        <v>1099</v>
      </c>
      <c r="B837" s="33">
        <v>932</v>
      </c>
      <c r="C837" s="40" t="str">
        <f t="shared" si="32"/>
        <v>Legal Fees932</v>
      </c>
      <c r="D837" s="104">
        <f t="shared" si="33"/>
        <v>0</v>
      </c>
      <c r="E837" s="186">
        <v>0</v>
      </c>
      <c r="F837" s="186">
        <v>0</v>
      </c>
    </row>
    <row r="838" spans="1:6" ht="12.95" hidden="1" customHeight="1" outlineLevel="1">
      <c r="A838" s="33" t="s">
        <v>1099</v>
      </c>
      <c r="B838" s="33">
        <v>935</v>
      </c>
      <c r="C838" s="40" t="str">
        <f t="shared" si="32"/>
        <v>Legal Fees935</v>
      </c>
      <c r="D838" s="104">
        <f t="shared" si="33"/>
        <v>0</v>
      </c>
      <c r="E838" s="186">
        <v>0</v>
      </c>
      <c r="F838" s="186">
        <v>0</v>
      </c>
    </row>
    <row r="839" spans="1:6" s="13" customFormat="1" collapsed="1">
      <c r="A839" s="14" t="s">
        <v>1099</v>
      </c>
      <c r="B839" s="15"/>
      <c r="D839" s="194">
        <f>SUM(D792:D838)</f>
        <v>-900</v>
      </c>
      <c r="E839" s="194">
        <f>SUM(E792:E838)</f>
        <v>900</v>
      </c>
      <c r="F839" s="194">
        <f>SUM(F792:F838)</f>
        <v>0</v>
      </c>
    </row>
    <row r="840" spans="1:6" ht="12.95" hidden="1" customHeight="1" outlineLevel="1">
      <c r="A840" s="33" t="s">
        <v>1029</v>
      </c>
      <c r="B840" s="33">
        <v>557</v>
      </c>
      <c r="C840" s="40" t="str">
        <f>A840&amp;B840</f>
        <v>Materials &amp; Supplies557</v>
      </c>
      <c r="D840" s="104">
        <f>+F840-E840</f>
        <v>0</v>
      </c>
      <c r="E840" s="186">
        <v>0</v>
      </c>
      <c r="F840" s="213"/>
    </row>
    <row r="841" spans="1:6" ht="12.95" hidden="1" customHeight="1" outlineLevel="1">
      <c r="A841" s="33" t="s">
        <v>1029</v>
      </c>
      <c r="B841" s="33">
        <v>801</v>
      </c>
      <c r="C841" s="40" t="str">
        <f>A841&amp;B841</f>
        <v>Materials &amp; Supplies801</v>
      </c>
      <c r="D841" s="104">
        <f t="shared" ref="D841:D889" si="34">+F841-E841</f>
        <v>0</v>
      </c>
      <c r="E841" s="186">
        <v>0</v>
      </c>
      <c r="F841" s="186">
        <v>0</v>
      </c>
    </row>
    <row r="842" spans="1:6" ht="12.95" hidden="1" customHeight="1" outlineLevel="1">
      <c r="A842" s="33" t="s">
        <v>1029</v>
      </c>
      <c r="B842" s="33">
        <v>803</v>
      </c>
      <c r="C842" s="40" t="str">
        <f t="shared" ref="C842:C889" si="35">A842&amp;B842</f>
        <v>Materials &amp; Supplies803</v>
      </c>
      <c r="D842" s="104">
        <f t="shared" si="34"/>
        <v>0</v>
      </c>
      <c r="E842" s="186">
        <v>0</v>
      </c>
      <c r="F842" s="186">
        <v>0</v>
      </c>
    </row>
    <row r="843" spans="1:6" ht="12.95" hidden="1" customHeight="1" outlineLevel="1">
      <c r="A843" s="33" t="s">
        <v>1029</v>
      </c>
      <c r="B843" s="33">
        <v>804</v>
      </c>
      <c r="C843" s="40" t="str">
        <f t="shared" si="35"/>
        <v>Materials &amp; Supplies804</v>
      </c>
      <c r="D843" s="104">
        <f t="shared" si="34"/>
        <v>0</v>
      </c>
      <c r="E843" s="186">
        <v>0</v>
      </c>
      <c r="F843" s="186">
        <v>0</v>
      </c>
    </row>
    <row r="844" spans="1:6" ht="12.95" hidden="1" customHeight="1" outlineLevel="1">
      <c r="A844" s="33" t="s">
        <v>1029</v>
      </c>
      <c r="B844" s="33">
        <v>805</v>
      </c>
      <c r="C844" s="40" t="str">
        <f t="shared" si="35"/>
        <v>Materials &amp; Supplies805</v>
      </c>
      <c r="D844" s="104">
        <f t="shared" si="34"/>
        <v>0</v>
      </c>
      <c r="E844" s="186">
        <v>0</v>
      </c>
      <c r="F844" s="186">
        <v>0</v>
      </c>
    </row>
    <row r="845" spans="1:6" ht="12.95" hidden="1" customHeight="1" outlineLevel="1">
      <c r="A845" s="33" t="s">
        <v>1029</v>
      </c>
      <c r="B845" s="33">
        <v>806</v>
      </c>
      <c r="C845" s="40" t="str">
        <f t="shared" si="35"/>
        <v>Materials &amp; Supplies806</v>
      </c>
      <c r="D845" s="104">
        <f t="shared" si="34"/>
        <v>0</v>
      </c>
      <c r="E845" s="186">
        <v>0</v>
      </c>
      <c r="F845" s="186">
        <v>0</v>
      </c>
    </row>
    <row r="846" spans="1:6" ht="12.95" hidden="1" customHeight="1" outlineLevel="1">
      <c r="A846" s="33" t="s">
        <v>1029</v>
      </c>
      <c r="B846" s="33">
        <v>807</v>
      </c>
      <c r="C846" s="40" t="str">
        <f t="shared" si="35"/>
        <v>Materials &amp; Supplies807</v>
      </c>
      <c r="D846" s="104">
        <f t="shared" si="34"/>
        <v>0</v>
      </c>
      <c r="E846" s="186">
        <v>0</v>
      </c>
      <c r="F846" s="186">
        <v>0</v>
      </c>
    </row>
    <row r="847" spans="1:6" ht="12.95" hidden="1" customHeight="1" outlineLevel="1">
      <c r="A847" s="33" t="s">
        <v>1029</v>
      </c>
      <c r="B847" s="33">
        <v>808</v>
      </c>
      <c r="C847" s="40" t="str">
        <f t="shared" si="35"/>
        <v>Materials &amp; Supplies808</v>
      </c>
      <c r="D847" s="104">
        <f t="shared" si="34"/>
        <v>0</v>
      </c>
      <c r="E847" s="186">
        <v>0</v>
      </c>
      <c r="F847" s="186">
        <v>0</v>
      </c>
    </row>
    <row r="848" spans="1:6" ht="12.95" hidden="1" customHeight="1" outlineLevel="1">
      <c r="A848" s="33" t="s">
        <v>1029</v>
      </c>
      <c r="B848" s="33">
        <v>812</v>
      </c>
      <c r="C848" s="40" t="str">
        <f t="shared" si="35"/>
        <v>Materials &amp; Supplies812</v>
      </c>
      <c r="D848" s="104">
        <f t="shared" si="34"/>
        <v>0</v>
      </c>
      <c r="E848" s="186">
        <v>0</v>
      </c>
      <c r="F848" s="186">
        <v>0</v>
      </c>
    </row>
    <row r="849" spans="1:6" ht="12.95" hidden="1" customHeight="1" outlineLevel="1">
      <c r="A849" s="33" t="s">
        <v>1029</v>
      </c>
      <c r="B849" s="33">
        <v>852</v>
      </c>
      <c r="C849" s="40" t="str">
        <f t="shared" si="35"/>
        <v>Materials &amp; Supplies852</v>
      </c>
      <c r="D849" s="104">
        <f t="shared" si="34"/>
        <v>-564.34999999999991</v>
      </c>
      <c r="E849" s="186">
        <v>3032.98</v>
      </c>
      <c r="F849" s="186">
        <v>2468.63</v>
      </c>
    </row>
    <row r="850" spans="1:6" ht="12.95" hidden="1" customHeight="1" outlineLevel="1">
      <c r="A850" s="33" t="s">
        <v>1029</v>
      </c>
      <c r="B850" s="33">
        <v>870</v>
      </c>
      <c r="C850" s="40" t="str">
        <f t="shared" si="35"/>
        <v>Materials &amp; Supplies870</v>
      </c>
      <c r="D850" s="104">
        <f t="shared" si="34"/>
        <v>16.590000000000373</v>
      </c>
      <c r="E850" s="186">
        <v>1298.99</v>
      </c>
      <c r="F850" s="186">
        <v>1315.5800000000004</v>
      </c>
    </row>
    <row r="851" spans="1:6" ht="12.95" hidden="1" customHeight="1" outlineLevel="1">
      <c r="A851" s="33" t="s">
        <v>1029</v>
      </c>
      <c r="B851" s="33">
        <v>871</v>
      </c>
      <c r="C851" s="40" t="str">
        <f t="shared" si="35"/>
        <v>Materials &amp; Supplies871</v>
      </c>
      <c r="D851" s="104">
        <f t="shared" si="34"/>
        <v>0</v>
      </c>
      <c r="E851" s="186">
        <v>0</v>
      </c>
      <c r="F851" s="186">
        <v>0</v>
      </c>
    </row>
    <row r="852" spans="1:6" ht="12.95" hidden="1" customHeight="1" outlineLevel="1">
      <c r="A852" s="33" t="s">
        <v>1029</v>
      </c>
      <c r="B852" s="33">
        <v>874</v>
      </c>
      <c r="C852" s="40" t="str">
        <f t="shared" si="35"/>
        <v>Materials &amp; Supplies874</v>
      </c>
      <c r="D852" s="104">
        <f t="shared" si="34"/>
        <v>14273.510000000038</v>
      </c>
      <c r="E852" s="186">
        <v>227323.25999999998</v>
      </c>
      <c r="F852" s="186">
        <v>241596.77000000002</v>
      </c>
    </row>
    <row r="853" spans="1:6" ht="12.95" hidden="1" customHeight="1" outlineLevel="1">
      <c r="A853" s="33" t="s">
        <v>1029</v>
      </c>
      <c r="B853" s="33">
        <v>875</v>
      </c>
      <c r="C853" s="40" t="str">
        <f t="shared" si="35"/>
        <v>Materials &amp; Supplies875</v>
      </c>
      <c r="D853" s="104">
        <f t="shared" si="34"/>
        <v>-223.42999999999984</v>
      </c>
      <c r="E853" s="186">
        <v>4064.6299999999997</v>
      </c>
      <c r="F853" s="186">
        <v>3841.2</v>
      </c>
    </row>
    <row r="854" spans="1:6" ht="12.95" hidden="1" customHeight="1" outlineLevel="1">
      <c r="A854" s="33" t="s">
        <v>1029</v>
      </c>
      <c r="B854" s="33">
        <v>876</v>
      </c>
      <c r="C854" s="40" t="str">
        <f t="shared" si="35"/>
        <v>Materials &amp; Supplies876</v>
      </c>
      <c r="D854" s="104">
        <f t="shared" si="34"/>
        <v>-481.99000000000012</v>
      </c>
      <c r="E854" s="186">
        <v>1394.74</v>
      </c>
      <c r="F854" s="186">
        <v>912.74999999999989</v>
      </c>
    </row>
    <row r="855" spans="1:6" ht="12.95" hidden="1" customHeight="1" outlineLevel="1">
      <c r="A855" s="33" t="s">
        <v>1029</v>
      </c>
      <c r="B855" s="33">
        <v>878</v>
      </c>
      <c r="C855" s="40" t="str">
        <f t="shared" si="35"/>
        <v>Materials &amp; Supplies878</v>
      </c>
      <c r="D855" s="104">
        <f t="shared" si="34"/>
        <v>1253.7400000000007</v>
      </c>
      <c r="E855" s="186">
        <v>6069.1200000000008</v>
      </c>
      <c r="F855" s="186">
        <v>7322.8600000000015</v>
      </c>
    </row>
    <row r="856" spans="1:6" ht="12.95" hidden="1" customHeight="1" outlineLevel="1">
      <c r="A856" s="33" t="s">
        <v>1029</v>
      </c>
      <c r="B856" s="33">
        <v>879</v>
      </c>
      <c r="C856" s="40" t="str">
        <f t="shared" si="35"/>
        <v>Materials &amp; Supplies879</v>
      </c>
      <c r="D856" s="104">
        <f t="shared" si="34"/>
        <v>-1451.1300000000047</v>
      </c>
      <c r="E856" s="186">
        <v>59508.42</v>
      </c>
      <c r="F856" s="186">
        <v>58057.289999999994</v>
      </c>
    </row>
    <row r="857" spans="1:6" ht="12.95" hidden="1" customHeight="1" outlineLevel="1">
      <c r="A857" s="33" t="s">
        <v>1029</v>
      </c>
      <c r="B857" s="33">
        <v>880</v>
      </c>
      <c r="C857" s="40" t="str">
        <f t="shared" si="35"/>
        <v>Materials &amp; Supplies880</v>
      </c>
      <c r="D857" s="104">
        <f t="shared" si="34"/>
        <v>-8568.8499999999767</v>
      </c>
      <c r="E857" s="186">
        <v>159677.75999999998</v>
      </c>
      <c r="F857" s="186">
        <v>151108.91</v>
      </c>
    </row>
    <row r="858" spans="1:6" ht="12.95" hidden="1" customHeight="1" outlineLevel="1">
      <c r="A858" s="33" t="s">
        <v>1029</v>
      </c>
      <c r="B858" s="33">
        <v>881</v>
      </c>
      <c r="C858" s="40" t="str">
        <f t="shared" si="35"/>
        <v>Materials &amp; Supplies881</v>
      </c>
      <c r="D858" s="104">
        <f t="shared" si="34"/>
        <v>0</v>
      </c>
      <c r="E858" s="186">
        <v>0</v>
      </c>
      <c r="F858" s="186">
        <v>0</v>
      </c>
    </row>
    <row r="859" spans="1:6" ht="12.95" hidden="1" customHeight="1" outlineLevel="1">
      <c r="A859" s="33" t="s">
        <v>1029</v>
      </c>
      <c r="B859" s="33">
        <v>885</v>
      </c>
      <c r="C859" s="40" t="str">
        <f t="shared" si="35"/>
        <v>Materials &amp; Supplies885</v>
      </c>
      <c r="D859" s="104">
        <f t="shared" si="34"/>
        <v>-2.5999999999999091</v>
      </c>
      <c r="E859" s="186">
        <v>286.16999999999996</v>
      </c>
      <c r="F859" s="186">
        <v>283.57000000000005</v>
      </c>
    </row>
    <row r="860" spans="1:6" ht="12.95" hidden="1" customHeight="1" outlineLevel="1">
      <c r="A860" s="33" t="s">
        <v>1029</v>
      </c>
      <c r="B860" s="33">
        <v>886</v>
      </c>
      <c r="C860" s="40" t="str">
        <f t="shared" si="35"/>
        <v>Materials &amp; Supplies886</v>
      </c>
      <c r="D860" s="104">
        <f t="shared" si="34"/>
        <v>526.33999999999969</v>
      </c>
      <c r="E860" s="186">
        <v>2127.0300000000002</v>
      </c>
      <c r="F860" s="186">
        <v>2653.37</v>
      </c>
    </row>
    <row r="861" spans="1:6" ht="12.95" hidden="1" customHeight="1" outlineLevel="1">
      <c r="A861" s="33" t="s">
        <v>1029</v>
      </c>
      <c r="B861" s="33">
        <v>887</v>
      </c>
      <c r="C861" s="40" t="str">
        <f t="shared" si="35"/>
        <v>Materials &amp; Supplies887</v>
      </c>
      <c r="D861" s="104">
        <f t="shared" si="34"/>
        <v>8579.89</v>
      </c>
      <c r="E861" s="186">
        <v>123203.99</v>
      </c>
      <c r="F861" s="186">
        <v>131783.88</v>
      </c>
    </row>
    <row r="862" spans="1:6" ht="12.95" hidden="1" customHeight="1" outlineLevel="1">
      <c r="A862" s="33" t="s">
        <v>1029</v>
      </c>
      <c r="B862" s="33">
        <v>889</v>
      </c>
      <c r="C862" s="40" t="str">
        <f t="shared" si="35"/>
        <v>Materials &amp; Supplies889</v>
      </c>
      <c r="D862" s="104">
        <f t="shared" si="34"/>
        <v>-3820.3800000000192</v>
      </c>
      <c r="E862" s="186">
        <v>120587.31000000001</v>
      </c>
      <c r="F862" s="186">
        <v>116766.93</v>
      </c>
    </row>
    <row r="863" spans="1:6" ht="12.95" hidden="1" customHeight="1" outlineLevel="1">
      <c r="A863" s="33" t="s">
        <v>1029</v>
      </c>
      <c r="B863" s="33">
        <v>890</v>
      </c>
      <c r="C863" s="40" t="str">
        <f t="shared" si="35"/>
        <v>Materials &amp; Supplies890</v>
      </c>
      <c r="D863" s="104">
        <f t="shared" si="34"/>
        <v>271.46999999999997</v>
      </c>
      <c r="E863" s="186">
        <v>396.55</v>
      </c>
      <c r="F863" s="186">
        <v>668.02</v>
      </c>
    </row>
    <row r="864" spans="1:6" ht="12.95" hidden="1" customHeight="1" outlineLevel="1">
      <c r="A864" s="33" t="s">
        <v>1029</v>
      </c>
      <c r="B864" s="33">
        <v>892</v>
      </c>
      <c r="C864" s="40" t="str">
        <f t="shared" si="35"/>
        <v>Materials &amp; Supplies892</v>
      </c>
      <c r="D864" s="104">
        <f t="shared" si="34"/>
        <v>629.95999999999913</v>
      </c>
      <c r="E864" s="186">
        <v>26712.47</v>
      </c>
      <c r="F864" s="186">
        <v>27342.43</v>
      </c>
    </row>
    <row r="865" spans="1:6" ht="12.95" hidden="1" customHeight="1" outlineLevel="1">
      <c r="A865" s="33" t="s">
        <v>1029</v>
      </c>
      <c r="B865" s="33">
        <v>893</v>
      </c>
      <c r="C865" s="40" t="str">
        <f t="shared" si="35"/>
        <v>Materials &amp; Supplies893</v>
      </c>
      <c r="D865" s="104">
        <f t="shared" si="34"/>
        <v>34179.4</v>
      </c>
      <c r="E865" s="186">
        <v>2729.4300000000021</v>
      </c>
      <c r="F865" s="186">
        <v>36908.83</v>
      </c>
    </row>
    <row r="866" spans="1:6" ht="12.95" hidden="1" customHeight="1" outlineLevel="1">
      <c r="A866" s="33" t="s">
        <v>1029</v>
      </c>
      <c r="B866" s="33">
        <v>894</v>
      </c>
      <c r="C866" s="40" t="str">
        <f t="shared" si="35"/>
        <v>Materials &amp; Supplies894</v>
      </c>
      <c r="D866" s="104">
        <f t="shared" si="34"/>
        <v>2158.0899999999965</v>
      </c>
      <c r="E866" s="186">
        <v>76850.25</v>
      </c>
      <c r="F866" s="186">
        <v>79008.34</v>
      </c>
    </row>
    <row r="867" spans="1:6" ht="12.95" hidden="1" customHeight="1" outlineLevel="1">
      <c r="A867" s="33" t="s">
        <v>1029</v>
      </c>
      <c r="B867" s="33">
        <v>902</v>
      </c>
      <c r="C867" s="40" t="str">
        <f t="shared" si="35"/>
        <v>Materials &amp; Supplies902</v>
      </c>
      <c r="D867" s="104">
        <f t="shared" si="34"/>
        <v>0</v>
      </c>
      <c r="E867" s="186">
        <v>0</v>
      </c>
      <c r="F867" s="186">
        <v>0</v>
      </c>
    </row>
    <row r="868" spans="1:6" ht="12.95" hidden="1" customHeight="1" outlineLevel="1">
      <c r="A868" s="33" t="s">
        <v>1029</v>
      </c>
      <c r="B868" s="33">
        <v>903</v>
      </c>
      <c r="C868" s="40" t="str">
        <f t="shared" si="35"/>
        <v>Materials &amp; Supplies903</v>
      </c>
      <c r="D868" s="104">
        <f t="shared" si="34"/>
        <v>-55348.979999999923</v>
      </c>
      <c r="E868" s="186">
        <v>542274.99</v>
      </c>
      <c r="F868" s="186">
        <v>486926.01000000007</v>
      </c>
    </row>
    <row r="869" spans="1:6" ht="12.95" hidden="1" customHeight="1" outlineLevel="1">
      <c r="A869" s="33" t="s">
        <v>1029</v>
      </c>
      <c r="B869" s="33">
        <v>904</v>
      </c>
      <c r="C869" s="40" t="str">
        <f t="shared" si="35"/>
        <v>Materials &amp; Supplies904</v>
      </c>
      <c r="D869" s="104">
        <f t="shared" si="34"/>
        <v>0</v>
      </c>
      <c r="E869" s="186">
        <v>0</v>
      </c>
      <c r="F869" s="186">
        <v>0</v>
      </c>
    </row>
    <row r="870" spans="1:6" ht="12.95" hidden="1" customHeight="1" outlineLevel="1">
      <c r="A870" s="33" t="s">
        <v>1029</v>
      </c>
      <c r="B870" s="33">
        <v>905</v>
      </c>
      <c r="C870" s="40" t="str">
        <f t="shared" si="35"/>
        <v>Materials &amp; Supplies905</v>
      </c>
      <c r="D870" s="104">
        <f t="shared" si="34"/>
        <v>0</v>
      </c>
      <c r="E870" s="186">
        <v>0</v>
      </c>
      <c r="F870" s="186">
        <v>0</v>
      </c>
    </row>
    <row r="871" spans="1:6" ht="12.95" hidden="1" customHeight="1" outlineLevel="1">
      <c r="A871" s="33" t="s">
        <v>1029</v>
      </c>
      <c r="B871" s="33">
        <v>907</v>
      </c>
      <c r="C871" s="40" t="str">
        <f t="shared" si="35"/>
        <v>Materials &amp; Supplies907</v>
      </c>
      <c r="D871" s="104">
        <f t="shared" si="34"/>
        <v>0</v>
      </c>
      <c r="E871" s="186">
        <v>0</v>
      </c>
      <c r="F871" s="186">
        <v>0</v>
      </c>
    </row>
    <row r="872" spans="1:6" ht="12.95" hidden="1" customHeight="1" outlineLevel="1">
      <c r="A872" s="33" t="s">
        <v>1029</v>
      </c>
      <c r="B872" s="33">
        <v>908</v>
      </c>
      <c r="C872" s="40" t="str">
        <f t="shared" si="35"/>
        <v>Materials &amp; Supplies908</v>
      </c>
      <c r="D872" s="104">
        <f t="shared" si="34"/>
        <v>0</v>
      </c>
      <c r="E872" s="186">
        <v>0</v>
      </c>
      <c r="F872" s="186">
        <v>0</v>
      </c>
    </row>
    <row r="873" spans="1:6" ht="12.95" hidden="1" customHeight="1" outlineLevel="1">
      <c r="A873" s="33" t="s">
        <v>1029</v>
      </c>
      <c r="B873" s="33">
        <v>909</v>
      </c>
      <c r="C873" s="40" t="str">
        <f t="shared" si="35"/>
        <v>Materials &amp; Supplies909</v>
      </c>
      <c r="D873" s="104">
        <f t="shared" si="34"/>
        <v>-51.270000000000024</v>
      </c>
      <c r="E873" s="186">
        <v>133.10000000000002</v>
      </c>
      <c r="F873" s="186">
        <v>81.83</v>
      </c>
    </row>
    <row r="874" spans="1:6" ht="12.95" hidden="1" customHeight="1" outlineLevel="1">
      <c r="A874" s="33" t="s">
        <v>1029</v>
      </c>
      <c r="B874" s="33">
        <v>910</v>
      </c>
      <c r="C874" s="40" t="str">
        <f t="shared" si="35"/>
        <v>Materials &amp; Supplies910</v>
      </c>
      <c r="D874" s="104">
        <f t="shared" si="34"/>
        <v>0</v>
      </c>
      <c r="E874" s="186">
        <v>0</v>
      </c>
      <c r="F874" s="186">
        <v>0</v>
      </c>
    </row>
    <row r="875" spans="1:6" ht="12.95" hidden="1" customHeight="1" outlineLevel="1">
      <c r="A875" s="33" t="s">
        <v>1029</v>
      </c>
      <c r="B875" s="33">
        <v>911</v>
      </c>
      <c r="C875" s="40" t="str">
        <f t="shared" si="35"/>
        <v>Materials &amp; Supplies911</v>
      </c>
      <c r="D875" s="104">
        <f t="shared" si="34"/>
        <v>0</v>
      </c>
      <c r="E875" s="186">
        <v>0</v>
      </c>
      <c r="F875" s="186">
        <v>0</v>
      </c>
    </row>
    <row r="876" spans="1:6" ht="12.95" hidden="1" customHeight="1" outlineLevel="1">
      <c r="A876" s="33" t="s">
        <v>1029</v>
      </c>
      <c r="B876" s="33">
        <v>912</v>
      </c>
      <c r="C876" s="40" t="str">
        <f t="shared" si="35"/>
        <v>Materials &amp; Supplies912</v>
      </c>
      <c r="D876" s="104">
        <f t="shared" si="34"/>
        <v>0</v>
      </c>
      <c r="E876" s="186">
        <v>0</v>
      </c>
      <c r="F876" s="186">
        <v>0</v>
      </c>
    </row>
    <row r="877" spans="1:6" ht="12.95" hidden="1" customHeight="1" outlineLevel="1">
      <c r="A877" s="33" t="s">
        <v>1029</v>
      </c>
      <c r="B877" s="33">
        <v>913</v>
      </c>
      <c r="C877" s="40" t="str">
        <f t="shared" si="35"/>
        <v>Materials &amp; Supplies913</v>
      </c>
      <c r="D877" s="104">
        <f t="shared" si="34"/>
        <v>0</v>
      </c>
      <c r="E877" s="186">
        <v>0</v>
      </c>
      <c r="F877" s="186">
        <v>0</v>
      </c>
    </row>
    <row r="878" spans="1:6" ht="12.95" hidden="1" customHeight="1" outlineLevel="1">
      <c r="A878" s="33" t="s">
        <v>1029</v>
      </c>
      <c r="B878" s="33">
        <v>920</v>
      </c>
      <c r="C878" s="40" t="str">
        <f t="shared" si="35"/>
        <v>Materials &amp; Supplies920</v>
      </c>
      <c r="D878" s="104">
        <f t="shared" si="34"/>
        <v>27.019999999999996</v>
      </c>
      <c r="E878" s="186">
        <v>36.550000000000004</v>
      </c>
      <c r="F878" s="186">
        <v>63.57</v>
      </c>
    </row>
    <row r="879" spans="1:6" ht="12.95" hidden="1" customHeight="1" outlineLevel="1">
      <c r="A879" s="33" t="s">
        <v>1029</v>
      </c>
      <c r="B879" s="33">
        <v>921</v>
      </c>
      <c r="C879" s="40" t="str">
        <f t="shared" si="35"/>
        <v>Materials &amp; Supplies921</v>
      </c>
      <c r="D879" s="104">
        <f t="shared" si="34"/>
        <v>-18407.010000000009</v>
      </c>
      <c r="E879" s="186">
        <v>123978.39000000001</v>
      </c>
      <c r="F879" s="186">
        <v>105571.38</v>
      </c>
    </row>
    <row r="880" spans="1:6" ht="12.95" hidden="1" customHeight="1" outlineLevel="1">
      <c r="A880" s="33" t="s">
        <v>1029</v>
      </c>
      <c r="B880" s="33">
        <v>923</v>
      </c>
      <c r="C880" s="40" t="str">
        <f t="shared" si="35"/>
        <v>Materials &amp; Supplies923</v>
      </c>
      <c r="D880" s="104">
        <f t="shared" si="34"/>
        <v>-7893.2399999999907</v>
      </c>
      <c r="E880" s="186">
        <v>80569.47</v>
      </c>
      <c r="F880" s="186">
        <v>72676.23000000001</v>
      </c>
    </row>
    <row r="881" spans="1:6" ht="12.95" hidden="1" customHeight="1" outlineLevel="1">
      <c r="A881" s="33" t="s">
        <v>1029</v>
      </c>
      <c r="B881" s="33">
        <v>924</v>
      </c>
      <c r="C881" s="40" t="str">
        <f t="shared" si="35"/>
        <v>Materials &amp; Supplies924</v>
      </c>
      <c r="D881" s="104">
        <f t="shared" si="34"/>
        <v>0</v>
      </c>
      <c r="E881" s="186">
        <v>0</v>
      </c>
      <c r="F881" s="186">
        <v>0</v>
      </c>
    </row>
    <row r="882" spans="1:6" ht="12.95" hidden="1" customHeight="1" outlineLevel="1">
      <c r="A882" s="33" t="s">
        <v>1029</v>
      </c>
      <c r="B882" s="33">
        <v>925</v>
      </c>
      <c r="C882" s="40" t="str">
        <f t="shared" si="35"/>
        <v>Materials &amp; Supplies925</v>
      </c>
      <c r="D882" s="104">
        <f t="shared" si="34"/>
        <v>0</v>
      </c>
      <c r="E882" s="186">
        <v>0</v>
      </c>
      <c r="F882" s="186">
        <v>0</v>
      </c>
    </row>
    <row r="883" spans="1:6" ht="12.95" hidden="1" customHeight="1" outlineLevel="1">
      <c r="A883" s="33" t="s">
        <v>1029</v>
      </c>
      <c r="B883" s="33">
        <v>926</v>
      </c>
      <c r="C883" s="40" t="str">
        <f t="shared" si="35"/>
        <v>Materials &amp; Supplies926</v>
      </c>
      <c r="D883" s="104">
        <f t="shared" si="34"/>
        <v>0</v>
      </c>
      <c r="E883" s="186">
        <v>0</v>
      </c>
      <c r="F883" s="186">
        <v>0</v>
      </c>
    </row>
    <row r="884" spans="1:6" ht="12.95" hidden="1" customHeight="1" outlineLevel="1">
      <c r="A884" s="33" t="s">
        <v>1029</v>
      </c>
      <c r="B884" s="33">
        <v>928</v>
      </c>
      <c r="C884" s="40" t="str">
        <f t="shared" si="35"/>
        <v>Materials &amp; Supplies928</v>
      </c>
      <c r="D884" s="104">
        <f t="shared" si="34"/>
        <v>0</v>
      </c>
      <c r="E884" s="186">
        <v>0</v>
      </c>
      <c r="F884" s="186">
        <v>0</v>
      </c>
    </row>
    <row r="885" spans="1:6" ht="12.95" hidden="1" customHeight="1" outlineLevel="1">
      <c r="A885" s="33" t="s">
        <v>1029</v>
      </c>
      <c r="B885" s="33">
        <v>9301</v>
      </c>
      <c r="C885" s="40" t="str">
        <f t="shared" si="35"/>
        <v>Materials &amp; Supplies9301</v>
      </c>
      <c r="D885" s="104">
        <f t="shared" si="34"/>
        <v>0</v>
      </c>
      <c r="E885" s="186">
        <v>0</v>
      </c>
      <c r="F885" s="186">
        <v>0</v>
      </c>
    </row>
    <row r="886" spans="1:6" ht="12.95" hidden="1" customHeight="1" outlineLevel="1">
      <c r="A886" s="33" t="s">
        <v>1029</v>
      </c>
      <c r="B886" s="33">
        <v>9302</v>
      </c>
      <c r="C886" s="40" t="str">
        <f t="shared" si="35"/>
        <v>Materials &amp; Supplies9302</v>
      </c>
      <c r="D886" s="104">
        <f t="shared" si="34"/>
        <v>1447.2299999999998</v>
      </c>
      <c r="E886" s="186">
        <v>2020.07</v>
      </c>
      <c r="F886" s="186">
        <v>3467.2999999999997</v>
      </c>
    </row>
    <row r="887" spans="1:6" ht="12.95" hidden="1" customHeight="1" outlineLevel="1">
      <c r="A887" s="33" t="s">
        <v>1029</v>
      </c>
      <c r="B887" s="33">
        <v>931</v>
      </c>
      <c r="C887" s="40" t="str">
        <f t="shared" si="35"/>
        <v>Materials &amp; Supplies931</v>
      </c>
      <c r="D887" s="104">
        <f t="shared" si="34"/>
        <v>0</v>
      </c>
      <c r="E887" s="186">
        <v>0</v>
      </c>
      <c r="F887" s="186">
        <v>0</v>
      </c>
    </row>
    <row r="888" spans="1:6" ht="12.95" hidden="1" customHeight="1" outlineLevel="1">
      <c r="A888" s="33" t="s">
        <v>1029</v>
      </c>
      <c r="B888" s="33">
        <v>932</v>
      </c>
      <c r="C888" s="40" t="str">
        <f t="shared" si="35"/>
        <v>Materials &amp; Supplies932</v>
      </c>
      <c r="D888" s="104">
        <f t="shared" si="34"/>
        <v>0</v>
      </c>
      <c r="E888" s="186">
        <v>0</v>
      </c>
      <c r="F888" s="186">
        <v>0</v>
      </c>
    </row>
    <row r="889" spans="1:6" ht="12.95" hidden="1" customHeight="1" outlineLevel="1">
      <c r="A889" s="33" t="s">
        <v>1029</v>
      </c>
      <c r="B889" s="33">
        <v>935</v>
      </c>
      <c r="C889" s="40" t="str">
        <f t="shared" si="35"/>
        <v>Materials &amp; Supplies935</v>
      </c>
      <c r="D889" s="104">
        <f t="shared" si="34"/>
        <v>0</v>
      </c>
      <c r="E889" s="186">
        <v>0</v>
      </c>
      <c r="F889" s="186">
        <v>0</v>
      </c>
    </row>
    <row r="890" spans="1:6" s="13" customFormat="1" collapsed="1">
      <c r="A890" s="14" t="s">
        <v>1029</v>
      </c>
      <c r="B890" s="15"/>
      <c r="D890" s="194">
        <f>SUM(D840:D889)</f>
        <v>-33449.989999999882</v>
      </c>
      <c r="E890" s="194">
        <f>SUM(E840:E889)</f>
        <v>1564275.6700000004</v>
      </c>
      <c r="F890" s="194">
        <f>SUM(F840:F889)</f>
        <v>1530825.6800000004</v>
      </c>
    </row>
    <row r="891" spans="1:6" ht="12.95" hidden="1" customHeight="1" outlineLevel="1">
      <c r="A891" s="33" t="s">
        <v>1100</v>
      </c>
      <c r="B891" s="33">
        <v>500</v>
      </c>
      <c r="C891" s="40" t="str">
        <f>A891&amp;B891</f>
        <v>Miscellaneous &amp; Other500</v>
      </c>
      <c r="D891" s="104">
        <f>+F891-E891</f>
        <v>0</v>
      </c>
      <c r="E891" s="186">
        <v>0</v>
      </c>
      <c r="F891" s="213"/>
    </row>
    <row r="892" spans="1:6" ht="12.95" hidden="1" customHeight="1" outlineLevel="1">
      <c r="A892" s="33" t="s">
        <v>1100</v>
      </c>
      <c r="B892" s="33">
        <v>557</v>
      </c>
      <c r="C892" s="40" t="str">
        <f>A892&amp;B892</f>
        <v>Miscellaneous &amp; Other557</v>
      </c>
      <c r="D892" s="104">
        <f>+F892-E892</f>
        <v>0</v>
      </c>
      <c r="E892" s="186">
        <v>0</v>
      </c>
      <c r="F892" s="213"/>
    </row>
    <row r="893" spans="1:6" ht="12.95" hidden="1" customHeight="1" outlineLevel="1">
      <c r="A893" s="33" t="s">
        <v>1100</v>
      </c>
      <c r="B893" s="33">
        <v>594</v>
      </c>
      <c r="C893" s="40" t="str">
        <f>A893&amp;B893</f>
        <v>Miscellaneous &amp; Other594</v>
      </c>
      <c r="D893" s="104">
        <f>+F893-E893</f>
        <v>0</v>
      </c>
      <c r="E893" s="186">
        <v>0</v>
      </c>
      <c r="F893" s="213"/>
    </row>
    <row r="894" spans="1:6" ht="12.95" hidden="1" customHeight="1" outlineLevel="1">
      <c r="A894" s="33" t="s">
        <v>1100</v>
      </c>
      <c r="B894" s="33">
        <v>801</v>
      </c>
      <c r="C894" s="40" t="str">
        <f>A894&amp;B894</f>
        <v>Miscellaneous &amp; Other801</v>
      </c>
      <c r="D894" s="104">
        <f>+F894-E894</f>
        <v>0</v>
      </c>
      <c r="E894" s="186">
        <v>0</v>
      </c>
      <c r="F894" s="186">
        <v>0</v>
      </c>
    </row>
    <row r="895" spans="1:6" ht="12.95" hidden="1" customHeight="1" outlineLevel="1">
      <c r="A895" s="33" t="s">
        <v>1100</v>
      </c>
      <c r="B895" s="33">
        <v>803</v>
      </c>
      <c r="C895" s="40" t="str">
        <f t="shared" ref="C895:C942" si="36">A895&amp;B895</f>
        <v>Miscellaneous &amp; Other803</v>
      </c>
      <c r="D895" s="104">
        <f t="shared" ref="D895:D942" si="37">+F895-E895</f>
        <v>0</v>
      </c>
      <c r="E895" s="186">
        <v>0</v>
      </c>
      <c r="F895" s="186">
        <v>0</v>
      </c>
    </row>
    <row r="896" spans="1:6" ht="12.95" hidden="1" customHeight="1" outlineLevel="1">
      <c r="A896" s="33" t="s">
        <v>1100</v>
      </c>
      <c r="B896" s="33">
        <v>804</v>
      </c>
      <c r="C896" s="40" t="str">
        <f t="shared" si="36"/>
        <v>Miscellaneous &amp; Other804</v>
      </c>
      <c r="D896" s="104">
        <f t="shared" si="37"/>
        <v>0</v>
      </c>
      <c r="E896" s="186">
        <v>0</v>
      </c>
      <c r="F896" s="186">
        <v>0</v>
      </c>
    </row>
    <row r="897" spans="1:6" ht="12.95" hidden="1" customHeight="1" outlineLevel="1">
      <c r="A897" s="33" t="s">
        <v>1100</v>
      </c>
      <c r="B897" s="33">
        <v>805</v>
      </c>
      <c r="C897" s="40" t="str">
        <f t="shared" si="36"/>
        <v>Miscellaneous &amp; Other805</v>
      </c>
      <c r="D897" s="104">
        <f t="shared" si="37"/>
        <v>0</v>
      </c>
      <c r="E897" s="186">
        <v>0</v>
      </c>
      <c r="F897" s="186">
        <v>0</v>
      </c>
    </row>
    <row r="898" spans="1:6" ht="12.95" hidden="1" customHeight="1" outlineLevel="1">
      <c r="A898" s="33" t="s">
        <v>1100</v>
      </c>
      <c r="B898" s="33">
        <v>806</v>
      </c>
      <c r="C898" s="40" t="str">
        <f t="shared" si="36"/>
        <v>Miscellaneous &amp; Other806</v>
      </c>
      <c r="D898" s="104">
        <f t="shared" si="37"/>
        <v>0</v>
      </c>
      <c r="E898" s="186">
        <v>0</v>
      </c>
      <c r="F898" s="186">
        <v>0</v>
      </c>
    </row>
    <row r="899" spans="1:6" ht="12.95" hidden="1" customHeight="1" outlineLevel="1">
      <c r="A899" s="33" t="s">
        <v>1100</v>
      </c>
      <c r="B899" s="33">
        <v>807</v>
      </c>
      <c r="C899" s="40" t="str">
        <f t="shared" si="36"/>
        <v>Miscellaneous &amp; Other807</v>
      </c>
      <c r="D899" s="104">
        <f t="shared" si="37"/>
        <v>0</v>
      </c>
      <c r="E899" s="186">
        <v>0</v>
      </c>
      <c r="F899" s="186">
        <v>0</v>
      </c>
    </row>
    <row r="900" spans="1:6" ht="12.95" hidden="1" customHeight="1" outlineLevel="1">
      <c r="A900" s="33" t="s">
        <v>1100</v>
      </c>
      <c r="B900" s="33">
        <v>808</v>
      </c>
      <c r="C900" s="40" t="str">
        <f t="shared" si="36"/>
        <v>Miscellaneous &amp; Other808</v>
      </c>
      <c r="D900" s="104">
        <f t="shared" si="37"/>
        <v>0</v>
      </c>
      <c r="E900" s="186">
        <v>0</v>
      </c>
      <c r="F900" s="186">
        <v>0</v>
      </c>
    </row>
    <row r="901" spans="1:6" ht="12.95" hidden="1" customHeight="1" outlineLevel="1">
      <c r="A901" s="33" t="s">
        <v>1100</v>
      </c>
      <c r="B901" s="33">
        <v>812</v>
      </c>
      <c r="C901" s="40" t="str">
        <f t="shared" si="36"/>
        <v>Miscellaneous &amp; Other812</v>
      </c>
      <c r="D901" s="104">
        <f t="shared" si="37"/>
        <v>0</v>
      </c>
      <c r="E901" s="186">
        <v>0</v>
      </c>
      <c r="F901" s="186">
        <v>0</v>
      </c>
    </row>
    <row r="902" spans="1:6" ht="12.95" hidden="1" customHeight="1" outlineLevel="1">
      <c r="A902" s="33" t="s">
        <v>1100</v>
      </c>
      <c r="B902" s="33">
        <v>859</v>
      </c>
      <c r="C902" s="40" t="str">
        <f t="shared" si="36"/>
        <v>Miscellaneous &amp; Other859</v>
      </c>
      <c r="D902" s="104">
        <f t="shared" si="37"/>
        <v>-196.76999999999953</v>
      </c>
      <c r="E902" s="186">
        <v>1186.6799999999998</v>
      </c>
      <c r="F902" s="186">
        <v>989.91000000000031</v>
      </c>
    </row>
    <row r="903" spans="1:6" ht="12.95" hidden="1" customHeight="1" outlineLevel="1">
      <c r="A903" s="33" t="s">
        <v>1100</v>
      </c>
      <c r="B903" s="33">
        <v>870</v>
      </c>
      <c r="C903" s="40" t="str">
        <f t="shared" si="36"/>
        <v>Miscellaneous &amp; Other870</v>
      </c>
      <c r="D903" s="104">
        <f t="shared" si="37"/>
        <v>-4212.3599999999933</v>
      </c>
      <c r="E903" s="186">
        <v>17458.879999999997</v>
      </c>
      <c r="F903" s="186">
        <v>13246.520000000004</v>
      </c>
    </row>
    <row r="904" spans="1:6" ht="12.95" hidden="1" customHeight="1" outlineLevel="1">
      <c r="A904" s="33" t="s">
        <v>1100</v>
      </c>
      <c r="B904" s="33">
        <v>871</v>
      </c>
      <c r="C904" s="40" t="str">
        <f t="shared" si="36"/>
        <v>Miscellaneous &amp; Other871</v>
      </c>
      <c r="D904" s="104">
        <f t="shared" si="37"/>
        <v>0</v>
      </c>
      <c r="E904" s="186">
        <v>0</v>
      </c>
      <c r="F904" s="186">
        <v>0</v>
      </c>
    </row>
    <row r="905" spans="1:6" ht="12.95" hidden="1" customHeight="1" outlineLevel="1">
      <c r="A905" s="33" t="s">
        <v>1100</v>
      </c>
      <c r="B905" s="33">
        <v>874</v>
      </c>
      <c r="C905" s="40" t="str">
        <f t="shared" si="36"/>
        <v>Miscellaneous &amp; Other874</v>
      </c>
      <c r="D905" s="104">
        <f t="shared" si="37"/>
        <v>-3227.3700000000008</v>
      </c>
      <c r="E905" s="186">
        <v>1085.9199999999998</v>
      </c>
      <c r="F905" s="186">
        <v>-2141.4500000000007</v>
      </c>
    </row>
    <row r="906" spans="1:6" ht="12.95" hidden="1" customHeight="1" outlineLevel="1">
      <c r="A906" s="33" t="s">
        <v>1100</v>
      </c>
      <c r="B906" s="33">
        <v>875</v>
      </c>
      <c r="C906" s="40" t="str">
        <f t="shared" si="36"/>
        <v>Miscellaneous &amp; Other875</v>
      </c>
      <c r="D906" s="104">
        <f t="shared" si="37"/>
        <v>-1.1699999999999964</v>
      </c>
      <c r="E906" s="186">
        <v>7.08</v>
      </c>
      <c r="F906" s="186">
        <v>5.9100000000000037</v>
      </c>
    </row>
    <row r="907" spans="1:6" ht="12.95" hidden="1" customHeight="1" outlineLevel="1">
      <c r="A907" s="33" t="s">
        <v>1100</v>
      </c>
      <c r="B907" s="33">
        <v>876</v>
      </c>
      <c r="C907" s="40" t="str">
        <f t="shared" si="36"/>
        <v>Miscellaneous &amp; Other876</v>
      </c>
      <c r="D907" s="104">
        <f t="shared" si="37"/>
        <v>-0.58999999999999897</v>
      </c>
      <c r="E907" s="186">
        <v>3.55</v>
      </c>
      <c r="F907" s="186">
        <v>2.9600000000000009</v>
      </c>
    </row>
    <row r="908" spans="1:6" ht="12.95" hidden="1" customHeight="1" outlineLevel="1">
      <c r="A908" s="33" t="s">
        <v>1100</v>
      </c>
      <c r="B908" s="33">
        <v>878</v>
      </c>
      <c r="C908" s="40" t="str">
        <f t="shared" si="36"/>
        <v>Miscellaneous &amp; Other878</v>
      </c>
      <c r="D908" s="104">
        <f t="shared" si="37"/>
        <v>35897.03</v>
      </c>
      <c r="E908" s="186">
        <v>-69218.549999999988</v>
      </c>
      <c r="F908" s="186">
        <v>-33321.51999999999</v>
      </c>
    </row>
    <row r="909" spans="1:6" ht="12.95" hidden="1" customHeight="1" outlineLevel="1">
      <c r="A909" s="33" t="s">
        <v>1100</v>
      </c>
      <c r="B909" s="33">
        <v>879</v>
      </c>
      <c r="C909" s="40" t="str">
        <f t="shared" si="36"/>
        <v>Miscellaneous &amp; Other879</v>
      </c>
      <c r="D909" s="104">
        <f t="shared" si="37"/>
        <v>-582.69999999999982</v>
      </c>
      <c r="E909" s="186">
        <v>992.84999999999991</v>
      </c>
      <c r="F909" s="186">
        <v>410.15000000000009</v>
      </c>
    </row>
    <row r="910" spans="1:6" ht="12.95" hidden="1" customHeight="1" outlineLevel="1">
      <c r="A910" s="33" t="s">
        <v>1100</v>
      </c>
      <c r="B910" s="33">
        <v>880</v>
      </c>
      <c r="C910" s="40" t="str">
        <f t="shared" si="36"/>
        <v>Miscellaneous &amp; Other880</v>
      </c>
      <c r="D910" s="104">
        <f t="shared" si="37"/>
        <v>-6285.7400000000034</v>
      </c>
      <c r="E910" s="186">
        <v>9468.7400000000016</v>
      </c>
      <c r="F910" s="186">
        <v>3182.9999999999982</v>
      </c>
    </row>
    <row r="911" spans="1:6" ht="12.95" hidden="1" customHeight="1" outlineLevel="1">
      <c r="A911" s="33" t="s">
        <v>1100</v>
      </c>
      <c r="B911" s="33">
        <v>881</v>
      </c>
      <c r="C911" s="40" t="str">
        <f t="shared" si="36"/>
        <v>Miscellaneous &amp; Other881</v>
      </c>
      <c r="D911" s="104">
        <f t="shared" si="37"/>
        <v>-3300.5</v>
      </c>
      <c r="E911" s="186">
        <v>4439.34</v>
      </c>
      <c r="F911" s="186">
        <v>1138.8400000000001</v>
      </c>
    </row>
    <row r="912" spans="1:6" ht="12.95" hidden="1" customHeight="1" outlineLevel="1">
      <c r="A912" s="33" t="s">
        <v>1100</v>
      </c>
      <c r="B912" s="33">
        <v>885</v>
      </c>
      <c r="C912" s="40" t="str">
        <f t="shared" si="36"/>
        <v>Miscellaneous &amp; Other885</v>
      </c>
      <c r="D912" s="104">
        <f t="shared" si="37"/>
        <v>-234.63000000000008</v>
      </c>
      <c r="E912" s="186">
        <v>294.78000000000003</v>
      </c>
      <c r="F912" s="186">
        <v>60.149999999999949</v>
      </c>
    </row>
    <row r="913" spans="1:6" ht="12.95" hidden="1" customHeight="1" outlineLevel="1">
      <c r="A913" s="33" t="s">
        <v>1100</v>
      </c>
      <c r="B913" s="33">
        <v>886</v>
      </c>
      <c r="C913" s="40" t="str">
        <f t="shared" si="36"/>
        <v>Miscellaneous &amp; Other886</v>
      </c>
      <c r="D913" s="104">
        <f t="shared" si="37"/>
        <v>0</v>
      </c>
      <c r="E913" s="186">
        <v>0</v>
      </c>
      <c r="F913" s="186">
        <v>0</v>
      </c>
    </row>
    <row r="914" spans="1:6" ht="12.95" hidden="1" customHeight="1" outlineLevel="1">
      <c r="A914" s="33" t="s">
        <v>1100</v>
      </c>
      <c r="B914" s="33">
        <v>887</v>
      </c>
      <c r="C914" s="40" t="str">
        <f t="shared" si="36"/>
        <v>Miscellaneous &amp; Other887</v>
      </c>
      <c r="D914" s="104">
        <f t="shared" si="37"/>
        <v>-1473.6699999999973</v>
      </c>
      <c r="E914" s="186">
        <v>4743.3200000000006</v>
      </c>
      <c r="F914" s="186">
        <v>3269.6500000000033</v>
      </c>
    </row>
    <row r="915" spans="1:6" ht="12.95" hidden="1" customHeight="1" outlineLevel="1">
      <c r="A915" s="33" t="s">
        <v>1100</v>
      </c>
      <c r="B915" s="33">
        <v>889</v>
      </c>
      <c r="C915" s="40" t="str">
        <f t="shared" si="36"/>
        <v>Miscellaneous &amp; Other889</v>
      </c>
      <c r="D915" s="104">
        <f t="shared" si="37"/>
        <v>-1.1699999999999964</v>
      </c>
      <c r="E915" s="186">
        <v>7.08</v>
      </c>
      <c r="F915" s="186">
        <v>5.9100000000000037</v>
      </c>
    </row>
    <row r="916" spans="1:6" ht="12.95" hidden="1" customHeight="1" outlineLevel="1">
      <c r="A916" s="33" t="s">
        <v>1100</v>
      </c>
      <c r="B916" s="33">
        <v>890</v>
      </c>
      <c r="C916" s="40" t="str">
        <f t="shared" si="36"/>
        <v>Miscellaneous &amp; Other890</v>
      </c>
      <c r="D916" s="104">
        <f t="shared" si="37"/>
        <v>-0.58999999999999897</v>
      </c>
      <c r="E916" s="186">
        <v>3.55</v>
      </c>
      <c r="F916" s="186">
        <v>2.9600000000000009</v>
      </c>
    </row>
    <row r="917" spans="1:6" ht="12.95" hidden="1" customHeight="1" outlineLevel="1">
      <c r="A917" s="33" t="s">
        <v>1100</v>
      </c>
      <c r="B917" s="33">
        <v>892</v>
      </c>
      <c r="C917" s="40" t="str">
        <f t="shared" si="36"/>
        <v>Miscellaneous &amp; Other892</v>
      </c>
      <c r="D917" s="104">
        <f t="shared" si="37"/>
        <v>-694.93999999999983</v>
      </c>
      <c r="E917" s="186">
        <v>1158</v>
      </c>
      <c r="F917" s="186">
        <v>463.06000000000017</v>
      </c>
    </row>
    <row r="918" spans="1:6" ht="12.95" hidden="1" customHeight="1" outlineLevel="1">
      <c r="A918" s="33" t="s">
        <v>1100</v>
      </c>
      <c r="B918" s="33">
        <v>893</v>
      </c>
      <c r="C918" s="40" t="str">
        <f t="shared" si="36"/>
        <v>Miscellaneous &amp; Other893</v>
      </c>
      <c r="D918" s="104">
        <f t="shared" si="37"/>
        <v>-8.5299999999999869</v>
      </c>
      <c r="E918" s="186">
        <v>51.45</v>
      </c>
      <c r="F918" s="186">
        <v>42.920000000000016</v>
      </c>
    </row>
    <row r="919" spans="1:6" ht="12.95" hidden="1" customHeight="1" outlineLevel="1">
      <c r="A919" s="33" t="s">
        <v>1100</v>
      </c>
      <c r="B919" s="33">
        <v>894</v>
      </c>
      <c r="C919" s="40" t="str">
        <f t="shared" si="36"/>
        <v>Miscellaneous &amp; Other894</v>
      </c>
      <c r="D919" s="104">
        <f t="shared" si="37"/>
        <v>15.430000000000064</v>
      </c>
      <c r="E919" s="186">
        <v>-93</v>
      </c>
      <c r="F919" s="186">
        <v>-77.569999999999936</v>
      </c>
    </row>
    <row r="920" spans="1:6" ht="12.95" hidden="1" customHeight="1" outlineLevel="1">
      <c r="A920" s="33" t="s">
        <v>1100</v>
      </c>
      <c r="B920" s="33">
        <v>902</v>
      </c>
      <c r="C920" s="40" t="str">
        <f t="shared" si="36"/>
        <v>Miscellaneous &amp; Other902</v>
      </c>
      <c r="D920" s="104">
        <f t="shared" si="37"/>
        <v>0</v>
      </c>
      <c r="E920" s="186">
        <v>0</v>
      </c>
      <c r="F920" s="186">
        <v>0</v>
      </c>
    </row>
    <row r="921" spans="1:6" ht="12.95" hidden="1" customHeight="1" outlineLevel="1">
      <c r="A921" s="33" t="s">
        <v>1100</v>
      </c>
      <c r="B921" s="33">
        <v>903</v>
      </c>
      <c r="C921" s="40" t="str">
        <f t="shared" si="36"/>
        <v>Miscellaneous &amp; Other903</v>
      </c>
      <c r="D921" s="104">
        <f t="shared" si="37"/>
        <v>551.62000000000012</v>
      </c>
      <c r="E921" s="186">
        <v>-731.2</v>
      </c>
      <c r="F921" s="186">
        <v>-179.57999999999993</v>
      </c>
    </row>
    <row r="922" spans="1:6" ht="12.95" hidden="1" customHeight="1" outlineLevel="1">
      <c r="A922" s="33" t="s">
        <v>1100</v>
      </c>
      <c r="B922" s="33">
        <v>904</v>
      </c>
      <c r="C922" s="40" t="str">
        <f t="shared" si="36"/>
        <v>Miscellaneous &amp; Other904</v>
      </c>
      <c r="D922" s="104">
        <f t="shared" si="37"/>
        <v>0</v>
      </c>
      <c r="E922" s="186">
        <v>0</v>
      </c>
      <c r="F922" s="186">
        <v>0</v>
      </c>
    </row>
    <row r="923" spans="1:6" ht="12.95" hidden="1" customHeight="1" outlineLevel="1">
      <c r="A923" s="33" t="s">
        <v>1100</v>
      </c>
      <c r="B923" s="33">
        <v>905</v>
      </c>
      <c r="C923" s="40" t="str">
        <f t="shared" si="36"/>
        <v>Miscellaneous &amp; Other905</v>
      </c>
      <c r="D923" s="104">
        <f t="shared" si="37"/>
        <v>-350.83999999999969</v>
      </c>
      <c r="E923" s="186">
        <v>974.05000000000018</v>
      </c>
      <c r="F923" s="186">
        <v>623.21000000000049</v>
      </c>
    </row>
    <row r="924" spans="1:6" ht="12.95" hidden="1" customHeight="1" outlineLevel="1">
      <c r="A924" s="33" t="s">
        <v>1100</v>
      </c>
      <c r="B924" s="33">
        <v>907</v>
      </c>
      <c r="C924" s="40" t="str">
        <f t="shared" si="36"/>
        <v>Miscellaneous &amp; Other907</v>
      </c>
      <c r="D924" s="104">
        <f t="shared" si="37"/>
        <v>0</v>
      </c>
      <c r="E924" s="186">
        <v>0</v>
      </c>
      <c r="F924" s="186">
        <v>0</v>
      </c>
    </row>
    <row r="925" spans="1:6" ht="12.95" hidden="1" customHeight="1" outlineLevel="1">
      <c r="A925" s="33" t="s">
        <v>1100</v>
      </c>
      <c r="B925" s="33">
        <v>908</v>
      </c>
      <c r="C925" s="40" t="str">
        <f t="shared" si="36"/>
        <v>Miscellaneous &amp; Other908</v>
      </c>
      <c r="D925" s="104">
        <f t="shared" si="37"/>
        <v>0</v>
      </c>
      <c r="E925" s="186">
        <v>0</v>
      </c>
      <c r="F925" s="186">
        <v>0</v>
      </c>
    </row>
    <row r="926" spans="1:6" ht="12.95" hidden="1" customHeight="1" outlineLevel="1">
      <c r="A926" s="33" t="s">
        <v>1100</v>
      </c>
      <c r="B926" s="33">
        <v>909</v>
      </c>
      <c r="C926" s="40" t="str">
        <f t="shared" si="36"/>
        <v>Miscellaneous &amp; Other909</v>
      </c>
      <c r="D926" s="104">
        <f t="shared" si="37"/>
        <v>0</v>
      </c>
      <c r="E926" s="186">
        <v>0</v>
      </c>
      <c r="F926" s="186">
        <v>0</v>
      </c>
    </row>
    <row r="927" spans="1:6" ht="12.95" hidden="1" customHeight="1" outlineLevel="1">
      <c r="A927" s="33" t="s">
        <v>1100</v>
      </c>
      <c r="B927" s="33">
        <v>910</v>
      </c>
      <c r="C927" s="40" t="str">
        <f t="shared" si="36"/>
        <v>Miscellaneous &amp; Other910</v>
      </c>
      <c r="D927" s="104">
        <f t="shared" si="37"/>
        <v>0</v>
      </c>
      <c r="E927" s="186">
        <v>0</v>
      </c>
      <c r="F927" s="186">
        <v>0</v>
      </c>
    </row>
    <row r="928" spans="1:6" ht="12.95" hidden="1" customHeight="1" outlineLevel="1">
      <c r="A928" s="33" t="s">
        <v>1100</v>
      </c>
      <c r="B928" s="33">
        <v>911</v>
      </c>
      <c r="C928" s="40" t="str">
        <f t="shared" si="36"/>
        <v>Miscellaneous &amp; Other911</v>
      </c>
      <c r="D928" s="104">
        <f t="shared" si="37"/>
        <v>0</v>
      </c>
      <c r="E928" s="186">
        <v>0</v>
      </c>
      <c r="F928" s="186">
        <v>0</v>
      </c>
    </row>
    <row r="929" spans="1:6" ht="12.95" hidden="1" customHeight="1" outlineLevel="1">
      <c r="A929" s="33" t="s">
        <v>1100</v>
      </c>
      <c r="B929" s="33">
        <v>912</v>
      </c>
      <c r="C929" s="40" t="str">
        <f t="shared" si="36"/>
        <v>Miscellaneous &amp; Other912</v>
      </c>
      <c r="D929" s="104">
        <f t="shared" si="37"/>
        <v>0</v>
      </c>
      <c r="E929" s="186">
        <v>0</v>
      </c>
      <c r="F929" s="186">
        <v>0</v>
      </c>
    </row>
    <row r="930" spans="1:6" ht="12.95" hidden="1" customHeight="1" outlineLevel="1">
      <c r="A930" s="33" t="s">
        <v>1100</v>
      </c>
      <c r="B930" s="33">
        <v>913</v>
      </c>
      <c r="C930" s="40" t="str">
        <f t="shared" si="36"/>
        <v>Miscellaneous &amp; Other913</v>
      </c>
      <c r="D930" s="104">
        <f t="shared" si="37"/>
        <v>0</v>
      </c>
      <c r="E930" s="186">
        <v>0</v>
      </c>
      <c r="F930" s="186">
        <v>0</v>
      </c>
    </row>
    <row r="931" spans="1:6" ht="12.95" hidden="1" customHeight="1" outlineLevel="1">
      <c r="A931" s="33" t="s">
        <v>1100</v>
      </c>
      <c r="B931" s="33">
        <v>920</v>
      </c>
      <c r="C931" s="40" t="str">
        <f t="shared" si="36"/>
        <v>Miscellaneous &amp; Other920</v>
      </c>
      <c r="D931" s="104">
        <f t="shared" si="37"/>
        <v>-22456.869999999966</v>
      </c>
      <c r="E931" s="186">
        <v>96010.050000000017</v>
      </c>
      <c r="F931" s="186">
        <v>73553.180000000051</v>
      </c>
    </row>
    <row r="932" spans="1:6" ht="12.95" hidden="1" customHeight="1" outlineLevel="1">
      <c r="A932" s="33" t="s">
        <v>1100</v>
      </c>
      <c r="B932" s="33">
        <v>921</v>
      </c>
      <c r="C932" s="40" t="str">
        <f t="shared" si="36"/>
        <v>Miscellaneous &amp; Other921</v>
      </c>
      <c r="D932" s="104">
        <f t="shared" si="37"/>
        <v>-15753.380000000005</v>
      </c>
      <c r="E932" s="186">
        <v>35080.03</v>
      </c>
      <c r="F932" s="186">
        <v>19326.649999999994</v>
      </c>
    </row>
    <row r="933" spans="1:6" ht="12.95" hidden="1" customHeight="1" outlineLevel="1">
      <c r="A933" s="33" t="s">
        <v>1100</v>
      </c>
      <c r="B933" s="33">
        <v>923</v>
      </c>
      <c r="C933" s="40" t="str">
        <f t="shared" si="36"/>
        <v>Miscellaneous &amp; Other923</v>
      </c>
      <c r="D933" s="104">
        <f t="shared" si="37"/>
        <v>-23185.69999999991</v>
      </c>
      <c r="E933" s="186">
        <v>78824.490000000005</v>
      </c>
      <c r="F933" s="186">
        <v>55638.790000000095</v>
      </c>
    </row>
    <row r="934" spans="1:6" ht="12.95" hidden="1" customHeight="1" outlineLevel="1">
      <c r="A934" s="33" t="s">
        <v>1100</v>
      </c>
      <c r="B934" s="33">
        <v>924</v>
      </c>
      <c r="C934" s="40" t="str">
        <f t="shared" si="36"/>
        <v>Miscellaneous &amp; Other924</v>
      </c>
      <c r="D934" s="104">
        <f t="shared" si="37"/>
        <v>0</v>
      </c>
      <c r="E934" s="186">
        <v>0</v>
      </c>
      <c r="F934" s="186">
        <v>0</v>
      </c>
    </row>
    <row r="935" spans="1:6" ht="12.95" hidden="1" customHeight="1" outlineLevel="1">
      <c r="A935" s="33" t="s">
        <v>1100</v>
      </c>
      <c r="B935" s="33">
        <v>925</v>
      </c>
      <c r="C935" s="40" t="str">
        <f t="shared" si="36"/>
        <v>Miscellaneous &amp; Other925</v>
      </c>
      <c r="D935" s="104">
        <f t="shared" si="37"/>
        <v>0</v>
      </c>
      <c r="E935" s="186">
        <v>0</v>
      </c>
      <c r="F935" s="186">
        <v>0</v>
      </c>
    </row>
    <row r="936" spans="1:6" ht="12.95" hidden="1" customHeight="1" outlineLevel="1">
      <c r="A936" s="33" t="s">
        <v>1100</v>
      </c>
      <c r="B936" s="33">
        <v>926</v>
      </c>
      <c r="C936" s="40" t="str">
        <f t="shared" si="36"/>
        <v>Miscellaneous &amp; Other926</v>
      </c>
      <c r="D936" s="104">
        <f t="shared" si="37"/>
        <v>-1323.9899999999998</v>
      </c>
      <c r="E936" s="186">
        <v>4140.8500000000004</v>
      </c>
      <c r="F936" s="186">
        <v>2816.8600000000006</v>
      </c>
    </row>
    <row r="937" spans="1:6" ht="12.95" hidden="1" customHeight="1" outlineLevel="1">
      <c r="A937" s="33" t="s">
        <v>1100</v>
      </c>
      <c r="B937" s="33">
        <v>928</v>
      </c>
      <c r="C937" s="40" t="str">
        <f t="shared" si="36"/>
        <v>Miscellaneous &amp; Other928</v>
      </c>
      <c r="D937" s="104">
        <f t="shared" si="37"/>
        <v>0</v>
      </c>
      <c r="E937" s="186">
        <v>0</v>
      </c>
      <c r="F937" s="186">
        <v>0</v>
      </c>
    </row>
    <row r="938" spans="1:6" ht="12.95" hidden="1" customHeight="1" outlineLevel="1">
      <c r="A938" s="33" t="s">
        <v>1100</v>
      </c>
      <c r="B938" s="33">
        <v>9301</v>
      </c>
      <c r="C938" s="40" t="str">
        <f t="shared" si="36"/>
        <v>Miscellaneous &amp; Other9301</v>
      </c>
      <c r="D938" s="104">
        <f t="shared" si="37"/>
        <v>0</v>
      </c>
      <c r="E938" s="186">
        <v>0</v>
      </c>
      <c r="F938" s="186">
        <v>0</v>
      </c>
    </row>
    <row r="939" spans="1:6" ht="12.95" hidden="1" customHeight="1" outlineLevel="1">
      <c r="A939" s="33" t="s">
        <v>1100</v>
      </c>
      <c r="B939" s="33">
        <v>9302</v>
      </c>
      <c r="C939" s="40" t="str">
        <f t="shared" si="36"/>
        <v>Miscellaneous &amp; Other9302</v>
      </c>
      <c r="D939" s="104">
        <f t="shared" si="37"/>
        <v>0</v>
      </c>
      <c r="E939" s="186">
        <v>0</v>
      </c>
      <c r="F939" s="186">
        <v>0</v>
      </c>
    </row>
    <row r="940" spans="1:6" ht="12.95" hidden="1" customHeight="1" outlineLevel="1">
      <c r="A940" s="33" t="s">
        <v>1100</v>
      </c>
      <c r="B940" s="33">
        <v>931</v>
      </c>
      <c r="C940" s="40" t="str">
        <f t="shared" si="36"/>
        <v>Miscellaneous &amp; Other931</v>
      </c>
      <c r="D940" s="104">
        <f t="shared" si="37"/>
        <v>0</v>
      </c>
      <c r="E940" s="186">
        <v>0</v>
      </c>
      <c r="F940" s="186">
        <v>0</v>
      </c>
    </row>
    <row r="941" spans="1:6" ht="12.95" hidden="1" customHeight="1" outlineLevel="1">
      <c r="A941" s="33" t="s">
        <v>1100</v>
      </c>
      <c r="B941" s="33">
        <v>932</v>
      </c>
      <c r="C941" s="40" t="str">
        <f t="shared" si="36"/>
        <v>Miscellaneous &amp; Other932</v>
      </c>
      <c r="D941" s="104">
        <f t="shared" si="37"/>
        <v>0</v>
      </c>
      <c r="E941" s="186">
        <v>0</v>
      </c>
      <c r="F941" s="186">
        <v>0</v>
      </c>
    </row>
    <row r="942" spans="1:6" ht="12.95" hidden="1" customHeight="1" outlineLevel="1">
      <c r="A942" s="33" t="s">
        <v>1100</v>
      </c>
      <c r="B942" s="33">
        <v>935</v>
      </c>
      <c r="C942" s="40" t="str">
        <f t="shared" si="36"/>
        <v>Miscellaneous &amp; Other935</v>
      </c>
      <c r="D942" s="104">
        <f t="shared" si="37"/>
        <v>0</v>
      </c>
      <c r="E942" s="186">
        <v>0</v>
      </c>
      <c r="F942" s="186">
        <v>0</v>
      </c>
    </row>
    <row r="943" spans="1:6" s="13" customFormat="1" collapsed="1">
      <c r="A943" s="14" t="s">
        <v>1100</v>
      </c>
      <c r="B943" s="15"/>
      <c r="D943" s="194">
        <f>SUM(D891:D942)</f>
        <v>-46827.429999999877</v>
      </c>
      <c r="E943" s="194">
        <f>SUM(E891:E942)</f>
        <v>185887.94000000003</v>
      </c>
      <c r="F943" s="194">
        <f>SUM(F891:F942)</f>
        <v>139060.51000000013</v>
      </c>
    </row>
    <row r="944" spans="1:6" ht="12.95" hidden="1" customHeight="1" outlineLevel="1">
      <c r="A944" s="33" t="s">
        <v>1101</v>
      </c>
      <c r="B944" s="33">
        <v>801</v>
      </c>
      <c r="C944" s="40" t="str">
        <f t="shared" ref="C944:C990" si="38">A944&amp;B944</f>
        <v>Miscellaneous Revenue Adjustment801</v>
      </c>
      <c r="D944" s="104">
        <f t="shared" ref="D944:D990" si="39">+F944-E944</f>
        <v>0</v>
      </c>
      <c r="E944" s="186">
        <v>0</v>
      </c>
      <c r="F944" s="186">
        <v>0</v>
      </c>
    </row>
    <row r="945" spans="1:6" ht="12.95" hidden="1" customHeight="1" outlineLevel="1">
      <c r="A945" s="33" t="s">
        <v>1101</v>
      </c>
      <c r="B945" s="33">
        <v>803</v>
      </c>
      <c r="C945" s="40" t="str">
        <f t="shared" si="38"/>
        <v>Miscellaneous Revenue Adjustment803</v>
      </c>
      <c r="D945" s="104">
        <f t="shared" si="39"/>
        <v>0</v>
      </c>
      <c r="E945" s="186">
        <v>0</v>
      </c>
      <c r="F945" s="186">
        <v>0</v>
      </c>
    </row>
    <row r="946" spans="1:6" ht="12.95" hidden="1" customHeight="1" outlineLevel="1">
      <c r="A946" s="33" t="s">
        <v>1101</v>
      </c>
      <c r="B946" s="33">
        <v>804</v>
      </c>
      <c r="C946" s="40" t="str">
        <f t="shared" si="38"/>
        <v>Miscellaneous Revenue Adjustment804</v>
      </c>
      <c r="D946" s="104">
        <f t="shared" si="39"/>
        <v>0</v>
      </c>
      <c r="E946" s="186">
        <v>0</v>
      </c>
      <c r="F946" s="186">
        <v>0</v>
      </c>
    </row>
    <row r="947" spans="1:6" ht="12.95" hidden="1" customHeight="1" outlineLevel="1">
      <c r="A947" s="33" t="s">
        <v>1101</v>
      </c>
      <c r="B947" s="33">
        <v>805</v>
      </c>
      <c r="C947" s="40" t="str">
        <f t="shared" si="38"/>
        <v>Miscellaneous Revenue Adjustment805</v>
      </c>
      <c r="D947" s="104">
        <f t="shared" si="39"/>
        <v>0</v>
      </c>
      <c r="E947" s="186">
        <v>0</v>
      </c>
      <c r="F947" s="186">
        <v>0</v>
      </c>
    </row>
    <row r="948" spans="1:6" ht="12.95" hidden="1" customHeight="1" outlineLevel="1">
      <c r="A948" s="33" t="s">
        <v>1101</v>
      </c>
      <c r="B948" s="33">
        <v>806</v>
      </c>
      <c r="C948" s="40" t="str">
        <f t="shared" si="38"/>
        <v>Miscellaneous Revenue Adjustment806</v>
      </c>
      <c r="D948" s="104">
        <f t="shared" si="39"/>
        <v>0</v>
      </c>
      <c r="E948" s="186">
        <v>0</v>
      </c>
      <c r="F948" s="186">
        <v>0</v>
      </c>
    </row>
    <row r="949" spans="1:6" ht="12.95" hidden="1" customHeight="1" outlineLevel="1">
      <c r="A949" s="33" t="s">
        <v>1101</v>
      </c>
      <c r="B949" s="33">
        <v>807</v>
      </c>
      <c r="C949" s="40" t="str">
        <f t="shared" si="38"/>
        <v>Miscellaneous Revenue Adjustment807</v>
      </c>
      <c r="D949" s="104">
        <f t="shared" si="39"/>
        <v>0</v>
      </c>
      <c r="E949" s="186">
        <v>0</v>
      </c>
      <c r="F949" s="186">
        <v>0</v>
      </c>
    </row>
    <row r="950" spans="1:6" ht="12.95" hidden="1" customHeight="1" outlineLevel="1">
      <c r="A950" s="33" t="s">
        <v>1101</v>
      </c>
      <c r="B950" s="33">
        <v>808</v>
      </c>
      <c r="C950" s="40" t="str">
        <f t="shared" si="38"/>
        <v>Miscellaneous Revenue Adjustment808</v>
      </c>
      <c r="D950" s="104">
        <f t="shared" si="39"/>
        <v>0</v>
      </c>
      <c r="E950" s="186">
        <v>0</v>
      </c>
      <c r="F950" s="186">
        <v>0</v>
      </c>
    </row>
    <row r="951" spans="1:6" ht="12.95" hidden="1" customHeight="1" outlineLevel="1">
      <c r="A951" s="33" t="s">
        <v>1101</v>
      </c>
      <c r="B951" s="33">
        <v>812</v>
      </c>
      <c r="C951" s="40" t="str">
        <f t="shared" si="38"/>
        <v>Miscellaneous Revenue Adjustment812</v>
      </c>
      <c r="D951" s="104">
        <f t="shared" si="39"/>
        <v>0</v>
      </c>
      <c r="E951" s="186">
        <v>0</v>
      </c>
      <c r="F951" s="186">
        <v>0</v>
      </c>
    </row>
    <row r="952" spans="1:6" ht="12.95" hidden="1" customHeight="1" outlineLevel="1">
      <c r="A952" s="33" t="s">
        <v>1101</v>
      </c>
      <c r="B952" s="33">
        <v>870</v>
      </c>
      <c r="C952" s="40" t="str">
        <f t="shared" si="38"/>
        <v>Miscellaneous Revenue Adjustment870</v>
      </c>
      <c r="D952" s="104">
        <f t="shared" si="39"/>
        <v>0</v>
      </c>
      <c r="E952" s="186">
        <v>0</v>
      </c>
      <c r="F952" s="186">
        <v>0</v>
      </c>
    </row>
    <row r="953" spans="1:6" ht="12.95" hidden="1" customHeight="1" outlineLevel="1">
      <c r="A953" s="33" t="s">
        <v>1101</v>
      </c>
      <c r="B953" s="33">
        <v>871</v>
      </c>
      <c r="C953" s="40" t="str">
        <f t="shared" si="38"/>
        <v>Miscellaneous Revenue Adjustment871</v>
      </c>
      <c r="D953" s="104">
        <f t="shared" si="39"/>
        <v>0</v>
      </c>
      <c r="E953" s="186">
        <v>0</v>
      </c>
      <c r="F953" s="186">
        <v>0</v>
      </c>
    </row>
    <row r="954" spans="1:6" ht="12.95" hidden="1" customHeight="1" outlineLevel="1">
      <c r="A954" s="33" t="s">
        <v>1101</v>
      </c>
      <c r="B954" s="33">
        <v>874</v>
      </c>
      <c r="C954" s="40" t="str">
        <f t="shared" si="38"/>
        <v>Miscellaneous Revenue Adjustment874</v>
      </c>
      <c r="D954" s="104">
        <f t="shared" si="39"/>
        <v>1647.81</v>
      </c>
      <c r="E954" s="186">
        <v>-3261.8099999999995</v>
      </c>
      <c r="F954" s="186">
        <v>-1613.9999999999995</v>
      </c>
    </row>
    <row r="955" spans="1:6" ht="12.95" hidden="1" customHeight="1" outlineLevel="1">
      <c r="A955" s="33" t="s">
        <v>1101</v>
      </c>
      <c r="B955" s="33">
        <v>875</v>
      </c>
      <c r="C955" s="40" t="str">
        <f t="shared" si="38"/>
        <v>Miscellaneous Revenue Adjustment875</v>
      </c>
      <c r="D955" s="104">
        <f t="shared" si="39"/>
        <v>0</v>
      </c>
      <c r="E955" s="186">
        <v>0</v>
      </c>
      <c r="F955" s="186">
        <v>0</v>
      </c>
    </row>
    <row r="956" spans="1:6" ht="12.95" hidden="1" customHeight="1" outlineLevel="1">
      <c r="A956" s="33" t="s">
        <v>1101</v>
      </c>
      <c r="B956" s="33">
        <v>876</v>
      </c>
      <c r="C956" s="40" t="str">
        <f t="shared" si="38"/>
        <v>Miscellaneous Revenue Adjustment876</v>
      </c>
      <c r="D956" s="104">
        <f t="shared" si="39"/>
        <v>0</v>
      </c>
      <c r="E956" s="186">
        <v>0</v>
      </c>
      <c r="F956" s="186">
        <v>0</v>
      </c>
    </row>
    <row r="957" spans="1:6" ht="12.95" hidden="1" customHeight="1" outlineLevel="1">
      <c r="A957" s="33" t="s">
        <v>1101</v>
      </c>
      <c r="B957" s="33">
        <v>878</v>
      </c>
      <c r="C957" s="40" t="str">
        <f t="shared" si="38"/>
        <v>Miscellaneous Revenue Adjustment878</v>
      </c>
      <c r="D957" s="104">
        <f t="shared" si="39"/>
        <v>13772.580000000009</v>
      </c>
      <c r="E957" s="186">
        <v>-31779.89000000001</v>
      </c>
      <c r="F957" s="186">
        <v>-18007.310000000001</v>
      </c>
    </row>
    <row r="958" spans="1:6" ht="12.95" hidden="1" customHeight="1" outlineLevel="1">
      <c r="A958" s="33" t="s">
        <v>1101</v>
      </c>
      <c r="B958" s="33">
        <v>879</v>
      </c>
      <c r="C958" s="40" t="str">
        <f t="shared" si="38"/>
        <v>Miscellaneous Revenue Adjustment879</v>
      </c>
      <c r="D958" s="104">
        <f t="shared" si="39"/>
        <v>0</v>
      </c>
      <c r="E958" s="186">
        <v>0</v>
      </c>
      <c r="F958" s="186">
        <v>0</v>
      </c>
    </row>
    <row r="959" spans="1:6" ht="12.95" hidden="1" customHeight="1" outlineLevel="1">
      <c r="A959" s="33" t="s">
        <v>1101</v>
      </c>
      <c r="B959" s="33">
        <v>880</v>
      </c>
      <c r="C959" s="40" t="str">
        <f t="shared" si="38"/>
        <v>Miscellaneous Revenue Adjustment880</v>
      </c>
      <c r="D959" s="104">
        <f t="shared" si="39"/>
        <v>0</v>
      </c>
      <c r="E959" s="186">
        <v>0</v>
      </c>
      <c r="F959" s="186">
        <v>0</v>
      </c>
    </row>
    <row r="960" spans="1:6" ht="12.95" hidden="1" customHeight="1" outlineLevel="1">
      <c r="A960" s="33" t="s">
        <v>1101</v>
      </c>
      <c r="B960" s="33">
        <v>881</v>
      </c>
      <c r="C960" s="40" t="str">
        <f t="shared" si="38"/>
        <v>Miscellaneous Revenue Adjustment881</v>
      </c>
      <c r="D960" s="104">
        <f t="shared" si="39"/>
        <v>0</v>
      </c>
      <c r="E960" s="186">
        <v>0</v>
      </c>
      <c r="F960" s="186">
        <v>0</v>
      </c>
    </row>
    <row r="961" spans="1:6" ht="12.95" hidden="1" customHeight="1" outlineLevel="1">
      <c r="A961" s="33" t="s">
        <v>1101</v>
      </c>
      <c r="B961" s="33">
        <v>885</v>
      </c>
      <c r="C961" s="40" t="str">
        <f t="shared" si="38"/>
        <v>Miscellaneous Revenue Adjustment885</v>
      </c>
      <c r="D961" s="104">
        <f t="shared" si="39"/>
        <v>0</v>
      </c>
      <c r="E961" s="186">
        <v>0</v>
      </c>
      <c r="F961" s="186">
        <v>0</v>
      </c>
    </row>
    <row r="962" spans="1:6" ht="12.95" hidden="1" customHeight="1" outlineLevel="1">
      <c r="A962" s="33" t="s">
        <v>1101</v>
      </c>
      <c r="B962" s="33">
        <v>886</v>
      </c>
      <c r="C962" s="40" t="str">
        <f t="shared" si="38"/>
        <v>Miscellaneous Revenue Adjustment886</v>
      </c>
      <c r="D962" s="104">
        <f t="shared" si="39"/>
        <v>0</v>
      </c>
      <c r="E962" s="186">
        <v>0</v>
      </c>
      <c r="F962" s="186">
        <v>0</v>
      </c>
    </row>
    <row r="963" spans="1:6" ht="12.95" hidden="1" customHeight="1" outlineLevel="1">
      <c r="A963" s="33" t="s">
        <v>1101</v>
      </c>
      <c r="B963" s="33">
        <v>887</v>
      </c>
      <c r="C963" s="40" t="str">
        <f t="shared" si="38"/>
        <v>Miscellaneous Revenue Adjustment887</v>
      </c>
      <c r="D963" s="104">
        <f t="shared" si="39"/>
        <v>-13146.63</v>
      </c>
      <c r="E963" s="186">
        <v>-8067.74</v>
      </c>
      <c r="F963" s="186">
        <v>-21214.37</v>
      </c>
    </row>
    <row r="964" spans="1:6" ht="12.95" hidden="1" customHeight="1" outlineLevel="1">
      <c r="A964" s="33" t="s">
        <v>1101</v>
      </c>
      <c r="B964" s="33">
        <v>889</v>
      </c>
      <c r="C964" s="40" t="str">
        <f t="shared" si="38"/>
        <v>Miscellaneous Revenue Adjustment889</v>
      </c>
      <c r="D964" s="104">
        <f t="shared" si="39"/>
        <v>0</v>
      </c>
      <c r="E964" s="186">
        <v>0</v>
      </c>
      <c r="F964" s="186">
        <v>0</v>
      </c>
    </row>
    <row r="965" spans="1:6" ht="12.95" hidden="1" customHeight="1" outlineLevel="1">
      <c r="A965" s="33" t="s">
        <v>1101</v>
      </c>
      <c r="B965" s="33">
        <v>890</v>
      </c>
      <c r="C965" s="40" t="str">
        <f t="shared" si="38"/>
        <v>Miscellaneous Revenue Adjustment890</v>
      </c>
      <c r="D965" s="104">
        <f t="shared" si="39"/>
        <v>0</v>
      </c>
      <c r="E965" s="186">
        <v>0</v>
      </c>
      <c r="F965" s="186">
        <v>0</v>
      </c>
    </row>
    <row r="966" spans="1:6" ht="12.95" hidden="1" customHeight="1" outlineLevel="1">
      <c r="A966" s="33" t="s">
        <v>1101</v>
      </c>
      <c r="B966" s="33">
        <v>892</v>
      </c>
      <c r="C966" s="40" t="str">
        <f t="shared" si="38"/>
        <v>Miscellaneous Revenue Adjustment892</v>
      </c>
      <c r="D966" s="104">
        <f t="shared" si="39"/>
        <v>2671.4199999999983</v>
      </c>
      <c r="E966" s="186">
        <v>-50362.640000000007</v>
      </c>
      <c r="F966" s="186">
        <v>-47691.220000000008</v>
      </c>
    </row>
    <row r="967" spans="1:6" ht="12.95" hidden="1" customHeight="1" outlineLevel="1">
      <c r="A967" s="33" t="s">
        <v>1101</v>
      </c>
      <c r="B967" s="33">
        <v>893</v>
      </c>
      <c r="C967" s="40" t="str">
        <f t="shared" si="38"/>
        <v>Miscellaneous Revenue Adjustment893</v>
      </c>
      <c r="D967" s="104">
        <f t="shared" si="39"/>
        <v>0</v>
      </c>
      <c r="E967" s="186">
        <v>0</v>
      </c>
      <c r="F967" s="186">
        <v>0</v>
      </c>
    </row>
    <row r="968" spans="1:6" ht="12.95" hidden="1" customHeight="1" outlineLevel="1">
      <c r="A968" s="33" t="s">
        <v>1101</v>
      </c>
      <c r="B968" s="33">
        <v>894</v>
      </c>
      <c r="C968" s="40" t="str">
        <f t="shared" si="38"/>
        <v>Miscellaneous Revenue Adjustment894</v>
      </c>
      <c r="D968" s="104">
        <f t="shared" si="39"/>
        <v>0</v>
      </c>
      <c r="E968" s="186">
        <v>0</v>
      </c>
      <c r="F968" s="186">
        <v>0</v>
      </c>
    </row>
    <row r="969" spans="1:6" ht="12.95" hidden="1" customHeight="1" outlineLevel="1">
      <c r="A969" s="33" t="s">
        <v>1101</v>
      </c>
      <c r="B969" s="33">
        <v>902</v>
      </c>
      <c r="C969" s="40" t="str">
        <f t="shared" si="38"/>
        <v>Miscellaneous Revenue Adjustment902</v>
      </c>
      <c r="D969" s="104">
        <f t="shared" si="39"/>
        <v>0</v>
      </c>
      <c r="E969" s="186">
        <v>0</v>
      </c>
      <c r="F969" s="186">
        <v>0</v>
      </c>
    </row>
    <row r="970" spans="1:6" ht="12.95" hidden="1" customHeight="1" outlineLevel="1">
      <c r="A970" s="33" t="s">
        <v>1101</v>
      </c>
      <c r="B970" s="33">
        <v>903</v>
      </c>
      <c r="C970" s="40" t="str">
        <f t="shared" si="38"/>
        <v>Miscellaneous Revenue Adjustment903</v>
      </c>
      <c r="D970" s="104">
        <f t="shared" si="39"/>
        <v>285.32000000000005</v>
      </c>
      <c r="E970" s="186">
        <v>-378.33000000000004</v>
      </c>
      <c r="F970" s="186">
        <v>-93.010000000000019</v>
      </c>
    </row>
    <row r="971" spans="1:6" ht="12.95" hidden="1" customHeight="1" outlineLevel="1">
      <c r="A971" s="33" t="s">
        <v>1101</v>
      </c>
      <c r="B971" s="33">
        <v>904</v>
      </c>
      <c r="C971" s="40" t="str">
        <f t="shared" si="38"/>
        <v>Miscellaneous Revenue Adjustment904</v>
      </c>
      <c r="D971" s="104">
        <f t="shared" si="39"/>
        <v>0</v>
      </c>
      <c r="E971" s="186">
        <v>0</v>
      </c>
      <c r="F971" s="186">
        <v>0</v>
      </c>
    </row>
    <row r="972" spans="1:6" ht="12.95" hidden="1" customHeight="1" outlineLevel="1">
      <c r="A972" s="33" t="s">
        <v>1101</v>
      </c>
      <c r="B972" s="33">
        <v>905</v>
      </c>
      <c r="C972" s="40" t="str">
        <f t="shared" si="38"/>
        <v>Miscellaneous Revenue Adjustment905</v>
      </c>
      <c r="D972" s="104">
        <f t="shared" si="39"/>
        <v>0</v>
      </c>
      <c r="E972" s="186">
        <v>0</v>
      </c>
      <c r="F972" s="186">
        <v>0</v>
      </c>
    </row>
    <row r="973" spans="1:6" ht="12.95" hidden="1" customHeight="1" outlineLevel="1">
      <c r="A973" s="33" t="s">
        <v>1101</v>
      </c>
      <c r="B973" s="33">
        <v>907</v>
      </c>
      <c r="C973" s="40" t="str">
        <f t="shared" si="38"/>
        <v>Miscellaneous Revenue Adjustment907</v>
      </c>
      <c r="D973" s="104">
        <f t="shared" si="39"/>
        <v>0</v>
      </c>
      <c r="E973" s="186">
        <v>0</v>
      </c>
      <c r="F973" s="186">
        <v>0</v>
      </c>
    </row>
    <row r="974" spans="1:6" ht="12.95" hidden="1" customHeight="1" outlineLevel="1">
      <c r="A974" s="33" t="s">
        <v>1101</v>
      </c>
      <c r="B974" s="33">
        <v>908</v>
      </c>
      <c r="C974" s="40" t="str">
        <f t="shared" si="38"/>
        <v>Miscellaneous Revenue Adjustment908</v>
      </c>
      <c r="D974" s="104">
        <f t="shared" si="39"/>
        <v>0</v>
      </c>
      <c r="E974" s="186">
        <v>0</v>
      </c>
      <c r="F974" s="186">
        <v>0</v>
      </c>
    </row>
    <row r="975" spans="1:6" ht="12.95" hidden="1" customHeight="1" outlineLevel="1">
      <c r="A975" s="33" t="s">
        <v>1101</v>
      </c>
      <c r="B975" s="33">
        <v>909</v>
      </c>
      <c r="C975" s="40" t="str">
        <f t="shared" si="38"/>
        <v>Miscellaneous Revenue Adjustment909</v>
      </c>
      <c r="D975" s="104">
        <f t="shared" si="39"/>
        <v>0</v>
      </c>
      <c r="E975" s="186">
        <v>0</v>
      </c>
      <c r="F975" s="186">
        <v>0</v>
      </c>
    </row>
    <row r="976" spans="1:6" ht="12.95" hidden="1" customHeight="1" outlineLevel="1">
      <c r="A976" s="33" t="s">
        <v>1101</v>
      </c>
      <c r="B976" s="33">
        <v>910</v>
      </c>
      <c r="C976" s="40" t="str">
        <f t="shared" si="38"/>
        <v>Miscellaneous Revenue Adjustment910</v>
      </c>
      <c r="D976" s="104">
        <f t="shared" si="39"/>
        <v>0</v>
      </c>
      <c r="E976" s="186">
        <v>0</v>
      </c>
      <c r="F976" s="186">
        <v>0</v>
      </c>
    </row>
    <row r="977" spans="1:6" ht="12.95" hidden="1" customHeight="1" outlineLevel="1">
      <c r="A977" s="33" t="s">
        <v>1101</v>
      </c>
      <c r="B977" s="33">
        <v>911</v>
      </c>
      <c r="C977" s="40" t="str">
        <f t="shared" si="38"/>
        <v>Miscellaneous Revenue Adjustment911</v>
      </c>
      <c r="D977" s="104">
        <f t="shared" si="39"/>
        <v>0</v>
      </c>
      <c r="E977" s="186">
        <v>0</v>
      </c>
      <c r="F977" s="186">
        <v>0</v>
      </c>
    </row>
    <row r="978" spans="1:6" ht="12.95" hidden="1" customHeight="1" outlineLevel="1">
      <c r="A978" s="33" t="s">
        <v>1101</v>
      </c>
      <c r="B978" s="33">
        <v>912</v>
      </c>
      <c r="C978" s="40" t="str">
        <f t="shared" si="38"/>
        <v>Miscellaneous Revenue Adjustment912</v>
      </c>
      <c r="D978" s="104">
        <f t="shared" si="39"/>
        <v>0</v>
      </c>
      <c r="E978" s="186">
        <v>0</v>
      </c>
      <c r="F978" s="186">
        <v>0</v>
      </c>
    </row>
    <row r="979" spans="1:6" ht="12.95" hidden="1" customHeight="1" outlineLevel="1">
      <c r="A979" s="33" t="s">
        <v>1101</v>
      </c>
      <c r="B979" s="33">
        <v>913</v>
      </c>
      <c r="C979" s="40" t="str">
        <f t="shared" si="38"/>
        <v>Miscellaneous Revenue Adjustment913</v>
      </c>
      <c r="D979" s="104">
        <f t="shared" si="39"/>
        <v>0</v>
      </c>
      <c r="E979" s="186">
        <v>0</v>
      </c>
      <c r="F979" s="186">
        <v>0</v>
      </c>
    </row>
    <row r="980" spans="1:6" ht="12.95" hidden="1" customHeight="1" outlineLevel="1">
      <c r="A980" s="33" t="s">
        <v>1101</v>
      </c>
      <c r="B980" s="33">
        <v>920</v>
      </c>
      <c r="C980" s="40" t="str">
        <f t="shared" si="38"/>
        <v>Miscellaneous Revenue Adjustment920</v>
      </c>
      <c r="D980" s="104">
        <f t="shared" si="39"/>
        <v>0</v>
      </c>
      <c r="E980" s="186">
        <v>0</v>
      </c>
      <c r="F980" s="186">
        <v>0</v>
      </c>
    </row>
    <row r="981" spans="1:6" ht="12.95" hidden="1" customHeight="1" outlineLevel="1">
      <c r="A981" s="33" t="s">
        <v>1101</v>
      </c>
      <c r="B981" s="33">
        <v>921</v>
      </c>
      <c r="C981" s="40" t="str">
        <f t="shared" si="38"/>
        <v>Miscellaneous Revenue Adjustment921</v>
      </c>
      <c r="D981" s="104">
        <f t="shared" si="39"/>
        <v>0</v>
      </c>
      <c r="E981" s="186">
        <v>0</v>
      </c>
      <c r="F981" s="186">
        <v>0</v>
      </c>
    </row>
    <row r="982" spans="1:6" ht="12.95" hidden="1" customHeight="1" outlineLevel="1">
      <c r="A982" s="33" t="s">
        <v>1101</v>
      </c>
      <c r="B982" s="33">
        <v>923</v>
      </c>
      <c r="C982" s="40" t="str">
        <f t="shared" si="38"/>
        <v>Miscellaneous Revenue Adjustment923</v>
      </c>
      <c r="D982" s="104">
        <f t="shared" si="39"/>
        <v>0</v>
      </c>
      <c r="E982" s="186">
        <v>0</v>
      </c>
      <c r="F982" s="186">
        <v>0</v>
      </c>
    </row>
    <row r="983" spans="1:6" ht="12.95" hidden="1" customHeight="1" outlineLevel="1">
      <c r="A983" s="33" t="s">
        <v>1101</v>
      </c>
      <c r="B983" s="33">
        <v>924</v>
      </c>
      <c r="C983" s="40" t="str">
        <f t="shared" si="38"/>
        <v>Miscellaneous Revenue Adjustment924</v>
      </c>
      <c r="D983" s="104">
        <f t="shared" si="39"/>
        <v>0</v>
      </c>
      <c r="E983" s="186">
        <v>0</v>
      </c>
      <c r="F983" s="186">
        <v>0</v>
      </c>
    </row>
    <row r="984" spans="1:6" ht="12.95" hidden="1" customHeight="1" outlineLevel="1">
      <c r="A984" s="33" t="s">
        <v>1101</v>
      </c>
      <c r="B984" s="33">
        <v>925</v>
      </c>
      <c r="C984" s="40" t="str">
        <f t="shared" si="38"/>
        <v>Miscellaneous Revenue Adjustment925</v>
      </c>
      <c r="D984" s="104">
        <f t="shared" si="39"/>
        <v>0</v>
      </c>
      <c r="E984" s="186">
        <v>0</v>
      </c>
      <c r="F984" s="186">
        <v>0</v>
      </c>
    </row>
    <row r="985" spans="1:6" ht="12.95" hidden="1" customHeight="1" outlineLevel="1">
      <c r="A985" s="33" t="s">
        <v>1101</v>
      </c>
      <c r="B985" s="33">
        <v>926</v>
      </c>
      <c r="C985" s="40" t="str">
        <f t="shared" si="38"/>
        <v>Miscellaneous Revenue Adjustment926</v>
      </c>
      <c r="D985" s="104">
        <f t="shared" si="39"/>
        <v>0</v>
      </c>
      <c r="E985" s="186">
        <v>0</v>
      </c>
      <c r="F985" s="186">
        <v>0</v>
      </c>
    </row>
    <row r="986" spans="1:6" ht="12.95" hidden="1" customHeight="1" outlineLevel="1">
      <c r="A986" s="33" t="s">
        <v>1101</v>
      </c>
      <c r="B986" s="33">
        <v>928</v>
      </c>
      <c r="C986" s="40" t="str">
        <f t="shared" si="38"/>
        <v>Miscellaneous Revenue Adjustment928</v>
      </c>
      <c r="D986" s="104">
        <f t="shared" si="39"/>
        <v>0</v>
      </c>
      <c r="E986" s="186">
        <v>0</v>
      </c>
      <c r="F986" s="186">
        <v>0</v>
      </c>
    </row>
    <row r="987" spans="1:6" ht="12.95" hidden="1" customHeight="1" outlineLevel="1">
      <c r="A987" s="33" t="s">
        <v>1101</v>
      </c>
      <c r="B987" s="33">
        <v>930</v>
      </c>
      <c r="C987" s="40" t="str">
        <f t="shared" si="38"/>
        <v>Miscellaneous Revenue Adjustment930</v>
      </c>
      <c r="D987" s="104">
        <f t="shared" si="39"/>
        <v>0</v>
      </c>
      <c r="E987" s="186">
        <v>0</v>
      </c>
      <c r="F987" s="186">
        <v>0</v>
      </c>
    </row>
    <row r="988" spans="1:6" ht="12.95" hidden="1" customHeight="1" outlineLevel="1">
      <c r="A988" s="33" t="s">
        <v>1101</v>
      </c>
      <c r="B988" s="33">
        <v>931</v>
      </c>
      <c r="C988" s="40" t="str">
        <f t="shared" si="38"/>
        <v>Miscellaneous Revenue Adjustment931</v>
      </c>
      <c r="D988" s="104">
        <f t="shared" si="39"/>
        <v>0</v>
      </c>
      <c r="E988" s="186">
        <v>0</v>
      </c>
      <c r="F988" s="186">
        <v>0</v>
      </c>
    </row>
    <row r="989" spans="1:6" ht="12.95" hidden="1" customHeight="1" outlineLevel="1">
      <c r="A989" s="33" t="s">
        <v>1101</v>
      </c>
      <c r="B989" s="33">
        <v>932</v>
      </c>
      <c r="C989" s="40" t="str">
        <f t="shared" si="38"/>
        <v>Miscellaneous Revenue Adjustment932</v>
      </c>
      <c r="D989" s="104">
        <f t="shared" si="39"/>
        <v>0</v>
      </c>
      <c r="E989" s="186">
        <v>0</v>
      </c>
      <c r="F989" s="186">
        <v>0</v>
      </c>
    </row>
    <row r="990" spans="1:6" ht="12.95" hidden="1" customHeight="1" outlineLevel="1">
      <c r="A990" s="33" t="s">
        <v>1101</v>
      </c>
      <c r="B990" s="33">
        <v>935</v>
      </c>
      <c r="C990" s="40" t="str">
        <f t="shared" si="38"/>
        <v>Miscellaneous Revenue Adjustment935</v>
      </c>
      <c r="D990" s="104">
        <f t="shared" si="39"/>
        <v>0</v>
      </c>
      <c r="E990" s="186">
        <v>0</v>
      </c>
      <c r="F990" s="186">
        <v>0</v>
      </c>
    </row>
    <row r="991" spans="1:6" s="13" customFormat="1" collapsed="1">
      <c r="A991" s="14" t="s">
        <v>1101</v>
      </c>
      <c r="B991" s="15"/>
      <c r="D991" s="194">
        <f>SUM(D944:D990)</f>
        <v>5230.5000000000073</v>
      </c>
      <c r="E991" s="194">
        <f>SUM(E944:E990)</f>
        <v>-93850.410000000018</v>
      </c>
      <c r="F991" s="194">
        <f>SUM(F944:F990)</f>
        <v>-88619.91</v>
      </c>
    </row>
    <row r="992" spans="1:6" ht="12.95" hidden="1" customHeight="1" outlineLevel="1">
      <c r="A992" s="33" t="s">
        <v>1102</v>
      </c>
      <c r="B992" s="33">
        <v>801</v>
      </c>
      <c r="C992" s="40" t="str">
        <f t="shared" ref="C992:C1038" si="40">A992&amp;B992</f>
        <v>Miscellaneous Revenue Tracker801</v>
      </c>
      <c r="D992" s="104">
        <f t="shared" ref="D992:D1038" si="41">+F992-E992</f>
        <v>0</v>
      </c>
      <c r="E992" s="186">
        <v>0</v>
      </c>
      <c r="F992" s="186">
        <v>0</v>
      </c>
    </row>
    <row r="993" spans="1:6" ht="12.95" hidden="1" customHeight="1" outlineLevel="1">
      <c r="A993" s="33" t="s">
        <v>1102</v>
      </c>
      <c r="B993" s="33">
        <v>803</v>
      </c>
      <c r="C993" s="40" t="str">
        <f t="shared" si="40"/>
        <v>Miscellaneous Revenue Tracker803</v>
      </c>
      <c r="D993" s="104">
        <f t="shared" si="41"/>
        <v>0</v>
      </c>
      <c r="E993" s="186">
        <v>0</v>
      </c>
      <c r="F993" s="186">
        <v>0</v>
      </c>
    </row>
    <row r="994" spans="1:6" ht="12.95" hidden="1" customHeight="1" outlineLevel="1">
      <c r="A994" s="33" t="s">
        <v>1102</v>
      </c>
      <c r="B994" s="33">
        <v>804</v>
      </c>
      <c r="C994" s="40" t="str">
        <f t="shared" si="40"/>
        <v>Miscellaneous Revenue Tracker804</v>
      </c>
      <c r="D994" s="104">
        <f t="shared" si="41"/>
        <v>0</v>
      </c>
      <c r="E994" s="186">
        <v>0</v>
      </c>
      <c r="F994" s="186">
        <v>0</v>
      </c>
    </row>
    <row r="995" spans="1:6" ht="12.95" hidden="1" customHeight="1" outlineLevel="1">
      <c r="A995" s="33" t="s">
        <v>1102</v>
      </c>
      <c r="B995" s="33">
        <v>805</v>
      </c>
      <c r="C995" s="40" t="str">
        <f t="shared" si="40"/>
        <v>Miscellaneous Revenue Tracker805</v>
      </c>
      <c r="D995" s="104">
        <f t="shared" si="41"/>
        <v>0</v>
      </c>
      <c r="E995" s="186">
        <v>0</v>
      </c>
      <c r="F995" s="186">
        <v>0</v>
      </c>
    </row>
    <row r="996" spans="1:6" ht="12.95" hidden="1" customHeight="1" outlineLevel="1">
      <c r="A996" s="33" t="s">
        <v>1102</v>
      </c>
      <c r="B996" s="33">
        <v>806</v>
      </c>
      <c r="C996" s="40" t="str">
        <f t="shared" si="40"/>
        <v>Miscellaneous Revenue Tracker806</v>
      </c>
      <c r="D996" s="104">
        <f t="shared" si="41"/>
        <v>0</v>
      </c>
      <c r="E996" s="186">
        <v>0</v>
      </c>
      <c r="F996" s="186">
        <v>0</v>
      </c>
    </row>
    <row r="997" spans="1:6" ht="12.95" hidden="1" customHeight="1" outlineLevel="1">
      <c r="A997" s="33" t="s">
        <v>1102</v>
      </c>
      <c r="B997" s="33">
        <v>807</v>
      </c>
      <c r="C997" s="40" t="str">
        <f t="shared" si="40"/>
        <v>Miscellaneous Revenue Tracker807</v>
      </c>
      <c r="D997" s="104">
        <f t="shared" si="41"/>
        <v>0</v>
      </c>
      <c r="E997" s="186">
        <v>0</v>
      </c>
      <c r="F997" s="186">
        <v>0</v>
      </c>
    </row>
    <row r="998" spans="1:6" ht="12.95" hidden="1" customHeight="1" outlineLevel="1">
      <c r="A998" s="33" t="s">
        <v>1102</v>
      </c>
      <c r="B998" s="33">
        <v>808</v>
      </c>
      <c r="C998" s="40" t="str">
        <f t="shared" si="40"/>
        <v>Miscellaneous Revenue Tracker808</v>
      </c>
      <c r="D998" s="104">
        <f t="shared" si="41"/>
        <v>0</v>
      </c>
      <c r="E998" s="186">
        <v>0</v>
      </c>
      <c r="F998" s="186">
        <v>0</v>
      </c>
    </row>
    <row r="999" spans="1:6" ht="12.95" hidden="1" customHeight="1" outlineLevel="1">
      <c r="A999" s="33" t="s">
        <v>1102</v>
      </c>
      <c r="B999" s="33">
        <v>812</v>
      </c>
      <c r="C999" s="40" t="str">
        <f t="shared" si="40"/>
        <v>Miscellaneous Revenue Tracker812</v>
      </c>
      <c r="D999" s="104">
        <f t="shared" si="41"/>
        <v>0</v>
      </c>
      <c r="E999" s="186">
        <v>0</v>
      </c>
      <c r="F999" s="186">
        <v>0</v>
      </c>
    </row>
    <row r="1000" spans="1:6" ht="12.95" hidden="1" customHeight="1" outlineLevel="1">
      <c r="A1000" s="33" t="s">
        <v>1102</v>
      </c>
      <c r="B1000" s="33">
        <v>870</v>
      </c>
      <c r="C1000" s="40" t="str">
        <f t="shared" si="40"/>
        <v>Miscellaneous Revenue Tracker870</v>
      </c>
      <c r="D1000" s="104">
        <f t="shared" si="41"/>
        <v>0</v>
      </c>
      <c r="E1000" s="186">
        <v>0</v>
      </c>
      <c r="F1000" s="186">
        <v>0</v>
      </c>
    </row>
    <row r="1001" spans="1:6" ht="12.95" hidden="1" customHeight="1" outlineLevel="1">
      <c r="A1001" s="33" t="s">
        <v>1102</v>
      </c>
      <c r="B1001" s="33">
        <v>871</v>
      </c>
      <c r="C1001" s="40" t="str">
        <f t="shared" si="40"/>
        <v>Miscellaneous Revenue Tracker871</v>
      </c>
      <c r="D1001" s="104">
        <f t="shared" si="41"/>
        <v>0</v>
      </c>
      <c r="E1001" s="186">
        <v>0</v>
      </c>
      <c r="F1001" s="186">
        <v>0</v>
      </c>
    </row>
    <row r="1002" spans="1:6" ht="12.95" hidden="1" customHeight="1" outlineLevel="1">
      <c r="A1002" s="33" t="s">
        <v>1102</v>
      </c>
      <c r="B1002" s="33">
        <v>874</v>
      </c>
      <c r="C1002" s="40" t="str">
        <f t="shared" si="40"/>
        <v>Miscellaneous Revenue Tracker874</v>
      </c>
      <c r="D1002" s="104">
        <f t="shared" si="41"/>
        <v>0</v>
      </c>
      <c r="E1002" s="186">
        <v>0</v>
      </c>
      <c r="F1002" s="186">
        <v>0</v>
      </c>
    </row>
    <row r="1003" spans="1:6" ht="12.95" hidden="1" customHeight="1" outlineLevel="1">
      <c r="A1003" s="33" t="s">
        <v>1102</v>
      </c>
      <c r="B1003" s="33">
        <v>875</v>
      </c>
      <c r="C1003" s="40" t="str">
        <f t="shared" si="40"/>
        <v>Miscellaneous Revenue Tracker875</v>
      </c>
      <c r="D1003" s="104">
        <f t="shared" si="41"/>
        <v>0</v>
      </c>
      <c r="E1003" s="186">
        <v>0</v>
      </c>
      <c r="F1003" s="186">
        <v>0</v>
      </c>
    </row>
    <row r="1004" spans="1:6" ht="12.95" hidden="1" customHeight="1" outlineLevel="1">
      <c r="A1004" s="33" t="s">
        <v>1102</v>
      </c>
      <c r="B1004" s="33">
        <v>876</v>
      </c>
      <c r="C1004" s="40" t="str">
        <f t="shared" si="40"/>
        <v>Miscellaneous Revenue Tracker876</v>
      </c>
      <c r="D1004" s="104">
        <f t="shared" si="41"/>
        <v>0</v>
      </c>
      <c r="E1004" s="186">
        <v>0</v>
      </c>
      <c r="F1004" s="186">
        <v>0</v>
      </c>
    </row>
    <row r="1005" spans="1:6" ht="12.95" hidden="1" customHeight="1" outlineLevel="1">
      <c r="A1005" s="33" t="s">
        <v>1102</v>
      </c>
      <c r="B1005" s="33">
        <v>878</v>
      </c>
      <c r="C1005" s="40" t="str">
        <f t="shared" si="40"/>
        <v>Miscellaneous Revenue Tracker878</v>
      </c>
      <c r="D1005" s="104">
        <f t="shared" si="41"/>
        <v>0</v>
      </c>
      <c r="E1005" s="186">
        <v>0</v>
      </c>
      <c r="F1005" s="186">
        <v>0</v>
      </c>
    </row>
    <row r="1006" spans="1:6" ht="12.95" hidden="1" customHeight="1" outlineLevel="1">
      <c r="A1006" s="33" t="s">
        <v>1102</v>
      </c>
      <c r="B1006" s="33">
        <v>879</v>
      </c>
      <c r="C1006" s="40" t="str">
        <f t="shared" si="40"/>
        <v>Miscellaneous Revenue Tracker879</v>
      </c>
      <c r="D1006" s="104">
        <f t="shared" si="41"/>
        <v>0</v>
      </c>
      <c r="E1006" s="186">
        <v>0</v>
      </c>
      <c r="F1006" s="186">
        <v>0</v>
      </c>
    </row>
    <row r="1007" spans="1:6" ht="12.95" hidden="1" customHeight="1" outlineLevel="1">
      <c r="A1007" s="33" t="s">
        <v>1102</v>
      </c>
      <c r="B1007" s="33">
        <v>880</v>
      </c>
      <c r="C1007" s="40" t="str">
        <f t="shared" si="40"/>
        <v>Miscellaneous Revenue Tracker880</v>
      </c>
      <c r="D1007" s="104">
        <f t="shared" si="41"/>
        <v>0</v>
      </c>
      <c r="E1007" s="186">
        <v>0</v>
      </c>
      <c r="F1007" s="186">
        <v>0</v>
      </c>
    </row>
    <row r="1008" spans="1:6" ht="12.95" hidden="1" customHeight="1" outlineLevel="1">
      <c r="A1008" s="33" t="s">
        <v>1102</v>
      </c>
      <c r="B1008" s="33">
        <v>881</v>
      </c>
      <c r="C1008" s="40" t="str">
        <f t="shared" si="40"/>
        <v>Miscellaneous Revenue Tracker881</v>
      </c>
      <c r="D1008" s="104">
        <f t="shared" si="41"/>
        <v>0</v>
      </c>
      <c r="E1008" s="186">
        <v>0</v>
      </c>
      <c r="F1008" s="186">
        <v>0</v>
      </c>
    </row>
    <row r="1009" spans="1:6" ht="12.95" hidden="1" customHeight="1" outlineLevel="1">
      <c r="A1009" s="33" t="s">
        <v>1102</v>
      </c>
      <c r="B1009" s="33">
        <v>885</v>
      </c>
      <c r="C1009" s="40" t="str">
        <f t="shared" si="40"/>
        <v>Miscellaneous Revenue Tracker885</v>
      </c>
      <c r="D1009" s="104">
        <f t="shared" si="41"/>
        <v>0</v>
      </c>
      <c r="E1009" s="186">
        <v>0</v>
      </c>
      <c r="F1009" s="186">
        <v>0</v>
      </c>
    </row>
    <row r="1010" spans="1:6" ht="12.95" hidden="1" customHeight="1" outlineLevel="1">
      <c r="A1010" s="33" t="s">
        <v>1102</v>
      </c>
      <c r="B1010" s="33">
        <v>886</v>
      </c>
      <c r="C1010" s="40" t="str">
        <f t="shared" si="40"/>
        <v>Miscellaneous Revenue Tracker886</v>
      </c>
      <c r="D1010" s="104">
        <f t="shared" si="41"/>
        <v>0</v>
      </c>
      <c r="E1010" s="186">
        <v>0</v>
      </c>
      <c r="F1010" s="186">
        <v>0</v>
      </c>
    </row>
    <row r="1011" spans="1:6" ht="12.95" hidden="1" customHeight="1" outlineLevel="1">
      <c r="A1011" s="33" t="s">
        <v>1102</v>
      </c>
      <c r="B1011" s="33">
        <v>887</v>
      </c>
      <c r="C1011" s="40" t="str">
        <f t="shared" si="40"/>
        <v>Miscellaneous Revenue Tracker887</v>
      </c>
      <c r="D1011" s="104">
        <f t="shared" si="41"/>
        <v>0</v>
      </c>
      <c r="E1011" s="186">
        <v>0</v>
      </c>
      <c r="F1011" s="186">
        <v>0</v>
      </c>
    </row>
    <row r="1012" spans="1:6" ht="12.95" hidden="1" customHeight="1" outlineLevel="1">
      <c r="A1012" s="33" t="s">
        <v>1102</v>
      </c>
      <c r="B1012" s="33">
        <v>889</v>
      </c>
      <c r="C1012" s="40" t="str">
        <f t="shared" si="40"/>
        <v>Miscellaneous Revenue Tracker889</v>
      </c>
      <c r="D1012" s="104">
        <f t="shared" si="41"/>
        <v>0</v>
      </c>
      <c r="E1012" s="186">
        <v>0</v>
      </c>
      <c r="F1012" s="186">
        <v>0</v>
      </c>
    </row>
    <row r="1013" spans="1:6" ht="12.95" hidden="1" customHeight="1" outlineLevel="1">
      <c r="A1013" s="33" t="s">
        <v>1102</v>
      </c>
      <c r="B1013" s="33">
        <v>890</v>
      </c>
      <c r="C1013" s="40" t="str">
        <f t="shared" si="40"/>
        <v>Miscellaneous Revenue Tracker890</v>
      </c>
      <c r="D1013" s="104">
        <f t="shared" si="41"/>
        <v>0</v>
      </c>
      <c r="E1013" s="186">
        <v>0</v>
      </c>
      <c r="F1013" s="186">
        <v>0</v>
      </c>
    </row>
    <row r="1014" spans="1:6" ht="12.95" hidden="1" customHeight="1" outlineLevel="1">
      <c r="A1014" s="33" t="s">
        <v>1102</v>
      </c>
      <c r="B1014" s="33">
        <v>892</v>
      </c>
      <c r="C1014" s="40" t="str">
        <f t="shared" si="40"/>
        <v>Miscellaneous Revenue Tracker892</v>
      </c>
      <c r="D1014" s="104">
        <f t="shared" si="41"/>
        <v>0</v>
      </c>
      <c r="E1014" s="186">
        <v>0</v>
      </c>
      <c r="F1014" s="186">
        <v>0</v>
      </c>
    </row>
    <row r="1015" spans="1:6" ht="12.95" hidden="1" customHeight="1" outlineLevel="1">
      <c r="A1015" s="33" t="s">
        <v>1102</v>
      </c>
      <c r="B1015" s="33">
        <v>893</v>
      </c>
      <c r="C1015" s="40" t="str">
        <f t="shared" si="40"/>
        <v>Miscellaneous Revenue Tracker893</v>
      </c>
      <c r="D1015" s="104">
        <f t="shared" si="41"/>
        <v>0</v>
      </c>
      <c r="E1015" s="186">
        <v>0</v>
      </c>
      <c r="F1015" s="186">
        <v>0</v>
      </c>
    </row>
    <row r="1016" spans="1:6" ht="12.95" hidden="1" customHeight="1" outlineLevel="1">
      <c r="A1016" s="33" t="s">
        <v>1102</v>
      </c>
      <c r="B1016" s="33">
        <v>894</v>
      </c>
      <c r="C1016" s="40" t="str">
        <f t="shared" si="40"/>
        <v>Miscellaneous Revenue Tracker894</v>
      </c>
      <c r="D1016" s="104">
        <f t="shared" si="41"/>
        <v>0</v>
      </c>
      <c r="E1016" s="186">
        <v>0</v>
      </c>
      <c r="F1016" s="186">
        <v>0</v>
      </c>
    </row>
    <row r="1017" spans="1:6" ht="12.95" hidden="1" customHeight="1" outlineLevel="1">
      <c r="A1017" s="33" t="s">
        <v>1102</v>
      </c>
      <c r="B1017" s="33">
        <v>902</v>
      </c>
      <c r="C1017" s="40" t="str">
        <f t="shared" si="40"/>
        <v>Miscellaneous Revenue Tracker902</v>
      </c>
      <c r="D1017" s="104">
        <f t="shared" si="41"/>
        <v>0</v>
      </c>
      <c r="E1017" s="186">
        <v>0</v>
      </c>
      <c r="F1017" s="186">
        <v>0</v>
      </c>
    </row>
    <row r="1018" spans="1:6" ht="12.95" hidden="1" customHeight="1" outlineLevel="1">
      <c r="A1018" s="33" t="s">
        <v>1102</v>
      </c>
      <c r="B1018" s="33">
        <v>903</v>
      </c>
      <c r="C1018" s="40" t="str">
        <f t="shared" si="40"/>
        <v>Miscellaneous Revenue Tracker903</v>
      </c>
      <c r="D1018" s="104">
        <f t="shared" si="41"/>
        <v>0</v>
      </c>
      <c r="E1018" s="186">
        <v>0</v>
      </c>
      <c r="F1018" s="186">
        <v>0</v>
      </c>
    </row>
    <row r="1019" spans="1:6" ht="12.95" hidden="1" customHeight="1" outlineLevel="1">
      <c r="A1019" s="33" t="s">
        <v>1102</v>
      </c>
      <c r="B1019" s="33">
        <v>904</v>
      </c>
      <c r="C1019" s="40" t="str">
        <f t="shared" si="40"/>
        <v>Miscellaneous Revenue Tracker904</v>
      </c>
      <c r="D1019" s="104">
        <f t="shared" si="41"/>
        <v>0</v>
      </c>
      <c r="E1019" s="186">
        <v>0</v>
      </c>
      <c r="F1019" s="186">
        <v>0</v>
      </c>
    </row>
    <row r="1020" spans="1:6" ht="12.95" hidden="1" customHeight="1" outlineLevel="1">
      <c r="A1020" s="33" t="s">
        <v>1102</v>
      </c>
      <c r="B1020" s="33">
        <v>905</v>
      </c>
      <c r="C1020" s="40" t="str">
        <f t="shared" si="40"/>
        <v>Miscellaneous Revenue Tracker905</v>
      </c>
      <c r="D1020" s="104">
        <f t="shared" si="41"/>
        <v>0</v>
      </c>
      <c r="E1020" s="186">
        <v>0</v>
      </c>
      <c r="F1020" s="186">
        <v>0</v>
      </c>
    </row>
    <row r="1021" spans="1:6" ht="12.95" hidden="1" customHeight="1" outlineLevel="1">
      <c r="A1021" s="33" t="s">
        <v>1102</v>
      </c>
      <c r="B1021" s="33">
        <v>907</v>
      </c>
      <c r="C1021" s="40" t="str">
        <f t="shared" si="40"/>
        <v>Miscellaneous Revenue Tracker907</v>
      </c>
      <c r="D1021" s="104">
        <f t="shared" si="41"/>
        <v>0</v>
      </c>
      <c r="E1021" s="186">
        <v>0</v>
      </c>
      <c r="F1021" s="186">
        <v>0</v>
      </c>
    </row>
    <row r="1022" spans="1:6" ht="12.95" hidden="1" customHeight="1" outlineLevel="1">
      <c r="A1022" s="33" t="s">
        <v>1102</v>
      </c>
      <c r="B1022" s="33">
        <v>908</v>
      </c>
      <c r="C1022" s="40" t="str">
        <f t="shared" si="40"/>
        <v>Miscellaneous Revenue Tracker908</v>
      </c>
      <c r="D1022" s="104">
        <f t="shared" si="41"/>
        <v>37201.589999999997</v>
      </c>
      <c r="E1022" s="186">
        <v>69147.37000000001</v>
      </c>
      <c r="F1022" s="186">
        <v>106348.96</v>
      </c>
    </row>
    <row r="1023" spans="1:6" ht="12.95" hidden="1" customHeight="1" outlineLevel="1">
      <c r="A1023" s="33" t="s">
        <v>1102</v>
      </c>
      <c r="B1023" s="33">
        <v>909</v>
      </c>
      <c r="C1023" s="40" t="str">
        <f t="shared" si="40"/>
        <v>Miscellaneous Revenue Tracker909</v>
      </c>
      <c r="D1023" s="104">
        <f t="shared" si="41"/>
        <v>0</v>
      </c>
      <c r="E1023" s="186">
        <v>0</v>
      </c>
      <c r="F1023" s="186">
        <v>0</v>
      </c>
    </row>
    <row r="1024" spans="1:6" ht="12.95" hidden="1" customHeight="1" outlineLevel="1">
      <c r="A1024" s="33" t="s">
        <v>1102</v>
      </c>
      <c r="B1024" s="33">
        <v>910</v>
      </c>
      <c r="C1024" s="40" t="str">
        <f t="shared" si="40"/>
        <v>Miscellaneous Revenue Tracker910</v>
      </c>
      <c r="D1024" s="104">
        <f t="shared" si="41"/>
        <v>0</v>
      </c>
      <c r="E1024" s="186">
        <v>0</v>
      </c>
      <c r="F1024" s="186">
        <v>0</v>
      </c>
    </row>
    <row r="1025" spans="1:6" ht="12.95" hidden="1" customHeight="1" outlineLevel="1">
      <c r="A1025" s="33" t="s">
        <v>1102</v>
      </c>
      <c r="B1025" s="33">
        <v>911</v>
      </c>
      <c r="C1025" s="40" t="str">
        <f t="shared" si="40"/>
        <v>Miscellaneous Revenue Tracker911</v>
      </c>
      <c r="D1025" s="104">
        <f t="shared" si="41"/>
        <v>0</v>
      </c>
      <c r="E1025" s="186">
        <v>0</v>
      </c>
      <c r="F1025" s="186">
        <v>0</v>
      </c>
    </row>
    <row r="1026" spans="1:6" ht="12.95" hidden="1" customHeight="1" outlineLevel="1">
      <c r="A1026" s="33" t="s">
        <v>1102</v>
      </c>
      <c r="B1026" s="33">
        <v>912</v>
      </c>
      <c r="C1026" s="40" t="str">
        <f t="shared" si="40"/>
        <v>Miscellaneous Revenue Tracker912</v>
      </c>
      <c r="D1026" s="104">
        <f t="shared" si="41"/>
        <v>0</v>
      </c>
      <c r="E1026" s="186">
        <v>0</v>
      </c>
      <c r="F1026" s="186">
        <v>0</v>
      </c>
    </row>
    <row r="1027" spans="1:6" ht="12.95" hidden="1" customHeight="1" outlineLevel="1">
      <c r="A1027" s="33" t="s">
        <v>1102</v>
      </c>
      <c r="B1027" s="33">
        <v>913</v>
      </c>
      <c r="C1027" s="40" t="str">
        <f t="shared" si="40"/>
        <v>Miscellaneous Revenue Tracker913</v>
      </c>
      <c r="D1027" s="104">
        <f t="shared" si="41"/>
        <v>0</v>
      </c>
      <c r="E1027" s="186">
        <v>0</v>
      </c>
      <c r="F1027" s="186">
        <v>0</v>
      </c>
    </row>
    <row r="1028" spans="1:6" ht="12.95" hidden="1" customHeight="1" outlineLevel="1">
      <c r="A1028" s="33" t="s">
        <v>1102</v>
      </c>
      <c r="B1028" s="33">
        <v>920</v>
      </c>
      <c r="C1028" s="40" t="str">
        <f t="shared" si="40"/>
        <v>Miscellaneous Revenue Tracker920</v>
      </c>
      <c r="D1028" s="104">
        <f t="shared" si="41"/>
        <v>0</v>
      </c>
      <c r="E1028" s="186">
        <v>0</v>
      </c>
      <c r="F1028" s="186">
        <v>0</v>
      </c>
    </row>
    <row r="1029" spans="1:6" ht="12.95" hidden="1" customHeight="1" outlineLevel="1">
      <c r="A1029" s="33" t="s">
        <v>1102</v>
      </c>
      <c r="B1029" s="33">
        <v>921</v>
      </c>
      <c r="C1029" s="40" t="str">
        <f t="shared" si="40"/>
        <v>Miscellaneous Revenue Tracker921</v>
      </c>
      <c r="D1029" s="104">
        <f t="shared" si="41"/>
        <v>0</v>
      </c>
      <c r="E1029" s="186">
        <v>0</v>
      </c>
      <c r="F1029" s="186">
        <v>0</v>
      </c>
    </row>
    <row r="1030" spans="1:6" ht="12.95" hidden="1" customHeight="1" outlineLevel="1">
      <c r="A1030" s="33" t="s">
        <v>1102</v>
      </c>
      <c r="B1030" s="33">
        <v>923</v>
      </c>
      <c r="C1030" s="40" t="str">
        <f t="shared" si="40"/>
        <v>Miscellaneous Revenue Tracker923</v>
      </c>
      <c r="D1030" s="104">
        <f t="shared" si="41"/>
        <v>0</v>
      </c>
      <c r="E1030" s="186">
        <v>0</v>
      </c>
      <c r="F1030" s="186">
        <v>0</v>
      </c>
    </row>
    <row r="1031" spans="1:6" ht="12.95" hidden="1" customHeight="1" outlineLevel="1">
      <c r="A1031" s="33" t="s">
        <v>1102</v>
      </c>
      <c r="B1031" s="33">
        <v>924</v>
      </c>
      <c r="C1031" s="40" t="str">
        <f t="shared" si="40"/>
        <v>Miscellaneous Revenue Tracker924</v>
      </c>
      <c r="D1031" s="104">
        <f t="shared" si="41"/>
        <v>0</v>
      </c>
      <c r="E1031" s="186">
        <v>0</v>
      </c>
      <c r="F1031" s="186">
        <v>0</v>
      </c>
    </row>
    <row r="1032" spans="1:6" ht="12.95" hidden="1" customHeight="1" outlineLevel="1">
      <c r="A1032" s="33" t="s">
        <v>1102</v>
      </c>
      <c r="B1032" s="33">
        <v>925</v>
      </c>
      <c r="C1032" s="40" t="str">
        <f t="shared" si="40"/>
        <v>Miscellaneous Revenue Tracker925</v>
      </c>
      <c r="D1032" s="104">
        <f t="shared" si="41"/>
        <v>0</v>
      </c>
      <c r="E1032" s="186">
        <v>0</v>
      </c>
      <c r="F1032" s="186">
        <v>0</v>
      </c>
    </row>
    <row r="1033" spans="1:6" ht="12.95" hidden="1" customHeight="1" outlineLevel="1">
      <c r="A1033" s="33" t="s">
        <v>1102</v>
      </c>
      <c r="B1033" s="33">
        <v>926</v>
      </c>
      <c r="C1033" s="40" t="str">
        <f t="shared" si="40"/>
        <v>Miscellaneous Revenue Tracker926</v>
      </c>
      <c r="D1033" s="104">
        <f t="shared" si="41"/>
        <v>0</v>
      </c>
      <c r="E1033" s="186">
        <v>0</v>
      </c>
      <c r="F1033" s="186">
        <v>0</v>
      </c>
    </row>
    <row r="1034" spans="1:6" ht="12.95" hidden="1" customHeight="1" outlineLevel="1">
      <c r="A1034" s="33" t="s">
        <v>1102</v>
      </c>
      <c r="B1034" s="33">
        <v>928</v>
      </c>
      <c r="C1034" s="40" t="str">
        <f t="shared" si="40"/>
        <v>Miscellaneous Revenue Tracker928</v>
      </c>
      <c r="D1034" s="104">
        <f t="shared" si="41"/>
        <v>0</v>
      </c>
      <c r="E1034" s="186">
        <v>0</v>
      </c>
      <c r="F1034" s="186">
        <v>0</v>
      </c>
    </row>
    <row r="1035" spans="1:6" ht="12.95" hidden="1" customHeight="1" outlineLevel="1">
      <c r="A1035" s="33" t="s">
        <v>1102</v>
      </c>
      <c r="B1035" s="33">
        <v>930</v>
      </c>
      <c r="C1035" s="40" t="str">
        <f t="shared" si="40"/>
        <v>Miscellaneous Revenue Tracker930</v>
      </c>
      <c r="D1035" s="104">
        <f t="shared" si="41"/>
        <v>0</v>
      </c>
      <c r="E1035" s="186">
        <v>0</v>
      </c>
      <c r="F1035" s="186">
        <v>0</v>
      </c>
    </row>
    <row r="1036" spans="1:6" ht="12.95" hidden="1" customHeight="1" outlineLevel="1">
      <c r="A1036" s="33" t="s">
        <v>1102</v>
      </c>
      <c r="B1036" s="33">
        <v>931</v>
      </c>
      <c r="C1036" s="40" t="str">
        <f t="shared" si="40"/>
        <v>Miscellaneous Revenue Tracker931</v>
      </c>
      <c r="D1036" s="104">
        <f t="shared" si="41"/>
        <v>0</v>
      </c>
      <c r="E1036" s="186">
        <v>0</v>
      </c>
      <c r="F1036" s="186">
        <v>0</v>
      </c>
    </row>
    <row r="1037" spans="1:6" ht="12.95" hidden="1" customHeight="1" outlineLevel="1">
      <c r="A1037" s="33" t="s">
        <v>1102</v>
      </c>
      <c r="B1037" s="33">
        <v>932</v>
      </c>
      <c r="C1037" s="40" t="str">
        <f t="shared" si="40"/>
        <v>Miscellaneous Revenue Tracker932</v>
      </c>
      <c r="D1037" s="104">
        <f t="shared" si="41"/>
        <v>0</v>
      </c>
      <c r="E1037" s="186">
        <v>0</v>
      </c>
      <c r="F1037" s="186">
        <v>0</v>
      </c>
    </row>
    <row r="1038" spans="1:6" ht="12.95" hidden="1" customHeight="1" outlineLevel="1">
      <c r="A1038" s="33" t="s">
        <v>1102</v>
      </c>
      <c r="B1038" s="33">
        <v>935</v>
      </c>
      <c r="C1038" s="40" t="str">
        <f t="shared" si="40"/>
        <v>Miscellaneous Revenue Tracker935</v>
      </c>
      <c r="D1038" s="104">
        <f t="shared" si="41"/>
        <v>0</v>
      </c>
      <c r="E1038" s="186">
        <v>0</v>
      </c>
      <c r="F1038" s="186">
        <v>0</v>
      </c>
    </row>
    <row r="1039" spans="1:6" s="13" customFormat="1" collapsed="1">
      <c r="A1039" s="14" t="s">
        <v>1102</v>
      </c>
      <c r="B1039" s="15"/>
      <c r="D1039" s="196">
        <f>SUM(D992:D1038)</f>
        <v>37201.589999999997</v>
      </c>
      <c r="E1039" s="196">
        <f>SUM(E992:E1038)</f>
        <v>69147.37000000001</v>
      </c>
      <c r="F1039" s="196">
        <f>SUM(F992:F1038)</f>
        <v>106348.96</v>
      </c>
    </row>
    <row r="1040" spans="1:6" ht="12.95" hidden="1" customHeight="1" outlineLevel="1">
      <c r="A1040" s="33" t="s">
        <v>1552</v>
      </c>
      <c r="B1040" s="33">
        <v>801</v>
      </c>
      <c r="C1040" s="40" t="str">
        <f t="shared" ref="C1040:C1086" si="42">A1040&amp;B1040</f>
        <v>OPEB Expenses (Non-Service)801</v>
      </c>
      <c r="D1040" s="104">
        <f t="shared" ref="D1040:D1086" si="43">+F1040-E1040</f>
        <v>0</v>
      </c>
      <c r="E1040" s="186">
        <v>0</v>
      </c>
      <c r="F1040" s="186">
        <v>0</v>
      </c>
    </row>
    <row r="1041" spans="1:6" ht="12.95" hidden="1" customHeight="1" outlineLevel="1">
      <c r="A1041" s="33" t="s">
        <v>1552</v>
      </c>
      <c r="B1041" s="33">
        <v>803</v>
      </c>
      <c r="C1041" s="40" t="str">
        <f t="shared" si="42"/>
        <v>OPEB Expenses (Non-Service)803</v>
      </c>
      <c r="D1041" s="104">
        <f t="shared" si="43"/>
        <v>0</v>
      </c>
      <c r="E1041" s="186">
        <v>0</v>
      </c>
      <c r="F1041" s="186">
        <v>0</v>
      </c>
    </row>
    <row r="1042" spans="1:6" ht="12.95" hidden="1" customHeight="1" outlineLevel="1">
      <c r="A1042" s="33" t="s">
        <v>1552</v>
      </c>
      <c r="B1042" s="33">
        <v>804</v>
      </c>
      <c r="C1042" s="40" t="str">
        <f t="shared" si="42"/>
        <v>OPEB Expenses (Non-Service)804</v>
      </c>
      <c r="D1042" s="104">
        <f t="shared" si="43"/>
        <v>0</v>
      </c>
      <c r="E1042" s="186">
        <v>0</v>
      </c>
      <c r="F1042" s="186">
        <v>0</v>
      </c>
    </row>
    <row r="1043" spans="1:6" ht="12.95" hidden="1" customHeight="1" outlineLevel="1">
      <c r="A1043" s="33" t="s">
        <v>1552</v>
      </c>
      <c r="B1043" s="33">
        <v>805</v>
      </c>
      <c r="C1043" s="40" t="str">
        <f t="shared" si="42"/>
        <v>OPEB Expenses (Non-Service)805</v>
      </c>
      <c r="D1043" s="104">
        <f t="shared" si="43"/>
        <v>0</v>
      </c>
      <c r="E1043" s="186">
        <v>0</v>
      </c>
      <c r="F1043" s="186">
        <v>0</v>
      </c>
    </row>
    <row r="1044" spans="1:6" ht="12.95" hidden="1" customHeight="1" outlineLevel="1">
      <c r="A1044" s="33" t="s">
        <v>1552</v>
      </c>
      <c r="B1044" s="33">
        <v>806</v>
      </c>
      <c r="C1044" s="40" t="str">
        <f t="shared" si="42"/>
        <v>OPEB Expenses (Non-Service)806</v>
      </c>
      <c r="D1044" s="104">
        <f t="shared" si="43"/>
        <v>0</v>
      </c>
      <c r="E1044" s="186">
        <v>0</v>
      </c>
      <c r="F1044" s="186">
        <v>0</v>
      </c>
    </row>
    <row r="1045" spans="1:6" ht="12.95" hidden="1" customHeight="1" outlineLevel="1">
      <c r="A1045" s="33" t="s">
        <v>1552</v>
      </c>
      <c r="B1045" s="33">
        <v>807</v>
      </c>
      <c r="C1045" s="40" t="str">
        <f t="shared" si="42"/>
        <v>OPEB Expenses (Non-Service)807</v>
      </c>
      <c r="D1045" s="104">
        <f t="shared" si="43"/>
        <v>0</v>
      </c>
      <c r="E1045" s="186">
        <v>0</v>
      </c>
      <c r="F1045" s="186">
        <v>0</v>
      </c>
    </row>
    <row r="1046" spans="1:6" ht="12.95" hidden="1" customHeight="1" outlineLevel="1">
      <c r="A1046" s="33" t="s">
        <v>1552</v>
      </c>
      <c r="B1046" s="33">
        <v>808</v>
      </c>
      <c r="C1046" s="40" t="str">
        <f t="shared" si="42"/>
        <v>OPEB Expenses (Non-Service)808</v>
      </c>
      <c r="D1046" s="104">
        <f t="shared" si="43"/>
        <v>0</v>
      </c>
      <c r="E1046" s="186">
        <v>0</v>
      </c>
      <c r="F1046" s="186">
        <v>0</v>
      </c>
    </row>
    <row r="1047" spans="1:6" ht="12.95" hidden="1" customHeight="1" outlineLevel="1">
      <c r="A1047" s="33" t="s">
        <v>1552</v>
      </c>
      <c r="B1047" s="33">
        <v>812</v>
      </c>
      <c r="C1047" s="40" t="str">
        <f t="shared" si="42"/>
        <v>OPEB Expenses (Non-Service)812</v>
      </c>
      <c r="D1047" s="104">
        <f t="shared" si="43"/>
        <v>0</v>
      </c>
      <c r="E1047" s="186">
        <v>0</v>
      </c>
      <c r="F1047" s="186">
        <v>0</v>
      </c>
    </row>
    <row r="1048" spans="1:6" ht="12.95" hidden="1" customHeight="1" outlineLevel="1">
      <c r="A1048" s="33" t="s">
        <v>1552</v>
      </c>
      <c r="B1048" s="33">
        <v>870</v>
      </c>
      <c r="C1048" s="40" t="str">
        <f t="shared" si="42"/>
        <v>OPEB Expenses (Non-Service)870</v>
      </c>
      <c r="D1048" s="104">
        <f t="shared" si="43"/>
        <v>0</v>
      </c>
      <c r="E1048" s="186">
        <v>0</v>
      </c>
      <c r="F1048" s="186">
        <v>0</v>
      </c>
    </row>
    <row r="1049" spans="1:6" ht="12.95" hidden="1" customHeight="1" outlineLevel="1">
      <c r="A1049" s="33" t="s">
        <v>1552</v>
      </c>
      <c r="B1049" s="33">
        <v>871</v>
      </c>
      <c r="C1049" s="40" t="str">
        <f t="shared" si="42"/>
        <v>OPEB Expenses (Non-Service)871</v>
      </c>
      <c r="D1049" s="104">
        <f t="shared" si="43"/>
        <v>0</v>
      </c>
      <c r="E1049" s="186">
        <v>0</v>
      </c>
      <c r="F1049" s="186">
        <v>0</v>
      </c>
    </row>
    <row r="1050" spans="1:6" ht="12.95" hidden="1" customHeight="1" outlineLevel="1">
      <c r="A1050" s="33" t="s">
        <v>1552</v>
      </c>
      <c r="B1050" s="33">
        <v>874</v>
      </c>
      <c r="C1050" s="40" t="str">
        <f t="shared" si="42"/>
        <v>OPEB Expenses (Non-Service)874</v>
      </c>
      <c r="D1050" s="104">
        <f t="shared" si="43"/>
        <v>0</v>
      </c>
      <c r="E1050" s="186">
        <v>0</v>
      </c>
      <c r="F1050" s="186">
        <v>0</v>
      </c>
    </row>
    <row r="1051" spans="1:6" ht="12.95" hidden="1" customHeight="1" outlineLevel="1">
      <c r="A1051" s="33" t="s">
        <v>1552</v>
      </c>
      <c r="B1051" s="33">
        <v>875</v>
      </c>
      <c r="C1051" s="40" t="str">
        <f t="shared" si="42"/>
        <v>OPEB Expenses (Non-Service)875</v>
      </c>
      <c r="D1051" s="104">
        <f t="shared" si="43"/>
        <v>0</v>
      </c>
      <c r="E1051" s="186">
        <v>0</v>
      </c>
      <c r="F1051" s="186">
        <v>0</v>
      </c>
    </row>
    <row r="1052" spans="1:6" ht="12.95" hidden="1" customHeight="1" outlineLevel="1">
      <c r="A1052" s="33" t="s">
        <v>1552</v>
      </c>
      <c r="B1052" s="33">
        <v>876</v>
      </c>
      <c r="C1052" s="40" t="str">
        <f t="shared" si="42"/>
        <v>OPEB Expenses (Non-Service)876</v>
      </c>
      <c r="D1052" s="104">
        <f t="shared" si="43"/>
        <v>0</v>
      </c>
      <c r="E1052" s="186">
        <v>0</v>
      </c>
      <c r="F1052" s="186">
        <v>0</v>
      </c>
    </row>
    <row r="1053" spans="1:6" ht="12.95" hidden="1" customHeight="1" outlineLevel="1">
      <c r="A1053" s="33" t="s">
        <v>1552</v>
      </c>
      <c r="B1053" s="33">
        <v>878</v>
      </c>
      <c r="C1053" s="40" t="str">
        <f t="shared" si="42"/>
        <v>OPEB Expenses (Non-Service)878</v>
      </c>
      <c r="D1053" s="104">
        <f t="shared" si="43"/>
        <v>0</v>
      </c>
      <c r="E1053" s="186">
        <v>0</v>
      </c>
      <c r="F1053" s="186">
        <v>0</v>
      </c>
    </row>
    <row r="1054" spans="1:6" ht="12.95" hidden="1" customHeight="1" outlineLevel="1">
      <c r="A1054" s="33" t="s">
        <v>1552</v>
      </c>
      <c r="B1054" s="33">
        <v>879</v>
      </c>
      <c r="C1054" s="40" t="str">
        <f t="shared" si="42"/>
        <v>OPEB Expenses (Non-Service)879</v>
      </c>
      <c r="D1054" s="104">
        <f t="shared" si="43"/>
        <v>0</v>
      </c>
      <c r="E1054" s="186">
        <v>0</v>
      </c>
      <c r="F1054" s="186">
        <v>0</v>
      </c>
    </row>
    <row r="1055" spans="1:6" ht="12.95" hidden="1" customHeight="1" outlineLevel="1">
      <c r="A1055" s="33" t="s">
        <v>1552</v>
      </c>
      <c r="B1055" s="33">
        <v>880</v>
      </c>
      <c r="C1055" s="40" t="str">
        <f t="shared" si="42"/>
        <v>OPEB Expenses (Non-Service)880</v>
      </c>
      <c r="D1055" s="104">
        <f t="shared" si="43"/>
        <v>0</v>
      </c>
      <c r="E1055" s="186">
        <v>0</v>
      </c>
      <c r="F1055" s="186">
        <v>0</v>
      </c>
    </row>
    <row r="1056" spans="1:6" ht="12.95" hidden="1" customHeight="1" outlineLevel="1">
      <c r="A1056" s="33" t="s">
        <v>1552</v>
      </c>
      <c r="B1056" s="33">
        <v>881</v>
      </c>
      <c r="C1056" s="40" t="str">
        <f t="shared" si="42"/>
        <v>OPEB Expenses (Non-Service)881</v>
      </c>
      <c r="D1056" s="104">
        <f t="shared" si="43"/>
        <v>0</v>
      </c>
      <c r="E1056" s="186">
        <v>0</v>
      </c>
      <c r="F1056" s="186">
        <v>0</v>
      </c>
    </row>
    <row r="1057" spans="1:6" ht="12.95" hidden="1" customHeight="1" outlineLevel="1">
      <c r="A1057" s="33" t="s">
        <v>1552</v>
      </c>
      <c r="B1057" s="33">
        <v>885</v>
      </c>
      <c r="C1057" s="40" t="str">
        <f t="shared" si="42"/>
        <v>OPEB Expenses (Non-Service)885</v>
      </c>
      <c r="D1057" s="104">
        <f t="shared" si="43"/>
        <v>0</v>
      </c>
      <c r="E1057" s="186">
        <v>0</v>
      </c>
      <c r="F1057" s="186">
        <v>0</v>
      </c>
    </row>
    <row r="1058" spans="1:6" ht="12.95" hidden="1" customHeight="1" outlineLevel="1">
      <c r="A1058" s="33" t="s">
        <v>1552</v>
      </c>
      <c r="B1058" s="33">
        <v>886</v>
      </c>
      <c r="C1058" s="40" t="str">
        <f t="shared" si="42"/>
        <v>OPEB Expenses (Non-Service)886</v>
      </c>
      <c r="D1058" s="104">
        <f t="shared" si="43"/>
        <v>0</v>
      </c>
      <c r="E1058" s="186">
        <v>0</v>
      </c>
      <c r="F1058" s="186">
        <v>0</v>
      </c>
    </row>
    <row r="1059" spans="1:6" ht="12.95" hidden="1" customHeight="1" outlineLevel="1">
      <c r="A1059" s="33" t="s">
        <v>1552</v>
      </c>
      <c r="B1059" s="33">
        <v>887</v>
      </c>
      <c r="C1059" s="40" t="str">
        <f t="shared" si="42"/>
        <v>OPEB Expenses (Non-Service)887</v>
      </c>
      <c r="D1059" s="104">
        <f t="shared" si="43"/>
        <v>0</v>
      </c>
      <c r="E1059" s="186">
        <v>0</v>
      </c>
      <c r="F1059" s="186">
        <v>0</v>
      </c>
    </row>
    <row r="1060" spans="1:6" ht="12.95" hidden="1" customHeight="1" outlineLevel="1">
      <c r="A1060" s="33" t="s">
        <v>1552</v>
      </c>
      <c r="B1060" s="33">
        <v>889</v>
      </c>
      <c r="C1060" s="40" t="str">
        <f t="shared" si="42"/>
        <v>OPEB Expenses (Non-Service)889</v>
      </c>
      <c r="D1060" s="104">
        <f t="shared" si="43"/>
        <v>0</v>
      </c>
      <c r="E1060" s="186">
        <v>0</v>
      </c>
      <c r="F1060" s="186">
        <v>0</v>
      </c>
    </row>
    <row r="1061" spans="1:6" ht="12.95" hidden="1" customHeight="1" outlineLevel="1">
      <c r="A1061" s="33" t="s">
        <v>1552</v>
      </c>
      <c r="B1061" s="33">
        <v>890</v>
      </c>
      <c r="C1061" s="40" t="str">
        <f t="shared" si="42"/>
        <v>OPEB Expenses (Non-Service)890</v>
      </c>
      <c r="D1061" s="104">
        <f t="shared" si="43"/>
        <v>0</v>
      </c>
      <c r="E1061" s="186">
        <v>0</v>
      </c>
      <c r="F1061" s="186">
        <v>0</v>
      </c>
    </row>
    <row r="1062" spans="1:6" ht="12.95" hidden="1" customHeight="1" outlineLevel="1">
      <c r="A1062" s="33" t="s">
        <v>1552</v>
      </c>
      <c r="B1062" s="33">
        <v>892</v>
      </c>
      <c r="C1062" s="40" t="str">
        <f t="shared" si="42"/>
        <v>OPEB Expenses (Non-Service)892</v>
      </c>
      <c r="D1062" s="104">
        <f t="shared" si="43"/>
        <v>0</v>
      </c>
      <c r="E1062" s="186">
        <v>0</v>
      </c>
      <c r="F1062" s="186">
        <v>0</v>
      </c>
    </row>
    <row r="1063" spans="1:6" ht="12.95" hidden="1" customHeight="1" outlineLevel="1">
      <c r="A1063" s="33" t="s">
        <v>1552</v>
      </c>
      <c r="B1063" s="33">
        <v>893</v>
      </c>
      <c r="C1063" s="40" t="str">
        <f t="shared" si="42"/>
        <v>OPEB Expenses (Non-Service)893</v>
      </c>
      <c r="D1063" s="104">
        <f t="shared" si="43"/>
        <v>0</v>
      </c>
      <c r="E1063" s="186">
        <v>0</v>
      </c>
      <c r="F1063" s="186">
        <v>0</v>
      </c>
    </row>
    <row r="1064" spans="1:6" ht="12.95" hidden="1" customHeight="1" outlineLevel="1">
      <c r="A1064" s="33" t="s">
        <v>1552</v>
      </c>
      <c r="B1064" s="33">
        <v>894</v>
      </c>
      <c r="C1064" s="40" t="str">
        <f t="shared" si="42"/>
        <v>OPEB Expenses (Non-Service)894</v>
      </c>
      <c r="D1064" s="104">
        <f t="shared" si="43"/>
        <v>0</v>
      </c>
      <c r="E1064" s="186">
        <v>0</v>
      </c>
      <c r="F1064" s="186">
        <v>0</v>
      </c>
    </row>
    <row r="1065" spans="1:6" ht="12.95" hidden="1" customHeight="1" outlineLevel="1">
      <c r="A1065" s="33" t="s">
        <v>1552</v>
      </c>
      <c r="B1065" s="33">
        <v>902</v>
      </c>
      <c r="C1065" s="40" t="str">
        <f t="shared" si="42"/>
        <v>OPEB Expenses (Non-Service)902</v>
      </c>
      <c r="D1065" s="104">
        <f t="shared" si="43"/>
        <v>0</v>
      </c>
      <c r="E1065" s="186">
        <v>0</v>
      </c>
      <c r="F1065" s="186">
        <v>0</v>
      </c>
    </row>
    <row r="1066" spans="1:6" ht="12.95" hidden="1" customHeight="1" outlineLevel="1">
      <c r="A1066" s="33" t="s">
        <v>1552</v>
      </c>
      <c r="B1066" s="33">
        <v>903</v>
      </c>
      <c r="C1066" s="40" t="str">
        <f t="shared" si="42"/>
        <v>OPEB Expenses (Non-Service)903</v>
      </c>
      <c r="D1066" s="104">
        <f t="shared" si="43"/>
        <v>0</v>
      </c>
      <c r="E1066" s="186">
        <v>0</v>
      </c>
      <c r="F1066" s="186">
        <v>0</v>
      </c>
    </row>
    <row r="1067" spans="1:6" ht="12.95" hidden="1" customHeight="1" outlineLevel="1">
      <c r="A1067" s="33" t="s">
        <v>1552</v>
      </c>
      <c r="B1067" s="33">
        <v>904</v>
      </c>
      <c r="C1067" s="40" t="str">
        <f t="shared" si="42"/>
        <v>OPEB Expenses (Non-Service)904</v>
      </c>
      <c r="D1067" s="104">
        <f t="shared" si="43"/>
        <v>0</v>
      </c>
      <c r="E1067" s="186">
        <v>0</v>
      </c>
      <c r="F1067" s="186">
        <v>0</v>
      </c>
    </row>
    <row r="1068" spans="1:6" ht="12.95" hidden="1" customHeight="1" outlineLevel="1">
      <c r="A1068" s="33" t="s">
        <v>1552</v>
      </c>
      <c r="B1068" s="33">
        <v>905</v>
      </c>
      <c r="C1068" s="40" t="str">
        <f t="shared" si="42"/>
        <v>OPEB Expenses (Non-Service)905</v>
      </c>
      <c r="D1068" s="104">
        <f t="shared" si="43"/>
        <v>0</v>
      </c>
      <c r="E1068" s="186">
        <v>0</v>
      </c>
      <c r="F1068" s="186">
        <v>0</v>
      </c>
    </row>
    <row r="1069" spans="1:6" ht="12.95" hidden="1" customHeight="1" outlineLevel="1">
      <c r="A1069" s="33" t="s">
        <v>1552</v>
      </c>
      <c r="B1069" s="33">
        <v>907</v>
      </c>
      <c r="C1069" s="40" t="str">
        <f t="shared" si="42"/>
        <v>OPEB Expenses (Non-Service)907</v>
      </c>
      <c r="D1069" s="104">
        <f t="shared" si="43"/>
        <v>0</v>
      </c>
      <c r="E1069" s="186">
        <v>0</v>
      </c>
      <c r="F1069" s="186">
        <v>0</v>
      </c>
    </row>
    <row r="1070" spans="1:6" ht="12.95" hidden="1" customHeight="1" outlineLevel="1">
      <c r="A1070" s="33" t="s">
        <v>1552</v>
      </c>
      <c r="B1070" s="33">
        <v>908</v>
      </c>
      <c r="C1070" s="40" t="str">
        <f t="shared" si="42"/>
        <v>OPEB Expenses (Non-Service)908</v>
      </c>
      <c r="D1070" s="104">
        <f t="shared" si="43"/>
        <v>0</v>
      </c>
      <c r="E1070" s="186">
        <v>0</v>
      </c>
      <c r="F1070" s="186">
        <v>0</v>
      </c>
    </row>
    <row r="1071" spans="1:6" ht="12.95" hidden="1" customHeight="1" outlineLevel="1">
      <c r="A1071" s="33" t="s">
        <v>1552</v>
      </c>
      <c r="B1071" s="33">
        <v>909</v>
      </c>
      <c r="C1071" s="40" t="str">
        <f t="shared" si="42"/>
        <v>OPEB Expenses (Non-Service)909</v>
      </c>
      <c r="D1071" s="104">
        <f t="shared" si="43"/>
        <v>0</v>
      </c>
      <c r="E1071" s="186">
        <v>0</v>
      </c>
      <c r="F1071" s="186">
        <v>0</v>
      </c>
    </row>
    <row r="1072" spans="1:6" ht="12.95" hidden="1" customHeight="1" outlineLevel="1">
      <c r="A1072" s="33" t="s">
        <v>1552</v>
      </c>
      <c r="B1072" s="33">
        <v>910</v>
      </c>
      <c r="C1072" s="40" t="str">
        <f t="shared" si="42"/>
        <v>OPEB Expenses (Non-Service)910</v>
      </c>
      <c r="D1072" s="104">
        <f t="shared" si="43"/>
        <v>0</v>
      </c>
      <c r="E1072" s="186">
        <v>0</v>
      </c>
      <c r="F1072" s="186">
        <v>0</v>
      </c>
    </row>
    <row r="1073" spans="1:6" ht="12.95" hidden="1" customHeight="1" outlineLevel="1">
      <c r="A1073" s="33" t="s">
        <v>1552</v>
      </c>
      <c r="B1073" s="33">
        <v>911</v>
      </c>
      <c r="C1073" s="40" t="str">
        <f t="shared" si="42"/>
        <v>OPEB Expenses (Non-Service)911</v>
      </c>
      <c r="D1073" s="104">
        <f t="shared" si="43"/>
        <v>0</v>
      </c>
      <c r="E1073" s="186">
        <v>0</v>
      </c>
      <c r="F1073" s="186">
        <v>0</v>
      </c>
    </row>
    <row r="1074" spans="1:6" ht="12.95" hidden="1" customHeight="1" outlineLevel="1">
      <c r="A1074" s="33" t="s">
        <v>1552</v>
      </c>
      <c r="B1074" s="33">
        <v>912</v>
      </c>
      <c r="C1074" s="40" t="str">
        <f t="shared" si="42"/>
        <v>OPEB Expenses (Non-Service)912</v>
      </c>
      <c r="D1074" s="104">
        <f t="shared" si="43"/>
        <v>0</v>
      </c>
      <c r="E1074" s="186">
        <v>0</v>
      </c>
      <c r="F1074" s="186">
        <v>0</v>
      </c>
    </row>
    <row r="1075" spans="1:6" ht="12.95" hidden="1" customHeight="1" outlineLevel="1">
      <c r="A1075" s="33" t="s">
        <v>1552</v>
      </c>
      <c r="B1075" s="33">
        <v>913</v>
      </c>
      <c r="C1075" s="40" t="str">
        <f t="shared" si="42"/>
        <v>OPEB Expenses (Non-Service)913</v>
      </c>
      <c r="D1075" s="104">
        <f t="shared" si="43"/>
        <v>0</v>
      </c>
      <c r="E1075" s="186">
        <v>0</v>
      </c>
      <c r="F1075" s="186">
        <v>0</v>
      </c>
    </row>
    <row r="1076" spans="1:6" ht="12.95" hidden="1" customHeight="1" outlineLevel="1">
      <c r="A1076" s="33" t="s">
        <v>1552</v>
      </c>
      <c r="B1076" s="33">
        <v>920</v>
      </c>
      <c r="C1076" s="40" t="str">
        <f t="shared" si="42"/>
        <v>OPEB Expenses (Non-Service)920</v>
      </c>
      <c r="D1076" s="104">
        <f t="shared" si="43"/>
        <v>0</v>
      </c>
      <c r="E1076" s="186">
        <v>0</v>
      </c>
      <c r="F1076" s="186">
        <v>0</v>
      </c>
    </row>
    <row r="1077" spans="1:6" ht="12.95" hidden="1" customHeight="1" outlineLevel="1">
      <c r="A1077" s="33" t="s">
        <v>1552</v>
      </c>
      <c r="B1077" s="33">
        <v>921</v>
      </c>
      <c r="C1077" s="40" t="str">
        <f t="shared" si="42"/>
        <v>OPEB Expenses (Non-Service)921</v>
      </c>
      <c r="D1077" s="104">
        <f t="shared" si="43"/>
        <v>0</v>
      </c>
      <c r="E1077" s="186">
        <v>0</v>
      </c>
      <c r="F1077" s="186">
        <v>0</v>
      </c>
    </row>
    <row r="1078" spans="1:6" ht="12.95" hidden="1" customHeight="1" outlineLevel="1">
      <c r="A1078" s="33" t="s">
        <v>1552</v>
      </c>
      <c r="B1078" s="33">
        <v>923</v>
      </c>
      <c r="C1078" s="40" t="str">
        <f t="shared" si="42"/>
        <v>OPEB Expenses (Non-Service)923</v>
      </c>
      <c r="D1078" s="104">
        <f t="shared" si="43"/>
        <v>0</v>
      </c>
      <c r="E1078" s="186">
        <v>0</v>
      </c>
      <c r="F1078" s="186">
        <v>0</v>
      </c>
    </row>
    <row r="1079" spans="1:6" ht="12.95" hidden="1" customHeight="1" outlineLevel="1">
      <c r="A1079" s="33" t="s">
        <v>1552</v>
      </c>
      <c r="B1079" s="33">
        <v>924</v>
      </c>
      <c r="C1079" s="40" t="str">
        <f t="shared" si="42"/>
        <v>OPEB Expenses (Non-Service)924</v>
      </c>
      <c r="D1079" s="104">
        <f t="shared" si="43"/>
        <v>0</v>
      </c>
      <c r="E1079" s="186">
        <v>0</v>
      </c>
      <c r="F1079" s="186">
        <v>0</v>
      </c>
    </row>
    <row r="1080" spans="1:6" ht="12.95" hidden="1" customHeight="1" outlineLevel="1">
      <c r="A1080" s="33" t="s">
        <v>1552</v>
      </c>
      <c r="B1080" s="33">
        <v>925</v>
      </c>
      <c r="C1080" s="40" t="str">
        <f t="shared" si="42"/>
        <v>OPEB Expenses (Non-Service)925</v>
      </c>
      <c r="D1080" s="104">
        <f t="shared" si="43"/>
        <v>0</v>
      </c>
      <c r="E1080" s="186">
        <v>0</v>
      </c>
      <c r="F1080" s="186">
        <v>0</v>
      </c>
    </row>
    <row r="1081" spans="1:6" ht="12.95" hidden="1" customHeight="1" outlineLevel="1">
      <c r="A1081" s="33" t="s">
        <v>1552</v>
      </c>
      <c r="B1081" s="33">
        <v>926</v>
      </c>
      <c r="C1081" s="40" t="str">
        <f t="shared" si="42"/>
        <v>OPEB Expenses (Non-Service)926</v>
      </c>
      <c r="D1081" s="104">
        <f t="shared" si="43"/>
        <v>-32943.409999999989</v>
      </c>
      <c r="E1081" s="186">
        <v>53943.409999999989</v>
      </c>
      <c r="F1081" s="186">
        <v>21000</v>
      </c>
    </row>
    <row r="1082" spans="1:6" ht="12.95" hidden="1" customHeight="1" outlineLevel="1">
      <c r="A1082" s="33" t="s">
        <v>1552</v>
      </c>
      <c r="B1082" s="33">
        <v>928</v>
      </c>
      <c r="C1082" s="40" t="str">
        <f t="shared" si="42"/>
        <v>OPEB Expenses (Non-Service)928</v>
      </c>
      <c r="D1082" s="104">
        <f t="shared" si="43"/>
        <v>0</v>
      </c>
      <c r="E1082" s="186">
        <v>0</v>
      </c>
      <c r="F1082" s="186">
        <v>0</v>
      </c>
    </row>
    <row r="1083" spans="1:6" ht="12.95" hidden="1" customHeight="1" outlineLevel="1">
      <c r="A1083" s="33" t="s">
        <v>1552</v>
      </c>
      <c r="B1083" s="33">
        <v>930</v>
      </c>
      <c r="C1083" s="40" t="str">
        <f t="shared" si="42"/>
        <v>OPEB Expenses (Non-Service)930</v>
      </c>
      <c r="D1083" s="104">
        <f t="shared" si="43"/>
        <v>0</v>
      </c>
      <c r="E1083" s="186">
        <v>0</v>
      </c>
      <c r="F1083" s="186">
        <v>0</v>
      </c>
    </row>
    <row r="1084" spans="1:6" ht="12.95" hidden="1" customHeight="1" outlineLevel="1">
      <c r="A1084" s="33" t="s">
        <v>1552</v>
      </c>
      <c r="B1084" s="33">
        <v>931</v>
      </c>
      <c r="C1084" s="40" t="str">
        <f t="shared" si="42"/>
        <v>OPEB Expenses (Non-Service)931</v>
      </c>
      <c r="D1084" s="104">
        <f t="shared" si="43"/>
        <v>0</v>
      </c>
      <c r="E1084" s="186">
        <v>0</v>
      </c>
      <c r="F1084" s="186">
        <v>0</v>
      </c>
    </row>
    <row r="1085" spans="1:6" ht="12.95" hidden="1" customHeight="1" outlineLevel="1">
      <c r="A1085" s="33" t="s">
        <v>1552</v>
      </c>
      <c r="B1085" s="33">
        <v>932</v>
      </c>
      <c r="C1085" s="40" t="str">
        <f t="shared" si="42"/>
        <v>OPEB Expenses (Non-Service)932</v>
      </c>
      <c r="D1085" s="104">
        <f t="shared" si="43"/>
        <v>0</v>
      </c>
      <c r="E1085" s="186">
        <v>0</v>
      </c>
      <c r="F1085" s="186">
        <v>0</v>
      </c>
    </row>
    <row r="1086" spans="1:6" ht="12.95" hidden="1" customHeight="1" outlineLevel="1">
      <c r="A1086" s="33" t="s">
        <v>1552</v>
      </c>
      <c r="B1086" s="33">
        <v>935</v>
      </c>
      <c r="C1086" s="40" t="str">
        <f t="shared" si="42"/>
        <v>OPEB Expenses (Non-Service)935</v>
      </c>
      <c r="D1086" s="104">
        <f t="shared" si="43"/>
        <v>0</v>
      </c>
      <c r="E1086" s="186">
        <v>0</v>
      </c>
      <c r="F1086" s="186">
        <v>0</v>
      </c>
    </row>
    <row r="1087" spans="1:6" s="13" customFormat="1" collapsed="1">
      <c r="A1087" s="14" t="s">
        <v>1552</v>
      </c>
      <c r="B1087" s="15"/>
      <c r="D1087" s="196">
        <f>SUM(D1040:D1086)</f>
        <v>-32943.409999999989</v>
      </c>
      <c r="E1087" s="196">
        <f>SUM(E1040:E1086)</f>
        <v>53943.409999999989</v>
      </c>
      <c r="F1087" s="196">
        <f>SUM(F1040:F1086)</f>
        <v>21000</v>
      </c>
    </row>
    <row r="1088" spans="1:6" ht="12.95" hidden="1" customHeight="1" outlineLevel="1">
      <c r="A1088" s="33" t="s">
        <v>1551</v>
      </c>
      <c r="B1088" s="33">
        <v>801</v>
      </c>
      <c r="C1088" s="40" t="str">
        <f t="shared" ref="C1088:C1134" si="44">A1088&amp;B1088</f>
        <v>OPEB Expenses (Service)801</v>
      </c>
      <c r="D1088" s="104">
        <f t="shared" ref="D1088:D1134" si="45">+F1088-E1088</f>
        <v>0</v>
      </c>
      <c r="E1088" s="186">
        <v>0</v>
      </c>
      <c r="F1088" s="186">
        <v>0</v>
      </c>
    </row>
    <row r="1089" spans="1:6" ht="12.95" hidden="1" customHeight="1" outlineLevel="1">
      <c r="A1089" s="33" t="s">
        <v>1551</v>
      </c>
      <c r="B1089" s="33">
        <v>803</v>
      </c>
      <c r="C1089" s="40" t="str">
        <f t="shared" si="44"/>
        <v>OPEB Expenses (Service)803</v>
      </c>
      <c r="D1089" s="104">
        <f t="shared" si="45"/>
        <v>0</v>
      </c>
      <c r="E1089" s="186">
        <v>0</v>
      </c>
      <c r="F1089" s="186">
        <v>0</v>
      </c>
    </row>
    <row r="1090" spans="1:6" ht="12.95" hidden="1" customHeight="1" outlineLevel="1">
      <c r="A1090" s="33" t="s">
        <v>1551</v>
      </c>
      <c r="B1090" s="33">
        <v>804</v>
      </c>
      <c r="C1090" s="40" t="str">
        <f t="shared" si="44"/>
        <v>OPEB Expenses (Service)804</v>
      </c>
      <c r="D1090" s="104">
        <f t="shared" si="45"/>
        <v>0</v>
      </c>
      <c r="E1090" s="186">
        <v>0</v>
      </c>
      <c r="F1090" s="186">
        <v>0</v>
      </c>
    </row>
    <row r="1091" spans="1:6" ht="12.95" hidden="1" customHeight="1" outlineLevel="1">
      <c r="A1091" s="33" t="s">
        <v>1551</v>
      </c>
      <c r="B1091" s="33">
        <v>805</v>
      </c>
      <c r="C1091" s="40" t="str">
        <f t="shared" si="44"/>
        <v>OPEB Expenses (Service)805</v>
      </c>
      <c r="D1091" s="104">
        <f t="shared" si="45"/>
        <v>0</v>
      </c>
      <c r="E1091" s="186">
        <v>0</v>
      </c>
      <c r="F1091" s="186">
        <v>0</v>
      </c>
    </row>
    <row r="1092" spans="1:6" ht="12.95" hidden="1" customHeight="1" outlineLevel="1">
      <c r="A1092" s="33" t="s">
        <v>1551</v>
      </c>
      <c r="B1092" s="33">
        <v>806</v>
      </c>
      <c r="C1092" s="40" t="str">
        <f t="shared" si="44"/>
        <v>OPEB Expenses (Service)806</v>
      </c>
      <c r="D1092" s="104">
        <f t="shared" si="45"/>
        <v>0</v>
      </c>
      <c r="E1092" s="186">
        <v>0</v>
      </c>
      <c r="F1092" s="186">
        <v>0</v>
      </c>
    </row>
    <row r="1093" spans="1:6" ht="12.95" hidden="1" customHeight="1" outlineLevel="1">
      <c r="A1093" s="33" t="s">
        <v>1551</v>
      </c>
      <c r="B1093" s="33">
        <v>807</v>
      </c>
      <c r="C1093" s="40" t="str">
        <f t="shared" si="44"/>
        <v>OPEB Expenses (Service)807</v>
      </c>
      <c r="D1093" s="104">
        <f t="shared" si="45"/>
        <v>0</v>
      </c>
      <c r="E1093" s="186">
        <v>0</v>
      </c>
      <c r="F1093" s="186">
        <v>0</v>
      </c>
    </row>
    <row r="1094" spans="1:6" ht="12.95" hidden="1" customHeight="1" outlineLevel="1">
      <c r="A1094" s="33" t="s">
        <v>1551</v>
      </c>
      <c r="B1094" s="33">
        <v>808</v>
      </c>
      <c r="C1094" s="40" t="str">
        <f t="shared" si="44"/>
        <v>OPEB Expenses (Service)808</v>
      </c>
      <c r="D1094" s="104">
        <f t="shared" si="45"/>
        <v>0</v>
      </c>
      <c r="E1094" s="186">
        <v>0</v>
      </c>
      <c r="F1094" s="186">
        <v>0</v>
      </c>
    </row>
    <row r="1095" spans="1:6" ht="12.95" hidden="1" customHeight="1" outlineLevel="1">
      <c r="A1095" s="33" t="s">
        <v>1551</v>
      </c>
      <c r="B1095" s="33">
        <v>812</v>
      </c>
      <c r="C1095" s="40" t="str">
        <f t="shared" si="44"/>
        <v>OPEB Expenses (Service)812</v>
      </c>
      <c r="D1095" s="104">
        <f t="shared" si="45"/>
        <v>0</v>
      </c>
      <c r="E1095" s="186">
        <v>0</v>
      </c>
      <c r="F1095" s="186">
        <v>0</v>
      </c>
    </row>
    <row r="1096" spans="1:6" ht="12.95" hidden="1" customHeight="1" outlineLevel="1">
      <c r="A1096" s="33" t="s">
        <v>1551</v>
      </c>
      <c r="B1096" s="33">
        <v>870</v>
      </c>
      <c r="C1096" s="40" t="str">
        <f t="shared" si="44"/>
        <v>OPEB Expenses (Service)870</v>
      </c>
      <c r="D1096" s="104">
        <f t="shared" si="45"/>
        <v>0</v>
      </c>
      <c r="E1096" s="186">
        <v>0</v>
      </c>
      <c r="F1096" s="186">
        <v>0</v>
      </c>
    </row>
    <row r="1097" spans="1:6" ht="12.95" hidden="1" customHeight="1" outlineLevel="1">
      <c r="A1097" s="33" t="s">
        <v>1551</v>
      </c>
      <c r="B1097" s="33">
        <v>871</v>
      </c>
      <c r="C1097" s="40" t="str">
        <f t="shared" si="44"/>
        <v>OPEB Expenses (Service)871</v>
      </c>
      <c r="D1097" s="104">
        <f t="shared" si="45"/>
        <v>0</v>
      </c>
      <c r="E1097" s="186">
        <v>0</v>
      </c>
      <c r="F1097" s="186">
        <v>0</v>
      </c>
    </row>
    <row r="1098" spans="1:6" ht="12.95" hidden="1" customHeight="1" outlineLevel="1">
      <c r="A1098" s="33" t="s">
        <v>1551</v>
      </c>
      <c r="B1098" s="33">
        <v>874</v>
      </c>
      <c r="C1098" s="40" t="str">
        <f t="shared" si="44"/>
        <v>OPEB Expenses (Service)874</v>
      </c>
      <c r="D1098" s="104">
        <f t="shared" si="45"/>
        <v>1.8699999999999992</v>
      </c>
      <c r="E1098" s="186">
        <v>-4.8699999999999992</v>
      </c>
      <c r="F1098" s="186">
        <v>-3</v>
      </c>
    </row>
    <row r="1099" spans="1:6" ht="12.95" hidden="1" customHeight="1" outlineLevel="1">
      <c r="A1099" s="33" t="s">
        <v>1551</v>
      </c>
      <c r="B1099" s="33">
        <v>875</v>
      </c>
      <c r="C1099" s="40" t="str">
        <f t="shared" si="44"/>
        <v>OPEB Expenses (Service)875</v>
      </c>
      <c r="D1099" s="104">
        <f t="shared" si="45"/>
        <v>0</v>
      </c>
      <c r="E1099" s="186">
        <v>0</v>
      </c>
      <c r="F1099" s="186">
        <v>0</v>
      </c>
    </row>
    <row r="1100" spans="1:6" ht="12.95" hidden="1" customHeight="1" outlineLevel="1">
      <c r="A1100" s="33" t="s">
        <v>1551</v>
      </c>
      <c r="B1100" s="33">
        <v>876</v>
      </c>
      <c r="C1100" s="40" t="str">
        <f t="shared" si="44"/>
        <v>OPEB Expenses (Service)876</v>
      </c>
      <c r="D1100" s="104">
        <f t="shared" si="45"/>
        <v>0</v>
      </c>
      <c r="E1100" s="186">
        <v>0</v>
      </c>
      <c r="F1100" s="186">
        <v>0</v>
      </c>
    </row>
    <row r="1101" spans="1:6" ht="12.95" hidden="1" customHeight="1" outlineLevel="1">
      <c r="A1101" s="33" t="s">
        <v>1551</v>
      </c>
      <c r="B1101" s="33">
        <v>878</v>
      </c>
      <c r="C1101" s="40" t="str">
        <f t="shared" si="44"/>
        <v>OPEB Expenses (Service)878</v>
      </c>
      <c r="D1101" s="104">
        <f t="shared" si="45"/>
        <v>0</v>
      </c>
      <c r="E1101" s="186">
        <v>0</v>
      </c>
      <c r="F1101" s="186">
        <v>0</v>
      </c>
    </row>
    <row r="1102" spans="1:6" ht="12.95" hidden="1" customHeight="1" outlineLevel="1">
      <c r="A1102" s="33" t="s">
        <v>1551</v>
      </c>
      <c r="B1102" s="33">
        <v>879</v>
      </c>
      <c r="C1102" s="40" t="str">
        <f t="shared" si="44"/>
        <v>OPEB Expenses (Service)879</v>
      </c>
      <c r="D1102" s="104">
        <f t="shared" si="45"/>
        <v>0</v>
      </c>
      <c r="E1102" s="186">
        <v>0</v>
      </c>
      <c r="F1102" s="186">
        <v>0</v>
      </c>
    </row>
    <row r="1103" spans="1:6" ht="12.95" hidden="1" customHeight="1" outlineLevel="1">
      <c r="A1103" s="33" t="s">
        <v>1551</v>
      </c>
      <c r="B1103" s="33">
        <v>880</v>
      </c>
      <c r="C1103" s="40" t="str">
        <f t="shared" si="44"/>
        <v>OPEB Expenses (Service)880</v>
      </c>
      <c r="D1103" s="104">
        <f t="shared" si="45"/>
        <v>3.7200000000000024</v>
      </c>
      <c r="E1103" s="186">
        <v>15.119999999999997</v>
      </c>
      <c r="F1103" s="186">
        <v>18.84</v>
      </c>
    </row>
    <row r="1104" spans="1:6" ht="12.95" hidden="1" customHeight="1" outlineLevel="1">
      <c r="A1104" s="33" t="s">
        <v>1551</v>
      </c>
      <c r="B1104" s="33">
        <v>881</v>
      </c>
      <c r="C1104" s="40" t="str">
        <f t="shared" si="44"/>
        <v>OPEB Expenses (Service)881</v>
      </c>
      <c r="D1104" s="104">
        <f t="shared" si="45"/>
        <v>0</v>
      </c>
      <c r="E1104" s="186">
        <v>0</v>
      </c>
      <c r="F1104" s="186">
        <v>0</v>
      </c>
    </row>
    <row r="1105" spans="1:6" ht="12.95" hidden="1" customHeight="1" outlineLevel="1">
      <c r="A1105" s="33" t="s">
        <v>1551</v>
      </c>
      <c r="B1105" s="33">
        <v>885</v>
      </c>
      <c r="C1105" s="40" t="str">
        <f t="shared" si="44"/>
        <v>OPEB Expenses (Service)885</v>
      </c>
      <c r="D1105" s="104">
        <f t="shared" si="45"/>
        <v>0</v>
      </c>
      <c r="E1105" s="186">
        <v>0</v>
      </c>
      <c r="F1105" s="186">
        <v>0</v>
      </c>
    </row>
    <row r="1106" spans="1:6" ht="12.95" hidden="1" customHeight="1" outlineLevel="1">
      <c r="A1106" s="33" t="s">
        <v>1551</v>
      </c>
      <c r="B1106" s="33">
        <v>886</v>
      </c>
      <c r="C1106" s="40" t="str">
        <f t="shared" si="44"/>
        <v>OPEB Expenses (Service)886</v>
      </c>
      <c r="D1106" s="104">
        <f t="shared" si="45"/>
        <v>0</v>
      </c>
      <c r="E1106" s="186">
        <v>0</v>
      </c>
      <c r="F1106" s="186">
        <v>0</v>
      </c>
    </row>
    <row r="1107" spans="1:6" ht="12.95" hidden="1" customHeight="1" outlineLevel="1">
      <c r="A1107" s="33" t="s">
        <v>1551</v>
      </c>
      <c r="B1107" s="33">
        <v>887</v>
      </c>
      <c r="C1107" s="40" t="str">
        <f t="shared" si="44"/>
        <v>OPEB Expenses (Service)887</v>
      </c>
      <c r="D1107" s="104">
        <f t="shared" si="45"/>
        <v>0</v>
      </c>
      <c r="E1107" s="186">
        <v>0</v>
      </c>
      <c r="F1107" s="186">
        <v>0</v>
      </c>
    </row>
    <row r="1108" spans="1:6" ht="12.95" hidden="1" customHeight="1" outlineLevel="1">
      <c r="A1108" s="33" t="s">
        <v>1551</v>
      </c>
      <c r="B1108" s="33">
        <v>889</v>
      </c>
      <c r="C1108" s="40" t="str">
        <f t="shared" si="44"/>
        <v>OPEB Expenses (Service)889</v>
      </c>
      <c r="D1108" s="104">
        <f t="shared" si="45"/>
        <v>0</v>
      </c>
      <c r="E1108" s="186">
        <v>0</v>
      </c>
      <c r="F1108" s="186">
        <v>0</v>
      </c>
    </row>
    <row r="1109" spans="1:6" ht="12.95" hidden="1" customHeight="1" outlineLevel="1">
      <c r="A1109" s="33" t="s">
        <v>1551</v>
      </c>
      <c r="B1109" s="33">
        <v>890</v>
      </c>
      <c r="C1109" s="40" t="str">
        <f t="shared" si="44"/>
        <v>OPEB Expenses (Service)890</v>
      </c>
      <c r="D1109" s="104">
        <f t="shared" si="45"/>
        <v>0</v>
      </c>
      <c r="E1109" s="186">
        <v>0</v>
      </c>
      <c r="F1109" s="186">
        <v>0</v>
      </c>
    </row>
    <row r="1110" spans="1:6" ht="12.95" hidden="1" customHeight="1" outlineLevel="1">
      <c r="A1110" s="33" t="s">
        <v>1551</v>
      </c>
      <c r="B1110" s="33">
        <v>892</v>
      </c>
      <c r="C1110" s="40" t="str">
        <f t="shared" si="44"/>
        <v>OPEB Expenses (Service)892</v>
      </c>
      <c r="D1110" s="104">
        <f t="shared" si="45"/>
        <v>0</v>
      </c>
      <c r="E1110" s="186">
        <v>0</v>
      </c>
      <c r="F1110" s="186">
        <v>0</v>
      </c>
    </row>
    <row r="1111" spans="1:6" ht="12.95" hidden="1" customHeight="1" outlineLevel="1">
      <c r="A1111" s="33" t="s">
        <v>1551</v>
      </c>
      <c r="B1111" s="33">
        <v>893</v>
      </c>
      <c r="C1111" s="40" t="str">
        <f t="shared" si="44"/>
        <v>OPEB Expenses (Service)893</v>
      </c>
      <c r="D1111" s="104">
        <f t="shared" si="45"/>
        <v>0</v>
      </c>
      <c r="E1111" s="186">
        <v>0</v>
      </c>
      <c r="F1111" s="186">
        <v>0</v>
      </c>
    </row>
    <row r="1112" spans="1:6" ht="12.95" hidden="1" customHeight="1" outlineLevel="1">
      <c r="A1112" s="33" t="s">
        <v>1551</v>
      </c>
      <c r="B1112" s="33">
        <v>894</v>
      </c>
      <c r="C1112" s="40" t="str">
        <f t="shared" si="44"/>
        <v>OPEB Expenses (Service)894</v>
      </c>
      <c r="D1112" s="104">
        <f t="shared" si="45"/>
        <v>0</v>
      </c>
      <c r="E1112" s="186">
        <v>0</v>
      </c>
      <c r="F1112" s="186">
        <v>0</v>
      </c>
    </row>
    <row r="1113" spans="1:6" ht="12.95" hidden="1" customHeight="1" outlineLevel="1">
      <c r="A1113" s="33" t="s">
        <v>1551</v>
      </c>
      <c r="B1113" s="33">
        <v>902</v>
      </c>
      <c r="C1113" s="40" t="str">
        <f t="shared" si="44"/>
        <v>OPEB Expenses (Service)902</v>
      </c>
      <c r="D1113" s="104">
        <f t="shared" si="45"/>
        <v>0</v>
      </c>
      <c r="E1113" s="186">
        <v>0</v>
      </c>
      <c r="F1113" s="186">
        <v>0</v>
      </c>
    </row>
    <row r="1114" spans="1:6" ht="12.95" hidden="1" customHeight="1" outlineLevel="1">
      <c r="A1114" s="33" t="s">
        <v>1551</v>
      </c>
      <c r="B1114" s="33">
        <v>903</v>
      </c>
      <c r="C1114" s="40" t="str">
        <f t="shared" si="44"/>
        <v>OPEB Expenses (Service)903</v>
      </c>
      <c r="D1114" s="104">
        <f t="shared" si="45"/>
        <v>0</v>
      </c>
      <c r="E1114" s="186">
        <v>0</v>
      </c>
      <c r="F1114" s="186">
        <v>0</v>
      </c>
    </row>
    <row r="1115" spans="1:6" ht="12.95" hidden="1" customHeight="1" outlineLevel="1">
      <c r="A1115" s="33" t="s">
        <v>1551</v>
      </c>
      <c r="B1115" s="33">
        <v>904</v>
      </c>
      <c r="C1115" s="40" t="str">
        <f t="shared" si="44"/>
        <v>OPEB Expenses (Service)904</v>
      </c>
      <c r="D1115" s="104">
        <f t="shared" si="45"/>
        <v>0</v>
      </c>
      <c r="E1115" s="186">
        <v>0</v>
      </c>
      <c r="F1115" s="186">
        <v>0</v>
      </c>
    </row>
    <row r="1116" spans="1:6" ht="12.95" hidden="1" customHeight="1" outlineLevel="1">
      <c r="A1116" s="33" t="s">
        <v>1551</v>
      </c>
      <c r="B1116" s="33">
        <v>905</v>
      </c>
      <c r="C1116" s="40" t="str">
        <f t="shared" si="44"/>
        <v>OPEB Expenses (Service)905</v>
      </c>
      <c r="D1116" s="104">
        <f t="shared" si="45"/>
        <v>0</v>
      </c>
      <c r="E1116" s="186">
        <v>0</v>
      </c>
      <c r="F1116" s="186">
        <v>0</v>
      </c>
    </row>
    <row r="1117" spans="1:6" ht="12.95" hidden="1" customHeight="1" outlineLevel="1">
      <c r="A1117" s="33" t="s">
        <v>1551</v>
      </c>
      <c r="B1117" s="33">
        <v>907</v>
      </c>
      <c r="C1117" s="40" t="str">
        <f t="shared" si="44"/>
        <v>OPEB Expenses (Service)907</v>
      </c>
      <c r="D1117" s="104">
        <f t="shared" si="45"/>
        <v>0</v>
      </c>
      <c r="E1117" s="186">
        <v>0</v>
      </c>
      <c r="F1117" s="186">
        <v>0</v>
      </c>
    </row>
    <row r="1118" spans="1:6" ht="12.95" hidden="1" customHeight="1" outlineLevel="1">
      <c r="A1118" s="33" t="s">
        <v>1551</v>
      </c>
      <c r="B1118" s="33">
        <v>908</v>
      </c>
      <c r="C1118" s="40" t="str">
        <f t="shared" si="44"/>
        <v>OPEB Expenses (Service)908</v>
      </c>
      <c r="D1118" s="104">
        <f t="shared" si="45"/>
        <v>0</v>
      </c>
      <c r="E1118" s="186">
        <v>0</v>
      </c>
      <c r="F1118" s="186">
        <v>0</v>
      </c>
    </row>
    <row r="1119" spans="1:6" ht="12.95" hidden="1" customHeight="1" outlineLevel="1">
      <c r="A1119" s="33" t="s">
        <v>1551</v>
      </c>
      <c r="B1119" s="33">
        <v>909</v>
      </c>
      <c r="C1119" s="40" t="str">
        <f t="shared" si="44"/>
        <v>OPEB Expenses (Service)909</v>
      </c>
      <c r="D1119" s="104">
        <f t="shared" si="45"/>
        <v>0</v>
      </c>
      <c r="E1119" s="186">
        <v>0</v>
      </c>
      <c r="F1119" s="186">
        <v>0</v>
      </c>
    </row>
    <row r="1120" spans="1:6" ht="12.95" hidden="1" customHeight="1" outlineLevel="1">
      <c r="A1120" s="33" t="s">
        <v>1551</v>
      </c>
      <c r="B1120" s="33">
        <v>910</v>
      </c>
      <c r="C1120" s="40" t="str">
        <f t="shared" si="44"/>
        <v>OPEB Expenses (Service)910</v>
      </c>
      <c r="D1120" s="104">
        <f t="shared" si="45"/>
        <v>0</v>
      </c>
      <c r="E1120" s="186">
        <v>0</v>
      </c>
      <c r="F1120" s="186">
        <v>0</v>
      </c>
    </row>
    <row r="1121" spans="1:6" ht="12.95" hidden="1" customHeight="1" outlineLevel="1">
      <c r="A1121" s="33" t="s">
        <v>1551</v>
      </c>
      <c r="B1121" s="33">
        <v>911</v>
      </c>
      <c r="C1121" s="40" t="str">
        <f t="shared" si="44"/>
        <v>OPEB Expenses (Service)911</v>
      </c>
      <c r="D1121" s="104">
        <f t="shared" si="45"/>
        <v>0</v>
      </c>
      <c r="E1121" s="186">
        <v>0</v>
      </c>
      <c r="F1121" s="186">
        <v>0</v>
      </c>
    </row>
    <row r="1122" spans="1:6" ht="12.95" hidden="1" customHeight="1" outlineLevel="1">
      <c r="A1122" s="33" t="s">
        <v>1551</v>
      </c>
      <c r="B1122" s="33">
        <v>912</v>
      </c>
      <c r="C1122" s="40" t="str">
        <f t="shared" si="44"/>
        <v>OPEB Expenses (Service)912</v>
      </c>
      <c r="D1122" s="104">
        <f t="shared" si="45"/>
        <v>0</v>
      </c>
      <c r="E1122" s="186">
        <v>0</v>
      </c>
      <c r="F1122" s="186">
        <v>0</v>
      </c>
    </row>
    <row r="1123" spans="1:6" ht="12.95" hidden="1" customHeight="1" outlineLevel="1">
      <c r="A1123" s="33" t="s">
        <v>1551</v>
      </c>
      <c r="B1123" s="33">
        <v>913</v>
      </c>
      <c r="C1123" s="40" t="str">
        <f t="shared" si="44"/>
        <v>OPEB Expenses (Service)913</v>
      </c>
      <c r="D1123" s="104">
        <f t="shared" si="45"/>
        <v>0</v>
      </c>
      <c r="E1123" s="186">
        <v>0</v>
      </c>
      <c r="F1123" s="186">
        <v>0</v>
      </c>
    </row>
    <row r="1124" spans="1:6" ht="12.95" hidden="1" customHeight="1" outlineLevel="1">
      <c r="A1124" s="33" t="s">
        <v>1551</v>
      </c>
      <c r="B1124" s="33">
        <v>920</v>
      </c>
      <c r="C1124" s="40" t="str">
        <f t="shared" si="44"/>
        <v>OPEB Expenses (Service)920</v>
      </c>
      <c r="D1124" s="104">
        <f t="shared" si="45"/>
        <v>0</v>
      </c>
      <c r="E1124" s="186">
        <v>0</v>
      </c>
      <c r="F1124" s="186">
        <v>0</v>
      </c>
    </row>
    <row r="1125" spans="1:6" ht="12.95" hidden="1" customHeight="1" outlineLevel="1">
      <c r="A1125" s="33" t="s">
        <v>1551</v>
      </c>
      <c r="B1125" s="33">
        <v>921</v>
      </c>
      <c r="C1125" s="40" t="str">
        <f t="shared" si="44"/>
        <v>OPEB Expenses (Service)921</v>
      </c>
      <c r="D1125" s="104">
        <f t="shared" si="45"/>
        <v>0</v>
      </c>
      <c r="E1125" s="186">
        <v>0</v>
      </c>
      <c r="F1125" s="186">
        <v>0</v>
      </c>
    </row>
    <row r="1126" spans="1:6" ht="12.95" hidden="1" customHeight="1" outlineLevel="1">
      <c r="A1126" s="33" t="s">
        <v>1551</v>
      </c>
      <c r="B1126" s="33">
        <v>923</v>
      </c>
      <c r="C1126" s="40" t="str">
        <f t="shared" si="44"/>
        <v>OPEB Expenses (Service)923</v>
      </c>
      <c r="D1126" s="104">
        <f t="shared" si="45"/>
        <v>0</v>
      </c>
      <c r="E1126" s="186">
        <v>0</v>
      </c>
      <c r="F1126" s="186">
        <v>0</v>
      </c>
    </row>
    <row r="1127" spans="1:6" ht="12.95" hidden="1" customHeight="1" outlineLevel="1">
      <c r="A1127" s="33" t="s">
        <v>1551</v>
      </c>
      <c r="B1127" s="33">
        <v>924</v>
      </c>
      <c r="C1127" s="40" t="str">
        <f t="shared" si="44"/>
        <v>OPEB Expenses (Service)924</v>
      </c>
      <c r="D1127" s="104">
        <f t="shared" si="45"/>
        <v>0</v>
      </c>
      <c r="E1127" s="186">
        <v>0</v>
      </c>
      <c r="F1127" s="186">
        <v>0</v>
      </c>
    </row>
    <row r="1128" spans="1:6" ht="12.95" hidden="1" customHeight="1" outlineLevel="1">
      <c r="A1128" s="33" t="s">
        <v>1551</v>
      </c>
      <c r="B1128" s="33">
        <v>925</v>
      </c>
      <c r="C1128" s="40" t="str">
        <f t="shared" si="44"/>
        <v>OPEB Expenses (Service)925</v>
      </c>
      <c r="D1128" s="104">
        <f t="shared" si="45"/>
        <v>0</v>
      </c>
      <c r="E1128" s="186">
        <v>0</v>
      </c>
      <c r="F1128" s="186">
        <v>0</v>
      </c>
    </row>
    <row r="1129" spans="1:6" ht="12.95" hidden="1" customHeight="1" outlineLevel="1">
      <c r="A1129" s="33" t="s">
        <v>1551</v>
      </c>
      <c r="B1129" s="33">
        <v>926</v>
      </c>
      <c r="C1129" s="40" t="str">
        <f t="shared" si="44"/>
        <v>OPEB Expenses (Service)926</v>
      </c>
      <c r="D1129" s="104">
        <f t="shared" si="45"/>
        <v>10643.100000000009</v>
      </c>
      <c r="E1129" s="186">
        <v>30901.499999999996</v>
      </c>
      <c r="F1129" s="186">
        <v>41544.600000000006</v>
      </c>
    </row>
    <row r="1130" spans="1:6" ht="12.95" hidden="1" customHeight="1" outlineLevel="1">
      <c r="A1130" s="33" t="s">
        <v>1551</v>
      </c>
      <c r="B1130" s="33">
        <v>928</v>
      </c>
      <c r="C1130" s="40" t="str">
        <f t="shared" si="44"/>
        <v>OPEB Expenses (Service)928</v>
      </c>
      <c r="D1130" s="104">
        <f t="shared" si="45"/>
        <v>0</v>
      </c>
      <c r="E1130" s="186">
        <v>0</v>
      </c>
      <c r="F1130" s="186">
        <v>0</v>
      </c>
    </row>
    <row r="1131" spans="1:6" ht="12.95" hidden="1" customHeight="1" outlineLevel="1">
      <c r="A1131" s="33" t="s">
        <v>1551</v>
      </c>
      <c r="B1131" s="33">
        <v>930</v>
      </c>
      <c r="C1131" s="40" t="str">
        <f t="shared" si="44"/>
        <v>OPEB Expenses (Service)930</v>
      </c>
      <c r="D1131" s="104">
        <f t="shared" si="45"/>
        <v>0</v>
      </c>
      <c r="E1131" s="186">
        <v>0</v>
      </c>
      <c r="F1131" s="186">
        <v>0</v>
      </c>
    </row>
    <row r="1132" spans="1:6" ht="12.95" hidden="1" customHeight="1" outlineLevel="1">
      <c r="A1132" s="33" t="s">
        <v>1551</v>
      </c>
      <c r="B1132" s="33">
        <v>931</v>
      </c>
      <c r="C1132" s="40" t="str">
        <f t="shared" si="44"/>
        <v>OPEB Expenses (Service)931</v>
      </c>
      <c r="D1132" s="104">
        <f t="shared" si="45"/>
        <v>0</v>
      </c>
      <c r="E1132" s="186">
        <v>0</v>
      </c>
      <c r="F1132" s="186">
        <v>0</v>
      </c>
    </row>
    <row r="1133" spans="1:6" ht="12.95" hidden="1" customHeight="1" outlineLevel="1">
      <c r="A1133" s="33" t="s">
        <v>1551</v>
      </c>
      <c r="B1133" s="33">
        <v>932</v>
      </c>
      <c r="C1133" s="40" t="str">
        <f t="shared" si="44"/>
        <v>OPEB Expenses (Service)932</v>
      </c>
      <c r="D1133" s="104">
        <f t="shared" si="45"/>
        <v>0</v>
      </c>
      <c r="E1133" s="186">
        <v>0</v>
      </c>
      <c r="F1133" s="186">
        <v>0</v>
      </c>
    </row>
    <row r="1134" spans="1:6" ht="12.95" hidden="1" customHeight="1" outlineLevel="1">
      <c r="A1134" s="33" t="s">
        <v>1551</v>
      </c>
      <c r="B1134" s="33">
        <v>935</v>
      </c>
      <c r="C1134" s="40" t="str">
        <f t="shared" si="44"/>
        <v>OPEB Expenses (Service)935</v>
      </c>
      <c r="D1134" s="104">
        <f t="shared" si="45"/>
        <v>0</v>
      </c>
      <c r="E1134" s="186">
        <v>0</v>
      </c>
      <c r="F1134" s="186">
        <v>0</v>
      </c>
    </row>
    <row r="1135" spans="1:6" s="13" customFormat="1" collapsed="1">
      <c r="A1135" s="14" t="s">
        <v>1551</v>
      </c>
      <c r="B1135" s="15"/>
      <c r="D1135" s="196">
        <f>SUM(D1088:D1134)</f>
        <v>10648.69000000001</v>
      </c>
      <c r="E1135" s="196">
        <f>SUM(E1088:E1134)</f>
        <v>30911.749999999996</v>
      </c>
      <c r="F1135" s="196">
        <f>SUM(F1088:F1134)</f>
        <v>41560.44</v>
      </c>
    </row>
    <row r="1136" spans="1:6" ht="12.95" hidden="1" customHeight="1" outlineLevel="1">
      <c r="A1136" s="33" t="s">
        <v>1936</v>
      </c>
      <c r="B1136" s="33">
        <v>801</v>
      </c>
      <c r="C1136" s="40" t="str">
        <f t="shared" ref="C1136:C1183" si="46">A1136&amp;B1136</f>
        <v>Other Rents &amp; Leases801</v>
      </c>
      <c r="D1136" s="104">
        <f t="shared" ref="D1136:D1183" si="47">+F1136-E1136</f>
        <v>0</v>
      </c>
      <c r="E1136" s="186">
        <v>0</v>
      </c>
      <c r="F1136" s="186">
        <v>0</v>
      </c>
    </row>
    <row r="1137" spans="1:6" ht="12.95" hidden="1" customHeight="1" outlineLevel="1">
      <c r="A1137" s="33" t="s">
        <v>1936</v>
      </c>
      <c r="B1137" s="33">
        <v>803</v>
      </c>
      <c r="C1137" s="40" t="str">
        <f t="shared" si="46"/>
        <v>Other Rents &amp; Leases803</v>
      </c>
      <c r="D1137" s="104">
        <f t="shared" si="47"/>
        <v>0</v>
      </c>
      <c r="E1137" s="186">
        <v>0</v>
      </c>
      <c r="F1137" s="186">
        <v>0</v>
      </c>
    </row>
    <row r="1138" spans="1:6" ht="12.95" hidden="1" customHeight="1" outlineLevel="1">
      <c r="A1138" s="33" t="s">
        <v>1936</v>
      </c>
      <c r="B1138" s="33">
        <v>804</v>
      </c>
      <c r="C1138" s="40" t="str">
        <f t="shared" si="46"/>
        <v>Other Rents &amp; Leases804</v>
      </c>
      <c r="D1138" s="104">
        <f t="shared" si="47"/>
        <v>0</v>
      </c>
      <c r="E1138" s="186">
        <v>0</v>
      </c>
      <c r="F1138" s="186">
        <v>0</v>
      </c>
    </row>
    <row r="1139" spans="1:6" ht="12.95" hidden="1" customHeight="1" outlineLevel="1">
      <c r="A1139" s="33" t="s">
        <v>1936</v>
      </c>
      <c r="B1139" s="33">
        <v>805</v>
      </c>
      <c r="C1139" s="40" t="str">
        <f t="shared" si="46"/>
        <v>Other Rents &amp; Leases805</v>
      </c>
      <c r="D1139" s="104">
        <f t="shared" si="47"/>
        <v>0</v>
      </c>
      <c r="E1139" s="186">
        <v>0</v>
      </c>
      <c r="F1139" s="186">
        <v>0</v>
      </c>
    </row>
    <row r="1140" spans="1:6" ht="12.95" hidden="1" customHeight="1" outlineLevel="1">
      <c r="A1140" s="33" t="s">
        <v>1936</v>
      </c>
      <c r="B1140" s="33">
        <v>806</v>
      </c>
      <c r="C1140" s="40" t="str">
        <f t="shared" si="46"/>
        <v>Other Rents &amp; Leases806</v>
      </c>
      <c r="D1140" s="104">
        <f t="shared" si="47"/>
        <v>0</v>
      </c>
      <c r="E1140" s="186">
        <v>0</v>
      </c>
      <c r="F1140" s="186">
        <v>0</v>
      </c>
    </row>
    <row r="1141" spans="1:6" ht="12.95" hidden="1" customHeight="1" outlineLevel="1">
      <c r="A1141" s="33" t="s">
        <v>1936</v>
      </c>
      <c r="B1141" s="33">
        <v>807</v>
      </c>
      <c r="C1141" s="40" t="str">
        <f t="shared" si="46"/>
        <v>Other Rents &amp; Leases807</v>
      </c>
      <c r="D1141" s="104">
        <f t="shared" si="47"/>
        <v>0</v>
      </c>
      <c r="E1141" s="186">
        <v>0</v>
      </c>
      <c r="F1141" s="186">
        <v>0</v>
      </c>
    </row>
    <row r="1142" spans="1:6" ht="12.95" hidden="1" customHeight="1" outlineLevel="1">
      <c r="A1142" s="33" t="s">
        <v>1936</v>
      </c>
      <c r="B1142" s="33">
        <v>808</v>
      </c>
      <c r="C1142" s="40" t="str">
        <f t="shared" si="46"/>
        <v>Other Rents &amp; Leases808</v>
      </c>
      <c r="D1142" s="104">
        <f t="shared" si="47"/>
        <v>0</v>
      </c>
      <c r="E1142" s="186">
        <v>0</v>
      </c>
      <c r="F1142" s="186">
        <v>0</v>
      </c>
    </row>
    <row r="1143" spans="1:6" ht="12.95" hidden="1" customHeight="1" outlineLevel="1">
      <c r="A1143" s="33" t="s">
        <v>1936</v>
      </c>
      <c r="B1143" s="33">
        <v>812</v>
      </c>
      <c r="C1143" s="40" t="str">
        <f t="shared" si="46"/>
        <v>Other Rents &amp; Leases812</v>
      </c>
      <c r="D1143" s="104">
        <f t="shared" si="47"/>
        <v>0</v>
      </c>
      <c r="E1143" s="186">
        <v>0</v>
      </c>
      <c r="F1143" s="186">
        <v>0</v>
      </c>
    </row>
    <row r="1144" spans="1:6" ht="12.95" hidden="1" customHeight="1" outlineLevel="1">
      <c r="A1144" s="33" t="s">
        <v>1936</v>
      </c>
      <c r="B1144" s="33">
        <v>870</v>
      </c>
      <c r="C1144" s="40" t="str">
        <f t="shared" si="46"/>
        <v>Other Rents &amp; Leases870</v>
      </c>
      <c r="D1144" s="104">
        <f t="shared" si="47"/>
        <v>-136.22</v>
      </c>
      <c r="E1144" s="186">
        <v>307.38</v>
      </c>
      <c r="F1144" s="186">
        <v>171.16</v>
      </c>
    </row>
    <row r="1145" spans="1:6" ht="12.95" hidden="1" customHeight="1" outlineLevel="1">
      <c r="A1145" s="33" t="s">
        <v>1936</v>
      </c>
      <c r="B1145" s="33">
        <v>871</v>
      </c>
      <c r="C1145" s="40" t="str">
        <f t="shared" si="46"/>
        <v>Other Rents &amp; Leases871</v>
      </c>
      <c r="D1145" s="104">
        <f t="shared" si="47"/>
        <v>0</v>
      </c>
      <c r="E1145" s="186">
        <v>0</v>
      </c>
      <c r="F1145" s="186">
        <v>0</v>
      </c>
    </row>
    <row r="1146" spans="1:6" ht="12.95" hidden="1" customHeight="1" outlineLevel="1">
      <c r="A1146" s="33" t="s">
        <v>1936</v>
      </c>
      <c r="B1146" s="33">
        <v>874</v>
      </c>
      <c r="C1146" s="40" t="str">
        <f t="shared" si="46"/>
        <v>Other Rents &amp; Leases874</v>
      </c>
      <c r="D1146" s="104">
        <f t="shared" si="47"/>
        <v>823.42999999999893</v>
      </c>
      <c r="E1146" s="186">
        <v>3640.7599999999998</v>
      </c>
      <c r="F1146" s="186">
        <v>4464.1899999999987</v>
      </c>
    </row>
    <row r="1147" spans="1:6" ht="12.95" hidden="1" customHeight="1" outlineLevel="1">
      <c r="A1147" s="33" t="s">
        <v>1936</v>
      </c>
      <c r="B1147" s="33">
        <v>875</v>
      </c>
      <c r="C1147" s="40" t="str">
        <f t="shared" si="46"/>
        <v>Other Rents &amp; Leases875</v>
      </c>
      <c r="D1147" s="104">
        <f t="shared" si="47"/>
        <v>0</v>
      </c>
      <c r="E1147" s="186">
        <v>0</v>
      </c>
      <c r="F1147" s="186">
        <v>0</v>
      </c>
    </row>
    <row r="1148" spans="1:6" ht="12.95" hidden="1" customHeight="1" outlineLevel="1">
      <c r="A1148" s="33" t="s">
        <v>1936</v>
      </c>
      <c r="B1148" s="33">
        <v>876</v>
      </c>
      <c r="C1148" s="40" t="str">
        <f t="shared" si="46"/>
        <v>Other Rents &amp; Leases876</v>
      </c>
      <c r="D1148" s="104">
        <f t="shared" si="47"/>
        <v>0</v>
      </c>
      <c r="E1148" s="186">
        <v>0</v>
      </c>
      <c r="F1148" s="186">
        <v>0</v>
      </c>
    </row>
    <row r="1149" spans="1:6" ht="12.95" hidden="1" customHeight="1" outlineLevel="1">
      <c r="A1149" s="33" t="s">
        <v>1936</v>
      </c>
      <c r="B1149" s="33">
        <v>878</v>
      </c>
      <c r="C1149" s="40" t="str">
        <f t="shared" si="46"/>
        <v>Other Rents &amp; Leases878</v>
      </c>
      <c r="D1149" s="104">
        <f t="shared" si="47"/>
        <v>7.01</v>
      </c>
      <c r="E1149" s="186">
        <v>7.870000000000001</v>
      </c>
      <c r="F1149" s="186">
        <v>14.88</v>
      </c>
    </row>
    <row r="1150" spans="1:6" ht="12.95" hidden="1" customHeight="1" outlineLevel="1">
      <c r="A1150" s="33" t="s">
        <v>1936</v>
      </c>
      <c r="B1150" s="33">
        <v>879</v>
      </c>
      <c r="C1150" s="40" t="str">
        <f t="shared" si="46"/>
        <v>Other Rents &amp; Leases879</v>
      </c>
      <c r="D1150" s="104">
        <f t="shared" si="47"/>
        <v>0</v>
      </c>
      <c r="E1150" s="186">
        <v>0</v>
      </c>
      <c r="F1150" s="186">
        <v>0</v>
      </c>
    </row>
    <row r="1151" spans="1:6" ht="12.95" hidden="1" customHeight="1" outlineLevel="1">
      <c r="A1151" s="33" t="s">
        <v>1936</v>
      </c>
      <c r="B1151" s="33">
        <v>880</v>
      </c>
      <c r="C1151" s="40" t="str">
        <f t="shared" si="46"/>
        <v>Other Rents &amp; Leases880</v>
      </c>
      <c r="D1151" s="104">
        <f t="shared" si="47"/>
        <v>1780.970000000003</v>
      </c>
      <c r="E1151" s="186">
        <v>14864.47</v>
      </c>
      <c r="F1151" s="186">
        <v>16645.440000000002</v>
      </c>
    </row>
    <row r="1152" spans="1:6" ht="12.95" hidden="1" customHeight="1" outlineLevel="1">
      <c r="A1152" s="33" t="s">
        <v>1936</v>
      </c>
      <c r="B1152" s="33">
        <v>881</v>
      </c>
      <c r="C1152" s="40" t="str">
        <f t="shared" si="46"/>
        <v>Other Rents &amp; Leases881</v>
      </c>
      <c r="D1152" s="104">
        <f t="shared" si="47"/>
        <v>-3318.5200000000041</v>
      </c>
      <c r="E1152" s="186">
        <v>17234.580000000005</v>
      </c>
      <c r="F1152" s="186">
        <v>13916.060000000001</v>
      </c>
    </row>
    <row r="1153" spans="1:6" ht="12.95" hidden="1" customHeight="1" outlineLevel="1">
      <c r="A1153" s="33" t="s">
        <v>1936</v>
      </c>
      <c r="B1153" s="33">
        <v>885</v>
      </c>
      <c r="C1153" s="40" t="str">
        <f t="shared" si="46"/>
        <v>Other Rents &amp; Leases885</v>
      </c>
      <c r="D1153" s="104">
        <f t="shared" si="47"/>
        <v>-3.75</v>
      </c>
      <c r="E1153" s="186">
        <v>3.75</v>
      </c>
      <c r="F1153" s="186">
        <v>0</v>
      </c>
    </row>
    <row r="1154" spans="1:6" ht="12.95" hidden="1" customHeight="1" outlineLevel="1">
      <c r="A1154" s="33" t="s">
        <v>1936</v>
      </c>
      <c r="B1154" s="33">
        <v>886</v>
      </c>
      <c r="C1154" s="40" t="str">
        <f t="shared" si="46"/>
        <v>Other Rents &amp; Leases886</v>
      </c>
      <c r="D1154" s="104">
        <f t="shared" si="47"/>
        <v>178.6099999999999</v>
      </c>
      <c r="E1154" s="186">
        <v>296.56000000000006</v>
      </c>
      <c r="F1154" s="186">
        <v>475.16999999999996</v>
      </c>
    </row>
    <row r="1155" spans="1:6" ht="12.95" hidden="1" customHeight="1" outlineLevel="1">
      <c r="A1155" s="33" t="s">
        <v>1936</v>
      </c>
      <c r="B1155" s="33">
        <v>887</v>
      </c>
      <c r="C1155" s="40" t="str">
        <f t="shared" si="46"/>
        <v>Other Rents &amp; Leases887</v>
      </c>
      <c r="D1155" s="104">
        <f t="shared" si="47"/>
        <v>-132.47</v>
      </c>
      <c r="E1155" s="186">
        <v>303.63</v>
      </c>
      <c r="F1155" s="186">
        <v>171.16</v>
      </c>
    </row>
    <row r="1156" spans="1:6" ht="12.95" hidden="1" customHeight="1" outlineLevel="1">
      <c r="A1156" s="33" t="s">
        <v>1936</v>
      </c>
      <c r="B1156" s="33">
        <v>889</v>
      </c>
      <c r="C1156" s="40" t="str">
        <f t="shared" si="46"/>
        <v>Other Rents &amp; Leases889</v>
      </c>
      <c r="D1156" s="104">
        <f t="shared" si="47"/>
        <v>0</v>
      </c>
      <c r="E1156" s="186">
        <v>0</v>
      </c>
      <c r="F1156" s="186">
        <v>0</v>
      </c>
    </row>
    <row r="1157" spans="1:6" ht="12.95" hidden="1" customHeight="1" outlineLevel="1">
      <c r="A1157" s="33" t="s">
        <v>1936</v>
      </c>
      <c r="B1157" s="33">
        <v>890</v>
      </c>
      <c r="C1157" s="40" t="str">
        <f t="shared" si="46"/>
        <v>Other Rents &amp; Leases890</v>
      </c>
      <c r="D1157" s="104">
        <f t="shared" si="47"/>
        <v>0</v>
      </c>
      <c r="E1157" s="186">
        <v>0</v>
      </c>
      <c r="F1157" s="186">
        <v>0</v>
      </c>
    </row>
    <row r="1158" spans="1:6" ht="12.95" hidden="1" customHeight="1" outlineLevel="1">
      <c r="A1158" s="33" t="s">
        <v>1936</v>
      </c>
      <c r="B1158" s="33">
        <v>892</v>
      </c>
      <c r="C1158" s="40" t="str">
        <f t="shared" si="46"/>
        <v>Other Rents &amp; Leases892</v>
      </c>
      <c r="D1158" s="104">
        <f t="shared" si="47"/>
        <v>-132.47</v>
      </c>
      <c r="E1158" s="186">
        <v>303.63</v>
      </c>
      <c r="F1158" s="186">
        <v>171.16</v>
      </c>
    </row>
    <row r="1159" spans="1:6" ht="12.95" hidden="1" customHeight="1" outlineLevel="1">
      <c r="A1159" s="33" t="s">
        <v>1936</v>
      </c>
      <c r="B1159" s="33">
        <v>893</v>
      </c>
      <c r="C1159" s="40" t="str">
        <f t="shared" si="46"/>
        <v>Other Rents &amp; Leases893</v>
      </c>
      <c r="D1159" s="104">
        <f t="shared" si="47"/>
        <v>0</v>
      </c>
      <c r="E1159" s="186">
        <v>0</v>
      </c>
      <c r="F1159" s="186">
        <v>0</v>
      </c>
    </row>
    <row r="1160" spans="1:6" ht="12.95" hidden="1" customHeight="1" outlineLevel="1">
      <c r="A1160" s="33" t="s">
        <v>1936</v>
      </c>
      <c r="B1160" s="33">
        <v>894</v>
      </c>
      <c r="C1160" s="40" t="str">
        <f t="shared" si="46"/>
        <v>Other Rents &amp; Leases894</v>
      </c>
      <c r="D1160" s="104">
        <f t="shared" si="47"/>
        <v>300.70000000000005</v>
      </c>
      <c r="E1160" s="186">
        <v>338.01</v>
      </c>
      <c r="F1160" s="186">
        <v>638.71</v>
      </c>
    </row>
    <row r="1161" spans="1:6" ht="12.95" hidden="1" customHeight="1" outlineLevel="1">
      <c r="A1161" s="33" t="s">
        <v>1936</v>
      </c>
      <c r="B1161" s="33">
        <v>902</v>
      </c>
      <c r="C1161" s="40" t="str">
        <f t="shared" si="46"/>
        <v>Other Rents &amp; Leases902</v>
      </c>
      <c r="D1161" s="104">
        <f t="shared" si="47"/>
        <v>0</v>
      </c>
      <c r="E1161" s="186">
        <v>0</v>
      </c>
      <c r="F1161" s="186">
        <v>0</v>
      </c>
    </row>
    <row r="1162" spans="1:6" ht="12.95" hidden="1" customHeight="1" outlineLevel="1">
      <c r="A1162" s="33" t="s">
        <v>1936</v>
      </c>
      <c r="B1162" s="33">
        <v>903</v>
      </c>
      <c r="C1162" s="40" t="str">
        <f t="shared" si="46"/>
        <v>Other Rents &amp; Leases903</v>
      </c>
      <c r="D1162" s="104">
        <f t="shared" si="47"/>
        <v>0</v>
      </c>
      <c r="E1162" s="186">
        <v>0</v>
      </c>
      <c r="F1162" s="186">
        <v>0</v>
      </c>
    </row>
    <row r="1163" spans="1:6" ht="12.95" hidden="1" customHeight="1" outlineLevel="1">
      <c r="A1163" s="33" t="s">
        <v>1936</v>
      </c>
      <c r="B1163" s="33">
        <v>904</v>
      </c>
      <c r="C1163" s="40" t="str">
        <f t="shared" si="46"/>
        <v>Other Rents &amp; Leases904</v>
      </c>
      <c r="D1163" s="104">
        <f t="shared" si="47"/>
        <v>0</v>
      </c>
      <c r="E1163" s="186">
        <v>0</v>
      </c>
      <c r="F1163" s="186">
        <v>0</v>
      </c>
    </row>
    <row r="1164" spans="1:6" ht="12.95" hidden="1" customHeight="1" outlineLevel="1">
      <c r="A1164" s="33" t="s">
        <v>1936</v>
      </c>
      <c r="B1164" s="33">
        <v>905</v>
      </c>
      <c r="C1164" s="40" t="str">
        <f t="shared" si="46"/>
        <v>Other Rents &amp; Leases905</v>
      </c>
      <c r="D1164" s="104">
        <f t="shared" si="47"/>
        <v>0</v>
      </c>
      <c r="E1164" s="186">
        <v>0</v>
      </c>
      <c r="F1164" s="186">
        <v>0</v>
      </c>
    </row>
    <row r="1165" spans="1:6" ht="12.95" hidden="1" customHeight="1" outlineLevel="1">
      <c r="A1165" s="33" t="s">
        <v>1936</v>
      </c>
      <c r="B1165" s="33">
        <v>907</v>
      </c>
      <c r="C1165" s="40" t="str">
        <f t="shared" si="46"/>
        <v>Other Rents &amp; Leases907</v>
      </c>
      <c r="D1165" s="104">
        <f t="shared" si="47"/>
        <v>0</v>
      </c>
      <c r="E1165" s="186">
        <v>0</v>
      </c>
      <c r="F1165" s="186">
        <v>0</v>
      </c>
    </row>
    <row r="1166" spans="1:6" ht="12.95" hidden="1" customHeight="1" outlineLevel="1">
      <c r="A1166" s="33" t="s">
        <v>1936</v>
      </c>
      <c r="B1166" s="33">
        <v>908</v>
      </c>
      <c r="C1166" s="40" t="str">
        <f t="shared" si="46"/>
        <v>Other Rents &amp; Leases908</v>
      </c>
      <c r="D1166" s="104">
        <f t="shared" si="47"/>
        <v>0</v>
      </c>
      <c r="E1166" s="186">
        <v>0</v>
      </c>
      <c r="F1166" s="186">
        <v>0</v>
      </c>
    </row>
    <row r="1167" spans="1:6" ht="12.95" hidden="1" customHeight="1" outlineLevel="1">
      <c r="A1167" s="33" t="s">
        <v>1936</v>
      </c>
      <c r="B1167" s="33">
        <v>909</v>
      </c>
      <c r="C1167" s="40" t="str">
        <f t="shared" si="46"/>
        <v>Other Rents &amp; Leases909</v>
      </c>
      <c r="D1167" s="104">
        <f t="shared" si="47"/>
        <v>0</v>
      </c>
      <c r="E1167" s="186">
        <v>0</v>
      </c>
      <c r="F1167" s="186">
        <v>0</v>
      </c>
    </row>
    <row r="1168" spans="1:6" ht="12.95" hidden="1" customHeight="1" outlineLevel="1">
      <c r="A1168" s="33" t="s">
        <v>1936</v>
      </c>
      <c r="B1168" s="33">
        <v>910</v>
      </c>
      <c r="C1168" s="40" t="str">
        <f t="shared" si="46"/>
        <v>Other Rents &amp; Leases910</v>
      </c>
      <c r="D1168" s="104">
        <f t="shared" si="47"/>
        <v>0</v>
      </c>
      <c r="E1168" s="186">
        <v>0</v>
      </c>
      <c r="F1168" s="186">
        <v>0</v>
      </c>
    </row>
    <row r="1169" spans="1:6" ht="12.95" hidden="1" customHeight="1" outlineLevel="1">
      <c r="A1169" s="33" t="s">
        <v>1936</v>
      </c>
      <c r="B1169" s="33">
        <v>911</v>
      </c>
      <c r="C1169" s="40" t="str">
        <f t="shared" si="46"/>
        <v>Other Rents &amp; Leases911</v>
      </c>
      <c r="D1169" s="104">
        <f t="shared" si="47"/>
        <v>0</v>
      </c>
      <c r="E1169" s="186">
        <v>0</v>
      </c>
      <c r="F1169" s="186">
        <v>0</v>
      </c>
    </row>
    <row r="1170" spans="1:6" ht="12.95" hidden="1" customHeight="1" outlineLevel="1">
      <c r="A1170" s="33" t="s">
        <v>1936</v>
      </c>
      <c r="B1170" s="33">
        <v>912</v>
      </c>
      <c r="C1170" s="40" t="str">
        <f t="shared" si="46"/>
        <v>Other Rents &amp; Leases912</v>
      </c>
      <c r="D1170" s="104">
        <f t="shared" si="47"/>
        <v>0</v>
      </c>
      <c r="E1170" s="186">
        <v>0</v>
      </c>
      <c r="F1170" s="186">
        <v>0</v>
      </c>
    </row>
    <row r="1171" spans="1:6" ht="12.95" hidden="1" customHeight="1" outlineLevel="1">
      <c r="A1171" s="33" t="s">
        <v>1936</v>
      </c>
      <c r="B1171" s="33">
        <v>913</v>
      </c>
      <c r="C1171" s="40" t="str">
        <f t="shared" si="46"/>
        <v>Other Rents &amp; Leases913</v>
      </c>
      <c r="D1171" s="104">
        <f t="shared" si="47"/>
        <v>0</v>
      </c>
      <c r="E1171" s="186">
        <v>0</v>
      </c>
      <c r="F1171" s="186">
        <v>0</v>
      </c>
    </row>
    <row r="1172" spans="1:6" ht="12.95" hidden="1" customHeight="1" outlineLevel="1">
      <c r="A1172" s="33" t="s">
        <v>1936</v>
      </c>
      <c r="B1172" s="33">
        <v>920</v>
      </c>
      <c r="C1172" s="40" t="str">
        <f t="shared" si="46"/>
        <v>Other Rents &amp; Leases920</v>
      </c>
      <c r="D1172" s="104">
        <f t="shared" si="47"/>
        <v>0</v>
      </c>
      <c r="E1172" s="186">
        <v>0</v>
      </c>
      <c r="F1172" s="186">
        <v>0</v>
      </c>
    </row>
    <row r="1173" spans="1:6" ht="12.95" hidden="1" customHeight="1" outlineLevel="1">
      <c r="A1173" s="33" t="s">
        <v>1936</v>
      </c>
      <c r="B1173" s="33">
        <v>921</v>
      </c>
      <c r="C1173" s="40" t="str">
        <f t="shared" si="46"/>
        <v>Other Rents &amp; Leases921</v>
      </c>
      <c r="D1173" s="104">
        <f t="shared" si="47"/>
        <v>1482.2800000000009</v>
      </c>
      <c r="E1173" s="186">
        <v>1706.34</v>
      </c>
      <c r="F1173" s="186">
        <v>3188.6200000000008</v>
      </c>
    </row>
    <row r="1174" spans="1:6" ht="12.95" hidden="1" customHeight="1" outlineLevel="1">
      <c r="A1174" s="33" t="s">
        <v>1936</v>
      </c>
      <c r="B1174" s="33">
        <v>923</v>
      </c>
      <c r="C1174" s="40" t="str">
        <f t="shared" si="46"/>
        <v>Other Rents &amp; Leases923</v>
      </c>
      <c r="D1174" s="104">
        <f t="shared" si="47"/>
        <v>-884.9700000000048</v>
      </c>
      <c r="E1174" s="186">
        <v>22728.400000000001</v>
      </c>
      <c r="F1174" s="186">
        <v>21843.429999999997</v>
      </c>
    </row>
    <row r="1175" spans="1:6" ht="12.95" hidden="1" customHeight="1" outlineLevel="1">
      <c r="A1175" s="33" t="s">
        <v>1936</v>
      </c>
      <c r="B1175" s="33">
        <v>924</v>
      </c>
      <c r="C1175" s="40" t="str">
        <f t="shared" si="46"/>
        <v>Other Rents &amp; Leases924</v>
      </c>
      <c r="D1175" s="104">
        <f t="shared" si="47"/>
        <v>0</v>
      </c>
      <c r="E1175" s="186">
        <v>0</v>
      </c>
      <c r="F1175" s="186">
        <v>0</v>
      </c>
    </row>
    <row r="1176" spans="1:6" ht="12.95" hidden="1" customHeight="1" outlineLevel="1">
      <c r="A1176" s="33" t="s">
        <v>1936</v>
      </c>
      <c r="B1176" s="33">
        <v>925</v>
      </c>
      <c r="C1176" s="40" t="str">
        <f t="shared" si="46"/>
        <v>Other Rents &amp; Leases925</v>
      </c>
      <c r="D1176" s="104">
        <f t="shared" si="47"/>
        <v>0</v>
      </c>
      <c r="E1176" s="186">
        <v>0</v>
      </c>
      <c r="F1176" s="186">
        <v>0</v>
      </c>
    </row>
    <row r="1177" spans="1:6" ht="12.95" hidden="1" customHeight="1" outlineLevel="1">
      <c r="A1177" s="33" t="s">
        <v>1936</v>
      </c>
      <c r="B1177" s="33">
        <v>926</v>
      </c>
      <c r="C1177" s="40" t="str">
        <f t="shared" si="46"/>
        <v>Other Rents &amp; Leases926</v>
      </c>
      <c r="D1177" s="104">
        <f t="shared" si="47"/>
        <v>0</v>
      </c>
      <c r="E1177" s="186">
        <v>0</v>
      </c>
      <c r="F1177" s="186">
        <v>0</v>
      </c>
    </row>
    <row r="1178" spans="1:6" ht="12.95" hidden="1" customHeight="1" outlineLevel="1">
      <c r="A1178" s="33" t="s">
        <v>1936</v>
      </c>
      <c r="B1178" s="33">
        <v>928</v>
      </c>
      <c r="C1178" s="40" t="str">
        <f t="shared" si="46"/>
        <v>Other Rents &amp; Leases928</v>
      </c>
      <c r="D1178" s="104">
        <f t="shared" si="47"/>
        <v>0</v>
      </c>
      <c r="E1178" s="186">
        <v>0</v>
      </c>
      <c r="F1178" s="186">
        <v>0</v>
      </c>
    </row>
    <row r="1179" spans="1:6" ht="12.95" hidden="1" customHeight="1" outlineLevel="1">
      <c r="A1179" s="33" t="s">
        <v>1936</v>
      </c>
      <c r="B1179" s="33">
        <v>9301</v>
      </c>
      <c r="C1179" s="40" t="str">
        <f t="shared" si="46"/>
        <v>Other Rents &amp; Leases9301</v>
      </c>
      <c r="D1179" s="104">
        <f t="shared" si="47"/>
        <v>0</v>
      </c>
      <c r="E1179" s="186">
        <v>0</v>
      </c>
      <c r="F1179" s="186">
        <v>0</v>
      </c>
    </row>
    <row r="1180" spans="1:6" ht="12.95" hidden="1" customHeight="1" outlineLevel="1">
      <c r="A1180" s="33" t="s">
        <v>1936</v>
      </c>
      <c r="B1180" s="33">
        <v>9302</v>
      </c>
      <c r="C1180" s="40" t="str">
        <f t="shared" si="46"/>
        <v>Other Rents &amp; Leases9302</v>
      </c>
      <c r="D1180" s="104">
        <f t="shared" si="47"/>
        <v>0</v>
      </c>
      <c r="E1180" s="186">
        <v>0</v>
      </c>
      <c r="F1180" s="186">
        <v>0</v>
      </c>
    </row>
    <row r="1181" spans="1:6" ht="12.95" hidden="1" customHeight="1" outlineLevel="1">
      <c r="A1181" s="33" t="s">
        <v>1936</v>
      </c>
      <c r="B1181" s="33">
        <v>931</v>
      </c>
      <c r="C1181" s="40" t="str">
        <f t="shared" si="46"/>
        <v>Other Rents &amp; Leases931</v>
      </c>
      <c r="D1181" s="104">
        <f t="shared" si="47"/>
        <v>0</v>
      </c>
      <c r="E1181" s="186">
        <v>0</v>
      </c>
      <c r="F1181" s="186">
        <v>0</v>
      </c>
    </row>
    <row r="1182" spans="1:6" ht="12.95" hidden="1" customHeight="1" outlineLevel="1">
      <c r="A1182" s="33" t="s">
        <v>1936</v>
      </c>
      <c r="B1182" s="33">
        <v>932</v>
      </c>
      <c r="C1182" s="40" t="str">
        <f t="shared" si="46"/>
        <v>Other Rents &amp; Leases932</v>
      </c>
      <c r="D1182" s="104">
        <f t="shared" si="47"/>
        <v>0</v>
      </c>
      <c r="E1182" s="186">
        <v>0</v>
      </c>
      <c r="F1182" s="186">
        <v>0</v>
      </c>
    </row>
    <row r="1183" spans="1:6" ht="12.95" hidden="1" customHeight="1" outlineLevel="1">
      <c r="A1183" s="33" t="s">
        <v>1936</v>
      </c>
      <c r="B1183" s="33">
        <v>935</v>
      </c>
      <c r="C1183" s="40" t="str">
        <f t="shared" si="46"/>
        <v>Other Rents &amp; Leases935</v>
      </c>
      <c r="D1183" s="104">
        <f t="shared" si="47"/>
        <v>0</v>
      </c>
      <c r="E1183" s="186">
        <v>0</v>
      </c>
      <c r="F1183" s="186">
        <v>0</v>
      </c>
    </row>
    <row r="1184" spans="1:6" s="13" customFormat="1" collapsed="1">
      <c r="A1184" s="14" t="s">
        <v>1936</v>
      </c>
      <c r="B1184" s="15"/>
      <c r="D1184" s="196">
        <f>SUM(D1136:D1183)</f>
        <v>-35.40000000000623</v>
      </c>
      <c r="E1184" s="196">
        <f>SUM(E1136:E1183)</f>
        <v>61735.38</v>
      </c>
      <c r="F1184" s="196">
        <f>SUM(F1136:F1183)</f>
        <v>61699.98000000001</v>
      </c>
    </row>
    <row r="1185" spans="1:6" ht="12.95" hidden="1" customHeight="1" outlineLevel="1">
      <c r="A1185" s="33" t="s">
        <v>1084</v>
      </c>
      <c r="B1185" s="33">
        <v>801</v>
      </c>
      <c r="C1185" s="40" t="str">
        <f t="shared" ref="C1185:C1233" si="48">A1185&amp;B1185</f>
        <v>Outside Services801</v>
      </c>
      <c r="D1185" s="104">
        <f t="shared" ref="D1185:D1233" si="49">+F1185-E1185</f>
        <v>0</v>
      </c>
      <c r="E1185" s="186">
        <v>0</v>
      </c>
      <c r="F1185" s="186">
        <v>0</v>
      </c>
    </row>
    <row r="1186" spans="1:6" ht="12.95" hidden="1" customHeight="1" outlineLevel="1">
      <c r="A1186" s="33" t="s">
        <v>1084</v>
      </c>
      <c r="B1186" s="33">
        <v>803</v>
      </c>
      <c r="C1186" s="40" t="str">
        <f t="shared" si="48"/>
        <v>Outside Services803</v>
      </c>
      <c r="D1186" s="104">
        <f t="shared" si="49"/>
        <v>0</v>
      </c>
      <c r="E1186" s="186">
        <v>0</v>
      </c>
      <c r="F1186" s="186">
        <v>0</v>
      </c>
    </row>
    <row r="1187" spans="1:6" ht="12.95" hidden="1" customHeight="1" outlineLevel="1">
      <c r="A1187" s="33" t="s">
        <v>1084</v>
      </c>
      <c r="B1187" s="33">
        <v>804</v>
      </c>
      <c r="C1187" s="40" t="str">
        <f t="shared" si="48"/>
        <v>Outside Services804</v>
      </c>
      <c r="D1187" s="104">
        <f t="shared" si="49"/>
        <v>0</v>
      </c>
      <c r="E1187" s="186">
        <v>0</v>
      </c>
      <c r="F1187" s="186">
        <v>0</v>
      </c>
    </row>
    <row r="1188" spans="1:6" ht="12.95" hidden="1" customHeight="1" outlineLevel="1">
      <c r="A1188" s="33" t="s">
        <v>1084</v>
      </c>
      <c r="B1188" s="33">
        <v>805</v>
      </c>
      <c r="C1188" s="40" t="str">
        <f t="shared" si="48"/>
        <v>Outside Services805</v>
      </c>
      <c r="D1188" s="104">
        <f t="shared" si="49"/>
        <v>0</v>
      </c>
      <c r="E1188" s="186">
        <v>0</v>
      </c>
      <c r="F1188" s="186">
        <v>0</v>
      </c>
    </row>
    <row r="1189" spans="1:6" ht="12.95" hidden="1" customHeight="1" outlineLevel="1">
      <c r="A1189" s="33" t="s">
        <v>1084</v>
      </c>
      <c r="B1189" s="33">
        <v>806</v>
      </c>
      <c r="C1189" s="40" t="str">
        <f t="shared" si="48"/>
        <v>Outside Services806</v>
      </c>
      <c r="D1189" s="104">
        <f t="shared" si="49"/>
        <v>0</v>
      </c>
      <c r="E1189" s="186">
        <v>0</v>
      </c>
      <c r="F1189" s="186">
        <v>0</v>
      </c>
    </row>
    <row r="1190" spans="1:6" ht="12.95" hidden="1" customHeight="1" outlineLevel="1">
      <c r="A1190" s="33" t="s">
        <v>1084</v>
      </c>
      <c r="B1190" s="33">
        <v>807</v>
      </c>
      <c r="C1190" s="40" t="str">
        <f t="shared" si="48"/>
        <v>Outside Services807</v>
      </c>
      <c r="D1190" s="104">
        <f t="shared" si="49"/>
        <v>0</v>
      </c>
      <c r="E1190" s="186">
        <v>0</v>
      </c>
      <c r="F1190" s="186">
        <v>0</v>
      </c>
    </row>
    <row r="1191" spans="1:6" ht="12.95" hidden="1" customHeight="1" outlineLevel="1">
      <c r="A1191" s="33" t="s">
        <v>1084</v>
      </c>
      <c r="B1191" s="33">
        <v>808</v>
      </c>
      <c r="C1191" s="40" t="str">
        <f t="shared" si="48"/>
        <v>Outside Services808</v>
      </c>
      <c r="D1191" s="104">
        <f t="shared" si="49"/>
        <v>0</v>
      </c>
      <c r="E1191" s="186">
        <v>0</v>
      </c>
      <c r="F1191" s="186">
        <v>0</v>
      </c>
    </row>
    <row r="1192" spans="1:6" ht="12.95" hidden="1" customHeight="1" outlineLevel="1">
      <c r="A1192" s="33" t="s">
        <v>1084</v>
      </c>
      <c r="B1192" s="33">
        <v>812</v>
      </c>
      <c r="C1192" s="40" t="str">
        <f t="shared" si="48"/>
        <v>Outside Services812</v>
      </c>
      <c r="D1192" s="104">
        <f t="shared" si="49"/>
        <v>0</v>
      </c>
      <c r="E1192" s="186">
        <v>0</v>
      </c>
      <c r="F1192" s="186">
        <v>0</v>
      </c>
    </row>
    <row r="1193" spans="1:6" ht="12.95" hidden="1" customHeight="1" outlineLevel="1">
      <c r="A1193" s="33" t="s">
        <v>1084</v>
      </c>
      <c r="B1193" s="33">
        <v>865</v>
      </c>
      <c r="C1193" s="40" t="str">
        <f t="shared" si="48"/>
        <v>Outside Services865</v>
      </c>
      <c r="D1193" s="104">
        <f t="shared" si="49"/>
        <v>320.05999999999989</v>
      </c>
      <c r="E1193" s="186">
        <v>511.07</v>
      </c>
      <c r="F1193" s="186">
        <v>831.12999999999988</v>
      </c>
    </row>
    <row r="1194" spans="1:6" ht="12.95" hidden="1" customHeight="1" outlineLevel="1">
      <c r="A1194" s="33" t="s">
        <v>1084</v>
      </c>
      <c r="B1194" s="33">
        <v>870</v>
      </c>
      <c r="C1194" s="40" t="str">
        <f t="shared" si="48"/>
        <v>Outside Services870</v>
      </c>
      <c r="D1194" s="104">
        <f t="shared" si="49"/>
        <v>-858.69</v>
      </c>
      <c r="E1194" s="186">
        <v>3950.42</v>
      </c>
      <c r="F1194" s="186">
        <v>3091.73</v>
      </c>
    </row>
    <row r="1195" spans="1:6" ht="12.95" hidden="1" customHeight="1" outlineLevel="1">
      <c r="A1195" s="33" t="s">
        <v>1084</v>
      </c>
      <c r="B1195" s="33">
        <v>871</v>
      </c>
      <c r="C1195" s="40" t="str">
        <f t="shared" si="48"/>
        <v>Outside Services871</v>
      </c>
      <c r="D1195" s="104">
        <f t="shared" si="49"/>
        <v>10429.57</v>
      </c>
      <c r="E1195" s="186">
        <v>29340.410000000003</v>
      </c>
      <c r="F1195" s="186">
        <v>39769.980000000003</v>
      </c>
    </row>
    <row r="1196" spans="1:6" ht="12.95" hidden="1" customHeight="1" outlineLevel="1">
      <c r="A1196" s="33" t="s">
        <v>1084</v>
      </c>
      <c r="B1196" s="33">
        <v>874</v>
      </c>
      <c r="C1196" s="40" t="str">
        <f t="shared" si="48"/>
        <v>Outside Services874</v>
      </c>
      <c r="D1196" s="104">
        <f t="shared" si="49"/>
        <v>-90860.629999999888</v>
      </c>
      <c r="E1196" s="186">
        <v>2849486.44</v>
      </c>
      <c r="F1196" s="186">
        <v>2758625.81</v>
      </c>
    </row>
    <row r="1197" spans="1:6" ht="12.95" hidden="1" customHeight="1" outlineLevel="1">
      <c r="A1197" s="33" t="s">
        <v>1084</v>
      </c>
      <c r="B1197" s="33">
        <v>875</v>
      </c>
      <c r="C1197" s="40" t="str">
        <f t="shared" si="48"/>
        <v>Outside Services875</v>
      </c>
      <c r="D1197" s="104">
        <f t="shared" si="49"/>
        <v>10160.729999999989</v>
      </c>
      <c r="E1197" s="186">
        <v>38124.730000000003</v>
      </c>
      <c r="F1197" s="186">
        <v>48285.459999999992</v>
      </c>
    </row>
    <row r="1198" spans="1:6" ht="12.95" hidden="1" customHeight="1" outlineLevel="1">
      <c r="A1198" s="33" t="s">
        <v>1084</v>
      </c>
      <c r="B1198" s="33">
        <v>876</v>
      </c>
      <c r="C1198" s="40" t="str">
        <f t="shared" si="48"/>
        <v>Outside Services876</v>
      </c>
      <c r="D1198" s="104">
        <f t="shared" si="49"/>
        <v>0</v>
      </c>
      <c r="E1198" s="186">
        <v>0</v>
      </c>
      <c r="F1198" s="186">
        <v>0</v>
      </c>
    </row>
    <row r="1199" spans="1:6" ht="12.95" hidden="1" customHeight="1" outlineLevel="1">
      <c r="A1199" s="33" t="s">
        <v>1084</v>
      </c>
      <c r="B1199" s="33">
        <v>878</v>
      </c>
      <c r="C1199" s="40" t="str">
        <f t="shared" si="48"/>
        <v>Outside Services878</v>
      </c>
      <c r="D1199" s="104">
        <f t="shared" si="49"/>
        <v>0</v>
      </c>
      <c r="E1199" s="186">
        <v>0</v>
      </c>
      <c r="F1199" s="186">
        <v>0</v>
      </c>
    </row>
    <row r="1200" spans="1:6" ht="12.95" hidden="1" customHeight="1" outlineLevel="1">
      <c r="A1200" s="33" t="s">
        <v>1084</v>
      </c>
      <c r="B1200" s="33">
        <v>879</v>
      </c>
      <c r="C1200" s="40" t="str">
        <f t="shared" si="48"/>
        <v>Outside Services879</v>
      </c>
      <c r="D1200" s="104">
        <f t="shared" si="49"/>
        <v>-35496.180000000008</v>
      </c>
      <c r="E1200" s="186">
        <v>113128.44</v>
      </c>
      <c r="F1200" s="186">
        <v>77632.259999999995</v>
      </c>
    </row>
    <row r="1201" spans="1:6" ht="12.95" hidden="1" customHeight="1" outlineLevel="1">
      <c r="A1201" s="33" t="s">
        <v>1084</v>
      </c>
      <c r="B1201" s="33">
        <v>880</v>
      </c>
      <c r="C1201" s="40" t="str">
        <f t="shared" si="48"/>
        <v>Outside Services880</v>
      </c>
      <c r="D1201" s="104">
        <f t="shared" si="49"/>
        <v>-26985.52999999997</v>
      </c>
      <c r="E1201" s="186">
        <v>282179.20999999996</v>
      </c>
      <c r="F1201" s="186">
        <v>255193.68</v>
      </c>
    </row>
    <row r="1202" spans="1:6" ht="12.95" hidden="1" customHeight="1" outlineLevel="1">
      <c r="A1202" s="33" t="s">
        <v>1084</v>
      </c>
      <c r="B1202" s="33">
        <v>881</v>
      </c>
      <c r="C1202" s="40" t="str">
        <f t="shared" si="48"/>
        <v>Outside Services881</v>
      </c>
      <c r="D1202" s="104">
        <f t="shared" si="49"/>
        <v>0</v>
      </c>
      <c r="E1202" s="186">
        <v>0</v>
      </c>
      <c r="F1202" s="186">
        <v>0</v>
      </c>
    </row>
    <row r="1203" spans="1:6" ht="12.95" hidden="1" customHeight="1" outlineLevel="1">
      <c r="A1203" s="33" t="s">
        <v>1084</v>
      </c>
      <c r="B1203" s="33">
        <v>885</v>
      </c>
      <c r="C1203" s="40" t="str">
        <f t="shared" si="48"/>
        <v>Outside Services885</v>
      </c>
      <c r="D1203" s="104">
        <f t="shared" si="49"/>
        <v>-53.899999999999977</v>
      </c>
      <c r="E1203" s="186">
        <v>182.88999999999996</v>
      </c>
      <c r="F1203" s="186">
        <v>128.98999999999998</v>
      </c>
    </row>
    <row r="1204" spans="1:6" ht="12.95" hidden="1" customHeight="1" outlineLevel="1">
      <c r="A1204" s="33" t="s">
        <v>1084</v>
      </c>
      <c r="B1204" s="33">
        <v>886</v>
      </c>
      <c r="C1204" s="40" t="str">
        <f t="shared" si="48"/>
        <v>Outside Services886</v>
      </c>
      <c r="D1204" s="104">
        <f t="shared" si="49"/>
        <v>7101.2600000000093</v>
      </c>
      <c r="E1204" s="186">
        <v>105955.56999999999</v>
      </c>
      <c r="F1204" s="186">
        <v>113056.83</v>
      </c>
    </row>
    <row r="1205" spans="1:6" ht="12.95" hidden="1" customHeight="1" outlineLevel="1">
      <c r="A1205" s="33" t="s">
        <v>1084</v>
      </c>
      <c r="B1205" s="33">
        <v>887</v>
      </c>
      <c r="C1205" s="40" t="str">
        <f t="shared" si="48"/>
        <v>Outside Services887</v>
      </c>
      <c r="D1205" s="104">
        <f t="shared" si="49"/>
        <v>99472.509999999544</v>
      </c>
      <c r="E1205" s="186">
        <v>1608848.0000000002</v>
      </c>
      <c r="F1205" s="186">
        <v>1708320.5099999998</v>
      </c>
    </row>
    <row r="1206" spans="1:6" ht="12.95" hidden="1" customHeight="1" outlineLevel="1">
      <c r="A1206" s="33" t="s">
        <v>1084</v>
      </c>
      <c r="B1206" s="33">
        <v>889</v>
      </c>
      <c r="C1206" s="40" t="str">
        <f t="shared" si="48"/>
        <v>Outside Services889</v>
      </c>
      <c r="D1206" s="104">
        <f t="shared" si="49"/>
        <v>-9541.1100000000079</v>
      </c>
      <c r="E1206" s="186">
        <v>62935.470000000008</v>
      </c>
      <c r="F1206" s="186">
        <v>53394.36</v>
      </c>
    </row>
    <row r="1207" spans="1:6" ht="12.95" hidden="1" customHeight="1" outlineLevel="1">
      <c r="A1207" s="33" t="s">
        <v>1084</v>
      </c>
      <c r="B1207" s="33">
        <v>890</v>
      </c>
      <c r="C1207" s="40" t="str">
        <f t="shared" si="48"/>
        <v>Outside Services890</v>
      </c>
      <c r="D1207" s="104">
        <f t="shared" si="49"/>
        <v>-131.39999999999964</v>
      </c>
      <c r="E1207" s="186">
        <v>2200.6</v>
      </c>
      <c r="F1207" s="186">
        <v>2069.2000000000003</v>
      </c>
    </row>
    <row r="1208" spans="1:6" ht="12.95" hidden="1" customHeight="1" outlineLevel="1">
      <c r="A1208" s="33" t="s">
        <v>1084</v>
      </c>
      <c r="B1208" s="33">
        <v>892</v>
      </c>
      <c r="C1208" s="40" t="str">
        <f t="shared" si="48"/>
        <v>Outside Services892</v>
      </c>
      <c r="D1208" s="104">
        <f t="shared" si="49"/>
        <v>10174.250000000029</v>
      </c>
      <c r="E1208" s="186">
        <v>166418.19</v>
      </c>
      <c r="F1208" s="186">
        <v>176592.44000000003</v>
      </c>
    </row>
    <row r="1209" spans="1:6" ht="12.95" hidden="1" customHeight="1" outlineLevel="1">
      <c r="A1209" s="33" t="s">
        <v>1084</v>
      </c>
      <c r="B1209" s="33">
        <v>893</v>
      </c>
      <c r="C1209" s="40" t="str">
        <f t="shared" si="48"/>
        <v>Outside Services893</v>
      </c>
      <c r="D1209" s="104">
        <f t="shared" si="49"/>
        <v>-747.8599999999999</v>
      </c>
      <c r="E1209" s="186">
        <v>1888.46</v>
      </c>
      <c r="F1209" s="186">
        <v>1140.6000000000001</v>
      </c>
    </row>
    <row r="1210" spans="1:6" ht="12.95" hidden="1" customHeight="1" outlineLevel="1">
      <c r="A1210" s="33" t="s">
        <v>1084</v>
      </c>
      <c r="B1210" s="33">
        <v>894</v>
      </c>
      <c r="C1210" s="40" t="str">
        <f t="shared" si="48"/>
        <v>Outside Services894</v>
      </c>
      <c r="D1210" s="104">
        <f t="shared" si="49"/>
        <v>-1879.0400000000004</v>
      </c>
      <c r="E1210" s="186">
        <v>2800.0100000000007</v>
      </c>
      <c r="F1210" s="186">
        <v>920.97000000000014</v>
      </c>
    </row>
    <row r="1211" spans="1:6" ht="12.95" hidden="1" customHeight="1" outlineLevel="1">
      <c r="A1211" s="33" t="s">
        <v>1084</v>
      </c>
      <c r="B1211" s="33">
        <v>902</v>
      </c>
      <c r="C1211" s="40" t="str">
        <f t="shared" si="48"/>
        <v>Outside Services902</v>
      </c>
      <c r="D1211" s="104">
        <f t="shared" si="49"/>
        <v>-25888.97000000003</v>
      </c>
      <c r="E1211" s="186">
        <v>164877.02000000002</v>
      </c>
      <c r="F1211" s="186">
        <v>138988.04999999999</v>
      </c>
    </row>
    <row r="1212" spans="1:6" ht="12.95" hidden="1" customHeight="1" outlineLevel="1">
      <c r="A1212" s="33" t="s">
        <v>1084</v>
      </c>
      <c r="B1212" s="33">
        <v>903</v>
      </c>
      <c r="C1212" s="40" t="str">
        <f t="shared" si="48"/>
        <v>Outside Services903</v>
      </c>
      <c r="D1212" s="104">
        <f t="shared" si="49"/>
        <v>13319.090000000004</v>
      </c>
      <c r="E1212" s="186">
        <v>35318.26</v>
      </c>
      <c r="F1212" s="186">
        <v>48637.350000000006</v>
      </c>
    </row>
    <row r="1213" spans="1:6" ht="12.95" hidden="1" customHeight="1" outlineLevel="1">
      <c r="A1213" s="33" t="s">
        <v>1084</v>
      </c>
      <c r="B1213" s="33">
        <v>904</v>
      </c>
      <c r="C1213" s="40" t="str">
        <f t="shared" si="48"/>
        <v>Outside Services904</v>
      </c>
      <c r="D1213" s="104">
        <f t="shared" si="49"/>
        <v>0</v>
      </c>
      <c r="E1213" s="186">
        <v>0</v>
      </c>
      <c r="F1213" s="186">
        <v>0</v>
      </c>
    </row>
    <row r="1214" spans="1:6" ht="12.95" hidden="1" customHeight="1" outlineLevel="1">
      <c r="A1214" s="33" t="s">
        <v>1084</v>
      </c>
      <c r="B1214" s="33">
        <v>905</v>
      </c>
      <c r="C1214" s="40" t="str">
        <f t="shared" si="48"/>
        <v>Outside Services905</v>
      </c>
      <c r="D1214" s="104">
        <f t="shared" si="49"/>
        <v>0</v>
      </c>
      <c r="E1214" s="186">
        <v>0</v>
      </c>
      <c r="F1214" s="186">
        <v>0</v>
      </c>
    </row>
    <row r="1215" spans="1:6" ht="12.95" hidden="1" customHeight="1" outlineLevel="1">
      <c r="A1215" s="33" t="s">
        <v>1084</v>
      </c>
      <c r="B1215" s="33">
        <v>907</v>
      </c>
      <c r="C1215" s="40" t="str">
        <f t="shared" si="48"/>
        <v>Outside Services907</v>
      </c>
      <c r="D1215" s="104">
        <f t="shared" si="49"/>
        <v>0</v>
      </c>
      <c r="E1215" s="186">
        <v>0</v>
      </c>
      <c r="F1215" s="186">
        <v>0</v>
      </c>
    </row>
    <row r="1216" spans="1:6" ht="12.95" hidden="1" customHeight="1" outlineLevel="1">
      <c r="A1216" s="33" t="s">
        <v>1084</v>
      </c>
      <c r="B1216" s="33">
        <v>908</v>
      </c>
      <c r="C1216" s="40" t="str">
        <f t="shared" si="48"/>
        <v>Outside Services908</v>
      </c>
      <c r="D1216" s="104">
        <f t="shared" si="49"/>
        <v>0</v>
      </c>
      <c r="E1216" s="186">
        <v>0</v>
      </c>
      <c r="F1216" s="186">
        <v>0</v>
      </c>
    </row>
    <row r="1217" spans="1:6" ht="12.95" hidden="1" customHeight="1" outlineLevel="1">
      <c r="A1217" s="33" t="s">
        <v>1084</v>
      </c>
      <c r="B1217" s="33">
        <v>909</v>
      </c>
      <c r="C1217" s="40" t="str">
        <f t="shared" si="48"/>
        <v>Outside Services909</v>
      </c>
      <c r="D1217" s="104">
        <f t="shared" si="49"/>
        <v>-1594.7900000000004</v>
      </c>
      <c r="E1217" s="186">
        <v>4027.09</v>
      </c>
      <c r="F1217" s="186">
        <v>2432.2999999999997</v>
      </c>
    </row>
    <row r="1218" spans="1:6" ht="12.95" hidden="1" customHeight="1" outlineLevel="1">
      <c r="A1218" s="33" t="s">
        <v>1084</v>
      </c>
      <c r="B1218" s="33">
        <v>910</v>
      </c>
      <c r="C1218" s="40" t="str">
        <f t="shared" si="48"/>
        <v>Outside Services910</v>
      </c>
      <c r="D1218" s="104">
        <f t="shared" si="49"/>
        <v>0</v>
      </c>
      <c r="E1218" s="186">
        <v>0</v>
      </c>
      <c r="F1218" s="186">
        <v>0</v>
      </c>
    </row>
    <row r="1219" spans="1:6" ht="12.95" hidden="1" customHeight="1" outlineLevel="1">
      <c r="A1219" s="33" t="s">
        <v>1084</v>
      </c>
      <c r="B1219" s="33">
        <v>911</v>
      </c>
      <c r="C1219" s="40" t="str">
        <f t="shared" si="48"/>
        <v>Outside Services911</v>
      </c>
      <c r="D1219" s="104">
        <f t="shared" si="49"/>
        <v>0</v>
      </c>
      <c r="E1219" s="186">
        <v>0</v>
      </c>
      <c r="F1219" s="186">
        <v>0</v>
      </c>
    </row>
    <row r="1220" spans="1:6" ht="12.95" hidden="1" customHeight="1" outlineLevel="1">
      <c r="A1220" s="33" t="s">
        <v>1084</v>
      </c>
      <c r="B1220" s="33">
        <v>912</v>
      </c>
      <c r="C1220" s="40" t="str">
        <f t="shared" si="48"/>
        <v>Outside Services912</v>
      </c>
      <c r="D1220" s="104">
        <f t="shared" si="49"/>
        <v>0</v>
      </c>
      <c r="E1220" s="186">
        <v>0</v>
      </c>
      <c r="F1220" s="186">
        <v>0</v>
      </c>
    </row>
    <row r="1221" spans="1:6" ht="12.95" hidden="1" customHeight="1" outlineLevel="1">
      <c r="A1221" s="33" t="s">
        <v>1084</v>
      </c>
      <c r="B1221" s="33">
        <v>913</v>
      </c>
      <c r="C1221" s="40" t="str">
        <f t="shared" si="48"/>
        <v>Outside Services913</v>
      </c>
      <c r="D1221" s="104">
        <f t="shared" si="49"/>
        <v>0</v>
      </c>
      <c r="E1221" s="186">
        <v>0</v>
      </c>
      <c r="F1221" s="186">
        <v>0</v>
      </c>
    </row>
    <row r="1222" spans="1:6" ht="12.95" hidden="1" customHeight="1" outlineLevel="1">
      <c r="A1222" s="33" t="s">
        <v>1084</v>
      </c>
      <c r="B1222" s="33">
        <v>920</v>
      </c>
      <c r="C1222" s="40" t="str">
        <f t="shared" si="48"/>
        <v>Outside Services920</v>
      </c>
      <c r="D1222" s="104">
        <f t="shared" si="49"/>
        <v>0</v>
      </c>
      <c r="E1222" s="186">
        <v>0</v>
      </c>
      <c r="F1222" s="186">
        <v>0</v>
      </c>
    </row>
    <row r="1223" spans="1:6" ht="12.95" hidden="1" customHeight="1" outlineLevel="1">
      <c r="A1223" s="33" t="s">
        <v>1084</v>
      </c>
      <c r="B1223" s="33">
        <v>921</v>
      </c>
      <c r="C1223" s="40" t="str">
        <f t="shared" si="48"/>
        <v>Outside Services921</v>
      </c>
      <c r="D1223" s="104">
        <f t="shared" si="49"/>
        <v>-102.71999999999935</v>
      </c>
      <c r="E1223" s="186">
        <v>2543.1</v>
      </c>
      <c r="F1223" s="186">
        <v>2440.3800000000006</v>
      </c>
    </row>
    <row r="1224" spans="1:6" ht="12.95" hidden="1" customHeight="1" outlineLevel="1">
      <c r="A1224" s="33" t="s">
        <v>1084</v>
      </c>
      <c r="B1224" s="33">
        <v>923</v>
      </c>
      <c r="C1224" s="40" t="str">
        <f t="shared" si="48"/>
        <v>Outside Services923</v>
      </c>
      <c r="D1224" s="104">
        <f t="shared" si="49"/>
        <v>-51338.259999999893</v>
      </c>
      <c r="E1224" s="186">
        <v>604828.35</v>
      </c>
      <c r="F1224" s="186">
        <v>553490.09000000008</v>
      </c>
    </row>
    <row r="1225" spans="1:6" ht="12.95" hidden="1" customHeight="1" outlineLevel="1">
      <c r="A1225" s="33" t="s">
        <v>1084</v>
      </c>
      <c r="B1225" s="33">
        <v>924</v>
      </c>
      <c r="C1225" s="40" t="str">
        <f t="shared" si="48"/>
        <v>Outside Services924</v>
      </c>
      <c r="D1225" s="104">
        <f t="shared" si="49"/>
        <v>0</v>
      </c>
      <c r="E1225" s="186">
        <v>0</v>
      </c>
      <c r="F1225" s="186">
        <v>0</v>
      </c>
    </row>
    <row r="1226" spans="1:6" ht="12.95" hidden="1" customHeight="1" outlineLevel="1">
      <c r="A1226" s="33" t="s">
        <v>1084</v>
      </c>
      <c r="B1226" s="33">
        <v>925</v>
      </c>
      <c r="C1226" s="40" t="str">
        <f t="shared" si="48"/>
        <v>Outside Services925</v>
      </c>
      <c r="D1226" s="104">
        <f t="shared" si="49"/>
        <v>0</v>
      </c>
      <c r="E1226" s="186">
        <v>0</v>
      </c>
      <c r="F1226" s="186">
        <v>0</v>
      </c>
    </row>
    <row r="1227" spans="1:6" ht="12.95" hidden="1" customHeight="1" outlineLevel="1">
      <c r="A1227" s="33" t="s">
        <v>1084</v>
      </c>
      <c r="B1227" s="33">
        <v>926</v>
      </c>
      <c r="C1227" s="40" t="str">
        <f t="shared" si="48"/>
        <v>Outside Services926</v>
      </c>
      <c r="D1227" s="104">
        <f t="shared" si="49"/>
        <v>-22163.340000000026</v>
      </c>
      <c r="E1227" s="186">
        <v>160550.66</v>
      </c>
      <c r="F1227" s="186">
        <v>138387.31999999998</v>
      </c>
    </row>
    <row r="1228" spans="1:6" ht="12.95" hidden="1" customHeight="1" outlineLevel="1">
      <c r="A1228" s="33" t="s">
        <v>1084</v>
      </c>
      <c r="B1228" s="33">
        <v>928</v>
      </c>
      <c r="C1228" s="40" t="str">
        <f t="shared" si="48"/>
        <v>Outside Services928</v>
      </c>
      <c r="D1228" s="104">
        <f t="shared" si="49"/>
        <v>0</v>
      </c>
      <c r="E1228" s="186">
        <v>0</v>
      </c>
      <c r="F1228" s="186">
        <v>0</v>
      </c>
    </row>
    <row r="1229" spans="1:6" ht="12.95" hidden="1" customHeight="1" outlineLevel="1">
      <c r="A1229" s="33" t="s">
        <v>1084</v>
      </c>
      <c r="B1229" s="33">
        <v>9301</v>
      </c>
      <c r="C1229" s="40" t="str">
        <f t="shared" si="48"/>
        <v>Outside Services9301</v>
      </c>
      <c r="D1229" s="104">
        <f t="shared" si="49"/>
        <v>0</v>
      </c>
      <c r="E1229" s="186">
        <v>0</v>
      </c>
      <c r="F1229" s="186">
        <v>0</v>
      </c>
    </row>
    <row r="1230" spans="1:6" ht="12.95" hidden="1" customHeight="1" outlineLevel="1">
      <c r="A1230" s="33" t="s">
        <v>1084</v>
      </c>
      <c r="B1230" s="33">
        <v>9302</v>
      </c>
      <c r="C1230" s="40" t="str">
        <f t="shared" si="48"/>
        <v>Outside Services9302</v>
      </c>
      <c r="D1230" s="104">
        <f t="shared" si="49"/>
        <v>634.56999999999982</v>
      </c>
      <c r="E1230" s="186">
        <v>1013.32</v>
      </c>
      <c r="F1230" s="186">
        <v>1647.8899999999999</v>
      </c>
    </row>
    <row r="1231" spans="1:6" ht="12.95" hidden="1" customHeight="1" outlineLevel="1">
      <c r="A1231" s="33" t="s">
        <v>1084</v>
      </c>
      <c r="B1231" s="33">
        <v>931</v>
      </c>
      <c r="C1231" s="40" t="str">
        <f t="shared" si="48"/>
        <v>Outside Services931</v>
      </c>
      <c r="D1231" s="104">
        <f t="shared" si="49"/>
        <v>0</v>
      </c>
      <c r="E1231" s="186">
        <v>0</v>
      </c>
      <c r="F1231" s="186">
        <v>0</v>
      </c>
    </row>
    <row r="1232" spans="1:6" ht="12.95" hidden="1" customHeight="1" outlineLevel="1">
      <c r="A1232" s="33" t="s">
        <v>1084</v>
      </c>
      <c r="B1232" s="33">
        <v>932</v>
      </c>
      <c r="C1232" s="40" t="str">
        <f t="shared" si="48"/>
        <v>Outside Services932</v>
      </c>
      <c r="D1232" s="104">
        <f t="shared" si="49"/>
        <v>0</v>
      </c>
      <c r="E1232" s="186">
        <v>0</v>
      </c>
      <c r="F1232" s="186">
        <v>0</v>
      </c>
    </row>
    <row r="1233" spans="1:6" ht="12.95" hidden="1" customHeight="1" outlineLevel="1">
      <c r="A1233" s="33" t="s">
        <v>1084</v>
      </c>
      <c r="B1233" s="33">
        <v>935</v>
      </c>
      <c r="C1233" s="40" t="str">
        <f t="shared" si="48"/>
        <v>Outside Services935</v>
      </c>
      <c r="D1233" s="104">
        <f t="shared" si="49"/>
        <v>0</v>
      </c>
      <c r="E1233" s="186">
        <v>0</v>
      </c>
      <c r="F1233" s="186">
        <v>0</v>
      </c>
    </row>
    <row r="1234" spans="1:6" s="13" customFormat="1" collapsed="1">
      <c r="A1234" s="14" t="s">
        <v>1084</v>
      </c>
      <c r="B1234" s="15"/>
      <c r="D1234" s="196">
        <f>SUM(D1185:D1233)</f>
        <v>-116030.38000000024</v>
      </c>
      <c r="E1234" s="196">
        <f>SUM(E1185:E1233)</f>
        <v>6241107.709999999</v>
      </c>
      <c r="F1234" s="196">
        <f>SUM(F1185:F1233)</f>
        <v>6125077.3299999991</v>
      </c>
    </row>
    <row r="1235" spans="1:6" ht="12.95" hidden="1" customHeight="1" outlineLevel="1">
      <c r="A1235" s="33" t="s">
        <v>1555</v>
      </c>
      <c r="B1235" s="33">
        <v>801</v>
      </c>
      <c r="C1235" s="40" t="str">
        <f t="shared" ref="C1235:C1281" si="50">A1235&amp;B1235</f>
        <v>Pension Expenses (Non-Service)801</v>
      </c>
      <c r="D1235" s="104">
        <f t="shared" ref="D1235:D1281" si="51">+F1235-E1235</f>
        <v>0</v>
      </c>
      <c r="E1235" s="186">
        <v>0</v>
      </c>
      <c r="F1235" s="186">
        <v>0</v>
      </c>
    </row>
    <row r="1236" spans="1:6" ht="12.95" hidden="1" customHeight="1" outlineLevel="1">
      <c r="A1236" s="33" t="s">
        <v>1555</v>
      </c>
      <c r="B1236" s="33">
        <v>803</v>
      </c>
      <c r="C1236" s="40" t="str">
        <f t="shared" si="50"/>
        <v>Pension Expenses (Non-Service)803</v>
      </c>
      <c r="D1236" s="104">
        <f t="shared" si="51"/>
        <v>0</v>
      </c>
      <c r="E1236" s="186">
        <v>0</v>
      </c>
      <c r="F1236" s="186">
        <v>0</v>
      </c>
    </row>
    <row r="1237" spans="1:6" ht="12.95" hidden="1" customHeight="1" outlineLevel="1">
      <c r="A1237" s="33" t="s">
        <v>1555</v>
      </c>
      <c r="B1237" s="33">
        <v>804</v>
      </c>
      <c r="C1237" s="40" t="str">
        <f t="shared" si="50"/>
        <v>Pension Expenses (Non-Service)804</v>
      </c>
      <c r="D1237" s="104">
        <f t="shared" si="51"/>
        <v>0</v>
      </c>
      <c r="E1237" s="186">
        <v>0</v>
      </c>
      <c r="F1237" s="186">
        <v>0</v>
      </c>
    </row>
    <row r="1238" spans="1:6" ht="12.95" hidden="1" customHeight="1" outlineLevel="1">
      <c r="A1238" s="33" t="s">
        <v>1555</v>
      </c>
      <c r="B1238" s="33">
        <v>805</v>
      </c>
      <c r="C1238" s="40" t="str">
        <f t="shared" si="50"/>
        <v>Pension Expenses (Non-Service)805</v>
      </c>
      <c r="D1238" s="104">
        <f t="shared" si="51"/>
        <v>0</v>
      </c>
      <c r="E1238" s="186">
        <v>0</v>
      </c>
      <c r="F1238" s="186">
        <v>0</v>
      </c>
    </row>
    <row r="1239" spans="1:6" ht="12.95" hidden="1" customHeight="1" outlineLevel="1">
      <c r="A1239" s="33" t="s">
        <v>1555</v>
      </c>
      <c r="B1239" s="33">
        <v>806</v>
      </c>
      <c r="C1239" s="40" t="str">
        <f t="shared" si="50"/>
        <v>Pension Expenses (Non-Service)806</v>
      </c>
      <c r="D1239" s="104">
        <f t="shared" si="51"/>
        <v>0</v>
      </c>
      <c r="E1239" s="186">
        <v>0</v>
      </c>
      <c r="F1239" s="186">
        <v>0</v>
      </c>
    </row>
    <row r="1240" spans="1:6" ht="12.95" hidden="1" customHeight="1" outlineLevel="1">
      <c r="A1240" s="33" t="s">
        <v>1555</v>
      </c>
      <c r="B1240" s="33">
        <v>807</v>
      </c>
      <c r="C1240" s="40" t="str">
        <f t="shared" si="50"/>
        <v>Pension Expenses (Non-Service)807</v>
      </c>
      <c r="D1240" s="104">
        <f t="shared" si="51"/>
        <v>0</v>
      </c>
      <c r="E1240" s="186">
        <v>0</v>
      </c>
      <c r="F1240" s="186">
        <v>0</v>
      </c>
    </row>
    <row r="1241" spans="1:6" ht="12.95" hidden="1" customHeight="1" outlineLevel="1">
      <c r="A1241" s="33" t="s">
        <v>1555</v>
      </c>
      <c r="B1241" s="33">
        <v>808</v>
      </c>
      <c r="C1241" s="40" t="str">
        <f t="shared" si="50"/>
        <v>Pension Expenses (Non-Service)808</v>
      </c>
      <c r="D1241" s="104">
        <f t="shared" si="51"/>
        <v>0</v>
      </c>
      <c r="E1241" s="186">
        <v>0</v>
      </c>
      <c r="F1241" s="186">
        <v>0</v>
      </c>
    </row>
    <row r="1242" spans="1:6" ht="12.95" hidden="1" customHeight="1" outlineLevel="1">
      <c r="A1242" s="33" t="s">
        <v>1555</v>
      </c>
      <c r="B1242" s="33">
        <v>812</v>
      </c>
      <c r="C1242" s="40" t="str">
        <f t="shared" si="50"/>
        <v>Pension Expenses (Non-Service)812</v>
      </c>
      <c r="D1242" s="104">
        <f t="shared" si="51"/>
        <v>0</v>
      </c>
      <c r="E1242" s="186">
        <v>0</v>
      </c>
      <c r="F1242" s="186">
        <v>0</v>
      </c>
    </row>
    <row r="1243" spans="1:6" ht="12.95" hidden="1" customHeight="1" outlineLevel="1">
      <c r="A1243" s="33" t="s">
        <v>1555</v>
      </c>
      <c r="B1243" s="33">
        <v>870</v>
      </c>
      <c r="C1243" s="40" t="str">
        <f t="shared" si="50"/>
        <v>Pension Expenses (Non-Service)870</v>
      </c>
      <c r="D1243" s="104">
        <f t="shared" si="51"/>
        <v>0</v>
      </c>
      <c r="E1243" s="186">
        <v>0</v>
      </c>
      <c r="F1243" s="186">
        <v>0</v>
      </c>
    </row>
    <row r="1244" spans="1:6" ht="12.95" hidden="1" customHeight="1" outlineLevel="1">
      <c r="A1244" s="33" t="s">
        <v>1555</v>
      </c>
      <c r="B1244" s="33">
        <v>871</v>
      </c>
      <c r="C1244" s="40" t="str">
        <f t="shared" si="50"/>
        <v>Pension Expenses (Non-Service)871</v>
      </c>
      <c r="D1244" s="104">
        <f t="shared" si="51"/>
        <v>0</v>
      </c>
      <c r="E1244" s="186">
        <v>0</v>
      </c>
      <c r="F1244" s="186">
        <v>0</v>
      </c>
    </row>
    <row r="1245" spans="1:6" ht="12.95" hidden="1" customHeight="1" outlineLevel="1">
      <c r="A1245" s="33" t="s">
        <v>1555</v>
      </c>
      <c r="B1245" s="33">
        <v>874</v>
      </c>
      <c r="C1245" s="40" t="str">
        <f t="shared" si="50"/>
        <v>Pension Expenses (Non-Service)874</v>
      </c>
      <c r="D1245" s="104">
        <f t="shared" si="51"/>
        <v>0</v>
      </c>
      <c r="E1245" s="186">
        <v>0</v>
      </c>
      <c r="F1245" s="186">
        <v>0</v>
      </c>
    </row>
    <row r="1246" spans="1:6" ht="12.95" hidden="1" customHeight="1" outlineLevel="1">
      <c r="A1246" s="33" t="s">
        <v>1555</v>
      </c>
      <c r="B1246" s="33">
        <v>875</v>
      </c>
      <c r="C1246" s="40" t="str">
        <f t="shared" si="50"/>
        <v>Pension Expenses (Non-Service)875</v>
      </c>
      <c r="D1246" s="104">
        <f t="shared" si="51"/>
        <v>0</v>
      </c>
      <c r="E1246" s="186">
        <v>0</v>
      </c>
      <c r="F1246" s="186">
        <v>0</v>
      </c>
    </row>
    <row r="1247" spans="1:6" ht="12.95" hidden="1" customHeight="1" outlineLevel="1">
      <c r="A1247" s="33" t="s">
        <v>1555</v>
      </c>
      <c r="B1247" s="33">
        <v>876</v>
      </c>
      <c r="C1247" s="40" t="str">
        <f t="shared" si="50"/>
        <v>Pension Expenses (Non-Service)876</v>
      </c>
      <c r="D1247" s="104">
        <f t="shared" si="51"/>
        <v>0</v>
      </c>
      <c r="E1247" s="186">
        <v>0</v>
      </c>
      <c r="F1247" s="186">
        <v>0</v>
      </c>
    </row>
    <row r="1248" spans="1:6" ht="12.95" hidden="1" customHeight="1" outlineLevel="1">
      <c r="A1248" s="33" t="s">
        <v>1555</v>
      </c>
      <c r="B1248" s="33">
        <v>878</v>
      </c>
      <c r="C1248" s="40" t="str">
        <f t="shared" si="50"/>
        <v>Pension Expenses (Non-Service)878</v>
      </c>
      <c r="D1248" s="104">
        <f t="shared" si="51"/>
        <v>0</v>
      </c>
      <c r="E1248" s="186">
        <v>0</v>
      </c>
      <c r="F1248" s="186">
        <v>0</v>
      </c>
    </row>
    <row r="1249" spans="1:6" ht="12.95" hidden="1" customHeight="1" outlineLevel="1">
      <c r="A1249" s="33" t="s">
        <v>1555</v>
      </c>
      <c r="B1249" s="33">
        <v>879</v>
      </c>
      <c r="C1249" s="40" t="str">
        <f t="shared" si="50"/>
        <v>Pension Expenses (Non-Service)879</v>
      </c>
      <c r="D1249" s="104">
        <f t="shared" si="51"/>
        <v>0</v>
      </c>
      <c r="E1249" s="186">
        <v>0</v>
      </c>
      <c r="F1249" s="186">
        <v>0</v>
      </c>
    </row>
    <row r="1250" spans="1:6" ht="12.95" hidden="1" customHeight="1" outlineLevel="1">
      <c r="A1250" s="33" t="s">
        <v>1555</v>
      </c>
      <c r="B1250" s="33">
        <v>880</v>
      </c>
      <c r="C1250" s="40" t="str">
        <f t="shared" si="50"/>
        <v>Pension Expenses (Non-Service)880</v>
      </c>
      <c r="D1250" s="104">
        <f t="shared" si="51"/>
        <v>0</v>
      </c>
      <c r="E1250" s="186">
        <v>0</v>
      </c>
      <c r="F1250" s="186">
        <v>0</v>
      </c>
    </row>
    <row r="1251" spans="1:6" ht="12.95" hidden="1" customHeight="1" outlineLevel="1">
      <c r="A1251" s="33" t="s">
        <v>1555</v>
      </c>
      <c r="B1251" s="33">
        <v>881</v>
      </c>
      <c r="C1251" s="40" t="str">
        <f t="shared" si="50"/>
        <v>Pension Expenses (Non-Service)881</v>
      </c>
      <c r="D1251" s="104">
        <f t="shared" si="51"/>
        <v>0</v>
      </c>
      <c r="E1251" s="186">
        <v>0</v>
      </c>
      <c r="F1251" s="186">
        <v>0</v>
      </c>
    </row>
    <row r="1252" spans="1:6" ht="12.95" hidden="1" customHeight="1" outlineLevel="1">
      <c r="A1252" s="33" t="s">
        <v>1555</v>
      </c>
      <c r="B1252" s="33">
        <v>885</v>
      </c>
      <c r="C1252" s="40" t="str">
        <f t="shared" si="50"/>
        <v>Pension Expenses (Non-Service)885</v>
      </c>
      <c r="D1252" s="104">
        <f t="shared" si="51"/>
        <v>0</v>
      </c>
      <c r="E1252" s="186">
        <v>0</v>
      </c>
      <c r="F1252" s="186">
        <v>0</v>
      </c>
    </row>
    <row r="1253" spans="1:6" ht="12.95" hidden="1" customHeight="1" outlineLevel="1">
      <c r="A1253" s="33" t="s">
        <v>1555</v>
      </c>
      <c r="B1253" s="33">
        <v>886</v>
      </c>
      <c r="C1253" s="40" t="str">
        <f t="shared" si="50"/>
        <v>Pension Expenses (Non-Service)886</v>
      </c>
      <c r="D1253" s="104">
        <f t="shared" si="51"/>
        <v>0</v>
      </c>
      <c r="E1253" s="186">
        <v>0</v>
      </c>
      <c r="F1253" s="186">
        <v>0</v>
      </c>
    </row>
    <row r="1254" spans="1:6" ht="12.95" hidden="1" customHeight="1" outlineLevel="1">
      <c r="A1254" s="33" t="s">
        <v>1555</v>
      </c>
      <c r="B1254" s="33">
        <v>887</v>
      </c>
      <c r="C1254" s="40" t="str">
        <f t="shared" si="50"/>
        <v>Pension Expenses (Non-Service)887</v>
      </c>
      <c r="D1254" s="104">
        <f t="shared" si="51"/>
        <v>0</v>
      </c>
      <c r="E1254" s="186">
        <v>0</v>
      </c>
      <c r="F1254" s="186">
        <v>0</v>
      </c>
    </row>
    <row r="1255" spans="1:6" ht="12.95" hidden="1" customHeight="1" outlineLevel="1">
      <c r="A1255" s="33" t="s">
        <v>1555</v>
      </c>
      <c r="B1255" s="33">
        <v>889</v>
      </c>
      <c r="C1255" s="40" t="str">
        <f t="shared" si="50"/>
        <v>Pension Expenses (Non-Service)889</v>
      </c>
      <c r="D1255" s="104">
        <f t="shared" si="51"/>
        <v>0</v>
      </c>
      <c r="E1255" s="186">
        <v>0</v>
      </c>
      <c r="F1255" s="186">
        <v>0</v>
      </c>
    </row>
    <row r="1256" spans="1:6" ht="12.95" hidden="1" customHeight="1" outlineLevel="1">
      <c r="A1256" s="33" t="s">
        <v>1555</v>
      </c>
      <c r="B1256" s="33">
        <v>890</v>
      </c>
      <c r="C1256" s="40" t="str">
        <f t="shared" si="50"/>
        <v>Pension Expenses (Non-Service)890</v>
      </c>
      <c r="D1256" s="104">
        <f t="shared" si="51"/>
        <v>0</v>
      </c>
      <c r="E1256" s="186">
        <v>0</v>
      </c>
      <c r="F1256" s="186">
        <v>0</v>
      </c>
    </row>
    <row r="1257" spans="1:6" ht="12.95" hidden="1" customHeight="1" outlineLevel="1">
      <c r="A1257" s="33" t="s">
        <v>1555</v>
      </c>
      <c r="B1257" s="33">
        <v>892</v>
      </c>
      <c r="C1257" s="40" t="str">
        <f t="shared" si="50"/>
        <v>Pension Expenses (Non-Service)892</v>
      </c>
      <c r="D1257" s="104">
        <f t="shared" si="51"/>
        <v>0</v>
      </c>
      <c r="E1257" s="186">
        <v>0</v>
      </c>
      <c r="F1257" s="186">
        <v>0</v>
      </c>
    </row>
    <row r="1258" spans="1:6" ht="12.95" hidden="1" customHeight="1" outlineLevel="1">
      <c r="A1258" s="33" t="s">
        <v>1555</v>
      </c>
      <c r="B1258" s="33">
        <v>893</v>
      </c>
      <c r="C1258" s="40" t="str">
        <f t="shared" si="50"/>
        <v>Pension Expenses (Non-Service)893</v>
      </c>
      <c r="D1258" s="104">
        <f t="shared" si="51"/>
        <v>0</v>
      </c>
      <c r="E1258" s="186">
        <v>0</v>
      </c>
      <c r="F1258" s="186">
        <v>0</v>
      </c>
    </row>
    <row r="1259" spans="1:6" ht="12.95" hidden="1" customHeight="1" outlineLevel="1">
      <c r="A1259" s="33" t="s">
        <v>1555</v>
      </c>
      <c r="B1259" s="33">
        <v>894</v>
      </c>
      <c r="C1259" s="40" t="str">
        <f t="shared" si="50"/>
        <v>Pension Expenses (Non-Service)894</v>
      </c>
      <c r="D1259" s="104">
        <f t="shared" si="51"/>
        <v>0</v>
      </c>
      <c r="E1259" s="186">
        <v>0</v>
      </c>
      <c r="F1259" s="186">
        <v>0</v>
      </c>
    </row>
    <row r="1260" spans="1:6" ht="12.95" hidden="1" customHeight="1" outlineLevel="1">
      <c r="A1260" s="33" t="s">
        <v>1555</v>
      </c>
      <c r="B1260" s="33">
        <v>902</v>
      </c>
      <c r="C1260" s="40" t="str">
        <f t="shared" si="50"/>
        <v>Pension Expenses (Non-Service)902</v>
      </c>
      <c r="D1260" s="104">
        <f t="shared" si="51"/>
        <v>0</v>
      </c>
      <c r="E1260" s="186">
        <v>0</v>
      </c>
      <c r="F1260" s="186">
        <v>0</v>
      </c>
    </row>
    <row r="1261" spans="1:6" ht="12.95" hidden="1" customHeight="1" outlineLevel="1">
      <c r="A1261" s="33" t="s">
        <v>1555</v>
      </c>
      <c r="B1261" s="33">
        <v>903</v>
      </c>
      <c r="C1261" s="40" t="str">
        <f t="shared" si="50"/>
        <v>Pension Expenses (Non-Service)903</v>
      </c>
      <c r="D1261" s="104">
        <f t="shared" si="51"/>
        <v>0</v>
      </c>
      <c r="E1261" s="186">
        <v>0</v>
      </c>
      <c r="F1261" s="186">
        <v>0</v>
      </c>
    </row>
    <row r="1262" spans="1:6" ht="12.95" hidden="1" customHeight="1" outlineLevel="1">
      <c r="A1262" s="33" t="s">
        <v>1555</v>
      </c>
      <c r="B1262" s="33">
        <v>904</v>
      </c>
      <c r="C1262" s="40" t="str">
        <f t="shared" si="50"/>
        <v>Pension Expenses (Non-Service)904</v>
      </c>
      <c r="D1262" s="104">
        <f t="shared" si="51"/>
        <v>0</v>
      </c>
      <c r="E1262" s="186">
        <v>0</v>
      </c>
      <c r="F1262" s="186">
        <v>0</v>
      </c>
    </row>
    <row r="1263" spans="1:6" ht="12.95" hidden="1" customHeight="1" outlineLevel="1">
      <c r="A1263" s="33" t="s">
        <v>1555</v>
      </c>
      <c r="B1263" s="33">
        <v>905</v>
      </c>
      <c r="C1263" s="40" t="str">
        <f t="shared" si="50"/>
        <v>Pension Expenses (Non-Service)905</v>
      </c>
      <c r="D1263" s="104">
        <f t="shared" si="51"/>
        <v>0</v>
      </c>
      <c r="E1263" s="186">
        <v>0</v>
      </c>
      <c r="F1263" s="186">
        <v>0</v>
      </c>
    </row>
    <row r="1264" spans="1:6" ht="12.95" hidden="1" customHeight="1" outlineLevel="1">
      <c r="A1264" s="33" t="s">
        <v>1555</v>
      </c>
      <c r="B1264" s="33">
        <v>907</v>
      </c>
      <c r="C1264" s="40" t="str">
        <f t="shared" si="50"/>
        <v>Pension Expenses (Non-Service)907</v>
      </c>
      <c r="D1264" s="104">
        <f t="shared" si="51"/>
        <v>0</v>
      </c>
      <c r="E1264" s="186">
        <v>0</v>
      </c>
      <c r="F1264" s="186">
        <v>0</v>
      </c>
    </row>
    <row r="1265" spans="1:6" ht="12.95" hidden="1" customHeight="1" outlineLevel="1">
      <c r="A1265" s="33" t="s">
        <v>1555</v>
      </c>
      <c r="B1265" s="33">
        <v>908</v>
      </c>
      <c r="C1265" s="40" t="str">
        <f t="shared" si="50"/>
        <v>Pension Expenses (Non-Service)908</v>
      </c>
      <c r="D1265" s="104">
        <f t="shared" si="51"/>
        <v>0</v>
      </c>
      <c r="E1265" s="186">
        <v>0</v>
      </c>
      <c r="F1265" s="186">
        <v>0</v>
      </c>
    </row>
    <row r="1266" spans="1:6" ht="12.95" hidden="1" customHeight="1" outlineLevel="1">
      <c r="A1266" s="33" t="s">
        <v>1555</v>
      </c>
      <c r="B1266" s="33">
        <v>909</v>
      </c>
      <c r="C1266" s="40" t="str">
        <f t="shared" si="50"/>
        <v>Pension Expenses (Non-Service)909</v>
      </c>
      <c r="D1266" s="104">
        <f t="shared" si="51"/>
        <v>0</v>
      </c>
      <c r="E1266" s="186">
        <v>0</v>
      </c>
      <c r="F1266" s="186">
        <v>0</v>
      </c>
    </row>
    <row r="1267" spans="1:6" ht="12.95" hidden="1" customHeight="1" outlineLevel="1">
      <c r="A1267" s="33" t="s">
        <v>1555</v>
      </c>
      <c r="B1267" s="33">
        <v>910</v>
      </c>
      <c r="C1267" s="40" t="str">
        <f t="shared" si="50"/>
        <v>Pension Expenses (Non-Service)910</v>
      </c>
      <c r="D1267" s="104">
        <f t="shared" si="51"/>
        <v>0</v>
      </c>
      <c r="E1267" s="186">
        <v>0</v>
      </c>
      <c r="F1267" s="186">
        <v>0</v>
      </c>
    </row>
    <row r="1268" spans="1:6" ht="12.95" hidden="1" customHeight="1" outlineLevel="1">
      <c r="A1268" s="33" t="s">
        <v>1555</v>
      </c>
      <c r="B1268" s="33">
        <v>911</v>
      </c>
      <c r="C1268" s="40" t="str">
        <f t="shared" si="50"/>
        <v>Pension Expenses (Non-Service)911</v>
      </c>
      <c r="D1268" s="104">
        <f t="shared" si="51"/>
        <v>0</v>
      </c>
      <c r="E1268" s="186">
        <v>0</v>
      </c>
      <c r="F1268" s="186">
        <v>0</v>
      </c>
    </row>
    <row r="1269" spans="1:6" ht="12.95" hidden="1" customHeight="1" outlineLevel="1">
      <c r="A1269" s="33" t="s">
        <v>1555</v>
      </c>
      <c r="B1269" s="33">
        <v>912</v>
      </c>
      <c r="C1269" s="40" t="str">
        <f t="shared" si="50"/>
        <v>Pension Expenses (Non-Service)912</v>
      </c>
      <c r="D1269" s="104">
        <f t="shared" si="51"/>
        <v>0</v>
      </c>
      <c r="E1269" s="186">
        <v>0</v>
      </c>
      <c r="F1269" s="186">
        <v>0</v>
      </c>
    </row>
    <row r="1270" spans="1:6" ht="12.95" hidden="1" customHeight="1" outlineLevel="1">
      <c r="A1270" s="33" t="s">
        <v>1555</v>
      </c>
      <c r="B1270" s="33">
        <v>913</v>
      </c>
      <c r="C1270" s="40" t="str">
        <f t="shared" si="50"/>
        <v>Pension Expenses (Non-Service)913</v>
      </c>
      <c r="D1270" s="104">
        <f t="shared" si="51"/>
        <v>0</v>
      </c>
      <c r="E1270" s="186">
        <v>0</v>
      </c>
      <c r="F1270" s="186">
        <v>0</v>
      </c>
    </row>
    <row r="1271" spans="1:6" ht="12.95" hidden="1" customHeight="1" outlineLevel="1">
      <c r="A1271" s="33" t="s">
        <v>1555</v>
      </c>
      <c r="B1271" s="33">
        <v>920</v>
      </c>
      <c r="C1271" s="40" t="str">
        <f t="shared" si="50"/>
        <v>Pension Expenses (Non-Service)920</v>
      </c>
      <c r="D1271" s="104">
        <f t="shared" si="51"/>
        <v>0</v>
      </c>
      <c r="E1271" s="186">
        <v>0</v>
      </c>
      <c r="F1271" s="186">
        <v>0</v>
      </c>
    </row>
    <row r="1272" spans="1:6" ht="12.95" hidden="1" customHeight="1" outlineLevel="1">
      <c r="A1272" s="33" t="s">
        <v>1555</v>
      </c>
      <c r="B1272" s="33">
        <v>921</v>
      </c>
      <c r="C1272" s="40" t="str">
        <f t="shared" si="50"/>
        <v>Pension Expenses (Non-Service)921</v>
      </c>
      <c r="D1272" s="104">
        <f t="shared" si="51"/>
        <v>0</v>
      </c>
      <c r="E1272" s="186">
        <v>0</v>
      </c>
      <c r="F1272" s="186">
        <v>0</v>
      </c>
    </row>
    <row r="1273" spans="1:6" ht="12.95" hidden="1" customHeight="1" outlineLevel="1">
      <c r="A1273" s="33" t="s">
        <v>1555</v>
      </c>
      <c r="B1273" s="33">
        <v>923</v>
      </c>
      <c r="C1273" s="40" t="str">
        <f t="shared" si="50"/>
        <v>Pension Expenses (Non-Service)923</v>
      </c>
      <c r="D1273" s="104">
        <f t="shared" si="51"/>
        <v>0</v>
      </c>
      <c r="E1273" s="186">
        <v>0</v>
      </c>
      <c r="F1273" s="186">
        <v>0</v>
      </c>
    </row>
    <row r="1274" spans="1:6" ht="12.95" hidden="1" customHeight="1" outlineLevel="1">
      <c r="A1274" s="33" t="s">
        <v>1555</v>
      </c>
      <c r="B1274" s="33">
        <v>924</v>
      </c>
      <c r="C1274" s="40" t="str">
        <f t="shared" si="50"/>
        <v>Pension Expenses (Non-Service)924</v>
      </c>
      <c r="D1274" s="104">
        <f t="shared" si="51"/>
        <v>0</v>
      </c>
      <c r="E1274" s="186">
        <v>0</v>
      </c>
      <c r="F1274" s="186">
        <v>0</v>
      </c>
    </row>
    <row r="1275" spans="1:6" ht="12.95" hidden="1" customHeight="1" outlineLevel="1">
      <c r="A1275" s="33" t="s">
        <v>1555</v>
      </c>
      <c r="B1275" s="33">
        <v>925</v>
      </c>
      <c r="C1275" s="40" t="str">
        <f t="shared" si="50"/>
        <v>Pension Expenses (Non-Service)925</v>
      </c>
      <c r="D1275" s="104">
        <f t="shared" si="51"/>
        <v>0</v>
      </c>
      <c r="E1275" s="186">
        <v>0</v>
      </c>
      <c r="F1275" s="186">
        <v>0</v>
      </c>
    </row>
    <row r="1276" spans="1:6" ht="12.95" hidden="1" customHeight="1" outlineLevel="1">
      <c r="A1276" s="33" t="s">
        <v>1555</v>
      </c>
      <c r="B1276" s="33">
        <v>926</v>
      </c>
      <c r="C1276" s="40" t="str">
        <f t="shared" si="50"/>
        <v>Pension Expenses (Non-Service)926</v>
      </c>
      <c r="D1276" s="104">
        <f t="shared" si="51"/>
        <v>51698.020000000077</v>
      </c>
      <c r="E1276" s="186">
        <v>221301.97999999992</v>
      </c>
      <c r="F1276" s="186">
        <v>273000</v>
      </c>
    </row>
    <row r="1277" spans="1:6" ht="12.95" hidden="1" customHeight="1" outlineLevel="1">
      <c r="A1277" s="33" t="s">
        <v>1555</v>
      </c>
      <c r="B1277" s="33">
        <v>928</v>
      </c>
      <c r="C1277" s="40" t="str">
        <f t="shared" si="50"/>
        <v>Pension Expenses (Non-Service)928</v>
      </c>
      <c r="D1277" s="104">
        <f t="shared" si="51"/>
        <v>0</v>
      </c>
      <c r="E1277" s="186">
        <v>0</v>
      </c>
      <c r="F1277" s="186">
        <v>0</v>
      </c>
    </row>
    <row r="1278" spans="1:6" ht="12.95" hidden="1" customHeight="1" outlineLevel="1">
      <c r="A1278" s="33" t="s">
        <v>1555</v>
      </c>
      <c r="B1278" s="33">
        <v>930</v>
      </c>
      <c r="C1278" s="40" t="str">
        <f t="shared" si="50"/>
        <v>Pension Expenses (Non-Service)930</v>
      </c>
      <c r="D1278" s="104">
        <f t="shared" si="51"/>
        <v>0</v>
      </c>
      <c r="E1278" s="186">
        <v>0</v>
      </c>
      <c r="F1278" s="186">
        <v>0</v>
      </c>
    </row>
    <row r="1279" spans="1:6" ht="12.95" hidden="1" customHeight="1" outlineLevel="1">
      <c r="A1279" s="33" t="s">
        <v>1555</v>
      </c>
      <c r="B1279" s="33">
        <v>931</v>
      </c>
      <c r="C1279" s="40" t="str">
        <f t="shared" si="50"/>
        <v>Pension Expenses (Non-Service)931</v>
      </c>
      <c r="D1279" s="104">
        <f t="shared" si="51"/>
        <v>0</v>
      </c>
      <c r="E1279" s="186">
        <v>0</v>
      </c>
      <c r="F1279" s="186">
        <v>0</v>
      </c>
    </row>
    <row r="1280" spans="1:6" ht="12.95" hidden="1" customHeight="1" outlineLevel="1">
      <c r="A1280" s="33" t="s">
        <v>1555</v>
      </c>
      <c r="B1280" s="33">
        <v>932</v>
      </c>
      <c r="C1280" s="40" t="str">
        <f t="shared" si="50"/>
        <v>Pension Expenses (Non-Service)932</v>
      </c>
      <c r="D1280" s="104">
        <f t="shared" si="51"/>
        <v>0</v>
      </c>
      <c r="E1280" s="186">
        <v>0</v>
      </c>
      <c r="F1280" s="186">
        <v>0</v>
      </c>
    </row>
    <row r="1281" spans="1:7" ht="12.95" hidden="1" customHeight="1" outlineLevel="1">
      <c r="A1281" s="33" t="s">
        <v>1555</v>
      </c>
      <c r="B1281" s="33">
        <v>935</v>
      </c>
      <c r="C1281" s="40" t="str">
        <f t="shared" si="50"/>
        <v>Pension Expenses (Non-Service)935</v>
      </c>
      <c r="D1281" s="104">
        <f t="shared" si="51"/>
        <v>0</v>
      </c>
      <c r="E1281" s="186">
        <v>0</v>
      </c>
      <c r="F1281" s="186">
        <v>0</v>
      </c>
    </row>
    <row r="1282" spans="1:7" s="13" customFormat="1" collapsed="1">
      <c r="A1282" s="14" t="s">
        <v>1555</v>
      </c>
      <c r="B1282" s="15"/>
      <c r="D1282" s="196">
        <f>SUM(D1235:D1281)</f>
        <v>51698.020000000077</v>
      </c>
      <c r="E1282" s="196">
        <f>SUM(E1235:E1281)</f>
        <v>221301.97999999992</v>
      </c>
      <c r="F1282" s="196">
        <f>SUM(F1235:F1281)</f>
        <v>273000</v>
      </c>
      <c r="G1282" s="196"/>
    </row>
    <row r="1283" spans="1:7" ht="12.95" hidden="1" customHeight="1" outlineLevel="1">
      <c r="A1283" s="33" t="s">
        <v>1554</v>
      </c>
      <c r="B1283" s="33">
        <v>801</v>
      </c>
      <c r="C1283" s="40" t="str">
        <f t="shared" ref="C1283:C1329" si="52">A1283&amp;B1283</f>
        <v>Pension Expenses (Service)801</v>
      </c>
      <c r="D1283" s="104">
        <f t="shared" ref="D1283:D1329" si="53">+F1283-E1283</f>
        <v>0</v>
      </c>
      <c r="E1283" s="186">
        <v>0</v>
      </c>
      <c r="F1283" s="186">
        <v>0</v>
      </c>
    </row>
    <row r="1284" spans="1:7" ht="12.95" hidden="1" customHeight="1" outlineLevel="1">
      <c r="A1284" s="33" t="s">
        <v>1554</v>
      </c>
      <c r="B1284" s="33">
        <v>803</v>
      </c>
      <c r="C1284" s="40" t="str">
        <f t="shared" si="52"/>
        <v>Pension Expenses (Service)803</v>
      </c>
      <c r="D1284" s="104">
        <f t="shared" si="53"/>
        <v>0</v>
      </c>
      <c r="E1284" s="186">
        <v>0</v>
      </c>
      <c r="F1284" s="186">
        <v>0</v>
      </c>
    </row>
    <row r="1285" spans="1:7" ht="12.95" hidden="1" customHeight="1" outlineLevel="1">
      <c r="A1285" s="33" t="s">
        <v>1554</v>
      </c>
      <c r="B1285" s="33">
        <v>804</v>
      </c>
      <c r="C1285" s="40" t="str">
        <f t="shared" si="52"/>
        <v>Pension Expenses (Service)804</v>
      </c>
      <c r="D1285" s="104">
        <f t="shared" si="53"/>
        <v>0</v>
      </c>
      <c r="E1285" s="186">
        <v>0</v>
      </c>
      <c r="F1285" s="186">
        <v>0</v>
      </c>
    </row>
    <row r="1286" spans="1:7" ht="12.95" hidden="1" customHeight="1" outlineLevel="1">
      <c r="A1286" s="33" t="s">
        <v>1554</v>
      </c>
      <c r="B1286" s="33">
        <v>805</v>
      </c>
      <c r="C1286" s="40" t="str">
        <f t="shared" si="52"/>
        <v>Pension Expenses (Service)805</v>
      </c>
      <c r="D1286" s="104">
        <f t="shared" si="53"/>
        <v>0</v>
      </c>
      <c r="E1286" s="186">
        <v>0</v>
      </c>
      <c r="F1286" s="186">
        <v>0</v>
      </c>
    </row>
    <row r="1287" spans="1:7" ht="12.95" hidden="1" customHeight="1" outlineLevel="1">
      <c r="A1287" s="33" t="s">
        <v>1554</v>
      </c>
      <c r="B1287" s="33">
        <v>806</v>
      </c>
      <c r="C1287" s="40" t="str">
        <f t="shared" si="52"/>
        <v>Pension Expenses (Service)806</v>
      </c>
      <c r="D1287" s="104">
        <f t="shared" si="53"/>
        <v>0</v>
      </c>
      <c r="E1287" s="186">
        <v>0</v>
      </c>
      <c r="F1287" s="186">
        <v>0</v>
      </c>
    </row>
    <row r="1288" spans="1:7" ht="12.95" hidden="1" customHeight="1" outlineLevel="1">
      <c r="A1288" s="33" t="s">
        <v>1554</v>
      </c>
      <c r="B1288" s="33">
        <v>807</v>
      </c>
      <c r="C1288" s="40" t="str">
        <f t="shared" si="52"/>
        <v>Pension Expenses (Service)807</v>
      </c>
      <c r="D1288" s="104">
        <f t="shared" si="53"/>
        <v>0</v>
      </c>
      <c r="E1288" s="186">
        <v>0</v>
      </c>
      <c r="F1288" s="186">
        <v>0</v>
      </c>
    </row>
    <row r="1289" spans="1:7" ht="12.95" hidden="1" customHeight="1" outlineLevel="1">
      <c r="A1289" s="33" t="s">
        <v>1554</v>
      </c>
      <c r="B1289" s="33">
        <v>808</v>
      </c>
      <c r="C1289" s="40" t="str">
        <f t="shared" si="52"/>
        <v>Pension Expenses (Service)808</v>
      </c>
      <c r="D1289" s="104">
        <f t="shared" si="53"/>
        <v>0</v>
      </c>
      <c r="E1289" s="186">
        <v>0</v>
      </c>
      <c r="F1289" s="186">
        <v>0</v>
      </c>
    </row>
    <row r="1290" spans="1:7" ht="12.95" hidden="1" customHeight="1" outlineLevel="1">
      <c r="A1290" s="33" t="s">
        <v>1554</v>
      </c>
      <c r="B1290" s="33">
        <v>812</v>
      </c>
      <c r="C1290" s="40" t="str">
        <f t="shared" si="52"/>
        <v>Pension Expenses (Service)812</v>
      </c>
      <c r="D1290" s="104">
        <f t="shared" si="53"/>
        <v>0</v>
      </c>
      <c r="E1290" s="186">
        <v>0</v>
      </c>
      <c r="F1290" s="186">
        <v>0</v>
      </c>
    </row>
    <row r="1291" spans="1:7" ht="12.95" hidden="1" customHeight="1" outlineLevel="1">
      <c r="A1291" s="33" t="s">
        <v>1554</v>
      </c>
      <c r="B1291" s="33">
        <v>870</v>
      </c>
      <c r="C1291" s="40" t="str">
        <f t="shared" si="52"/>
        <v>Pension Expenses (Service)870</v>
      </c>
      <c r="D1291" s="104">
        <f t="shared" si="53"/>
        <v>0</v>
      </c>
      <c r="E1291" s="186">
        <v>0</v>
      </c>
      <c r="F1291" s="186">
        <v>0</v>
      </c>
    </row>
    <row r="1292" spans="1:7" ht="12.95" hidden="1" customHeight="1" outlineLevel="1">
      <c r="A1292" s="33" t="s">
        <v>1554</v>
      </c>
      <c r="B1292" s="33">
        <v>871</v>
      </c>
      <c r="C1292" s="40" t="str">
        <f t="shared" si="52"/>
        <v>Pension Expenses (Service)871</v>
      </c>
      <c r="D1292" s="104">
        <f t="shared" si="53"/>
        <v>0</v>
      </c>
      <c r="E1292" s="186">
        <v>0</v>
      </c>
      <c r="F1292" s="186">
        <v>0</v>
      </c>
    </row>
    <row r="1293" spans="1:7" ht="12.95" hidden="1" customHeight="1" outlineLevel="1">
      <c r="A1293" s="33" t="s">
        <v>1554</v>
      </c>
      <c r="B1293" s="33">
        <v>874</v>
      </c>
      <c r="C1293" s="40" t="str">
        <f t="shared" si="52"/>
        <v>Pension Expenses (Service)874</v>
      </c>
      <c r="D1293" s="104">
        <f t="shared" si="53"/>
        <v>-7.6499999999999932</v>
      </c>
      <c r="E1293" s="186">
        <v>21.449999999999996</v>
      </c>
      <c r="F1293" s="186">
        <v>13.800000000000002</v>
      </c>
    </row>
    <row r="1294" spans="1:7" ht="12.95" hidden="1" customHeight="1" outlineLevel="1">
      <c r="A1294" s="33" t="s">
        <v>1554</v>
      </c>
      <c r="B1294" s="33">
        <v>875</v>
      </c>
      <c r="C1294" s="40" t="str">
        <f t="shared" si="52"/>
        <v>Pension Expenses (Service)875</v>
      </c>
      <c r="D1294" s="104">
        <f t="shared" si="53"/>
        <v>0</v>
      </c>
      <c r="E1294" s="186">
        <v>0</v>
      </c>
      <c r="F1294" s="186">
        <v>0</v>
      </c>
    </row>
    <row r="1295" spans="1:7" ht="12.95" hidden="1" customHeight="1" outlineLevel="1">
      <c r="A1295" s="33" t="s">
        <v>1554</v>
      </c>
      <c r="B1295" s="33">
        <v>876</v>
      </c>
      <c r="C1295" s="40" t="str">
        <f t="shared" si="52"/>
        <v>Pension Expenses (Service)876</v>
      </c>
      <c r="D1295" s="104">
        <f t="shared" si="53"/>
        <v>0</v>
      </c>
      <c r="E1295" s="186">
        <v>0</v>
      </c>
      <c r="F1295" s="186">
        <v>0</v>
      </c>
    </row>
    <row r="1296" spans="1:7" ht="12.95" hidden="1" customHeight="1" outlineLevel="1">
      <c r="A1296" s="33" t="s">
        <v>1554</v>
      </c>
      <c r="B1296" s="33">
        <v>878</v>
      </c>
      <c r="C1296" s="40" t="str">
        <f t="shared" si="52"/>
        <v>Pension Expenses (Service)878</v>
      </c>
      <c r="D1296" s="104">
        <f t="shared" si="53"/>
        <v>0</v>
      </c>
      <c r="E1296" s="186">
        <v>0</v>
      </c>
      <c r="F1296" s="186">
        <v>0</v>
      </c>
    </row>
    <row r="1297" spans="1:6" ht="12.95" hidden="1" customHeight="1" outlineLevel="1">
      <c r="A1297" s="33" t="s">
        <v>1554</v>
      </c>
      <c r="B1297" s="33">
        <v>879</v>
      </c>
      <c r="C1297" s="40" t="str">
        <f t="shared" si="52"/>
        <v>Pension Expenses (Service)879</v>
      </c>
      <c r="D1297" s="104">
        <f t="shared" si="53"/>
        <v>0</v>
      </c>
      <c r="E1297" s="186">
        <v>0</v>
      </c>
      <c r="F1297" s="186">
        <v>0</v>
      </c>
    </row>
    <row r="1298" spans="1:6" ht="12.95" hidden="1" customHeight="1" outlineLevel="1">
      <c r="A1298" s="33" t="s">
        <v>1554</v>
      </c>
      <c r="B1298" s="33">
        <v>880</v>
      </c>
      <c r="C1298" s="40" t="str">
        <f t="shared" si="52"/>
        <v>Pension Expenses (Service)880</v>
      </c>
      <c r="D1298" s="104">
        <f t="shared" si="53"/>
        <v>15.980000000000004</v>
      </c>
      <c r="E1298" s="186">
        <v>57.58</v>
      </c>
      <c r="F1298" s="186">
        <v>73.56</v>
      </c>
    </row>
    <row r="1299" spans="1:6" ht="12.95" hidden="1" customHeight="1" outlineLevel="1">
      <c r="A1299" s="33" t="s">
        <v>1554</v>
      </c>
      <c r="B1299" s="33">
        <v>881</v>
      </c>
      <c r="C1299" s="40" t="str">
        <f t="shared" si="52"/>
        <v>Pension Expenses (Service)881</v>
      </c>
      <c r="D1299" s="104">
        <f t="shared" si="53"/>
        <v>0</v>
      </c>
      <c r="E1299" s="186">
        <v>0</v>
      </c>
      <c r="F1299" s="186">
        <v>0</v>
      </c>
    </row>
    <row r="1300" spans="1:6" ht="12.95" hidden="1" customHeight="1" outlineLevel="1">
      <c r="A1300" s="33" t="s">
        <v>1554</v>
      </c>
      <c r="B1300" s="33">
        <v>885</v>
      </c>
      <c r="C1300" s="40" t="str">
        <f t="shared" si="52"/>
        <v>Pension Expenses (Service)885</v>
      </c>
      <c r="D1300" s="104">
        <f t="shared" si="53"/>
        <v>0</v>
      </c>
      <c r="E1300" s="186">
        <v>0</v>
      </c>
      <c r="F1300" s="186">
        <v>0</v>
      </c>
    </row>
    <row r="1301" spans="1:6" ht="12.95" hidden="1" customHeight="1" outlineLevel="1">
      <c r="A1301" s="33" t="s">
        <v>1554</v>
      </c>
      <c r="B1301" s="33">
        <v>886</v>
      </c>
      <c r="C1301" s="40" t="str">
        <f t="shared" si="52"/>
        <v>Pension Expenses (Service)886</v>
      </c>
      <c r="D1301" s="104">
        <f t="shared" si="53"/>
        <v>0</v>
      </c>
      <c r="E1301" s="186">
        <v>0</v>
      </c>
      <c r="F1301" s="186">
        <v>0</v>
      </c>
    </row>
    <row r="1302" spans="1:6" ht="12.95" hidden="1" customHeight="1" outlineLevel="1">
      <c r="A1302" s="33" t="s">
        <v>1554</v>
      </c>
      <c r="B1302" s="33">
        <v>887</v>
      </c>
      <c r="C1302" s="40" t="str">
        <f t="shared" si="52"/>
        <v>Pension Expenses (Service)887</v>
      </c>
      <c r="D1302" s="104">
        <f t="shared" si="53"/>
        <v>0</v>
      </c>
      <c r="E1302" s="186">
        <v>0</v>
      </c>
      <c r="F1302" s="186">
        <v>0</v>
      </c>
    </row>
    <row r="1303" spans="1:6" ht="12.95" hidden="1" customHeight="1" outlineLevel="1">
      <c r="A1303" s="33" t="s">
        <v>1554</v>
      </c>
      <c r="B1303" s="33">
        <v>889</v>
      </c>
      <c r="C1303" s="40" t="str">
        <f t="shared" si="52"/>
        <v>Pension Expenses (Service)889</v>
      </c>
      <c r="D1303" s="104">
        <f t="shared" si="53"/>
        <v>0</v>
      </c>
      <c r="E1303" s="186">
        <v>0</v>
      </c>
      <c r="F1303" s="186">
        <v>0</v>
      </c>
    </row>
    <row r="1304" spans="1:6" ht="12.95" hidden="1" customHeight="1" outlineLevel="1">
      <c r="A1304" s="33" t="s">
        <v>1554</v>
      </c>
      <c r="B1304" s="33">
        <v>890</v>
      </c>
      <c r="C1304" s="40" t="str">
        <f t="shared" si="52"/>
        <v>Pension Expenses (Service)890</v>
      </c>
      <c r="D1304" s="104">
        <f t="shared" si="53"/>
        <v>0</v>
      </c>
      <c r="E1304" s="186">
        <v>0</v>
      </c>
      <c r="F1304" s="186">
        <v>0</v>
      </c>
    </row>
    <row r="1305" spans="1:6" ht="12.95" hidden="1" customHeight="1" outlineLevel="1">
      <c r="A1305" s="33" t="s">
        <v>1554</v>
      </c>
      <c r="B1305" s="33">
        <v>892</v>
      </c>
      <c r="C1305" s="40" t="str">
        <f t="shared" si="52"/>
        <v>Pension Expenses (Service)892</v>
      </c>
      <c r="D1305" s="104">
        <f t="shared" si="53"/>
        <v>0</v>
      </c>
      <c r="E1305" s="186">
        <v>0</v>
      </c>
      <c r="F1305" s="186">
        <v>0</v>
      </c>
    </row>
    <row r="1306" spans="1:6" ht="12.95" hidden="1" customHeight="1" outlineLevel="1">
      <c r="A1306" s="33" t="s">
        <v>1554</v>
      </c>
      <c r="B1306" s="33">
        <v>893</v>
      </c>
      <c r="C1306" s="40" t="str">
        <f t="shared" si="52"/>
        <v>Pension Expenses (Service)893</v>
      </c>
      <c r="D1306" s="104">
        <f t="shared" si="53"/>
        <v>0</v>
      </c>
      <c r="E1306" s="186">
        <v>0</v>
      </c>
      <c r="F1306" s="186">
        <v>0</v>
      </c>
    </row>
    <row r="1307" spans="1:6" ht="12.95" hidden="1" customHeight="1" outlineLevel="1">
      <c r="A1307" s="33" t="s">
        <v>1554</v>
      </c>
      <c r="B1307" s="33">
        <v>894</v>
      </c>
      <c r="C1307" s="40" t="str">
        <f t="shared" si="52"/>
        <v>Pension Expenses (Service)894</v>
      </c>
      <c r="D1307" s="104">
        <f t="shared" si="53"/>
        <v>0</v>
      </c>
      <c r="E1307" s="186">
        <v>0</v>
      </c>
      <c r="F1307" s="186">
        <v>0</v>
      </c>
    </row>
    <row r="1308" spans="1:6" ht="12.95" hidden="1" customHeight="1" outlineLevel="1">
      <c r="A1308" s="33" t="s">
        <v>1554</v>
      </c>
      <c r="B1308" s="33">
        <v>902</v>
      </c>
      <c r="C1308" s="40" t="str">
        <f t="shared" si="52"/>
        <v>Pension Expenses (Service)902</v>
      </c>
      <c r="D1308" s="104">
        <f t="shared" si="53"/>
        <v>0</v>
      </c>
      <c r="E1308" s="186">
        <v>0</v>
      </c>
      <c r="F1308" s="186">
        <v>0</v>
      </c>
    </row>
    <row r="1309" spans="1:6" ht="12.95" hidden="1" customHeight="1" outlineLevel="1">
      <c r="A1309" s="33" t="s">
        <v>1554</v>
      </c>
      <c r="B1309" s="33">
        <v>903</v>
      </c>
      <c r="C1309" s="40" t="str">
        <f t="shared" si="52"/>
        <v>Pension Expenses (Service)903</v>
      </c>
      <c r="D1309" s="104">
        <f t="shared" si="53"/>
        <v>0</v>
      </c>
      <c r="E1309" s="186">
        <v>0</v>
      </c>
      <c r="F1309" s="186">
        <v>0</v>
      </c>
    </row>
    <row r="1310" spans="1:6" ht="12.95" hidden="1" customHeight="1" outlineLevel="1">
      <c r="A1310" s="33" t="s">
        <v>1554</v>
      </c>
      <c r="B1310" s="33">
        <v>904</v>
      </c>
      <c r="C1310" s="40" t="str">
        <f t="shared" si="52"/>
        <v>Pension Expenses (Service)904</v>
      </c>
      <c r="D1310" s="104">
        <f t="shared" si="53"/>
        <v>0</v>
      </c>
      <c r="E1310" s="186">
        <v>0</v>
      </c>
      <c r="F1310" s="186">
        <v>0</v>
      </c>
    </row>
    <row r="1311" spans="1:6" ht="12.95" hidden="1" customHeight="1" outlineLevel="1">
      <c r="A1311" s="33" t="s">
        <v>1554</v>
      </c>
      <c r="B1311" s="33">
        <v>905</v>
      </c>
      <c r="C1311" s="40" t="str">
        <f t="shared" si="52"/>
        <v>Pension Expenses (Service)905</v>
      </c>
      <c r="D1311" s="104">
        <f t="shared" si="53"/>
        <v>0</v>
      </c>
      <c r="E1311" s="186">
        <v>0</v>
      </c>
      <c r="F1311" s="186">
        <v>0</v>
      </c>
    </row>
    <row r="1312" spans="1:6" ht="12.95" hidden="1" customHeight="1" outlineLevel="1">
      <c r="A1312" s="33" t="s">
        <v>1554</v>
      </c>
      <c r="B1312" s="33">
        <v>907</v>
      </c>
      <c r="C1312" s="40" t="str">
        <f t="shared" si="52"/>
        <v>Pension Expenses (Service)907</v>
      </c>
      <c r="D1312" s="104">
        <f t="shared" si="53"/>
        <v>0</v>
      </c>
      <c r="E1312" s="186">
        <v>0</v>
      </c>
      <c r="F1312" s="186">
        <v>0</v>
      </c>
    </row>
    <row r="1313" spans="1:6" ht="12.95" hidden="1" customHeight="1" outlineLevel="1">
      <c r="A1313" s="33" t="s">
        <v>1554</v>
      </c>
      <c r="B1313" s="33">
        <v>908</v>
      </c>
      <c r="C1313" s="40" t="str">
        <f t="shared" si="52"/>
        <v>Pension Expenses (Service)908</v>
      </c>
      <c r="D1313" s="104">
        <f t="shared" si="53"/>
        <v>0</v>
      </c>
      <c r="E1313" s="186">
        <v>0</v>
      </c>
      <c r="F1313" s="186">
        <v>0</v>
      </c>
    </row>
    <row r="1314" spans="1:6" ht="12.95" hidden="1" customHeight="1" outlineLevel="1">
      <c r="A1314" s="33" t="s">
        <v>1554</v>
      </c>
      <c r="B1314" s="33">
        <v>909</v>
      </c>
      <c r="C1314" s="40" t="str">
        <f t="shared" si="52"/>
        <v>Pension Expenses (Service)909</v>
      </c>
      <c r="D1314" s="104">
        <f t="shared" si="53"/>
        <v>0</v>
      </c>
      <c r="E1314" s="186">
        <v>0</v>
      </c>
      <c r="F1314" s="186">
        <v>0</v>
      </c>
    </row>
    <row r="1315" spans="1:6" ht="12.95" hidden="1" customHeight="1" outlineLevel="1">
      <c r="A1315" s="33" t="s">
        <v>1554</v>
      </c>
      <c r="B1315" s="33">
        <v>910</v>
      </c>
      <c r="C1315" s="40" t="str">
        <f t="shared" si="52"/>
        <v>Pension Expenses (Service)910</v>
      </c>
      <c r="D1315" s="104">
        <f t="shared" si="53"/>
        <v>0</v>
      </c>
      <c r="E1315" s="186">
        <v>0</v>
      </c>
      <c r="F1315" s="186">
        <v>0</v>
      </c>
    </row>
    <row r="1316" spans="1:6" ht="12.95" hidden="1" customHeight="1" outlineLevel="1">
      <c r="A1316" s="33" t="s">
        <v>1554</v>
      </c>
      <c r="B1316" s="33">
        <v>911</v>
      </c>
      <c r="C1316" s="40" t="str">
        <f t="shared" si="52"/>
        <v>Pension Expenses (Service)911</v>
      </c>
      <c r="D1316" s="104">
        <f t="shared" si="53"/>
        <v>0</v>
      </c>
      <c r="E1316" s="186">
        <v>0</v>
      </c>
      <c r="F1316" s="186">
        <v>0</v>
      </c>
    </row>
    <row r="1317" spans="1:6" ht="12.95" hidden="1" customHeight="1" outlineLevel="1">
      <c r="A1317" s="33" t="s">
        <v>1554</v>
      </c>
      <c r="B1317" s="33">
        <v>912</v>
      </c>
      <c r="C1317" s="40" t="str">
        <f t="shared" si="52"/>
        <v>Pension Expenses (Service)912</v>
      </c>
      <c r="D1317" s="104">
        <f t="shared" si="53"/>
        <v>0</v>
      </c>
      <c r="E1317" s="186">
        <v>0</v>
      </c>
      <c r="F1317" s="186">
        <v>0</v>
      </c>
    </row>
    <row r="1318" spans="1:6" ht="12.95" hidden="1" customHeight="1" outlineLevel="1">
      <c r="A1318" s="33" t="s">
        <v>1554</v>
      </c>
      <c r="B1318" s="33">
        <v>913</v>
      </c>
      <c r="C1318" s="40" t="str">
        <f t="shared" si="52"/>
        <v>Pension Expenses (Service)913</v>
      </c>
      <c r="D1318" s="104">
        <f t="shared" si="53"/>
        <v>0</v>
      </c>
      <c r="E1318" s="186">
        <v>0</v>
      </c>
      <c r="F1318" s="186">
        <v>0</v>
      </c>
    </row>
    <row r="1319" spans="1:6" ht="12.95" hidden="1" customHeight="1" outlineLevel="1">
      <c r="A1319" s="33" t="s">
        <v>1554</v>
      </c>
      <c r="B1319" s="33">
        <v>920</v>
      </c>
      <c r="C1319" s="40" t="str">
        <f t="shared" si="52"/>
        <v>Pension Expenses (Service)920</v>
      </c>
      <c r="D1319" s="104">
        <f t="shared" si="53"/>
        <v>0</v>
      </c>
      <c r="E1319" s="186">
        <v>0</v>
      </c>
      <c r="F1319" s="186">
        <v>0</v>
      </c>
    </row>
    <row r="1320" spans="1:6" ht="12.95" hidden="1" customHeight="1" outlineLevel="1">
      <c r="A1320" s="33" t="s">
        <v>1554</v>
      </c>
      <c r="B1320" s="33">
        <v>921</v>
      </c>
      <c r="C1320" s="40" t="str">
        <f t="shared" si="52"/>
        <v>Pension Expenses (Service)921</v>
      </c>
      <c r="D1320" s="104">
        <f t="shared" si="53"/>
        <v>0</v>
      </c>
      <c r="E1320" s="186">
        <v>0</v>
      </c>
      <c r="F1320" s="186">
        <v>0</v>
      </c>
    </row>
    <row r="1321" spans="1:6" ht="12.95" hidden="1" customHeight="1" outlineLevel="1">
      <c r="A1321" s="33" t="s">
        <v>1554</v>
      </c>
      <c r="B1321" s="33">
        <v>923</v>
      </c>
      <c r="C1321" s="40" t="str">
        <f t="shared" si="52"/>
        <v>Pension Expenses (Service)923</v>
      </c>
      <c r="D1321" s="104">
        <f t="shared" si="53"/>
        <v>0</v>
      </c>
      <c r="E1321" s="186">
        <v>0</v>
      </c>
      <c r="F1321" s="186">
        <v>0</v>
      </c>
    </row>
    <row r="1322" spans="1:6" ht="12.95" hidden="1" customHeight="1" outlineLevel="1">
      <c r="A1322" s="33" t="s">
        <v>1554</v>
      </c>
      <c r="B1322" s="33">
        <v>924</v>
      </c>
      <c r="C1322" s="40" t="str">
        <f t="shared" si="52"/>
        <v>Pension Expenses (Service)924</v>
      </c>
      <c r="D1322" s="104">
        <f t="shared" si="53"/>
        <v>0</v>
      </c>
      <c r="E1322" s="186">
        <v>0</v>
      </c>
      <c r="F1322" s="186">
        <v>0</v>
      </c>
    </row>
    <row r="1323" spans="1:6" ht="12.95" hidden="1" customHeight="1" outlineLevel="1">
      <c r="A1323" s="33" t="s">
        <v>1554</v>
      </c>
      <c r="B1323" s="33">
        <v>925</v>
      </c>
      <c r="C1323" s="40" t="str">
        <f t="shared" si="52"/>
        <v>Pension Expenses (Service)925</v>
      </c>
      <c r="D1323" s="104">
        <f t="shared" si="53"/>
        <v>0</v>
      </c>
      <c r="E1323" s="186">
        <v>0</v>
      </c>
      <c r="F1323" s="186">
        <v>0</v>
      </c>
    </row>
    <row r="1324" spans="1:6" ht="12.95" hidden="1" customHeight="1" outlineLevel="1">
      <c r="A1324" s="33" t="s">
        <v>1554</v>
      </c>
      <c r="B1324" s="33">
        <v>926</v>
      </c>
      <c r="C1324" s="40" t="str">
        <f t="shared" si="52"/>
        <v>Pension Expenses (Service)926</v>
      </c>
      <c r="D1324" s="104">
        <f t="shared" si="53"/>
        <v>-4714.5500000000175</v>
      </c>
      <c r="E1324" s="186">
        <v>155353.06999999998</v>
      </c>
      <c r="F1324" s="186">
        <v>150638.51999999996</v>
      </c>
    </row>
    <row r="1325" spans="1:6" ht="12.95" hidden="1" customHeight="1" outlineLevel="1">
      <c r="A1325" s="33" t="s">
        <v>1554</v>
      </c>
      <c r="B1325" s="33">
        <v>928</v>
      </c>
      <c r="C1325" s="40" t="str">
        <f t="shared" si="52"/>
        <v>Pension Expenses (Service)928</v>
      </c>
      <c r="D1325" s="104">
        <f t="shared" si="53"/>
        <v>0</v>
      </c>
      <c r="E1325" s="186">
        <v>0</v>
      </c>
      <c r="F1325" s="186">
        <v>0</v>
      </c>
    </row>
    <row r="1326" spans="1:6" ht="12.95" hidden="1" customHeight="1" outlineLevel="1">
      <c r="A1326" s="33" t="s">
        <v>1554</v>
      </c>
      <c r="B1326" s="33">
        <v>930</v>
      </c>
      <c r="C1326" s="40" t="str">
        <f t="shared" si="52"/>
        <v>Pension Expenses (Service)930</v>
      </c>
      <c r="D1326" s="104">
        <f t="shared" si="53"/>
        <v>0</v>
      </c>
      <c r="E1326" s="186">
        <v>0</v>
      </c>
      <c r="F1326" s="186">
        <v>0</v>
      </c>
    </row>
    <row r="1327" spans="1:6" ht="12.95" hidden="1" customHeight="1" outlineLevel="1">
      <c r="A1327" s="33" t="s">
        <v>1554</v>
      </c>
      <c r="B1327" s="33">
        <v>931</v>
      </c>
      <c r="C1327" s="40" t="str">
        <f t="shared" si="52"/>
        <v>Pension Expenses (Service)931</v>
      </c>
      <c r="D1327" s="104">
        <f t="shared" si="53"/>
        <v>0</v>
      </c>
      <c r="E1327" s="186">
        <v>0</v>
      </c>
      <c r="F1327" s="186">
        <v>0</v>
      </c>
    </row>
    <row r="1328" spans="1:6" ht="12.95" hidden="1" customHeight="1" outlineLevel="1">
      <c r="A1328" s="33" t="s">
        <v>1554</v>
      </c>
      <c r="B1328" s="33">
        <v>932</v>
      </c>
      <c r="C1328" s="40" t="str">
        <f t="shared" si="52"/>
        <v>Pension Expenses (Service)932</v>
      </c>
      <c r="D1328" s="104">
        <f t="shared" si="53"/>
        <v>0</v>
      </c>
      <c r="E1328" s="186">
        <v>0</v>
      </c>
      <c r="F1328" s="186">
        <v>0</v>
      </c>
    </row>
    <row r="1329" spans="1:6" ht="12.95" hidden="1" customHeight="1" outlineLevel="1">
      <c r="A1329" s="33" t="s">
        <v>1554</v>
      </c>
      <c r="B1329" s="33">
        <v>935</v>
      </c>
      <c r="C1329" s="40" t="str">
        <f t="shared" si="52"/>
        <v>Pension Expenses (Service)935</v>
      </c>
      <c r="D1329" s="104">
        <f t="shared" si="53"/>
        <v>0</v>
      </c>
      <c r="E1329" s="186">
        <v>0</v>
      </c>
      <c r="F1329" s="186">
        <v>0</v>
      </c>
    </row>
    <row r="1330" spans="1:6" s="13" customFormat="1" collapsed="1">
      <c r="A1330" s="14" t="s">
        <v>1554</v>
      </c>
      <c r="B1330" s="15"/>
      <c r="D1330" s="196">
        <f>SUM(D1283:D1329)</f>
        <v>-4706.2200000000175</v>
      </c>
      <c r="E1330" s="196">
        <f>SUM(E1283:E1329)</f>
        <v>155432.09999999998</v>
      </c>
      <c r="F1330" s="196">
        <f>SUM(F1283:F1329)</f>
        <v>150725.87999999995</v>
      </c>
    </row>
    <row r="1331" spans="1:6" ht="12.95" hidden="1" customHeight="1" outlineLevel="1">
      <c r="A1331" s="33" t="s">
        <v>1103</v>
      </c>
      <c r="B1331" s="33">
        <v>801</v>
      </c>
      <c r="C1331" s="40" t="str">
        <f t="shared" ref="C1331:C1378" si="54">A1331&amp;B1331</f>
        <v>Postage801</v>
      </c>
      <c r="D1331" s="104">
        <f t="shared" ref="D1331:D1378" si="55">+F1331-E1331</f>
        <v>0</v>
      </c>
      <c r="E1331" s="186">
        <v>0</v>
      </c>
      <c r="F1331" s="186">
        <v>0</v>
      </c>
    </row>
    <row r="1332" spans="1:6" ht="12.95" hidden="1" customHeight="1" outlineLevel="1">
      <c r="A1332" s="33" t="s">
        <v>1103</v>
      </c>
      <c r="B1332" s="33">
        <v>803</v>
      </c>
      <c r="C1332" s="40" t="str">
        <f t="shared" si="54"/>
        <v>Postage803</v>
      </c>
      <c r="D1332" s="104">
        <f t="shared" si="55"/>
        <v>0</v>
      </c>
      <c r="E1332" s="186">
        <v>0</v>
      </c>
      <c r="F1332" s="186">
        <v>0</v>
      </c>
    </row>
    <row r="1333" spans="1:6" ht="12.95" hidden="1" customHeight="1" outlineLevel="1">
      <c r="A1333" s="33" t="s">
        <v>1103</v>
      </c>
      <c r="B1333" s="33">
        <v>804</v>
      </c>
      <c r="C1333" s="40" t="str">
        <f t="shared" si="54"/>
        <v>Postage804</v>
      </c>
      <c r="D1333" s="104">
        <f t="shared" si="55"/>
        <v>0</v>
      </c>
      <c r="E1333" s="186">
        <v>0</v>
      </c>
      <c r="F1333" s="186">
        <v>0</v>
      </c>
    </row>
    <row r="1334" spans="1:6" ht="12.95" hidden="1" customHeight="1" outlineLevel="1">
      <c r="A1334" s="33" t="s">
        <v>1103</v>
      </c>
      <c r="B1334" s="33">
        <v>805</v>
      </c>
      <c r="C1334" s="40" t="str">
        <f t="shared" si="54"/>
        <v>Postage805</v>
      </c>
      <c r="D1334" s="104">
        <f t="shared" si="55"/>
        <v>0</v>
      </c>
      <c r="E1334" s="186">
        <v>0</v>
      </c>
      <c r="F1334" s="186">
        <v>0</v>
      </c>
    </row>
    <row r="1335" spans="1:6" ht="12.95" hidden="1" customHeight="1" outlineLevel="1">
      <c r="A1335" s="33" t="s">
        <v>1103</v>
      </c>
      <c r="B1335" s="33">
        <v>806</v>
      </c>
      <c r="C1335" s="40" t="str">
        <f t="shared" si="54"/>
        <v>Postage806</v>
      </c>
      <c r="D1335" s="104">
        <f t="shared" si="55"/>
        <v>0</v>
      </c>
      <c r="E1335" s="186">
        <v>0</v>
      </c>
      <c r="F1335" s="186">
        <v>0</v>
      </c>
    </row>
    <row r="1336" spans="1:6" ht="12.95" hidden="1" customHeight="1" outlineLevel="1">
      <c r="A1336" s="33" t="s">
        <v>1103</v>
      </c>
      <c r="B1336" s="33">
        <v>807</v>
      </c>
      <c r="C1336" s="40" t="str">
        <f t="shared" si="54"/>
        <v>Postage807</v>
      </c>
      <c r="D1336" s="104">
        <f t="shared" si="55"/>
        <v>0</v>
      </c>
      <c r="E1336" s="186">
        <v>0</v>
      </c>
      <c r="F1336" s="186">
        <v>0</v>
      </c>
    </row>
    <row r="1337" spans="1:6" ht="12.95" hidden="1" customHeight="1" outlineLevel="1">
      <c r="A1337" s="33" t="s">
        <v>1103</v>
      </c>
      <c r="B1337" s="33">
        <v>808</v>
      </c>
      <c r="C1337" s="40" t="str">
        <f t="shared" si="54"/>
        <v>Postage808</v>
      </c>
      <c r="D1337" s="104">
        <f t="shared" si="55"/>
        <v>0</v>
      </c>
      <c r="E1337" s="186">
        <v>0</v>
      </c>
      <c r="F1337" s="186">
        <v>0</v>
      </c>
    </row>
    <row r="1338" spans="1:6" ht="12.95" hidden="1" customHeight="1" outlineLevel="1">
      <c r="A1338" s="33" t="s">
        <v>1103</v>
      </c>
      <c r="B1338" s="33">
        <v>812</v>
      </c>
      <c r="C1338" s="40" t="str">
        <f t="shared" si="54"/>
        <v>Postage812</v>
      </c>
      <c r="D1338" s="104">
        <f t="shared" si="55"/>
        <v>0</v>
      </c>
      <c r="E1338" s="186">
        <v>0</v>
      </c>
      <c r="F1338" s="186">
        <v>0</v>
      </c>
    </row>
    <row r="1339" spans="1:6" ht="12.95" hidden="1" customHeight="1" outlineLevel="1">
      <c r="A1339" s="33" t="s">
        <v>1103</v>
      </c>
      <c r="B1339" s="33">
        <v>870</v>
      </c>
      <c r="C1339" s="40" t="str">
        <f t="shared" si="54"/>
        <v>Postage870</v>
      </c>
      <c r="D1339" s="104">
        <f t="shared" si="55"/>
        <v>0</v>
      </c>
      <c r="E1339" s="186">
        <v>0</v>
      </c>
      <c r="F1339" s="186">
        <v>0</v>
      </c>
    </row>
    <row r="1340" spans="1:6" ht="12.95" hidden="1" customHeight="1" outlineLevel="1">
      <c r="A1340" s="33" t="s">
        <v>1103</v>
      </c>
      <c r="B1340" s="33">
        <v>871</v>
      </c>
      <c r="C1340" s="40" t="str">
        <f t="shared" si="54"/>
        <v>Postage871</v>
      </c>
      <c r="D1340" s="104">
        <f t="shared" si="55"/>
        <v>0</v>
      </c>
      <c r="E1340" s="186">
        <v>0</v>
      </c>
      <c r="F1340" s="186">
        <v>0</v>
      </c>
    </row>
    <row r="1341" spans="1:6" ht="12.95" hidden="1" customHeight="1" outlineLevel="1">
      <c r="A1341" s="33" t="s">
        <v>1103</v>
      </c>
      <c r="B1341" s="33">
        <v>874</v>
      </c>
      <c r="C1341" s="40" t="str">
        <f t="shared" si="54"/>
        <v>Postage874</v>
      </c>
      <c r="D1341" s="104">
        <f t="shared" si="55"/>
        <v>0</v>
      </c>
      <c r="E1341" s="186">
        <v>0</v>
      </c>
      <c r="F1341" s="186">
        <v>0</v>
      </c>
    </row>
    <row r="1342" spans="1:6" ht="12.95" hidden="1" customHeight="1" outlineLevel="1">
      <c r="A1342" s="33" t="s">
        <v>1103</v>
      </c>
      <c r="B1342" s="33">
        <v>875</v>
      </c>
      <c r="C1342" s="40" t="str">
        <f t="shared" si="54"/>
        <v>Postage875</v>
      </c>
      <c r="D1342" s="104">
        <f t="shared" si="55"/>
        <v>0</v>
      </c>
      <c r="E1342" s="186">
        <v>0</v>
      </c>
      <c r="F1342" s="186">
        <v>0</v>
      </c>
    </row>
    <row r="1343" spans="1:6" ht="12.95" hidden="1" customHeight="1" outlineLevel="1">
      <c r="A1343" s="33" t="s">
        <v>1103</v>
      </c>
      <c r="B1343" s="33">
        <v>876</v>
      </c>
      <c r="C1343" s="40" t="str">
        <f t="shared" si="54"/>
        <v>Postage876</v>
      </c>
      <c r="D1343" s="104">
        <f t="shared" si="55"/>
        <v>0</v>
      </c>
      <c r="E1343" s="186">
        <v>0</v>
      </c>
      <c r="F1343" s="186">
        <v>0</v>
      </c>
    </row>
    <row r="1344" spans="1:6" ht="12.95" hidden="1" customHeight="1" outlineLevel="1">
      <c r="A1344" s="33" t="s">
        <v>1103</v>
      </c>
      <c r="B1344" s="33">
        <v>878</v>
      </c>
      <c r="C1344" s="40" t="str">
        <f t="shared" si="54"/>
        <v>Postage878</v>
      </c>
      <c r="D1344" s="104">
        <f t="shared" si="55"/>
        <v>0</v>
      </c>
      <c r="E1344" s="186">
        <v>0</v>
      </c>
      <c r="F1344" s="186">
        <v>0</v>
      </c>
    </row>
    <row r="1345" spans="1:6" ht="12.95" hidden="1" customHeight="1" outlineLevel="1">
      <c r="A1345" s="33" t="s">
        <v>1103</v>
      </c>
      <c r="B1345" s="33">
        <v>879</v>
      </c>
      <c r="C1345" s="40" t="str">
        <f t="shared" si="54"/>
        <v>Postage879</v>
      </c>
      <c r="D1345" s="104">
        <f t="shared" si="55"/>
        <v>0</v>
      </c>
      <c r="E1345" s="186">
        <v>0</v>
      </c>
      <c r="F1345" s="186">
        <v>0</v>
      </c>
    </row>
    <row r="1346" spans="1:6" ht="12.95" hidden="1" customHeight="1" outlineLevel="1">
      <c r="A1346" s="33" t="s">
        <v>1103</v>
      </c>
      <c r="B1346" s="33">
        <v>880</v>
      </c>
      <c r="C1346" s="40" t="str">
        <f t="shared" si="54"/>
        <v>Postage880</v>
      </c>
      <c r="D1346" s="104">
        <f t="shared" si="55"/>
        <v>0</v>
      </c>
      <c r="E1346" s="186">
        <v>0</v>
      </c>
      <c r="F1346" s="186">
        <v>0</v>
      </c>
    </row>
    <row r="1347" spans="1:6" ht="12.95" hidden="1" customHeight="1" outlineLevel="1">
      <c r="A1347" s="33" t="s">
        <v>1103</v>
      </c>
      <c r="B1347" s="33">
        <v>881</v>
      </c>
      <c r="C1347" s="40" t="str">
        <f t="shared" si="54"/>
        <v>Postage881</v>
      </c>
      <c r="D1347" s="104">
        <f t="shared" si="55"/>
        <v>0</v>
      </c>
      <c r="E1347" s="186">
        <v>0</v>
      </c>
      <c r="F1347" s="186">
        <v>0</v>
      </c>
    </row>
    <row r="1348" spans="1:6" ht="12.95" hidden="1" customHeight="1" outlineLevel="1">
      <c r="A1348" s="33" t="s">
        <v>1103</v>
      </c>
      <c r="B1348" s="33">
        <v>885</v>
      </c>
      <c r="C1348" s="40" t="str">
        <f t="shared" si="54"/>
        <v>Postage885</v>
      </c>
      <c r="D1348" s="104">
        <f t="shared" si="55"/>
        <v>0</v>
      </c>
      <c r="E1348" s="186">
        <v>0</v>
      </c>
      <c r="F1348" s="186">
        <v>0</v>
      </c>
    </row>
    <row r="1349" spans="1:6" ht="12.95" hidden="1" customHeight="1" outlineLevel="1">
      <c r="A1349" s="33" t="s">
        <v>1103</v>
      </c>
      <c r="B1349" s="33">
        <v>886</v>
      </c>
      <c r="C1349" s="40" t="str">
        <f t="shared" si="54"/>
        <v>Postage886</v>
      </c>
      <c r="D1349" s="104">
        <f t="shared" si="55"/>
        <v>0</v>
      </c>
      <c r="E1349" s="186">
        <v>0</v>
      </c>
      <c r="F1349" s="186">
        <v>0</v>
      </c>
    </row>
    <row r="1350" spans="1:6" ht="12.95" hidden="1" customHeight="1" outlineLevel="1">
      <c r="A1350" s="33" t="s">
        <v>1103</v>
      </c>
      <c r="B1350" s="33">
        <v>887</v>
      </c>
      <c r="C1350" s="40" t="str">
        <f t="shared" si="54"/>
        <v>Postage887</v>
      </c>
      <c r="D1350" s="104">
        <f t="shared" si="55"/>
        <v>0</v>
      </c>
      <c r="E1350" s="186">
        <v>0</v>
      </c>
      <c r="F1350" s="186">
        <v>0</v>
      </c>
    </row>
    <row r="1351" spans="1:6" ht="12.95" hidden="1" customHeight="1" outlineLevel="1">
      <c r="A1351" s="33" t="s">
        <v>1103</v>
      </c>
      <c r="B1351" s="33">
        <v>889</v>
      </c>
      <c r="C1351" s="40" t="str">
        <f t="shared" si="54"/>
        <v>Postage889</v>
      </c>
      <c r="D1351" s="104">
        <f t="shared" si="55"/>
        <v>0</v>
      </c>
      <c r="E1351" s="186">
        <v>0</v>
      </c>
      <c r="F1351" s="186">
        <v>0</v>
      </c>
    </row>
    <row r="1352" spans="1:6" ht="12.95" hidden="1" customHeight="1" outlineLevel="1">
      <c r="A1352" s="33" t="s">
        <v>1103</v>
      </c>
      <c r="B1352" s="33">
        <v>890</v>
      </c>
      <c r="C1352" s="40" t="str">
        <f t="shared" si="54"/>
        <v>Postage890</v>
      </c>
      <c r="D1352" s="104">
        <f t="shared" si="55"/>
        <v>0</v>
      </c>
      <c r="E1352" s="186">
        <v>0</v>
      </c>
      <c r="F1352" s="186">
        <v>0</v>
      </c>
    </row>
    <row r="1353" spans="1:6" ht="12.95" hidden="1" customHeight="1" outlineLevel="1">
      <c r="A1353" s="33" t="s">
        <v>1103</v>
      </c>
      <c r="B1353" s="33">
        <v>892</v>
      </c>
      <c r="C1353" s="40" t="str">
        <f t="shared" si="54"/>
        <v>Postage892</v>
      </c>
      <c r="D1353" s="104">
        <f t="shared" si="55"/>
        <v>0</v>
      </c>
      <c r="E1353" s="186">
        <v>0</v>
      </c>
      <c r="F1353" s="186">
        <v>0</v>
      </c>
    </row>
    <row r="1354" spans="1:6" ht="12.95" hidden="1" customHeight="1" outlineLevel="1">
      <c r="A1354" s="33" t="s">
        <v>1103</v>
      </c>
      <c r="B1354" s="33">
        <v>893</v>
      </c>
      <c r="C1354" s="40" t="str">
        <f t="shared" si="54"/>
        <v>Postage893</v>
      </c>
      <c r="D1354" s="104">
        <f t="shared" si="55"/>
        <v>0</v>
      </c>
      <c r="E1354" s="186">
        <v>0</v>
      </c>
      <c r="F1354" s="186">
        <v>0</v>
      </c>
    </row>
    <row r="1355" spans="1:6" ht="12.95" hidden="1" customHeight="1" outlineLevel="1">
      <c r="A1355" s="33" t="s">
        <v>1103</v>
      </c>
      <c r="B1355" s="33">
        <v>894</v>
      </c>
      <c r="C1355" s="40" t="str">
        <f t="shared" si="54"/>
        <v>Postage894</v>
      </c>
      <c r="D1355" s="104">
        <f t="shared" si="55"/>
        <v>0</v>
      </c>
      <c r="E1355" s="186">
        <v>0</v>
      </c>
      <c r="F1355" s="186">
        <v>0</v>
      </c>
    </row>
    <row r="1356" spans="1:6" ht="12.95" hidden="1" customHeight="1" outlineLevel="1">
      <c r="A1356" s="33" t="s">
        <v>1103</v>
      </c>
      <c r="B1356" s="33">
        <v>902</v>
      </c>
      <c r="C1356" s="40" t="str">
        <f t="shared" si="54"/>
        <v>Postage902</v>
      </c>
      <c r="D1356" s="104">
        <f t="shared" si="55"/>
        <v>0</v>
      </c>
      <c r="E1356" s="186">
        <v>0</v>
      </c>
      <c r="F1356" s="186">
        <v>0</v>
      </c>
    </row>
    <row r="1357" spans="1:6" ht="12.95" hidden="1" customHeight="1" outlineLevel="1">
      <c r="A1357" s="33" t="s">
        <v>1103</v>
      </c>
      <c r="B1357" s="33">
        <v>903</v>
      </c>
      <c r="C1357" s="40" t="str">
        <f t="shared" si="54"/>
        <v>Postage903</v>
      </c>
      <c r="D1357" s="104">
        <f t="shared" si="55"/>
        <v>0</v>
      </c>
      <c r="E1357" s="186">
        <v>0</v>
      </c>
      <c r="F1357" s="186">
        <v>0</v>
      </c>
    </row>
    <row r="1358" spans="1:6" ht="12.95" hidden="1" customHeight="1" outlineLevel="1">
      <c r="A1358" s="33" t="s">
        <v>1103</v>
      </c>
      <c r="B1358" s="33">
        <v>904</v>
      </c>
      <c r="C1358" s="40" t="str">
        <f t="shared" si="54"/>
        <v>Postage904</v>
      </c>
      <c r="D1358" s="104">
        <f t="shared" si="55"/>
        <v>0</v>
      </c>
      <c r="E1358" s="186">
        <v>0</v>
      </c>
      <c r="F1358" s="186">
        <v>0</v>
      </c>
    </row>
    <row r="1359" spans="1:6" ht="12.95" hidden="1" customHeight="1" outlineLevel="1">
      <c r="A1359" s="33" t="s">
        <v>1103</v>
      </c>
      <c r="B1359" s="33">
        <v>905</v>
      </c>
      <c r="C1359" s="40" t="str">
        <f t="shared" si="54"/>
        <v>Postage905</v>
      </c>
      <c r="D1359" s="104">
        <f t="shared" si="55"/>
        <v>0</v>
      </c>
      <c r="E1359" s="186">
        <v>0</v>
      </c>
      <c r="F1359" s="186">
        <v>0</v>
      </c>
    </row>
    <row r="1360" spans="1:6" ht="12.95" hidden="1" customHeight="1" outlineLevel="1">
      <c r="A1360" s="33" t="s">
        <v>1103</v>
      </c>
      <c r="B1360" s="33">
        <v>907</v>
      </c>
      <c r="C1360" s="40" t="str">
        <f t="shared" si="54"/>
        <v>Postage907</v>
      </c>
      <c r="D1360" s="104">
        <f t="shared" si="55"/>
        <v>0</v>
      </c>
      <c r="E1360" s="186">
        <v>0</v>
      </c>
      <c r="F1360" s="186">
        <v>0</v>
      </c>
    </row>
    <row r="1361" spans="1:6" ht="12.95" hidden="1" customHeight="1" outlineLevel="1">
      <c r="A1361" s="33" t="s">
        <v>1103</v>
      </c>
      <c r="B1361" s="33">
        <v>908</v>
      </c>
      <c r="C1361" s="40" t="str">
        <f t="shared" si="54"/>
        <v>Postage908</v>
      </c>
      <c r="D1361" s="104">
        <f t="shared" si="55"/>
        <v>0</v>
      </c>
      <c r="E1361" s="186">
        <v>0</v>
      </c>
      <c r="F1361" s="186">
        <v>0</v>
      </c>
    </row>
    <row r="1362" spans="1:6" ht="12.95" hidden="1" customHeight="1" outlineLevel="1">
      <c r="A1362" s="33" t="s">
        <v>1103</v>
      </c>
      <c r="B1362" s="33">
        <v>909</v>
      </c>
      <c r="C1362" s="40" t="str">
        <f t="shared" si="54"/>
        <v>Postage909</v>
      </c>
      <c r="D1362" s="104">
        <f t="shared" si="55"/>
        <v>0</v>
      </c>
      <c r="E1362" s="186">
        <v>0</v>
      </c>
      <c r="F1362" s="186">
        <v>0</v>
      </c>
    </row>
    <row r="1363" spans="1:6" ht="12.95" hidden="1" customHeight="1" outlineLevel="1">
      <c r="A1363" s="33" t="s">
        <v>1103</v>
      </c>
      <c r="B1363" s="33">
        <v>910</v>
      </c>
      <c r="C1363" s="40" t="str">
        <f t="shared" si="54"/>
        <v>Postage910</v>
      </c>
      <c r="D1363" s="104">
        <f t="shared" si="55"/>
        <v>0</v>
      </c>
      <c r="E1363" s="186">
        <v>0</v>
      </c>
      <c r="F1363" s="186">
        <v>0</v>
      </c>
    </row>
    <row r="1364" spans="1:6" ht="12.95" hidden="1" customHeight="1" outlineLevel="1">
      <c r="A1364" s="33" t="s">
        <v>1103</v>
      </c>
      <c r="B1364" s="33">
        <v>911</v>
      </c>
      <c r="C1364" s="40" t="str">
        <f t="shared" si="54"/>
        <v>Postage911</v>
      </c>
      <c r="D1364" s="104">
        <f t="shared" si="55"/>
        <v>0</v>
      </c>
      <c r="E1364" s="186">
        <v>0</v>
      </c>
      <c r="F1364" s="186">
        <v>0</v>
      </c>
    </row>
    <row r="1365" spans="1:6" ht="12.95" hidden="1" customHeight="1" outlineLevel="1">
      <c r="A1365" s="33" t="s">
        <v>1103</v>
      </c>
      <c r="B1365" s="33">
        <v>912</v>
      </c>
      <c r="C1365" s="40" t="str">
        <f t="shared" si="54"/>
        <v>Postage912</v>
      </c>
      <c r="D1365" s="104">
        <f t="shared" si="55"/>
        <v>0</v>
      </c>
      <c r="E1365" s="186">
        <v>0</v>
      </c>
      <c r="F1365" s="186">
        <v>0</v>
      </c>
    </row>
    <row r="1366" spans="1:6" ht="12.95" hidden="1" customHeight="1" outlineLevel="1">
      <c r="A1366" s="33" t="s">
        <v>1103</v>
      </c>
      <c r="B1366" s="33">
        <v>913</v>
      </c>
      <c r="C1366" s="40" t="str">
        <f t="shared" si="54"/>
        <v>Postage913</v>
      </c>
      <c r="D1366" s="104">
        <f t="shared" si="55"/>
        <v>0</v>
      </c>
      <c r="E1366" s="186">
        <v>0</v>
      </c>
      <c r="F1366" s="186">
        <v>0</v>
      </c>
    </row>
    <row r="1367" spans="1:6" ht="12.95" hidden="1" customHeight="1" outlineLevel="1">
      <c r="A1367" s="33" t="s">
        <v>1103</v>
      </c>
      <c r="B1367" s="33">
        <v>920</v>
      </c>
      <c r="C1367" s="40" t="str">
        <f t="shared" si="54"/>
        <v>Postage920</v>
      </c>
      <c r="D1367" s="104">
        <f t="shared" si="55"/>
        <v>0</v>
      </c>
      <c r="E1367" s="186">
        <v>0</v>
      </c>
      <c r="F1367" s="186">
        <v>0</v>
      </c>
    </row>
    <row r="1368" spans="1:6" ht="12.95" hidden="1" customHeight="1" outlineLevel="1">
      <c r="A1368" s="33" t="s">
        <v>1103</v>
      </c>
      <c r="B1368" s="33">
        <v>921</v>
      </c>
      <c r="C1368" s="40" t="str">
        <f t="shared" si="54"/>
        <v>Postage921</v>
      </c>
      <c r="D1368" s="104">
        <f t="shared" si="55"/>
        <v>0</v>
      </c>
      <c r="E1368" s="186">
        <v>0</v>
      </c>
      <c r="F1368" s="186">
        <v>0</v>
      </c>
    </row>
    <row r="1369" spans="1:6" ht="12.95" hidden="1" customHeight="1" outlineLevel="1">
      <c r="A1369" s="33" t="s">
        <v>1103</v>
      </c>
      <c r="B1369" s="33">
        <v>923</v>
      </c>
      <c r="C1369" s="40" t="str">
        <f t="shared" si="54"/>
        <v>Postage923</v>
      </c>
      <c r="D1369" s="104">
        <f t="shared" si="55"/>
        <v>0</v>
      </c>
      <c r="E1369" s="186">
        <v>0</v>
      </c>
      <c r="F1369" s="186">
        <v>0</v>
      </c>
    </row>
    <row r="1370" spans="1:6" ht="12.95" hidden="1" customHeight="1" outlineLevel="1">
      <c r="A1370" s="33" t="s">
        <v>1103</v>
      </c>
      <c r="B1370" s="33">
        <v>924</v>
      </c>
      <c r="C1370" s="40" t="str">
        <f t="shared" si="54"/>
        <v>Postage924</v>
      </c>
      <c r="D1370" s="104">
        <f t="shared" si="55"/>
        <v>0</v>
      </c>
      <c r="E1370" s="186">
        <v>0</v>
      </c>
      <c r="F1370" s="186">
        <v>0</v>
      </c>
    </row>
    <row r="1371" spans="1:6" ht="12.95" hidden="1" customHeight="1" outlineLevel="1">
      <c r="A1371" s="33" t="s">
        <v>1103</v>
      </c>
      <c r="B1371" s="33">
        <v>925</v>
      </c>
      <c r="C1371" s="40" t="str">
        <f t="shared" si="54"/>
        <v>Postage925</v>
      </c>
      <c r="D1371" s="104">
        <f t="shared" si="55"/>
        <v>0</v>
      </c>
      <c r="E1371" s="186">
        <v>0</v>
      </c>
      <c r="F1371" s="186">
        <v>0</v>
      </c>
    </row>
    <row r="1372" spans="1:6" ht="12.95" hidden="1" customHeight="1" outlineLevel="1">
      <c r="A1372" s="33" t="s">
        <v>1103</v>
      </c>
      <c r="B1372" s="33">
        <v>926</v>
      </c>
      <c r="C1372" s="40" t="str">
        <f t="shared" si="54"/>
        <v>Postage926</v>
      </c>
      <c r="D1372" s="104">
        <f t="shared" si="55"/>
        <v>0</v>
      </c>
      <c r="E1372" s="186">
        <v>0</v>
      </c>
      <c r="F1372" s="186">
        <v>0</v>
      </c>
    </row>
    <row r="1373" spans="1:6" ht="12.95" hidden="1" customHeight="1" outlineLevel="1">
      <c r="A1373" s="33" t="s">
        <v>1103</v>
      </c>
      <c r="B1373" s="33">
        <v>928</v>
      </c>
      <c r="C1373" s="40" t="str">
        <f t="shared" si="54"/>
        <v>Postage928</v>
      </c>
      <c r="D1373" s="104">
        <f t="shared" si="55"/>
        <v>0</v>
      </c>
      <c r="E1373" s="186">
        <v>0</v>
      </c>
      <c r="F1373" s="186">
        <v>0</v>
      </c>
    </row>
    <row r="1374" spans="1:6" ht="12.95" hidden="1" customHeight="1" outlineLevel="1">
      <c r="A1374" s="33" t="s">
        <v>1103</v>
      </c>
      <c r="B1374" s="33">
        <v>9301</v>
      </c>
      <c r="C1374" s="40" t="str">
        <f t="shared" si="54"/>
        <v>Postage9301</v>
      </c>
      <c r="D1374" s="104">
        <f t="shared" si="55"/>
        <v>0</v>
      </c>
      <c r="E1374" s="186">
        <v>0</v>
      </c>
      <c r="F1374" s="186">
        <v>0</v>
      </c>
    </row>
    <row r="1375" spans="1:6" ht="12.95" hidden="1" customHeight="1" outlineLevel="1">
      <c r="A1375" s="33" t="s">
        <v>1103</v>
      </c>
      <c r="B1375" s="33">
        <v>9302</v>
      </c>
      <c r="C1375" s="40" t="str">
        <f t="shared" si="54"/>
        <v>Postage9302</v>
      </c>
      <c r="D1375" s="104">
        <f t="shared" si="55"/>
        <v>0</v>
      </c>
      <c r="E1375" s="186">
        <v>0</v>
      </c>
      <c r="F1375" s="186">
        <v>0</v>
      </c>
    </row>
    <row r="1376" spans="1:6" ht="12.95" hidden="1" customHeight="1" outlineLevel="1">
      <c r="A1376" s="33" t="s">
        <v>1103</v>
      </c>
      <c r="B1376" s="33">
        <v>931</v>
      </c>
      <c r="C1376" s="40" t="str">
        <f t="shared" si="54"/>
        <v>Postage931</v>
      </c>
      <c r="D1376" s="104">
        <f t="shared" si="55"/>
        <v>0</v>
      </c>
      <c r="E1376" s="186">
        <v>0</v>
      </c>
      <c r="F1376" s="186">
        <v>0</v>
      </c>
    </row>
    <row r="1377" spans="1:6" ht="12.95" hidden="1" customHeight="1" outlineLevel="1">
      <c r="A1377" s="33" t="s">
        <v>1103</v>
      </c>
      <c r="B1377" s="33">
        <v>932</v>
      </c>
      <c r="C1377" s="40" t="str">
        <f t="shared" si="54"/>
        <v>Postage932</v>
      </c>
      <c r="D1377" s="104">
        <f t="shared" si="55"/>
        <v>0</v>
      </c>
      <c r="E1377" s="186">
        <v>0</v>
      </c>
      <c r="F1377" s="186">
        <v>0</v>
      </c>
    </row>
    <row r="1378" spans="1:6" ht="12.95" hidden="1" customHeight="1" outlineLevel="1">
      <c r="A1378" s="33" t="s">
        <v>1103</v>
      </c>
      <c r="B1378" s="33">
        <v>935</v>
      </c>
      <c r="C1378" s="40" t="str">
        <f t="shared" si="54"/>
        <v>Postage935</v>
      </c>
      <c r="D1378" s="104">
        <f t="shared" si="55"/>
        <v>0</v>
      </c>
      <c r="E1378" s="186">
        <v>0</v>
      </c>
      <c r="F1378" s="186">
        <v>0</v>
      </c>
    </row>
    <row r="1379" spans="1:6" s="13" customFormat="1" collapsed="1">
      <c r="A1379" s="14" t="s">
        <v>1103</v>
      </c>
      <c r="B1379" s="15"/>
      <c r="D1379" s="196">
        <f>SUM(D1331:D1378)</f>
        <v>0</v>
      </c>
      <c r="E1379" s="196">
        <f>SUM(E1331:E1378)</f>
        <v>0</v>
      </c>
      <c r="F1379" s="196">
        <f>SUM(F1331:F1378)</f>
        <v>0</v>
      </c>
    </row>
    <row r="1380" spans="1:6" s="13" customFormat="1" ht="12.95" hidden="1" customHeight="1" outlineLevel="1">
      <c r="A1380" s="33" t="s">
        <v>1553</v>
      </c>
      <c r="B1380" s="33">
        <v>801</v>
      </c>
      <c r="C1380" s="40" t="str">
        <f t="shared" ref="C1380:C1426" si="56">A1380&amp;B1380</f>
        <v>Post-Employment Benefits - FAS112801</v>
      </c>
      <c r="D1380" s="104">
        <f t="shared" ref="D1380:D1426" si="57">+F1380-E1380</f>
        <v>0</v>
      </c>
      <c r="E1380" s="186">
        <v>0</v>
      </c>
      <c r="F1380" s="186">
        <v>0</v>
      </c>
    </row>
    <row r="1381" spans="1:6" s="13" customFormat="1" ht="12.95" hidden="1" customHeight="1" outlineLevel="1">
      <c r="A1381" s="33" t="s">
        <v>1553</v>
      </c>
      <c r="B1381" s="33">
        <v>803</v>
      </c>
      <c r="C1381" s="40" t="str">
        <f t="shared" si="56"/>
        <v>Post-Employment Benefits - FAS112803</v>
      </c>
      <c r="D1381" s="104">
        <f t="shared" si="57"/>
        <v>0</v>
      </c>
      <c r="E1381" s="186">
        <v>0</v>
      </c>
      <c r="F1381" s="186">
        <v>0</v>
      </c>
    </row>
    <row r="1382" spans="1:6" s="13" customFormat="1" ht="12.95" hidden="1" customHeight="1" outlineLevel="1">
      <c r="A1382" s="33" t="s">
        <v>1553</v>
      </c>
      <c r="B1382" s="33">
        <v>804</v>
      </c>
      <c r="C1382" s="40" t="str">
        <f t="shared" si="56"/>
        <v>Post-Employment Benefits - FAS112804</v>
      </c>
      <c r="D1382" s="104">
        <f t="shared" si="57"/>
        <v>0</v>
      </c>
      <c r="E1382" s="186">
        <v>0</v>
      </c>
      <c r="F1382" s="186">
        <v>0</v>
      </c>
    </row>
    <row r="1383" spans="1:6" s="13" customFormat="1" ht="12.95" hidden="1" customHeight="1" outlineLevel="1">
      <c r="A1383" s="33" t="s">
        <v>1553</v>
      </c>
      <c r="B1383" s="33">
        <v>805</v>
      </c>
      <c r="C1383" s="40" t="str">
        <f t="shared" si="56"/>
        <v>Post-Employment Benefits - FAS112805</v>
      </c>
      <c r="D1383" s="104">
        <f t="shared" si="57"/>
        <v>0</v>
      </c>
      <c r="E1383" s="186">
        <v>0</v>
      </c>
      <c r="F1383" s="186">
        <v>0</v>
      </c>
    </row>
    <row r="1384" spans="1:6" s="13" customFormat="1" ht="12.95" hidden="1" customHeight="1" outlineLevel="1">
      <c r="A1384" s="33" t="s">
        <v>1553</v>
      </c>
      <c r="B1384" s="33">
        <v>806</v>
      </c>
      <c r="C1384" s="40" t="str">
        <f t="shared" si="56"/>
        <v>Post-Employment Benefits - FAS112806</v>
      </c>
      <c r="D1384" s="104">
        <f t="shared" si="57"/>
        <v>0</v>
      </c>
      <c r="E1384" s="186">
        <v>0</v>
      </c>
      <c r="F1384" s="186">
        <v>0</v>
      </c>
    </row>
    <row r="1385" spans="1:6" s="13" customFormat="1" ht="12.95" hidden="1" customHeight="1" outlineLevel="1">
      <c r="A1385" s="33" t="s">
        <v>1553</v>
      </c>
      <c r="B1385" s="33">
        <v>807</v>
      </c>
      <c r="C1385" s="40" t="str">
        <f t="shared" si="56"/>
        <v>Post-Employment Benefits - FAS112807</v>
      </c>
      <c r="D1385" s="104">
        <f t="shared" si="57"/>
        <v>0</v>
      </c>
      <c r="E1385" s="186">
        <v>0</v>
      </c>
      <c r="F1385" s="186">
        <v>0</v>
      </c>
    </row>
    <row r="1386" spans="1:6" s="13" customFormat="1" ht="12.95" hidden="1" customHeight="1" outlineLevel="1">
      <c r="A1386" s="33" t="s">
        <v>1553</v>
      </c>
      <c r="B1386" s="33">
        <v>808</v>
      </c>
      <c r="C1386" s="40" t="str">
        <f t="shared" si="56"/>
        <v>Post-Employment Benefits - FAS112808</v>
      </c>
      <c r="D1386" s="104">
        <f t="shared" si="57"/>
        <v>0</v>
      </c>
      <c r="E1386" s="186">
        <v>0</v>
      </c>
      <c r="F1386" s="186">
        <v>0</v>
      </c>
    </row>
    <row r="1387" spans="1:6" s="13" customFormat="1" ht="12.95" hidden="1" customHeight="1" outlineLevel="1">
      <c r="A1387" s="33" t="s">
        <v>1553</v>
      </c>
      <c r="B1387" s="33">
        <v>812</v>
      </c>
      <c r="C1387" s="40" t="str">
        <f t="shared" si="56"/>
        <v>Post-Employment Benefits - FAS112812</v>
      </c>
      <c r="D1387" s="104">
        <f t="shared" si="57"/>
        <v>0</v>
      </c>
      <c r="E1387" s="186">
        <v>0</v>
      </c>
      <c r="F1387" s="186">
        <v>0</v>
      </c>
    </row>
    <row r="1388" spans="1:6" s="13" customFormat="1" ht="12.95" hidden="1" customHeight="1" outlineLevel="1">
      <c r="A1388" s="33" t="s">
        <v>1553</v>
      </c>
      <c r="B1388" s="33">
        <v>870</v>
      </c>
      <c r="C1388" s="40" t="str">
        <f t="shared" si="56"/>
        <v>Post-Employment Benefits - FAS112870</v>
      </c>
      <c r="D1388" s="104">
        <f t="shared" si="57"/>
        <v>0</v>
      </c>
      <c r="E1388" s="186">
        <v>0</v>
      </c>
      <c r="F1388" s="186">
        <v>0</v>
      </c>
    </row>
    <row r="1389" spans="1:6" s="13" customFormat="1" ht="12.95" hidden="1" customHeight="1" outlineLevel="1">
      <c r="A1389" s="33" t="s">
        <v>1553</v>
      </c>
      <c r="B1389" s="33">
        <v>871</v>
      </c>
      <c r="C1389" s="40" t="str">
        <f t="shared" si="56"/>
        <v>Post-Employment Benefits - FAS112871</v>
      </c>
      <c r="D1389" s="104">
        <f t="shared" si="57"/>
        <v>0</v>
      </c>
      <c r="E1389" s="186">
        <v>0</v>
      </c>
      <c r="F1389" s="186">
        <v>0</v>
      </c>
    </row>
    <row r="1390" spans="1:6" s="13" customFormat="1" ht="12.95" hidden="1" customHeight="1" outlineLevel="1">
      <c r="A1390" s="33" t="s">
        <v>1553</v>
      </c>
      <c r="B1390" s="33">
        <v>874</v>
      </c>
      <c r="C1390" s="40" t="str">
        <f t="shared" si="56"/>
        <v>Post-Employment Benefits - FAS112874</v>
      </c>
      <c r="D1390" s="104">
        <f t="shared" si="57"/>
        <v>0</v>
      </c>
      <c r="E1390" s="186">
        <v>0</v>
      </c>
      <c r="F1390" s="186">
        <v>0</v>
      </c>
    </row>
    <row r="1391" spans="1:6" s="13" customFormat="1" ht="12.95" hidden="1" customHeight="1" outlineLevel="1">
      <c r="A1391" s="33" t="s">
        <v>1553</v>
      </c>
      <c r="B1391" s="33">
        <v>875</v>
      </c>
      <c r="C1391" s="40" t="str">
        <f t="shared" si="56"/>
        <v>Post-Employment Benefits - FAS112875</v>
      </c>
      <c r="D1391" s="104">
        <f t="shared" si="57"/>
        <v>0</v>
      </c>
      <c r="E1391" s="186">
        <v>0</v>
      </c>
      <c r="F1391" s="186">
        <v>0</v>
      </c>
    </row>
    <row r="1392" spans="1:6" s="13" customFormat="1" ht="12.95" hidden="1" customHeight="1" outlineLevel="1">
      <c r="A1392" s="33" t="s">
        <v>1553</v>
      </c>
      <c r="B1392" s="33">
        <v>876</v>
      </c>
      <c r="C1392" s="40" t="str">
        <f t="shared" si="56"/>
        <v>Post-Employment Benefits - FAS112876</v>
      </c>
      <c r="D1392" s="104">
        <f t="shared" si="57"/>
        <v>0</v>
      </c>
      <c r="E1392" s="186">
        <v>0</v>
      </c>
      <c r="F1392" s="186">
        <v>0</v>
      </c>
    </row>
    <row r="1393" spans="1:6" s="13" customFormat="1" ht="12.95" hidden="1" customHeight="1" outlineLevel="1">
      <c r="A1393" s="33" t="s">
        <v>1553</v>
      </c>
      <c r="B1393" s="33">
        <v>878</v>
      </c>
      <c r="C1393" s="40" t="str">
        <f t="shared" si="56"/>
        <v>Post-Employment Benefits - FAS112878</v>
      </c>
      <c r="D1393" s="104">
        <f t="shared" si="57"/>
        <v>0</v>
      </c>
      <c r="E1393" s="186">
        <v>0</v>
      </c>
      <c r="F1393" s="186">
        <v>0</v>
      </c>
    </row>
    <row r="1394" spans="1:6" s="13" customFormat="1" ht="12.95" hidden="1" customHeight="1" outlineLevel="1">
      <c r="A1394" s="33" t="s">
        <v>1553</v>
      </c>
      <c r="B1394" s="33">
        <v>879</v>
      </c>
      <c r="C1394" s="40" t="str">
        <f t="shared" si="56"/>
        <v>Post-Employment Benefits - FAS112879</v>
      </c>
      <c r="D1394" s="104">
        <f t="shared" si="57"/>
        <v>0</v>
      </c>
      <c r="E1394" s="186">
        <v>0</v>
      </c>
      <c r="F1394" s="186">
        <v>0</v>
      </c>
    </row>
    <row r="1395" spans="1:6" s="13" customFormat="1" ht="12.95" hidden="1" customHeight="1" outlineLevel="1">
      <c r="A1395" s="33" t="s">
        <v>1553</v>
      </c>
      <c r="B1395" s="33">
        <v>880</v>
      </c>
      <c r="C1395" s="40" t="str">
        <f t="shared" si="56"/>
        <v>Post-Employment Benefits - FAS112880</v>
      </c>
      <c r="D1395" s="104">
        <f t="shared" si="57"/>
        <v>0</v>
      </c>
      <c r="E1395" s="186">
        <v>0</v>
      </c>
      <c r="F1395" s="186">
        <v>0</v>
      </c>
    </row>
    <row r="1396" spans="1:6" s="13" customFormat="1" ht="12.95" hidden="1" customHeight="1" outlineLevel="1">
      <c r="A1396" s="33" t="s">
        <v>1553</v>
      </c>
      <c r="B1396" s="33">
        <v>881</v>
      </c>
      <c r="C1396" s="40" t="str">
        <f t="shared" si="56"/>
        <v>Post-Employment Benefits - FAS112881</v>
      </c>
      <c r="D1396" s="104">
        <f t="shared" si="57"/>
        <v>0</v>
      </c>
      <c r="E1396" s="186">
        <v>0</v>
      </c>
      <c r="F1396" s="186">
        <v>0</v>
      </c>
    </row>
    <row r="1397" spans="1:6" s="13" customFormat="1" ht="12.95" hidden="1" customHeight="1" outlineLevel="1">
      <c r="A1397" s="33" t="s">
        <v>1553</v>
      </c>
      <c r="B1397" s="33">
        <v>885</v>
      </c>
      <c r="C1397" s="40" t="str">
        <f t="shared" si="56"/>
        <v>Post-Employment Benefits - FAS112885</v>
      </c>
      <c r="D1397" s="104">
        <f t="shared" si="57"/>
        <v>0</v>
      </c>
      <c r="E1397" s="186">
        <v>0</v>
      </c>
      <c r="F1397" s="186">
        <v>0</v>
      </c>
    </row>
    <row r="1398" spans="1:6" s="13" customFormat="1" ht="12.95" hidden="1" customHeight="1" outlineLevel="1">
      <c r="A1398" s="33" t="s">
        <v>1553</v>
      </c>
      <c r="B1398" s="33">
        <v>886</v>
      </c>
      <c r="C1398" s="40" t="str">
        <f t="shared" si="56"/>
        <v>Post-Employment Benefits - FAS112886</v>
      </c>
      <c r="D1398" s="104">
        <f t="shared" si="57"/>
        <v>0</v>
      </c>
      <c r="E1398" s="186">
        <v>0</v>
      </c>
      <c r="F1398" s="186">
        <v>0</v>
      </c>
    </row>
    <row r="1399" spans="1:6" s="13" customFormat="1" ht="12.95" hidden="1" customHeight="1" outlineLevel="1">
      <c r="A1399" s="33" t="s">
        <v>1553</v>
      </c>
      <c r="B1399" s="33">
        <v>887</v>
      </c>
      <c r="C1399" s="40" t="str">
        <f t="shared" si="56"/>
        <v>Post-Employment Benefits - FAS112887</v>
      </c>
      <c r="D1399" s="104">
        <f t="shared" si="57"/>
        <v>0</v>
      </c>
      <c r="E1399" s="186">
        <v>0</v>
      </c>
      <c r="F1399" s="186">
        <v>0</v>
      </c>
    </row>
    <row r="1400" spans="1:6" s="13" customFormat="1" ht="12.95" hidden="1" customHeight="1" outlineLevel="1">
      <c r="A1400" s="33" t="s">
        <v>1553</v>
      </c>
      <c r="B1400" s="33">
        <v>889</v>
      </c>
      <c r="C1400" s="40" t="str">
        <f t="shared" si="56"/>
        <v>Post-Employment Benefits - FAS112889</v>
      </c>
      <c r="D1400" s="104">
        <f t="shared" si="57"/>
        <v>0</v>
      </c>
      <c r="E1400" s="186">
        <v>0</v>
      </c>
      <c r="F1400" s="186">
        <v>0</v>
      </c>
    </row>
    <row r="1401" spans="1:6" s="13" customFormat="1" ht="12.95" hidden="1" customHeight="1" outlineLevel="1">
      <c r="A1401" s="33" t="s">
        <v>1553</v>
      </c>
      <c r="B1401" s="33">
        <v>890</v>
      </c>
      <c r="C1401" s="40" t="str">
        <f t="shared" si="56"/>
        <v>Post-Employment Benefits - FAS112890</v>
      </c>
      <c r="D1401" s="104">
        <f t="shared" si="57"/>
        <v>0</v>
      </c>
      <c r="E1401" s="186">
        <v>0</v>
      </c>
      <c r="F1401" s="186">
        <v>0</v>
      </c>
    </row>
    <row r="1402" spans="1:6" s="13" customFormat="1" ht="12.95" hidden="1" customHeight="1" outlineLevel="1">
      <c r="A1402" s="33" t="s">
        <v>1553</v>
      </c>
      <c r="B1402" s="33">
        <v>892</v>
      </c>
      <c r="C1402" s="40" t="str">
        <f t="shared" si="56"/>
        <v>Post-Employment Benefits - FAS112892</v>
      </c>
      <c r="D1402" s="104">
        <f t="shared" si="57"/>
        <v>0</v>
      </c>
      <c r="E1402" s="186">
        <v>0</v>
      </c>
      <c r="F1402" s="186">
        <v>0</v>
      </c>
    </row>
    <row r="1403" spans="1:6" s="13" customFormat="1" ht="12.95" hidden="1" customHeight="1" outlineLevel="1">
      <c r="A1403" s="33" t="s">
        <v>1553</v>
      </c>
      <c r="B1403" s="33">
        <v>893</v>
      </c>
      <c r="C1403" s="40" t="str">
        <f t="shared" si="56"/>
        <v>Post-Employment Benefits - FAS112893</v>
      </c>
      <c r="D1403" s="104">
        <f t="shared" si="57"/>
        <v>0</v>
      </c>
      <c r="E1403" s="186">
        <v>0</v>
      </c>
      <c r="F1403" s="186">
        <v>0</v>
      </c>
    </row>
    <row r="1404" spans="1:6" s="13" customFormat="1" ht="12.95" hidden="1" customHeight="1" outlineLevel="1">
      <c r="A1404" s="33" t="s">
        <v>1553</v>
      </c>
      <c r="B1404" s="33">
        <v>894</v>
      </c>
      <c r="C1404" s="40" t="str">
        <f t="shared" si="56"/>
        <v>Post-Employment Benefits - FAS112894</v>
      </c>
      <c r="D1404" s="104">
        <f t="shared" si="57"/>
        <v>0</v>
      </c>
      <c r="E1404" s="186">
        <v>0</v>
      </c>
      <c r="F1404" s="186">
        <v>0</v>
      </c>
    </row>
    <row r="1405" spans="1:6" s="13" customFormat="1" ht="12.95" hidden="1" customHeight="1" outlineLevel="1">
      <c r="A1405" s="33" t="s">
        <v>1553</v>
      </c>
      <c r="B1405" s="33">
        <v>902</v>
      </c>
      <c r="C1405" s="40" t="str">
        <f t="shared" si="56"/>
        <v>Post-Employment Benefits - FAS112902</v>
      </c>
      <c r="D1405" s="104">
        <f t="shared" si="57"/>
        <v>0</v>
      </c>
      <c r="E1405" s="186">
        <v>0</v>
      </c>
      <c r="F1405" s="186">
        <v>0</v>
      </c>
    </row>
    <row r="1406" spans="1:6" s="13" customFormat="1" ht="12.95" hidden="1" customHeight="1" outlineLevel="1">
      <c r="A1406" s="33" t="s">
        <v>1553</v>
      </c>
      <c r="B1406" s="33">
        <v>903</v>
      </c>
      <c r="C1406" s="40" t="str">
        <f t="shared" si="56"/>
        <v>Post-Employment Benefits - FAS112903</v>
      </c>
      <c r="D1406" s="104">
        <f t="shared" si="57"/>
        <v>0</v>
      </c>
      <c r="E1406" s="186">
        <v>0</v>
      </c>
      <c r="F1406" s="186">
        <v>0</v>
      </c>
    </row>
    <row r="1407" spans="1:6" s="13" customFormat="1" ht="12.95" hidden="1" customHeight="1" outlineLevel="1">
      <c r="A1407" s="33" t="s">
        <v>1553</v>
      </c>
      <c r="B1407" s="33">
        <v>904</v>
      </c>
      <c r="C1407" s="40" t="str">
        <f t="shared" si="56"/>
        <v>Post-Employment Benefits - FAS112904</v>
      </c>
      <c r="D1407" s="104">
        <f t="shared" si="57"/>
        <v>0</v>
      </c>
      <c r="E1407" s="186">
        <v>0</v>
      </c>
      <c r="F1407" s="186">
        <v>0</v>
      </c>
    </row>
    <row r="1408" spans="1:6" s="13" customFormat="1" ht="12.95" hidden="1" customHeight="1" outlineLevel="1">
      <c r="A1408" s="33" t="s">
        <v>1553</v>
      </c>
      <c r="B1408" s="33">
        <v>905</v>
      </c>
      <c r="C1408" s="40" t="str">
        <f t="shared" si="56"/>
        <v>Post-Employment Benefits - FAS112905</v>
      </c>
      <c r="D1408" s="104">
        <f t="shared" si="57"/>
        <v>0</v>
      </c>
      <c r="E1408" s="186">
        <v>0</v>
      </c>
      <c r="F1408" s="186">
        <v>0</v>
      </c>
    </row>
    <row r="1409" spans="1:6" s="13" customFormat="1" ht="12.95" hidden="1" customHeight="1" outlineLevel="1">
      <c r="A1409" s="33" t="s">
        <v>1553</v>
      </c>
      <c r="B1409" s="33">
        <v>907</v>
      </c>
      <c r="C1409" s="40" t="str">
        <f t="shared" si="56"/>
        <v>Post-Employment Benefits - FAS112907</v>
      </c>
      <c r="D1409" s="104">
        <f t="shared" si="57"/>
        <v>0</v>
      </c>
      <c r="E1409" s="186">
        <v>0</v>
      </c>
      <c r="F1409" s="186">
        <v>0</v>
      </c>
    </row>
    <row r="1410" spans="1:6" s="13" customFormat="1" ht="12.95" hidden="1" customHeight="1" outlineLevel="1">
      <c r="A1410" s="33" t="s">
        <v>1553</v>
      </c>
      <c r="B1410" s="33">
        <v>908</v>
      </c>
      <c r="C1410" s="40" t="str">
        <f t="shared" si="56"/>
        <v>Post-Employment Benefits - FAS112908</v>
      </c>
      <c r="D1410" s="104">
        <f t="shared" si="57"/>
        <v>0</v>
      </c>
      <c r="E1410" s="186">
        <v>0</v>
      </c>
      <c r="F1410" s="186">
        <v>0</v>
      </c>
    </row>
    <row r="1411" spans="1:6" s="13" customFormat="1" ht="12.95" hidden="1" customHeight="1" outlineLevel="1">
      <c r="A1411" s="33" t="s">
        <v>1553</v>
      </c>
      <c r="B1411" s="33">
        <v>909</v>
      </c>
      <c r="C1411" s="40" t="str">
        <f t="shared" si="56"/>
        <v>Post-Employment Benefits - FAS112909</v>
      </c>
      <c r="D1411" s="104">
        <f t="shared" si="57"/>
        <v>0</v>
      </c>
      <c r="E1411" s="186">
        <v>0</v>
      </c>
      <c r="F1411" s="186">
        <v>0</v>
      </c>
    </row>
    <row r="1412" spans="1:6" s="13" customFormat="1" ht="12.95" hidden="1" customHeight="1" outlineLevel="1">
      <c r="A1412" s="33" t="s">
        <v>1553</v>
      </c>
      <c r="B1412" s="33">
        <v>910</v>
      </c>
      <c r="C1412" s="40" t="str">
        <f t="shared" si="56"/>
        <v>Post-Employment Benefits - FAS112910</v>
      </c>
      <c r="D1412" s="104">
        <f t="shared" si="57"/>
        <v>0</v>
      </c>
      <c r="E1412" s="186">
        <v>0</v>
      </c>
      <c r="F1412" s="186">
        <v>0</v>
      </c>
    </row>
    <row r="1413" spans="1:6" s="13" customFormat="1" ht="12.95" hidden="1" customHeight="1" outlineLevel="1">
      <c r="A1413" s="33" t="s">
        <v>1553</v>
      </c>
      <c r="B1413" s="33">
        <v>911</v>
      </c>
      <c r="C1413" s="40" t="str">
        <f t="shared" si="56"/>
        <v>Post-Employment Benefits - FAS112911</v>
      </c>
      <c r="D1413" s="104">
        <f t="shared" si="57"/>
        <v>0</v>
      </c>
      <c r="E1413" s="186">
        <v>0</v>
      </c>
      <c r="F1413" s="186">
        <v>0</v>
      </c>
    </row>
    <row r="1414" spans="1:6" s="13" customFormat="1" ht="12.95" hidden="1" customHeight="1" outlineLevel="1">
      <c r="A1414" s="33" t="s">
        <v>1553</v>
      </c>
      <c r="B1414" s="33">
        <v>912</v>
      </c>
      <c r="C1414" s="40" t="str">
        <f t="shared" si="56"/>
        <v>Post-Employment Benefits - FAS112912</v>
      </c>
      <c r="D1414" s="104">
        <f t="shared" si="57"/>
        <v>0</v>
      </c>
      <c r="E1414" s="186">
        <v>0</v>
      </c>
      <c r="F1414" s="186">
        <v>0</v>
      </c>
    </row>
    <row r="1415" spans="1:6" s="13" customFormat="1" ht="12.95" hidden="1" customHeight="1" outlineLevel="1">
      <c r="A1415" s="33" t="s">
        <v>1553</v>
      </c>
      <c r="B1415" s="33">
        <v>913</v>
      </c>
      <c r="C1415" s="40" t="str">
        <f t="shared" si="56"/>
        <v>Post-Employment Benefits - FAS112913</v>
      </c>
      <c r="D1415" s="104">
        <f t="shared" si="57"/>
        <v>0</v>
      </c>
      <c r="E1415" s="186">
        <v>0</v>
      </c>
      <c r="F1415" s="186">
        <v>0</v>
      </c>
    </row>
    <row r="1416" spans="1:6" s="13" customFormat="1" ht="12.95" hidden="1" customHeight="1" outlineLevel="1">
      <c r="A1416" s="33" t="s">
        <v>1553</v>
      </c>
      <c r="B1416" s="33">
        <v>920</v>
      </c>
      <c r="C1416" s="40" t="str">
        <f t="shared" si="56"/>
        <v>Post-Employment Benefits - FAS112920</v>
      </c>
      <c r="D1416" s="104">
        <f t="shared" si="57"/>
        <v>0</v>
      </c>
      <c r="E1416" s="186">
        <v>0</v>
      </c>
      <c r="F1416" s="186">
        <v>0</v>
      </c>
    </row>
    <row r="1417" spans="1:6" s="13" customFormat="1" ht="12.95" hidden="1" customHeight="1" outlineLevel="1">
      <c r="A1417" s="33" t="s">
        <v>1553</v>
      </c>
      <c r="B1417" s="33">
        <v>921</v>
      </c>
      <c r="C1417" s="40" t="str">
        <f t="shared" si="56"/>
        <v>Post-Employment Benefits - FAS112921</v>
      </c>
      <c r="D1417" s="104">
        <f t="shared" si="57"/>
        <v>0</v>
      </c>
      <c r="E1417" s="186">
        <v>0</v>
      </c>
      <c r="F1417" s="186">
        <v>0</v>
      </c>
    </row>
    <row r="1418" spans="1:6" s="13" customFormat="1" ht="12.95" hidden="1" customHeight="1" outlineLevel="1">
      <c r="A1418" s="33" t="s">
        <v>1553</v>
      </c>
      <c r="B1418" s="33">
        <v>923</v>
      </c>
      <c r="C1418" s="40" t="str">
        <f t="shared" si="56"/>
        <v>Post-Employment Benefits - FAS112923</v>
      </c>
      <c r="D1418" s="104">
        <f t="shared" si="57"/>
        <v>0</v>
      </c>
      <c r="E1418" s="186">
        <v>0</v>
      </c>
      <c r="F1418" s="186">
        <v>0</v>
      </c>
    </row>
    <row r="1419" spans="1:6" s="13" customFormat="1" ht="12.95" hidden="1" customHeight="1" outlineLevel="1">
      <c r="A1419" s="33" t="s">
        <v>1553</v>
      </c>
      <c r="B1419" s="33">
        <v>924</v>
      </c>
      <c r="C1419" s="40" t="str">
        <f t="shared" si="56"/>
        <v>Post-Employment Benefits - FAS112924</v>
      </c>
      <c r="D1419" s="104">
        <f t="shared" si="57"/>
        <v>0</v>
      </c>
      <c r="E1419" s="186">
        <v>0</v>
      </c>
      <c r="F1419" s="186">
        <v>0</v>
      </c>
    </row>
    <row r="1420" spans="1:6" s="13" customFormat="1" ht="12.95" hidden="1" customHeight="1" outlineLevel="1">
      <c r="A1420" s="33" t="s">
        <v>1553</v>
      </c>
      <c r="B1420" s="33">
        <v>925</v>
      </c>
      <c r="C1420" s="40" t="str">
        <f t="shared" si="56"/>
        <v>Post-Employment Benefits - FAS112925</v>
      </c>
      <c r="D1420" s="104">
        <f t="shared" si="57"/>
        <v>0</v>
      </c>
      <c r="E1420" s="186">
        <v>0</v>
      </c>
      <c r="F1420" s="186">
        <v>0</v>
      </c>
    </row>
    <row r="1421" spans="1:6" s="13" customFormat="1" ht="12.95" hidden="1" customHeight="1" outlineLevel="1">
      <c r="A1421" s="33" t="s">
        <v>1553</v>
      </c>
      <c r="B1421" s="33">
        <v>926</v>
      </c>
      <c r="C1421" s="40" t="str">
        <f t="shared" si="56"/>
        <v>Post-Employment Benefits - FAS112926</v>
      </c>
      <c r="D1421" s="104">
        <f t="shared" si="57"/>
        <v>-20233.37</v>
      </c>
      <c r="E1421" s="186">
        <v>20233.37</v>
      </c>
      <c r="F1421" s="186">
        <v>0</v>
      </c>
    </row>
    <row r="1422" spans="1:6" s="13" customFormat="1" ht="12.95" hidden="1" customHeight="1" outlineLevel="1">
      <c r="A1422" s="33" t="s">
        <v>1553</v>
      </c>
      <c r="B1422" s="33">
        <v>928</v>
      </c>
      <c r="C1422" s="40" t="str">
        <f t="shared" si="56"/>
        <v>Post-Employment Benefits - FAS112928</v>
      </c>
      <c r="D1422" s="104">
        <f t="shared" si="57"/>
        <v>0</v>
      </c>
      <c r="E1422" s="186">
        <v>0</v>
      </c>
      <c r="F1422" s="186">
        <v>0</v>
      </c>
    </row>
    <row r="1423" spans="1:6" s="13" customFormat="1" ht="12.95" hidden="1" customHeight="1" outlineLevel="1">
      <c r="A1423" s="33" t="s">
        <v>1553</v>
      </c>
      <c r="B1423" s="33">
        <v>930</v>
      </c>
      <c r="C1423" s="40" t="str">
        <f t="shared" si="56"/>
        <v>Post-Employment Benefits - FAS112930</v>
      </c>
      <c r="D1423" s="104">
        <f t="shared" si="57"/>
        <v>0</v>
      </c>
      <c r="E1423" s="186">
        <v>0</v>
      </c>
      <c r="F1423" s="186">
        <v>0</v>
      </c>
    </row>
    <row r="1424" spans="1:6" s="13" customFormat="1" ht="12.95" hidden="1" customHeight="1" outlineLevel="1">
      <c r="A1424" s="33" t="s">
        <v>1553</v>
      </c>
      <c r="B1424" s="33">
        <v>931</v>
      </c>
      <c r="C1424" s="40" t="str">
        <f t="shared" si="56"/>
        <v>Post-Employment Benefits - FAS112931</v>
      </c>
      <c r="D1424" s="104">
        <f t="shared" si="57"/>
        <v>0</v>
      </c>
      <c r="E1424" s="186">
        <v>0</v>
      </c>
      <c r="F1424" s="186">
        <v>0</v>
      </c>
    </row>
    <row r="1425" spans="1:6" s="13" customFormat="1" ht="12.95" hidden="1" customHeight="1" outlineLevel="1">
      <c r="A1425" s="33" t="s">
        <v>1553</v>
      </c>
      <c r="B1425" s="33">
        <v>932</v>
      </c>
      <c r="C1425" s="40" t="str">
        <f t="shared" si="56"/>
        <v>Post-Employment Benefits - FAS112932</v>
      </c>
      <c r="D1425" s="104">
        <f t="shared" si="57"/>
        <v>0</v>
      </c>
      <c r="E1425" s="186">
        <v>0</v>
      </c>
      <c r="F1425" s="186">
        <v>0</v>
      </c>
    </row>
    <row r="1426" spans="1:6" s="13" customFormat="1" ht="12.95" hidden="1" customHeight="1" outlineLevel="1">
      <c r="A1426" s="33" t="s">
        <v>1553</v>
      </c>
      <c r="B1426" s="33">
        <v>935</v>
      </c>
      <c r="C1426" s="40" t="str">
        <f t="shared" si="56"/>
        <v>Post-Employment Benefits - FAS112935</v>
      </c>
      <c r="D1426" s="104">
        <f t="shared" si="57"/>
        <v>0</v>
      </c>
      <c r="E1426" s="186">
        <v>0</v>
      </c>
      <c r="F1426" s="186">
        <v>0</v>
      </c>
    </row>
    <row r="1427" spans="1:6" s="13" customFormat="1" collapsed="1">
      <c r="A1427" s="14" t="s">
        <v>1553</v>
      </c>
      <c r="B1427" s="33"/>
      <c r="C1427" s="40"/>
      <c r="D1427" s="196">
        <f>SUM(D1380:D1426)</f>
        <v>-20233.37</v>
      </c>
      <c r="E1427" s="196">
        <f>SUM(E1380:E1426)</f>
        <v>20233.37</v>
      </c>
      <c r="F1427" s="196">
        <f>SUM(F1380:F1426)</f>
        <v>0</v>
      </c>
    </row>
    <row r="1428" spans="1:6" ht="12.95" hidden="1" customHeight="1" outlineLevel="1">
      <c r="A1428" s="33" t="s">
        <v>1028</v>
      </c>
      <c r="B1428" s="33">
        <v>801</v>
      </c>
      <c r="C1428" s="40" t="str">
        <f t="shared" ref="C1428:C1474" si="58">A1428&amp;B1428</f>
        <v>Profit Sharing801</v>
      </c>
      <c r="D1428" s="104">
        <f t="shared" ref="D1428:D1474" si="59">+F1428-E1428</f>
        <v>0</v>
      </c>
      <c r="E1428" s="186">
        <v>0</v>
      </c>
      <c r="F1428" s="186">
        <v>0</v>
      </c>
    </row>
    <row r="1429" spans="1:6" ht="12.95" hidden="1" customHeight="1" outlineLevel="1">
      <c r="A1429" s="33" t="s">
        <v>1028</v>
      </c>
      <c r="B1429" s="33">
        <v>803</v>
      </c>
      <c r="C1429" s="40" t="str">
        <f t="shared" si="58"/>
        <v>Profit Sharing803</v>
      </c>
      <c r="D1429" s="104">
        <f t="shared" si="59"/>
        <v>0</v>
      </c>
      <c r="E1429" s="186">
        <v>0</v>
      </c>
      <c r="F1429" s="186">
        <v>0</v>
      </c>
    </row>
    <row r="1430" spans="1:6" ht="12.95" hidden="1" customHeight="1" outlineLevel="1">
      <c r="A1430" s="33" t="s">
        <v>1028</v>
      </c>
      <c r="B1430" s="33">
        <v>804</v>
      </c>
      <c r="C1430" s="40" t="str">
        <f t="shared" si="58"/>
        <v>Profit Sharing804</v>
      </c>
      <c r="D1430" s="104">
        <f t="shared" si="59"/>
        <v>0</v>
      </c>
      <c r="E1430" s="186">
        <v>0</v>
      </c>
      <c r="F1430" s="186">
        <v>0</v>
      </c>
    </row>
    <row r="1431" spans="1:6" ht="12.95" hidden="1" customHeight="1" outlineLevel="1">
      <c r="A1431" s="33" t="s">
        <v>1028</v>
      </c>
      <c r="B1431" s="33">
        <v>805</v>
      </c>
      <c r="C1431" s="40" t="str">
        <f t="shared" si="58"/>
        <v>Profit Sharing805</v>
      </c>
      <c r="D1431" s="104">
        <f t="shared" si="59"/>
        <v>0</v>
      </c>
      <c r="E1431" s="186">
        <v>0</v>
      </c>
      <c r="F1431" s="186">
        <v>0</v>
      </c>
    </row>
    <row r="1432" spans="1:6" ht="12.95" hidden="1" customHeight="1" outlineLevel="1">
      <c r="A1432" s="33" t="s">
        <v>1028</v>
      </c>
      <c r="B1432" s="33">
        <v>806</v>
      </c>
      <c r="C1432" s="40" t="str">
        <f t="shared" si="58"/>
        <v>Profit Sharing806</v>
      </c>
      <c r="D1432" s="104">
        <f t="shared" si="59"/>
        <v>0</v>
      </c>
      <c r="E1432" s="186">
        <v>0</v>
      </c>
      <c r="F1432" s="186">
        <v>0</v>
      </c>
    </row>
    <row r="1433" spans="1:6" ht="12.95" hidden="1" customHeight="1" outlineLevel="1">
      <c r="A1433" s="33" t="s">
        <v>1028</v>
      </c>
      <c r="B1433" s="33">
        <v>807</v>
      </c>
      <c r="C1433" s="40" t="str">
        <f t="shared" si="58"/>
        <v>Profit Sharing807</v>
      </c>
      <c r="D1433" s="104">
        <f t="shared" si="59"/>
        <v>0</v>
      </c>
      <c r="E1433" s="186">
        <v>0</v>
      </c>
      <c r="F1433" s="186">
        <v>0</v>
      </c>
    </row>
    <row r="1434" spans="1:6" ht="12.95" hidden="1" customHeight="1" outlineLevel="1">
      <c r="A1434" s="33" t="s">
        <v>1028</v>
      </c>
      <c r="B1434" s="33">
        <v>808</v>
      </c>
      <c r="C1434" s="40" t="str">
        <f t="shared" si="58"/>
        <v>Profit Sharing808</v>
      </c>
      <c r="D1434" s="104">
        <f t="shared" si="59"/>
        <v>0</v>
      </c>
      <c r="E1434" s="186">
        <v>0</v>
      </c>
      <c r="F1434" s="186">
        <v>0</v>
      </c>
    </row>
    <row r="1435" spans="1:6" ht="12.95" hidden="1" customHeight="1" outlineLevel="1">
      <c r="A1435" s="33" t="s">
        <v>1028</v>
      </c>
      <c r="B1435" s="33">
        <v>812</v>
      </c>
      <c r="C1435" s="40" t="str">
        <f t="shared" si="58"/>
        <v>Profit Sharing812</v>
      </c>
      <c r="D1435" s="104">
        <f t="shared" si="59"/>
        <v>0</v>
      </c>
      <c r="E1435" s="186">
        <v>0</v>
      </c>
      <c r="F1435" s="186">
        <v>0</v>
      </c>
    </row>
    <row r="1436" spans="1:6" ht="12.95" hidden="1" customHeight="1" outlineLevel="1">
      <c r="A1436" s="33" t="s">
        <v>1028</v>
      </c>
      <c r="B1436" s="33">
        <v>870</v>
      </c>
      <c r="C1436" s="40" t="str">
        <f t="shared" si="58"/>
        <v>Profit Sharing870</v>
      </c>
      <c r="D1436" s="104">
        <f t="shared" si="59"/>
        <v>0</v>
      </c>
      <c r="E1436" s="186">
        <v>0</v>
      </c>
      <c r="F1436" s="186">
        <v>0</v>
      </c>
    </row>
    <row r="1437" spans="1:6" ht="12.95" hidden="1" customHeight="1" outlineLevel="1">
      <c r="A1437" s="33" t="s">
        <v>1028</v>
      </c>
      <c r="B1437" s="33">
        <v>871</v>
      </c>
      <c r="C1437" s="40" t="str">
        <f t="shared" si="58"/>
        <v>Profit Sharing871</v>
      </c>
      <c r="D1437" s="104">
        <f t="shared" si="59"/>
        <v>0</v>
      </c>
      <c r="E1437" s="186">
        <v>0</v>
      </c>
      <c r="F1437" s="186">
        <v>0</v>
      </c>
    </row>
    <row r="1438" spans="1:6" ht="12.95" hidden="1" customHeight="1" outlineLevel="1">
      <c r="A1438" s="33" t="s">
        <v>1028</v>
      </c>
      <c r="B1438" s="33">
        <v>874</v>
      </c>
      <c r="C1438" s="40" t="str">
        <f t="shared" si="58"/>
        <v>Profit Sharing874</v>
      </c>
      <c r="D1438" s="104">
        <f t="shared" si="59"/>
        <v>0</v>
      </c>
      <c r="E1438" s="186">
        <v>0</v>
      </c>
      <c r="F1438" s="186">
        <v>0</v>
      </c>
    </row>
    <row r="1439" spans="1:6" ht="12.95" hidden="1" customHeight="1" outlineLevel="1">
      <c r="A1439" s="33" t="s">
        <v>1028</v>
      </c>
      <c r="B1439" s="33">
        <v>875</v>
      </c>
      <c r="C1439" s="40" t="str">
        <f t="shared" si="58"/>
        <v>Profit Sharing875</v>
      </c>
      <c r="D1439" s="104">
        <f t="shared" si="59"/>
        <v>0</v>
      </c>
      <c r="E1439" s="186">
        <v>0</v>
      </c>
      <c r="F1439" s="186">
        <v>0</v>
      </c>
    </row>
    <row r="1440" spans="1:6" ht="12.95" hidden="1" customHeight="1" outlineLevel="1">
      <c r="A1440" s="33" t="s">
        <v>1028</v>
      </c>
      <c r="B1440" s="33">
        <v>876</v>
      </c>
      <c r="C1440" s="40" t="str">
        <f t="shared" si="58"/>
        <v>Profit Sharing876</v>
      </c>
      <c r="D1440" s="104">
        <f t="shared" si="59"/>
        <v>0</v>
      </c>
      <c r="E1440" s="186">
        <v>0</v>
      </c>
      <c r="F1440" s="186">
        <v>0</v>
      </c>
    </row>
    <row r="1441" spans="1:6" ht="12.95" hidden="1" customHeight="1" outlineLevel="1">
      <c r="A1441" s="33" t="s">
        <v>1028</v>
      </c>
      <c r="B1441" s="33">
        <v>878</v>
      </c>
      <c r="C1441" s="40" t="str">
        <f t="shared" si="58"/>
        <v>Profit Sharing878</v>
      </c>
      <c r="D1441" s="104">
        <f t="shared" si="59"/>
        <v>0</v>
      </c>
      <c r="E1441" s="186">
        <v>0</v>
      </c>
      <c r="F1441" s="186">
        <v>0</v>
      </c>
    </row>
    <row r="1442" spans="1:6" ht="12.95" hidden="1" customHeight="1" outlineLevel="1">
      <c r="A1442" s="33" t="s">
        <v>1028</v>
      </c>
      <c r="B1442" s="33">
        <v>879</v>
      </c>
      <c r="C1442" s="40" t="str">
        <f t="shared" si="58"/>
        <v>Profit Sharing879</v>
      </c>
      <c r="D1442" s="104">
        <f t="shared" si="59"/>
        <v>0</v>
      </c>
      <c r="E1442" s="186">
        <v>0</v>
      </c>
      <c r="F1442" s="186">
        <v>0</v>
      </c>
    </row>
    <row r="1443" spans="1:6" ht="12.95" hidden="1" customHeight="1" outlineLevel="1">
      <c r="A1443" s="33" t="s">
        <v>1028</v>
      </c>
      <c r="B1443" s="33">
        <v>880</v>
      </c>
      <c r="C1443" s="40" t="str">
        <f t="shared" si="58"/>
        <v>Profit Sharing880</v>
      </c>
      <c r="D1443" s="104">
        <f t="shared" si="59"/>
        <v>0</v>
      </c>
      <c r="E1443" s="186">
        <v>0</v>
      </c>
      <c r="F1443" s="186">
        <v>0</v>
      </c>
    </row>
    <row r="1444" spans="1:6" ht="12.95" hidden="1" customHeight="1" outlineLevel="1">
      <c r="A1444" s="33" t="s">
        <v>1028</v>
      </c>
      <c r="B1444" s="33">
        <v>881</v>
      </c>
      <c r="C1444" s="40" t="str">
        <f t="shared" si="58"/>
        <v>Profit Sharing881</v>
      </c>
      <c r="D1444" s="104">
        <f t="shared" si="59"/>
        <v>0</v>
      </c>
      <c r="E1444" s="186">
        <v>0</v>
      </c>
      <c r="F1444" s="186">
        <v>0</v>
      </c>
    </row>
    <row r="1445" spans="1:6" ht="12.95" hidden="1" customHeight="1" outlineLevel="1">
      <c r="A1445" s="33" t="s">
        <v>1028</v>
      </c>
      <c r="B1445" s="33">
        <v>885</v>
      </c>
      <c r="C1445" s="40" t="str">
        <f t="shared" si="58"/>
        <v>Profit Sharing885</v>
      </c>
      <c r="D1445" s="104">
        <f t="shared" si="59"/>
        <v>0</v>
      </c>
      <c r="E1445" s="186">
        <v>0</v>
      </c>
      <c r="F1445" s="186">
        <v>0</v>
      </c>
    </row>
    <row r="1446" spans="1:6" ht="12.95" hidden="1" customHeight="1" outlineLevel="1">
      <c r="A1446" s="33" t="s">
        <v>1028</v>
      </c>
      <c r="B1446" s="33">
        <v>886</v>
      </c>
      <c r="C1446" s="40" t="str">
        <f t="shared" si="58"/>
        <v>Profit Sharing886</v>
      </c>
      <c r="D1446" s="104">
        <f t="shared" si="59"/>
        <v>0</v>
      </c>
      <c r="E1446" s="186">
        <v>0</v>
      </c>
      <c r="F1446" s="186">
        <v>0</v>
      </c>
    </row>
    <row r="1447" spans="1:6" ht="12.95" hidden="1" customHeight="1" outlineLevel="1">
      <c r="A1447" s="33" t="s">
        <v>1028</v>
      </c>
      <c r="B1447" s="33">
        <v>887</v>
      </c>
      <c r="C1447" s="40" t="str">
        <f t="shared" si="58"/>
        <v>Profit Sharing887</v>
      </c>
      <c r="D1447" s="104">
        <f t="shared" si="59"/>
        <v>0</v>
      </c>
      <c r="E1447" s="186">
        <v>0</v>
      </c>
      <c r="F1447" s="186">
        <v>0</v>
      </c>
    </row>
    <row r="1448" spans="1:6" ht="12.95" hidden="1" customHeight="1" outlineLevel="1">
      <c r="A1448" s="33" t="s">
        <v>1028</v>
      </c>
      <c r="B1448" s="33">
        <v>889</v>
      </c>
      <c r="C1448" s="40" t="str">
        <f t="shared" si="58"/>
        <v>Profit Sharing889</v>
      </c>
      <c r="D1448" s="104">
        <f t="shared" si="59"/>
        <v>0</v>
      </c>
      <c r="E1448" s="186">
        <v>0</v>
      </c>
      <c r="F1448" s="186">
        <v>0</v>
      </c>
    </row>
    <row r="1449" spans="1:6" ht="12.95" hidden="1" customHeight="1" outlineLevel="1">
      <c r="A1449" s="33" t="s">
        <v>1028</v>
      </c>
      <c r="B1449" s="33">
        <v>890</v>
      </c>
      <c r="C1449" s="40" t="str">
        <f t="shared" si="58"/>
        <v>Profit Sharing890</v>
      </c>
      <c r="D1449" s="104">
        <f t="shared" si="59"/>
        <v>0</v>
      </c>
      <c r="E1449" s="186">
        <v>0</v>
      </c>
      <c r="F1449" s="186">
        <v>0</v>
      </c>
    </row>
    <row r="1450" spans="1:6" ht="12.95" hidden="1" customHeight="1" outlineLevel="1">
      <c r="A1450" s="33" t="s">
        <v>1028</v>
      </c>
      <c r="B1450" s="33">
        <v>892</v>
      </c>
      <c r="C1450" s="40" t="str">
        <f t="shared" si="58"/>
        <v>Profit Sharing892</v>
      </c>
      <c r="D1450" s="104">
        <f t="shared" si="59"/>
        <v>0</v>
      </c>
      <c r="E1450" s="186">
        <v>0</v>
      </c>
      <c r="F1450" s="186">
        <v>0</v>
      </c>
    </row>
    <row r="1451" spans="1:6" ht="12.95" hidden="1" customHeight="1" outlineLevel="1">
      <c r="A1451" s="33" t="s">
        <v>1028</v>
      </c>
      <c r="B1451" s="33">
        <v>893</v>
      </c>
      <c r="C1451" s="40" t="str">
        <f t="shared" si="58"/>
        <v>Profit Sharing893</v>
      </c>
      <c r="D1451" s="104">
        <f t="shared" si="59"/>
        <v>0</v>
      </c>
      <c r="E1451" s="186">
        <v>0</v>
      </c>
      <c r="F1451" s="186">
        <v>0</v>
      </c>
    </row>
    <row r="1452" spans="1:6" ht="12.95" hidden="1" customHeight="1" outlineLevel="1">
      <c r="A1452" s="33" t="s">
        <v>1028</v>
      </c>
      <c r="B1452" s="33">
        <v>894</v>
      </c>
      <c r="C1452" s="40" t="str">
        <f t="shared" si="58"/>
        <v>Profit Sharing894</v>
      </c>
      <c r="D1452" s="104">
        <f t="shared" si="59"/>
        <v>0</v>
      </c>
      <c r="E1452" s="186">
        <v>0</v>
      </c>
      <c r="F1452" s="186">
        <v>0</v>
      </c>
    </row>
    <row r="1453" spans="1:6" ht="12.95" hidden="1" customHeight="1" outlineLevel="1">
      <c r="A1453" s="33" t="s">
        <v>1028</v>
      </c>
      <c r="B1453" s="33">
        <v>902</v>
      </c>
      <c r="C1453" s="40" t="str">
        <f t="shared" si="58"/>
        <v>Profit Sharing902</v>
      </c>
      <c r="D1453" s="104">
        <f t="shared" si="59"/>
        <v>0</v>
      </c>
      <c r="E1453" s="186">
        <v>0</v>
      </c>
      <c r="F1453" s="186">
        <v>0</v>
      </c>
    </row>
    <row r="1454" spans="1:6" ht="12.95" hidden="1" customHeight="1" outlineLevel="1">
      <c r="A1454" s="33" t="s">
        <v>1028</v>
      </c>
      <c r="B1454" s="33">
        <v>903</v>
      </c>
      <c r="C1454" s="40" t="str">
        <f t="shared" si="58"/>
        <v>Profit Sharing903</v>
      </c>
      <c r="D1454" s="104">
        <f t="shared" si="59"/>
        <v>0</v>
      </c>
      <c r="E1454" s="186">
        <v>0</v>
      </c>
      <c r="F1454" s="186">
        <v>0</v>
      </c>
    </row>
    <row r="1455" spans="1:6" ht="12.95" hidden="1" customHeight="1" outlineLevel="1">
      <c r="A1455" s="33" t="s">
        <v>1028</v>
      </c>
      <c r="B1455" s="33">
        <v>904</v>
      </c>
      <c r="C1455" s="40" t="str">
        <f t="shared" si="58"/>
        <v>Profit Sharing904</v>
      </c>
      <c r="D1455" s="104">
        <f t="shared" si="59"/>
        <v>0</v>
      </c>
      <c r="E1455" s="186">
        <v>0</v>
      </c>
      <c r="F1455" s="186">
        <v>0</v>
      </c>
    </row>
    <row r="1456" spans="1:6" ht="12.95" hidden="1" customHeight="1" outlineLevel="1">
      <c r="A1456" s="33" t="s">
        <v>1028</v>
      </c>
      <c r="B1456" s="33">
        <v>905</v>
      </c>
      <c r="C1456" s="40" t="str">
        <f t="shared" si="58"/>
        <v>Profit Sharing905</v>
      </c>
      <c r="D1456" s="104">
        <f t="shared" si="59"/>
        <v>0</v>
      </c>
      <c r="E1456" s="186">
        <v>0</v>
      </c>
      <c r="F1456" s="186">
        <v>0</v>
      </c>
    </row>
    <row r="1457" spans="1:6" ht="12.95" hidden="1" customHeight="1" outlineLevel="1">
      <c r="A1457" s="33" t="s">
        <v>1028</v>
      </c>
      <c r="B1457" s="33">
        <v>907</v>
      </c>
      <c r="C1457" s="40" t="str">
        <f t="shared" si="58"/>
        <v>Profit Sharing907</v>
      </c>
      <c r="D1457" s="104">
        <f t="shared" si="59"/>
        <v>0</v>
      </c>
      <c r="E1457" s="186">
        <v>0</v>
      </c>
      <c r="F1457" s="186">
        <v>0</v>
      </c>
    </row>
    <row r="1458" spans="1:6" ht="12.95" hidden="1" customHeight="1" outlineLevel="1">
      <c r="A1458" s="33" t="s">
        <v>1028</v>
      </c>
      <c r="B1458" s="33">
        <v>908</v>
      </c>
      <c r="C1458" s="40" t="str">
        <f t="shared" si="58"/>
        <v>Profit Sharing908</v>
      </c>
      <c r="D1458" s="104">
        <f t="shared" si="59"/>
        <v>0</v>
      </c>
      <c r="E1458" s="186">
        <v>0</v>
      </c>
      <c r="F1458" s="186">
        <v>0</v>
      </c>
    </row>
    <row r="1459" spans="1:6" ht="12.95" hidden="1" customHeight="1" outlineLevel="1">
      <c r="A1459" s="33" t="s">
        <v>1028</v>
      </c>
      <c r="B1459" s="33">
        <v>909</v>
      </c>
      <c r="C1459" s="40" t="str">
        <f t="shared" si="58"/>
        <v>Profit Sharing909</v>
      </c>
      <c r="D1459" s="104">
        <f t="shared" si="59"/>
        <v>0</v>
      </c>
      <c r="E1459" s="186">
        <v>0</v>
      </c>
      <c r="F1459" s="186">
        <v>0</v>
      </c>
    </row>
    <row r="1460" spans="1:6" ht="12.95" hidden="1" customHeight="1" outlineLevel="1">
      <c r="A1460" s="33" t="s">
        <v>1028</v>
      </c>
      <c r="B1460" s="33">
        <v>910</v>
      </c>
      <c r="C1460" s="40" t="str">
        <f t="shared" si="58"/>
        <v>Profit Sharing910</v>
      </c>
      <c r="D1460" s="104">
        <f t="shared" si="59"/>
        <v>0</v>
      </c>
      <c r="E1460" s="186">
        <v>0</v>
      </c>
      <c r="F1460" s="186">
        <v>0</v>
      </c>
    </row>
    <row r="1461" spans="1:6" ht="12.95" hidden="1" customHeight="1" outlineLevel="1">
      <c r="A1461" s="33" t="s">
        <v>1028</v>
      </c>
      <c r="B1461" s="33">
        <v>911</v>
      </c>
      <c r="C1461" s="40" t="str">
        <f t="shared" si="58"/>
        <v>Profit Sharing911</v>
      </c>
      <c r="D1461" s="104">
        <f t="shared" si="59"/>
        <v>0</v>
      </c>
      <c r="E1461" s="186">
        <v>0</v>
      </c>
      <c r="F1461" s="186">
        <v>0</v>
      </c>
    </row>
    <row r="1462" spans="1:6" ht="12.95" hidden="1" customHeight="1" outlineLevel="1">
      <c r="A1462" s="33" t="s">
        <v>1028</v>
      </c>
      <c r="B1462" s="33">
        <v>912</v>
      </c>
      <c r="C1462" s="40" t="str">
        <f t="shared" si="58"/>
        <v>Profit Sharing912</v>
      </c>
      <c r="D1462" s="104">
        <f t="shared" si="59"/>
        <v>0</v>
      </c>
      <c r="E1462" s="186">
        <v>0</v>
      </c>
      <c r="F1462" s="186">
        <v>0</v>
      </c>
    </row>
    <row r="1463" spans="1:6" ht="12.95" hidden="1" customHeight="1" outlineLevel="1">
      <c r="A1463" s="33" t="s">
        <v>1028</v>
      </c>
      <c r="B1463" s="33">
        <v>913</v>
      </c>
      <c r="C1463" s="40" t="str">
        <f t="shared" si="58"/>
        <v>Profit Sharing913</v>
      </c>
      <c r="D1463" s="104">
        <f t="shared" si="59"/>
        <v>0</v>
      </c>
      <c r="E1463" s="186">
        <v>0</v>
      </c>
      <c r="F1463" s="186">
        <v>0</v>
      </c>
    </row>
    <row r="1464" spans="1:6" ht="12.95" hidden="1" customHeight="1" outlineLevel="1">
      <c r="A1464" s="33" t="s">
        <v>1028</v>
      </c>
      <c r="B1464" s="33">
        <v>920</v>
      </c>
      <c r="C1464" s="40" t="str">
        <f t="shared" si="58"/>
        <v>Profit Sharing920</v>
      </c>
      <c r="D1464" s="104">
        <f t="shared" si="59"/>
        <v>0</v>
      </c>
      <c r="E1464" s="186">
        <v>0</v>
      </c>
      <c r="F1464" s="186">
        <v>0</v>
      </c>
    </row>
    <row r="1465" spans="1:6" ht="12.95" hidden="1" customHeight="1" outlineLevel="1">
      <c r="A1465" s="33" t="s">
        <v>1028</v>
      </c>
      <c r="B1465" s="33">
        <v>921</v>
      </c>
      <c r="C1465" s="40" t="str">
        <f t="shared" si="58"/>
        <v>Profit Sharing921</v>
      </c>
      <c r="D1465" s="104">
        <f t="shared" si="59"/>
        <v>0</v>
      </c>
      <c r="E1465" s="186">
        <v>0</v>
      </c>
      <c r="F1465" s="186">
        <v>0</v>
      </c>
    </row>
    <row r="1466" spans="1:6" ht="12.95" hidden="1" customHeight="1" outlineLevel="1">
      <c r="A1466" s="33" t="s">
        <v>1028</v>
      </c>
      <c r="B1466" s="33">
        <v>923</v>
      </c>
      <c r="C1466" s="40" t="str">
        <f t="shared" si="58"/>
        <v>Profit Sharing923</v>
      </c>
      <c r="D1466" s="104">
        <f t="shared" si="59"/>
        <v>0</v>
      </c>
      <c r="E1466" s="186">
        <v>0</v>
      </c>
      <c r="F1466" s="186">
        <v>0</v>
      </c>
    </row>
    <row r="1467" spans="1:6" ht="12.95" hidden="1" customHeight="1" outlineLevel="1">
      <c r="A1467" s="33" t="s">
        <v>1028</v>
      </c>
      <c r="B1467" s="33">
        <v>924</v>
      </c>
      <c r="C1467" s="40" t="str">
        <f t="shared" si="58"/>
        <v>Profit Sharing924</v>
      </c>
      <c r="D1467" s="104">
        <f t="shared" si="59"/>
        <v>0</v>
      </c>
      <c r="E1467" s="186">
        <v>0</v>
      </c>
      <c r="F1467" s="186">
        <v>0</v>
      </c>
    </row>
    <row r="1468" spans="1:6" ht="12.95" hidden="1" customHeight="1" outlineLevel="1">
      <c r="A1468" s="33" t="s">
        <v>1028</v>
      </c>
      <c r="B1468" s="33">
        <v>925</v>
      </c>
      <c r="C1468" s="40" t="str">
        <f t="shared" si="58"/>
        <v>Profit Sharing925</v>
      </c>
      <c r="D1468" s="104">
        <f t="shared" si="59"/>
        <v>0</v>
      </c>
      <c r="E1468" s="186">
        <v>0</v>
      </c>
      <c r="F1468" s="186">
        <v>0</v>
      </c>
    </row>
    <row r="1469" spans="1:6" ht="12.95" hidden="1" customHeight="1" outlineLevel="1">
      <c r="A1469" s="33" t="s">
        <v>1028</v>
      </c>
      <c r="B1469" s="33">
        <v>926</v>
      </c>
      <c r="C1469" s="40" t="str">
        <f t="shared" si="58"/>
        <v>Profit Sharing926</v>
      </c>
      <c r="D1469" s="104">
        <f t="shared" si="59"/>
        <v>-61229.439999999988</v>
      </c>
      <c r="E1469" s="186">
        <v>175937.23999999996</v>
      </c>
      <c r="F1469" s="186">
        <v>114707.79999999997</v>
      </c>
    </row>
    <row r="1470" spans="1:6" ht="12.95" hidden="1" customHeight="1" outlineLevel="1">
      <c r="A1470" s="33" t="s">
        <v>1028</v>
      </c>
      <c r="B1470" s="33">
        <v>928</v>
      </c>
      <c r="C1470" s="40" t="str">
        <f t="shared" si="58"/>
        <v>Profit Sharing928</v>
      </c>
      <c r="D1470" s="104">
        <f t="shared" si="59"/>
        <v>0</v>
      </c>
      <c r="E1470" s="186">
        <v>0</v>
      </c>
      <c r="F1470" s="186">
        <v>0</v>
      </c>
    </row>
    <row r="1471" spans="1:6" ht="12.95" hidden="1" customHeight="1" outlineLevel="1">
      <c r="A1471" s="33" t="s">
        <v>1028</v>
      </c>
      <c r="B1471" s="33">
        <v>930</v>
      </c>
      <c r="C1471" s="40" t="str">
        <f t="shared" si="58"/>
        <v>Profit Sharing930</v>
      </c>
      <c r="D1471" s="104">
        <f t="shared" si="59"/>
        <v>0</v>
      </c>
      <c r="E1471" s="186">
        <v>0</v>
      </c>
      <c r="F1471" s="186">
        <v>0</v>
      </c>
    </row>
    <row r="1472" spans="1:6" ht="12.95" hidden="1" customHeight="1" outlineLevel="1">
      <c r="A1472" s="33" t="s">
        <v>1028</v>
      </c>
      <c r="B1472" s="33">
        <v>931</v>
      </c>
      <c r="C1472" s="40" t="str">
        <f t="shared" si="58"/>
        <v>Profit Sharing931</v>
      </c>
      <c r="D1472" s="104">
        <f t="shared" si="59"/>
        <v>0</v>
      </c>
      <c r="E1472" s="186">
        <v>0</v>
      </c>
      <c r="F1472" s="186">
        <v>0</v>
      </c>
    </row>
    <row r="1473" spans="1:6" ht="12.95" hidden="1" customHeight="1" outlineLevel="1">
      <c r="A1473" s="33" t="s">
        <v>1028</v>
      </c>
      <c r="B1473" s="33">
        <v>932</v>
      </c>
      <c r="C1473" s="40" t="str">
        <f t="shared" si="58"/>
        <v>Profit Sharing932</v>
      </c>
      <c r="D1473" s="104">
        <f t="shared" si="59"/>
        <v>0</v>
      </c>
      <c r="E1473" s="186">
        <v>0</v>
      </c>
      <c r="F1473" s="186">
        <v>0</v>
      </c>
    </row>
    <row r="1474" spans="1:6" ht="12.95" hidden="1" customHeight="1" outlineLevel="1">
      <c r="A1474" s="33" t="s">
        <v>1028</v>
      </c>
      <c r="B1474" s="33">
        <v>935</v>
      </c>
      <c r="C1474" s="40" t="str">
        <f t="shared" si="58"/>
        <v>Profit Sharing935</v>
      </c>
      <c r="D1474" s="104">
        <f t="shared" si="59"/>
        <v>0</v>
      </c>
      <c r="E1474" s="186">
        <v>0</v>
      </c>
      <c r="F1474" s="186">
        <v>0</v>
      </c>
    </row>
    <row r="1475" spans="1:6" s="13" customFormat="1" collapsed="1">
      <c r="A1475" s="14" t="s">
        <v>1028</v>
      </c>
      <c r="B1475" s="15"/>
      <c r="D1475" s="196">
        <f>SUM(D1428:D1474)</f>
        <v>-61229.439999999988</v>
      </c>
      <c r="E1475" s="196">
        <f>SUM(E1428:E1474)</f>
        <v>175937.23999999996</v>
      </c>
      <c r="F1475" s="196">
        <f>SUM(F1428:F1474)</f>
        <v>114707.79999999997</v>
      </c>
    </row>
    <row r="1476" spans="1:6" ht="12.95" hidden="1" customHeight="1" outlineLevel="1">
      <c r="A1476" s="33" t="s">
        <v>1937</v>
      </c>
      <c r="B1476" s="33">
        <v>801</v>
      </c>
      <c r="C1476" s="40" t="str">
        <f t="shared" ref="C1476:C1523" si="60">A1476&amp;B1476</f>
        <v>Rents &amp; Leases (Buildings)801</v>
      </c>
      <c r="D1476" s="104">
        <f t="shared" ref="D1476:D1523" si="61">+F1476-E1476</f>
        <v>0</v>
      </c>
      <c r="E1476" s="186">
        <v>0</v>
      </c>
      <c r="F1476" s="186">
        <v>0</v>
      </c>
    </row>
    <row r="1477" spans="1:6" ht="12.95" hidden="1" customHeight="1" outlineLevel="1">
      <c r="A1477" s="33" t="s">
        <v>1937</v>
      </c>
      <c r="B1477" s="33">
        <v>803</v>
      </c>
      <c r="C1477" s="40" t="str">
        <f t="shared" si="60"/>
        <v>Rents &amp; Leases (Buildings)803</v>
      </c>
      <c r="D1477" s="104">
        <f t="shared" si="61"/>
        <v>0</v>
      </c>
      <c r="E1477" s="186">
        <v>0</v>
      </c>
      <c r="F1477" s="186">
        <v>0</v>
      </c>
    </row>
    <row r="1478" spans="1:6" ht="12.95" hidden="1" customHeight="1" outlineLevel="1">
      <c r="A1478" s="33" t="s">
        <v>1937</v>
      </c>
      <c r="B1478" s="33">
        <v>804</v>
      </c>
      <c r="C1478" s="40" t="str">
        <f t="shared" si="60"/>
        <v>Rents &amp; Leases (Buildings)804</v>
      </c>
      <c r="D1478" s="104">
        <f t="shared" si="61"/>
        <v>0</v>
      </c>
      <c r="E1478" s="186">
        <v>0</v>
      </c>
      <c r="F1478" s="186">
        <v>0</v>
      </c>
    </row>
    <row r="1479" spans="1:6" ht="12.95" hidden="1" customHeight="1" outlineLevel="1">
      <c r="A1479" s="33" t="s">
        <v>1937</v>
      </c>
      <c r="B1479" s="33">
        <v>805</v>
      </c>
      <c r="C1479" s="40" t="str">
        <f t="shared" si="60"/>
        <v>Rents &amp; Leases (Buildings)805</v>
      </c>
      <c r="D1479" s="104">
        <f t="shared" si="61"/>
        <v>0</v>
      </c>
      <c r="E1479" s="186">
        <v>0</v>
      </c>
      <c r="F1479" s="186">
        <v>0</v>
      </c>
    </row>
    <row r="1480" spans="1:6" ht="12.95" hidden="1" customHeight="1" outlineLevel="1">
      <c r="A1480" s="33" t="s">
        <v>1937</v>
      </c>
      <c r="B1480" s="33">
        <v>806</v>
      </c>
      <c r="C1480" s="40" t="str">
        <f t="shared" si="60"/>
        <v>Rents &amp; Leases (Buildings)806</v>
      </c>
      <c r="D1480" s="104">
        <f t="shared" si="61"/>
        <v>0</v>
      </c>
      <c r="E1480" s="186">
        <v>0</v>
      </c>
      <c r="F1480" s="186">
        <v>0</v>
      </c>
    </row>
    <row r="1481" spans="1:6" ht="12.95" hidden="1" customHeight="1" outlineLevel="1">
      <c r="A1481" s="33" t="s">
        <v>1937</v>
      </c>
      <c r="B1481" s="33">
        <v>807</v>
      </c>
      <c r="C1481" s="40" t="str">
        <f t="shared" si="60"/>
        <v>Rents &amp; Leases (Buildings)807</v>
      </c>
      <c r="D1481" s="104">
        <f t="shared" si="61"/>
        <v>0</v>
      </c>
      <c r="E1481" s="186">
        <v>0</v>
      </c>
      <c r="F1481" s="186">
        <v>0</v>
      </c>
    </row>
    <row r="1482" spans="1:6" ht="12.95" hidden="1" customHeight="1" outlineLevel="1">
      <c r="A1482" s="33" t="s">
        <v>1937</v>
      </c>
      <c r="B1482" s="33">
        <v>808</v>
      </c>
      <c r="C1482" s="40" t="str">
        <f t="shared" si="60"/>
        <v>Rents &amp; Leases (Buildings)808</v>
      </c>
      <c r="D1482" s="104">
        <f t="shared" si="61"/>
        <v>0</v>
      </c>
      <c r="E1482" s="186">
        <v>0</v>
      </c>
      <c r="F1482" s="186">
        <v>0</v>
      </c>
    </row>
    <row r="1483" spans="1:6" ht="12.95" hidden="1" customHeight="1" outlineLevel="1">
      <c r="A1483" s="33" t="s">
        <v>1937</v>
      </c>
      <c r="B1483" s="33">
        <v>812</v>
      </c>
      <c r="C1483" s="40" t="str">
        <f t="shared" si="60"/>
        <v>Rents &amp; Leases (Buildings)812</v>
      </c>
      <c r="D1483" s="104">
        <f t="shared" si="61"/>
        <v>0</v>
      </c>
      <c r="E1483" s="186">
        <v>0</v>
      </c>
      <c r="F1483" s="186">
        <v>0</v>
      </c>
    </row>
    <row r="1484" spans="1:6" ht="12.95" hidden="1" customHeight="1" outlineLevel="1">
      <c r="A1484" s="33" t="s">
        <v>1937</v>
      </c>
      <c r="B1484" s="33">
        <v>870</v>
      </c>
      <c r="C1484" s="40" t="str">
        <f t="shared" si="60"/>
        <v>Rents &amp; Leases (Buildings)870</v>
      </c>
      <c r="D1484" s="104">
        <f t="shared" si="61"/>
        <v>0</v>
      </c>
      <c r="E1484" s="186">
        <v>0</v>
      </c>
      <c r="F1484" s="186">
        <v>0</v>
      </c>
    </row>
    <row r="1485" spans="1:6" ht="12.95" hidden="1" customHeight="1" outlineLevel="1">
      <c r="A1485" s="33" t="s">
        <v>1937</v>
      </c>
      <c r="B1485" s="33">
        <v>871</v>
      </c>
      <c r="C1485" s="40" t="str">
        <f t="shared" si="60"/>
        <v>Rents &amp; Leases (Buildings)871</v>
      </c>
      <c r="D1485" s="104">
        <f t="shared" si="61"/>
        <v>0</v>
      </c>
      <c r="E1485" s="186">
        <v>0</v>
      </c>
      <c r="F1485" s="186">
        <v>0</v>
      </c>
    </row>
    <row r="1486" spans="1:6" ht="12.95" hidden="1" customHeight="1" outlineLevel="1">
      <c r="A1486" s="33" t="s">
        <v>1937</v>
      </c>
      <c r="B1486" s="33">
        <v>874</v>
      </c>
      <c r="C1486" s="40" t="str">
        <f t="shared" si="60"/>
        <v>Rents &amp; Leases (Buildings)874</v>
      </c>
      <c r="D1486" s="104">
        <f t="shared" si="61"/>
        <v>0</v>
      </c>
      <c r="E1486" s="186">
        <v>0</v>
      </c>
      <c r="F1486" s="186">
        <v>0</v>
      </c>
    </row>
    <row r="1487" spans="1:6" ht="12.95" hidden="1" customHeight="1" outlineLevel="1">
      <c r="A1487" s="33" t="s">
        <v>1937</v>
      </c>
      <c r="B1487" s="33">
        <v>875</v>
      </c>
      <c r="C1487" s="40" t="str">
        <f t="shared" si="60"/>
        <v>Rents &amp; Leases (Buildings)875</v>
      </c>
      <c r="D1487" s="104">
        <f t="shared" si="61"/>
        <v>0</v>
      </c>
      <c r="E1487" s="186">
        <v>0</v>
      </c>
      <c r="F1487" s="186">
        <v>0</v>
      </c>
    </row>
    <row r="1488" spans="1:6" ht="12.95" hidden="1" customHeight="1" outlineLevel="1">
      <c r="A1488" s="33" t="s">
        <v>1937</v>
      </c>
      <c r="B1488" s="33">
        <v>876</v>
      </c>
      <c r="C1488" s="40" t="str">
        <f t="shared" si="60"/>
        <v>Rents &amp; Leases (Buildings)876</v>
      </c>
      <c r="D1488" s="104">
        <f t="shared" si="61"/>
        <v>0</v>
      </c>
      <c r="E1488" s="186">
        <v>0</v>
      </c>
      <c r="F1488" s="186">
        <v>0</v>
      </c>
    </row>
    <row r="1489" spans="1:6" ht="12.95" hidden="1" customHeight="1" outlineLevel="1">
      <c r="A1489" s="33" t="s">
        <v>1937</v>
      </c>
      <c r="B1489" s="33">
        <v>878</v>
      </c>
      <c r="C1489" s="40" t="str">
        <f t="shared" si="60"/>
        <v>Rents &amp; Leases (Buildings)878</v>
      </c>
      <c r="D1489" s="104">
        <f t="shared" si="61"/>
        <v>0</v>
      </c>
      <c r="E1489" s="186">
        <v>0</v>
      </c>
      <c r="F1489" s="186">
        <v>0</v>
      </c>
    </row>
    <row r="1490" spans="1:6" ht="12.95" hidden="1" customHeight="1" outlineLevel="1">
      <c r="A1490" s="33" t="s">
        <v>1937</v>
      </c>
      <c r="B1490" s="33">
        <v>879</v>
      </c>
      <c r="C1490" s="40" t="str">
        <f t="shared" si="60"/>
        <v>Rents &amp; Leases (Buildings)879</v>
      </c>
      <c r="D1490" s="104">
        <f t="shared" si="61"/>
        <v>0</v>
      </c>
      <c r="E1490" s="186">
        <v>0</v>
      </c>
      <c r="F1490" s="186">
        <v>0</v>
      </c>
    </row>
    <row r="1491" spans="1:6" ht="12.95" hidden="1" customHeight="1" outlineLevel="1">
      <c r="A1491" s="33" t="s">
        <v>1937</v>
      </c>
      <c r="B1491" s="33">
        <v>880</v>
      </c>
      <c r="C1491" s="40" t="str">
        <f t="shared" si="60"/>
        <v>Rents &amp; Leases (Buildings)880</v>
      </c>
      <c r="D1491" s="104">
        <f t="shared" si="61"/>
        <v>0</v>
      </c>
      <c r="E1491" s="186">
        <v>0</v>
      </c>
      <c r="F1491" s="186">
        <v>0</v>
      </c>
    </row>
    <row r="1492" spans="1:6" ht="12.95" hidden="1" customHeight="1" outlineLevel="1">
      <c r="A1492" s="33" t="s">
        <v>1937</v>
      </c>
      <c r="B1492" s="33">
        <v>881</v>
      </c>
      <c r="C1492" s="40" t="str">
        <f t="shared" si="60"/>
        <v>Rents &amp; Leases (Buildings)881</v>
      </c>
      <c r="D1492" s="104">
        <f t="shared" si="61"/>
        <v>-4306.1500000000015</v>
      </c>
      <c r="E1492" s="186">
        <v>12731.04</v>
      </c>
      <c r="F1492" s="186">
        <v>8424.89</v>
      </c>
    </row>
    <row r="1493" spans="1:6" ht="12.95" hidden="1" customHeight="1" outlineLevel="1">
      <c r="A1493" s="33" t="s">
        <v>1937</v>
      </c>
      <c r="B1493" s="33">
        <v>885</v>
      </c>
      <c r="C1493" s="40" t="str">
        <f t="shared" si="60"/>
        <v>Rents &amp; Leases (Buildings)885</v>
      </c>
      <c r="D1493" s="104">
        <f t="shared" si="61"/>
        <v>0</v>
      </c>
      <c r="E1493" s="186">
        <v>0</v>
      </c>
      <c r="F1493" s="186">
        <v>0</v>
      </c>
    </row>
    <row r="1494" spans="1:6" ht="12.95" hidden="1" customHeight="1" outlineLevel="1">
      <c r="A1494" s="33" t="s">
        <v>1937</v>
      </c>
      <c r="B1494" s="33">
        <v>886</v>
      </c>
      <c r="C1494" s="40" t="str">
        <f t="shared" si="60"/>
        <v>Rents &amp; Leases (Buildings)886</v>
      </c>
      <c r="D1494" s="104">
        <f t="shared" si="61"/>
        <v>0</v>
      </c>
      <c r="E1494" s="186">
        <v>0</v>
      </c>
      <c r="F1494" s="186">
        <v>0</v>
      </c>
    </row>
    <row r="1495" spans="1:6" ht="12.95" hidden="1" customHeight="1" outlineLevel="1">
      <c r="A1495" s="33" t="s">
        <v>1937</v>
      </c>
      <c r="B1495" s="33">
        <v>887</v>
      </c>
      <c r="C1495" s="40" t="str">
        <f t="shared" si="60"/>
        <v>Rents &amp; Leases (Buildings)887</v>
      </c>
      <c r="D1495" s="104">
        <f t="shared" si="61"/>
        <v>0</v>
      </c>
      <c r="E1495" s="186">
        <v>0</v>
      </c>
      <c r="F1495" s="186">
        <v>0</v>
      </c>
    </row>
    <row r="1496" spans="1:6" ht="12.95" hidden="1" customHeight="1" outlineLevel="1">
      <c r="A1496" s="33" t="s">
        <v>1937</v>
      </c>
      <c r="B1496" s="33">
        <v>889</v>
      </c>
      <c r="C1496" s="40" t="str">
        <f t="shared" si="60"/>
        <v>Rents &amp; Leases (Buildings)889</v>
      </c>
      <c r="D1496" s="104">
        <f t="shared" si="61"/>
        <v>0</v>
      </c>
      <c r="E1496" s="186">
        <v>0</v>
      </c>
      <c r="F1496" s="186">
        <v>0</v>
      </c>
    </row>
    <row r="1497" spans="1:6" ht="12.95" hidden="1" customHeight="1" outlineLevel="1">
      <c r="A1497" s="33" t="s">
        <v>1937</v>
      </c>
      <c r="B1497" s="33">
        <v>890</v>
      </c>
      <c r="C1497" s="40" t="str">
        <f t="shared" si="60"/>
        <v>Rents &amp; Leases (Buildings)890</v>
      </c>
      <c r="D1497" s="104">
        <f t="shared" si="61"/>
        <v>0</v>
      </c>
      <c r="E1497" s="186">
        <v>0</v>
      </c>
      <c r="F1497" s="186">
        <v>0</v>
      </c>
    </row>
    <row r="1498" spans="1:6" ht="12.95" hidden="1" customHeight="1" outlineLevel="1">
      <c r="A1498" s="33" t="s">
        <v>1937</v>
      </c>
      <c r="B1498" s="33">
        <v>892</v>
      </c>
      <c r="C1498" s="40" t="str">
        <f t="shared" si="60"/>
        <v>Rents &amp; Leases (Buildings)892</v>
      </c>
      <c r="D1498" s="104">
        <f t="shared" si="61"/>
        <v>0</v>
      </c>
      <c r="E1498" s="186">
        <v>0</v>
      </c>
      <c r="F1498" s="186">
        <v>0</v>
      </c>
    </row>
    <row r="1499" spans="1:6" ht="12.95" hidden="1" customHeight="1" outlineLevel="1">
      <c r="A1499" s="33" t="s">
        <v>1937</v>
      </c>
      <c r="B1499" s="33">
        <v>893</v>
      </c>
      <c r="C1499" s="40" t="str">
        <f t="shared" si="60"/>
        <v>Rents &amp; Leases (Buildings)893</v>
      </c>
      <c r="D1499" s="104">
        <f t="shared" si="61"/>
        <v>0</v>
      </c>
      <c r="E1499" s="186">
        <v>0</v>
      </c>
      <c r="F1499" s="186">
        <v>0</v>
      </c>
    </row>
    <row r="1500" spans="1:6" ht="12.95" hidden="1" customHeight="1" outlineLevel="1">
      <c r="A1500" s="33" t="s">
        <v>1937</v>
      </c>
      <c r="B1500" s="33">
        <v>894</v>
      </c>
      <c r="C1500" s="40" t="str">
        <f t="shared" si="60"/>
        <v>Rents &amp; Leases (Buildings)894</v>
      </c>
      <c r="D1500" s="104">
        <f t="shared" si="61"/>
        <v>0</v>
      </c>
      <c r="E1500" s="186">
        <v>0</v>
      </c>
      <c r="F1500" s="186">
        <v>0</v>
      </c>
    </row>
    <row r="1501" spans="1:6" ht="12.95" hidden="1" customHeight="1" outlineLevel="1">
      <c r="A1501" s="33" t="s">
        <v>1937</v>
      </c>
      <c r="B1501" s="33">
        <v>902</v>
      </c>
      <c r="C1501" s="40" t="str">
        <f t="shared" si="60"/>
        <v>Rents &amp; Leases (Buildings)902</v>
      </c>
      <c r="D1501" s="104">
        <f t="shared" si="61"/>
        <v>0</v>
      </c>
      <c r="E1501" s="186">
        <v>0</v>
      </c>
      <c r="F1501" s="186">
        <v>0</v>
      </c>
    </row>
    <row r="1502" spans="1:6" ht="12.95" hidden="1" customHeight="1" outlineLevel="1">
      <c r="A1502" s="33" t="s">
        <v>1937</v>
      </c>
      <c r="B1502" s="33">
        <v>903</v>
      </c>
      <c r="C1502" s="40" t="str">
        <f t="shared" si="60"/>
        <v>Rents &amp; Leases (Buildings)903</v>
      </c>
      <c r="D1502" s="104">
        <f t="shared" si="61"/>
        <v>0</v>
      </c>
      <c r="E1502" s="186">
        <v>0</v>
      </c>
      <c r="F1502" s="186">
        <v>0</v>
      </c>
    </row>
    <row r="1503" spans="1:6" ht="12.95" hidden="1" customHeight="1" outlineLevel="1">
      <c r="A1503" s="33" t="s">
        <v>1937</v>
      </c>
      <c r="B1503" s="33">
        <v>904</v>
      </c>
      <c r="C1503" s="40" t="str">
        <f t="shared" si="60"/>
        <v>Rents &amp; Leases (Buildings)904</v>
      </c>
      <c r="D1503" s="104">
        <f t="shared" si="61"/>
        <v>0</v>
      </c>
      <c r="E1503" s="186">
        <v>0</v>
      </c>
      <c r="F1503" s="186">
        <v>0</v>
      </c>
    </row>
    <row r="1504" spans="1:6" ht="12.95" hidden="1" customHeight="1" outlineLevel="1">
      <c r="A1504" s="33" t="s">
        <v>1937</v>
      </c>
      <c r="B1504" s="33">
        <v>905</v>
      </c>
      <c r="C1504" s="40" t="str">
        <f t="shared" si="60"/>
        <v>Rents &amp; Leases (Buildings)905</v>
      </c>
      <c r="D1504" s="104">
        <f t="shared" si="61"/>
        <v>0</v>
      </c>
      <c r="E1504" s="186">
        <v>0</v>
      </c>
      <c r="F1504" s="186">
        <v>0</v>
      </c>
    </row>
    <row r="1505" spans="1:6" ht="12.95" hidden="1" customHeight="1" outlineLevel="1">
      <c r="A1505" s="33" t="s">
        <v>1937</v>
      </c>
      <c r="B1505" s="33">
        <v>907</v>
      </c>
      <c r="C1505" s="40" t="str">
        <f t="shared" si="60"/>
        <v>Rents &amp; Leases (Buildings)907</v>
      </c>
      <c r="D1505" s="104">
        <f t="shared" si="61"/>
        <v>0</v>
      </c>
      <c r="E1505" s="186">
        <v>0</v>
      </c>
      <c r="F1505" s="186">
        <v>0</v>
      </c>
    </row>
    <row r="1506" spans="1:6" ht="12.95" hidden="1" customHeight="1" outlineLevel="1">
      <c r="A1506" s="33" t="s">
        <v>1937</v>
      </c>
      <c r="B1506" s="33">
        <v>908</v>
      </c>
      <c r="C1506" s="40" t="str">
        <f t="shared" si="60"/>
        <v>Rents &amp; Leases (Buildings)908</v>
      </c>
      <c r="D1506" s="104">
        <f t="shared" si="61"/>
        <v>0</v>
      </c>
      <c r="E1506" s="186">
        <v>0</v>
      </c>
      <c r="F1506" s="186">
        <v>0</v>
      </c>
    </row>
    <row r="1507" spans="1:6" ht="12.95" hidden="1" customHeight="1" outlineLevel="1">
      <c r="A1507" s="33" t="s">
        <v>1937</v>
      </c>
      <c r="B1507" s="33">
        <v>909</v>
      </c>
      <c r="C1507" s="40" t="str">
        <f t="shared" si="60"/>
        <v>Rents &amp; Leases (Buildings)909</v>
      </c>
      <c r="D1507" s="104">
        <f t="shared" si="61"/>
        <v>0</v>
      </c>
      <c r="E1507" s="186">
        <v>0</v>
      </c>
      <c r="F1507" s="186">
        <v>0</v>
      </c>
    </row>
    <row r="1508" spans="1:6" ht="12.95" hidden="1" customHeight="1" outlineLevel="1">
      <c r="A1508" s="33" t="s">
        <v>1937</v>
      </c>
      <c r="B1508" s="33">
        <v>910</v>
      </c>
      <c r="C1508" s="40" t="str">
        <f t="shared" si="60"/>
        <v>Rents &amp; Leases (Buildings)910</v>
      </c>
      <c r="D1508" s="104">
        <f t="shared" si="61"/>
        <v>0</v>
      </c>
      <c r="E1508" s="186">
        <v>0</v>
      </c>
      <c r="F1508" s="186">
        <v>0</v>
      </c>
    </row>
    <row r="1509" spans="1:6" ht="12.95" hidden="1" customHeight="1" outlineLevel="1">
      <c r="A1509" s="33" t="s">
        <v>1937</v>
      </c>
      <c r="B1509" s="33">
        <v>911</v>
      </c>
      <c r="C1509" s="40" t="str">
        <f t="shared" si="60"/>
        <v>Rents &amp; Leases (Buildings)911</v>
      </c>
      <c r="D1509" s="104">
        <f t="shared" si="61"/>
        <v>0</v>
      </c>
      <c r="E1509" s="186">
        <v>0</v>
      </c>
      <c r="F1509" s="186">
        <v>0</v>
      </c>
    </row>
    <row r="1510" spans="1:6" ht="12.95" hidden="1" customHeight="1" outlineLevel="1">
      <c r="A1510" s="33" t="s">
        <v>1937</v>
      </c>
      <c r="B1510" s="33">
        <v>912</v>
      </c>
      <c r="C1510" s="40" t="str">
        <f t="shared" si="60"/>
        <v>Rents &amp; Leases (Buildings)912</v>
      </c>
      <c r="D1510" s="104">
        <f t="shared" si="61"/>
        <v>0</v>
      </c>
      <c r="E1510" s="186">
        <v>0</v>
      </c>
      <c r="F1510" s="186">
        <v>0</v>
      </c>
    </row>
    <row r="1511" spans="1:6" ht="12.95" hidden="1" customHeight="1" outlineLevel="1">
      <c r="A1511" s="33" t="s">
        <v>1937</v>
      </c>
      <c r="B1511" s="33">
        <v>913</v>
      </c>
      <c r="C1511" s="40" t="str">
        <f t="shared" si="60"/>
        <v>Rents &amp; Leases (Buildings)913</v>
      </c>
      <c r="D1511" s="104">
        <f t="shared" si="61"/>
        <v>0</v>
      </c>
      <c r="E1511" s="186">
        <v>0</v>
      </c>
      <c r="F1511" s="186">
        <v>0</v>
      </c>
    </row>
    <row r="1512" spans="1:6" ht="12.95" hidden="1" customHeight="1" outlineLevel="1">
      <c r="A1512" s="33" t="s">
        <v>1937</v>
      </c>
      <c r="B1512" s="33">
        <v>920</v>
      </c>
      <c r="C1512" s="40" t="str">
        <f t="shared" si="60"/>
        <v>Rents &amp; Leases (Buildings)920</v>
      </c>
      <c r="D1512" s="104">
        <f t="shared" si="61"/>
        <v>0</v>
      </c>
      <c r="E1512" s="186">
        <v>0</v>
      </c>
      <c r="F1512" s="186">
        <v>0</v>
      </c>
    </row>
    <row r="1513" spans="1:6" ht="12.95" hidden="1" customHeight="1" outlineLevel="1">
      <c r="A1513" s="33" t="s">
        <v>1937</v>
      </c>
      <c r="B1513" s="33">
        <v>921</v>
      </c>
      <c r="C1513" s="40" t="str">
        <f t="shared" si="60"/>
        <v>Rents &amp; Leases (Buildings)921</v>
      </c>
      <c r="D1513" s="104">
        <f t="shared" si="61"/>
        <v>0</v>
      </c>
      <c r="E1513" s="186">
        <v>0</v>
      </c>
      <c r="F1513" s="186">
        <v>0</v>
      </c>
    </row>
    <row r="1514" spans="1:6" ht="12.95" hidden="1" customHeight="1" outlineLevel="1">
      <c r="A1514" s="33" t="s">
        <v>1937</v>
      </c>
      <c r="B1514" s="33">
        <v>923</v>
      </c>
      <c r="C1514" s="40" t="str">
        <f t="shared" si="60"/>
        <v>Rents &amp; Leases (Buildings)923</v>
      </c>
      <c r="D1514" s="104">
        <f t="shared" si="61"/>
        <v>0</v>
      </c>
      <c r="E1514" s="186">
        <v>0</v>
      </c>
      <c r="F1514" s="186">
        <v>0</v>
      </c>
    </row>
    <row r="1515" spans="1:6" ht="12.95" hidden="1" customHeight="1" outlineLevel="1">
      <c r="A1515" s="33" t="s">
        <v>1937</v>
      </c>
      <c r="B1515" s="33">
        <v>924</v>
      </c>
      <c r="C1515" s="40" t="str">
        <f t="shared" si="60"/>
        <v>Rents &amp; Leases (Buildings)924</v>
      </c>
      <c r="D1515" s="104">
        <f t="shared" si="61"/>
        <v>0</v>
      </c>
      <c r="E1515" s="186">
        <v>0</v>
      </c>
      <c r="F1515" s="186">
        <v>0</v>
      </c>
    </row>
    <row r="1516" spans="1:6" ht="12.95" hidden="1" customHeight="1" outlineLevel="1">
      <c r="A1516" s="33" t="s">
        <v>1937</v>
      </c>
      <c r="B1516" s="33">
        <v>925</v>
      </c>
      <c r="C1516" s="40" t="str">
        <f t="shared" si="60"/>
        <v>Rents &amp; Leases (Buildings)925</v>
      </c>
      <c r="D1516" s="104">
        <f t="shared" si="61"/>
        <v>0</v>
      </c>
      <c r="E1516" s="186">
        <v>0</v>
      </c>
      <c r="F1516" s="186">
        <v>0</v>
      </c>
    </row>
    <row r="1517" spans="1:6" ht="12.95" hidden="1" customHeight="1" outlineLevel="1">
      <c r="A1517" s="33" t="s">
        <v>1937</v>
      </c>
      <c r="B1517" s="33">
        <v>926</v>
      </c>
      <c r="C1517" s="40" t="str">
        <f t="shared" si="60"/>
        <v>Rents &amp; Leases (Buildings)926</v>
      </c>
      <c r="D1517" s="104">
        <f t="shared" si="61"/>
        <v>0</v>
      </c>
      <c r="E1517" s="186">
        <v>0</v>
      </c>
      <c r="F1517" s="186">
        <v>0</v>
      </c>
    </row>
    <row r="1518" spans="1:6" ht="12.95" hidden="1" customHeight="1" outlineLevel="1">
      <c r="A1518" s="33" t="s">
        <v>1937</v>
      </c>
      <c r="B1518" s="33">
        <v>928</v>
      </c>
      <c r="C1518" s="40" t="str">
        <f t="shared" si="60"/>
        <v>Rents &amp; Leases (Buildings)928</v>
      </c>
      <c r="D1518" s="104">
        <f t="shared" si="61"/>
        <v>0</v>
      </c>
      <c r="E1518" s="186">
        <v>0</v>
      </c>
      <c r="F1518" s="186">
        <v>0</v>
      </c>
    </row>
    <row r="1519" spans="1:6" ht="12.95" hidden="1" customHeight="1" outlineLevel="1">
      <c r="A1519" s="33" t="s">
        <v>1937</v>
      </c>
      <c r="B1519" s="33">
        <v>9301</v>
      </c>
      <c r="C1519" s="40" t="str">
        <f t="shared" si="60"/>
        <v>Rents &amp; Leases (Buildings)9301</v>
      </c>
      <c r="D1519" s="104">
        <f t="shared" si="61"/>
        <v>0</v>
      </c>
      <c r="E1519" s="186">
        <v>0</v>
      </c>
      <c r="F1519" s="186">
        <v>0</v>
      </c>
    </row>
    <row r="1520" spans="1:6" ht="12.95" hidden="1" customHeight="1" outlineLevel="1">
      <c r="A1520" s="33" t="s">
        <v>1937</v>
      </c>
      <c r="B1520" s="33">
        <v>9302</v>
      </c>
      <c r="C1520" s="40" t="str">
        <f t="shared" si="60"/>
        <v>Rents &amp; Leases (Buildings)9302</v>
      </c>
      <c r="D1520" s="104">
        <f t="shared" si="61"/>
        <v>18744.71</v>
      </c>
      <c r="E1520" s="186">
        <v>-18744.71</v>
      </c>
      <c r="F1520" s="186">
        <v>0</v>
      </c>
    </row>
    <row r="1521" spans="1:6" ht="12.95" hidden="1" customHeight="1" outlineLevel="1">
      <c r="A1521" s="33" t="s">
        <v>1937</v>
      </c>
      <c r="B1521" s="33">
        <v>931</v>
      </c>
      <c r="C1521" s="40" t="str">
        <f t="shared" si="60"/>
        <v>Rents &amp; Leases (Buildings)931</v>
      </c>
      <c r="D1521" s="104">
        <f t="shared" si="61"/>
        <v>19232.280000000002</v>
      </c>
      <c r="E1521" s="186">
        <v>26571.679999999997</v>
      </c>
      <c r="F1521" s="186">
        <v>45803.96</v>
      </c>
    </row>
    <row r="1522" spans="1:6" ht="12.95" hidden="1" customHeight="1" outlineLevel="1">
      <c r="A1522" s="33" t="s">
        <v>1937</v>
      </c>
      <c r="B1522" s="33">
        <v>932</v>
      </c>
      <c r="C1522" s="40" t="str">
        <f t="shared" si="60"/>
        <v>Rents &amp; Leases (Buildings)932</v>
      </c>
      <c r="D1522" s="104">
        <f t="shared" si="61"/>
        <v>0</v>
      </c>
      <c r="E1522" s="186">
        <v>0</v>
      </c>
      <c r="F1522" s="186">
        <v>0</v>
      </c>
    </row>
    <row r="1523" spans="1:6" ht="12.95" hidden="1" customHeight="1" outlineLevel="1">
      <c r="A1523" s="33" t="s">
        <v>1937</v>
      </c>
      <c r="B1523" s="33">
        <v>935</v>
      </c>
      <c r="C1523" s="40" t="str">
        <f t="shared" si="60"/>
        <v>Rents &amp; Leases (Buildings)935</v>
      </c>
      <c r="D1523" s="104">
        <f t="shared" si="61"/>
        <v>0</v>
      </c>
      <c r="E1523" s="186">
        <v>0</v>
      </c>
      <c r="F1523" s="186">
        <v>0</v>
      </c>
    </row>
    <row r="1524" spans="1:6" s="13" customFormat="1" collapsed="1">
      <c r="A1524" s="14" t="s">
        <v>1937</v>
      </c>
      <c r="B1524" s="15"/>
      <c r="C1524" s="13" t="s">
        <v>1275</v>
      </c>
      <c r="D1524" s="196">
        <f>SUM(D1476:D1523)</f>
        <v>33670.839999999997</v>
      </c>
      <c r="E1524" s="196">
        <f>SUM(E1476:E1523)</f>
        <v>20558.009999999998</v>
      </c>
      <c r="F1524" s="196">
        <f>SUM(F1476:F1523)</f>
        <v>54228.85</v>
      </c>
    </row>
    <row r="1525" spans="1:6" ht="12.95" hidden="1" customHeight="1" outlineLevel="1">
      <c r="A1525" s="33" t="s">
        <v>1104</v>
      </c>
      <c r="B1525" s="33">
        <v>801</v>
      </c>
      <c r="C1525" s="40" t="str">
        <f t="shared" ref="C1525:C1571" si="62">A1525&amp;B1525</f>
        <v>Stock Compensation801</v>
      </c>
      <c r="D1525" s="104">
        <f t="shared" ref="D1525:D1571" si="63">+F1525-E1525</f>
        <v>0</v>
      </c>
      <c r="E1525" s="186">
        <v>0</v>
      </c>
      <c r="F1525" s="186">
        <v>0</v>
      </c>
    </row>
    <row r="1526" spans="1:6" ht="12.95" hidden="1" customHeight="1" outlineLevel="1">
      <c r="A1526" s="33" t="s">
        <v>1104</v>
      </c>
      <c r="B1526" s="33">
        <v>803</v>
      </c>
      <c r="C1526" s="40" t="str">
        <f t="shared" si="62"/>
        <v>Stock Compensation803</v>
      </c>
      <c r="D1526" s="104">
        <f t="shared" si="63"/>
        <v>0</v>
      </c>
      <c r="E1526" s="186">
        <v>0</v>
      </c>
      <c r="F1526" s="186">
        <v>0</v>
      </c>
    </row>
    <row r="1527" spans="1:6" ht="12.95" hidden="1" customHeight="1" outlineLevel="1">
      <c r="A1527" s="33" t="s">
        <v>1104</v>
      </c>
      <c r="B1527" s="33">
        <v>804</v>
      </c>
      <c r="C1527" s="40" t="str">
        <f t="shared" si="62"/>
        <v>Stock Compensation804</v>
      </c>
      <c r="D1527" s="104">
        <f t="shared" si="63"/>
        <v>0</v>
      </c>
      <c r="E1527" s="186">
        <v>0</v>
      </c>
      <c r="F1527" s="186">
        <v>0</v>
      </c>
    </row>
    <row r="1528" spans="1:6" ht="12.95" hidden="1" customHeight="1" outlineLevel="1">
      <c r="A1528" s="33" t="s">
        <v>1104</v>
      </c>
      <c r="B1528" s="33">
        <v>805</v>
      </c>
      <c r="C1528" s="40" t="str">
        <f t="shared" si="62"/>
        <v>Stock Compensation805</v>
      </c>
      <c r="D1528" s="104">
        <f t="shared" si="63"/>
        <v>0</v>
      </c>
      <c r="E1528" s="186">
        <v>0</v>
      </c>
      <c r="F1528" s="186">
        <v>0</v>
      </c>
    </row>
    <row r="1529" spans="1:6" ht="12.95" hidden="1" customHeight="1" outlineLevel="1">
      <c r="A1529" s="33" t="s">
        <v>1104</v>
      </c>
      <c r="B1529" s="33">
        <v>806</v>
      </c>
      <c r="C1529" s="40" t="str">
        <f t="shared" si="62"/>
        <v>Stock Compensation806</v>
      </c>
      <c r="D1529" s="104">
        <f t="shared" si="63"/>
        <v>0</v>
      </c>
      <c r="E1529" s="186">
        <v>0</v>
      </c>
      <c r="F1529" s="186">
        <v>0</v>
      </c>
    </row>
    <row r="1530" spans="1:6" ht="12.95" hidden="1" customHeight="1" outlineLevel="1">
      <c r="A1530" s="33" t="s">
        <v>1104</v>
      </c>
      <c r="B1530" s="33">
        <v>807</v>
      </c>
      <c r="C1530" s="40" t="str">
        <f t="shared" si="62"/>
        <v>Stock Compensation807</v>
      </c>
      <c r="D1530" s="104">
        <f t="shared" si="63"/>
        <v>0</v>
      </c>
      <c r="E1530" s="186">
        <v>0</v>
      </c>
      <c r="F1530" s="186">
        <v>0</v>
      </c>
    </row>
    <row r="1531" spans="1:6" ht="12.95" hidden="1" customHeight="1" outlineLevel="1">
      <c r="A1531" s="33" t="s">
        <v>1104</v>
      </c>
      <c r="B1531" s="33">
        <v>808</v>
      </c>
      <c r="C1531" s="40" t="str">
        <f t="shared" si="62"/>
        <v>Stock Compensation808</v>
      </c>
      <c r="D1531" s="104">
        <f t="shared" si="63"/>
        <v>0</v>
      </c>
      <c r="E1531" s="186">
        <v>0</v>
      </c>
      <c r="F1531" s="186">
        <v>0</v>
      </c>
    </row>
    <row r="1532" spans="1:6" ht="12.95" hidden="1" customHeight="1" outlineLevel="1">
      <c r="A1532" s="33" t="s">
        <v>1104</v>
      </c>
      <c r="B1532" s="33">
        <v>812</v>
      </c>
      <c r="C1532" s="40" t="str">
        <f t="shared" si="62"/>
        <v>Stock Compensation812</v>
      </c>
      <c r="D1532" s="104">
        <f t="shared" si="63"/>
        <v>0</v>
      </c>
      <c r="E1532" s="186">
        <v>0</v>
      </c>
      <c r="F1532" s="186">
        <v>0</v>
      </c>
    </row>
    <row r="1533" spans="1:6" ht="12.95" hidden="1" customHeight="1" outlineLevel="1">
      <c r="A1533" s="33" t="s">
        <v>1104</v>
      </c>
      <c r="B1533" s="33">
        <v>870</v>
      </c>
      <c r="C1533" s="40" t="str">
        <f t="shared" si="62"/>
        <v>Stock Compensation870</v>
      </c>
      <c r="D1533" s="104">
        <f t="shared" si="63"/>
        <v>0</v>
      </c>
      <c r="E1533" s="186">
        <v>0</v>
      </c>
      <c r="F1533" s="186">
        <v>0</v>
      </c>
    </row>
    <row r="1534" spans="1:6" ht="12.95" hidden="1" customHeight="1" outlineLevel="1">
      <c r="A1534" s="33" t="s">
        <v>1104</v>
      </c>
      <c r="B1534" s="33">
        <v>871</v>
      </c>
      <c r="C1534" s="40" t="str">
        <f t="shared" si="62"/>
        <v>Stock Compensation871</v>
      </c>
      <c r="D1534" s="104">
        <f t="shared" si="63"/>
        <v>0</v>
      </c>
      <c r="E1534" s="186">
        <v>0</v>
      </c>
      <c r="F1534" s="186">
        <v>0</v>
      </c>
    </row>
    <row r="1535" spans="1:6" ht="12.95" hidden="1" customHeight="1" outlineLevel="1">
      <c r="A1535" s="33" t="s">
        <v>1104</v>
      </c>
      <c r="B1535" s="33">
        <v>874</v>
      </c>
      <c r="C1535" s="40" t="str">
        <f t="shared" si="62"/>
        <v>Stock Compensation874</v>
      </c>
      <c r="D1535" s="104">
        <f t="shared" si="63"/>
        <v>0</v>
      </c>
      <c r="E1535" s="186">
        <v>0</v>
      </c>
      <c r="F1535" s="186">
        <v>0</v>
      </c>
    </row>
    <row r="1536" spans="1:6" ht="12.95" hidden="1" customHeight="1" outlineLevel="1">
      <c r="A1536" s="33" t="s">
        <v>1104</v>
      </c>
      <c r="B1536" s="33">
        <v>875</v>
      </c>
      <c r="C1536" s="40" t="str">
        <f t="shared" si="62"/>
        <v>Stock Compensation875</v>
      </c>
      <c r="D1536" s="104">
        <f t="shared" si="63"/>
        <v>0</v>
      </c>
      <c r="E1536" s="186">
        <v>0</v>
      </c>
      <c r="F1536" s="186">
        <v>0</v>
      </c>
    </row>
    <row r="1537" spans="1:6" ht="12.95" hidden="1" customHeight="1" outlineLevel="1">
      <c r="A1537" s="33" t="s">
        <v>1104</v>
      </c>
      <c r="B1537" s="33">
        <v>876</v>
      </c>
      <c r="C1537" s="40" t="str">
        <f t="shared" si="62"/>
        <v>Stock Compensation876</v>
      </c>
      <c r="D1537" s="104">
        <f t="shared" si="63"/>
        <v>0</v>
      </c>
      <c r="E1537" s="186">
        <v>0</v>
      </c>
      <c r="F1537" s="186">
        <v>0</v>
      </c>
    </row>
    <row r="1538" spans="1:6" ht="12.95" hidden="1" customHeight="1" outlineLevel="1">
      <c r="A1538" s="33" t="s">
        <v>1104</v>
      </c>
      <c r="B1538" s="33">
        <v>878</v>
      </c>
      <c r="C1538" s="40" t="str">
        <f t="shared" si="62"/>
        <v>Stock Compensation878</v>
      </c>
      <c r="D1538" s="104">
        <f t="shared" si="63"/>
        <v>0</v>
      </c>
      <c r="E1538" s="186">
        <v>0</v>
      </c>
      <c r="F1538" s="186">
        <v>0</v>
      </c>
    </row>
    <row r="1539" spans="1:6" ht="12.95" hidden="1" customHeight="1" outlineLevel="1">
      <c r="A1539" s="33" t="s">
        <v>1104</v>
      </c>
      <c r="B1539" s="33">
        <v>879</v>
      </c>
      <c r="C1539" s="40" t="str">
        <f t="shared" si="62"/>
        <v>Stock Compensation879</v>
      </c>
      <c r="D1539" s="104">
        <f t="shared" si="63"/>
        <v>0</v>
      </c>
      <c r="E1539" s="186">
        <v>0</v>
      </c>
      <c r="F1539" s="186">
        <v>0</v>
      </c>
    </row>
    <row r="1540" spans="1:6" ht="12.95" hidden="1" customHeight="1" outlineLevel="1">
      <c r="A1540" s="33" t="s">
        <v>1104</v>
      </c>
      <c r="B1540" s="33">
        <v>880</v>
      </c>
      <c r="C1540" s="40" t="str">
        <f t="shared" si="62"/>
        <v>Stock Compensation880</v>
      </c>
      <c r="D1540" s="104">
        <f t="shared" si="63"/>
        <v>0</v>
      </c>
      <c r="E1540" s="186">
        <v>0</v>
      </c>
      <c r="F1540" s="186">
        <v>0</v>
      </c>
    </row>
    <row r="1541" spans="1:6" ht="12.95" hidden="1" customHeight="1" outlineLevel="1">
      <c r="A1541" s="33" t="s">
        <v>1104</v>
      </c>
      <c r="B1541" s="33">
        <v>881</v>
      </c>
      <c r="C1541" s="40" t="str">
        <f t="shared" si="62"/>
        <v>Stock Compensation881</v>
      </c>
      <c r="D1541" s="104">
        <f t="shared" si="63"/>
        <v>0</v>
      </c>
      <c r="E1541" s="186">
        <v>0</v>
      </c>
      <c r="F1541" s="186">
        <v>0</v>
      </c>
    </row>
    <row r="1542" spans="1:6" ht="12.95" hidden="1" customHeight="1" outlineLevel="1">
      <c r="A1542" s="33" t="s">
        <v>1104</v>
      </c>
      <c r="B1542" s="33">
        <v>885</v>
      </c>
      <c r="C1542" s="40" t="str">
        <f t="shared" si="62"/>
        <v>Stock Compensation885</v>
      </c>
      <c r="D1542" s="104">
        <f t="shared" si="63"/>
        <v>0</v>
      </c>
      <c r="E1542" s="186">
        <v>0</v>
      </c>
      <c r="F1542" s="186">
        <v>0</v>
      </c>
    </row>
    <row r="1543" spans="1:6" ht="12.95" hidden="1" customHeight="1" outlineLevel="1">
      <c r="A1543" s="33" t="s">
        <v>1104</v>
      </c>
      <c r="B1543" s="33">
        <v>886</v>
      </c>
      <c r="C1543" s="40" t="str">
        <f t="shared" si="62"/>
        <v>Stock Compensation886</v>
      </c>
      <c r="D1543" s="104">
        <f t="shared" si="63"/>
        <v>0</v>
      </c>
      <c r="E1543" s="186">
        <v>0</v>
      </c>
      <c r="F1543" s="186">
        <v>0</v>
      </c>
    </row>
    <row r="1544" spans="1:6" ht="12.95" hidden="1" customHeight="1" outlineLevel="1">
      <c r="A1544" s="33" t="s">
        <v>1104</v>
      </c>
      <c r="B1544" s="33">
        <v>887</v>
      </c>
      <c r="C1544" s="40" t="str">
        <f t="shared" si="62"/>
        <v>Stock Compensation887</v>
      </c>
      <c r="D1544" s="104">
        <f t="shared" si="63"/>
        <v>0</v>
      </c>
      <c r="E1544" s="186">
        <v>0</v>
      </c>
      <c r="F1544" s="186">
        <v>0</v>
      </c>
    </row>
    <row r="1545" spans="1:6" ht="12.95" hidden="1" customHeight="1" outlineLevel="1">
      <c r="A1545" s="33" t="s">
        <v>1104</v>
      </c>
      <c r="B1545" s="33">
        <v>889</v>
      </c>
      <c r="C1545" s="40" t="str">
        <f t="shared" si="62"/>
        <v>Stock Compensation889</v>
      </c>
      <c r="D1545" s="104">
        <f t="shared" si="63"/>
        <v>0</v>
      </c>
      <c r="E1545" s="186">
        <v>0</v>
      </c>
      <c r="F1545" s="186">
        <v>0</v>
      </c>
    </row>
    <row r="1546" spans="1:6" ht="12.95" hidden="1" customHeight="1" outlineLevel="1">
      <c r="A1546" s="33" t="s">
        <v>1104</v>
      </c>
      <c r="B1546" s="33">
        <v>890</v>
      </c>
      <c r="C1546" s="40" t="str">
        <f t="shared" si="62"/>
        <v>Stock Compensation890</v>
      </c>
      <c r="D1546" s="104">
        <f t="shared" si="63"/>
        <v>0</v>
      </c>
      <c r="E1546" s="186">
        <v>0</v>
      </c>
      <c r="F1546" s="186">
        <v>0</v>
      </c>
    </row>
    <row r="1547" spans="1:6" ht="12.95" hidden="1" customHeight="1" outlineLevel="1">
      <c r="A1547" s="33" t="s">
        <v>1104</v>
      </c>
      <c r="B1547" s="33">
        <v>892</v>
      </c>
      <c r="C1547" s="40" t="str">
        <f t="shared" si="62"/>
        <v>Stock Compensation892</v>
      </c>
      <c r="D1547" s="104">
        <f t="shared" si="63"/>
        <v>0</v>
      </c>
      <c r="E1547" s="186">
        <v>0</v>
      </c>
      <c r="F1547" s="186">
        <v>0</v>
      </c>
    </row>
    <row r="1548" spans="1:6" ht="12.95" hidden="1" customHeight="1" outlineLevel="1">
      <c r="A1548" s="33" t="s">
        <v>1104</v>
      </c>
      <c r="B1548" s="33">
        <v>893</v>
      </c>
      <c r="C1548" s="40" t="str">
        <f t="shared" si="62"/>
        <v>Stock Compensation893</v>
      </c>
      <c r="D1548" s="104">
        <f t="shared" si="63"/>
        <v>0</v>
      </c>
      <c r="E1548" s="186">
        <v>0</v>
      </c>
      <c r="F1548" s="186">
        <v>0</v>
      </c>
    </row>
    <row r="1549" spans="1:6" ht="12.95" hidden="1" customHeight="1" outlineLevel="1">
      <c r="A1549" s="33" t="s">
        <v>1104</v>
      </c>
      <c r="B1549" s="33">
        <v>894</v>
      </c>
      <c r="C1549" s="40" t="str">
        <f t="shared" si="62"/>
        <v>Stock Compensation894</v>
      </c>
      <c r="D1549" s="104">
        <f t="shared" si="63"/>
        <v>0</v>
      </c>
      <c r="E1549" s="186">
        <v>0</v>
      </c>
      <c r="F1549" s="186">
        <v>0</v>
      </c>
    </row>
    <row r="1550" spans="1:6" ht="12.95" hidden="1" customHeight="1" outlineLevel="1">
      <c r="A1550" s="33" t="s">
        <v>1104</v>
      </c>
      <c r="B1550" s="33">
        <v>902</v>
      </c>
      <c r="C1550" s="40" t="str">
        <f t="shared" si="62"/>
        <v>Stock Compensation902</v>
      </c>
      <c r="D1550" s="104">
        <f t="shared" si="63"/>
        <v>0</v>
      </c>
      <c r="E1550" s="186">
        <v>0</v>
      </c>
      <c r="F1550" s="186">
        <v>0</v>
      </c>
    </row>
    <row r="1551" spans="1:6" ht="12.95" hidden="1" customHeight="1" outlineLevel="1">
      <c r="A1551" s="33" t="s">
        <v>1104</v>
      </c>
      <c r="B1551" s="33">
        <v>903</v>
      </c>
      <c r="C1551" s="40" t="str">
        <f t="shared" si="62"/>
        <v>Stock Compensation903</v>
      </c>
      <c r="D1551" s="104">
        <f t="shared" si="63"/>
        <v>0</v>
      </c>
      <c r="E1551" s="186">
        <v>0</v>
      </c>
      <c r="F1551" s="186">
        <v>0</v>
      </c>
    </row>
    <row r="1552" spans="1:6" ht="12.95" hidden="1" customHeight="1" outlineLevel="1">
      <c r="A1552" s="33" t="s">
        <v>1104</v>
      </c>
      <c r="B1552" s="33">
        <v>904</v>
      </c>
      <c r="C1552" s="40" t="str">
        <f t="shared" si="62"/>
        <v>Stock Compensation904</v>
      </c>
      <c r="D1552" s="104">
        <f t="shared" si="63"/>
        <v>0</v>
      </c>
      <c r="E1552" s="186">
        <v>0</v>
      </c>
      <c r="F1552" s="186">
        <v>0</v>
      </c>
    </row>
    <row r="1553" spans="1:6" ht="12.95" hidden="1" customHeight="1" outlineLevel="1">
      <c r="A1553" s="33" t="s">
        <v>1104</v>
      </c>
      <c r="B1553" s="33">
        <v>905</v>
      </c>
      <c r="C1553" s="40" t="str">
        <f t="shared" si="62"/>
        <v>Stock Compensation905</v>
      </c>
      <c r="D1553" s="104">
        <f t="shared" si="63"/>
        <v>0</v>
      </c>
      <c r="E1553" s="186">
        <v>0</v>
      </c>
      <c r="F1553" s="186">
        <v>0</v>
      </c>
    </row>
    <row r="1554" spans="1:6" ht="12.95" hidden="1" customHeight="1" outlineLevel="1">
      <c r="A1554" s="33" t="s">
        <v>1104</v>
      </c>
      <c r="B1554" s="33">
        <v>907</v>
      </c>
      <c r="C1554" s="40" t="str">
        <f t="shared" si="62"/>
        <v>Stock Compensation907</v>
      </c>
      <c r="D1554" s="104">
        <f t="shared" si="63"/>
        <v>0</v>
      </c>
      <c r="E1554" s="186">
        <v>0</v>
      </c>
      <c r="F1554" s="186">
        <v>0</v>
      </c>
    </row>
    <row r="1555" spans="1:6" ht="12.95" hidden="1" customHeight="1" outlineLevel="1">
      <c r="A1555" s="33" t="s">
        <v>1104</v>
      </c>
      <c r="B1555" s="33">
        <v>908</v>
      </c>
      <c r="C1555" s="40" t="str">
        <f t="shared" si="62"/>
        <v>Stock Compensation908</v>
      </c>
      <c r="D1555" s="104">
        <f t="shared" si="63"/>
        <v>0</v>
      </c>
      <c r="E1555" s="186">
        <v>0</v>
      </c>
      <c r="F1555" s="186">
        <v>0</v>
      </c>
    </row>
    <row r="1556" spans="1:6" ht="12.95" hidden="1" customHeight="1" outlineLevel="1">
      <c r="A1556" s="33" t="s">
        <v>1104</v>
      </c>
      <c r="B1556" s="33">
        <v>909</v>
      </c>
      <c r="C1556" s="40" t="str">
        <f t="shared" si="62"/>
        <v>Stock Compensation909</v>
      </c>
      <c r="D1556" s="104">
        <f t="shared" si="63"/>
        <v>0</v>
      </c>
      <c r="E1556" s="186">
        <v>0</v>
      </c>
      <c r="F1556" s="186">
        <v>0</v>
      </c>
    </row>
    <row r="1557" spans="1:6" ht="12.95" hidden="1" customHeight="1" outlineLevel="1">
      <c r="A1557" s="33" t="s">
        <v>1104</v>
      </c>
      <c r="B1557" s="33">
        <v>910</v>
      </c>
      <c r="C1557" s="40" t="str">
        <f t="shared" si="62"/>
        <v>Stock Compensation910</v>
      </c>
      <c r="D1557" s="104">
        <f t="shared" si="63"/>
        <v>0</v>
      </c>
      <c r="E1557" s="186">
        <v>0</v>
      </c>
      <c r="F1557" s="186">
        <v>0</v>
      </c>
    </row>
    <row r="1558" spans="1:6" ht="12.95" hidden="1" customHeight="1" outlineLevel="1">
      <c r="A1558" s="33" t="s">
        <v>1104</v>
      </c>
      <c r="B1558" s="33">
        <v>911</v>
      </c>
      <c r="C1558" s="40" t="str">
        <f t="shared" si="62"/>
        <v>Stock Compensation911</v>
      </c>
      <c r="D1558" s="104">
        <f t="shared" si="63"/>
        <v>0</v>
      </c>
      <c r="E1558" s="186">
        <v>0</v>
      </c>
      <c r="F1558" s="186">
        <v>0</v>
      </c>
    </row>
    <row r="1559" spans="1:6" ht="12.95" hidden="1" customHeight="1" outlineLevel="1">
      <c r="A1559" s="33" t="s">
        <v>1104</v>
      </c>
      <c r="B1559" s="33">
        <v>912</v>
      </c>
      <c r="C1559" s="40" t="str">
        <f t="shared" si="62"/>
        <v>Stock Compensation912</v>
      </c>
      <c r="D1559" s="104">
        <f t="shared" si="63"/>
        <v>0</v>
      </c>
      <c r="E1559" s="186">
        <v>0</v>
      </c>
      <c r="F1559" s="186">
        <v>0</v>
      </c>
    </row>
    <row r="1560" spans="1:6" ht="12.95" hidden="1" customHeight="1" outlineLevel="1">
      <c r="A1560" s="33" t="s">
        <v>1104</v>
      </c>
      <c r="B1560" s="33">
        <v>913</v>
      </c>
      <c r="C1560" s="40" t="str">
        <f t="shared" si="62"/>
        <v>Stock Compensation913</v>
      </c>
      <c r="D1560" s="104">
        <f t="shared" si="63"/>
        <v>0</v>
      </c>
      <c r="E1560" s="186">
        <v>0</v>
      </c>
      <c r="F1560" s="186">
        <v>0</v>
      </c>
    </row>
    <row r="1561" spans="1:6" ht="12.95" hidden="1" customHeight="1" outlineLevel="1">
      <c r="A1561" s="33" t="s">
        <v>1104</v>
      </c>
      <c r="B1561" s="33">
        <v>920</v>
      </c>
      <c r="C1561" s="40" t="str">
        <f t="shared" si="62"/>
        <v>Stock Compensation920</v>
      </c>
      <c r="D1561" s="104">
        <f t="shared" si="63"/>
        <v>138346.46000000008</v>
      </c>
      <c r="E1561" s="186">
        <v>694417.48</v>
      </c>
      <c r="F1561" s="186">
        <v>832763.94000000006</v>
      </c>
    </row>
    <row r="1562" spans="1:6" ht="12.95" hidden="1" customHeight="1" outlineLevel="1">
      <c r="A1562" s="33" t="s">
        <v>1104</v>
      </c>
      <c r="B1562" s="33">
        <v>921</v>
      </c>
      <c r="C1562" s="40" t="str">
        <f t="shared" si="62"/>
        <v>Stock Compensation921</v>
      </c>
      <c r="D1562" s="104">
        <f t="shared" si="63"/>
        <v>0</v>
      </c>
      <c r="E1562" s="186">
        <v>0</v>
      </c>
      <c r="F1562" s="186">
        <v>0</v>
      </c>
    </row>
    <row r="1563" spans="1:6" ht="12.95" hidden="1" customHeight="1" outlineLevel="1">
      <c r="A1563" s="33" t="s">
        <v>1104</v>
      </c>
      <c r="B1563" s="33">
        <v>923</v>
      </c>
      <c r="C1563" s="40" t="str">
        <f t="shared" si="62"/>
        <v>Stock Compensation923</v>
      </c>
      <c r="D1563" s="104">
        <f t="shared" si="63"/>
        <v>0</v>
      </c>
      <c r="E1563" s="186">
        <v>0</v>
      </c>
      <c r="F1563" s="186">
        <v>0</v>
      </c>
    </row>
    <row r="1564" spans="1:6" ht="12.95" hidden="1" customHeight="1" outlineLevel="1">
      <c r="A1564" s="33" t="s">
        <v>1104</v>
      </c>
      <c r="B1564" s="33">
        <v>924</v>
      </c>
      <c r="C1564" s="40" t="str">
        <f t="shared" si="62"/>
        <v>Stock Compensation924</v>
      </c>
      <c r="D1564" s="104">
        <f t="shared" si="63"/>
        <v>0</v>
      </c>
      <c r="E1564" s="186">
        <v>0</v>
      </c>
      <c r="F1564" s="186">
        <v>0</v>
      </c>
    </row>
    <row r="1565" spans="1:6" ht="12.95" hidden="1" customHeight="1" outlineLevel="1">
      <c r="A1565" s="33" t="s">
        <v>1104</v>
      </c>
      <c r="B1565" s="33">
        <v>925</v>
      </c>
      <c r="C1565" s="40" t="str">
        <f t="shared" si="62"/>
        <v>Stock Compensation925</v>
      </c>
      <c r="D1565" s="104">
        <f t="shared" si="63"/>
        <v>0</v>
      </c>
      <c r="E1565" s="186">
        <v>0</v>
      </c>
      <c r="F1565" s="186">
        <v>0</v>
      </c>
    </row>
    <row r="1566" spans="1:6" ht="12.95" hidden="1" customHeight="1" outlineLevel="1">
      <c r="A1566" s="33" t="s">
        <v>1104</v>
      </c>
      <c r="B1566" s="33">
        <v>926</v>
      </c>
      <c r="C1566" s="40" t="str">
        <f t="shared" si="62"/>
        <v>Stock Compensation926</v>
      </c>
      <c r="D1566" s="104">
        <f t="shared" si="63"/>
        <v>3191.66</v>
      </c>
      <c r="E1566" s="186">
        <v>10255.4</v>
      </c>
      <c r="F1566" s="186">
        <v>13447.06</v>
      </c>
    </row>
    <row r="1567" spans="1:6" ht="12.95" hidden="1" customHeight="1" outlineLevel="1">
      <c r="A1567" s="33" t="s">
        <v>1104</v>
      </c>
      <c r="B1567" s="33">
        <v>928</v>
      </c>
      <c r="C1567" s="40" t="str">
        <f t="shared" si="62"/>
        <v>Stock Compensation928</v>
      </c>
      <c r="D1567" s="104">
        <f t="shared" si="63"/>
        <v>0</v>
      </c>
      <c r="E1567" s="186">
        <v>0</v>
      </c>
      <c r="F1567" s="186">
        <v>0</v>
      </c>
    </row>
    <row r="1568" spans="1:6" ht="12.95" hidden="1" customHeight="1" outlineLevel="1">
      <c r="A1568" s="33" t="s">
        <v>1104</v>
      </c>
      <c r="B1568" s="33">
        <v>930</v>
      </c>
      <c r="C1568" s="40" t="str">
        <f t="shared" si="62"/>
        <v>Stock Compensation930</v>
      </c>
      <c r="D1568" s="104">
        <f t="shared" si="63"/>
        <v>0</v>
      </c>
      <c r="E1568" s="186">
        <v>0</v>
      </c>
      <c r="F1568" s="186">
        <v>0</v>
      </c>
    </row>
    <row r="1569" spans="1:6" ht="12.95" hidden="1" customHeight="1" outlineLevel="1">
      <c r="A1569" s="33" t="s">
        <v>1104</v>
      </c>
      <c r="B1569" s="33">
        <v>931</v>
      </c>
      <c r="C1569" s="40" t="str">
        <f t="shared" si="62"/>
        <v>Stock Compensation931</v>
      </c>
      <c r="D1569" s="104">
        <f t="shared" si="63"/>
        <v>0</v>
      </c>
      <c r="E1569" s="186">
        <v>0</v>
      </c>
      <c r="F1569" s="186">
        <v>0</v>
      </c>
    </row>
    <row r="1570" spans="1:6" ht="12.95" hidden="1" customHeight="1" outlineLevel="1">
      <c r="A1570" s="33" t="s">
        <v>1104</v>
      </c>
      <c r="B1570" s="33">
        <v>932</v>
      </c>
      <c r="C1570" s="40" t="str">
        <f t="shared" si="62"/>
        <v>Stock Compensation932</v>
      </c>
      <c r="D1570" s="104">
        <f t="shared" si="63"/>
        <v>0</v>
      </c>
      <c r="E1570" s="186">
        <v>0</v>
      </c>
      <c r="F1570" s="186">
        <v>0</v>
      </c>
    </row>
    <row r="1571" spans="1:6" ht="12.95" hidden="1" customHeight="1" outlineLevel="1">
      <c r="A1571" s="33" t="s">
        <v>1104</v>
      </c>
      <c r="B1571" s="33">
        <v>935</v>
      </c>
      <c r="C1571" s="40" t="str">
        <f t="shared" si="62"/>
        <v>Stock Compensation935</v>
      </c>
      <c r="D1571" s="104">
        <f t="shared" si="63"/>
        <v>0</v>
      </c>
      <c r="E1571" s="186">
        <v>0</v>
      </c>
      <c r="F1571" s="186">
        <v>0</v>
      </c>
    </row>
    <row r="1572" spans="1:6" s="13" customFormat="1" collapsed="1">
      <c r="A1572" s="14" t="s">
        <v>1104</v>
      </c>
      <c r="B1572" s="15"/>
      <c r="D1572" s="196">
        <f>SUM(D1525:D1571)</f>
        <v>141538.12000000008</v>
      </c>
      <c r="E1572" s="196">
        <f>SUM(E1525:E1571)</f>
        <v>704672.88</v>
      </c>
      <c r="F1572" s="196">
        <f>SUM(F1525:F1571)</f>
        <v>846211.00000000012</v>
      </c>
    </row>
    <row r="1573" spans="1:6" ht="12.95" hidden="1" customHeight="1" outlineLevel="1">
      <c r="A1573" s="33" t="s">
        <v>1904</v>
      </c>
      <c r="B1573" s="33">
        <v>801</v>
      </c>
      <c r="C1573" s="40" t="str">
        <f t="shared" ref="C1573:C1619" si="64">A1573&amp;B1573</f>
        <v>Uncollectible Accounts - Non-Gas Cost801</v>
      </c>
      <c r="D1573" s="104">
        <f t="shared" ref="D1573:D1619" si="65">+F1573-E1573</f>
        <v>0</v>
      </c>
      <c r="E1573" s="186">
        <v>0</v>
      </c>
      <c r="F1573" s="186">
        <v>0</v>
      </c>
    </row>
    <row r="1574" spans="1:6" ht="12.95" hidden="1" customHeight="1" outlineLevel="1">
      <c r="A1574" s="33" t="s">
        <v>1904</v>
      </c>
      <c r="B1574" s="33">
        <v>803</v>
      </c>
      <c r="C1574" s="40" t="str">
        <f t="shared" si="64"/>
        <v>Uncollectible Accounts - Non-Gas Cost803</v>
      </c>
      <c r="D1574" s="104">
        <f t="shared" si="65"/>
        <v>0</v>
      </c>
      <c r="E1574" s="186">
        <v>0</v>
      </c>
      <c r="F1574" s="186">
        <v>0</v>
      </c>
    </row>
    <row r="1575" spans="1:6" ht="12.95" hidden="1" customHeight="1" outlineLevel="1">
      <c r="A1575" s="33" t="s">
        <v>1904</v>
      </c>
      <c r="B1575" s="33">
        <v>804</v>
      </c>
      <c r="C1575" s="40" t="str">
        <f t="shared" si="64"/>
        <v>Uncollectible Accounts - Non-Gas Cost804</v>
      </c>
      <c r="D1575" s="104">
        <f t="shared" si="65"/>
        <v>0</v>
      </c>
      <c r="E1575" s="186">
        <v>0</v>
      </c>
      <c r="F1575" s="186">
        <v>0</v>
      </c>
    </row>
    <row r="1576" spans="1:6" ht="12.95" hidden="1" customHeight="1" outlineLevel="1">
      <c r="A1576" s="33" t="s">
        <v>1904</v>
      </c>
      <c r="B1576" s="33">
        <v>805</v>
      </c>
      <c r="C1576" s="40" t="str">
        <f t="shared" si="64"/>
        <v>Uncollectible Accounts - Non-Gas Cost805</v>
      </c>
      <c r="D1576" s="104">
        <f t="shared" si="65"/>
        <v>0</v>
      </c>
      <c r="E1576" s="186">
        <v>0</v>
      </c>
      <c r="F1576" s="186">
        <v>0</v>
      </c>
    </row>
    <row r="1577" spans="1:6" ht="12.95" hidden="1" customHeight="1" outlineLevel="1">
      <c r="A1577" s="33" t="s">
        <v>1904</v>
      </c>
      <c r="B1577" s="33">
        <v>806</v>
      </c>
      <c r="C1577" s="40" t="str">
        <f t="shared" si="64"/>
        <v>Uncollectible Accounts - Non-Gas Cost806</v>
      </c>
      <c r="D1577" s="104">
        <f t="shared" si="65"/>
        <v>0</v>
      </c>
      <c r="E1577" s="186">
        <v>0</v>
      </c>
      <c r="F1577" s="186">
        <v>0</v>
      </c>
    </row>
    <row r="1578" spans="1:6" ht="12.95" hidden="1" customHeight="1" outlineLevel="1">
      <c r="A1578" s="33" t="s">
        <v>1904</v>
      </c>
      <c r="B1578" s="33">
        <v>807</v>
      </c>
      <c r="C1578" s="40" t="str">
        <f t="shared" si="64"/>
        <v>Uncollectible Accounts - Non-Gas Cost807</v>
      </c>
      <c r="D1578" s="104">
        <f t="shared" si="65"/>
        <v>0</v>
      </c>
      <c r="E1578" s="186">
        <v>0</v>
      </c>
      <c r="F1578" s="186">
        <v>0</v>
      </c>
    </row>
    <row r="1579" spans="1:6" ht="12.95" hidden="1" customHeight="1" outlineLevel="1">
      <c r="A1579" s="33" t="s">
        <v>1904</v>
      </c>
      <c r="B1579" s="33">
        <v>808</v>
      </c>
      <c r="C1579" s="40" t="str">
        <f t="shared" si="64"/>
        <v>Uncollectible Accounts - Non-Gas Cost808</v>
      </c>
      <c r="D1579" s="104">
        <f t="shared" si="65"/>
        <v>0</v>
      </c>
      <c r="E1579" s="186">
        <v>0</v>
      </c>
      <c r="F1579" s="186">
        <v>0</v>
      </c>
    </row>
    <row r="1580" spans="1:6" ht="12.95" hidden="1" customHeight="1" outlineLevel="1">
      <c r="A1580" s="33" t="s">
        <v>1904</v>
      </c>
      <c r="B1580" s="33">
        <v>812</v>
      </c>
      <c r="C1580" s="40" t="str">
        <f t="shared" si="64"/>
        <v>Uncollectible Accounts - Non-Gas Cost812</v>
      </c>
      <c r="D1580" s="104">
        <f t="shared" si="65"/>
        <v>0</v>
      </c>
      <c r="E1580" s="186">
        <v>0</v>
      </c>
      <c r="F1580" s="186">
        <v>0</v>
      </c>
    </row>
    <row r="1581" spans="1:6" ht="12.95" hidden="1" customHeight="1" outlineLevel="1">
      <c r="A1581" s="33" t="s">
        <v>1904</v>
      </c>
      <c r="B1581" s="33">
        <v>870</v>
      </c>
      <c r="C1581" s="40" t="str">
        <f t="shared" si="64"/>
        <v>Uncollectible Accounts - Non-Gas Cost870</v>
      </c>
      <c r="D1581" s="104">
        <f t="shared" si="65"/>
        <v>0</v>
      </c>
      <c r="E1581" s="186">
        <v>0</v>
      </c>
      <c r="F1581" s="186">
        <v>0</v>
      </c>
    </row>
    <row r="1582" spans="1:6" ht="12.95" hidden="1" customHeight="1" outlineLevel="1">
      <c r="A1582" s="33" t="s">
        <v>1904</v>
      </c>
      <c r="B1582" s="33">
        <v>871</v>
      </c>
      <c r="C1582" s="40" t="str">
        <f t="shared" si="64"/>
        <v>Uncollectible Accounts - Non-Gas Cost871</v>
      </c>
      <c r="D1582" s="104">
        <f t="shared" si="65"/>
        <v>0</v>
      </c>
      <c r="E1582" s="186">
        <v>0</v>
      </c>
      <c r="F1582" s="186">
        <v>0</v>
      </c>
    </row>
    <row r="1583" spans="1:6" ht="12.95" hidden="1" customHeight="1" outlineLevel="1">
      <c r="A1583" s="33" t="s">
        <v>1904</v>
      </c>
      <c r="B1583" s="33">
        <v>874</v>
      </c>
      <c r="C1583" s="40" t="str">
        <f t="shared" si="64"/>
        <v>Uncollectible Accounts - Non-Gas Cost874</v>
      </c>
      <c r="D1583" s="104">
        <f t="shared" si="65"/>
        <v>0</v>
      </c>
      <c r="E1583" s="186">
        <v>0</v>
      </c>
      <c r="F1583" s="186">
        <v>0</v>
      </c>
    </row>
    <row r="1584" spans="1:6" ht="12.95" hidden="1" customHeight="1" outlineLevel="1">
      <c r="A1584" s="33" t="s">
        <v>1904</v>
      </c>
      <c r="B1584" s="33">
        <v>875</v>
      </c>
      <c r="C1584" s="40" t="str">
        <f t="shared" si="64"/>
        <v>Uncollectible Accounts - Non-Gas Cost875</v>
      </c>
      <c r="D1584" s="104">
        <f t="shared" si="65"/>
        <v>0</v>
      </c>
      <c r="E1584" s="186">
        <v>0</v>
      </c>
      <c r="F1584" s="186">
        <v>0</v>
      </c>
    </row>
    <row r="1585" spans="1:6" ht="12.95" hidden="1" customHeight="1" outlineLevel="1">
      <c r="A1585" s="33" t="s">
        <v>1904</v>
      </c>
      <c r="B1585" s="33">
        <v>876</v>
      </c>
      <c r="C1585" s="40" t="str">
        <f t="shared" si="64"/>
        <v>Uncollectible Accounts - Non-Gas Cost876</v>
      </c>
      <c r="D1585" s="104">
        <f t="shared" si="65"/>
        <v>0</v>
      </c>
      <c r="E1585" s="186">
        <v>0</v>
      </c>
      <c r="F1585" s="186">
        <v>0</v>
      </c>
    </row>
    <row r="1586" spans="1:6" ht="12.95" hidden="1" customHeight="1" outlineLevel="1">
      <c r="A1586" s="33" t="s">
        <v>1904</v>
      </c>
      <c r="B1586" s="33">
        <v>878</v>
      </c>
      <c r="C1586" s="40" t="str">
        <f t="shared" si="64"/>
        <v>Uncollectible Accounts - Non-Gas Cost878</v>
      </c>
      <c r="D1586" s="104">
        <f t="shared" si="65"/>
        <v>0</v>
      </c>
      <c r="E1586" s="186">
        <v>0</v>
      </c>
      <c r="F1586" s="186">
        <v>0</v>
      </c>
    </row>
    <row r="1587" spans="1:6" ht="12.95" hidden="1" customHeight="1" outlineLevel="1">
      <c r="A1587" s="33" t="s">
        <v>1904</v>
      </c>
      <c r="B1587" s="33">
        <v>879</v>
      </c>
      <c r="C1587" s="40" t="str">
        <f t="shared" si="64"/>
        <v>Uncollectible Accounts - Non-Gas Cost879</v>
      </c>
      <c r="D1587" s="104">
        <f t="shared" si="65"/>
        <v>0</v>
      </c>
      <c r="E1587" s="186">
        <v>0</v>
      </c>
      <c r="F1587" s="186">
        <v>0</v>
      </c>
    </row>
    <row r="1588" spans="1:6" ht="12.95" hidden="1" customHeight="1" outlineLevel="1">
      <c r="A1588" s="33" t="s">
        <v>1904</v>
      </c>
      <c r="B1588" s="33">
        <v>880</v>
      </c>
      <c r="C1588" s="40" t="str">
        <f t="shared" si="64"/>
        <v>Uncollectible Accounts - Non-Gas Cost880</v>
      </c>
      <c r="D1588" s="104">
        <f t="shared" si="65"/>
        <v>0</v>
      </c>
      <c r="E1588" s="186">
        <v>0</v>
      </c>
      <c r="F1588" s="186">
        <v>0</v>
      </c>
    </row>
    <row r="1589" spans="1:6" ht="12.95" hidden="1" customHeight="1" outlineLevel="1">
      <c r="A1589" s="33" t="s">
        <v>1904</v>
      </c>
      <c r="B1589" s="33">
        <v>881</v>
      </c>
      <c r="C1589" s="40" t="str">
        <f t="shared" si="64"/>
        <v>Uncollectible Accounts - Non-Gas Cost881</v>
      </c>
      <c r="D1589" s="104">
        <f t="shared" si="65"/>
        <v>0</v>
      </c>
      <c r="E1589" s="186">
        <v>0</v>
      </c>
      <c r="F1589" s="186">
        <v>0</v>
      </c>
    </row>
    <row r="1590" spans="1:6" ht="12.95" hidden="1" customHeight="1" outlineLevel="1">
      <c r="A1590" s="33" t="s">
        <v>1904</v>
      </c>
      <c r="B1590" s="33">
        <v>885</v>
      </c>
      <c r="C1590" s="40" t="str">
        <f t="shared" si="64"/>
        <v>Uncollectible Accounts - Non-Gas Cost885</v>
      </c>
      <c r="D1590" s="104">
        <f t="shared" si="65"/>
        <v>0</v>
      </c>
      <c r="E1590" s="186">
        <v>0</v>
      </c>
      <c r="F1590" s="186">
        <v>0</v>
      </c>
    </row>
    <row r="1591" spans="1:6" ht="12.95" hidden="1" customHeight="1" outlineLevel="1">
      <c r="A1591" s="33" t="s">
        <v>1904</v>
      </c>
      <c r="B1591" s="33">
        <v>886</v>
      </c>
      <c r="C1591" s="40" t="str">
        <f t="shared" si="64"/>
        <v>Uncollectible Accounts - Non-Gas Cost886</v>
      </c>
      <c r="D1591" s="104">
        <f t="shared" si="65"/>
        <v>0</v>
      </c>
      <c r="E1591" s="186">
        <v>0</v>
      </c>
      <c r="F1591" s="186">
        <v>0</v>
      </c>
    </row>
    <row r="1592" spans="1:6" ht="12.95" hidden="1" customHeight="1" outlineLevel="1">
      <c r="A1592" s="33" t="s">
        <v>1904</v>
      </c>
      <c r="B1592" s="33">
        <v>887</v>
      </c>
      <c r="C1592" s="40" t="str">
        <f t="shared" si="64"/>
        <v>Uncollectible Accounts - Non-Gas Cost887</v>
      </c>
      <c r="D1592" s="104">
        <f t="shared" si="65"/>
        <v>0</v>
      </c>
      <c r="E1592" s="186">
        <v>0</v>
      </c>
      <c r="F1592" s="186">
        <v>0</v>
      </c>
    </row>
    <row r="1593" spans="1:6" ht="12.95" hidden="1" customHeight="1" outlineLevel="1">
      <c r="A1593" s="33" t="s">
        <v>1904</v>
      </c>
      <c r="B1593" s="33">
        <v>889</v>
      </c>
      <c r="C1593" s="40" t="str">
        <f t="shared" si="64"/>
        <v>Uncollectible Accounts - Non-Gas Cost889</v>
      </c>
      <c r="D1593" s="104">
        <f t="shared" si="65"/>
        <v>0</v>
      </c>
      <c r="E1593" s="186">
        <v>0</v>
      </c>
      <c r="F1593" s="186">
        <v>0</v>
      </c>
    </row>
    <row r="1594" spans="1:6" ht="12.95" hidden="1" customHeight="1" outlineLevel="1">
      <c r="A1594" s="33" t="s">
        <v>1904</v>
      </c>
      <c r="B1594" s="33">
        <v>890</v>
      </c>
      <c r="C1594" s="40" t="str">
        <f t="shared" si="64"/>
        <v>Uncollectible Accounts - Non-Gas Cost890</v>
      </c>
      <c r="D1594" s="104">
        <f t="shared" si="65"/>
        <v>0</v>
      </c>
      <c r="E1594" s="186">
        <v>0</v>
      </c>
      <c r="F1594" s="186">
        <v>0</v>
      </c>
    </row>
    <row r="1595" spans="1:6" ht="12.95" hidden="1" customHeight="1" outlineLevel="1">
      <c r="A1595" s="33" t="s">
        <v>1904</v>
      </c>
      <c r="B1595" s="33">
        <v>892</v>
      </c>
      <c r="C1595" s="40" t="str">
        <f t="shared" si="64"/>
        <v>Uncollectible Accounts - Non-Gas Cost892</v>
      </c>
      <c r="D1595" s="104">
        <f t="shared" si="65"/>
        <v>0</v>
      </c>
      <c r="E1595" s="186">
        <v>0</v>
      </c>
      <c r="F1595" s="186">
        <v>0</v>
      </c>
    </row>
    <row r="1596" spans="1:6" ht="12.95" hidden="1" customHeight="1" outlineLevel="1">
      <c r="A1596" s="33" t="s">
        <v>1904</v>
      </c>
      <c r="B1596" s="33">
        <v>893</v>
      </c>
      <c r="C1596" s="40" t="str">
        <f t="shared" si="64"/>
        <v>Uncollectible Accounts - Non-Gas Cost893</v>
      </c>
      <c r="D1596" s="104">
        <f t="shared" si="65"/>
        <v>0</v>
      </c>
      <c r="E1596" s="186">
        <v>0</v>
      </c>
      <c r="F1596" s="186">
        <v>0</v>
      </c>
    </row>
    <row r="1597" spans="1:6" ht="12.95" hidden="1" customHeight="1" outlineLevel="1">
      <c r="A1597" s="33" t="s">
        <v>1904</v>
      </c>
      <c r="B1597" s="33">
        <v>894</v>
      </c>
      <c r="C1597" s="40" t="str">
        <f t="shared" si="64"/>
        <v>Uncollectible Accounts - Non-Gas Cost894</v>
      </c>
      <c r="D1597" s="104">
        <f t="shared" si="65"/>
        <v>0</v>
      </c>
      <c r="E1597" s="186">
        <v>0</v>
      </c>
      <c r="F1597" s="186">
        <v>0</v>
      </c>
    </row>
    <row r="1598" spans="1:6" ht="12.95" hidden="1" customHeight="1" outlineLevel="1">
      <c r="A1598" s="33" t="s">
        <v>1904</v>
      </c>
      <c r="B1598" s="33">
        <v>902</v>
      </c>
      <c r="C1598" s="40" t="str">
        <f t="shared" si="64"/>
        <v>Uncollectible Accounts - Non-Gas Cost902</v>
      </c>
      <c r="D1598" s="104">
        <f t="shared" si="65"/>
        <v>0</v>
      </c>
      <c r="E1598" s="186">
        <v>0</v>
      </c>
      <c r="F1598" s="186">
        <v>0</v>
      </c>
    </row>
    <row r="1599" spans="1:6" ht="12.95" hidden="1" customHeight="1" outlineLevel="1">
      <c r="A1599" s="33" t="s">
        <v>1904</v>
      </c>
      <c r="B1599" s="33">
        <v>903</v>
      </c>
      <c r="C1599" s="40" t="str">
        <f t="shared" si="64"/>
        <v>Uncollectible Accounts - Non-Gas Cost903</v>
      </c>
      <c r="D1599" s="104">
        <f t="shared" si="65"/>
        <v>0</v>
      </c>
      <c r="E1599" s="186">
        <v>0</v>
      </c>
      <c r="F1599" s="186">
        <v>0</v>
      </c>
    </row>
    <row r="1600" spans="1:6" ht="12.95" hidden="1" customHeight="1" outlineLevel="1">
      <c r="A1600" s="33" t="s">
        <v>1904</v>
      </c>
      <c r="B1600" s="33">
        <v>904</v>
      </c>
      <c r="C1600" s="40" t="str">
        <f t="shared" si="64"/>
        <v>Uncollectible Accounts - Non-Gas Cost904</v>
      </c>
      <c r="D1600" s="104">
        <f t="shared" si="65"/>
        <v>-44320.840000000084</v>
      </c>
      <c r="E1600" s="186">
        <v>751726.28</v>
      </c>
      <c r="F1600" s="186">
        <v>707405.44</v>
      </c>
    </row>
    <row r="1601" spans="1:6" ht="12.95" hidden="1" customHeight="1" outlineLevel="1">
      <c r="A1601" s="33" t="s">
        <v>1904</v>
      </c>
      <c r="B1601" s="33">
        <v>905</v>
      </c>
      <c r="C1601" s="40" t="str">
        <f t="shared" si="64"/>
        <v>Uncollectible Accounts - Non-Gas Cost905</v>
      </c>
      <c r="D1601" s="104">
        <f t="shared" si="65"/>
        <v>0</v>
      </c>
      <c r="E1601" s="186">
        <v>0</v>
      </c>
      <c r="F1601" s="186">
        <v>0</v>
      </c>
    </row>
    <row r="1602" spans="1:6" ht="12.95" hidden="1" customHeight="1" outlineLevel="1">
      <c r="A1602" s="33" t="s">
        <v>1904</v>
      </c>
      <c r="B1602" s="33">
        <v>907</v>
      </c>
      <c r="C1602" s="40" t="str">
        <f t="shared" si="64"/>
        <v>Uncollectible Accounts - Non-Gas Cost907</v>
      </c>
      <c r="D1602" s="104">
        <f t="shared" si="65"/>
        <v>0</v>
      </c>
      <c r="E1602" s="186">
        <v>0</v>
      </c>
      <c r="F1602" s="186">
        <v>0</v>
      </c>
    </row>
    <row r="1603" spans="1:6" ht="12.95" hidden="1" customHeight="1" outlineLevel="1">
      <c r="A1603" s="33" t="s">
        <v>1904</v>
      </c>
      <c r="B1603" s="33">
        <v>908</v>
      </c>
      <c r="C1603" s="40" t="str">
        <f t="shared" si="64"/>
        <v>Uncollectible Accounts - Non-Gas Cost908</v>
      </c>
      <c r="D1603" s="104">
        <f t="shared" si="65"/>
        <v>0</v>
      </c>
      <c r="E1603" s="186">
        <v>0</v>
      </c>
      <c r="F1603" s="186">
        <v>0</v>
      </c>
    </row>
    <row r="1604" spans="1:6" ht="12.95" hidden="1" customHeight="1" outlineLevel="1">
      <c r="A1604" s="33" t="s">
        <v>1904</v>
      </c>
      <c r="B1604" s="33">
        <v>909</v>
      </c>
      <c r="C1604" s="40" t="str">
        <f t="shared" si="64"/>
        <v>Uncollectible Accounts - Non-Gas Cost909</v>
      </c>
      <c r="D1604" s="104">
        <f t="shared" si="65"/>
        <v>0</v>
      </c>
      <c r="E1604" s="186">
        <v>0</v>
      </c>
      <c r="F1604" s="186">
        <v>0</v>
      </c>
    </row>
    <row r="1605" spans="1:6" ht="12.95" hidden="1" customHeight="1" outlineLevel="1">
      <c r="A1605" s="33" t="s">
        <v>1904</v>
      </c>
      <c r="B1605" s="33">
        <v>910</v>
      </c>
      <c r="C1605" s="40" t="str">
        <f t="shared" si="64"/>
        <v>Uncollectible Accounts - Non-Gas Cost910</v>
      </c>
      <c r="D1605" s="104">
        <f t="shared" si="65"/>
        <v>0</v>
      </c>
      <c r="E1605" s="186">
        <v>0</v>
      </c>
      <c r="F1605" s="186">
        <v>0</v>
      </c>
    </row>
    <row r="1606" spans="1:6" ht="12.95" hidden="1" customHeight="1" outlineLevel="1">
      <c r="A1606" s="33" t="s">
        <v>1904</v>
      </c>
      <c r="B1606" s="33">
        <v>911</v>
      </c>
      <c r="C1606" s="40" t="str">
        <f t="shared" si="64"/>
        <v>Uncollectible Accounts - Non-Gas Cost911</v>
      </c>
      <c r="D1606" s="104">
        <f t="shared" si="65"/>
        <v>0</v>
      </c>
      <c r="E1606" s="186">
        <v>0</v>
      </c>
      <c r="F1606" s="186">
        <v>0</v>
      </c>
    </row>
    <row r="1607" spans="1:6" ht="12.95" hidden="1" customHeight="1" outlineLevel="1">
      <c r="A1607" s="33" t="s">
        <v>1904</v>
      </c>
      <c r="B1607" s="33">
        <v>912</v>
      </c>
      <c r="C1607" s="40" t="str">
        <f t="shared" si="64"/>
        <v>Uncollectible Accounts - Non-Gas Cost912</v>
      </c>
      <c r="D1607" s="104">
        <f t="shared" si="65"/>
        <v>0</v>
      </c>
      <c r="E1607" s="186">
        <v>0</v>
      </c>
      <c r="F1607" s="186">
        <v>0</v>
      </c>
    </row>
    <row r="1608" spans="1:6" ht="12.95" hidden="1" customHeight="1" outlineLevel="1">
      <c r="A1608" s="33" t="s">
        <v>1904</v>
      </c>
      <c r="B1608" s="33">
        <v>913</v>
      </c>
      <c r="C1608" s="40" t="str">
        <f t="shared" si="64"/>
        <v>Uncollectible Accounts - Non-Gas Cost913</v>
      </c>
      <c r="D1608" s="104">
        <f t="shared" si="65"/>
        <v>0</v>
      </c>
      <c r="E1608" s="186">
        <v>0</v>
      </c>
      <c r="F1608" s="186">
        <v>0</v>
      </c>
    </row>
    <row r="1609" spans="1:6" ht="12.95" hidden="1" customHeight="1" outlineLevel="1">
      <c r="A1609" s="33" t="s">
        <v>1904</v>
      </c>
      <c r="B1609" s="33">
        <v>920</v>
      </c>
      <c r="C1609" s="40" t="str">
        <f t="shared" si="64"/>
        <v>Uncollectible Accounts - Non-Gas Cost920</v>
      </c>
      <c r="D1609" s="104">
        <f t="shared" si="65"/>
        <v>0</v>
      </c>
      <c r="E1609" s="186">
        <v>0</v>
      </c>
      <c r="F1609" s="186">
        <v>0</v>
      </c>
    </row>
    <row r="1610" spans="1:6" ht="12.95" hidden="1" customHeight="1" outlineLevel="1">
      <c r="A1610" s="33" t="s">
        <v>1904</v>
      </c>
      <c r="B1610" s="33">
        <v>921</v>
      </c>
      <c r="C1610" s="40" t="str">
        <f t="shared" si="64"/>
        <v>Uncollectible Accounts - Non-Gas Cost921</v>
      </c>
      <c r="D1610" s="104">
        <f t="shared" si="65"/>
        <v>0</v>
      </c>
      <c r="E1610" s="186">
        <v>0</v>
      </c>
      <c r="F1610" s="186">
        <v>0</v>
      </c>
    </row>
    <row r="1611" spans="1:6" ht="12.95" hidden="1" customHeight="1" outlineLevel="1">
      <c r="A1611" s="33" t="s">
        <v>1904</v>
      </c>
      <c r="B1611" s="33">
        <v>923</v>
      </c>
      <c r="C1611" s="40" t="str">
        <f t="shared" si="64"/>
        <v>Uncollectible Accounts - Non-Gas Cost923</v>
      </c>
      <c r="D1611" s="104">
        <f t="shared" si="65"/>
        <v>0</v>
      </c>
      <c r="E1611" s="186">
        <v>0</v>
      </c>
      <c r="F1611" s="186">
        <v>0</v>
      </c>
    </row>
    <row r="1612" spans="1:6" ht="12.95" hidden="1" customHeight="1" outlineLevel="1">
      <c r="A1612" s="33" t="s">
        <v>1904</v>
      </c>
      <c r="B1612" s="33">
        <v>924</v>
      </c>
      <c r="C1612" s="40" t="str">
        <f t="shared" si="64"/>
        <v>Uncollectible Accounts - Non-Gas Cost924</v>
      </c>
      <c r="D1612" s="104">
        <f t="shared" si="65"/>
        <v>0</v>
      </c>
      <c r="E1612" s="186">
        <v>0</v>
      </c>
      <c r="F1612" s="186">
        <v>0</v>
      </c>
    </row>
    <row r="1613" spans="1:6" ht="12.95" hidden="1" customHeight="1" outlineLevel="1">
      <c r="A1613" s="33" t="s">
        <v>1904</v>
      </c>
      <c r="B1613" s="33">
        <v>925</v>
      </c>
      <c r="C1613" s="40" t="str">
        <f t="shared" si="64"/>
        <v>Uncollectible Accounts - Non-Gas Cost925</v>
      </c>
      <c r="D1613" s="104">
        <f t="shared" si="65"/>
        <v>0</v>
      </c>
      <c r="E1613" s="186">
        <v>0</v>
      </c>
      <c r="F1613" s="186">
        <v>0</v>
      </c>
    </row>
    <row r="1614" spans="1:6" ht="12.95" hidden="1" customHeight="1" outlineLevel="1">
      <c r="A1614" s="33" t="s">
        <v>1904</v>
      </c>
      <c r="B1614" s="33">
        <v>926</v>
      </c>
      <c r="C1614" s="40" t="str">
        <f t="shared" si="64"/>
        <v>Uncollectible Accounts - Non-Gas Cost926</v>
      </c>
      <c r="D1614" s="104">
        <f t="shared" si="65"/>
        <v>0</v>
      </c>
      <c r="E1614" s="186">
        <v>0</v>
      </c>
      <c r="F1614" s="186">
        <v>0</v>
      </c>
    </row>
    <row r="1615" spans="1:6" ht="12.95" hidden="1" customHeight="1" outlineLevel="1">
      <c r="A1615" s="33" t="s">
        <v>1904</v>
      </c>
      <c r="B1615" s="33">
        <v>928</v>
      </c>
      <c r="C1615" s="40" t="str">
        <f t="shared" si="64"/>
        <v>Uncollectible Accounts - Non-Gas Cost928</v>
      </c>
      <c r="D1615" s="104">
        <f t="shared" si="65"/>
        <v>0</v>
      </c>
      <c r="E1615" s="186">
        <v>0</v>
      </c>
      <c r="F1615" s="186">
        <v>0</v>
      </c>
    </row>
    <row r="1616" spans="1:6" ht="12.95" hidden="1" customHeight="1" outlineLevel="1">
      <c r="A1616" s="33" t="s">
        <v>1904</v>
      </c>
      <c r="B1616" s="33">
        <v>930</v>
      </c>
      <c r="C1616" s="40" t="str">
        <f t="shared" si="64"/>
        <v>Uncollectible Accounts - Non-Gas Cost930</v>
      </c>
      <c r="D1616" s="104">
        <f t="shared" si="65"/>
        <v>0</v>
      </c>
      <c r="E1616" s="186">
        <v>0</v>
      </c>
      <c r="F1616" s="186">
        <v>0</v>
      </c>
    </row>
    <row r="1617" spans="1:6" ht="12.95" hidden="1" customHeight="1" outlineLevel="1">
      <c r="A1617" s="33" t="s">
        <v>1904</v>
      </c>
      <c r="B1617" s="33">
        <v>931</v>
      </c>
      <c r="C1617" s="40" t="str">
        <f t="shared" si="64"/>
        <v>Uncollectible Accounts - Non-Gas Cost931</v>
      </c>
      <c r="D1617" s="104">
        <f t="shared" si="65"/>
        <v>0</v>
      </c>
      <c r="E1617" s="186">
        <v>0</v>
      </c>
      <c r="F1617" s="186">
        <v>0</v>
      </c>
    </row>
    <row r="1618" spans="1:6" ht="12.95" hidden="1" customHeight="1" outlineLevel="1">
      <c r="A1618" s="33" t="s">
        <v>1904</v>
      </c>
      <c r="B1618" s="33">
        <v>932</v>
      </c>
      <c r="C1618" s="40" t="str">
        <f t="shared" si="64"/>
        <v>Uncollectible Accounts - Non-Gas Cost932</v>
      </c>
      <c r="D1618" s="104">
        <f t="shared" si="65"/>
        <v>0</v>
      </c>
      <c r="E1618" s="186">
        <v>0</v>
      </c>
      <c r="F1618" s="186">
        <v>0</v>
      </c>
    </row>
    <row r="1619" spans="1:6" ht="12.95" hidden="1" customHeight="1" outlineLevel="1">
      <c r="A1619" s="33" t="s">
        <v>1904</v>
      </c>
      <c r="B1619" s="33">
        <v>935</v>
      </c>
      <c r="C1619" s="40" t="str">
        <f t="shared" si="64"/>
        <v>Uncollectible Accounts - Non-Gas Cost935</v>
      </c>
      <c r="D1619" s="104">
        <f t="shared" si="65"/>
        <v>0</v>
      </c>
      <c r="E1619" s="186">
        <v>0</v>
      </c>
      <c r="F1619" s="186">
        <v>0</v>
      </c>
    </row>
    <row r="1620" spans="1:6" s="13" customFormat="1" collapsed="1">
      <c r="A1620" s="14" t="s">
        <v>1904</v>
      </c>
      <c r="B1620" s="15"/>
      <c r="D1620" s="196">
        <f>SUM(D1573:D1619)</f>
        <v>-44320.840000000084</v>
      </c>
      <c r="E1620" s="196">
        <f>SUM(E1573:E1619)</f>
        <v>751726.28</v>
      </c>
      <c r="F1620" s="196">
        <f>SUM(F1573:F1619)</f>
        <v>707405.44</v>
      </c>
    </row>
    <row r="1621" spans="1:6" ht="12.95" hidden="1" customHeight="1" outlineLevel="1">
      <c r="A1621" s="33" t="s">
        <v>1905</v>
      </c>
      <c r="B1621" s="33">
        <v>801</v>
      </c>
      <c r="C1621" s="40" t="str">
        <f t="shared" ref="C1621:C1667" si="66">A1621&amp;B1621</f>
        <v>Uncollectible Accounts - Gas Cost801</v>
      </c>
      <c r="D1621" s="104">
        <f t="shared" ref="D1621:D1667" si="67">+F1621-E1621</f>
        <v>0</v>
      </c>
      <c r="E1621" s="186">
        <v>0</v>
      </c>
      <c r="F1621" s="186">
        <v>0</v>
      </c>
    </row>
    <row r="1622" spans="1:6" ht="12.95" hidden="1" customHeight="1" outlineLevel="1">
      <c r="A1622" s="33" t="s">
        <v>1905</v>
      </c>
      <c r="B1622" s="33">
        <v>803</v>
      </c>
      <c r="C1622" s="40" t="str">
        <f t="shared" si="66"/>
        <v>Uncollectible Accounts - Gas Cost803</v>
      </c>
      <c r="D1622" s="104">
        <f t="shared" si="67"/>
        <v>0</v>
      </c>
      <c r="E1622" s="186">
        <v>0</v>
      </c>
      <c r="F1622" s="186">
        <v>0</v>
      </c>
    </row>
    <row r="1623" spans="1:6" ht="12.95" hidden="1" customHeight="1" outlineLevel="1">
      <c r="A1623" s="33" t="s">
        <v>1905</v>
      </c>
      <c r="B1623" s="33">
        <v>804</v>
      </c>
      <c r="C1623" s="40" t="str">
        <f t="shared" si="66"/>
        <v>Uncollectible Accounts - Gas Cost804</v>
      </c>
      <c r="D1623" s="104">
        <f t="shared" si="67"/>
        <v>0</v>
      </c>
      <c r="E1623" s="186">
        <v>0</v>
      </c>
      <c r="F1623" s="186">
        <v>0</v>
      </c>
    </row>
    <row r="1624" spans="1:6" ht="12.95" hidden="1" customHeight="1" outlineLevel="1">
      <c r="A1624" s="33" t="s">
        <v>1905</v>
      </c>
      <c r="B1624" s="33">
        <v>805</v>
      </c>
      <c r="C1624" s="40" t="str">
        <f t="shared" si="66"/>
        <v>Uncollectible Accounts - Gas Cost805</v>
      </c>
      <c r="D1624" s="104">
        <f t="shared" si="67"/>
        <v>0</v>
      </c>
      <c r="E1624" s="186">
        <v>0</v>
      </c>
      <c r="F1624" s="186">
        <v>0</v>
      </c>
    </row>
    <row r="1625" spans="1:6" ht="12.95" hidden="1" customHeight="1" outlineLevel="1">
      <c r="A1625" s="33" t="s">
        <v>1905</v>
      </c>
      <c r="B1625" s="33">
        <v>806</v>
      </c>
      <c r="C1625" s="40" t="str">
        <f t="shared" si="66"/>
        <v>Uncollectible Accounts - Gas Cost806</v>
      </c>
      <c r="D1625" s="104">
        <f t="shared" si="67"/>
        <v>0</v>
      </c>
      <c r="E1625" s="186">
        <v>0</v>
      </c>
      <c r="F1625" s="186">
        <v>0</v>
      </c>
    </row>
    <row r="1626" spans="1:6" ht="12.95" hidden="1" customHeight="1" outlineLevel="1">
      <c r="A1626" s="33" t="s">
        <v>1905</v>
      </c>
      <c r="B1626" s="33">
        <v>807</v>
      </c>
      <c r="C1626" s="40" t="str">
        <f t="shared" si="66"/>
        <v>Uncollectible Accounts - Gas Cost807</v>
      </c>
      <c r="D1626" s="104">
        <f t="shared" si="67"/>
        <v>0</v>
      </c>
      <c r="E1626" s="186">
        <v>0</v>
      </c>
      <c r="F1626" s="186">
        <v>0</v>
      </c>
    </row>
    <row r="1627" spans="1:6" ht="12.95" hidden="1" customHeight="1" outlineLevel="1">
      <c r="A1627" s="33" t="s">
        <v>1905</v>
      </c>
      <c r="B1627" s="33">
        <v>808</v>
      </c>
      <c r="C1627" s="40" t="str">
        <f t="shared" si="66"/>
        <v>Uncollectible Accounts - Gas Cost808</v>
      </c>
      <c r="D1627" s="104">
        <f t="shared" si="67"/>
        <v>0</v>
      </c>
      <c r="E1627" s="186">
        <v>0</v>
      </c>
      <c r="F1627" s="186">
        <v>0</v>
      </c>
    </row>
    <row r="1628" spans="1:6" ht="12.95" hidden="1" customHeight="1" outlineLevel="1">
      <c r="A1628" s="33" t="s">
        <v>1905</v>
      </c>
      <c r="B1628" s="33">
        <v>812</v>
      </c>
      <c r="C1628" s="40" t="str">
        <f t="shared" si="66"/>
        <v>Uncollectible Accounts - Gas Cost812</v>
      </c>
      <c r="D1628" s="104">
        <f t="shared" si="67"/>
        <v>0</v>
      </c>
      <c r="E1628" s="186">
        <v>0</v>
      </c>
      <c r="F1628" s="186">
        <v>0</v>
      </c>
    </row>
    <row r="1629" spans="1:6" ht="12.95" hidden="1" customHeight="1" outlineLevel="1">
      <c r="A1629" s="33" t="s">
        <v>1905</v>
      </c>
      <c r="B1629" s="33">
        <v>870</v>
      </c>
      <c r="C1629" s="40" t="str">
        <f t="shared" si="66"/>
        <v>Uncollectible Accounts - Gas Cost870</v>
      </c>
      <c r="D1629" s="104">
        <f t="shared" si="67"/>
        <v>0</v>
      </c>
      <c r="E1629" s="186">
        <v>0</v>
      </c>
      <c r="F1629" s="186">
        <v>0</v>
      </c>
    </row>
    <row r="1630" spans="1:6" ht="12.95" hidden="1" customHeight="1" outlineLevel="1">
      <c r="A1630" s="33" t="s">
        <v>1905</v>
      </c>
      <c r="B1630" s="33">
        <v>871</v>
      </c>
      <c r="C1630" s="40" t="str">
        <f t="shared" si="66"/>
        <v>Uncollectible Accounts - Gas Cost871</v>
      </c>
      <c r="D1630" s="104">
        <f t="shared" si="67"/>
        <v>0</v>
      </c>
      <c r="E1630" s="186">
        <v>0</v>
      </c>
      <c r="F1630" s="186">
        <v>0</v>
      </c>
    </row>
    <row r="1631" spans="1:6" ht="12.95" hidden="1" customHeight="1" outlineLevel="1">
      <c r="A1631" s="33" t="s">
        <v>1905</v>
      </c>
      <c r="B1631" s="33">
        <v>874</v>
      </c>
      <c r="C1631" s="40" t="str">
        <f t="shared" si="66"/>
        <v>Uncollectible Accounts - Gas Cost874</v>
      </c>
      <c r="D1631" s="104">
        <f t="shared" si="67"/>
        <v>0</v>
      </c>
      <c r="E1631" s="186">
        <v>0</v>
      </c>
      <c r="F1631" s="186">
        <v>0</v>
      </c>
    </row>
    <row r="1632" spans="1:6" ht="12.95" hidden="1" customHeight="1" outlineLevel="1">
      <c r="A1632" s="33" t="s">
        <v>1905</v>
      </c>
      <c r="B1632" s="33">
        <v>875</v>
      </c>
      <c r="C1632" s="40" t="str">
        <f t="shared" si="66"/>
        <v>Uncollectible Accounts - Gas Cost875</v>
      </c>
      <c r="D1632" s="104">
        <f t="shared" si="67"/>
        <v>0</v>
      </c>
      <c r="E1632" s="186">
        <v>0</v>
      </c>
      <c r="F1632" s="186">
        <v>0</v>
      </c>
    </row>
    <row r="1633" spans="1:6" ht="12.95" hidden="1" customHeight="1" outlineLevel="1">
      <c r="A1633" s="33" t="s">
        <v>1905</v>
      </c>
      <c r="B1633" s="33">
        <v>876</v>
      </c>
      <c r="C1633" s="40" t="str">
        <f t="shared" si="66"/>
        <v>Uncollectible Accounts - Gas Cost876</v>
      </c>
      <c r="D1633" s="104">
        <f t="shared" si="67"/>
        <v>0</v>
      </c>
      <c r="E1633" s="186">
        <v>0</v>
      </c>
      <c r="F1633" s="186">
        <v>0</v>
      </c>
    </row>
    <row r="1634" spans="1:6" ht="12.95" hidden="1" customHeight="1" outlineLevel="1">
      <c r="A1634" s="33" t="s">
        <v>1905</v>
      </c>
      <c r="B1634" s="33">
        <v>878</v>
      </c>
      <c r="C1634" s="40" t="str">
        <f t="shared" si="66"/>
        <v>Uncollectible Accounts - Gas Cost878</v>
      </c>
      <c r="D1634" s="104">
        <f t="shared" si="67"/>
        <v>0</v>
      </c>
      <c r="E1634" s="186">
        <v>0</v>
      </c>
      <c r="F1634" s="186">
        <v>0</v>
      </c>
    </row>
    <row r="1635" spans="1:6" ht="12.95" hidden="1" customHeight="1" outlineLevel="1">
      <c r="A1635" s="33" t="s">
        <v>1905</v>
      </c>
      <c r="B1635" s="33">
        <v>879</v>
      </c>
      <c r="C1635" s="40" t="str">
        <f t="shared" si="66"/>
        <v>Uncollectible Accounts - Gas Cost879</v>
      </c>
      <c r="D1635" s="104">
        <f t="shared" si="67"/>
        <v>0</v>
      </c>
      <c r="E1635" s="186">
        <v>0</v>
      </c>
      <c r="F1635" s="186">
        <v>0</v>
      </c>
    </row>
    <row r="1636" spans="1:6" ht="12.95" hidden="1" customHeight="1" outlineLevel="1">
      <c r="A1636" s="33" t="s">
        <v>1905</v>
      </c>
      <c r="B1636" s="33">
        <v>880</v>
      </c>
      <c r="C1636" s="40" t="str">
        <f t="shared" si="66"/>
        <v>Uncollectible Accounts - Gas Cost880</v>
      </c>
      <c r="D1636" s="104">
        <f t="shared" si="67"/>
        <v>0</v>
      </c>
      <c r="E1636" s="186">
        <v>0</v>
      </c>
      <c r="F1636" s="186">
        <v>0</v>
      </c>
    </row>
    <row r="1637" spans="1:6" ht="12.95" hidden="1" customHeight="1" outlineLevel="1">
      <c r="A1637" s="33" t="s">
        <v>1905</v>
      </c>
      <c r="B1637" s="33">
        <v>881</v>
      </c>
      <c r="C1637" s="40" t="str">
        <f t="shared" si="66"/>
        <v>Uncollectible Accounts - Gas Cost881</v>
      </c>
      <c r="D1637" s="104">
        <f t="shared" si="67"/>
        <v>0</v>
      </c>
      <c r="E1637" s="186">
        <v>0</v>
      </c>
      <c r="F1637" s="186">
        <v>0</v>
      </c>
    </row>
    <row r="1638" spans="1:6" ht="12.95" hidden="1" customHeight="1" outlineLevel="1">
      <c r="A1638" s="33" t="s">
        <v>1905</v>
      </c>
      <c r="B1638" s="33">
        <v>885</v>
      </c>
      <c r="C1638" s="40" t="str">
        <f t="shared" si="66"/>
        <v>Uncollectible Accounts - Gas Cost885</v>
      </c>
      <c r="D1638" s="104">
        <f t="shared" si="67"/>
        <v>0</v>
      </c>
      <c r="E1638" s="186">
        <v>0</v>
      </c>
      <c r="F1638" s="186">
        <v>0</v>
      </c>
    </row>
    <row r="1639" spans="1:6" ht="12.95" hidden="1" customHeight="1" outlineLevel="1">
      <c r="A1639" s="33" t="s">
        <v>1905</v>
      </c>
      <c r="B1639" s="33">
        <v>886</v>
      </c>
      <c r="C1639" s="40" t="str">
        <f t="shared" si="66"/>
        <v>Uncollectible Accounts - Gas Cost886</v>
      </c>
      <c r="D1639" s="104">
        <f t="shared" si="67"/>
        <v>0</v>
      </c>
      <c r="E1639" s="186">
        <v>0</v>
      </c>
      <c r="F1639" s="186">
        <v>0</v>
      </c>
    </row>
    <row r="1640" spans="1:6" ht="12.95" hidden="1" customHeight="1" outlineLevel="1">
      <c r="A1640" s="33" t="s">
        <v>1905</v>
      </c>
      <c r="B1640" s="33">
        <v>887</v>
      </c>
      <c r="C1640" s="40" t="str">
        <f t="shared" si="66"/>
        <v>Uncollectible Accounts - Gas Cost887</v>
      </c>
      <c r="D1640" s="104">
        <f t="shared" si="67"/>
        <v>0</v>
      </c>
      <c r="E1640" s="186">
        <v>0</v>
      </c>
      <c r="F1640" s="186">
        <v>0</v>
      </c>
    </row>
    <row r="1641" spans="1:6" ht="12.95" hidden="1" customHeight="1" outlineLevel="1">
      <c r="A1641" s="33" t="s">
        <v>1905</v>
      </c>
      <c r="B1641" s="33">
        <v>889</v>
      </c>
      <c r="C1641" s="40" t="str">
        <f t="shared" si="66"/>
        <v>Uncollectible Accounts - Gas Cost889</v>
      </c>
      <c r="D1641" s="104">
        <f t="shared" si="67"/>
        <v>0</v>
      </c>
      <c r="E1641" s="186">
        <v>0</v>
      </c>
      <c r="F1641" s="186">
        <v>0</v>
      </c>
    </row>
    <row r="1642" spans="1:6" ht="12.95" hidden="1" customHeight="1" outlineLevel="1">
      <c r="A1642" s="33" t="s">
        <v>1905</v>
      </c>
      <c r="B1642" s="33">
        <v>890</v>
      </c>
      <c r="C1642" s="40" t="str">
        <f t="shared" si="66"/>
        <v>Uncollectible Accounts - Gas Cost890</v>
      </c>
      <c r="D1642" s="104">
        <f t="shared" si="67"/>
        <v>0</v>
      </c>
      <c r="E1642" s="186">
        <v>0</v>
      </c>
      <c r="F1642" s="186">
        <v>0</v>
      </c>
    </row>
    <row r="1643" spans="1:6" ht="12.95" hidden="1" customHeight="1" outlineLevel="1">
      <c r="A1643" s="33" t="s">
        <v>1905</v>
      </c>
      <c r="B1643" s="33">
        <v>892</v>
      </c>
      <c r="C1643" s="40" t="str">
        <f t="shared" si="66"/>
        <v>Uncollectible Accounts - Gas Cost892</v>
      </c>
      <c r="D1643" s="104">
        <f t="shared" si="67"/>
        <v>0</v>
      </c>
      <c r="E1643" s="186">
        <v>0</v>
      </c>
      <c r="F1643" s="186">
        <v>0</v>
      </c>
    </row>
    <row r="1644" spans="1:6" ht="12.95" hidden="1" customHeight="1" outlineLevel="1">
      <c r="A1644" s="33" t="s">
        <v>1905</v>
      </c>
      <c r="B1644" s="33">
        <v>893</v>
      </c>
      <c r="C1644" s="40" t="str">
        <f t="shared" si="66"/>
        <v>Uncollectible Accounts - Gas Cost893</v>
      </c>
      <c r="D1644" s="104">
        <f t="shared" si="67"/>
        <v>0</v>
      </c>
      <c r="E1644" s="186">
        <v>0</v>
      </c>
      <c r="F1644" s="186">
        <v>0</v>
      </c>
    </row>
    <row r="1645" spans="1:6" ht="12.95" hidden="1" customHeight="1" outlineLevel="1">
      <c r="A1645" s="33" t="s">
        <v>1905</v>
      </c>
      <c r="B1645" s="33">
        <v>894</v>
      </c>
      <c r="C1645" s="40" t="str">
        <f t="shared" si="66"/>
        <v>Uncollectible Accounts - Gas Cost894</v>
      </c>
      <c r="D1645" s="104">
        <f t="shared" si="67"/>
        <v>0</v>
      </c>
      <c r="E1645" s="186">
        <v>0</v>
      </c>
      <c r="F1645" s="186">
        <v>0</v>
      </c>
    </row>
    <row r="1646" spans="1:6" ht="12.95" hidden="1" customHeight="1" outlineLevel="1">
      <c r="A1646" s="33" t="s">
        <v>1905</v>
      </c>
      <c r="B1646" s="33">
        <v>902</v>
      </c>
      <c r="C1646" s="40" t="str">
        <f t="shared" si="66"/>
        <v>Uncollectible Accounts - Gas Cost902</v>
      </c>
      <c r="D1646" s="104">
        <f t="shared" si="67"/>
        <v>0</v>
      </c>
      <c r="E1646" s="186">
        <v>0</v>
      </c>
      <c r="F1646" s="186">
        <v>0</v>
      </c>
    </row>
    <row r="1647" spans="1:6" ht="12.95" hidden="1" customHeight="1" outlineLevel="1">
      <c r="A1647" s="33" t="s">
        <v>1905</v>
      </c>
      <c r="B1647" s="33">
        <v>903</v>
      </c>
      <c r="C1647" s="40" t="str">
        <f t="shared" si="66"/>
        <v>Uncollectible Accounts - Gas Cost903</v>
      </c>
      <c r="D1647" s="104">
        <f t="shared" si="67"/>
        <v>0</v>
      </c>
      <c r="E1647" s="186">
        <v>0</v>
      </c>
      <c r="F1647" s="186">
        <v>0</v>
      </c>
    </row>
    <row r="1648" spans="1:6" ht="12.95" hidden="1" customHeight="1" outlineLevel="1">
      <c r="A1648" s="33" t="s">
        <v>1905</v>
      </c>
      <c r="B1648" s="33">
        <v>904</v>
      </c>
      <c r="C1648" s="40" t="str">
        <f t="shared" si="66"/>
        <v>Uncollectible Accounts - Gas Cost904</v>
      </c>
      <c r="D1648" s="104">
        <f t="shared" si="67"/>
        <v>182915.50000000009</v>
      </c>
      <c r="E1648" s="186">
        <v>147528.00999999998</v>
      </c>
      <c r="F1648" s="186">
        <v>330443.51000000007</v>
      </c>
    </row>
    <row r="1649" spans="1:6" ht="12.95" hidden="1" customHeight="1" outlineLevel="1">
      <c r="A1649" s="33" t="s">
        <v>1905</v>
      </c>
      <c r="B1649" s="33">
        <v>905</v>
      </c>
      <c r="C1649" s="40" t="str">
        <f t="shared" si="66"/>
        <v>Uncollectible Accounts - Gas Cost905</v>
      </c>
      <c r="D1649" s="104">
        <f t="shared" si="67"/>
        <v>0</v>
      </c>
      <c r="E1649" s="186">
        <v>0</v>
      </c>
      <c r="F1649" s="186">
        <v>0</v>
      </c>
    </row>
    <row r="1650" spans="1:6" ht="12.95" hidden="1" customHeight="1" outlineLevel="1">
      <c r="A1650" s="33" t="s">
        <v>1905</v>
      </c>
      <c r="B1650" s="33">
        <v>907</v>
      </c>
      <c r="C1650" s="40" t="str">
        <f t="shared" si="66"/>
        <v>Uncollectible Accounts - Gas Cost907</v>
      </c>
      <c r="D1650" s="104">
        <f t="shared" si="67"/>
        <v>0</v>
      </c>
      <c r="E1650" s="186">
        <v>0</v>
      </c>
      <c r="F1650" s="186">
        <v>0</v>
      </c>
    </row>
    <row r="1651" spans="1:6" ht="12.95" hidden="1" customHeight="1" outlineLevel="1">
      <c r="A1651" s="33" t="s">
        <v>1905</v>
      </c>
      <c r="B1651" s="33">
        <v>908</v>
      </c>
      <c r="C1651" s="40" t="str">
        <f t="shared" si="66"/>
        <v>Uncollectible Accounts - Gas Cost908</v>
      </c>
      <c r="D1651" s="104">
        <f t="shared" si="67"/>
        <v>0</v>
      </c>
      <c r="E1651" s="186">
        <v>0</v>
      </c>
      <c r="F1651" s="186">
        <v>0</v>
      </c>
    </row>
    <row r="1652" spans="1:6" ht="12.95" hidden="1" customHeight="1" outlineLevel="1">
      <c r="A1652" s="33" t="s">
        <v>1905</v>
      </c>
      <c r="B1652" s="33">
        <v>909</v>
      </c>
      <c r="C1652" s="40" t="str">
        <f t="shared" si="66"/>
        <v>Uncollectible Accounts - Gas Cost909</v>
      </c>
      <c r="D1652" s="104">
        <f t="shared" si="67"/>
        <v>0</v>
      </c>
      <c r="E1652" s="186">
        <v>0</v>
      </c>
      <c r="F1652" s="186">
        <v>0</v>
      </c>
    </row>
    <row r="1653" spans="1:6" ht="12.95" hidden="1" customHeight="1" outlineLevel="1">
      <c r="A1653" s="33" t="s">
        <v>1905</v>
      </c>
      <c r="B1653" s="33">
        <v>910</v>
      </c>
      <c r="C1653" s="40" t="str">
        <f t="shared" si="66"/>
        <v>Uncollectible Accounts - Gas Cost910</v>
      </c>
      <c r="D1653" s="104">
        <f t="shared" si="67"/>
        <v>0</v>
      </c>
      <c r="E1653" s="186">
        <v>0</v>
      </c>
      <c r="F1653" s="186">
        <v>0</v>
      </c>
    </row>
    <row r="1654" spans="1:6" ht="12.95" hidden="1" customHeight="1" outlineLevel="1">
      <c r="A1654" s="33" t="s">
        <v>1905</v>
      </c>
      <c r="B1654" s="33">
        <v>911</v>
      </c>
      <c r="C1654" s="40" t="str">
        <f t="shared" si="66"/>
        <v>Uncollectible Accounts - Gas Cost911</v>
      </c>
      <c r="D1654" s="104">
        <f t="shared" si="67"/>
        <v>0</v>
      </c>
      <c r="E1654" s="186">
        <v>0</v>
      </c>
      <c r="F1654" s="186">
        <v>0</v>
      </c>
    </row>
    <row r="1655" spans="1:6" ht="12.95" hidden="1" customHeight="1" outlineLevel="1">
      <c r="A1655" s="33" t="s">
        <v>1905</v>
      </c>
      <c r="B1655" s="33">
        <v>912</v>
      </c>
      <c r="C1655" s="40" t="str">
        <f t="shared" si="66"/>
        <v>Uncollectible Accounts - Gas Cost912</v>
      </c>
      <c r="D1655" s="104">
        <f t="shared" si="67"/>
        <v>0</v>
      </c>
      <c r="E1655" s="186">
        <v>0</v>
      </c>
      <c r="F1655" s="186">
        <v>0</v>
      </c>
    </row>
    <row r="1656" spans="1:6" ht="12.95" hidden="1" customHeight="1" outlineLevel="1">
      <c r="A1656" s="33" t="s">
        <v>1905</v>
      </c>
      <c r="B1656" s="33">
        <v>913</v>
      </c>
      <c r="C1656" s="40" t="str">
        <f t="shared" si="66"/>
        <v>Uncollectible Accounts - Gas Cost913</v>
      </c>
      <c r="D1656" s="104">
        <f t="shared" si="67"/>
        <v>0</v>
      </c>
      <c r="E1656" s="186">
        <v>0</v>
      </c>
      <c r="F1656" s="186">
        <v>0</v>
      </c>
    </row>
    <row r="1657" spans="1:6" ht="12.95" hidden="1" customHeight="1" outlineLevel="1">
      <c r="A1657" s="33" t="s">
        <v>1905</v>
      </c>
      <c r="B1657" s="33">
        <v>920</v>
      </c>
      <c r="C1657" s="40" t="str">
        <f t="shared" si="66"/>
        <v>Uncollectible Accounts - Gas Cost920</v>
      </c>
      <c r="D1657" s="104">
        <f t="shared" si="67"/>
        <v>0</v>
      </c>
      <c r="E1657" s="186">
        <v>0</v>
      </c>
      <c r="F1657" s="186">
        <v>0</v>
      </c>
    </row>
    <row r="1658" spans="1:6" ht="12.95" hidden="1" customHeight="1" outlineLevel="1">
      <c r="A1658" s="33" t="s">
        <v>1905</v>
      </c>
      <c r="B1658" s="33">
        <v>921</v>
      </c>
      <c r="C1658" s="40" t="str">
        <f t="shared" si="66"/>
        <v>Uncollectible Accounts - Gas Cost921</v>
      </c>
      <c r="D1658" s="104">
        <f t="shared" si="67"/>
        <v>0</v>
      </c>
      <c r="E1658" s="186">
        <v>0</v>
      </c>
      <c r="F1658" s="186">
        <v>0</v>
      </c>
    </row>
    <row r="1659" spans="1:6" ht="12.95" hidden="1" customHeight="1" outlineLevel="1">
      <c r="A1659" s="33" t="s">
        <v>1905</v>
      </c>
      <c r="B1659" s="33">
        <v>923</v>
      </c>
      <c r="C1659" s="40" t="str">
        <f t="shared" si="66"/>
        <v>Uncollectible Accounts - Gas Cost923</v>
      </c>
      <c r="D1659" s="104">
        <f t="shared" si="67"/>
        <v>0</v>
      </c>
      <c r="E1659" s="186">
        <v>0</v>
      </c>
      <c r="F1659" s="186">
        <v>0</v>
      </c>
    </row>
    <row r="1660" spans="1:6" ht="12.95" hidden="1" customHeight="1" outlineLevel="1">
      <c r="A1660" s="33" t="s">
        <v>1905</v>
      </c>
      <c r="B1660" s="33">
        <v>924</v>
      </c>
      <c r="C1660" s="40" t="str">
        <f t="shared" si="66"/>
        <v>Uncollectible Accounts - Gas Cost924</v>
      </c>
      <c r="D1660" s="104">
        <f t="shared" si="67"/>
        <v>0</v>
      </c>
      <c r="E1660" s="186">
        <v>0</v>
      </c>
      <c r="F1660" s="186">
        <v>0</v>
      </c>
    </row>
    <row r="1661" spans="1:6" ht="12.95" hidden="1" customHeight="1" outlineLevel="1">
      <c r="A1661" s="33" t="s">
        <v>1905</v>
      </c>
      <c r="B1661" s="33">
        <v>925</v>
      </c>
      <c r="C1661" s="40" t="str">
        <f t="shared" si="66"/>
        <v>Uncollectible Accounts - Gas Cost925</v>
      </c>
      <c r="D1661" s="104">
        <f t="shared" si="67"/>
        <v>0</v>
      </c>
      <c r="E1661" s="186">
        <v>0</v>
      </c>
      <c r="F1661" s="186">
        <v>0</v>
      </c>
    </row>
    <row r="1662" spans="1:6" ht="12.95" hidden="1" customHeight="1" outlineLevel="1">
      <c r="A1662" s="33" t="s">
        <v>1905</v>
      </c>
      <c r="B1662" s="33">
        <v>926</v>
      </c>
      <c r="C1662" s="40" t="str">
        <f t="shared" si="66"/>
        <v>Uncollectible Accounts - Gas Cost926</v>
      </c>
      <c r="D1662" s="104">
        <f t="shared" si="67"/>
        <v>0</v>
      </c>
      <c r="E1662" s="186">
        <v>0</v>
      </c>
      <c r="F1662" s="186">
        <v>0</v>
      </c>
    </row>
    <row r="1663" spans="1:6" ht="12.95" hidden="1" customHeight="1" outlineLevel="1">
      <c r="A1663" s="33" t="s">
        <v>1905</v>
      </c>
      <c r="B1663" s="33">
        <v>928</v>
      </c>
      <c r="C1663" s="40" t="str">
        <f t="shared" si="66"/>
        <v>Uncollectible Accounts - Gas Cost928</v>
      </c>
      <c r="D1663" s="104">
        <f t="shared" si="67"/>
        <v>0</v>
      </c>
      <c r="E1663" s="186">
        <v>0</v>
      </c>
      <c r="F1663" s="186">
        <v>0</v>
      </c>
    </row>
    <row r="1664" spans="1:6" ht="12.95" hidden="1" customHeight="1" outlineLevel="1">
      <c r="A1664" s="33" t="s">
        <v>1905</v>
      </c>
      <c r="B1664" s="33">
        <v>930</v>
      </c>
      <c r="C1664" s="40" t="str">
        <f t="shared" si="66"/>
        <v>Uncollectible Accounts - Gas Cost930</v>
      </c>
      <c r="D1664" s="104">
        <f t="shared" si="67"/>
        <v>0</v>
      </c>
      <c r="E1664" s="186">
        <v>0</v>
      </c>
      <c r="F1664" s="186">
        <v>0</v>
      </c>
    </row>
    <row r="1665" spans="1:6" ht="12.95" hidden="1" customHeight="1" outlineLevel="1">
      <c r="A1665" s="33" t="s">
        <v>1905</v>
      </c>
      <c r="B1665" s="33">
        <v>931</v>
      </c>
      <c r="C1665" s="40" t="str">
        <f t="shared" si="66"/>
        <v>Uncollectible Accounts - Gas Cost931</v>
      </c>
      <c r="D1665" s="104">
        <f t="shared" si="67"/>
        <v>0</v>
      </c>
      <c r="E1665" s="186">
        <v>0</v>
      </c>
      <c r="F1665" s="186">
        <v>0</v>
      </c>
    </row>
    <row r="1666" spans="1:6" ht="12.95" hidden="1" customHeight="1" outlineLevel="1">
      <c r="A1666" s="33" t="s">
        <v>1905</v>
      </c>
      <c r="B1666" s="33">
        <v>932</v>
      </c>
      <c r="C1666" s="40" t="str">
        <f t="shared" si="66"/>
        <v>Uncollectible Accounts - Gas Cost932</v>
      </c>
      <c r="D1666" s="104">
        <f t="shared" si="67"/>
        <v>0</v>
      </c>
      <c r="E1666" s="186">
        <v>0</v>
      </c>
      <c r="F1666" s="186">
        <v>0</v>
      </c>
    </row>
    <row r="1667" spans="1:6" ht="12.95" hidden="1" customHeight="1" outlineLevel="1">
      <c r="A1667" s="33" t="s">
        <v>1905</v>
      </c>
      <c r="B1667" s="33">
        <v>935</v>
      </c>
      <c r="C1667" s="40" t="str">
        <f t="shared" si="66"/>
        <v>Uncollectible Accounts - Gas Cost935</v>
      </c>
      <c r="D1667" s="104">
        <f t="shared" si="67"/>
        <v>0</v>
      </c>
      <c r="E1667" s="186">
        <v>0</v>
      </c>
      <c r="F1667" s="186">
        <v>0</v>
      </c>
    </row>
    <row r="1668" spans="1:6" s="13" customFormat="1" collapsed="1">
      <c r="A1668" s="14" t="s">
        <v>1905</v>
      </c>
      <c r="B1668" s="15"/>
      <c r="D1668" s="196">
        <f>SUM(D1621:D1667)</f>
        <v>182915.50000000009</v>
      </c>
      <c r="E1668" s="196">
        <f>SUM(E1621:E1667)</f>
        <v>147528.00999999998</v>
      </c>
      <c r="F1668" s="196">
        <f>SUM(F1621:F1667)</f>
        <v>330443.51000000007</v>
      </c>
    </row>
    <row r="1669" spans="1:6" ht="12.95" hidden="1" customHeight="1" outlineLevel="1">
      <c r="A1669" s="33" t="s">
        <v>1031</v>
      </c>
      <c r="B1669" s="33">
        <v>801</v>
      </c>
      <c r="C1669" s="40" t="str">
        <f t="shared" ref="C1669:C1717" si="68">A1669&amp;B1669</f>
        <v>Utilities801</v>
      </c>
      <c r="D1669" s="104">
        <f t="shared" ref="D1669:D1717" si="69">+F1669-E1669</f>
        <v>0</v>
      </c>
      <c r="E1669" s="186">
        <v>0</v>
      </c>
      <c r="F1669" s="186">
        <v>0</v>
      </c>
    </row>
    <row r="1670" spans="1:6" ht="12.95" hidden="1" customHeight="1" outlineLevel="1">
      <c r="A1670" s="33" t="s">
        <v>1031</v>
      </c>
      <c r="B1670" s="33">
        <v>803</v>
      </c>
      <c r="C1670" s="40" t="str">
        <f t="shared" si="68"/>
        <v>Utilities803</v>
      </c>
      <c r="D1670" s="104">
        <f t="shared" si="69"/>
        <v>0</v>
      </c>
      <c r="E1670" s="186">
        <v>0</v>
      </c>
      <c r="F1670" s="186">
        <v>0</v>
      </c>
    </row>
    <row r="1671" spans="1:6" ht="12.95" hidden="1" customHeight="1" outlineLevel="1">
      <c r="A1671" s="33" t="s">
        <v>1031</v>
      </c>
      <c r="B1671" s="33">
        <v>804</v>
      </c>
      <c r="C1671" s="40" t="str">
        <f t="shared" si="68"/>
        <v>Utilities804</v>
      </c>
      <c r="D1671" s="104">
        <f t="shared" si="69"/>
        <v>0</v>
      </c>
      <c r="E1671" s="186">
        <v>0</v>
      </c>
      <c r="F1671" s="186">
        <v>0</v>
      </c>
    </row>
    <row r="1672" spans="1:6" ht="12.95" hidden="1" customHeight="1" outlineLevel="1">
      <c r="A1672" s="33" t="s">
        <v>1031</v>
      </c>
      <c r="B1672" s="33">
        <v>805</v>
      </c>
      <c r="C1672" s="40" t="str">
        <f t="shared" si="68"/>
        <v>Utilities805</v>
      </c>
      <c r="D1672" s="104">
        <f t="shared" si="69"/>
        <v>0</v>
      </c>
      <c r="E1672" s="186">
        <v>0</v>
      </c>
      <c r="F1672" s="186">
        <v>0</v>
      </c>
    </row>
    <row r="1673" spans="1:6" ht="12.95" hidden="1" customHeight="1" outlineLevel="1">
      <c r="A1673" s="33" t="s">
        <v>1031</v>
      </c>
      <c r="B1673" s="33">
        <v>806</v>
      </c>
      <c r="C1673" s="40" t="str">
        <f t="shared" si="68"/>
        <v>Utilities806</v>
      </c>
      <c r="D1673" s="104">
        <f t="shared" si="69"/>
        <v>0</v>
      </c>
      <c r="E1673" s="186">
        <v>0</v>
      </c>
      <c r="F1673" s="186">
        <v>0</v>
      </c>
    </row>
    <row r="1674" spans="1:6" ht="12.95" hidden="1" customHeight="1" outlineLevel="1">
      <c r="A1674" s="33" t="s">
        <v>1031</v>
      </c>
      <c r="B1674" s="33">
        <v>807</v>
      </c>
      <c r="C1674" s="40" t="str">
        <f t="shared" si="68"/>
        <v>Utilities807</v>
      </c>
      <c r="D1674" s="104">
        <f t="shared" si="69"/>
        <v>0</v>
      </c>
      <c r="E1674" s="186">
        <v>0</v>
      </c>
      <c r="F1674" s="186">
        <v>0</v>
      </c>
    </row>
    <row r="1675" spans="1:6" ht="12.95" hidden="1" customHeight="1" outlineLevel="1">
      <c r="A1675" s="33" t="s">
        <v>1031</v>
      </c>
      <c r="B1675" s="33">
        <v>808</v>
      </c>
      <c r="C1675" s="40" t="str">
        <f t="shared" si="68"/>
        <v>Utilities808</v>
      </c>
      <c r="D1675" s="104">
        <f t="shared" si="69"/>
        <v>0</v>
      </c>
      <c r="E1675" s="186">
        <v>0</v>
      </c>
      <c r="F1675" s="186">
        <v>0</v>
      </c>
    </row>
    <row r="1676" spans="1:6" ht="12.95" hidden="1" customHeight="1" outlineLevel="1">
      <c r="A1676" s="33" t="s">
        <v>1031</v>
      </c>
      <c r="B1676" s="33">
        <v>812</v>
      </c>
      <c r="C1676" s="40" t="str">
        <f t="shared" si="68"/>
        <v>Utilities812</v>
      </c>
      <c r="D1676" s="104">
        <f t="shared" si="69"/>
        <v>0</v>
      </c>
      <c r="E1676" s="186">
        <v>0</v>
      </c>
      <c r="F1676" s="186">
        <v>0</v>
      </c>
    </row>
    <row r="1677" spans="1:6" ht="12.95" hidden="1" customHeight="1" outlineLevel="1">
      <c r="A1677" s="33" t="s">
        <v>1031</v>
      </c>
      <c r="B1677" s="33">
        <v>813</v>
      </c>
      <c r="C1677" s="40" t="str">
        <f t="shared" si="68"/>
        <v>Utilities813</v>
      </c>
      <c r="D1677" s="104">
        <f t="shared" si="69"/>
        <v>0</v>
      </c>
      <c r="E1677" s="186">
        <v>0</v>
      </c>
      <c r="F1677" s="186">
        <v>0</v>
      </c>
    </row>
    <row r="1678" spans="1:6" ht="12.95" hidden="1" customHeight="1" outlineLevel="1">
      <c r="A1678" s="33" t="s">
        <v>1031</v>
      </c>
      <c r="B1678" s="33">
        <v>852</v>
      </c>
      <c r="C1678" s="40" t="str">
        <f t="shared" si="68"/>
        <v>Utilities852</v>
      </c>
      <c r="D1678" s="104">
        <f t="shared" si="69"/>
        <v>48.400000000000006</v>
      </c>
      <c r="E1678" s="186">
        <v>44.69</v>
      </c>
      <c r="F1678" s="186">
        <v>93.09</v>
      </c>
    </row>
    <row r="1679" spans="1:6" ht="12.95" hidden="1" customHeight="1" outlineLevel="1">
      <c r="A1679" s="33" t="s">
        <v>1031</v>
      </c>
      <c r="B1679" s="33">
        <v>870</v>
      </c>
      <c r="C1679" s="40" t="str">
        <f t="shared" si="68"/>
        <v>Utilities870</v>
      </c>
      <c r="D1679" s="104">
        <f t="shared" si="69"/>
        <v>0</v>
      </c>
      <c r="E1679" s="186">
        <v>0</v>
      </c>
      <c r="F1679" s="186">
        <v>0</v>
      </c>
    </row>
    <row r="1680" spans="1:6" ht="12.95" hidden="1" customHeight="1" outlineLevel="1">
      <c r="A1680" s="33" t="s">
        <v>1031</v>
      </c>
      <c r="B1680" s="33">
        <v>871</v>
      </c>
      <c r="C1680" s="40" t="str">
        <f t="shared" si="68"/>
        <v>Utilities871</v>
      </c>
      <c r="D1680" s="104">
        <f t="shared" si="69"/>
        <v>0</v>
      </c>
      <c r="E1680" s="186">
        <v>0</v>
      </c>
      <c r="F1680" s="186">
        <v>0</v>
      </c>
    </row>
    <row r="1681" spans="1:6" ht="12.95" hidden="1" customHeight="1" outlineLevel="1">
      <c r="A1681" s="33" t="s">
        <v>1031</v>
      </c>
      <c r="B1681" s="33">
        <v>874</v>
      </c>
      <c r="C1681" s="40" t="str">
        <f t="shared" si="68"/>
        <v>Utilities874</v>
      </c>
      <c r="D1681" s="104">
        <f t="shared" si="69"/>
        <v>3317.8399999999892</v>
      </c>
      <c r="E1681" s="186">
        <v>57089.460000000014</v>
      </c>
      <c r="F1681" s="186">
        <v>60407.3</v>
      </c>
    </row>
    <row r="1682" spans="1:6" ht="12.95" hidden="1" customHeight="1" outlineLevel="1">
      <c r="A1682" s="33" t="s">
        <v>1031</v>
      </c>
      <c r="B1682" s="33">
        <v>875</v>
      </c>
      <c r="C1682" s="40" t="str">
        <f t="shared" si="68"/>
        <v>Utilities875</v>
      </c>
      <c r="D1682" s="104">
        <f t="shared" si="69"/>
        <v>2597.8200000000006</v>
      </c>
      <c r="E1682" s="186">
        <v>4383.79</v>
      </c>
      <c r="F1682" s="186">
        <v>6981.6100000000006</v>
      </c>
    </row>
    <row r="1683" spans="1:6" ht="12.95" hidden="1" customHeight="1" outlineLevel="1">
      <c r="A1683" s="33" t="s">
        <v>1031</v>
      </c>
      <c r="B1683" s="33">
        <v>876</v>
      </c>
      <c r="C1683" s="40" t="str">
        <f t="shared" si="68"/>
        <v>Utilities876</v>
      </c>
      <c r="D1683" s="104">
        <f t="shared" si="69"/>
        <v>0</v>
      </c>
      <c r="E1683" s="186">
        <v>0</v>
      </c>
      <c r="F1683" s="186">
        <v>0</v>
      </c>
    </row>
    <row r="1684" spans="1:6" ht="12.95" hidden="1" customHeight="1" outlineLevel="1">
      <c r="A1684" s="33" t="s">
        <v>1031</v>
      </c>
      <c r="B1684" s="33">
        <v>878</v>
      </c>
      <c r="C1684" s="40" t="str">
        <f t="shared" si="68"/>
        <v>Utilities878</v>
      </c>
      <c r="D1684" s="104">
        <f t="shared" si="69"/>
        <v>0</v>
      </c>
      <c r="E1684" s="186">
        <v>0</v>
      </c>
      <c r="F1684" s="186">
        <v>0</v>
      </c>
    </row>
    <row r="1685" spans="1:6" ht="12.95" hidden="1" customHeight="1" outlineLevel="1">
      <c r="A1685" s="33" t="s">
        <v>1031</v>
      </c>
      <c r="B1685" s="33">
        <v>879</v>
      </c>
      <c r="C1685" s="40" t="str">
        <f t="shared" si="68"/>
        <v>Utilities879</v>
      </c>
      <c r="D1685" s="104">
        <f t="shared" si="69"/>
        <v>0</v>
      </c>
      <c r="E1685" s="186">
        <v>0</v>
      </c>
      <c r="F1685" s="186">
        <v>0</v>
      </c>
    </row>
    <row r="1686" spans="1:6" ht="12.95" hidden="1" customHeight="1" outlineLevel="1">
      <c r="A1686" s="33" t="s">
        <v>1031</v>
      </c>
      <c r="B1686" s="33">
        <v>880</v>
      </c>
      <c r="C1686" s="40" t="str">
        <f t="shared" si="68"/>
        <v>Utilities880</v>
      </c>
      <c r="D1686" s="104">
        <f t="shared" si="69"/>
        <v>104723.75999999998</v>
      </c>
      <c r="E1686" s="186">
        <v>252193.29</v>
      </c>
      <c r="F1686" s="186">
        <v>356917.05</v>
      </c>
    </row>
    <row r="1687" spans="1:6" ht="12.95" hidden="1" customHeight="1" outlineLevel="1">
      <c r="A1687" s="33" t="s">
        <v>1031</v>
      </c>
      <c r="B1687" s="33">
        <v>881</v>
      </c>
      <c r="C1687" s="40" t="str">
        <f t="shared" si="68"/>
        <v>Utilities881</v>
      </c>
      <c r="D1687" s="104">
        <f t="shared" si="69"/>
        <v>0</v>
      </c>
      <c r="E1687" s="186">
        <v>0</v>
      </c>
      <c r="F1687" s="186">
        <v>0</v>
      </c>
    </row>
    <row r="1688" spans="1:6" ht="12.95" hidden="1" customHeight="1" outlineLevel="1">
      <c r="A1688" s="33" t="s">
        <v>1031</v>
      </c>
      <c r="B1688" s="33">
        <v>885</v>
      </c>
      <c r="C1688" s="40" t="str">
        <f t="shared" si="68"/>
        <v>Utilities885</v>
      </c>
      <c r="D1688" s="104">
        <f t="shared" si="69"/>
        <v>0</v>
      </c>
      <c r="E1688" s="186">
        <v>0</v>
      </c>
      <c r="F1688" s="186">
        <v>0</v>
      </c>
    </row>
    <row r="1689" spans="1:6" ht="12.95" hidden="1" customHeight="1" outlineLevel="1">
      <c r="A1689" s="33" t="s">
        <v>1031</v>
      </c>
      <c r="B1689" s="33">
        <v>886</v>
      </c>
      <c r="C1689" s="40" t="str">
        <f t="shared" si="68"/>
        <v>Utilities886</v>
      </c>
      <c r="D1689" s="104">
        <f t="shared" si="69"/>
        <v>3056.1999999999989</v>
      </c>
      <c r="E1689" s="186">
        <v>8050.49</v>
      </c>
      <c r="F1689" s="186">
        <v>11106.689999999999</v>
      </c>
    </row>
    <row r="1690" spans="1:6" ht="12.95" hidden="1" customHeight="1" outlineLevel="1">
      <c r="A1690" s="33" t="s">
        <v>1031</v>
      </c>
      <c r="B1690" s="33">
        <v>887</v>
      </c>
      <c r="C1690" s="40" t="str">
        <f t="shared" si="68"/>
        <v>Utilities887</v>
      </c>
      <c r="D1690" s="104">
        <f t="shared" si="69"/>
        <v>11280.5</v>
      </c>
      <c r="E1690" s="186">
        <v>40540.71</v>
      </c>
      <c r="F1690" s="186">
        <v>51821.21</v>
      </c>
    </row>
    <row r="1691" spans="1:6" ht="12.95" hidden="1" customHeight="1" outlineLevel="1">
      <c r="A1691" s="33" t="s">
        <v>1031</v>
      </c>
      <c r="B1691" s="33">
        <v>889</v>
      </c>
      <c r="C1691" s="40" t="str">
        <f t="shared" si="68"/>
        <v>Utilities889</v>
      </c>
      <c r="D1691" s="104">
        <f t="shared" si="69"/>
        <v>0</v>
      </c>
      <c r="E1691" s="186">
        <v>0</v>
      </c>
      <c r="F1691" s="186">
        <v>0</v>
      </c>
    </row>
    <row r="1692" spans="1:6" ht="12.95" hidden="1" customHeight="1" outlineLevel="1">
      <c r="A1692" s="33" t="s">
        <v>1031</v>
      </c>
      <c r="B1692" s="33">
        <v>890</v>
      </c>
      <c r="C1692" s="40" t="str">
        <f t="shared" si="68"/>
        <v>Utilities890</v>
      </c>
      <c r="D1692" s="104">
        <f t="shared" si="69"/>
        <v>0</v>
      </c>
      <c r="E1692" s="186">
        <v>0</v>
      </c>
      <c r="F1692" s="186">
        <v>0</v>
      </c>
    </row>
    <row r="1693" spans="1:6" ht="12.95" hidden="1" customHeight="1" outlineLevel="1">
      <c r="A1693" s="33" t="s">
        <v>1031</v>
      </c>
      <c r="B1693" s="33">
        <v>892</v>
      </c>
      <c r="C1693" s="40" t="str">
        <f t="shared" si="68"/>
        <v>Utilities892</v>
      </c>
      <c r="D1693" s="104">
        <f t="shared" si="69"/>
        <v>0</v>
      </c>
      <c r="E1693" s="186">
        <v>0</v>
      </c>
      <c r="F1693" s="186">
        <v>0</v>
      </c>
    </row>
    <row r="1694" spans="1:6" ht="12.95" hidden="1" customHeight="1" outlineLevel="1">
      <c r="A1694" s="33" t="s">
        <v>1031</v>
      </c>
      <c r="B1694" s="33">
        <v>893</v>
      </c>
      <c r="C1694" s="40" t="str">
        <f t="shared" si="68"/>
        <v>Utilities893</v>
      </c>
      <c r="D1694" s="104">
        <f t="shared" si="69"/>
        <v>0</v>
      </c>
      <c r="E1694" s="186">
        <v>0</v>
      </c>
      <c r="F1694" s="186">
        <v>0</v>
      </c>
    </row>
    <row r="1695" spans="1:6" ht="12.95" hidden="1" customHeight="1" outlineLevel="1">
      <c r="A1695" s="33" t="s">
        <v>1031</v>
      </c>
      <c r="B1695" s="33">
        <v>894</v>
      </c>
      <c r="C1695" s="40" t="str">
        <f t="shared" si="68"/>
        <v>Utilities894</v>
      </c>
      <c r="D1695" s="104">
        <f t="shared" si="69"/>
        <v>0</v>
      </c>
      <c r="E1695" s="186">
        <v>0</v>
      </c>
      <c r="F1695" s="186">
        <v>0</v>
      </c>
    </row>
    <row r="1696" spans="1:6" ht="12.95" hidden="1" customHeight="1" outlineLevel="1">
      <c r="A1696" s="33" t="s">
        <v>1031</v>
      </c>
      <c r="B1696" s="33">
        <v>902</v>
      </c>
      <c r="C1696" s="40" t="str">
        <f t="shared" si="68"/>
        <v>Utilities902</v>
      </c>
      <c r="D1696" s="104">
        <f t="shared" si="69"/>
        <v>0</v>
      </c>
      <c r="E1696" s="186">
        <v>0</v>
      </c>
      <c r="F1696" s="186">
        <v>0</v>
      </c>
    </row>
    <row r="1697" spans="1:6" ht="12.95" hidden="1" customHeight="1" outlineLevel="1">
      <c r="A1697" s="33" t="s">
        <v>1031</v>
      </c>
      <c r="B1697" s="33">
        <v>903</v>
      </c>
      <c r="C1697" s="40" t="str">
        <f t="shared" si="68"/>
        <v>Utilities903</v>
      </c>
      <c r="D1697" s="104">
        <f t="shared" si="69"/>
        <v>0</v>
      </c>
      <c r="E1697" s="186">
        <v>0</v>
      </c>
      <c r="F1697" s="186">
        <v>0</v>
      </c>
    </row>
    <row r="1698" spans="1:6" ht="12.95" hidden="1" customHeight="1" outlineLevel="1">
      <c r="A1698" s="33" t="s">
        <v>1031</v>
      </c>
      <c r="B1698" s="33">
        <v>904</v>
      </c>
      <c r="C1698" s="40" t="str">
        <f t="shared" si="68"/>
        <v>Utilities904</v>
      </c>
      <c r="D1698" s="104">
        <f t="shared" si="69"/>
        <v>0</v>
      </c>
      <c r="E1698" s="186">
        <v>0</v>
      </c>
      <c r="F1698" s="186">
        <v>0</v>
      </c>
    </row>
    <row r="1699" spans="1:6" ht="12.95" hidden="1" customHeight="1" outlineLevel="1">
      <c r="A1699" s="33" t="s">
        <v>1031</v>
      </c>
      <c r="B1699" s="33">
        <v>905</v>
      </c>
      <c r="C1699" s="40" t="str">
        <f t="shared" si="68"/>
        <v>Utilities905</v>
      </c>
      <c r="D1699" s="104">
        <f t="shared" si="69"/>
        <v>3041.4899999999961</v>
      </c>
      <c r="E1699" s="186">
        <v>12165.51</v>
      </c>
      <c r="F1699" s="186">
        <v>15206.999999999996</v>
      </c>
    </row>
    <row r="1700" spans="1:6" ht="12.95" hidden="1" customHeight="1" outlineLevel="1">
      <c r="A1700" s="33" t="s">
        <v>1031</v>
      </c>
      <c r="B1700" s="33">
        <v>907</v>
      </c>
      <c r="C1700" s="40" t="str">
        <f t="shared" si="68"/>
        <v>Utilities907</v>
      </c>
      <c r="D1700" s="104">
        <f t="shared" si="69"/>
        <v>0</v>
      </c>
      <c r="E1700" s="186">
        <v>0</v>
      </c>
      <c r="F1700" s="186">
        <v>0</v>
      </c>
    </row>
    <row r="1701" spans="1:6" ht="12.95" hidden="1" customHeight="1" outlineLevel="1">
      <c r="A1701" s="33" t="s">
        <v>1031</v>
      </c>
      <c r="B1701" s="33">
        <v>908</v>
      </c>
      <c r="C1701" s="40" t="str">
        <f t="shared" si="68"/>
        <v>Utilities908</v>
      </c>
      <c r="D1701" s="104">
        <f t="shared" si="69"/>
        <v>0</v>
      </c>
      <c r="E1701" s="186">
        <v>0</v>
      </c>
      <c r="F1701" s="186">
        <v>0</v>
      </c>
    </row>
    <row r="1702" spans="1:6" ht="12.95" hidden="1" customHeight="1" outlineLevel="1">
      <c r="A1702" s="33" t="s">
        <v>1031</v>
      </c>
      <c r="B1702" s="33">
        <v>909</v>
      </c>
      <c r="C1702" s="40" t="str">
        <f t="shared" si="68"/>
        <v>Utilities909</v>
      </c>
      <c r="D1702" s="104">
        <f t="shared" si="69"/>
        <v>0</v>
      </c>
      <c r="E1702" s="186">
        <v>0</v>
      </c>
      <c r="F1702" s="186">
        <v>0</v>
      </c>
    </row>
    <row r="1703" spans="1:6" ht="12.95" hidden="1" customHeight="1" outlineLevel="1">
      <c r="A1703" s="33" t="s">
        <v>1031</v>
      </c>
      <c r="B1703" s="33">
        <v>910</v>
      </c>
      <c r="C1703" s="40" t="str">
        <f t="shared" si="68"/>
        <v>Utilities910</v>
      </c>
      <c r="D1703" s="104">
        <f t="shared" si="69"/>
        <v>0</v>
      </c>
      <c r="E1703" s="186">
        <v>0</v>
      </c>
      <c r="F1703" s="186">
        <v>0</v>
      </c>
    </row>
    <row r="1704" spans="1:6" ht="12.95" hidden="1" customHeight="1" outlineLevel="1">
      <c r="A1704" s="33" t="s">
        <v>1031</v>
      </c>
      <c r="B1704" s="33">
        <v>911</v>
      </c>
      <c r="C1704" s="40" t="str">
        <f t="shared" si="68"/>
        <v>Utilities911</v>
      </c>
      <c r="D1704" s="104">
        <f t="shared" si="69"/>
        <v>0</v>
      </c>
      <c r="E1704" s="186">
        <v>0</v>
      </c>
      <c r="F1704" s="186">
        <v>0</v>
      </c>
    </row>
    <row r="1705" spans="1:6" ht="12.95" hidden="1" customHeight="1" outlineLevel="1">
      <c r="A1705" s="33" t="s">
        <v>1031</v>
      </c>
      <c r="B1705" s="33">
        <v>912</v>
      </c>
      <c r="C1705" s="40" t="str">
        <f t="shared" si="68"/>
        <v>Utilities912</v>
      </c>
      <c r="D1705" s="104">
        <f t="shared" si="69"/>
        <v>0</v>
      </c>
      <c r="E1705" s="186">
        <v>0</v>
      </c>
      <c r="F1705" s="186">
        <v>0</v>
      </c>
    </row>
    <row r="1706" spans="1:6" ht="12.95" hidden="1" customHeight="1" outlineLevel="1">
      <c r="A1706" s="33" t="s">
        <v>1031</v>
      </c>
      <c r="B1706" s="33">
        <v>913</v>
      </c>
      <c r="C1706" s="40" t="str">
        <f t="shared" si="68"/>
        <v>Utilities913</v>
      </c>
      <c r="D1706" s="104">
        <f t="shared" si="69"/>
        <v>0</v>
      </c>
      <c r="E1706" s="186">
        <v>0</v>
      </c>
      <c r="F1706" s="186">
        <v>0</v>
      </c>
    </row>
    <row r="1707" spans="1:6" ht="12.95" hidden="1" customHeight="1" outlineLevel="1">
      <c r="A1707" s="33" t="s">
        <v>1031</v>
      </c>
      <c r="B1707" s="33">
        <v>920</v>
      </c>
      <c r="C1707" s="40" t="str">
        <f t="shared" si="68"/>
        <v>Utilities920</v>
      </c>
      <c r="D1707" s="104">
        <f t="shared" si="69"/>
        <v>0</v>
      </c>
      <c r="E1707" s="186">
        <v>0</v>
      </c>
      <c r="F1707" s="186">
        <v>0</v>
      </c>
    </row>
    <row r="1708" spans="1:6" ht="12.95" hidden="1" customHeight="1" outlineLevel="1">
      <c r="A1708" s="33" t="s">
        <v>1031</v>
      </c>
      <c r="B1708" s="33">
        <v>921</v>
      </c>
      <c r="C1708" s="40" t="str">
        <f t="shared" si="68"/>
        <v>Utilities921</v>
      </c>
      <c r="D1708" s="104">
        <f t="shared" si="69"/>
        <v>432135.52</v>
      </c>
      <c r="E1708" s="186">
        <v>972091.27</v>
      </c>
      <c r="F1708" s="186">
        <v>1404226.79</v>
      </c>
    </row>
    <row r="1709" spans="1:6" ht="12.95" hidden="1" customHeight="1" outlineLevel="1">
      <c r="A1709" s="33" t="s">
        <v>1031</v>
      </c>
      <c r="B1709" s="33">
        <v>923</v>
      </c>
      <c r="C1709" s="40" t="str">
        <f t="shared" si="68"/>
        <v>Utilities923</v>
      </c>
      <c r="D1709" s="104">
        <f t="shared" si="69"/>
        <v>338.34000000000003</v>
      </c>
      <c r="E1709" s="186">
        <v>312.39</v>
      </c>
      <c r="F1709" s="186">
        <v>650.73</v>
      </c>
    </row>
    <row r="1710" spans="1:6" ht="12.95" hidden="1" customHeight="1" outlineLevel="1">
      <c r="A1710" s="33" t="s">
        <v>1031</v>
      </c>
      <c r="B1710" s="33">
        <v>924</v>
      </c>
      <c r="C1710" s="40" t="str">
        <f t="shared" si="68"/>
        <v>Utilities924</v>
      </c>
      <c r="D1710" s="104">
        <f t="shared" si="69"/>
        <v>0</v>
      </c>
      <c r="E1710" s="186">
        <v>0</v>
      </c>
      <c r="F1710" s="186">
        <v>0</v>
      </c>
    </row>
    <row r="1711" spans="1:6" ht="12.95" hidden="1" customHeight="1" outlineLevel="1">
      <c r="A1711" s="33" t="s">
        <v>1031</v>
      </c>
      <c r="B1711" s="33">
        <v>925</v>
      </c>
      <c r="C1711" s="40" t="str">
        <f t="shared" si="68"/>
        <v>Utilities925</v>
      </c>
      <c r="D1711" s="104">
        <f t="shared" si="69"/>
        <v>0</v>
      </c>
      <c r="E1711" s="186">
        <v>0</v>
      </c>
      <c r="F1711" s="186">
        <v>0</v>
      </c>
    </row>
    <row r="1712" spans="1:6" ht="12.95" hidden="1" customHeight="1" outlineLevel="1">
      <c r="A1712" s="33" t="s">
        <v>1031</v>
      </c>
      <c r="B1712" s="33">
        <v>926</v>
      </c>
      <c r="C1712" s="40" t="str">
        <f t="shared" si="68"/>
        <v>Utilities926</v>
      </c>
      <c r="D1712" s="104">
        <f t="shared" si="69"/>
        <v>0</v>
      </c>
      <c r="E1712" s="186">
        <v>0</v>
      </c>
      <c r="F1712" s="186">
        <v>0</v>
      </c>
    </row>
    <row r="1713" spans="1:6" ht="12.95" hidden="1" customHeight="1" outlineLevel="1">
      <c r="A1713" s="33" t="s">
        <v>1031</v>
      </c>
      <c r="B1713" s="33">
        <v>928</v>
      </c>
      <c r="C1713" s="40" t="str">
        <f t="shared" si="68"/>
        <v>Utilities928</v>
      </c>
      <c r="D1713" s="104">
        <f t="shared" si="69"/>
        <v>0</v>
      </c>
      <c r="E1713" s="186">
        <v>0</v>
      </c>
      <c r="F1713" s="186">
        <v>0</v>
      </c>
    </row>
    <row r="1714" spans="1:6" ht="12.95" hidden="1" customHeight="1" outlineLevel="1">
      <c r="A1714" s="33" t="s">
        <v>1031</v>
      </c>
      <c r="B1714" s="33">
        <v>930</v>
      </c>
      <c r="C1714" s="40" t="str">
        <f t="shared" si="68"/>
        <v>Utilities930</v>
      </c>
      <c r="D1714" s="104">
        <f t="shared" si="69"/>
        <v>0</v>
      </c>
      <c r="E1714" s="186">
        <v>0</v>
      </c>
      <c r="F1714" s="186">
        <v>0</v>
      </c>
    </row>
    <row r="1715" spans="1:6" ht="12.95" hidden="1" customHeight="1" outlineLevel="1">
      <c r="A1715" s="33" t="s">
        <v>1031</v>
      </c>
      <c r="B1715" s="33">
        <v>931</v>
      </c>
      <c r="C1715" s="40" t="str">
        <f t="shared" si="68"/>
        <v>Utilities931</v>
      </c>
      <c r="D1715" s="104">
        <f t="shared" si="69"/>
        <v>0</v>
      </c>
      <c r="E1715" s="186">
        <v>0</v>
      </c>
      <c r="F1715" s="186">
        <v>0</v>
      </c>
    </row>
    <row r="1716" spans="1:6" ht="12.95" hidden="1" customHeight="1" outlineLevel="1">
      <c r="A1716" s="33" t="s">
        <v>1031</v>
      </c>
      <c r="B1716" s="33">
        <v>932</v>
      </c>
      <c r="C1716" s="40" t="str">
        <f t="shared" si="68"/>
        <v>Utilities932</v>
      </c>
      <c r="D1716" s="104">
        <f t="shared" si="69"/>
        <v>0</v>
      </c>
      <c r="E1716" s="186">
        <v>0</v>
      </c>
      <c r="F1716" s="186">
        <v>0</v>
      </c>
    </row>
    <row r="1717" spans="1:6" ht="12.95" hidden="1" customHeight="1" outlineLevel="1">
      <c r="A1717" s="33" t="s">
        <v>1031</v>
      </c>
      <c r="B1717" s="33">
        <v>935</v>
      </c>
      <c r="C1717" s="40" t="str">
        <f t="shared" si="68"/>
        <v>Utilities935</v>
      </c>
      <c r="D1717" s="104">
        <f t="shared" si="69"/>
        <v>0</v>
      </c>
      <c r="E1717" s="186">
        <v>0</v>
      </c>
      <c r="F1717" s="186">
        <v>0</v>
      </c>
    </row>
    <row r="1718" spans="1:6" s="13" customFormat="1" collapsed="1">
      <c r="A1718" s="14" t="s">
        <v>1031</v>
      </c>
      <c r="B1718" s="15"/>
      <c r="D1718" s="196">
        <f>SUM(D1669:D1717)</f>
        <v>560539.87</v>
      </c>
      <c r="E1718" s="196">
        <f>SUM(E1669:E1717)</f>
        <v>1346871.5999999999</v>
      </c>
      <c r="F1718" s="196">
        <f>SUM(F1669:F1717)</f>
        <v>1907411.47</v>
      </c>
    </row>
    <row r="1719" spans="1:6">
      <c r="A1719" s="197"/>
    </row>
    <row r="1720" spans="1:6" ht="13.5" thickBot="1">
      <c r="A1720" s="16" t="s">
        <v>677</v>
      </c>
      <c r="D1720" s="25">
        <f>+D56+D105+D154+D203+D206+D304+D255+D352+D404+D453+D502+D598+D647++D695+D743+D791+D839+D890+D550+D943+D991+D1039+D1087+D1135+D1184+D1234+D1282+D1330+D1379+D1427+D1475+D1524+D1572+D1668+D1620+D1718</f>
        <v>-15068125.120000005</v>
      </c>
      <c r="E1720" s="25">
        <f>+E56+E105+E154+E203+E206+E304+E255+E352+E404+E453+E502+E598+E647++E695+E743+E791+E839+E890+E550+E943+E991+E1039+E1087+E1135+E1184+E1234+E1282+E1330+E1379+E1427+E1475+E1524+E1572+E1668+E1620+E1718</f>
        <v>103572009.03999999</v>
      </c>
      <c r="F1720" s="25">
        <f>+F56+F105+F154+F203+F206+F304+F255+F352+F404+F453+F502+F598+F647++F695+F743+F791+F839+F890+F550+F943+F991+F1039+F1087+F1135+F1184+F1234+F1282+F1330+F1379+F1427+F1475+F1524+F1572+F1668+F1620+F1718</f>
        <v>88503883.920000017</v>
      </c>
    </row>
    <row r="1721" spans="1:6" ht="13.5" thickTop="1"/>
    <row r="1723" spans="1:6">
      <c r="C1723" s="104"/>
    </row>
    <row r="1724" spans="1:6">
      <c r="C1724" s="104"/>
    </row>
    <row r="1725" spans="1:6">
      <c r="C1725" s="104"/>
    </row>
    <row r="1726" spans="1:6">
      <c r="C1726" s="104"/>
    </row>
    <row r="1727" spans="1:6">
      <c r="C1727" s="104"/>
    </row>
    <row r="1728" spans="1:6">
      <c r="C1728" s="104"/>
    </row>
    <row r="1729" spans="3:3">
      <c r="C1729" s="104"/>
    </row>
    <row r="1730" spans="3:3">
      <c r="C1730" s="104"/>
    </row>
    <row r="1731" spans="3:3">
      <c r="C1731" s="104"/>
    </row>
    <row r="1732" spans="3:3">
      <c r="C1732" s="104"/>
    </row>
    <row r="1733" spans="3:3">
      <c r="C1733" s="104"/>
    </row>
    <row r="1734" spans="3:3">
      <c r="C1734" s="104"/>
    </row>
    <row r="1735" spans="3:3">
      <c r="C1735" s="104"/>
    </row>
  </sheetData>
  <mergeCells count="1">
    <mergeCell ref="B1:F1"/>
  </mergeCells>
  <hyperlinks>
    <hyperlink ref="B1" r:id="rId1" xr:uid="{5EB26199-20BD-43D6-BCB7-D4AE5698FE2A}"/>
  </hyperlinks>
  <printOptions horizontalCentered="1"/>
  <pageMargins left="0.5" right="0.5" top="0.75" bottom="0.5" header="0.3" footer="0.3"/>
  <pageSetup scale="1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48"/>
  <sheetViews>
    <sheetView topLeftCell="A4" zoomScaleNormal="100" zoomScaleSheetLayoutView="96" workbookViewId="0">
      <selection activeCell="D48" sqref="D48"/>
    </sheetView>
  </sheetViews>
  <sheetFormatPr defaultColWidth="11.33203125" defaultRowHeight="12.75"/>
  <cols>
    <col min="1" max="1" width="5.6640625" style="477" customWidth="1"/>
    <col min="2" max="2" width="38" style="477" customWidth="1"/>
    <col min="3" max="3" width="29.1640625" style="477" customWidth="1"/>
    <col min="4" max="4" width="36.5" style="477" customWidth="1"/>
    <col min="5" max="16384" width="11.33203125" style="477"/>
  </cols>
  <sheetData>
    <row r="1" spans="1:7">
      <c r="A1" s="1318" t="str">
        <f>'General Headers Index'!$B$4</f>
        <v>COLUMBIA GAS OF KENTUCKY, INC.</v>
      </c>
      <c r="B1" s="1318"/>
      <c r="C1" s="1318"/>
      <c r="D1" s="1318"/>
    </row>
    <row r="2" spans="1:7">
      <c r="A2" s="1318" t="str">
        <f>'General Headers Index'!$B$6</f>
        <v>CASE NO. 2024 - 00092</v>
      </c>
      <c r="B2" s="1318"/>
      <c r="C2" s="1318"/>
      <c r="D2" s="1318"/>
    </row>
    <row r="3" spans="1:7">
      <c r="A3" s="1318" t="s">
        <v>2474</v>
      </c>
      <c r="B3" s="1318"/>
      <c r="C3" s="1318"/>
      <c r="D3" s="1318"/>
    </row>
    <row r="4" spans="1:7">
      <c r="A4" s="1306" t="str">
        <f>'General Headers Index'!B21</f>
        <v>FOR THE BASE PERIOD TME AUGUST 31, 2024 AND FORECAST PERIOD TME DECEMBER 31, 2025</v>
      </c>
      <c r="B4" s="1306"/>
      <c r="C4" s="1306"/>
      <c r="D4" s="1306"/>
      <c r="E4" s="220"/>
      <c r="F4" s="220"/>
      <c r="G4" s="220"/>
    </row>
    <row r="5" spans="1:7">
      <c r="B5" s="476"/>
      <c r="C5" s="476"/>
      <c r="D5" s="326"/>
    </row>
    <row r="6" spans="1:7">
      <c r="A6" s="477" t="s">
        <v>739</v>
      </c>
      <c r="B6" s="476"/>
      <c r="C6" s="476"/>
      <c r="D6" s="478" t="s">
        <v>534</v>
      </c>
    </row>
    <row r="7" spans="1:7">
      <c r="A7" s="477" t="str">
        <f>+'B-5.1 Working Cap. (Forecast)'!A7</f>
        <v>TYPE OF FILING:___X___ORIGINAL______UPDATED</v>
      </c>
      <c r="D7" s="478" t="s">
        <v>722</v>
      </c>
    </row>
    <row r="8" spans="1:7">
      <c r="A8" s="477" t="str">
        <f>+'WPB 5.3 Storage'!A8</f>
        <v xml:space="preserve">WORKPAPER REFERENCE NO(S). </v>
      </c>
      <c r="D8" s="326" t="str">
        <f>+'B-5.1 Working Cap. (Forecast)'!G8</f>
        <v>WITNESS: GORE</v>
      </c>
    </row>
    <row r="9" spans="1:7">
      <c r="D9" s="326"/>
    </row>
    <row r="10" spans="1:7">
      <c r="A10" s="479"/>
      <c r="B10" s="479"/>
      <c r="C10" s="479" t="s">
        <v>358</v>
      </c>
      <c r="D10" s="479" t="s">
        <v>674</v>
      </c>
    </row>
    <row r="11" spans="1:7">
      <c r="A11" s="476" t="s">
        <v>641</v>
      </c>
      <c r="B11" s="476"/>
      <c r="C11" s="476" t="s">
        <v>358</v>
      </c>
      <c r="D11" s="476" t="s">
        <v>672</v>
      </c>
    </row>
    <row r="12" spans="1:7">
      <c r="A12" s="981" t="s">
        <v>642</v>
      </c>
      <c r="B12" s="981" t="s">
        <v>661</v>
      </c>
      <c r="C12" s="981" t="s">
        <v>2939</v>
      </c>
      <c r="D12" s="981" t="s">
        <v>673</v>
      </c>
    </row>
    <row r="13" spans="1:7">
      <c r="B13" s="480"/>
      <c r="C13" s="481" t="s">
        <v>358</v>
      </c>
      <c r="D13" s="481" t="s">
        <v>320</v>
      </c>
    </row>
    <row r="14" spans="1:7">
      <c r="A14" s="476">
        <v>1</v>
      </c>
      <c r="B14" s="482" t="s">
        <v>1834</v>
      </c>
      <c r="C14" s="483" t="s">
        <v>648</v>
      </c>
      <c r="D14" s="483">
        <v>345181.83</v>
      </c>
    </row>
    <row r="15" spans="1:7">
      <c r="A15" s="476">
        <f>A14+1</f>
        <v>2</v>
      </c>
      <c r="B15" s="482" t="s">
        <v>1835</v>
      </c>
      <c r="C15" s="483" t="s">
        <v>648</v>
      </c>
      <c r="D15" s="483">
        <v>345181.83</v>
      </c>
    </row>
    <row r="16" spans="1:7">
      <c r="A16" s="476">
        <f t="shared" ref="A16:A26" si="0">A15+1</f>
        <v>3</v>
      </c>
      <c r="B16" s="482" t="s">
        <v>1836</v>
      </c>
      <c r="C16" s="483" t="s">
        <v>648</v>
      </c>
      <c r="D16" s="483">
        <v>346948.95</v>
      </c>
    </row>
    <row r="17" spans="1:4">
      <c r="A17" s="476">
        <f t="shared" si="0"/>
        <v>4</v>
      </c>
      <c r="B17" s="482" t="s">
        <v>1837</v>
      </c>
      <c r="C17" s="483" t="s">
        <v>648</v>
      </c>
      <c r="D17" s="483">
        <v>346948.95</v>
      </c>
    </row>
    <row r="18" spans="1:4">
      <c r="A18" s="476">
        <f t="shared" si="0"/>
        <v>5</v>
      </c>
      <c r="B18" s="482" t="s">
        <v>1838</v>
      </c>
      <c r="C18" s="483" t="s">
        <v>648</v>
      </c>
      <c r="D18" s="483">
        <v>347374.73</v>
      </c>
    </row>
    <row r="19" spans="1:4">
      <c r="A19" s="476">
        <f t="shared" si="0"/>
        <v>6</v>
      </c>
      <c r="B19" s="482" t="s">
        <v>1839</v>
      </c>
      <c r="C19" s="483" t="s">
        <v>648</v>
      </c>
      <c r="D19" s="483">
        <v>347374.73</v>
      </c>
    </row>
    <row r="20" spans="1:4">
      <c r="A20" s="476">
        <f t="shared" si="0"/>
        <v>7</v>
      </c>
      <c r="B20" s="482" t="s">
        <v>1840</v>
      </c>
      <c r="C20" s="483" t="s">
        <v>648</v>
      </c>
      <c r="D20" s="483">
        <v>347374.73</v>
      </c>
    </row>
    <row r="21" spans="1:4">
      <c r="A21" s="476">
        <f t="shared" si="0"/>
        <v>8</v>
      </c>
      <c r="B21" s="482" t="s">
        <v>1841</v>
      </c>
      <c r="C21" s="483" t="s">
        <v>2940</v>
      </c>
      <c r="D21" s="483">
        <f t="shared" ref="D21:D26" si="1">+D20</f>
        <v>347374.73</v>
      </c>
    </row>
    <row r="22" spans="1:4">
      <c r="A22" s="476">
        <f t="shared" si="0"/>
        <v>9</v>
      </c>
      <c r="B22" s="482" t="s">
        <v>1842</v>
      </c>
      <c r="C22" s="483" t="s">
        <v>2940</v>
      </c>
      <c r="D22" s="483">
        <f t="shared" si="1"/>
        <v>347374.73</v>
      </c>
    </row>
    <row r="23" spans="1:4">
      <c r="A23" s="476">
        <f t="shared" si="0"/>
        <v>10</v>
      </c>
      <c r="B23" s="482" t="s">
        <v>1843</v>
      </c>
      <c r="C23" s="483" t="s">
        <v>2940</v>
      </c>
      <c r="D23" s="483">
        <f t="shared" si="1"/>
        <v>347374.73</v>
      </c>
    </row>
    <row r="24" spans="1:4">
      <c r="A24" s="476">
        <f t="shared" si="0"/>
        <v>11</v>
      </c>
      <c r="B24" s="482" t="s">
        <v>1844</v>
      </c>
      <c r="C24" s="483" t="s">
        <v>2940</v>
      </c>
      <c r="D24" s="483">
        <f t="shared" si="1"/>
        <v>347374.73</v>
      </c>
    </row>
    <row r="25" spans="1:4">
      <c r="A25" s="476">
        <f t="shared" si="0"/>
        <v>12</v>
      </c>
      <c r="B25" s="482" t="s">
        <v>1845</v>
      </c>
      <c r="C25" s="483" t="s">
        <v>2940</v>
      </c>
      <c r="D25" s="483">
        <f t="shared" si="1"/>
        <v>347374.73</v>
      </c>
    </row>
    <row r="26" spans="1:4">
      <c r="A26" s="476">
        <f t="shared" si="0"/>
        <v>13</v>
      </c>
      <c r="B26" s="482" t="s">
        <v>1846</v>
      </c>
      <c r="C26" s="483" t="s">
        <v>2940</v>
      </c>
      <c r="D26" s="483">
        <f t="shared" si="1"/>
        <v>347374.73</v>
      </c>
    </row>
    <row r="27" spans="1:4" ht="5.25" customHeight="1">
      <c r="A27" s="476"/>
      <c r="B27" s="484"/>
      <c r="C27" s="473"/>
      <c r="D27" s="483"/>
    </row>
    <row r="28" spans="1:4">
      <c r="A28" s="476">
        <f>A26+1</f>
        <v>14</v>
      </c>
      <c r="B28" s="485" t="s">
        <v>671</v>
      </c>
      <c r="C28" s="486"/>
      <c r="D28" s="486">
        <f>AVERAGE(D14:D26)</f>
        <v>346971.85615384614</v>
      </c>
    </row>
    <row r="29" spans="1:4">
      <c r="B29" s="485"/>
      <c r="C29" s="486"/>
      <c r="D29" s="486"/>
    </row>
    <row r="30" spans="1:4">
      <c r="A30" s="476">
        <f>+A28+1</f>
        <v>15</v>
      </c>
      <c r="B30" s="482" t="s">
        <v>1847</v>
      </c>
      <c r="C30" s="483" t="s">
        <v>2940</v>
      </c>
      <c r="D30" s="483">
        <f>+D26</f>
        <v>347374.73</v>
      </c>
    </row>
    <row r="31" spans="1:4">
      <c r="A31" s="476">
        <f>A30+1</f>
        <v>16</v>
      </c>
      <c r="B31" s="482" t="s">
        <v>1848</v>
      </c>
      <c r="C31" s="483" t="s">
        <v>2940</v>
      </c>
      <c r="D31" s="483">
        <f>+D30</f>
        <v>347374.73</v>
      </c>
    </row>
    <row r="32" spans="1:4">
      <c r="A32" s="476">
        <f>A31+1</f>
        <v>17</v>
      </c>
      <c r="B32" s="482" t="s">
        <v>1849</v>
      </c>
      <c r="C32" s="483" t="s">
        <v>2940</v>
      </c>
      <c r="D32" s="483">
        <f>+D31</f>
        <v>347374.73</v>
      </c>
    </row>
    <row r="33" spans="1:4">
      <c r="B33" s="482"/>
      <c r="D33" s="483"/>
    </row>
    <row r="34" spans="1:4">
      <c r="A34" s="476">
        <f>+A32+1</f>
        <v>18</v>
      </c>
      <c r="B34" s="482" t="s">
        <v>1850</v>
      </c>
      <c r="C34" s="483" t="s">
        <v>2940</v>
      </c>
      <c r="D34" s="483">
        <f>+D32</f>
        <v>347374.73</v>
      </c>
    </row>
    <row r="35" spans="1:4">
      <c r="A35" s="476">
        <f t="shared" ref="A35:A46" si="2">A34+1</f>
        <v>19</v>
      </c>
      <c r="B35" s="482" t="s">
        <v>1851</v>
      </c>
      <c r="C35" s="483" t="s">
        <v>2940</v>
      </c>
      <c r="D35" s="483">
        <f>+D34</f>
        <v>347374.73</v>
      </c>
    </row>
    <row r="36" spans="1:4">
      <c r="A36" s="476">
        <f t="shared" si="2"/>
        <v>20</v>
      </c>
      <c r="B36" s="482" t="s">
        <v>1852</v>
      </c>
      <c r="C36" s="483" t="s">
        <v>2940</v>
      </c>
      <c r="D36" s="483">
        <f t="shared" ref="D36:D46" si="3">+D35</f>
        <v>347374.73</v>
      </c>
    </row>
    <row r="37" spans="1:4">
      <c r="A37" s="476">
        <f t="shared" si="2"/>
        <v>21</v>
      </c>
      <c r="B37" s="482" t="s">
        <v>1853</v>
      </c>
      <c r="C37" s="483" t="s">
        <v>2940</v>
      </c>
      <c r="D37" s="483">
        <f t="shared" si="3"/>
        <v>347374.73</v>
      </c>
    </row>
    <row r="38" spans="1:4">
      <c r="A38" s="476">
        <f t="shared" si="2"/>
        <v>22</v>
      </c>
      <c r="B38" s="482" t="s">
        <v>1854</v>
      </c>
      <c r="C38" s="483" t="s">
        <v>2940</v>
      </c>
      <c r="D38" s="483">
        <f t="shared" si="3"/>
        <v>347374.73</v>
      </c>
    </row>
    <row r="39" spans="1:4">
      <c r="A39" s="476">
        <f t="shared" si="2"/>
        <v>23</v>
      </c>
      <c r="B39" s="482" t="s">
        <v>1855</v>
      </c>
      <c r="C39" s="483" t="s">
        <v>2940</v>
      </c>
      <c r="D39" s="483">
        <f t="shared" si="3"/>
        <v>347374.73</v>
      </c>
    </row>
    <row r="40" spans="1:4">
      <c r="A40" s="476">
        <f t="shared" si="2"/>
        <v>24</v>
      </c>
      <c r="B40" s="482" t="s">
        <v>1856</v>
      </c>
      <c r="C40" s="483" t="s">
        <v>2940</v>
      </c>
      <c r="D40" s="483">
        <f t="shared" si="3"/>
        <v>347374.73</v>
      </c>
    </row>
    <row r="41" spans="1:4">
      <c r="A41" s="476">
        <f t="shared" si="2"/>
        <v>25</v>
      </c>
      <c r="B41" s="482" t="s">
        <v>1857</v>
      </c>
      <c r="C41" s="483" t="s">
        <v>2940</v>
      </c>
      <c r="D41" s="483">
        <f t="shared" si="3"/>
        <v>347374.73</v>
      </c>
    </row>
    <row r="42" spans="1:4">
      <c r="A42" s="476">
        <f t="shared" si="2"/>
        <v>26</v>
      </c>
      <c r="B42" s="482" t="s">
        <v>1858</v>
      </c>
      <c r="C42" s="483" t="s">
        <v>2940</v>
      </c>
      <c r="D42" s="483">
        <f t="shared" si="3"/>
        <v>347374.73</v>
      </c>
    </row>
    <row r="43" spans="1:4">
      <c r="A43" s="476">
        <f t="shared" si="2"/>
        <v>27</v>
      </c>
      <c r="B43" s="482" t="s">
        <v>1859</v>
      </c>
      <c r="C43" s="483" t="s">
        <v>2940</v>
      </c>
      <c r="D43" s="483">
        <f t="shared" si="3"/>
        <v>347374.73</v>
      </c>
    </row>
    <row r="44" spans="1:4">
      <c r="A44" s="476">
        <f t="shared" si="2"/>
        <v>28</v>
      </c>
      <c r="B44" s="482" t="s">
        <v>1860</v>
      </c>
      <c r="C44" s="483" t="s">
        <v>2940</v>
      </c>
      <c r="D44" s="483">
        <f t="shared" si="3"/>
        <v>347374.73</v>
      </c>
    </row>
    <row r="45" spans="1:4">
      <c r="A45" s="476">
        <f t="shared" si="2"/>
        <v>29</v>
      </c>
      <c r="B45" s="482" t="s">
        <v>1861</v>
      </c>
      <c r="C45" s="483" t="s">
        <v>2940</v>
      </c>
      <c r="D45" s="483">
        <f t="shared" si="3"/>
        <v>347374.73</v>
      </c>
    </row>
    <row r="46" spans="1:4">
      <c r="A46" s="476">
        <f t="shared" si="2"/>
        <v>30</v>
      </c>
      <c r="B46" s="482" t="s">
        <v>1862</v>
      </c>
      <c r="C46" s="483" t="s">
        <v>2940</v>
      </c>
      <c r="D46" s="483">
        <f t="shared" si="3"/>
        <v>347374.73</v>
      </c>
    </row>
    <row r="47" spans="1:4" ht="5.25" customHeight="1"/>
    <row r="48" spans="1:4">
      <c r="A48" s="476">
        <f>A46+1</f>
        <v>31</v>
      </c>
      <c r="B48" s="485" t="s">
        <v>671</v>
      </c>
      <c r="C48" s="486"/>
      <c r="D48" s="486">
        <f>AVERAGE(D34:D46)</f>
        <v>347374.73000000004</v>
      </c>
    </row>
  </sheetData>
  <mergeCells count="4">
    <mergeCell ref="A1:D1"/>
    <mergeCell ref="A2:D2"/>
    <mergeCell ref="A3:D3"/>
    <mergeCell ref="A4:D4"/>
  </mergeCells>
  <printOptions horizontalCentered="1"/>
  <pageMargins left="0.5" right="0.5" top="0.75" bottom="0.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54"/>
  <sheetViews>
    <sheetView view="pageBreakPreview" topLeftCell="A13" zoomScaleNormal="100" zoomScaleSheetLayoutView="100" workbookViewId="0">
      <selection activeCell="I18" sqref="I18"/>
    </sheetView>
  </sheetViews>
  <sheetFormatPr defaultColWidth="9.6640625" defaultRowHeight="12.75"/>
  <cols>
    <col min="1" max="1" width="5.6640625" style="220" customWidth="1"/>
    <col min="2" max="2" width="2.6640625" style="220" customWidth="1"/>
    <col min="3" max="3" width="57.6640625" style="220" customWidth="1"/>
    <col min="4" max="4" width="22.6640625" style="220" customWidth="1"/>
    <col min="5" max="6" width="19.1640625" style="220" bestFit="1" customWidth="1"/>
    <col min="7" max="7" width="19.33203125" style="220" bestFit="1" customWidth="1"/>
    <col min="8" max="8" width="14.6640625" style="220" customWidth="1"/>
    <col min="9" max="9" width="15.33203125" style="220" customWidth="1"/>
    <col min="10" max="10" width="14.5" style="220" customWidth="1"/>
    <col min="11" max="11" width="21.6640625" style="220" bestFit="1" customWidth="1"/>
    <col min="12" max="16384" width="9.6640625" style="220"/>
  </cols>
  <sheetData>
    <row r="1" spans="1:11">
      <c r="A1" s="1306" t="str">
        <f>'General Headers Index'!B4</f>
        <v>COLUMBIA GAS OF KENTUCKY, INC.</v>
      </c>
      <c r="B1" s="1306"/>
      <c r="C1" s="1306"/>
      <c r="D1" s="1306"/>
      <c r="E1" s="1306"/>
      <c r="F1" s="1306"/>
      <c r="G1" s="1306"/>
      <c r="H1" s="1306"/>
      <c r="I1" s="1306"/>
      <c r="J1" s="1306"/>
      <c r="K1" s="1306"/>
    </row>
    <row r="2" spans="1:11">
      <c r="A2" s="1306" t="str">
        <f>'General Headers Index'!B6</f>
        <v>CASE NO. 2024 - 00092</v>
      </c>
      <c r="B2" s="1306"/>
      <c r="C2" s="1306"/>
      <c r="D2" s="1306"/>
      <c r="E2" s="1306"/>
      <c r="F2" s="1306"/>
      <c r="G2" s="1306"/>
      <c r="H2" s="1306"/>
      <c r="I2" s="1306"/>
      <c r="J2" s="1306"/>
      <c r="K2" s="1306"/>
    </row>
    <row r="3" spans="1:11">
      <c r="A3" s="1306" t="s">
        <v>1230</v>
      </c>
      <c r="B3" s="1306"/>
      <c r="C3" s="1306"/>
      <c r="D3" s="1306"/>
      <c r="E3" s="1306"/>
      <c r="F3" s="1306"/>
      <c r="G3" s="1306"/>
      <c r="H3" s="1306"/>
      <c r="I3" s="1306"/>
      <c r="J3" s="1306"/>
      <c r="K3" s="1306"/>
    </row>
    <row r="4" spans="1:11">
      <c r="A4" s="1306" t="str">
        <f>'General Headers Index'!B10</f>
        <v>AS OF AUGUST 31, 2024</v>
      </c>
      <c r="B4" s="1306"/>
      <c r="C4" s="1306"/>
      <c r="D4" s="1306"/>
      <c r="E4" s="1306"/>
      <c r="F4" s="1306"/>
      <c r="G4" s="1306"/>
      <c r="H4" s="1306"/>
      <c r="I4" s="1306"/>
      <c r="J4" s="1306"/>
      <c r="K4" s="1306"/>
    </row>
    <row r="6" spans="1:11">
      <c r="A6" s="229" t="s">
        <v>2787</v>
      </c>
      <c r="K6" s="326" t="s">
        <v>2941</v>
      </c>
    </row>
    <row r="7" spans="1:11">
      <c r="A7" s="229" t="s">
        <v>687</v>
      </c>
      <c r="K7" s="326" t="s">
        <v>309</v>
      </c>
    </row>
    <row r="8" spans="1:11">
      <c r="A8" s="229" t="s">
        <v>3063</v>
      </c>
      <c r="K8" s="326" t="str">
        <f>"WITNESS: "&amp;'General Headers Index'!B44</f>
        <v>WITNESS: JOHNSON</v>
      </c>
    </row>
    <row r="9" spans="1:11">
      <c r="A9" s="229"/>
      <c r="G9" s="884"/>
      <c r="H9" s="884"/>
      <c r="I9" s="884"/>
      <c r="J9" s="884"/>
      <c r="K9" s="884"/>
    </row>
    <row r="10" spans="1:11">
      <c r="A10" s="465"/>
      <c r="B10" s="465"/>
      <c r="C10" s="465"/>
      <c r="D10" s="1319" t="s">
        <v>559</v>
      </c>
      <c r="E10" s="1319"/>
      <c r="F10" s="1319"/>
      <c r="G10" s="1319"/>
      <c r="H10" s="1319"/>
      <c r="I10" s="1319"/>
      <c r="J10" s="1319"/>
      <c r="K10" s="1319"/>
    </row>
    <row r="11" spans="1:11">
      <c r="A11" s="217" t="s">
        <v>313</v>
      </c>
      <c r="D11" s="217" t="s">
        <v>538</v>
      </c>
      <c r="E11" s="219" t="s">
        <v>350</v>
      </c>
      <c r="F11" s="219" t="s">
        <v>350</v>
      </c>
      <c r="G11" s="217" t="s">
        <v>1231</v>
      </c>
      <c r="H11" s="217" t="s">
        <v>693</v>
      </c>
      <c r="I11" s="217" t="s">
        <v>520</v>
      </c>
      <c r="J11" s="217" t="s">
        <v>1232</v>
      </c>
      <c r="K11" s="217" t="s">
        <v>549</v>
      </c>
    </row>
    <row r="12" spans="1:11">
      <c r="A12" s="890" t="s">
        <v>316</v>
      </c>
      <c r="B12" s="892"/>
      <c r="C12" s="890" t="s">
        <v>1233</v>
      </c>
      <c r="D12" s="890" t="s">
        <v>353</v>
      </c>
      <c r="E12" s="982" t="s">
        <v>354</v>
      </c>
      <c r="F12" s="982" t="s">
        <v>444</v>
      </c>
      <c r="G12" s="890" t="s">
        <v>444</v>
      </c>
      <c r="H12" s="890" t="s">
        <v>1234</v>
      </c>
      <c r="I12" s="890" t="s">
        <v>1235</v>
      </c>
      <c r="J12" s="890" t="s">
        <v>1236</v>
      </c>
      <c r="K12" s="890" t="s">
        <v>692</v>
      </c>
    </row>
    <row r="13" spans="1:11">
      <c r="A13" s="217"/>
      <c r="C13" s="229"/>
      <c r="D13" s="300" t="s">
        <v>532</v>
      </c>
      <c r="E13" s="300" t="s">
        <v>541</v>
      </c>
      <c r="F13" s="300" t="s">
        <v>2495</v>
      </c>
      <c r="G13" s="300" t="s">
        <v>2496</v>
      </c>
      <c r="H13" s="300" t="s">
        <v>669</v>
      </c>
      <c r="I13" s="300" t="s">
        <v>670</v>
      </c>
      <c r="J13" s="300" t="s">
        <v>2497</v>
      </c>
      <c r="K13" s="300" t="s">
        <v>985</v>
      </c>
    </row>
    <row r="14" spans="1:11">
      <c r="D14" s="217" t="s">
        <v>320</v>
      </c>
      <c r="E14" s="218"/>
      <c r="F14" s="219" t="s">
        <v>320</v>
      </c>
      <c r="G14" s="217" t="s">
        <v>320</v>
      </c>
      <c r="K14" s="217" t="s">
        <v>320</v>
      </c>
    </row>
    <row r="15" spans="1:11">
      <c r="A15" s="217">
        <v>1</v>
      </c>
      <c r="B15" s="301" t="s">
        <v>729</v>
      </c>
    </row>
    <row r="16" spans="1:11">
      <c r="A16" s="217">
        <f>A15+1</f>
        <v>2</v>
      </c>
      <c r="C16" s="229" t="s">
        <v>920</v>
      </c>
      <c r="D16" s="468">
        <f>'C-2.1.A Oper Rev&amp;Exp by Accts'!F68-'C-2.1.A Oper Rev&amp;Exp by Accts'!F64</f>
        <v>46329989.590000004</v>
      </c>
      <c r="E16" s="219" t="s">
        <v>533</v>
      </c>
      <c r="F16" s="466">
        <f>D16</f>
        <v>46329989.590000004</v>
      </c>
      <c r="G16" s="466">
        <f>ROUND(F16/365,0)</f>
        <v>126931</v>
      </c>
      <c r="H16" s="218">
        <v>21.43</v>
      </c>
      <c r="I16" s="398">
        <v>39.24</v>
      </c>
      <c r="J16" s="348">
        <f>H16-I16</f>
        <v>-17.810000000000002</v>
      </c>
      <c r="K16" s="466">
        <f>ROUND(J16*G16,0)</f>
        <v>-2260641</v>
      </c>
    </row>
    <row r="17" spans="1:11">
      <c r="A17" s="217">
        <f>A16+1</f>
        <v>3</v>
      </c>
      <c r="C17" s="229" t="s">
        <v>921</v>
      </c>
      <c r="D17" s="468">
        <v>16007754.52</v>
      </c>
      <c r="E17" s="219" t="s">
        <v>533</v>
      </c>
      <c r="F17" s="466">
        <f t="shared" ref="F17:F29" si="0">D17</f>
        <v>16007754.52</v>
      </c>
      <c r="G17" s="466">
        <f t="shared" ref="G17:G50" si="1">ROUND(F17/365,0)</f>
        <v>43857</v>
      </c>
      <c r="H17" s="218">
        <f>H16</f>
        <v>21.43</v>
      </c>
      <c r="I17" s="398">
        <v>0</v>
      </c>
      <c r="J17" s="348">
        <f t="shared" ref="J17:J50" si="2">H17-I17</f>
        <v>21.43</v>
      </c>
      <c r="K17" s="466">
        <f t="shared" ref="K17:K29" si="3">ROUND(J17*G17,0)</f>
        <v>939856</v>
      </c>
    </row>
    <row r="18" spans="1:11">
      <c r="A18" s="217">
        <f>A17+1</f>
        <v>4</v>
      </c>
      <c r="C18" s="220" t="s">
        <v>1237</v>
      </c>
      <c r="D18" s="468">
        <f>'WPD-2.4.A BP O&amp;M by Category'!O36</f>
        <v>1545001.0674673363</v>
      </c>
      <c r="E18" s="219" t="s">
        <v>533</v>
      </c>
      <c r="F18" s="466">
        <f t="shared" si="0"/>
        <v>1545001.0674673363</v>
      </c>
      <c r="G18" s="466">
        <f t="shared" si="1"/>
        <v>4233</v>
      </c>
      <c r="H18" s="218">
        <f t="shared" ref="H18:H27" si="4">H17</f>
        <v>21.43</v>
      </c>
      <c r="I18" s="1243">
        <v>-155.85</v>
      </c>
      <c r="J18" s="348">
        <f t="shared" si="2"/>
        <v>177.28</v>
      </c>
      <c r="K18" s="466">
        <f t="shared" si="3"/>
        <v>750426</v>
      </c>
    </row>
    <row r="19" spans="1:11">
      <c r="A19" s="217">
        <f t="shared" ref="A19:A34" si="5">A18+1</f>
        <v>5</v>
      </c>
      <c r="C19" s="229" t="s">
        <v>1238</v>
      </c>
      <c r="D19" s="328">
        <f>'WPD-2.4.A BP O&amp;M by Category'!O16</f>
        <v>11497037.2496357</v>
      </c>
      <c r="E19" s="219" t="s">
        <v>533</v>
      </c>
      <c r="F19" s="466">
        <f t="shared" si="0"/>
        <v>11497037.2496357</v>
      </c>
      <c r="G19" s="466">
        <f t="shared" si="1"/>
        <v>31499</v>
      </c>
      <c r="H19" s="218">
        <f t="shared" si="4"/>
        <v>21.43</v>
      </c>
      <c r="I19" s="398">
        <v>4.9000000000000004</v>
      </c>
      <c r="J19" s="348">
        <f t="shared" si="2"/>
        <v>16.53</v>
      </c>
      <c r="K19" s="466">
        <f t="shared" si="3"/>
        <v>520678</v>
      </c>
    </row>
    <row r="20" spans="1:11">
      <c r="A20" s="217">
        <f t="shared" si="5"/>
        <v>6</v>
      </c>
      <c r="C20" s="220" t="s">
        <v>1239</v>
      </c>
      <c r="D20" s="468">
        <f>'WPD-2.4.A BP O&amp;M by Category'!O18</f>
        <v>1269165.7929567171</v>
      </c>
      <c r="E20" s="219" t="s">
        <v>533</v>
      </c>
      <c r="F20" s="466">
        <f t="shared" si="0"/>
        <v>1269165.7929567171</v>
      </c>
      <c r="G20" s="466">
        <f t="shared" si="1"/>
        <v>3477</v>
      </c>
      <c r="H20" s="218">
        <f t="shared" si="4"/>
        <v>21.43</v>
      </c>
      <c r="I20" s="398">
        <v>239.87</v>
      </c>
      <c r="J20" s="348">
        <f t="shared" si="2"/>
        <v>-218.44</v>
      </c>
      <c r="K20" s="466">
        <f t="shared" si="3"/>
        <v>-759516</v>
      </c>
    </row>
    <row r="21" spans="1:11">
      <c r="A21" s="217">
        <f t="shared" si="5"/>
        <v>7</v>
      </c>
      <c r="C21" s="229" t="s">
        <v>1240</v>
      </c>
      <c r="D21" s="468">
        <f>'WPD-2.4.A BP O&amp;M by Category'!O27-D19-D20-D22-D23</f>
        <v>3173198.565505058</v>
      </c>
      <c r="E21" s="219" t="s">
        <v>533</v>
      </c>
      <c r="F21" s="466">
        <f t="shared" si="0"/>
        <v>3173198.565505058</v>
      </c>
      <c r="G21" s="466">
        <f t="shared" si="1"/>
        <v>8694</v>
      </c>
      <c r="H21" s="218">
        <f t="shared" si="4"/>
        <v>21.43</v>
      </c>
      <c r="I21" s="398">
        <v>13.7</v>
      </c>
      <c r="J21" s="348">
        <f t="shared" si="2"/>
        <v>7.73</v>
      </c>
      <c r="K21" s="466">
        <f t="shared" si="3"/>
        <v>67205</v>
      </c>
    </row>
    <row r="22" spans="1:11">
      <c r="A22" s="217">
        <f t="shared" si="5"/>
        <v>8</v>
      </c>
      <c r="C22" s="229" t="s">
        <v>2115</v>
      </c>
      <c r="D22" s="468">
        <f>SUM('WPD-2.4.A BP O&amp;M by Category'!O24:O25)</f>
        <v>376734.12591721991</v>
      </c>
      <c r="E22" s="219" t="s">
        <v>533</v>
      </c>
      <c r="F22" s="466">
        <f t="shared" si="0"/>
        <v>376734.12591721991</v>
      </c>
      <c r="G22" s="466">
        <f t="shared" si="1"/>
        <v>1032</v>
      </c>
      <c r="H22" s="218">
        <f t="shared" si="4"/>
        <v>21.43</v>
      </c>
      <c r="I22" s="983">
        <f>H22</f>
        <v>21.43</v>
      </c>
      <c r="J22" s="348">
        <f t="shared" si="2"/>
        <v>0</v>
      </c>
      <c r="K22" s="466">
        <f t="shared" si="3"/>
        <v>0</v>
      </c>
    </row>
    <row r="23" spans="1:11">
      <c r="A23" s="217">
        <f t="shared" si="5"/>
        <v>9</v>
      </c>
      <c r="C23" s="220" t="s">
        <v>2114</v>
      </c>
      <c r="D23" s="468">
        <f>SUM('WPD-2.4.A BP O&amp;M by Category'!O21:O22)</f>
        <v>84855.180999999997</v>
      </c>
      <c r="E23" s="219" t="s">
        <v>533</v>
      </c>
      <c r="F23" s="466">
        <f t="shared" si="0"/>
        <v>84855.180999999997</v>
      </c>
      <c r="G23" s="466">
        <f t="shared" si="1"/>
        <v>232</v>
      </c>
      <c r="H23" s="218">
        <f t="shared" si="4"/>
        <v>21.43</v>
      </c>
      <c r="I23" s="398">
        <v>43.4</v>
      </c>
      <c r="J23" s="348">
        <f t="shared" si="2"/>
        <v>-21.97</v>
      </c>
      <c r="K23" s="466">
        <f t="shared" si="3"/>
        <v>-5097</v>
      </c>
    </row>
    <row r="24" spans="1:11">
      <c r="A24" s="217">
        <f t="shared" si="5"/>
        <v>10</v>
      </c>
      <c r="C24" s="220" t="s">
        <v>1241</v>
      </c>
      <c r="D24" s="468">
        <f>'WPD-2.4.A BP O&amp;M by Category'!O41+'WPD-2.4.A BP O&amp;M by Category'!O42</f>
        <v>899254.27022999991</v>
      </c>
      <c r="E24" s="219" t="s">
        <v>533</v>
      </c>
      <c r="F24" s="466">
        <f t="shared" si="0"/>
        <v>899254.27022999991</v>
      </c>
      <c r="G24" s="466">
        <f t="shared" si="1"/>
        <v>2464</v>
      </c>
      <c r="H24" s="218">
        <f t="shared" si="4"/>
        <v>21.43</v>
      </c>
      <c r="I24" s="983">
        <f>H24</f>
        <v>21.43</v>
      </c>
      <c r="J24" s="348">
        <f t="shared" si="2"/>
        <v>0</v>
      </c>
      <c r="K24" s="466">
        <f t="shared" si="3"/>
        <v>0</v>
      </c>
    </row>
    <row r="25" spans="1:11">
      <c r="A25" s="217">
        <f t="shared" si="5"/>
        <v>11</v>
      </c>
      <c r="C25" s="220" t="s">
        <v>1242</v>
      </c>
      <c r="D25" s="468">
        <f>'WPD-2.4.A BP O&amp;M by Category'!O40</f>
        <v>22282492.989827022</v>
      </c>
      <c r="E25" s="219" t="s">
        <v>533</v>
      </c>
      <c r="F25" s="466">
        <f t="shared" si="0"/>
        <v>22282492.989827022</v>
      </c>
      <c r="G25" s="466">
        <f t="shared" si="1"/>
        <v>61048</v>
      </c>
      <c r="H25" s="218">
        <f t="shared" si="4"/>
        <v>21.43</v>
      </c>
      <c r="I25" s="398">
        <v>39.4</v>
      </c>
      <c r="J25" s="348">
        <f t="shared" si="2"/>
        <v>-17.97</v>
      </c>
      <c r="K25" s="466">
        <f t="shared" si="3"/>
        <v>-1097033</v>
      </c>
    </row>
    <row r="26" spans="1:11">
      <c r="A26" s="217">
        <f t="shared" si="5"/>
        <v>12</v>
      </c>
      <c r="C26" s="220" t="s">
        <v>2445</v>
      </c>
      <c r="D26" s="473">
        <f>'WPD-2.4.A BP O&amp;M by Category'!O46+'WPD-2.4.A BP O&amp;M by Category'!O47</f>
        <v>526830.72834124882</v>
      </c>
      <c r="E26" s="219" t="s">
        <v>533</v>
      </c>
      <c r="F26" s="466">
        <f t="shared" si="0"/>
        <v>526830.72834124882</v>
      </c>
      <c r="G26" s="466">
        <f t="shared" si="1"/>
        <v>1443</v>
      </c>
      <c r="H26" s="218">
        <f t="shared" si="4"/>
        <v>21.43</v>
      </c>
      <c r="I26" s="983">
        <f>H26</f>
        <v>21.43</v>
      </c>
      <c r="J26" s="348">
        <f t="shared" si="2"/>
        <v>0</v>
      </c>
      <c r="K26" s="466">
        <f t="shared" si="3"/>
        <v>0</v>
      </c>
    </row>
    <row r="27" spans="1:11">
      <c r="A27" s="217">
        <f t="shared" si="5"/>
        <v>13</v>
      </c>
      <c r="C27" s="220" t="s">
        <v>1243</v>
      </c>
      <c r="D27" s="468">
        <f>'C-1 Operating Income Summary'!I22+'C-1 Operating Income Summary'!I23-SUM(D16:D26)</f>
        <v>-2364290.7408802956</v>
      </c>
      <c r="E27" s="219" t="s">
        <v>533</v>
      </c>
      <c r="F27" s="466">
        <f t="shared" si="0"/>
        <v>-2364290.7408802956</v>
      </c>
      <c r="G27" s="466">
        <f t="shared" si="1"/>
        <v>-6478</v>
      </c>
      <c r="H27" s="218">
        <f t="shared" si="4"/>
        <v>21.43</v>
      </c>
      <c r="I27" s="398">
        <v>26.08</v>
      </c>
      <c r="J27" s="348">
        <f t="shared" si="2"/>
        <v>-4.6499999999999986</v>
      </c>
      <c r="K27" s="466">
        <f t="shared" si="3"/>
        <v>30123</v>
      </c>
    </row>
    <row r="28" spans="1:11">
      <c r="A28" s="217"/>
      <c r="D28" s="328"/>
      <c r="E28" s="219"/>
      <c r="F28" s="470"/>
      <c r="G28" s="466"/>
      <c r="H28" s="218"/>
      <c r="I28" s="983"/>
      <c r="J28" s="348"/>
    </row>
    <row r="29" spans="1:11">
      <c r="A29" s="217">
        <f>A27+1</f>
        <v>14</v>
      </c>
      <c r="C29" s="220" t="s">
        <v>1244</v>
      </c>
      <c r="D29" s="468">
        <f>'C-1 Operating Income Summary'!I24</f>
        <v>21467696.683611367</v>
      </c>
      <c r="E29" s="219" t="s">
        <v>533</v>
      </c>
      <c r="F29" s="466">
        <f t="shared" si="0"/>
        <v>21467696.683611367</v>
      </c>
      <c r="G29" s="466">
        <f t="shared" si="1"/>
        <v>58816</v>
      </c>
      <c r="H29" s="218">
        <f>H27</f>
        <v>21.43</v>
      </c>
      <c r="I29" s="983">
        <f>H29</f>
        <v>21.43</v>
      </c>
      <c r="J29" s="348">
        <f t="shared" si="2"/>
        <v>0</v>
      </c>
      <c r="K29" s="466">
        <f t="shared" si="3"/>
        <v>0</v>
      </c>
    </row>
    <row r="30" spans="1:11">
      <c r="A30" s="217"/>
      <c r="D30" s="328"/>
      <c r="E30" s="328"/>
      <c r="F30" s="328"/>
      <c r="G30" s="466"/>
      <c r="H30" s="218"/>
      <c r="I30" s="983"/>
      <c r="J30" s="348"/>
    </row>
    <row r="31" spans="1:11">
      <c r="A31" s="217">
        <f>A29+1</f>
        <v>15</v>
      </c>
      <c r="B31" s="301" t="s">
        <v>2895</v>
      </c>
      <c r="D31" s="328"/>
      <c r="E31" s="328"/>
      <c r="F31" s="328"/>
      <c r="G31" s="466"/>
      <c r="H31" s="218"/>
      <c r="I31" s="983"/>
      <c r="J31" s="348"/>
    </row>
    <row r="32" spans="1:11">
      <c r="A32" s="217">
        <f t="shared" si="5"/>
        <v>16</v>
      </c>
      <c r="C32" s="220" t="s">
        <v>1245</v>
      </c>
      <c r="D32" s="227">
        <f>'C-2 Adj Operating Income Sum'!I35</f>
        <v>879840.944183129</v>
      </c>
      <c r="E32" s="219" t="s">
        <v>533</v>
      </c>
      <c r="F32" s="466">
        <f>D32</f>
        <v>879840.944183129</v>
      </c>
      <c r="G32" s="466">
        <f t="shared" si="1"/>
        <v>2411</v>
      </c>
      <c r="H32" s="218">
        <f>H29</f>
        <v>21.43</v>
      </c>
      <c r="I32" s="398">
        <v>8.6999999999999993</v>
      </c>
      <c r="J32" s="348">
        <f t="shared" si="2"/>
        <v>12.73</v>
      </c>
      <c r="K32" s="466">
        <f>ROUND(J32*G32,0)</f>
        <v>30692</v>
      </c>
    </row>
    <row r="33" spans="1:11">
      <c r="A33" s="217">
        <f t="shared" si="5"/>
        <v>17</v>
      </c>
      <c r="C33" s="220" t="s">
        <v>1246</v>
      </c>
      <c r="D33" s="474">
        <f>'C-2 Adj Operating Income Sum'!I34</f>
        <v>5007996.589045343</v>
      </c>
      <c r="E33" s="219" t="s">
        <v>533</v>
      </c>
      <c r="F33" s="466">
        <f>D33</f>
        <v>5007996.589045343</v>
      </c>
      <c r="G33" s="466">
        <f t="shared" si="1"/>
        <v>13721</v>
      </c>
      <c r="H33" s="218">
        <f>H32</f>
        <v>21.43</v>
      </c>
      <c r="I33" s="398">
        <v>297.97000000000003</v>
      </c>
      <c r="J33" s="348">
        <f t="shared" si="2"/>
        <v>-276.54000000000002</v>
      </c>
      <c r="K33" s="466">
        <f>ROUND(J33*G33,0)</f>
        <v>-3794405</v>
      </c>
    </row>
    <row r="34" spans="1:11">
      <c r="A34" s="217">
        <f t="shared" si="5"/>
        <v>18</v>
      </c>
      <c r="C34" s="220" t="s">
        <v>1247</v>
      </c>
      <c r="D34" s="474">
        <f>'C-2 Adj Operating Income Sum'!I36</f>
        <v>117299.97</v>
      </c>
      <c r="E34" s="219" t="s">
        <v>533</v>
      </c>
      <c r="F34" s="466">
        <f>D34</f>
        <v>117299.97</v>
      </c>
      <c r="G34" s="466">
        <f t="shared" si="1"/>
        <v>321</v>
      </c>
      <c r="H34" s="218">
        <f>H33</f>
        <v>21.43</v>
      </c>
      <c r="I34" s="398">
        <v>45</v>
      </c>
      <c r="J34" s="348">
        <f t="shared" si="2"/>
        <v>-23.57</v>
      </c>
      <c r="K34" s="466">
        <f>ROUND(J34*G34,0)</f>
        <v>-7566</v>
      </c>
    </row>
    <row r="35" spans="1:11">
      <c r="A35" s="217"/>
      <c r="D35" s="328"/>
      <c r="E35" s="328"/>
      <c r="F35" s="328"/>
      <c r="G35" s="466"/>
      <c r="H35" s="218"/>
      <c r="I35" s="983"/>
      <c r="J35" s="348"/>
    </row>
    <row r="36" spans="1:11">
      <c r="A36" s="217">
        <f>A34+1</f>
        <v>19</v>
      </c>
      <c r="B36" s="301" t="s">
        <v>140</v>
      </c>
      <c r="D36" s="328"/>
      <c r="E36" s="328"/>
      <c r="F36" s="328"/>
      <c r="G36" s="466"/>
      <c r="H36" s="218"/>
      <c r="I36" s="983"/>
      <c r="J36" s="348"/>
    </row>
    <row r="37" spans="1:11">
      <c r="A37" s="217">
        <f>A36+1</f>
        <v>20</v>
      </c>
      <c r="C37" s="220" t="s">
        <v>1248</v>
      </c>
      <c r="D37" s="474">
        <f>'E-1.1 Fed &amp; State Inc Tax'!F43+'E-1.2 CWC Fed&amp;State Intrst Sync'!F138</f>
        <v>-1940830.1062962878</v>
      </c>
      <c r="E37" s="219" t="s">
        <v>533</v>
      </c>
      <c r="F37" s="466">
        <f>D37</f>
        <v>-1940830.1062962878</v>
      </c>
      <c r="G37" s="466">
        <f t="shared" si="1"/>
        <v>-5317</v>
      </c>
      <c r="H37" s="218">
        <f>H34</f>
        <v>21.43</v>
      </c>
      <c r="I37" s="398">
        <v>37.5</v>
      </c>
      <c r="J37" s="348">
        <f t="shared" si="2"/>
        <v>-16.07</v>
      </c>
      <c r="K37" s="466">
        <f>ROUND(J37*G37,0)</f>
        <v>85444</v>
      </c>
    </row>
    <row r="38" spans="1:11">
      <c r="A38" s="217">
        <f>A37+1</f>
        <v>21</v>
      </c>
      <c r="C38" s="220" t="s">
        <v>1249</v>
      </c>
      <c r="D38" s="227">
        <f>'E-1.1 Fed &amp; State Inc Tax'!F44+'E-1.2 CWC Fed&amp;State Intrst Sync'!F137</f>
        <v>-1218424.5685805492</v>
      </c>
      <c r="E38" s="219" t="s">
        <v>533</v>
      </c>
      <c r="F38" s="466">
        <f>D38</f>
        <v>-1218424.5685805492</v>
      </c>
      <c r="G38" s="466">
        <f t="shared" si="1"/>
        <v>-3338</v>
      </c>
      <c r="H38" s="218">
        <f>H37</f>
        <v>21.43</v>
      </c>
      <c r="I38" s="983">
        <f>I37</f>
        <v>37.5</v>
      </c>
      <c r="J38" s="348">
        <f t="shared" si="2"/>
        <v>-16.07</v>
      </c>
      <c r="K38" s="466">
        <f>ROUND(J38*G38,0)</f>
        <v>53642</v>
      </c>
    </row>
    <row r="39" spans="1:11">
      <c r="A39" s="217">
        <f>A38+1</f>
        <v>22</v>
      </c>
      <c r="C39" s="220" t="s">
        <v>1250</v>
      </c>
      <c r="D39" s="475">
        <f>'C-1 Operating Income Summary'!I32-SUM(D37:D38)</f>
        <v>9241539.6748768371</v>
      </c>
      <c r="E39" s="219" t="s">
        <v>533</v>
      </c>
      <c r="F39" s="466">
        <f>D39</f>
        <v>9241539.6748768371</v>
      </c>
      <c r="G39" s="466">
        <f t="shared" si="1"/>
        <v>25319</v>
      </c>
      <c r="H39" s="218">
        <f>H38</f>
        <v>21.43</v>
      </c>
      <c r="I39" s="983">
        <f>H39</f>
        <v>21.43</v>
      </c>
      <c r="J39" s="348">
        <f t="shared" si="2"/>
        <v>0</v>
      </c>
      <c r="K39" s="466">
        <f>ROUND(J39*G39,0)</f>
        <v>0</v>
      </c>
    </row>
    <row r="40" spans="1:11">
      <c r="D40" s="468"/>
      <c r="E40" s="219"/>
      <c r="F40" s="470"/>
      <c r="G40" s="466"/>
      <c r="H40" s="218"/>
      <c r="I40" s="983"/>
      <c r="J40" s="348"/>
    </row>
    <row r="41" spans="1:11">
      <c r="A41" s="217">
        <f>A39+1</f>
        <v>23</v>
      </c>
      <c r="B41" s="301" t="s">
        <v>2896</v>
      </c>
      <c r="D41" s="328"/>
      <c r="E41" s="219"/>
      <c r="F41" s="470"/>
      <c r="G41" s="466"/>
      <c r="H41" s="218"/>
      <c r="I41" s="983"/>
      <c r="J41" s="348"/>
    </row>
    <row r="42" spans="1:11">
      <c r="A42" s="217">
        <f>A41+1</f>
        <v>24</v>
      </c>
      <c r="C42" s="220" t="s">
        <v>1251</v>
      </c>
      <c r="D42" s="468">
        <f>-'C-2.2.A Total Co Accts Activ '!P128</f>
        <v>3619027.407390669</v>
      </c>
      <c r="E42" s="219" t="s">
        <v>533</v>
      </c>
      <c r="F42" s="466">
        <f>D42</f>
        <v>3619027.407390669</v>
      </c>
      <c r="G42" s="466">
        <f t="shared" si="1"/>
        <v>9915</v>
      </c>
      <c r="H42" s="218">
        <f>H39</f>
        <v>21.43</v>
      </c>
      <c r="I42" s="983">
        <f>H42</f>
        <v>21.43</v>
      </c>
      <c r="J42" s="348">
        <f t="shared" si="2"/>
        <v>0</v>
      </c>
      <c r="K42" s="466">
        <f>ROUND(J42*G42,0)</f>
        <v>0</v>
      </c>
    </row>
    <row r="43" spans="1:11">
      <c r="A43" s="217">
        <f>A42+1</f>
        <v>25</v>
      </c>
      <c r="C43" s="220" t="s">
        <v>1252</v>
      </c>
      <c r="D43" s="468">
        <f>'E-1.1 Fed &amp; State Inc Tax'!D73</f>
        <v>11633981.281446217</v>
      </c>
      <c r="E43" s="219" t="s">
        <v>533</v>
      </c>
      <c r="F43" s="466">
        <f>D43</f>
        <v>11633981.281446217</v>
      </c>
      <c r="G43" s="466">
        <f t="shared" si="1"/>
        <v>31874</v>
      </c>
      <c r="H43" s="218">
        <f>H42</f>
        <v>21.43</v>
      </c>
      <c r="I43" s="398">
        <v>83.46</v>
      </c>
      <c r="J43" s="348">
        <f t="shared" si="2"/>
        <v>-62.029999999999994</v>
      </c>
      <c r="K43" s="466">
        <f>ROUND(J43*G43,0)</f>
        <v>-1977144</v>
      </c>
    </row>
    <row r="44" spans="1:11">
      <c r="A44" s="217">
        <f>A43+1</f>
        <v>26</v>
      </c>
      <c r="C44" s="220" t="s">
        <v>1253</v>
      </c>
      <c r="D44" s="984">
        <f>-'C-2.2.A Total Co Accts Activ '!P130</f>
        <v>24348530.50332747</v>
      </c>
      <c r="E44" s="219" t="s">
        <v>533</v>
      </c>
      <c r="F44" s="984">
        <f>D44</f>
        <v>24348530.50332747</v>
      </c>
      <c r="G44" s="984">
        <f t="shared" si="1"/>
        <v>66708</v>
      </c>
      <c r="H44" s="218">
        <f>H43</f>
        <v>21.43</v>
      </c>
      <c r="I44" s="983">
        <f>H44</f>
        <v>21.43</v>
      </c>
      <c r="J44" s="348">
        <f t="shared" si="2"/>
        <v>0</v>
      </c>
      <c r="K44" s="985">
        <f>ROUND(J44*G44,0)</f>
        <v>0</v>
      </c>
    </row>
    <row r="45" spans="1:11">
      <c r="D45" s="328"/>
      <c r="E45" s="328"/>
      <c r="F45" s="328"/>
      <c r="G45" s="466"/>
      <c r="H45" s="218"/>
      <c r="I45" s="983"/>
      <c r="J45" s="348"/>
    </row>
    <row r="46" spans="1:11">
      <c r="A46" s="217">
        <f>A44+1</f>
        <v>27</v>
      </c>
      <c r="C46" s="326" t="s">
        <v>531</v>
      </c>
      <c r="D46" s="468">
        <f>SUM(D16:D39)-D42+SUM(D43+D44)</f>
        <v>167546626.90422285</v>
      </c>
      <c r="E46" s="219" t="s">
        <v>533</v>
      </c>
      <c r="F46" s="466">
        <f>D46</f>
        <v>167546626.90422285</v>
      </c>
      <c r="G46" s="466">
        <f t="shared" si="1"/>
        <v>459032</v>
      </c>
      <c r="H46" s="218"/>
      <c r="I46" s="983"/>
      <c r="J46" s="348"/>
      <c r="K46" s="397">
        <f>SUM(K16:K44)</f>
        <v>-7423336</v>
      </c>
    </row>
    <row r="47" spans="1:11">
      <c r="D47" s="328"/>
      <c r="E47" s="219"/>
      <c r="F47" s="470"/>
      <c r="G47" s="466"/>
      <c r="H47" s="218"/>
      <c r="I47" s="983"/>
      <c r="J47" s="348"/>
    </row>
    <row r="48" spans="1:11">
      <c r="A48" s="217">
        <f>A46+1</f>
        <v>28</v>
      </c>
      <c r="C48" s="220" t="s">
        <v>1254</v>
      </c>
      <c r="D48" s="328">
        <v>6266788.4100000001</v>
      </c>
      <c r="E48" s="219" t="s">
        <v>533</v>
      </c>
      <c r="F48" s="466">
        <f>D48</f>
        <v>6266788.4100000001</v>
      </c>
      <c r="G48" s="466">
        <f t="shared" si="1"/>
        <v>17169</v>
      </c>
      <c r="H48" s="218">
        <f>H44</f>
        <v>21.43</v>
      </c>
      <c r="I48" s="398">
        <v>35.5</v>
      </c>
      <c r="J48" s="348">
        <f t="shared" si="2"/>
        <v>-14.07</v>
      </c>
      <c r="K48" s="466">
        <f>ROUND(J48*G48,0)</f>
        <v>-241568</v>
      </c>
    </row>
    <row r="49" spans="1:11">
      <c r="A49" s="217">
        <f>A48+1</f>
        <v>29</v>
      </c>
      <c r="C49" s="220" t="s">
        <v>1255</v>
      </c>
      <c r="D49" s="328">
        <v>5411905.6600000001</v>
      </c>
      <c r="E49" s="219" t="s">
        <v>533</v>
      </c>
      <c r="F49" s="466">
        <f>D49</f>
        <v>5411905.6600000001</v>
      </c>
      <c r="G49" s="466">
        <f t="shared" si="1"/>
        <v>14827</v>
      </c>
      <c r="H49" s="218">
        <f>H48</f>
        <v>21.43</v>
      </c>
      <c r="I49" s="398">
        <v>44.9</v>
      </c>
      <c r="J49" s="348">
        <f t="shared" si="2"/>
        <v>-23.47</v>
      </c>
      <c r="K49" s="466">
        <f>ROUND(J49*G49,0)</f>
        <v>-347990</v>
      </c>
    </row>
    <row r="50" spans="1:11">
      <c r="A50" s="217">
        <f>A49+1</f>
        <v>30</v>
      </c>
      <c r="C50" s="220" t="s">
        <v>1256</v>
      </c>
      <c r="D50" s="328">
        <v>4660351.2699999996</v>
      </c>
      <c r="E50" s="219" t="s">
        <v>533</v>
      </c>
      <c r="F50" s="466">
        <f>D50</f>
        <v>4660351.2699999996</v>
      </c>
      <c r="G50" s="466">
        <f t="shared" si="1"/>
        <v>12768</v>
      </c>
      <c r="H50" s="218">
        <f>H49</f>
        <v>21.43</v>
      </c>
      <c r="I50" s="398">
        <v>40.1</v>
      </c>
      <c r="J50" s="348">
        <f t="shared" si="2"/>
        <v>-18.670000000000002</v>
      </c>
      <c r="K50" s="466">
        <f>ROUND(J50*G50,0)</f>
        <v>-238379</v>
      </c>
    </row>
    <row r="51" spans="1:11">
      <c r="A51" s="217"/>
      <c r="D51" s="475"/>
      <c r="E51" s="475"/>
      <c r="F51" s="475"/>
      <c r="G51" s="466"/>
      <c r="I51" s="398"/>
      <c r="J51" s="348"/>
      <c r="K51" s="466"/>
    </row>
    <row r="52" spans="1:11">
      <c r="A52" s="217">
        <f>A50+1</f>
        <v>31</v>
      </c>
      <c r="C52" s="220" t="s">
        <v>1257</v>
      </c>
      <c r="D52" s="328"/>
      <c r="E52" s="328"/>
      <c r="F52" s="328"/>
      <c r="G52" s="466"/>
      <c r="I52" s="398"/>
      <c r="J52" s="348"/>
      <c r="K52" s="471">
        <f>SUM(K46:K50)</f>
        <v>-8251273</v>
      </c>
    </row>
    <row r="53" spans="1:11">
      <c r="A53" s="217"/>
      <c r="D53" s="475"/>
      <c r="E53" s="475"/>
      <c r="F53" s="475"/>
      <c r="G53" s="466"/>
      <c r="I53" s="398"/>
      <c r="J53" s="348"/>
      <c r="K53" s="466"/>
    </row>
    <row r="54" spans="1:11">
      <c r="A54" s="217">
        <f>A52+1</f>
        <v>32</v>
      </c>
      <c r="C54" s="220" t="s">
        <v>1258</v>
      </c>
      <c r="K54" s="472">
        <v>0</v>
      </c>
    </row>
  </sheetData>
  <mergeCells count="5">
    <mergeCell ref="A1:K1"/>
    <mergeCell ref="A2:K2"/>
    <mergeCell ref="A3:K3"/>
    <mergeCell ref="A4:K4"/>
    <mergeCell ref="D10:K10"/>
  </mergeCells>
  <printOptions horizontalCentered="1"/>
  <pageMargins left="0.5" right="0.5" top="0.75" bottom="0.5" header="0.3" footer="0.3"/>
  <pageSetup scale="76"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K54"/>
  <sheetViews>
    <sheetView zoomScaleNormal="100" zoomScaleSheetLayoutView="100" workbookViewId="0">
      <selection activeCell="D22" sqref="D22"/>
    </sheetView>
  </sheetViews>
  <sheetFormatPr defaultColWidth="9.6640625" defaultRowHeight="12.75"/>
  <cols>
    <col min="1" max="1" width="5.6640625" style="220" customWidth="1"/>
    <col min="2" max="2" width="2.6640625" style="220" customWidth="1"/>
    <col min="3" max="3" width="55.6640625" style="220" customWidth="1"/>
    <col min="4" max="4" width="22.6640625" style="220" bestFit="1" customWidth="1"/>
    <col min="5" max="6" width="22.6640625" style="220" customWidth="1"/>
    <col min="7" max="7" width="19.33203125" style="220" bestFit="1" customWidth="1"/>
    <col min="8" max="8" width="12.1640625" style="220" bestFit="1" customWidth="1"/>
    <col min="9" max="9" width="13.5" style="220" bestFit="1" customWidth="1"/>
    <col min="10" max="10" width="12.6640625" style="220" customWidth="1"/>
    <col min="11" max="11" width="21.6640625" style="220" bestFit="1" customWidth="1"/>
    <col min="12" max="16384" width="9.6640625" style="220"/>
  </cols>
  <sheetData>
    <row r="1" spans="1:11">
      <c r="A1" s="1306" t="str">
        <f>'B-5.2.A CWC (Base)'!A1:K1</f>
        <v>COLUMBIA GAS OF KENTUCKY, INC.</v>
      </c>
      <c r="B1" s="1306"/>
      <c r="C1" s="1306"/>
      <c r="D1" s="1306"/>
      <c r="E1" s="1306"/>
      <c r="F1" s="1306"/>
      <c r="G1" s="1306"/>
      <c r="H1" s="1306"/>
      <c r="I1" s="1306"/>
      <c r="J1" s="1306"/>
      <c r="K1" s="1306"/>
    </row>
    <row r="2" spans="1:11">
      <c r="A2" s="1306" t="str">
        <f>'B-5.2.A CWC (Base)'!A2:K2</f>
        <v>CASE NO. 2024 - 00092</v>
      </c>
      <c r="B2" s="1306"/>
      <c r="C2" s="1306"/>
      <c r="D2" s="1306"/>
      <c r="E2" s="1306"/>
      <c r="F2" s="1306"/>
      <c r="G2" s="1306"/>
      <c r="H2" s="1306"/>
      <c r="I2" s="1306"/>
      <c r="J2" s="1306"/>
      <c r="K2" s="1306"/>
    </row>
    <row r="3" spans="1:11">
      <c r="A3" s="1306" t="s">
        <v>1230</v>
      </c>
      <c r="B3" s="1306"/>
      <c r="C3" s="1306"/>
      <c r="D3" s="1306"/>
      <c r="E3" s="1306"/>
      <c r="F3" s="1306"/>
      <c r="G3" s="1306"/>
      <c r="H3" s="1306"/>
      <c r="I3" s="1306"/>
      <c r="J3" s="1306"/>
      <c r="K3" s="1306"/>
    </row>
    <row r="4" spans="1:11">
      <c r="A4" s="1306" t="str">
        <f>'General Headers Index'!B17</f>
        <v>AS OF DECEMBER 31, 2025</v>
      </c>
      <c r="B4" s="1306"/>
      <c r="C4" s="1306"/>
      <c r="D4" s="1306"/>
      <c r="E4" s="1306"/>
      <c r="F4" s="1306"/>
      <c r="G4" s="1306"/>
      <c r="H4" s="1306"/>
      <c r="I4" s="1306"/>
      <c r="J4" s="1306"/>
      <c r="K4" s="1306"/>
    </row>
    <row r="6" spans="1:11">
      <c r="A6" s="229" t="s">
        <v>2788</v>
      </c>
      <c r="K6" s="326" t="s">
        <v>2941</v>
      </c>
    </row>
    <row r="7" spans="1:11">
      <c r="A7" s="229" t="s">
        <v>687</v>
      </c>
      <c r="K7" s="326" t="s">
        <v>650</v>
      </c>
    </row>
    <row r="8" spans="1:11">
      <c r="A8" s="229" t="s">
        <v>3063</v>
      </c>
      <c r="K8" s="326" t="str">
        <f>"WITNESS: "&amp;'General Headers Index'!B44</f>
        <v>WITNESS: JOHNSON</v>
      </c>
    </row>
    <row r="9" spans="1:11">
      <c r="A9" s="229"/>
      <c r="G9" s="884"/>
      <c r="H9" s="884"/>
      <c r="I9" s="884"/>
      <c r="J9" s="884"/>
      <c r="K9" s="884"/>
    </row>
    <row r="10" spans="1:11">
      <c r="A10" s="465"/>
      <c r="B10" s="465"/>
      <c r="C10" s="465"/>
      <c r="D10" s="1319" t="s">
        <v>559</v>
      </c>
      <c r="E10" s="1319"/>
      <c r="F10" s="1319"/>
      <c r="G10" s="1319"/>
      <c r="H10" s="1319"/>
      <c r="I10" s="1319"/>
      <c r="J10" s="1319"/>
      <c r="K10" s="1319"/>
    </row>
    <row r="11" spans="1:11">
      <c r="A11" s="217" t="s">
        <v>313</v>
      </c>
      <c r="D11" s="217" t="s">
        <v>538</v>
      </c>
      <c r="E11" s="219" t="s">
        <v>350</v>
      </c>
      <c r="F11" s="219" t="s">
        <v>350</v>
      </c>
      <c r="G11" s="217" t="s">
        <v>1231</v>
      </c>
      <c r="H11" s="217" t="s">
        <v>693</v>
      </c>
      <c r="I11" s="217" t="s">
        <v>520</v>
      </c>
      <c r="J11" s="217" t="s">
        <v>1232</v>
      </c>
      <c r="K11" s="217" t="s">
        <v>549</v>
      </c>
    </row>
    <row r="12" spans="1:11">
      <c r="A12" s="890" t="s">
        <v>316</v>
      </c>
      <c r="B12" s="892"/>
      <c r="C12" s="890" t="s">
        <v>1259</v>
      </c>
      <c r="D12" s="890" t="s">
        <v>353</v>
      </c>
      <c r="E12" s="982" t="s">
        <v>354</v>
      </c>
      <c r="F12" s="982" t="s">
        <v>444</v>
      </c>
      <c r="G12" s="890" t="s">
        <v>444</v>
      </c>
      <c r="H12" s="890" t="s">
        <v>1234</v>
      </c>
      <c r="I12" s="890" t="s">
        <v>1235</v>
      </c>
      <c r="J12" s="890" t="s">
        <v>1236</v>
      </c>
      <c r="K12" s="890" t="s">
        <v>692</v>
      </c>
    </row>
    <row r="13" spans="1:11">
      <c r="A13" s="217"/>
      <c r="C13" s="229"/>
      <c r="D13" s="300" t="s">
        <v>532</v>
      </c>
      <c r="E13" s="300" t="s">
        <v>541</v>
      </c>
      <c r="F13" s="300" t="s">
        <v>2495</v>
      </c>
      <c r="G13" s="300" t="s">
        <v>2496</v>
      </c>
      <c r="H13" s="300" t="s">
        <v>669</v>
      </c>
      <c r="I13" s="300" t="s">
        <v>670</v>
      </c>
      <c r="J13" s="300" t="s">
        <v>2497</v>
      </c>
      <c r="K13" s="300" t="s">
        <v>985</v>
      </c>
    </row>
    <row r="14" spans="1:11">
      <c r="D14" s="217" t="s">
        <v>320</v>
      </c>
      <c r="E14" s="218"/>
      <c r="F14" s="219" t="s">
        <v>320</v>
      </c>
      <c r="G14" s="217" t="s">
        <v>320</v>
      </c>
      <c r="K14" s="217" t="s">
        <v>320</v>
      </c>
    </row>
    <row r="15" spans="1:11">
      <c r="A15" s="217">
        <v>1</v>
      </c>
      <c r="B15" s="301" t="s">
        <v>729</v>
      </c>
    </row>
    <row r="16" spans="1:11">
      <c r="A16" s="217">
        <f>A15+1</f>
        <v>2</v>
      </c>
      <c r="C16" s="229" t="s">
        <v>920</v>
      </c>
      <c r="D16" s="468">
        <f>'C-1 Operating Income Summary'!M22-D17</f>
        <v>26766112.270000003</v>
      </c>
      <c r="E16" s="219" t="s">
        <v>533</v>
      </c>
      <c r="F16" s="466">
        <f>D16</f>
        <v>26766112.270000003</v>
      </c>
      <c r="G16" s="466">
        <f>ROUND(F16/365,0)</f>
        <v>73332</v>
      </c>
      <c r="H16" s="220">
        <v>21.43</v>
      </c>
      <c r="I16" s="398">
        <v>39.24</v>
      </c>
      <c r="J16" s="348">
        <f t="shared" ref="J16:J50" si="0">H16-I16</f>
        <v>-17.810000000000002</v>
      </c>
      <c r="K16" s="466">
        <f>ROUND(J16*G16,0)</f>
        <v>-1306043</v>
      </c>
    </row>
    <row r="17" spans="1:11">
      <c r="A17" s="217">
        <f>A16+1</f>
        <v>3</v>
      </c>
      <c r="C17" s="229" t="s">
        <v>921</v>
      </c>
      <c r="D17" s="328">
        <v>8646909.3900000006</v>
      </c>
      <c r="E17" s="219" t="s">
        <v>533</v>
      </c>
      <c r="F17" s="466">
        <f t="shared" ref="F17:F29" si="1">D17</f>
        <v>8646909.3900000006</v>
      </c>
      <c r="G17" s="466">
        <f t="shared" ref="G17:G50" si="2">ROUND(F17/365,0)</f>
        <v>23690</v>
      </c>
      <c r="H17" s="220">
        <f>H16</f>
        <v>21.43</v>
      </c>
      <c r="I17" s="398">
        <v>0</v>
      </c>
      <c r="J17" s="348">
        <f t="shared" si="0"/>
        <v>21.43</v>
      </c>
      <c r="K17" s="466">
        <f t="shared" ref="K17:K29" si="3">ROUND(J17*G17,0)</f>
        <v>507677</v>
      </c>
    </row>
    <row r="18" spans="1:11">
      <c r="A18" s="217">
        <f t="shared" ref="A18:A34" si="4">A17+1</f>
        <v>4</v>
      </c>
      <c r="C18" s="220" t="s">
        <v>1237</v>
      </c>
      <c r="D18" s="328">
        <f>'WPD-2.4.B FTP O&amp;M by Category'!O36+'D-2.6'!R51</f>
        <v>1394938.1812145161</v>
      </c>
      <c r="E18" s="219" t="s">
        <v>533</v>
      </c>
      <c r="F18" s="466">
        <f t="shared" si="1"/>
        <v>1394938.1812145161</v>
      </c>
      <c r="G18" s="466">
        <f t="shared" si="2"/>
        <v>3822</v>
      </c>
      <c r="H18" s="220">
        <f t="shared" ref="H18:H27" si="5">H17</f>
        <v>21.43</v>
      </c>
      <c r="I18" s="1243">
        <v>-155.85</v>
      </c>
      <c r="J18" s="348">
        <f t="shared" si="0"/>
        <v>177.28</v>
      </c>
      <c r="K18" s="466">
        <f t="shared" si="3"/>
        <v>677564</v>
      </c>
    </row>
    <row r="19" spans="1:11">
      <c r="A19" s="217">
        <f t="shared" si="4"/>
        <v>5</v>
      </c>
      <c r="C19" s="229" t="s">
        <v>1238</v>
      </c>
      <c r="D19" s="328">
        <f>'WPD-2.4.B FTP O&amp;M by Category'!O16+'WPD-2.6.G CKY Direct Exclusions'!F14</f>
        <v>11529945.47634453</v>
      </c>
      <c r="E19" s="219" t="s">
        <v>533</v>
      </c>
      <c r="F19" s="466">
        <f t="shared" si="1"/>
        <v>11529945.47634453</v>
      </c>
      <c r="G19" s="466">
        <f t="shared" si="2"/>
        <v>31589</v>
      </c>
      <c r="H19" s="220">
        <f t="shared" si="5"/>
        <v>21.43</v>
      </c>
      <c r="I19" s="398">
        <v>4.9000000000000004</v>
      </c>
      <c r="J19" s="348">
        <f t="shared" si="0"/>
        <v>16.53</v>
      </c>
      <c r="K19" s="466">
        <f t="shared" si="3"/>
        <v>522166</v>
      </c>
    </row>
    <row r="20" spans="1:11">
      <c r="A20" s="217">
        <f t="shared" si="4"/>
        <v>6</v>
      </c>
      <c r="C20" s="220" t="s">
        <v>1239</v>
      </c>
      <c r="D20" s="328">
        <f>'WPD-2.4.B FTP O&amp;M by Category'!O18</f>
        <v>829180.09959444776</v>
      </c>
      <c r="E20" s="219" t="s">
        <v>533</v>
      </c>
      <c r="F20" s="466">
        <f t="shared" si="1"/>
        <v>829180.09959444776</v>
      </c>
      <c r="G20" s="466">
        <f t="shared" si="2"/>
        <v>2272</v>
      </c>
      <c r="H20" s="220">
        <f t="shared" si="5"/>
        <v>21.43</v>
      </c>
      <c r="I20" s="398">
        <v>239.87</v>
      </c>
      <c r="J20" s="348">
        <f t="shared" si="0"/>
        <v>-218.44</v>
      </c>
      <c r="K20" s="466">
        <f t="shared" si="3"/>
        <v>-496296</v>
      </c>
    </row>
    <row r="21" spans="1:11">
      <c r="A21" s="217">
        <f t="shared" si="4"/>
        <v>7</v>
      </c>
      <c r="C21" s="229" t="s">
        <v>1240</v>
      </c>
      <c r="D21" s="328">
        <f>'WPD-2.4.B FTP O&amp;M by Category'!O27+'WPD-2.6.G CKY Direct Exclusions'!F14+'D-2.6'!R31-D19-D20-D22-D23</f>
        <v>3422444.458779708</v>
      </c>
      <c r="E21" s="219" t="s">
        <v>533</v>
      </c>
      <c r="F21" s="466">
        <f t="shared" si="1"/>
        <v>3422444.458779708</v>
      </c>
      <c r="G21" s="466">
        <f t="shared" si="2"/>
        <v>9377</v>
      </c>
      <c r="H21" s="220">
        <f t="shared" si="5"/>
        <v>21.43</v>
      </c>
      <c r="I21" s="398">
        <v>13.7</v>
      </c>
      <c r="J21" s="348">
        <f t="shared" si="0"/>
        <v>7.73</v>
      </c>
      <c r="K21" s="466">
        <f t="shared" si="3"/>
        <v>72484</v>
      </c>
    </row>
    <row r="22" spans="1:11">
      <c r="A22" s="217">
        <f t="shared" si="4"/>
        <v>8</v>
      </c>
      <c r="C22" s="220" t="s">
        <v>2115</v>
      </c>
      <c r="D22" s="328">
        <f>SUM('WPD-2.4.B FTP O&amp;M by Category'!O24:O25)</f>
        <v>423725.83016556001</v>
      </c>
      <c r="E22" s="219" t="s">
        <v>533</v>
      </c>
      <c r="F22" s="466">
        <f t="shared" si="1"/>
        <v>423725.83016556001</v>
      </c>
      <c r="G22" s="466">
        <f t="shared" si="2"/>
        <v>1161</v>
      </c>
      <c r="H22" s="220">
        <f t="shared" si="5"/>
        <v>21.43</v>
      </c>
      <c r="I22" s="398">
        <f>H22</f>
        <v>21.43</v>
      </c>
      <c r="J22" s="348">
        <f t="shared" si="0"/>
        <v>0</v>
      </c>
      <c r="K22" s="466">
        <f t="shared" si="3"/>
        <v>0</v>
      </c>
    </row>
    <row r="23" spans="1:11">
      <c r="A23" s="217">
        <f t="shared" si="4"/>
        <v>9</v>
      </c>
      <c r="C23" s="220" t="s">
        <v>2114</v>
      </c>
      <c r="D23" s="328">
        <f>SUM('WPD-2.4.B FTP O&amp;M by Category'!O21:O22)</f>
        <v>62560.42500000001</v>
      </c>
      <c r="E23" s="219" t="s">
        <v>533</v>
      </c>
      <c r="F23" s="466">
        <f>D23</f>
        <v>62560.42500000001</v>
      </c>
      <c r="G23" s="466">
        <f>ROUND(F23/365,0)</f>
        <v>171</v>
      </c>
      <c r="H23" s="220">
        <f t="shared" si="5"/>
        <v>21.43</v>
      </c>
      <c r="I23" s="398">
        <v>43.4</v>
      </c>
      <c r="J23" s="348">
        <f>H23-I23</f>
        <v>-21.97</v>
      </c>
      <c r="K23" s="466">
        <f>ROUND(J23*G23,0)</f>
        <v>-3757</v>
      </c>
    </row>
    <row r="24" spans="1:11">
      <c r="A24" s="217">
        <f t="shared" si="4"/>
        <v>10</v>
      </c>
      <c r="C24" s="220" t="s">
        <v>1241</v>
      </c>
      <c r="D24" s="328">
        <f>'WPD-2.4.B FTP O&amp;M by Category'!O41+'D-2.6'!R36+'WPD-2.4.B FTP O&amp;M by Category'!O42+'D-2.6'!R41</f>
        <v>545803</v>
      </c>
      <c r="E24" s="219" t="s">
        <v>533</v>
      </c>
      <c r="F24" s="466">
        <f t="shared" si="1"/>
        <v>545803</v>
      </c>
      <c r="G24" s="466">
        <f t="shared" si="2"/>
        <v>1495</v>
      </c>
      <c r="H24" s="220">
        <f t="shared" si="5"/>
        <v>21.43</v>
      </c>
      <c r="I24" s="398">
        <f>H24</f>
        <v>21.43</v>
      </c>
      <c r="J24" s="348">
        <f t="shared" si="0"/>
        <v>0</v>
      </c>
      <c r="K24" s="466">
        <f t="shared" si="3"/>
        <v>0</v>
      </c>
    </row>
    <row r="25" spans="1:11">
      <c r="A25" s="217">
        <f t="shared" si="4"/>
        <v>11</v>
      </c>
      <c r="C25" s="220" t="s">
        <v>1242</v>
      </c>
      <c r="D25" s="328">
        <f>'WPD-2.4.B FTP O&amp;M by Category'!O40+'D-2.6'!R87+'D-2.6'!R94</f>
        <v>19722578.664737422</v>
      </c>
      <c r="E25" s="219" t="s">
        <v>533</v>
      </c>
      <c r="F25" s="466">
        <f t="shared" si="1"/>
        <v>19722578.664737422</v>
      </c>
      <c r="G25" s="466">
        <f t="shared" si="2"/>
        <v>54034</v>
      </c>
      <c r="H25" s="220">
        <f t="shared" si="5"/>
        <v>21.43</v>
      </c>
      <c r="I25" s="398">
        <v>39.4</v>
      </c>
      <c r="J25" s="348">
        <f t="shared" si="0"/>
        <v>-17.97</v>
      </c>
      <c r="K25" s="466">
        <f t="shared" si="3"/>
        <v>-970991</v>
      </c>
    </row>
    <row r="26" spans="1:11">
      <c r="A26" s="217">
        <f t="shared" si="4"/>
        <v>12</v>
      </c>
      <c r="C26" s="220" t="s">
        <v>1875</v>
      </c>
      <c r="D26" s="469">
        <f>'WPD-2.4.B FTP O&amp;M by Category'!O46+'D-2.6'!R21+'WPD-2.4.B FTP O&amp;M by Category'!O47+'D-2.6'!R26</f>
        <v>572490.52</v>
      </c>
      <c r="E26" s="219" t="s">
        <v>533</v>
      </c>
      <c r="F26" s="466">
        <f t="shared" si="1"/>
        <v>572490.52</v>
      </c>
      <c r="G26" s="466">
        <f t="shared" si="2"/>
        <v>1568</v>
      </c>
      <c r="H26" s="220">
        <f t="shared" si="5"/>
        <v>21.43</v>
      </c>
      <c r="I26" s="398">
        <f>H26</f>
        <v>21.43</v>
      </c>
      <c r="J26" s="348">
        <f t="shared" si="0"/>
        <v>0</v>
      </c>
      <c r="K26" s="466">
        <f t="shared" si="3"/>
        <v>0</v>
      </c>
    </row>
    <row r="27" spans="1:11">
      <c r="A27" s="217">
        <f t="shared" si="4"/>
        <v>13</v>
      </c>
      <c r="C27" s="220" t="s">
        <v>1243</v>
      </c>
      <c r="D27" s="986">
        <f>'C-1 Operating Income Summary'!M22+'C-1 Operating Income Summary'!M23-SUM(D16:D26)</f>
        <v>14362905.320831716</v>
      </c>
      <c r="E27" s="219" t="s">
        <v>533</v>
      </c>
      <c r="F27" s="466">
        <f t="shared" si="1"/>
        <v>14362905.320831716</v>
      </c>
      <c r="G27" s="466">
        <f t="shared" si="2"/>
        <v>39350</v>
      </c>
      <c r="H27" s="220">
        <f t="shared" si="5"/>
        <v>21.43</v>
      </c>
      <c r="I27" s="398">
        <v>26.08</v>
      </c>
      <c r="J27" s="348">
        <f t="shared" si="0"/>
        <v>-4.6499999999999986</v>
      </c>
      <c r="K27" s="466">
        <f t="shared" si="3"/>
        <v>-182978</v>
      </c>
    </row>
    <row r="28" spans="1:11">
      <c r="A28" s="217"/>
      <c r="D28" s="328"/>
      <c r="E28" s="219"/>
      <c r="F28" s="470"/>
      <c r="G28" s="466"/>
      <c r="I28" s="398"/>
      <c r="J28" s="348"/>
    </row>
    <row r="29" spans="1:11">
      <c r="A29" s="217">
        <f>A27+1</f>
        <v>14</v>
      </c>
      <c r="C29" s="220" t="s">
        <v>1244</v>
      </c>
      <c r="D29" s="328">
        <f>'C-1 Operating Income Summary'!M24</f>
        <v>26483896.030000001</v>
      </c>
      <c r="E29" s="219" t="s">
        <v>533</v>
      </c>
      <c r="F29" s="466">
        <f t="shared" si="1"/>
        <v>26483896.030000001</v>
      </c>
      <c r="G29" s="466">
        <f t="shared" si="2"/>
        <v>72559</v>
      </c>
      <c r="H29" s="220">
        <f>H27</f>
        <v>21.43</v>
      </c>
      <c r="I29" s="398">
        <f>H29</f>
        <v>21.43</v>
      </c>
      <c r="J29" s="348">
        <f t="shared" si="0"/>
        <v>0</v>
      </c>
      <c r="K29" s="466">
        <f t="shared" si="3"/>
        <v>0</v>
      </c>
    </row>
    <row r="30" spans="1:11">
      <c r="A30" s="217"/>
      <c r="D30" s="328"/>
      <c r="E30" s="219"/>
      <c r="F30" s="470"/>
      <c r="G30" s="466"/>
      <c r="I30" s="398"/>
      <c r="J30" s="348"/>
    </row>
    <row r="31" spans="1:11">
      <c r="A31" s="217">
        <f>A29+1</f>
        <v>15</v>
      </c>
      <c r="B31" s="301" t="s">
        <v>2895</v>
      </c>
      <c r="D31" s="328"/>
      <c r="E31" s="219"/>
      <c r="F31" s="470"/>
      <c r="G31" s="466"/>
      <c r="I31" s="398"/>
      <c r="J31" s="348"/>
    </row>
    <row r="32" spans="1:11">
      <c r="A32" s="217">
        <f t="shared" si="4"/>
        <v>16</v>
      </c>
      <c r="C32" s="220" t="s">
        <v>1245</v>
      </c>
      <c r="D32" s="328">
        <f>'C-2 Adj Operating Income Sum'!Q35</f>
        <v>900432.44286459521</v>
      </c>
      <c r="E32" s="219" t="s">
        <v>533</v>
      </c>
      <c r="F32" s="466">
        <f>D32</f>
        <v>900432.44286459521</v>
      </c>
      <c r="G32" s="466">
        <f t="shared" si="2"/>
        <v>2467</v>
      </c>
      <c r="H32" s="220">
        <f>H29</f>
        <v>21.43</v>
      </c>
      <c r="I32" s="398">
        <v>8.6999999999999993</v>
      </c>
      <c r="J32" s="348">
        <f t="shared" si="0"/>
        <v>12.73</v>
      </c>
      <c r="K32" s="466">
        <f>ROUND(J32*G32,0)</f>
        <v>31405</v>
      </c>
    </row>
    <row r="33" spans="1:11">
      <c r="A33" s="217">
        <f t="shared" si="4"/>
        <v>17</v>
      </c>
      <c r="C33" s="220" t="s">
        <v>1246</v>
      </c>
      <c r="D33" s="328">
        <f>'C-2 Adj Operating Income Sum'!Q34</f>
        <v>7451759</v>
      </c>
      <c r="E33" s="219" t="s">
        <v>533</v>
      </c>
      <c r="F33" s="466">
        <f>D33</f>
        <v>7451759</v>
      </c>
      <c r="G33" s="466">
        <f t="shared" si="2"/>
        <v>20416</v>
      </c>
      <c r="H33" s="220">
        <f>H32</f>
        <v>21.43</v>
      </c>
      <c r="I33" s="398">
        <v>297.97000000000003</v>
      </c>
      <c r="J33" s="348">
        <f t="shared" si="0"/>
        <v>-276.54000000000002</v>
      </c>
      <c r="K33" s="466">
        <f>ROUND(J33*G33,0)</f>
        <v>-5645841</v>
      </c>
    </row>
    <row r="34" spans="1:11">
      <c r="A34" s="217">
        <f t="shared" si="4"/>
        <v>18</v>
      </c>
      <c r="C34" s="220" t="s">
        <v>1247</v>
      </c>
      <c r="D34" s="987">
        <f>'C-1 Operating Income Summary'!Q25-D32-D33</f>
        <v>225600</v>
      </c>
      <c r="E34" s="219" t="s">
        <v>533</v>
      </c>
      <c r="F34" s="466">
        <f>D34</f>
        <v>225600</v>
      </c>
      <c r="G34" s="466">
        <f t="shared" si="2"/>
        <v>618</v>
      </c>
      <c r="H34" s="220">
        <f>H33</f>
        <v>21.43</v>
      </c>
      <c r="I34" s="398">
        <v>45</v>
      </c>
      <c r="J34" s="348">
        <f t="shared" si="0"/>
        <v>-23.57</v>
      </c>
      <c r="K34" s="466">
        <f>ROUND(J34*G34,0)</f>
        <v>-14566</v>
      </c>
    </row>
    <row r="35" spans="1:11">
      <c r="A35" s="217"/>
      <c r="D35" s="328"/>
      <c r="E35" s="219"/>
      <c r="F35" s="470"/>
      <c r="G35" s="466"/>
      <c r="I35" s="398"/>
      <c r="J35" s="348"/>
    </row>
    <row r="36" spans="1:11">
      <c r="A36" s="217">
        <f>A34+1</f>
        <v>19</v>
      </c>
      <c r="B36" s="301" t="s">
        <v>140</v>
      </c>
      <c r="D36" s="328"/>
      <c r="E36" s="219"/>
      <c r="F36" s="470"/>
      <c r="G36" s="466"/>
      <c r="I36" s="398"/>
      <c r="J36" s="348"/>
    </row>
    <row r="37" spans="1:11">
      <c r="A37" s="217">
        <f>A36+1</f>
        <v>20</v>
      </c>
      <c r="C37" s="220" t="s">
        <v>1248</v>
      </c>
      <c r="D37" s="328">
        <f>'E-1.1 Fed &amp; State Inc Tax'!J43+'E-1.2 CWC Fed&amp;State Intrst Sync'!G138</f>
        <v>1295036.6493891045</v>
      </c>
      <c r="E37" s="219" t="s">
        <v>533</v>
      </c>
      <c r="F37" s="466">
        <f>D37</f>
        <v>1295036.6493891045</v>
      </c>
      <c r="G37" s="466">
        <f t="shared" si="2"/>
        <v>3548</v>
      </c>
      <c r="H37" s="220">
        <f>H34</f>
        <v>21.43</v>
      </c>
      <c r="I37" s="398">
        <v>37.5</v>
      </c>
      <c r="J37" s="348">
        <f t="shared" si="0"/>
        <v>-16.07</v>
      </c>
      <c r="K37" s="466">
        <f>ROUND(J37*G37,0)</f>
        <v>-57016</v>
      </c>
    </row>
    <row r="38" spans="1:11">
      <c r="A38" s="217">
        <f>A37+1</f>
        <v>21</v>
      </c>
      <c r="C38" s="220" t="s">
        <v>1249</v>
      </c>
      <c r="D38" s="328">
        <f>'E-1.1 Fed &amp; State Inc Tax'!J44+'E-1.2 CWC Fed&amp;State Intrst Sync'!G137</f>
        <v>149742.9119772194</v>
      </c>
      <c r="E38" s="219" t="s">
        <v>533</v>
      </c>
      <c r="F38" s="466">
        <f>D38</f>
        <v>149742.9119772194</v>
      </c>
      <c r="G38" s="466">
        <f t="shared" si="2"/>
        <v>410</v>
      </c>
      <c r="H38" s="220">
        <f>H37</f>
        <v>21.43</v>
      </c>
      <c r="I38" s="398">
        <f>I37</f>
        <v>37.5</v>
      </c>
      <c r="J38" s="348">
        <f t="shared" si="0"/>
        <v>-16.07</v>
      </c>
      <c r="K38" s="466">
        <f>ROUND(J38*G38,0)</f>
        <v>-6589</v>
      </c>
    </row>
    <row r="39" spans="1:11">
      <c r="A39" s="217">
        <f>A38+1</f>
        <v>22</v>
      </c>
      <c r="C39" s="220" t="s">
        <v>1250</v>
      </c>
      <c r="D39" s="328">
        <f>'C-1 Operating Income Summary'!M32-D37-D38</f>
        <v>1757574.4386336762</v>
      </c>
      <c r="E39" s="219" t="s">
        <v>533</v>
      </c>
      <c r="F39" s="466">
        <f>D39</f>
        <v>1757574.4386336762</v>
      </c>
      <c r="G39" s="466">
        <f t="shared" si="2"/>
        <v>4815</v>
      </c>
      <c r="H39" s="220">
        <f>H38</f>
        <v>21.43</v>
      </c>
      <c r="I39" s="398">
        <f>H39</f>
        <v>21.43</v>
      </c>
      <c r="J39" s="348">
        <f t="shared" si="0"/>
        <v>0</v>
      </c>
      <c r="K39" s="466">
        <f>ROUND(J39*G39,0)</f>
        <v>0</v>
      </c>
    </row>
    <row r="40" spans="1:11">
      <c r="D40" s="328"/>
      <c r="E40" s="219"/>
      <c r="F40" s="470"/>
      <c r="G40" s="466"/>
      <c r="I40" s="398"/>
      <c r="J40" s="348"/>
    </row>
    <row r="41" spans="1:11">
      <c r="A41" s="217">
        <f>A39+1</f>
        <v>23</v>
      </c>
      <c r="B41" s="301" t="s">
        <v>2896</v>
      </c>
      <c r="D41" s="328"/>
      <c r="E41" s="219"/>
      <c r="F41" s="470"/>
      <c r="G41" s="466"/>
      <c r="I41" s="398"/>
      <c r="J41" s="348"/>
    </row>
    <row r="42" spans="1:11">
      <c r="A42" s="217">
        <f>A41+1</f>
        <v>24</v>
      </c>
      <c r="C42" s="220" t="s">
        <v>1251</v>
      </c>
      <c r="D42" s="328">
        <f>-'C-2.2.B Total Co Accts Activ '!P132</f>
        <v>923041.19178248371</v>
      </c>
      <c r="E42" s="219" t="s">
        <v>533</v>
      </c>
      <c r="F42" s="466">
        <f>D42</f>
        <v>923041.19178248371</v>
      </c>
      <c r="G42" s="466">
        <f t="shared" si="2"/>
        <v>2529</v>
      </c>
      <c r="H42" s="220">
        <f>H39</f>
        <v>21.43</v>
      </c>
      <c r="I42" s="398">
        <f>H42</f>
        <v>21.43</v>
      </c>
      <c r="J42" s="348">
        <f t="shared" si="0"/>
        <v>0</v>
      </c>
      <c r="K42" s="466">
        <f>ROUND(J42*G42,0)</f>
        <v>0</v>
      </c>
    </row>
    <row r="43" spans="1:11">
      <c r="A43" s="217">
        <f>A42+1</f>
        <v>25</v>
      </c>
      <c r="C43" s="220" t="s">
        <v>1252</v>
      </c>
      <c r="D43" s="328">
        <f>'E-1.1 Fed &amp; State Inc Tax'!L20</f>
        <v>12036793.632906139</v>
      </c>
      <c r="E43" s="219" t="s">
        <v>533</v>
      </c>
      <c r="F43" s="466">
        <f>D43</f>
        <v>12036793.632906139</v>
      </c>
      <c r="G43" s="466">
        <f t="shared" si="2"/>
        <v>32978</v>
      </c>
      <c r="H43" s="220">
        <f>H42</f>
        <v>21.43</v>
      </c>
      <c r="I43" s="398">
        <v>83.46</v>
      </c>
      <c r="J43" s="348">
        <f t="shared" si="0"/>
        <v>-62.029999999999994</v>
      </c>
      <c r="K43" s="466">
        <f>ROUND(J43*G43,0)</f>
        <v>-2045625</v>
      </c>
    </row>
    <row r="44" spans="1:11">
      <c r="A44" s="217">
        <f>A43+1</f>
        <v>26</v>
      </c>
      <c r="C44" s="220" t="s">
        <v>1253</v>
      </c>
      <c r="D44" s="894">
        <f>-'C-2.2.B Total Co Accts Activ '!P134</f>
        <v>11823743.160673603</v>
      </c>
      <c r="E44" s="219" t="s">
        <v>533</v>
      </c>
      <c r="F44" s="984">
        <f>D44</f>
        <v>11823743.160673603</v>
      </c>
      <c r="G44" s="985">
        <f t="shared" si="2"/>
        <v>32394</v>
      </c>
      <c r="H44" s="220">
        <f>H43</f>
        <v>21.43</v>
      </c>
      <c r="I44" s="398">
        <f>H44</f>
        <v>21.43</v>
      </c>
      <c r="J44" s="348">
        <f t="shared" si="0"/>
        <v>0</v>
      </c>
      <c r="K44" s="985">
        <f>ROUND(J44*G44,0)</f>
        <v>0</v>
      </c>
    </row>
    <row r="45" spans="1:11">
      <c r="D45" s="328"/>
      <c r="E45" s="219"/>
      <c r="F45" s="470"/>
      <c r="G45" s="466"/>
      <c r="I45" s="398"/>
      <c r="J45" s="348"/>
    </row>
    <row r="46" spans="1:11">
      <c r="A46" s="217">
        <f>A44+1</f>
        <v>27</v>
      </c>
      <c r="C46" s="326" t="s">
        <v>531</v>
      </c>
      <c r="D46" s="468">
        <f>SUM(D16:D39)-D42+SUM(D43+D44)</f>
        <v>149481130.71132976</v>
      </c>
      <c r="E46" s="219" t="s">
        <v>533</v>
      </c>
      <c r="F46" s="466">
        <f>D46</f>
        <v>149481130.71132976</v>
      </c>
      <c r="G46" s="466">
        <f>ROUND(F46/365,0)</f>
        <v>409537</v>
      </c>
      <c r="I46" s="398"/>
      <c r="J46" s="348"/>
      <c r="K46" s="397">
        <f>SUM(K16:K44)</f>
        <v>-8918406</v>
      </c>
    </row>
    <row r="47" spans="1:11">
      <c r="D47" s="328"/>
      <c r="E47" s="219"/>
      <c r="F47" s="470"/>
      <c r="G47" s="466"/>
      <c r="I47" s="398"/>
      <c r="J47" s="348"/>
    </row>
    <row r="48" spans="1:11">
      <c r="A48" s="217">
        <f>A46+1</f>
        <v>28</v>
      </c>
      <c r="C48" s="220" t="s">
        <v>1254</v>
      </c>
      <c r="D48" s="328">
        <v>6266788.4100000001</v>
      </c>
      <c r="E48" s="219" t="s">
        <v>533</v>
      </c>
      <c r="F48" s="466">
        <f>D48</f>
        <v>6266788.4100000001</v>
      </c>
      <c r="G48" s="466">
        <f t="shared" si="2"/>
        <v>17169</v>
      </c>
      <c r="H48" s="220">
        <f>H44</f>
        <v>21.43</v>
      </c>
      <c r="I48" s="398">
        <v>35.5</v>
      </c>
      <c r="J48" s="348">
        <f t="shared" si="0"/>
        <v>-14.07</v>
      </c>
      <c r="K48" s="466">
        <f>ROUND(J48*G48,0)</f>
        <v>-241568</v>
      </c>
    </row>
    <row r="49" spans="1:11">
      <c r="A49" s="217">
        <f>A48+1</f>
        <v>29</v>
      </c>
      <c r="C49" s="220" t="s">
        <v>1255</v>
      </c>
      <c r="D49" s="328">
        <v>5411905.6600000001</v>
      </c>
      <c r="E49" s="219" t="s">
        <v>533</v>
      </c>
      <c r="F49" s="466">
        <f>D49</f>
        <v>5411905.6600000001</v>
      </c>
      <c r="G49" s="466">
        <f t="shared" si="2"/>
        <v>14827</v>
      </c>
      <c r="H49" s="220">
        <f>H48</f>
        <v>21.43</v>
      </c>
      <c r="I49" s="398">
        <v>44.9</v>
      </c>
      <c r="J49" s="348">
        <f t="shared" si="0"/>
        <v>-23.47</v>
      </c>
      <c r="K49" s="466">
        <f>ROUND(J49*G49,0)</f>
        <v>-347990</v>
      </c>
    </row>
    <row r="50" spans="1:11">
      <c r="A50" s="217">
        <f>A49+1</f>
        <v>30</v>
      </c>
      <c r="C50" s="220" t="s">
        <v>1256</v>
      </c>
      <c r="D50" s="328">
        <v>4660351.2699999996</v>
      </c>
      <c r="E50" s="219" t="s">
        <v>533</v>
      </c>
      <c r="F50" s="466">
        <f>D50</f>
        <v>4660351.2699999996</v>
      </c>
      <c r="G50" s="466">
        <f t="shared" si="2"/>
        <v>12768</v>
      </c>
      <c r="H50" s="220">
        <f>H49</f>
        <v>21.43</v>
      </c>
      <c r="I50" s="398">
        <v>40.1</v>
      </c>
      <c r="J50" s="348">
        <f t="shared" si="0"/>
        <v>-18.670000000000002</v>
      </c>
      <c r="K50" s="466">
        <f>ROUND(J50*G50,0)</f>
        <v>-238379</v>
      </c>
    </row>
    <row r="51" spans="1:11">
      <c r="A51" s="217"/>
      <c r="D51" s="328"/>
      <c r="E51" s="328"/>
      <c r="F51" s="328"/>
      <c r="G51" s="466"/>
      <c r="I51" s="398"/>
      <c r="J51" s="348"/>
      <c r="K51" s="466"/>
    </row>
    <row r="52" spans="1:11">
      <c r="A52" s="217">
        <f>A50+1</f>
        <v>31</v>
      </c>
      <c r="C52" s="220" t="s">
        <v>1257</v>
      </c>
      <c r="D52" s="328"/>
      <c r="E52" s="328"/>
      <c r="F52" s="328"/>
      <c r="G52" s="466"/>
      <c r="I52" s="398"/>
      <c r="J52" s="348"/>
      <c r="K52" s="471">
        <f>SUM(K46:K50)</f>
        <v>-9746343</v>
      </c>
    </row>
    <row r="54" spans="1:11">
      <c r="A54" s="217">
        <f>A52+1</f>
        <v>32</v>
      </c>
      <c r="C54" s="220" t="s">
        <v>2373</v>
      </c>
      <c r="D54" s="328"/>
      <c r="E54" s="328"/>
      <c r="F54" s="328"/>
      <c r="G54" s="466"/>
      <c r="I54" s="398"/>
      <c r="J54" s="348"/>
      <c r="K54" s="472">
        <v>0</v>
      </c>
    </row>
  </sheetData>
  <mergeCells count="5">
    <mergeCell ref="A1:K1"/>
    <mergeCell ref="A2:K2"/>
    <mergeCell ref="A3:K3"/>
    <mergeCell ref="A4:K4"/>
    <mergeCell ref="D10:K10"/>
  </mergeCells>
  <printOptions horizontalCentered="1"/>
  <pageMargins left="0.5" right="0.5" top="0.75" bottom="0.5" header="0.3" footer="0.3"/>
  <pageSetup scale="7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F37"/>
  <sheetViews>
    <sheetView zoomScaleNormal="100" zoomScaleSheetLayoutView="100" workbookViewId="0">
      <selection activeCell="A4" sqref="A4:F4"/>
    </sheetView>
  </sheetViews>
  <sheetFormatPr defaultColWidth="9.6640625" defaultRowHeight="12.75"/>
  <cols>
    <col min="1" max="1" width="5.6640625" style="220" customWidth="1"/>
    <col min="2" max="2" width="2.6640625" style="220" customWidth="1"/>
    <col min="3" max="3" width="62.5" style="220" customWidth="1"/>
    <col min="4" max="4" width="22.6640625" style="220" bestFit="1" customWidth="1"/>
    <col min="5" max="6" width="22.6640625" style="220" customWidth="1"/>
    <col min="7" max="16384" width="9.6640625" style="220"/>
  </cols>
  <sheetData>
    <row r="1" spans="1:6">
      <c r="A1" s="1306" t="str">
        <f>'B-5.2.A CWC (Base)'!A1:K1</f>
        <v>COLUMBIA GAS OF KENTUCKY, INC.</v>
      </c>
      <c r="B1" s="1306"/>
      <c r="C1" s="1306"/>
      <c r="D1" s="1306"/>
      <c r="E1" s="1306"/>
      <c r="F1" s="1306"/>
    </row>
    <row r="2" spans="1:6">
      <c r="A2" s="1306" t="str">
        <f>'B-5.2.A CWC (Base)'!A2:K2</f>
        <v>CASE NO. 2024 - 00092</v>
      </c>
      <c r="B2" s="1306"/>
      <c r="C2" s="1306"/>
      <c r="D2" s="1306"/>
      <c r="E2" s="1306"/>
      <c r="F2" s="1306"/>
    </row>
    <row r="3" spans="1:6">
      <c r="A3" s="1306" t="s">
        <v>3086</v>
      </c>
      <c r="B3" s="1306"/>
      <c r="C3" s="1306"/>
      <c r="D3" s="1306"/>
      <c r="E3" s="1306"/>
      <c r="F3" s="1306"/>
    </row>
    <row r="4" spans="1:6">
      <c r="A4" s="1306" t="str">
        <f>'General Headers Index'!B17</f>
        <v>AS OF DECEMBER 31, 2025</v>
      </c>
      <c r="B4" s="1306"/>
      <c r="C4" s="1306"/>
      <c r="D4" s="1306"/>
      <c r="E4" s="1306"/>
      <c r="F4" s="1306"/>
    </row>
    <row r="6" spans="1:6">
      <c r="A6" s="229" t="s">
        <v>2788</v>
      </c>
      <c r="F6" s="326" t="s">
        <v>2942</v>
      </c>
    </row>
    <row r="7" spans="1:6">
      <c r="A7" s="229" t="s">
        <v>687</v>
      </c>
      <c r="F7" s="326" t="s">
        <v>722</v>
      </c>
    </row>
    <row r="8" spans="1:6">
      <c r="A8" s="229" t="s">
        <v>58</v>
      </c>
      <c r="F8" s="326" t="str">
        <f>"WITNESS: "&amp;'General Headers Index'!B44</f>
        <v>WITNESS: JOHNSON</v>
      </c>
    </row>
    <row r="9" spans="1:6">
      <c r="A9" s="229"/>
    </row>
    <row r="10" spans="1:6">
      <c r="A10" s="465"/>
      <c r="B10" s="465"/>
      <c r="C10" s="465"/>
      <c r="D10" s="1319" t="s">
        <v>559</v>
      </c>
      <c r="E10" s="1319"/>
      <c r="F10" s="1319"/>
    </row>
    <row r="11" spans="1:6">
      <c r="D11" s="254" t="s">
        <v>351</v>
      </c>
      <c r="E11" s="217"/>
      <c r="F11" s="217"/>
    </row>
    <row r="12" spans="1:6">
      <c r="D12" s="254" t="s">
        <v>651</v>
      </c>
      <c r="E12" s="217"/>
      <c r="F12" s="217"/>
    </row>
    <row r="13" spans="1:6">
      <c r="A13" s="217" t="s">
        <v>313</v>
      </c>
      <c r="D13" s="254" t="s">
        <v>744</v>
      </c>
      <c r="E13" s="219" t="s">
        <v>2498</v>
      </c>
      <c r="F13" s="219" t="s">
        <v>350</v>
      </c>
    </row>
    <row r="14" spans="1:6">
      <c r="A14" s="890" t="s">
        <v>316</v>
      </c>
      <c r="B14" s="892"/>
      <c r="C14" s="890" t="s">
        <v>1259</v>
      </c>
      <c r="D14" s="885" t="s">
        <v>2501</v>
      </c>
      <c r="E14" s="982" t="s">
        <v>354</v>
      </c>
      <c r="F14" s="982" t="s">
        <v>444</v>
      </c>
    </row>
    <row r="15" spans="1:6">
      <c r="A15" s="217"/>
      <c r="C15" s="229"/>
      <c r="D15" s="300" t="s">
        <v>532</v>
      </c>
      <c r="E15" s="300" t="s">
        <v>541</v>
      </c>
      <c r="F15" s="300" t="s">
        <v>2495</v>
      </c>
    </row>
    <row r="16" spans="1:6">
      <c r="D16" s="217" t="s">
        <v>320</v>
      </c>
      <c r="E16" s="218"/>
      <c r="F16" s="219" t="s">
        <v>320</v>
      </c>
    </row>
    <row r="17" spans="1:6">
      <c r="A17" s="217">
        <v>1</v>
      </c>
      <c r="B17" s="220" t="s">
        <v>543</v>
      </c>
    </row>
    <row r="18" spans="1:6">
      <c r="A18" s="217"/>
      <c r="B18" s="189"/>
    </row>
    <row r="19" spans="1:6">
      <c r="A19" s="217">
        <f>+A17+1</f>
        <v>2</v>
      </c>
      <c r="B19" s="220" t="s">
        <v>2500</v>
      </c>
    </row>
    <row r="20" spans="1:6">
      <c r="A20" s="217"/>
      <c r="B20" s="189"/>
    </row>
    <row r="21" spans="1:6">
      <c r="A21" s="217">
        <f>+A19+1</f>
        <v>3</v>
      </c>
      <c r="C21" s="229" t="s">
        <v>909</v>
      </c>
      <c r="D21" s="328">
        <f>+'C-2 Adj Operating Income Sum'!Q22</f>
        <v>0</v>
      </c>
      <c r="E21" s="467">
        <v>0.125</v>
      </c>
      <c r="F21" s="466">
        <f>+D21*E21</f>
        <v>0</v>
      </c>
    </row>
    <row r="22" spans="1:6">
      <c r="A22" s="217"/>
      <c r="C22" s="229"/>
      <c r="D22" s="328"/>
      <c r="E22" s="467"/>
      <c r="F22" s="466"/>
    </row>
    <row r="23" spans="1:6">
      <c r="A23" s="217">
        <f>+A21+1</f>
        <v>4</v>
      </c>
      <c r="C23" s="229" t="s">
        <v>2502</v>
      </c>
      <c r="D23" s="328">
        <f>+'C-2 Adj Operating Income Sum'!Q23</f>
        <v>409263.17323596525</v>
      </c>
      <c r="E23" s="467">
        <f>+E21</f>
        <v>0.125</v>
      </c>
      <c r="F23" s="466">
        <f>+D23*E23</f>
        <v>51157.896654495657</v>
      </c>
    </row>
    <row r="24" spans="1:6">
      <c r="A24" s="217"/>
      <c r="C24" s="229"/>
      <c r="D24" s="328"/>
      <c r="E24" s="467"/>
      <c r="F24" s="466"/>
    </row>
    <row r="25" spans="1:6">
      <c r="A25" s="217">
        <f>+A23+1</f>
        <v>5</v>
      </c>
      <c r="C25" s="229" t="s">
        <v>2919</v>
      </c>
      <c r="D25" s="328">
        <f>+'C-2 Adj Operating Income Sum'!Q24</f>
        <v>4382.02897109269</v>
      </c>
      <c r="E25" s="467">
        <f>+E23</f>
        <v>0.125</v>
      </c>
      <c r="F25" s="466">
        <f>+D25*E25</f>
        <v>547.75362138658625</v>
      </c>
    </row>
    <row r="26" spans="1:6">
      <c r="A26" s="217"/>
      <c r="C26" s="229"/>
      <c r="D26" s="328"/>
      <c r="E26" s="467"/>
      <c r="F26" s="466"/>
    </row>
    <row r="27" spans="1:6">
      <c r="A27" s="217">
        <f>+A25+1</f>
        <v>6</v>
      </c>
      <c r="C27" s="220" t="s">
        <v>2504</v>
      </c>
      <c r="D27" s="328">
        <f>+'C-2 Adj Operating Income Sum'!Q25</f>
        <v>19073469.955365136</v>
      </c>
      <c r="E27" s="467">
        <f>+E21</f>
        <v>0.125</v>
      </c>
      <c r="F27" s="466">
        <f>+D27*E27</f>
        <v>2384183.744420642</v>
      </c>
    </row>
    <row r="28" spans="1:6">
      <c r="A28" s="217"/>
      <c r="D28" s="328"/>
      <c r="E28" s="467"/>
      <c r="F28" s="466"/>
    </row>
    <row r="29" spans="1:6">
      <c r="A29" s="217">
        <f>A27+1</f>
        <v>7</v>
      </c>
      <c r="C29" s="229" t="s">
        <v>2507</v>
      </c>
      <c r="D29" s="328">
        <f>+'C-2 Adj Operating Income Sum'!Q26</f>
        <v>3795463.9582891474</v>
      </c>
      <c r="E29" s="467">
        <f>+E27</f>
        <v>0.125</v>
      </c>
      <c r="F29" s="466">
        <f>+D29*E29</f>
        <v>474432.99478614342</v>
      </c>
    </row>
    <row r="30" spans="1:6">
      <c r="A30" s="217"/>
      <c r="C30" s="229"/>
      <c r="D30" s="328"/>
      <c r="E30" s="467"/>
      <c r="F30" s="466"/>
    </row>
    <row r="31" spans="1:6">
      <c r="A31" s="217">
        <f>A29+1</f>
        <v>8</v>
      </c>
      <c r="C31" s="229" t="s">
        <v>2508</v>
      </c>
      <c r="D31" s="328">
        <f>+'C-2 Adj Operating Income Sum'!Q27</f>
        <v>413829.61824189668</v>
      </c>
      <c r="E31" s="467">
        <f>+E29</f>
        <v>0.125</v>
      </c>
      <c r="F31" s="466">
        <f>+D31*E31</f>
        <v>51728.702280237085</v>
      </c>
    </row>
    <row r="32" spans="1:6">
      <c r="A32" s="217"/>
      <c r="C32" s="229"/>
      <c r="D32" s="328"/>
      <c r="E32" s="467"/>
      <c r="F32" s="466"/>
    </row>
    <row r="33" spans="1:6">
      <c r="A33" s="217">
        <f>A31+1</f>
        <v>9</v>
      </c>
      <c r="C33" s="229" t="s">
        <v>2509</v>
      </c>
      <c r="D33" s="328">
        <f>+'C-2 Adj Operating Income Sum'!Q28</f>
        <v>12352.846316763704</v>
      </c>
      <c r="E33" s="467">
        <f>+E31</f>
        <v>0.125</v>
      </c>
      <c r="F33" s="466">
        <f>+D33*E33</f>
        <v>1544.105789595463</v>
      </c>
    </row>
    <row r="34" spans="1:6">
      <c r="A34" s="217"/>
      <c r="C34" s="229"/>
      <c r="D34" s="328"/>
      <c r="E34" s="467"/>
      <c r="F34" s="466"/>
    </row>
    <row r="35" spans="1:6">
      <c r="A35" s="217">
        <f>A33+1</f>
        <v>10</v>
      </c>
      <c r="C35" s="220" t="s">
        <v>2510</v>
      </c>
      <c r="D35" s="894">
        <f>+'C-2 Adj Operating Income Sum'!Q29</f>
        <v>29157810.39624789</v>
      </c>
      <c r="E35" s="467">
        <f>+E33</f>
        <v>0.125</v>
      </c>
      <c r="F35" s="985">
        <f>+D35*E35</f>
        <v>3644726.2995309862</v>
      </c>
    </row>
    <row r="36" spans="1:6">
      <c r="A36" s="217"/>
      <c r="D36" s="328"/>
      <c r="E36" s="467"/>
      <c r="F36" s="466"/>
    </row>
    <row r="37" spans="1:6">
      <c r="A37" s="217">
        <f>A35+1</f>
        <v>11</v>
      </c>
      <c r="B37" s="220" t="s">
        <v>2499</v>
      </c>
      <c r="D37" s="328">
        <f>SUM(D21:D35)</f>
        <v>52866571.976667888</v>
      </c>
      <c r="E37" s="467"/>
      <c r="F37" s="328">
        <f>SUM(F21:F35)</f>
        <v>6608321.4970834861</v>
      </c>
    </row>
  </sheetData>
  <mergeCells count="5">
    <mergeCell ref="A1:F1"/>
    <mergeCell ref="A2:F2"/>
    <mergeCell ref="A3:F3"/>
    <mergeCell ref="A4:F4"/>
    <mergeCell ref="D10:F10"/>
  </mergeCells>
  <printOptions horizontalCentered="1"/>
  <pageMargins left="0.5" right="0.5" top="0.75" bottom="0.5" header="0.3" footer="0.3"/>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73"/>
  <sheetViews>
    <sheetView zoomScaleNormal="100" zoomScaleSheetLayoutView="100" workbookViewId="0">
      <selection activeCell="K28" sqref="K28"/>
    </sheetView>
  </sheetViews>
  <sheetFormatPr defaultColWidth="9.33203125" defaultRowHeight="12.75"/>
  <cols>
    <col min="1" max="1" width="8.1640625" style="218" bestFit="1" customWidth="1"/>
    <col min="2" max="2" width="36.83203125" style="218" bestFit="1" customWidth="1"/>
    <col min="3" max="3" width="21" style="218" customWidth="1"/>
    <col min="4" max="4" width="12" style="218" bestFit="1" customWidth="1"/>
    <col min="5" max="5" width="14.1640625" style="218" customWidth="1"/>
    <col min="6" max="6" width="14.6640625" style="218" customWidth="1"/>
    <col min="7" max="7" width="15.33203125" style="218" customWidth="1"/>
    <col min="8" max="8" width="15.5" style="218" customWidth="1"/>
    <col min="9" max="9" width="15.1640625" style="218" customWidth="1"/>
    <col min="10" max="10" width="13.33203125" style="218" customWidth="1"/>
    <col min="11" max="11" width="15" style="218" customWidth="1"/>
    <col min="12" max="12" width="10.5" style="218" bestFit="1" customWidth="1"/>
    <col min="13" max="13" width="10.6640625" style="218" bestFit="1" customWidth="1"/>
    <col min="14" max="14" width="13" style="218" bestFit="1" customWidth="1"/>
    <col min="15" max="15" width="9.33203125" style="218"/>
    <col min="16" max="16" width="14.1640625" style="218" bestFit="1" customWidth="1"/>
    <col min="17" max="16384" width="9.33203125" style="218"/>
  </cols>
  <sheetData>
    <row r="1" spans="1:12">
      <c r="A1" s="1320" t="str">
        <f>'General Headers Index'!B4</f>
        <v>COLUMBIA GAS OF KENTUCKY, INC.</v>
      </c>
      <c r="B1" s="1320"/>
      <c r="C1" s="1320"/>
      <c r="D1" s="1320"/>
      <c r="E1" s="1320"/>
      <c r="F1" s="1320"/>
      <c r="G1" s="1320"/>
      <c r="H1" s="1320"/>
      <c r="I1" s="1320"/>
      <c r="J1" s="1320"/>
    </row>
    <row r="2" spans="1:12">
      <c r="A2" s="1320" t="str">
        <f>'General Headers Index'!B6</f>
        <v>CASE NO. 2024 - 00092</v>
      </c>
      <c r="B2" s="1320"/>
      <c r="C2" s="1320"/>
      <c r="D2" s="1320"/>
      <c r="E2" s="1320"/>
      <c r="F2" s="1320"/>
      <c r="G2" s="1320"/>
      <c r="H2" s="1320"/>
      <c r="I2" s="1320"/>
      <c r="J2" s="1320"/>
    </row>
    <row r="3" spans="1:12">
      <c r="A3" s="1320" t="s">
        <v>2902</v>
      </c>
      <c r="B3" s="1320"/>
      <c r="C3" s="1320"/>
      <c r="D3" s="1320"/>
      <c r="E3" s="1320"/>
      <c r="F3" s="1320"/>
      <c r="G3" s="1320"/>
      <c r="H3" s="1320"/>
      <c r="I3" s="1320"/>
      <c r="J3" s="1320"/>
    </row>
    <row r="4" spans="1:12">
      <c r="A4" s="1320" t="str">
        <f>'General Headers Index'!B21</f>
        <v>FOR THE BASE PERIOD TME AUGUST 31, 2024 AND FORECAST PERIOD TME DECEMBER 31, 2025</v>
      </c>
      <c r="B4" s="1320"/>
      <c r="C4" s="1320"/>
      <c r="D4" s="1320"/>
      <c r="E4" s="1320"/>
      <c r="F4" s="1320"/>
      <c r="G4" s="1320"/>
      <c r="H4" s="1320"/>
      <c r="I4" s="1320"/>
      <c r="J4" s="1320"/>
    </row>
    <row r="5" spans="1:12">
      <c r="A5" s="988"/>
      <c r="B5" s="988"/>
      <c r="C5" s="988"/>
      <c r="D5" s="988"/>
      <c r="E5" s="988"/>
      <c r="F5" s="988"/>
      <c r="G5" s="988"/>
      <c r="H5" s="988"/>
      <c r="I5" s="988"/>
      <c r="J5" s="988"/>
    </row>
    <row r="6" spans="1:12">
      <c r="A6" s="218" t="s">
        <v>739</v>
      </c>
      <c r="B6" s="220"/>
      <c r="C6" s="220"/>
      <c r="D6" s="220"/>
      <c r="E6" s="220"/>
      <c r="F6" s="220"/>
      <c r="J6" s="271" t="s">
        <v>998</v>
      </c>
    </row>
    <row r="7" spans="1:12">
      <c r="A7" s="218" t="str">
        <f>'General Headers Index'!B37</f>
        <v>TYPE OF FILING:___X___ORIGINAL______UPDATED</v>
      </c>
      <c r="B7" s="220"/>
      <c r="C7" s="220"/>
      <c r="D7" s="220"/>
      <c r="E7" s="220"/>
      <c r="F7" s="220"/>
      <c r="J7" s="271" t="s">
        <v>722</v>
      </c>
    </row>
    <row r="8" spans="1:12">
      <c r="A8" s="218" t="s">
        <v>58</v>
      </c>
      <c r="B8" s="220"/>
      <c r="C8" s="220"/>
      <c r="D8" s="220"/>
      <c r="E8" s="220"/>
      <c r="F8" s="220"/>
      <c r="J8" s="271" t="str">
        <f>"WITNESS: "&amp;'General Headers Index'!$B$42</f>
        <v>WITNESS: GORE</v>
      </c>
    </row>
    <row r="9" spans="1:12">
      <c r="A9" s="880"/>
      <c r="B9" s="884"/>
      <c r="C9" s="884"/>
      <c r="D9" s="884"/>
      <c r="E9" s="884"/>
      <c r="F9" s="884"/>
      <c r="G9" s="880"/>
      <c r="H9" s="880"/>
      <c r="I9" s="880"/>
      <c r="J9" s="880"/>
    </row>
    <row r="10" spans="1:12">
      <c r="A10" s="219"/>
      <c r="B10" s="262"/>
      <c r="C10" s="217" t="s">
        <v>2933</v>
      </c>
      <c r="D10" s="988"/>
      <c r="E10" s="988"/>
      <c r="F10" s="988"/>
      <c r="G10" s="988"/>
      <c r="H10" s="217"/>
      <c r="I10" s="217"/>
      <c r="J10" s="217"/>
      <c r="L10" s="220"/>
    </row>
    <row r="11" spans="1:12">
      <c r="A11" s="219"/>
      <c r="B11" s="262"/>
      <c r="C11" s="217" t="s">
        <v>2932</v>
      </c>
      <c r="D11" s="988"/>
      <c r="E11" s="988"/>
      <c r="F11" s="988"/>
      <c r="G11" s="988"/>
      <c r="H11" s="217"/>
      <c r="I11" s="217"/>
      <c r="J11" s="217" t="s">
        <v>72</v>
      </c>
      <c r="L11" s="220"/>
    </row>
    <row r="12" spans="1:12">
      <c r="A12" s="217" t="s">
        <v>313</v>
      </c>
      <c r="B12" s="220"/>
      <c r="C12" s="217" t="s">
        <v>2897</v>
      </c>
      <c r="D12" s="254"/>
      <c r="E12" s="219"/>
      <c r="F12" s="219"/>
      <c r="G12" s="988"/>
      <c r="H12" s="217" t="s">
        <v>439</v>
      </c>
      <c r="I12" s="217" t="s">
        <v>439</v>
      </c>
      <c r="J12" s="217" t="s">
        <v>660</v>
      </c>
      <c r="L12" s="220"/>
    </row>
    <row r="13" spans="1:12">
      <c r="A13" s="890" t="s">
        <v>316</v>
      </c>
      <c r="B13" s="890" t="s">
        <v>1761</v>
      </c>
      <c r="C13" s="890" t="s">
        <v>2898</v>
      </c>
      <c r="D13" s="885" t="s">
        <v>2899</v>
      </c>
      <c r="E13" s="982" t="s">
        <v>2900</v>
      </c>
      <c r="F13" s="982" t="s">
        <v>2901</v>
      </c>
      <c r="G13" s="982" t="s">
        <v>2900</v>
      </c>
      <c r="H13" s="982" t="s">
        <v>441</v>
      </c>
      <c r="I13" s="982" t="s">
        <v>441</v>
      </c>
      <c r="J13" s="982" t="s">
        <v>662</v>
      </c>
      <c r="L13" s="220"/>
    </row>
    <row r="14" spans="1:12">
      <c r="A14" s="217"/>
      <c r="B14" s="220"/>
      <c r="C14" s="300" t="s">
        <v>532</v>
      </c>
      <c r="D14" s="300" t="s">
        <v>541</v>
      </c>
      <c r="E14" s="300" t="s">
        <v>542</v>
      </c>
      <c r="F14" s="300" t="s">
        <v>668</v>
      </c>
      <c r="G14" s="300" t="s">
        <v>669</v>
      </c>
      <c r="H14" s="300" t="s">
        <v>670</v>
      </c>
      <c r="I14" s="300" t="s">
        <v>984</v>
      </c>
      <c r="J14" s="300" t="s">
        <v>985</v>
      </c>
      <c r="L14" s="220"/>
    </row>
    <row r="15" spans="1:12">
      <c r="A15" s="217"/>
      <c r="B15" s="220"/>
      <c r="C15" s="300" t="s">
        <v>320</v>
      </c>
      <c r="D15" s="300" t="s">
        <v>663</v>
      </c>
      <c r="E15" s="300" t="s">
        <v>320</v>
      </c>
      <c r="F15" s="300" t="s">
        <v>663</v>
      </c>
      <c r="G15" s="300" t="s">
        <v>320</v>
      </c>
      <c r="H15" s="300" t="s">
        <v>663</v>
      </c>
      <c r="I15" s="300" t="s">
        <v>320</v>
      </c>
      <c r="J15" s="300" t="s">
        <v>664</v>
      </c>
      <c r="L15" s="220"/>
    </row>
    <row r="16" spans="1:12">
      <c r="A16" s="220"/>
      <c r="B16" s="220"/>
      <c r="C16" s="220"/>
      <c r="D16" s="217"/>
      <c r="F16" s="300"/>
      <c r="G16" s="300"/>
      <c r="H16" s="300"/>
      <c r="I16" s="300"/>
      <c r="J16" s="300"/>
      <c r="L16" s="220"/>
    </row>
    <row r="17" spans="1:16">
      <c r="A17" s="219">
        <v>1</v>
      </c>
      <c r="B17" s="989">
        <v>44926</v>
      </c>
      <c r="C17" s="32">
        <v>40020363.750079177</v>
      </c>
      <c r="D17" s="457">
        <v>135433</v>
      </c>
      <c r="E17" s="460">
        <f>ROUND(D17*J17,2)</f>
        <v>0</v>
      </c>
      <c r="F17" s="458">
        <v>1972174</v>
      </c>
      <c r="G17" s="460">
        <f>ROUND(F17*J17,2)</f>
        <v>0</v>
      </c>
      <c r="H17" s="459">
        <v>7268140.384615384</v>
      </c>
      <c r="I17" s="32">
        <v>40020363.750079177</v>
      </c>
      <c r="J17" s="463"/>
      <c r="L17" s="220"/>
      <c r="M17" s="220"/>
      <c r="N17" s="220"/>
      <c r="O17" s="220"/>
      <c r="P17" s="220"/>
    </row>
    <row r="18" spans="1:16">
      <c r="A18" s="219">
        <f>A17+1</f>
        <v>2</v>
      </c>
      <c r="B18" s="989">
        <v>44957</v>
      </c>
      <c r="C18" s="282">
        <f>I18</f>
        <v>27171972.740079179</v>
      </c>
      <c r="D18" s="457">
        <v>35926</v>
      </c>
      <c r="E18" s="460">
        <f>ROUND(D18*J18,2)</f>
        <v>245766.25</v>
      </c>
      <c r="F18" s="458">
        <v>1914098</v>
      </c>
      <c r="G18" s="460">
        <f>ROUND(F18*J18,2)</f>
        <v>13094157.26</v>
      </c>
      <c r="H18" s="460">
        <f>H17+D18-F18</f>
        <v>5389968.384615384</v>
      </c>
      <c r="I18" s="282">
        <f>I17+E18-G18</f>
        <v>27171972.740079179</v>
      </c>
      <c r="J18" s="461">
        <v>6.8409022190394069</v>
      </c>
    </row>
    <row r="19" spans="1:16">
      <c r="A19" s="219">
        <f t="shared" ref="A19:A41" si="0">A18+1</f>
        <v>3</v>
      </c>
      <c r="B19" s="989" t="s">
        <v>665</v>
      </c>
      <c r="C19" s="282"/>
      <c r="D19" s="457">
        <f>D18</f>
        <v>35926</v>
      </c>
      <c r="E19" s="460"/>
      <c r="F19" s="462">
        <f>F18</f>
        <v>1914098</v>
      </c>
      <c r="G19" s="460"/>
      <c r="I19" s="460">
        <f>(D19-F19)*J19</f>
        <v>7192810.7124864385</v>
      </c>
      <c r="J19" s="461">
        <f>J20-J18</f>
        <v>-3.8296869043338089</v>
      </c>
    </row>
    <row r="20" spans="1:16">
      <c r="A20" s="219">
        <f t="shared" si="0"/>
        <v>4</v>
      </c>
      <c r="B20" s="990" t="s">
        <v>1107</v>
      </c>
      <c r="C20" s="282">
        <f>I20</f>
        <v>29395781.332565617</v>
      </c>
      <c r="D20" s="457">
        <v>143578</v>
      </c>
      <c r="E20" s="460">
        <f>ROUND(D20*J20,2)</f>
        <v>432344.27</v>
      </c>
      <c r="F20" s="458">
        <v>1793743</v>
      </c>
      <c r="G20" s="460">
        <f>ROUND(F20*J20,2)</f>
        <v>5401346.3899999997</v>
      </c>
      <c r="H20" s="460">
        <f>H18+D20-F20</f>
        <v>3739803.384615384</v>
      </c>
      <c r="I20" s="282">
        <f>I18+E20-G20+I19</f>
        <v>29395781.332565617</v>
      </c>
      <c r="J20" s="461">
        <v>3.011215314705598</v>
      </c>
    </row>
    <row r="21" spans="1:16">
      <c r="A21" s="219">
        <f t="shared" si="0"/>
        <v>5</v>
      </c>
      <c r="B21" s="989" t="s">
        <v>665</v>
      </c>
      <c r="C21" s="282"/>
      <c r="D21" s="457">
        <f>D19+D20</f>
        <v>179504</v>
      </c>
      <c r="E21" s="460"/>
      <c r="F21" s="462">
        <f>F19+F20</f>
        <v>3707841</v>
      </c>
      <c r="G21" s="460"/>
      <c r="H21" s="460"/>
      <c r="I21" s="460">
        <f>(D21-F21)*J21</f>
        <v>1204812.7614083041</v>
      </c>
      <c r="J21" s="461">
        <f>J22-J20</f>
        <v>-0.341467598307164</v>
      </c>
    </row>
    <row r="22" spans="1:16">
      <c r="A22" s="219">
        <f t="shared" si="0"/>
        <v>6</v>
      </c>
      <c r="B22" s="989">
        <v>45016</v>
      </c>
      <c r="C22" s="282">
        <f>I22</f>
        <v>25494346.513973918</v>
      </c>
      <c r="D22" s="457">
        <v>49722</v>
      </c>
      <c r="E22" s="460">
        <f>ROUND(D22*J22,2)</f>
        <v>132745.20000000001</v>
      </c>
      <c r="F22" s="458">
        <v>1962355</v>
      </c>
      <c r="G22" s="460">
        <f>ROUND(F22*J22,2)</f>
        <v>5238992.78</v>
      </c>
      <c r="H22" s="460">
        <f>H20+D22-F22</f>
        <v>1827170.384615384</v>
      </c>
      <c r="I22" s="282">
        <f>I20+E22-G22+I21</f>
        <v>25494346.513973918</v>
      </c>
      <c r="J22" s="461">
        <v>2.669747716398434</v>
      </c>
    </row>
    <row r="23" spans="1:16">
      <c r="A23" s="219">
        <f t="shared" si="0"/>
        <v>7</v>
      </c>
      <c r="B23" s="989" t="s">
        <v>665</v>
      </c>
      <c r="C23" s="282"/>
      <c r="D23" s="457">
        <f>D21+D22</f>
        <v>229226</v>
      </c>
      <c r="E23" s="460"/>
      <c r="F23" s="462">
        <f>F21+F22</f>
        <v>5670196</v>
      </c>
      <c r="G23" s="460"/>
      <c r="H23" s="460"/>
      <c r="I23" s="460">
        <f>(D23-F23)*J23</f>
        <v>753082.05527215777</v>
      </c>
      <c r="J23" s="461">
        <f>J24-J22</f>
        <v>-0.13840952169781451</v>
      </c>
    </row>
    <row r="24" spans="1:16">
      <c r="A24" s="219">
        <f t="shared" si="0"/>
        <v>8</v>
      </c>
      <c r="B24" s="989">
        <v>45046</v>
      </c>
      <c r="C24" s="282">
        <f>I24</f>
        <v>28948191.759246074</v>
      </c>
      <c r="D24" s="457">
        <v>1118882</v>
      </c>
      <c r="E24" s="460">
        <f>ROUND(D24*J24,2)</f>
        <v>2832268.74</v>
      </c>
      <c r="F24" s="458">
        <v>51951</v>
      </c>
      <c r="G24" s="460">
        <f>ROUND(F24*J24,2)</f>
        <v>131505.54999999999</v>
      </c>
      <c r="H24" s="460">
        <f>H22+D24-F24</f>
        <v>2894101.384615384</v>
      </c>
      <c r="I24" s="282">
        <f>I22+E24-G24+I23</f>
        <v>28948191.759246074</v>
      </c>
      <c r="J24" s="461">
        <v>2.5313381947006195</v>
      </c>
    </row>
    <row r="25" spans="1:16">
      <c r="A25" s="219">
        <f t="shared" si="0"/>
        <v>9</v>
      </c>
      <c r="B25" s="989" t="s">
        <v>665</v>
      </c>
      <c r="C25" s="282"/>
      <c r="D25" s="457">
        <f>D23+D24</f>
        <v>1348108</v>
      </c>
      <c r="E25" s="460"/>
      <c r="F25" s="462">
        <f>F23+F24</f>
        <v>5722147</v>
      </c>
      <c r="G25" s="460"/>
      <c r="H25" s="460"/>
      <c r="I25" s="460">
        <f>(D25-F25)*J25</f>
        <v>1465633.8580638838</v>
      </c>
      <c r="J25" s="461">
        <f>J26-J24</f>
        <v>-0.3350756264550645</v>
      </c>
    </row>
    <row r="26" spans="1:16">
      <c r="A26" s="219">
        <f t="shared" si="0"/>
        <v>10</v>
      </c>
      <c r="B26" s="989">
        <v>45077</v>
      </c>
      <c r="C26" s="282">
        <f>I26</f>
        <v>33967040.227309957</v>
      </c>
      <c r="D26" s="457">
        <v>1733783</v>
      </c>
      <c r="E26" s="460">
        <f>ROUND(D26*J26,2)</f>
        <v>3807842.7</v>
      </c>
      <c r="F26" s="458">
        <v>115937</v>
      </c>
      <c r="G26" s="460">
        <f>ROUND(F26*J26,2)</f>
        <v>254628.09</v>
      </c>
      <c r="H26" s="460">
        <f>H24+D26-F26</f>
        <v>4511947.384615384</v>
      </c>
      <c r="I26" s="282">
        <f>I24+E26-G26+I25</f>
        <v>33967040.227309957</v>
      </c>
      <c r="J26" s="461">
        <v>2.196262568245555</v>
      </c>
    </row>
    <row r="27" spans="1:16">
      <c r="A27" s="219">
        <f t="shared" si="0"/>
        <v>11</v>
      </c>
      <c r="B27" s="989" t="s">
        <v>665</v>
      </c>
      <c r="C27" s="282"/>
      <c r="D27" s="457">
        <f>D25+D26</f>
        <v>3081891</v>
      </c>
      <c r="E27" s="460"/>
      <c r="F27" s="462">
        <f>F25+F26</f>
        <v>5838084</v>
      </c>
      <c r="G27" s="460"/>
      <c r="H27" s="460"/>
      <c r="I27" s="460">
        <f>(D27-F27)*J27</f>
        <v>664450.12876966468</v>
      </c>
      <c r="J27" s="461">
        <f>J28-J26</f>
        <v>-0.24107532700709444</v>
      </c>
    </row>
    <row r="28" spans="1:16">
      <c r="A28" s="219">
        <f t="shared" si="0"/>
        <v>12</v>
      </c>
      <c r="B28" s="989">
        <v>45107</v>
      </c>
      <c r="C28" s="282">
        <f>I28</f>
        <v>37001269.186079621</v>
      </c>
      <c r="D28" s="457">
        <v>1351501</v>
      </c>
      <c r="E28" s="460">
        <f>ROUND(D28*J28,2)</f>
        <v>2642437.5099999998</v>
      </c>
      <c r="F28" s="458">
        <v>139454</v>
      </c>
      <c r="G28" s="460">
        <f>ROUND(F28*J28,2)</f>
        <v>272658.68</v>
      </c>
      <c r="H28" s="460">
        <f>H26+D28-F28</f>
        <v>5723994.384615384</v>
      </c>
      <c r="I28" s="282">
        <f>I26+E28-G28+I27</f>
        <v>37001269.186079621</v>
      </c>
      <c r="J28" s="461">
        <v>1.9551872412384605</v>
      </c>
      <c r="L28" s="220"/>
      <c r="M28" s="220"/>
      <c r="N28" s="220"/>
      <c r="O28" s="220"/>
      <c r="P28" s="220"/>
    </row>
    <row r="29" spans="1:16">
      <c r="A29" s="219">
        <f t="shared" si="0"/>
        <v>13</v>
      </c>
      <c r="B29" s="989" t="s">
        <v>665</v>
      </c>
      <c r="C29" s="282"/>
      <c r="D29" s="457">
        <f>D27+D28</f>
        <v>4433392</v>
      </c>
      <c r="E29" s="460"/>
      <c r="F29" s="462">
        <f>F27+F28</f>
        <v>5977538</v>
      </c>
      <c r="G29" s="460"/>
      <c r="H29" s="460"/>
      <c r="I29" s="460">
        <f>(D29-F29)*J29</f>
        <v>-84009.344574918156</v>
      </c>
      <c r="J29" s="461">
        <f>J30-J28</f>
        <v>5.4405052744311844E-2</v>
      </c>
    </row>
    <row r="30" spans="1:16">
      <c r="A30" s="219">
        <f t="shared" si="0"/>
        <v>14</v>
      </c>
      <c r="B30" s="989">
        <v>45138</v>
      </c>
      <c r="C30" s="282">
        <f>I30</f>
        <v>40106561.181504704</v>
      </c>
      <c r="D30" s="457">
        <v>1760798</v>
      </c>
      <c r="E30" s="460">
        <f>ROUND(D30*J30,2)</f>
        <v>3538486.09</v>
      </c>
      <c r="F30" s="458">
        <v>173759</v>
      </c>
      <c r="G30" s="460">
        <f>ROUND(F30*J30,2)</f>
        <v>349184.75</v>
      </c>
      <c r="H30" s="460">
        <f>H28+D30-F30</f>
        <v>7311033.384615384</v>
      </c>
      <c r="I30" s="282">
        <f>I28+E30-G30+I29</f>
        <v>40106561.181504704</v>
      </c>
      <c r="J30" s="461">
        <v>2.0095922939827724</v>
      </c>
    </row>
    <row r="31" spans="1:16">
      <c r="A31" s="219">
        <f t="shared" si="0"/>
        <v>15</v>
      </c>
      <c r="B31" s="989" t="s">
        <v>665</v>
      </c>
      <c r="C31" s="282"/>
      <c r="D31" s="457">
        <f>D29+D30</f>
        <v>6194190</v>
      </c>
      <c r="E31" s="460"/>
      <c r="F31" s="462">
        <f>F29+F30</f>
        <v>6151297</v>
      </c>
      <c r="G31" s="460"/>
      <c r="H31" s="460"/>
      <c r="I31" s="460">
        <f>(D31-F31)*J31</f>
        <v>-4742.3872368886005</v>
      </c>
      <c r="J31" s="461">
        <f>J32-J30</f>
        <v>-0.11056319765203182</v>
      </c>
    </row>
    <row r="32" spans="1:16">
      <c r="A32" s="219">
        <f t="shared" si="0"/>
        <v>16</v>
      </c>
      <c r="B32" s="989">
        <v>45169</v>
      </c>
      <c r="C32" s="282">
        <f>I32</f>
        <v>42337631.204267815</v>
      </c>
      <c r="D32" s="457">
        <v>1323500</v>
      </c>
      <c r="E32" s="460">
        <f>ROUND(D32*J32,2)</f>
        <v>2513365.0099999998</v>
      </c>
      <c r="F32" s="458">
        <v>146155</v>
      </c>
      <c r="G32" s="460">
        <f>ROUND(F32*J32,2)</f>
        <v>277552.59999999998</v>
      </c>
      <c r="H32" s="460">
        <f>H30+D32-F32</f>
        <v>8488378.384615384</v>
      </c>
      <c r="I32" s="282">
        <f>I30+E32-G32+I31</f>
        <v>42337631.204267815</v>
      </c>
      <c r="J32" s="461">
        <v>1.8990290963307406</v>
      </c>
    </row>
    <row r="33" spans="1:10">
      <c r="A33" s="219">
        <f t="shared" si="0"/>
        <v>17</v>
      </c>
      <c r="B33" s="989" t="s">
        <v>665</v>
      </c>
      <c r="C33" s="282"/>
      <c r="D33" s="457">
        <f>D31+D32</f>
        <v>7517690</v>
      </c>
      <c r="E33" s="460"/>
      <c r="F33" s="462">
        <f>F31+F32</f>
        <v>6297452</v>
      </c>
      <c r="G33" s="460"/>
      <c r="H33" s="460"/>
      <c r="I33" s="460">
        <f>(D33-F33)*J33</f>
        <v>-21570.621162648094</v>
      </c>
      <c r="J33" s="461">
        <f>J34-J32</f>
        <v>-1.7677388478844369E-2</v>
      </c>
    </row>
    <row r="34" spans="1:10">
      <c r="A34" s="219">
        <f t="shared" si="0"/>
        <v>18</v>
      </c>
      <c r="B34" s="989">
        <v>45199</v>
      </c>
      <c r="C34" s="282">
        <f>I34</f>
        <v>44341136.273105167</v>
      </c>
      <c r="D34" s="457">
        <v>1255034</v>
      </c>
      <c r="E34" s="460">
        <f>ROUND(D34*J34,2)</f>
        <v>2361160.36</v>
      </c>
      <c r="F34" s="458">
        <v>178640</v>
      </c>
      <c r="G34" s="460">
        <f>ROUND(F34*J34,2)</f>
        <v>336084.67</v>
      </c>
      <c r="H34" s="460">
        <f>H32+D34-F34</f>
        <v>9564772.384615384</v>
      </c>
      <c r="I34" s="282">
        <f>I32+E34-G34+I33</f>
        <v>44341136.273105167</v>
      </c>
      <c r="J34" s="461">
        <v>1.8813517078518962</v>
      </c>
    </row>
    <row r="35" spans="1:10">
      <c r="A35" s="219">
        <f t="shared" si="0"/>
        <v>19</v>
      </c>
      <c r="B35" s="989" t="s">
        <v>665</v>
      </c>
      <c r="C35" s="282"/>
      <c r="D35" s="457">
        <f>D33+D34</f>
        <v>8772724</v>
      </c>
      <c r="E35" s="460"/>
      <c r="F35" s="462">
        <f>F33+F34</f>
        <v>6476092</v>
      </c>
      <c r="G35" s="460"/>
      <c r="H35" s="460"/>
      <c r="I35" s="460">
        <f>(D35-F35)*J35</f>
        <v>26410.85069767922</v>
      </c>
      <c r="J35" s="461">
        <f>J36-J34</f>
        <v>1.1499818298133624E-2</v>
      </c>
    </row>
    <row r="36" spans="1:10">
      <c r="A36" s="219">
        <f t="shared" si="0"/>
        <v>20</v>
      </c>
      <c r="B36" s="989">
        <v>45230</v>
      </c>
      <c r="C36" s="282">
        <f>I36</f>
        <v>45321496.973802842</v>
      </c>
      <c r="D36" s="457">
        <v>836223</v>
      </c>
      <c r="E36" s="460">
        <f>ROUND(D36*J36,2)</f>
        <v>1582845.98</v>
      </c>
      <c r="F36" s="458">
        <v>332248</v>
      </c>
      <c r="G36" s="460">
        <f>ROUND(F36*J36,2)</f>
        <v>628896.13</v>
      </c>
      <c r="H36" s="460">
        <f>H34+D36-F36</f>
        <v>10068747.384615384</v>
      </c>
      <c r="I36" s="282">
        <f>I34+E36-G36+I35</f>
        <v>45321496.973802842</v>
      </c>
      <c r="J36" s="461">
        <v>1.8928515261500298</v>
      </c>
    </row>
    <row r="37" spans="1:10">
      <c r="A37" s="219">
        <f t="shared" si="0"/>
        <v>21</v>
      </c>
      <c r="B37" s="989" t="s">
        <v>665</v>
      </c>
      <c r="C37" s="282"/>
      <c r="D37" s="457">
        <f>D35+D36</f>
        <v>9608947</v>
      </c>
      <c r="E37" s="460"/>
      <c r="F37" s="462">
        <f>F35+F36</f>
        <v>6808340</v>
      </c>
      <c r="G37" s="460"/>
      <c r="H37" s="460"/>
      <c r="I37" s="460">
        <f>(D37-F37)*J37</f>
        <v>3715.3951992633019</v>
      </c>
      <c r="J37" s="461">
        <f>J38-J36</f>
        <v>1.3266392604400767E-3</v>
      </c>
    </row>
    <row r="38" spans="1:10">
      <c r="A38" s="219">
        <f t="shared" si="0"/>
        <v>22</v>
      </c>
      <c r="B38" s="989">
        <v>45260</v>
      </c>
      <c r="C38" s="282">
        <f>I38</f>
        <v>43545190.6390021</v>
      </c>
      <c r="D38" s="457">
        <v>197153</v>
      </c>
      <c r="E38" s="460">
        <f>ROUND(D38*J38,2)</f>
        <v>373442.91</v>
      </c>
      <c r="F38" s="458">
        <v>1136886</v>
      </c>
      <c r="G38" s="460">
        <f>ROUND(F38*J38,2)</f>
        <v>2153464.64</v>
      </c>
      <c r="H38" s="460">
        <f>H36+D38-F38</f>
        <v>9129014.384615384</v>
      </c>
      <c r="I38" s="282">
        <f>I36+E38-G38+I37</f>
        <v>43545190.6390021</v>
      </c>
      <c r="J38" s="461">
        <v>1.8941781654104699</v>
      </c>
    </row>
    <row r="39" spans="1:10">
      <c r="A39" s="219">
        <f t="shared" si="0"/>
        <v>23</v>
      </c>
      <c r="B39" s="989" t="s">
        <v>665</v>
      </c>
      <c r="C39" s="282"/>
      <c r="D39" s="457">
        <f>D37+D38</f>
        <v>9806100</v>
      </c>
      <c r="E39" s="460"/>
      <c r="F39" s="462">
        <f>F37+F38</f>
        <v>7945226</v>
      </c>
      <c r="G39" s="460"/>
      <c r="H39" s="460"/>
      <c r="I39" s="462">
        <f>((D39-F39)*J39)+81925.35+82</f>
        <v>14655.483486155194</v>
      </c>
      <c r="J39" s="461">
        <f>J40-J38</f>
        <v>-3.6193673786535152E-2</v>
      </c>
    </row>
    <row r="40" spans="1:10">
      <c r="A40" s="219">
        <f t="shared" si="0"/>
        <v>24</v>
      </c>
      <c r="B40" s="989">
        <v>45291</v>
      </c>
      <c r="C40" s="282">
        <f>I40</f>
        <v>40807875.67248825</v>
      </c>
      <c r="D40" s="457">
        <v>87706</v>
      </c>
      <c r="E40" s="460">
        <f>ROUND(D40*J40,2)</f>
        <v>162956.39000000001</v>
      </c>
      <c r="F40" s="458">
        <v>1568865</v>
      </c>
      <c r="G40" s="460">
        <f>ROUND(F40*J40,2)</f>
        <v>2914926.84</v>
      </c>
      <c r="H40" s="460">
        <f>H38+D40-F40</f>
        <v>7647855.384615384</v>
      </c>
      <c r="I40" s="282">
        <f>I38+E40-G40+I39</f>
        <v>40807875.67248825</v>
      </c>
      <c r="J40" s="461">
        <v>1.8579844916239348</v>
      </c>
    </row>
    <row r="41" spans="1:10">
      <c r="A41" s="219">
        <f t="shared" si="0"/>
        <v>25</v>
      </c>
      <c r="B41" s="989" t="s">
        <v>666</v>
      </c>
      <c r="C41" s="282">
        <f>I41</f>
        <v>40807875.71575132</v>
      </c>
      <c r="D41" s="457">
        <f>D39+D40</f>
        <v>9893806</v>
      </c>
      <c r="E41" s="460"/>
      <c r="F41" s="458">
        <f>F40+F39</f>
        <v>9514091</v>
      </c>
      <c r="G41" s="460"/>
      <c r="H41" s="460">
        <v>7647854.423076923</v>
      </c>
      <c r="I41" s="282">
        <v>40807875.71575132</v>
      </c>
    </row>
    <row r="42" spans="1:10">
      <c r="A42" s="219"/>
      <c r="B42" s="989"/>
      <c r="C42" s="282"/>
      <c r="D42" s="457"/>
      <c r="E42" s="460"/>
      <c r="F42" s="458"/>
      <c r="G42" s="460"/>
      <c r="H42" s="460"/>
      <c r="I42" s="282"/>
    </row>
    <row r="43" spans="1:10">
      <c r="A43" s="219">
        <f>A41+1</f>
        <v>26</v>
      </c>
      <c r="B43" s="989">
        <v>45322</v>
      </c>
      <c r="C43" s="282">
        <f>I43</f>
        <v>36115588.21575132</v>
      </c>
      <c r="D43" s="457">
        <v>0</v>
      </c>
      <c r="E43" s="460">
        <f t="shared" ref="E43:E54" si="1">ROUND(D43*J43,2)</f>
        <v>0</v>
      </c>
      <c r="F43" s="458">
        <v>2185000</v>
      </c>
      <c r="G43" s="460">
        <f t="shared" ref="G43:G54" si="2">ROUND(F43*J43,2)</f>
        <v>4692287.5</v>
      </c>
      <c r="H43" s="460">
        <f>H41+D43-F43</f>
        <v>5462854.423076923</v>
      </c>
      <c r="I43" s="282">
        <f>I41+E43-G43</f>
        <v>36115588.21575132</v>
      </c>
      <c r="J43" s="463">
        <v>2.1475</v>
      </c>
    </row>
    <row r="44" spans="1:10">
      <c r="A44" s="219">
        <f>+A43+1</f>
        <v>27</v>
      </c>
      <c r="B44" s="989">
        <v>45350</v>
      </c>
      <c r="C44" s="282">
        <f t="shared" ref="C44:C54" si="3">I44</f>
        <v>32091173.21575132</v>
      </c>
      <c r="D44" s="457">
        <v>0</v>
      </c>
      <c r="E44" s="460">
        <f t="shared" si="1"/>
        <v>0</v>
      </c>
      <c r="F44" s="458">
        <v>1874000</v>
      </c>
      <c r="G44" s="460">
        <f t="shared" si="2"/>
        <v>4024415</v>
      </c>
      <c r="H44" s="460">
        <f t="shared" ref="H44:I50" si="4">H43+D44-F44</f>
        <v>3588854.423076923</v>
      </c>
      <c r="I44" s="282">
        <f t="shared" si="4"/>
        <v>32091173.21575132</v>
      </c>
      <c r="J44" s="463">
        <v>2.1475</v>
      </c>
    </row>
    <row r="45" spans="1:10">
      <c r="A45" s="219">
        <f t="shared" ref="A45:A55" si="5">+A44+1</f>
        <v>28</v>
      </c>
      <c r="B45" s="989">
        <v>45382</v>
      </c>
      <c r="C45" s="282">
        <f t="shared" si="3"/>
        <v>28768990.71575132</v>
      </c>
      <c r="D45" s="457">
        <v>0</v>
      </c>
      <c r="E45" s="460">
        <f t="shared" si="1"/>
        <v>0</v>
      </c>
      <c r="F45" s="458">
        <v>1547000</v>
      </c>
      <c r="G45" s="460">
        <f t="shared" si="2"/>
        <v>3322182.5</v>
      </c>
      <c r="H45" s="460">
        <f t="shared" si="4"/>
        <v>2041854.423076923</v>
      </c>
      <c r="I45" s="282">
        <f t="shared" si="4"/>
        <v>28768990.71575132</v>
      </c>
      <c r="J45" s="463">
        <v>2.1475</v>
      </c>
    </row>
    <row r="46" spans="1:10">
      <c r="A46" s="219">
        <f t="shared" si="5"/>
        <v>29</v>
      </c>
      <c r="B46" s="989">
        <v>45412</v>
      </c>
      <c r="C46" s="282">
        <f t="shared" si="3"/>
        <v>30594365.71575132</v>
      </c>
      <c r="D46" s="457">
        <v>850000</v>
      </c>
      <c r="E46" s="460">
        <f t="shared" si="1"/>
        <v>1825375</v>
      </c>
      <c r="F46" s="458">
        <v>0</v>
      </c>
      <c r="G46" s="460">
        <f t="shared" si="2"/>
        <v>0</v>
      </c>
      <c r="H46" s="460">
        <f t="shared" si="4"/>
        <v>2891854.423076923</v>
      </c>
      <c r="I46" s="282">
        <f t="shared" si="4"/>
        <v>30594365.71575132</v>
      </c>
      <c r="J46" s="463">
        <v>2.1475</v>
      </c>
    </row>
    <row r="47" spans="1:10">
      <c r="A47" s="219">
        <f t="shared" si="5"/>
        <v>30</v>
      </c>
      <c r="B47" s="989">
        <v>45443</v>
      </c>
      <c r="C47" s="282">
        <f t="shared" si="3"/>
        <v>33676028.21575132</v>
      </c>
      <c r="D47" s="457">
        <v>1435000</v>
      </c>
      <c r="E47" s="460">
        <f t="shared" si="1"/>
        <v>3081662.5</v>
      </c>
      <c r="F47" s="458">
        <v>0</v>
      </c>
      <c r="G47" s="460">
        <f t="shared" si="2"/>
        <v>0</v>
      </c>
      <c r="H47" s="460">
        <f t="shared" si="4"/>
        <v>4326854.423076923</v>
      </c>
      <c r="I47" s="282">
        <f t="shared" si="4"/>
        <v>33676028.21575132</v>
      </c>
      <c r="J47" s="463">
        <v>2.1475</v>
      </c>
    </row>
    <row r="48" spans="1:10">
      <c r="A48" s="219">
        <f t="shared" si="5"/>
        <v>31</v>
      </c>
      <c r="B48" s="989">
        <v>45473</v>
      </c>
      <c r="C48" s="282">
        <f t="shared" si="3"/>
        <v>36757690.71575132</v>
      </c>
      <c r="D48" s="457">
        <v>1435000</v>
      </c>
      <c r="E48" s="460">
        <f t="shared" si="1"/>
        <v>3081662.5</v>
      </c>
      <c r="F48" s="458">
        <v>0</v>
      </c>
      <c r="G48" s="460">
        <f t="shared" si="2"/>
        <v>0</v>
      </c>
      <c r="H48" s="460">
        <f t="shared" si="4"/>
        <v>5761854.423076923</v>
      </c>
      <c r="I48" s="282">
        <f t="shared" si="4"/>
        <v>36757690.71575132</v>
      </c>
      <c r="J48" s="463">
        <v>2.1475</v>
      </c>
    </row>
    <row r="49" spans="1:13">
      <c r="A49" s="219">
        <f t="shared" si="5"/>
        <v>32</v>
      </c>
      <c r="B49" s="989">
        <v>45504</v>
      </c>
      <c r="C49" s="282">
        <f t="shared" si="3"/>
        <v>39839353.21575132</v>
      </c>
      <c r="D49" s="457">
        <v>1435000</v>
      </c>
      <c r="E49" s="460">
        <f t="shared" si="1"/>
        <v>3081662.5</v>
      </c>
      <c r="F49" s="458">
        <v>0</v>
      </c>
      <c r="G49" s="460">
        <f t="shared" si="2"/>
        <v>0</v>
      </c>
      <c r="H49" s="460">
        <f t="shared" si="4"/>
        <v>7196854.423076923</v>
      </c>
      <c r="I49" s="282">
        <f t="shared" si="4"/>
        <v>39839353.21575132</v>
      </c>
      <c r="J49" s="463">
        <v>2.1475</v>
      </c>
    </row>
    <row r="50" spans="1:13">
      <c r="A50" s="219">
        <f t="shared" si="5"/>
        <v>33</v>
      </c>
      <c r="B50" s="989">
        <v>45535</v>
      </c>
      <c r="C50" s="282">
        <f t="shared" si="3"/>
        <v>42921015.71575132</v>
      </c>
      <c r="D50" s="457">
        <v>1435000</v>
      </c>
      <c r="E50" s="460">
        <f t="shared" si="1"/>
        <v>3081662.5</v>
      </c>
      <c r="F50" s="458">
        <v>0</v>
      </c>
      <c r="G50" s="460">
        <f t="shared" si="2"/>
        <v>0</v>
      </c>
      <c r="H50" s="460">
        <f t="shared" si="4"/>
        <v>8631854.4230769239</v>
      </c>
      <c r="I50" s="282">
        <f t="shared" si="4"/>
        <v>42921015.71575132</v>
      </c>
      <c r="J50" s="463">
        <v>2.1475</v>
      </c>
    </row>
    <row r="51" spans="1:13">
      <c r="A51" s="219">
        <f t="shared" si="5"/>
        <v>34</v>
      </c>
      <c r="B51" s="989">
        <v>45565</v>
      </c>
      <c r="C51" s="282">
        <f t="shared" si="3"/>
        <v>45927515.71575132</v>
      </c>
      <c r="D51" s="457">
        <v>1400000</v>
      </c>
      <c r="E51" s="460">
        <f t="shared" si="1"/>
        <v>3006500</v>
      </c>
      <c r="F51" s="458">
        <v>0</v>
      </c>
      <c r="G51" s="460">
        <f t="shared" si="2"/>
        <v>0</v>
      </c>
      <c r="H51" s="460">
        <f t="shared" ref="H51:I54" si="6">H50+D51-F51</f>
        <v>10031854.423076924</v>
      </c>
      <c r="I51" s="282">
        <f t="shared" si="6"/>
        <v>45927515.71575132</v>
      </c>
      <c r="J51" s="463">
        <v>2.1475</v>
      </c>
    </row>
    <row r="52" spans="1:13">
      <c r="A52" s="219">
        <f t="shared" si="5"/>
        <v>35</v>
      </c>
      <c r="B52" s="989">
        <v>45596</v>
      </c>
      <c r="C52" s="282">
        <f t="shared" si="3"/>
        <v>47364193.21575132</v>
      </c>
      <c r="D52" s="457">
        <v>669000</v>
      </c>
      <c r="E52" s="460">
        <f t="shared" si="1"/>
        <v>1436677.5</v>
      </c>
      <c r="F52" s="458">
        <v>0</v>
      </c>
      <c r="G52" s="460">
        <f t="shared" si="2"/>
        <v>0</v>
      </c>
      <c r="H52" s="460">
        <f t="shared" si="6"/>
        <v>10700854.423076924</v>
      </c>
      <c r="I52" s="282">
        <f t="shared" si="6"/>
        <v>47364193.21575132</v>
      </c>
      <c r="J52" s="463">
        <v>2.1475</v>
      </c>
    </row>
    <row r="53" spans="1:13">
      <c r="A53" s="219">
        <f t="shared" si="5"/>
        <v>36</v>
      </c>
      <c r="B53" s="989">
        <v>45626</v>
      </c>
      <c r="C53" s="282">
        <f t="shared" si="3"/>
        <v>44428560.71575132</v>
      </c>
      <c r="D53" s="457">
        <v>0</v>
      </c>
      <c r="E53" s="460">
        <f t="shared" si="1"/>
        <v>0</v>
      </c>
      <c r="F53" s="458">
        <v>1367000</v>
      </c>
      <c r="G53" s="460">
        <f t="shared" si="2"/>
        <v>2935632.5</v>
      </c>
      <c r="H53" s="460">
        <f t="shared" si="6"/>
        <v>9333854.4230769239</v>
      </c>
      <c r="I53" s="282">
        <f t="shared" si="6"/>
        <v>44428560.71575132</v>
      </c>
      <c r="J53" s="463">
        <v>2.1475</v>
      </c>
    </row>
    <row r="54" spans="1:13">
      <c r="A54" s="219">
        <f t="shared" si="5"/>
        <v>37</v>
      </c>
      <c r="B54" s="989">
        <v>45657</v>
      </c>
      <c r="C54" s="282">
        <f t="shared" si="3"/>
        <v>40807875.71575132</v>
      </c>
      <c r="D54" s="457">
        <v>0</v>
      </c>
      <c r="E54" s="460">
        <f t="shared" si="1"/>
        <v>0</v>
      </c>
      <c r="F54" s="458">
        <v>1686000</v>
      </c>
      <c r="G54" s="460">
        <f t="shared" si="2"/>
        <v>3620685</v>
      </c>
      <c r="H54" s="460">
        <f t="shared" si="6"/>
        <v>7647854.4230769239</v>
      </c>
      <c r="I54" s="282">
        <f t="shared" si="6"/>
        <v>40807875.71575132</v>
      </c>
      <c r="J54" s="463">
        <v>2.1475</v>
      </c>
      <c r="L54" s="282"/>
    </row>
    <row r="55" spans="1:13">
      <c r="A55" s="219">
        <f t="shared" si="5"/>
        <v>38</v>
      </c>
      <c r="B55" s="989" t="s">
        <v>666</v>
      </c>
      <c r="C55" s="282">
        <f>I55</f>
        <v>40807875.71575132</v>
      </c>
      <c r="D55" s="457">
        <f>SUM(D43:D54)</f>
        <v>8659000</v>
      </c>
      <c r="E55" s="460"/>
      <c r="F55" s="457">
        <f>SUM(F43:F54)</f>
        <v>8659000</v>
      </c>
      <c r="G55" s="457"/>
      <c r="H55" s="460">
        <f>+H54</f>
        <v>7647854.4230769239</v>
      </c>
      <c r="I55" s="282">
        <f>+I54</f>
        <v>40807875.71575132</v>
      </c>
      <c r="J55" s="463"/>
      <c r="L55" s="282"/>
      <c r="M55" s="282"/>
    </row>
    <row r="56" spans="1:13">
      <c r="A56" s="219"/>
      <c r="B56" s="989"/>
      <c r="C56" s="282"/>
      <c r="D56" s="457"/>
      <c r="E56" s="991"/>
      <c r="F56" s="458"/>
      <c r="G56" s="991"/>
      <c r="H56" s="460"/>
      <c r="I56" s="992"/>
      <c r="J56" s="463"/>
      <c r="L56" s="282"/>
    </row>
    <row r="57" spans="1:13">
      <c r="A57" s="219">
        <f>A55+1</f>
        <v>39</v>
      </c>
      <c r="B57" s="989">
        <v>45688</v>
      </c>
      <c r="C57" s="282">
        <f>I57</f>
        <v>33946995.71575132</v>
      </c>
      <c r="D57" s="457">
        <v>0</v>
      </c>
      <c r="E57" s="460">
        <f t="shared" ref="E57:E68" si="7">ROUND(D57*J57,2)</f>
        <v>0</v>
      </c>
      <c r="F57" s="458">
        <v>2199000</v>
      </c>
      <c r="G57" s="460">
        <f t="shared" ref="G57:G68" si="8">ROUND(F57*J57,2)</f>
        <v>6860880</v>
      </c>
      <c r="H57" s="460">
        <f>H54+D57-F57</f>
        <v>5448854.4230769239</v>
      </c>
      <c r="I57" s="282">
        <f>I55+E57-G57</f>
        <v>33946995.71575132</v>
      </c>
      <c r="J57" s="463">
        <v>3.1199999999999997</v>
      </c>
      <c r="L57" s="282"/>
    </row>
    <row r="58" spans="1:13">
      <c r="A58" s="219">
        <f t="shared" ref="A58:A69" si="9">A57+1</f>
        <v>40</v>
      </c>
      <c r="B58" s="989">
        <v>45716</v>
      </c>
      <c r="C58" s="282">
        <f t="shared" ref="C58:C68" si="10">I58</f>
        <v>28022115.71575132</v>
      </c>
      <c r="D58" s="457">
        <v>0</v>
      </c>
      <c r="E58" s="460">
        <f t="shared" si="7"/>
        <v>0</v>
      </c>
      <c r="F58" s="458">
        <v>1899000</v>
      </c>
      <c r="G58" s="460">
        <f t="shared" si="8"/>
        <v>5924880</v>
      </c>
      <c r="H58" s="460">
        <f t="shared" ref="H58:I68" si="11">H57+D58-F58</f>
        <v>3549854.4230769239</v>
      </c>
      <c r="I58" s="282">
        <f t="shared" si="11"/>
        <v>28022115.71575132</v>
      </c>
      <c r="J58" s="463">
        <v>3.1199999999999997</v>
      </c>
    </row>
    <row r="59" spans="1:13">
      <c r="A59" s="219">
        <f t="shared" si="9"/>
        <v>41</v>
      </c>
      <c r="B59" s="989">
        <v>45747</v>
      </c>
      <c r="C59" s="282">
        <f t="shared" si="10"/>
        <v>23170515.71575132</v>
      </c>
      <c r="D59" s="457">
        <v>0</v>
      </c>
      <c r="E59" s="460">
        <f t="shared" si="7"/>
        <v>0</v>
      </c>
      <c r="F59" s="458">
        <v>1555000</v>
      </c>
      <c r="G59" s="460">
        <f t="shared" si="8"/>
        <v>4851600</v>
      </c>
      <c r="H59" s="460">
        <f t="shared" si="11"/>
        <v>1994854.4230769239</v>
      </c>
      <c r="I59" s="282">
        <f t="shared" si="11"/>
        <v>23170515.71575132</v>
      </c>
      <c r="J59" s="463">
        <v>3.1199999999999997</v>
      </c>
    </row>
    <row r="60" spans="1:13">
      <c r="A60" s="219">
        <f t="shared" si="9"/>
        <v>42</v>
      </c>
      <c r="B60" s="989">
        <v>45777</v>
      </c>
      <c r="C60" s="282">
        <f t="shared" si="10"/>
        <v>25822515.71575132</v>
      </c>
      <c r="D60" s="457">
        <v>850000</v>
      </c>
      <c r="E60" s="460">
        <f t="shared" si="7"/>
        <v>2652000</v>
      </c>
      <c r="F60" s="458">
        <v>0</v>
      </c>
      <c r="G60" s="460">
        <f t="shared" si="8"/>
        <v>0</v>
      </c>
      <c r="H60" s="460">
        <f t="shared" si="11"/>
        <v>2844854.4230769239</v>
      </c>
      <c r="I60" s="282">
        <f t="shared" si="11"/>
        <v>25822515.71575132</v>
      </c>
      <c r="J60" s="463">
        <v>3.1199999999999997</v>
      </c>
    </row>
    <row r="61" spans="1:13">
      <c r="A61" s="219">
        <f t="shared" si="9"/>
        <v>43</v>
      </c>
      <c r="B61" s="989">
        <v>45808</v>
      </c>
      <c r="C61" s="282">
        <f t="shared" si="10"/>
        <v>30377715.71575132</v>
      </c>
      <c r="D61" s="457">
        <v>1460000</v>
      </c>
      <c r="E61" s="460">
        <f t="shared" si="7"/>
        <v>4555200</v>
      </c>
      <c r="F61" s="458">
        <v>0</v>
      </c>
      <c r="G61" s="460">
        <f t="shared" si="8"/>
        <v>0</v>
      </c>
      <c r="H61" s="460">
        <f t="shared" si="11"/>
        <v>4304854.4230769239</v>
      </c>
      <c r="I61" s="282">
        <f t="shared" si="11"/>
        <v>30377715.71575132</v>
      </c>
      <c r="J61" s="463">
        <v>3.1199999999999997</v>
      </c>
    </row>
    <row r="62" spans="1:13">
      <c r="A62" s="219">
        <f t="shared" si="9"/>
        <v>44</v>
      </c>
      <c r="B62" s="989">
        <v>45838</v>
      </c>
      <c r="C62" s="282">
        <f t="shared" si="10"/>
        <v>34932915.71575132</v>
      </c>
      <c r="D62" s="457">
        <v>1460000</v>
      </c>
      <c r="E62" s="460">
        <f t="shared" si="7"/>
        <v>4555200</v>
      </c>
      <c r="F62" s="460">
        <v>0</v>
      </c>
      <c r="G62" s="460">
        <f t="shared" si="8"/>
        <v>0</v>
      </c>
      <c r="H62" s="460">
        <f t="shared" si="11"/>
        <v>5764854.4230769239</v>
      </c>
      <c r="I62" s="282">
        <f t="shared" si="11"/>
        <v>34932915.71575132</v>
      </c>
      <c r="J62" s="463">
        <v>3.1199999999999997</v>
      </c>
    </row>
    <row r="63" spans="1:13">
      <c r="A63" s="219">
        <f t="shared" si="9"/>
        <v>45</v>
      </c>
      <c r="B63" s="989">
        <v>45869</v>
      </c>
      <c r="C63" s="282">
        <f t="shared" si="10"/>
        <v>39488115.71575132</v>
      </c>
      <c r="D63" s="457">
        <v>1460000</v>
      </c>
      <c r="E63" s="460">
        <f t="shared" si="7"/>
        <v>4555200</v>
      </c>
      <c r="F63" s="460">
        <v>0</v>
      </c>
      <c r="G63" s="460">
        <f t="shared" si="8"/>
        <v>0</v>
      </c>
      <c r="H63" s="460">
        <f t="shared" si="11"/>
        <v>7224854.4230769239</v>
      </c>
      <c r="I63" s="282">
        <f t="shared" si="11"/>
        <v>39488115.71575132</v>
      </c>
      <c r="J63" s="463">
        <v>3.1199999999999997</v>
      </c>
    </row>
    <row r="64" spans="1:13">
      <c r="A64" s="219">
        <f t="shared" si="9"/>
        <v>46</v>
      </c>
      <c r="B64" s="989">
        <v>45900</v>
      </c>
      <c r="C64" s="282">
        <f t="shared" si="10"/>
        <v>44043315.71575132</v>
      </c>
      <c r="D64" s="457">
        <v>1460000</v>
      </c>
      <c r="E64" s="460">
        <f t="shared" si="7"/>
        <v>4555200</v>
      </c>
      <c r="F64" s="460">
        <v>0</v>
      </c>
      <c r="G64" s="460">
        <f t="shared" si="8"/>
        <v>0</v>
      </c>
      <c r="H64" s="460">
        <f t="shared" si="11"/>
        <v>8684854.4230769239</v>
      </c>
      <c r="I64" s="282">
        <f t="shared" si="11"/>
        <v>44043315.71575132</v>
      </c>
      <c r="J64" s="463">
        <v>3.1199999999999997</v>
      </c>
    </row>
    <row r="65" spans="1:10">
      <c r="A65" s="219">
        <f t="shared" si="9"/>
        <v>47</v>
      </c>
      <c r="B65" s="989">
        <v>45930</v>
      </c>
      <c r="C65" s="282">
        <f t="shared" si="10"/>
        <v>48411315.855751321</v>
      </c>
      <c r="D65" s="460">
        <v>1400000.04634304</v>
      </c>
      <c r="E65" s="460">
        <f t="shared" si="7"/>
        <v>4368000.1399999997</v>
      </c>
      <c r="F65" s="460">
        <v>0</v>
      </c>
      <c r="G65" s="460">
        <f t="shared" si="8"/>
        <v>0</v>
      </c>
      <c r="H65" s="460">
        <f t="shared" si="11"/>
        <v>10084854.469419964</v>
      </c>
      <c r="I65" s="282">
        <f t="shared" si="11"/>
        <v>48411315.855751321</v>
      </c>
      <c r="J65" s="463">
        <v>3.1199999999999997</v>
      </c>
    </row>
    <row r="66" spans="1:10">
      <c r="A66" s="219">
        <f t="shared" si="9"/>
        <v>48</v>
      </c>
      <c r="B66" s="989">
        <v>45961</v>
      </c>
      <c r="C66" s="282">
        <f t="shared" si="10"/>
        <v>50333235.855751321</v>
      </c>
      <c r="D66" s="460">
        <v>616000</v>
      </c>
      <c r="E66" s="460">
        <f t="shared" si="7"/>
        <v>1921920</v>
      </c>
      <c r="F66" s="460">
        <v>0</v>
      </c>
      <c r="G66" s="460">
        <f t="shared" si="8"/>
        <v>0</v>
      </c>
      <c r="H66" s="460">
        <f>H65+D66-F66</f>
        <v>10700854.469419964</v>
      </c>
      <c r="I66" s="282">
        <f t="shared" si="11"/>
        <v>50333235.855751321</v>
      </c>
      <c r="J66" s="463">
        <v>3.1199999999999997</v>
      </c>
    </row>
    <row r="67" spans="1:10">
      <c r="A67" s="219">
        <f t="shared" si="9"/>
        <v>49</v>
      </c>
      <c r="B67" s="989">
        <v>45991</v>
      </c>
      <c r="C67" s="282">
        <f t="shared" si="10"/>
        <v>46068195.855751321</v>
      </c>
      <c r="D67" s="460">
        <v>0</v>
      </c>
      <c r="E67" s="460">
        <f t="shared" si="7"/>
        <v>0</v>
      </c>
      <c r="F67" s="460">
        <v>1367000</v>
      </c>
      <c r="G67" s="460">
        <f t="shared" si="8"/>
        <v>4265040</v>
      </c>
      <c r="H67" s="460">
        <f t="shared" si="11"/>
        <v>9333854.4694199637</v>
      </c>
      <c r="I67" s="282">
        <f t="shared" si="11"/>
        <v>46068195.855751321</v>
      </c>
      <c r="J67" s="463">
        <v>3.1199999999999997</v>
      </c>
    </row>
    <row r="68" spans="1:10">
      <c r="A68" s="219">
        <f t="shared" si="9"/>
        <v>50</v>
      </c>
      <c r="B68" s="989">
        <v>46022</v>
      </c>
      <c r="C68" s="282">
        <f t="shared" si="10"/>
        <v>40807875.855751321</v>
      </c>
      <c r="D68" s="460">
        <v>0</v>
      </c>
      <c r="E68" s="460">
        <f t="shared" si="7"/>
        <v>0</v>
      </c>
      <c r="F68" s="460">
        <v>1686000</v>
      </c>
      <c r="G68" s="460">
        <f t="shared" si="8"/>
        <v>5260320</v>
      </c>
      <c r="H68" s="460">
        <f t="shared" si="11"/>
        <v>7647854.4694199637</v>
      </c>
      <c r="I68" s="282">
        <f t="shared" si="11"/>
        <v>40807875.855751321</v>
      </c>
      <c r="J68" s="463">
        <v>3.1199999999999997</v>
      </c>
    </row>
    <row r="69" spans="1:10">
      <c r="A69" s="219">
        <f t="shared" si="9"/>
        <v>51</v>
      </c>
      <c r="B69" s="989" t="s">
        <v>666</v>
      </c>
      <c r="C69" s="282">
        <f>I69</f>
        <v>40807875.855751321</v>
      </c>
      <c r="D69" s="460">
        <f>SUM(D57:D68)</f>
        <v>8706000.0463430397</v>
      </c>
      <c r="E69" s="460"/>
      <c r="F69" s="460">
        <f>SUM(F57:F68)</f>
        <v>8706000</v>
      </c>
      <c r="G69" s="460"/>
      <c r="H69" s="460">
        <f>+H68</f>
        <v>7647854.4694199637</v>
      </c>
      <c r="I69" s="282">
        <f>+I68</f>
        <v>40807875.855751321</v>
      </c>
      <c r="J69" s="463">
        <v>3.1199999999999997</v>
      </c>
    </row>
    <row r="71" spans="1:10">
      <c r="A71" s="219">
        <f>A69+1</f>
        <v>52</v>
      </c>
      <c r="B71" s="993" t="s">
        <v>1626</v>
      </c>
      <c r="C71" s="282">
        <f>(C32+C34+C36+C38+C41+C43+C44+C45+C46+C47+C48+C49+C50)/13</f>
        <v>38239810.502456896</v>
      </c>
      <c r="E71" s="227"/>
    </row>
    <row r="72" spans="1:10">
      <c r="A72" s="219">
        <f>A71+1</f>
        <v>53</v>
      </c>
      <c r="B72" s="993" t="s">
        <v>1627</v>
      </c>
      <c r="C72" s="227">
        <f>(C55+C57+C58+C59+C60+C61+C62+C63+C64+C65+C66+C67+C69)/13</f>
        <v>37402515.758828245</v>
      </c>
      <c r="E72" s="227"/>
    </row>
    <row r="73" spans="1:10">
      <c r="B73" s="993"/>
    </row>
  </sheetData>
  <mergeCells count="4">
    <mergeCell ref="A1:J1"/>
    <mergeCell ref="A2:J2"/>
    <mergeCell ref="A3:J3"/>
    <mergeCell ref="A4:J4"/>
  </mergeCells>
  <printOptions horizontalCentered="1"/>
  <pageMargins left="0.5" right="0.5" top="0.75" bottom="0.5" header="0.3" footer="0.3"/>
  <pageSetup scale="73" fitToHeight="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Y197"/>
  <sheetViews>
    <sheetView zoomScaleNormal="100" zoomScaleSheetLayoutView="100" workbookViewId="0">
      <selection activeCell="H48" sqref="H48"/>
    </sheetView>
  </sheetViews>
  <sheetFormatPr defaultColWidth="9.6640625" defaultRowHeight="12.75"/>
  <cols>
    <col min="1" max="1" width="5.6640625" style="220" customWidth="1"/>
    <col min="2" max="2" width="79.33203125" style="220" customWidth="1"/>
    <col min="3" max="3" width="6.1640625" style="426" customWidth="1"/>
    <col min="4" max="4" width="15.6640625" style="220" bestFit="1" customWidth="1"/>
    <col min="5" max="5" width="10.5" style="220" customWidth="1"/>
    <col min="6" max="6" width="19.33203125" style="220" bestFit="1" customWidth="1"/>
    <col min="7" max="7" width="15.5" style="220" bestFit="1" customWidth="1"/>
    <col min="8" max="8" width="15.6640625" style="220" bestFit="1" customWidth="1"/>
    <col min="9" max="9" width="15.5" style="220" bestFit="1" customWidth="1"/>
    <col min="10" max="10" width="15.33203125" style="220" bestFit="1" customWidth="1"/>
    <col min="11" max="11" width="16.33203125" style="220" customWidth="1"/>
    <col min="12" max="12" width="16.83203125" style="220" customWidth="1"/>
    <col min="13" max="13" width="5.6640625" style="220" customWidth="1"/>
    <col min="14" max="14" width="81.6640625" style="220" customWidth="1"/>
    <col min="15" max="15" width="6.1640625" style="426" customWidth="1"/>
    <col min="16" max="23" width="16.33203125" style="220" customWidth="1"/>
    <col min="24" max="24" width="19" style="220" customWidth="1"/>
    <col min="25" max="25" width="17" style="220" customWidth="1"/>
    <col min="26" max="16384" width="9.6640625" style="220"/>
  </cols>
  <sheetData>
    <row r="1" spans="1:25">
      <c r="A1" s="1306" t="str">
        <f>'General Headers Index'!$B$4</f>
        <v>COLUMBIA GAS OF KENTUCKY, INC.</v>
      </c>
      <c r="B1" s="1306"/>
      <c r="C1" s="1306"/>
      <c r="D1" s="1306"/>
      <c r="E1" s="1306"/>
      <c r="F1" s="1306"/>
      <c r="G1" s="1306"/>
      <c r="H1" s="1306"/>
      <c r="I1" s="1306"/>
      <c r="J1" s="1306"/>
      <c r="K1" s="1306"/>
      <c r="L1" s="1306"/>
      <c r="M1" s="1306" t="str">
        <f>$A$1</f>
        <v>COLUMBIA GAS OF KENTUCKY, INC.</v>
      </c>
      <c r="N1" s="1306"/>
      <c r="O1" s="1306"/>
      <c r="P1" s="1306"/>
      <c r="Q1" s="1306"/>
      <c r="R1" s="1306"/>
      <c r="S1" s="1306"/>
      <c r="T1" s="1306"/>
      <c r="U1" s="1306"/>
      <c r="V1" s="1306"/>
      <c r="W1" s="1306"/>
      <c r="X1" s="1306"/>
      <c r="Y1" s="1306"/>
    </row>
    <row r="2" spans="1:25">
      <c r="A2" s="1306" t="str">
        <f>'General Headers Index'!$B$6</f>
        <v>CASE NO. 2024 - 00092</v>
      </c>
      <c r="B2" s="1306"/>
      <c r="C2" s="1306"/>
      <c r="D2" s="1306"/>
      <c r="E2" s="1306"/>
      <c r="F2" s="1306"/>
      <c r="G2" s="1306"/>
      <c r="H2" s="1306"/>
      <c r="I2" s="1306"/>
      <c r="J2" s="1306"/>
      <c r="K2" s="1306"/>
      <c r="L2" s="1306"/>
      <c r="M2" s="1306" t="str">
        <f>$A$2</f>
        <v>CASE NO. 2024 - 00092</v>
      </c>
      <c r="N2" s="1306"/>
      <c r="O2" s="1306"/>
      <c r="P2" s="1306"/>
      <c r="Q2" s="1306"/>
      <c r="R2" s="1306"/>
      <c r="S2" s="1306"/>
      <c r="T2" s="1306"/>
      <c r="U2" s="1306"/>
      <c r="V2" s="1306"/>
      <c r="W2" s="1306"/>
      <c r="X2" s="1306"/>
      <c r="Y2" s="1306"/>
    </row>
    <row r="3" spans="1:25">
      <c r="A3" s="1306" t="s">
        <v>556</v>
      </c>
      <c r="B3" s="1306"/>
      <c r="C3" s="1306"/>
      <c r="D3" s="1306"/>
      <c r="E3" s="1306"/>
      <c r="F3" s="1306"/>
      <c r="G3" s="1306"/>
      <c r="H3" s="1306"/>
      <c r="I3" s="1306"/>
      <c r="J3" s="1306"/>
      <c r="K3" s="1306"/>
      <c r="L3" s="1306"/>
      <c r="M3" s="1306" t="str">
        <f>$A$3</f>
        <v>DEFERRED CREDITS AND ACCUMULATED DEFERRED INCOME TAXES</v>
      </c>
      <c r="N3" s="1306"/>
      <c r="O3" s="1306"/>
      <c r="P3" s="1306"/>
      <c r="Q3" s="1306"/>
      <c r="R3" s="1306"/>
      <c r="S3" s="1306"/>
      <c r="T3" s="1306"/>
      <c r="U3" s="1306"/>
      <c r="V3" s="1306"/>
      <c r="W3" s="1306"/>
      <c r="X3" s="1306"/>
      <c r="Y3" s="1306"/>
    </row>
    <row r="4" spans="1:25">
      <c r="A4" s="1306" t="str">
        <f>'General Headers Index'!$B$10</f>
        <v>AS OF AUGUST 31, 2024</v>
      </c>
      <c r="B4" s="1306"/>
      <c r="C4" s="1306"/>
      <c r="D4" s="1306"/>
      <c r="E4" s="1306"/>
      <c r="F4" s="1306"/>
      <c r="G4" s="1306"/>
      <c r="H4" s="1306"/>
      <c r="I4" s="1306"/>
      <c r="J4" s="1306"/>
      <c r="K4" s="1306"/>
      <c r="L4" s="1306"/>
      <c r="M4" s="1306" t="str">
        <f>$A$4</f>
        <v>AS OF AUGUST 31, 2024</v>
      </c>
      <c r="N4" s="1306"/>
      <c r="O4" s="1306"/>
      <c r="P4" s="1306"/>
      <c r="Q4" s="1306"/>
      <c r="R4" s="1306"/>
      <c r="S4" s="1306"/>
      <c r="T4" s="1306"/>
      <c r="U4" s="1306"/>
      <c r="V4" s="1306"/>
      <c r="W4" s="1306"/>
      <c r="X4" s="1306"/>
      <c r="Y4" s="1306"/>
    </row>
    <row r="5" spans="1:25">
      <c r="A5" s="238"/>
      <c r="B5" s="238"/>
      <c r="C5" s="238"/>
      <c r="D5" s="238"/>
      <c r="E5" s="238"/>
      <c r="F5" s="238"/>
      <c r="G5" s="238"/>
      <c r="H5" s="238"/>
      <c r="I5" s="238"/>
      <c r="J5" s="238"/>
      <c r="K5" s="238"/>
      <c r="L5" s="238"/>
      <c r="M5" s="238"/>
      <c r="N5" s="238"/>
      <c r="O5" s="238"/>
      <c r="P5" s="238"/>
      <c r="Q5" s="238"/>
    </row>
    <row r="6" spans="1:25">
      <c r="A6" s="229" t="s">
        <v>2787</v>
      </c>
      <c r="L6" s="326" t="s">
        <v>1353</v>
      </c>
      <c r="M6" s="229" t="s">
        <v>2787</v>
      </c>
      <c r="Y6" s="326" t="s">
        <v>2950</v>
      </c>
    </row>
    <row r="7" spans="1:25">
      <c r="A7" s="229" t="s">
        <v>572</v>
      </c>
      <c r="B7" s="229"/>
      <c r="L7" s="326" t="s">
        <v>2944</v>
      </c>
      <c r="M7" s="229" t="s">
        <v>572</v>
      </c>
      <c r="N7" s="229"/>
      <c r="Y7" s="326" t="s">
        <v>2945</v>
      </c>
    </row>
    <row r="8" spans="1:25">
      <c r="A8" s="229" t="s">
        <v>575</v>
      </c>
      <c r="L8" s="326" t="str">
        <f>"WITNESS: "&amp;'General Headers Index'!B58</f>
        <v>WITNESS: HARDING</v>
      </c>
      <c r="M8" s="229" t="s">
        <v>575</v>
      </c>
      <c r="Y8" s="271" t="str">
        <f>"WITNESS: "&amp;'General Headers Index'!B58</f>
        <v>WITNESS: HARDING</v>
      </c>
    </row>
    <row r="9" spans="1:25">
      <c r="A9" s="229"/>
      <c r="M9" s="229"/>
      <c r="P9" s="326"/>
      <c r="Q9" s="229"/>
      <c r="Y9" s="271"/>
    </row>
    <row r="10" spans="1:25" s="217" customFormat="1">
      <c r="A10" s="439"/>
      <c r="B10" s="439"/>
      <c r="C10" s="424"/>
      <c r="D10" s="272" t="s">
        <v>1944</v>
      </c>
      <c r="E10" s="272"/>
      <c r="F10" s="272"/>
      <c r="G10" s="272"/>
      <c r="H10" s="272" t="s">
        <v>1944</v>
      </c>
      <c r="I10" s="272" t="s">
        <v>1945</v>
      </c>
      <c r="J10" s="272" t="s">
        <v>1946</v>
      </c>
      <c r="K10" s="272" t="s">
        <v>1947</v>
      </c>
      <c r="L10" s="272" t="s">
        <v>1948</v>
      </c>
      <c r="M10" s="439"/>
      <c r="N10" s="439"/>
      <c r="O10" s="424"/>
      <c r="P10" s="272" t="s">
        <v>1949</v>
      </c>
      <c r="Q10" s="272" t="s">
        <v>1950</v>
      </c>
      <c r="R10" s="272" t="s">
        <v>1951</v>
      </c>
      <c r="S10" s="272" t="s">
        <v>1952</v>
      </c>
      <c r="T10" s="272" t="s">
        <v>1953</v>
      </c>
      <c r="U10" s="272" t="s">
        <v>1954</v>
      </c>
      <c r="V10" s="272" t="s">
        <v>1955</v>
      </c>
      <c r="W10" s="272" t="s">
        <v>1956</v>
      </c>
      <c r="X10" s="439" t="s">
        <v>349</v>
      </c>
      <c r="Y10" s="440" t="s">
        <v>352</v>
      </c>
    </row>
    <row r="11" spans="1:25">
      <c r="A11" s="217" t="s">
        <v>313</v>
      </c>
      <c r="D11" s="217" t="s">
        <v>538</v>
      </c>
      <c r="E11" s="217" t="s">
        <v>78</v>
      </c>
      <c r="F11" s="217" t="s">
        <v>350</v>
      </c>
      <c r="G11" s="217"/>
      <c r="H11" s="217" t="s">
        <v>1354</v>
      </c>
      <c r="I11" s="217" t="s">
        <v>1354</v>
      </c>
      <c r="J11" s="217" t="s">
        <v>1354</v>
      </c>
      <c r="K11" s="217" t="s">
        <v>1354</v>
      </c>
      <c r="L11" s="217" t="s">
        <v>1354</v>
      </c>
      <c r="M11" s="217" t="s">
        <v>313</v>
      </c>
      <c r="P11" s="217" t="s">
        <v>1354</v>
      </c>
      <c r="Q11" s="217" t="s">
        <v>1354</v>
      </c>
      <c r="R11" s="217" t="s">
        <v>1354</v>
      </c>
      <c r="S11" s="217" t="s">
        <v>1354</v>
      </c>
      <c r="T11" s="217" t="s">
        <v>1354</v>
      </c>
      <c r="U11" s="217" t="s">
        <v>1354</v>
      </c>
      <c r="V11" s="217" t="s">
        <v>1354</v>
      </c>
      <c r="W11" s="217" t="s">
        <v>1354</v>
      </c>
      <c r="X11" s="217" t="s">
        <v>1354</v>
      </c>
      <c r="Y11" s="217" t="s">
        <v>312</v>
      </c>
    </row>
    <row r="12" spans="1:25">
      <c r="A12" s="846" t="s">
        <v>316</v>
      </c>
      <c r="B12" s="999" t="s">
        <v>451</v>
      </c>
      <c r="C12" s="847" t="s">
        <v>1355</v>
      </c>
      <c r="D12" s="846" t="s">
        <v>353</v>
      </c>
      <c r="E12" s="846" t="s">
        <v>529</v>
      </c>
      <c r="F12" s="846" t="s">
        <v>444</v>
      </c>
      <c r="G12" s="846" t="s">
        <v>433</v>
      </c>
      <c r="H12" s="846" t="s">
        <v>444</v>
      </c>
      <c r="I12" s="846" t="s">
        <v>444</v>
      </c>
      <c r="J12" s="846" t="s">
        <v>444</v>
      </c>
      <c r="K12" s="846" t="s">
        <v>444</v>
      </c>
      <c r="L12" s="846" t="s">
        <v>444</v>
      </c>
      <c r="M12" s="846" t="s">
        <v>316</v>
      </c>
      <c r="N12" s="999" t="s">
        <v>451</v>
      </c>
      <c r="O12" s="847" t="s">
        <v>1355</v>
      </c>
      <c r="P12" s="846" t="s">
        <v>444</v>
      </c>
      <c r="Q12" s="846" t="s">
        <v>444</v>
      </c>
      <c r="R12" s="846" t="s">
        <v>444</v>
      </c>
      <c r="S12" s="846" t="s">
        <v>444</v>
      </c>
      <c r="T12" s="846" t="s">
        <v>444</v>
      </c>
      <c r="U12" s="846" t="s">
        <v>444</v>
      </c>
      <c r="V12" s="846" t="s">
        <v>444</v>
      </c>
      <c r="W12" s="846" t="s">
        <v>444</v>
      </c>
      <c r="X12" s="846" t="s">
        <v>444</v>
      </c>
      <c r="Y12" s="846" t="s">
        <v>441</v>
      </c>
    </row>
    <row r="13" spans="1:25">
      <c r="A13" s="217"/>
      <c r="D13" s="300" t="s">
        <v>532</v>
      </c>
      <c r="E13" s="300" t="s">
        <v>541</v>
      </c>
      <c r="F13" s="300" t="s">
        <v>542</v>
      </c>
      <c r="G13" s="300" t="s">
        <v>668</v>
      </c>
      <c r="H13" s="300" t="s">
        <v>669</v>
      </c>
      <c r="I13" s="300" t="s">
        <v>670</v>
      </c>
      <c r="J13" s="300" t="s">
        <v>984</v>
      </c>
      <c r="K13" s="300" t="s">
        <v>985</v>
      </c>
      <c r="L13" s="300" t="s">
        <v>986</v>
      </c>
      <c r="M13" s="217"/>
      <c r="P13" s="300" t="s">
        <v>987</v>
      </c>
      <c r="Q13" s="300" t="s">
        <v>988</v>
      </c>
      <c r="R13" s="300" t="s">
        <v>989</v>
      </c>
      <c r="S13" s="300" t="s">
        <v>990</v>
      </c>
      <c r="T13" s="300" t="s">
        <v>991</v>
      </c>
      <c r="U13" s="300" t="s">
        <v>992</v>
      </c>
      <c r="V13" s="300" t="s">
        <v>993</v>
      </c>
      <c r="W13" s="300" t="s">
        <v>1356</v>
      </c>
      <c r="X13" s="300" t="s">
        <v>1357</v>
      </c>
      <c r="Y13" s="300" t="s">
        <v>1358</v>
      </c>
    </row>
    <row r="14" spans="1:25">
      <c r="A14" s="217"/>
      <c r="D14" s="300" t="s">
        <v>320</v>
      </c>
      <c r="E14" s="300"/>
      <c r="F14" s="300" t="s">
        <v>320</v>
      </c>
      <c r="G14" s="300" t="s">
        <v>320</v>
      </c>
      <c r="H14" s="300" t="s">
        <v>320</v>
      </c>
      <c r="I14" s="300" t="s">
        <v>320</v>
      </c>
      <c r="J14" s="300" t="s">
        <v>320</v>
      </c>
      <c r="K14" s="300" t="s">
        <v>320</v>
      </c>
      <c r="L14" s="300" t="s">
        <v>320</v>
      </c>
      <c r="M14" s="217"/>
      <c r="P14" s="300" t="s">
        <v>320</v>
      </c>
      <c r="Q14" s="300" t="s">
        <v>320</v>
      </c>
      <c r="R14" s="300" t="s">
        <v>320</v>
      </c>
      <c r="S14" s="300" t="s">
        <v>320</v>
      </c>
      <c r="T14" s="300" t="s">
        <v>320</v>
      </c>
      <c r="U14" s="300" t="s">
        <v>320</v>
      </c>
      <c r="V14" s="300" t="s">
        <v>320</v>
      </c>
      <c r="W14" s="300" t="s">
        <v>320</v>
      </c>
      <c r="X14" s="300" t="s">
        <v>320</v>
      </c>
      <c r="Y14" s="300" t="s">
        <v>320</v>
      </c>
    </row>
    <row r="15" spans="1:25">
      <c r="A15" s="217"/>
      <c r="D15" s="300"/>
      <c r="E15" s="300"/>
      <c r="F15" s="300"/>
      <c r="G15" s="300"/>
      <c r="H15" s="300"/>
      <c r="I15" s="300"/>
      <c r="J15" s="300"/>
      <c r="K15" s="300"/>
      <c r="L15" s="300"/>
      <c r="M15" s="217"/>
      <c r="P15" s="300"/>
      <c r="Q15" s="300"/>
      <c r="R15" s="300"/>
      <c r="S15" s="300"/>
      <c r="T15" s="300"/>
      <c r="U15" s="300"/>
      <c r="V15" s="300"/>
      <c r="W15" s="300"/>
      <c r="X15" s="300"/>
      <c r="Y15" s="300"/>
    </row>
    <row r="16" spans="1:25" s="189" customFormat="1">
      <c r="A16" s="217">
        <v>1</v>
      </c>
      <c r="B16" s="301" t="s">
        <v>1359</v>
      </c>
      <c r="C16" s="426"/>
      <c r="D16" s="442"/>
      <c r="E16" s="220"/>
      <c r="F16" s="442"/>
      <c r="G16" s="442"/>
      <c r="H16" s="442"/>
      <c r="I16" s="442"/>
      <c r="J16" s="442"/>
      <c r="K16" s="442"/>
      <c r="L16" s="442"/>
      <c r="M16" s="217">
        <v>1</v>
      </c>
      <c r="N16" s="301" t="s">
        <v>1359</v>
      </c>
      <c r="O16" s="426"/>
      <c r="P16" s="442"/>
      <c r="Q16" s="442"/>
      <c r="R16" s="442"/>
      <c r="S16" s="442"/>
      <c r="T16" s="442"/>
      <c r="U16" s="442"/>
      <c r="V16" s="442"/>
      <c r="W16" s="442"/>
      <c r="X16" s="442"/>
      <c r="Y16" s="442"/>
    </row>
    <row r="17" spans="1:25">
      <c r="A17" s="217">
        <f t="shared" ref="A17:A80" si="0">A16+1</f>
        <v>2</v>
      </c>
      <c r="D17" s="442"/>
      <c r="F17" s="442"/>
      <c r="G17" s="442"/>
      <c r="H17" s="442"/>
      <c r="I17" s="442"/>
      <c r="J17" s="442"/>
      <c r="K17" s="442"/>
      <c r="L17" s="442"/>
      <c r="M17" s="217">
        <f t="shared" ref="M17:M80" si="1">M16+1</f>
        <v>2</v>
      </c>
      <c r="P17" s="442"/>
      <c r="Q17" s="442"/>
      <c r="R17" s="442"/>
      <c r="S17" s="442"/>
      <c r="T17" s="442"/>
      <c r="U17" s="442"/>
      <c r="V17" s="442"/>
      <c r="W17" s="442"/>
      <c r="X17" s="442"/>
      <c r="Y17" s="442"/>
    </row>
    <row r="18" spans="1:25">
      <c r="A18" s="217">
        <f t="shared" si="0"/>
        <v>3</v>
      </c>
      <c r="B18" s="505" t="s">
        <v>1360</v>
      </c>
      <c r="D18" s="442"/>
      <c r="F18" s="442"/>
      <c r="G18" s="442"/>
      <c r="H18" s="442"/>
      <c r="I18" s="442"/>
      <c r="J18" s="442"/>
      <c r="K18" s="442"/>
      <c r="L18" s="442"/>
      <c r="M18" s="217">
        <f t="shared" si="1"/>
        <v>3</v>
      </c>
      <c r="N18" s="505" t="s">
        <v>1360</v>
      </c>
      <c r="P18" s="442"/>
      <c r="Q18" s="442"/>
      <c r="R18" s="442"/>
      <c r="S18" s="442"/>
      <c r="T18" s="442"/>
      <c r="U18" s="442"/>
      <c r="V18" s="442"/>
      <c r="W18" s="442"/>
      <c r="X18" s="442"/>
      <c r="Y18" s="442"/>
    </row>
    <row r="19" spans="1:25" s="420" customFormat="1">
      <c r="A19" s="426">
        <f t="shared" si="0"/>
        <v>4</v>
      </c>
      <c r="B19" s="420" t="s">
        <v>1361</v>
      </c>
      <c r="C19" s="426"/>
      <c r="D19" s="442">
        <f>SUMIF($C$44:$C$85,"RB",D$44:D$85)</f>
        <v>8920838</v>
      </c>
      <c r="E19" s="447">
        <v>1</v>
      </c>
      <c r="F19" s="442">
        <f t="shared" ref="F19:W19" si="2">SUMIF($C$44:$C$85,"RB",F$44:F$85)</f>
        <v>8920838</v>
      </c>
      <c r="G19" s="442">
        <f t="shared" si="2"/>
        <v>0</v>
      </c>
      <c r="H19" s="442">
        <f t="shared" si="2"/>
        <v>8920838</v>
      </c>
      <c r="I19" s="442">
        <f t="shared" si="2"/>
        <v>8929358</v>
      </c>
      <c r="J19" s="442">
        <f t="shared" si="2"/>
        <v>8874998</v>
      </c>
      <c r="K19" s="442">
        <f t="shared" si="2"/>
        <v>8872560</v>
      </c>
      <c r="L19" s="442">
        <f t="shared" si="2"/>
        <v>9536170</v>
      </c>
      <c r="M19" s="426">
        <f t="shared" si="1"/>
        <v>4</v>
      </c>
      <c r="N19" s="420" t="s">
        <v>1361</v>
      </c>
      <c r="O19" s="426"/>
      <c r="P19" s="442">
        <f>SUMIF($C$44:$C$85,"RB",P$44:P$85)</f>
        <v>9481665</v>
      </c>
      <c r="Q19" s="442">
        <f>SUMIF($C$44:$C$85,"RB",Q$44:Q$85)</f>
        <v>8782479.1666666679</v>
      </c>
      <c r="R19" s="442">
        <f t="shared" si="2"/>
        <v>8083293.333333334</v>
      </c>
      <c r="S19" s="442">
        <f t="shared" si="2"/>
        <v>7384107.5000000009</v>
      </c>
      <c r="T19" s="442">
        <f t="shared" si="2"/>
        <v>6684921.6666666679</v>
      </c>
      <c r="U19" s="442">
        <f t="shared" si="2"/>
        <v>5985735.8333333349</v>
      </c>
      <c r="V19" s="442">
        <f t="shared" si="2"/>
        <v>5286550.0000000019</v>
      </c>
      <c r="W19" s="442">
        <f t="shared" si="2"/>
        <v>4587364.1666666679</v>
      </c>
      <c r="X19" s="443">
        <f>SUM(H19:W19)</f>
        <v>101410044.66666667</v>
      </c>
      <c r="Y19" s="443">
        <f>X19/13</f>
        <v>7800772.666666667</v>
      </c>
    </row>
    <row r="20" spans="1:25" s="420" customFormat="1">
      <c r="A20" s="426">
        <f t="shared" si="0"/>
        <v>5</v>
      </c>
      <c r="B20" s="420" t="s">
        <v>1362</v>
      </c>
      <c r="C20" s="426"/>
      <c r="D20" s="442">
        <f>SUMIF($C$102:$C$114,"RB",D$102:D$114)</f>
        <v>-79224545.68016094</v>
      </c>
      <c r="F20" s="442">
        <f t="shared" ref="F20:W20" si="3">SUMIF($C$102:$C$114,"RB",F$102:F$114)</f>
        <v>-79224545.68016094</v>
      </c>
      <c r="G20" s="442">
        <f t="shared" si="3"/>
        <v>0</v>
      </c>
      <c r="H20" s="442">
        <f t="shared" si="3"/>
        <v>-79224545.68016094</v>
      </c>
      <c r="I20" s="442">
        <f t="shared" si="3"/>
        <v>-79126861.01518105</v>
      </c>
      <c r="J20" s="442">
        <f t="shared" si="3"/>
        <v>-78815413.35020116</v>
      </c>
      <c r="K20" s="442">
        <f t="shared" si="3"/>
        <v>-78931494.685221285</v>
      </c>
      <c r="L20" s="442">
        <f t="shared" si="3"/>
        <v>-83583288.020241395</v>
      </c>
      <c r="M20" s="426">
        <f t="shared" si="1"/>
        <v>5</v>
      </c>
      <c r="N20" s="420" t="s">
        <v>1362</v>
      </c>
      <c r="O20" s="426"/>
      <c r="P20" s="442">
        <f>SUMIF($C$102:$C$114,"RB",P$102:P$114)</f>
        <v>-83722940.422278166</v>
      </c>
      <c r="Q20" s="442">
        <f>SUMIF($C$102:$C$114,"RB",Q$102:Q$114)</f>
        <v>-83865867.352953523</v>
      </c>
      <c r="R20" s="442">
        <f t="shared" si="3"/>
        <v>-84008794.283628881</v>
      </c>
      <c r="S20" s="442">
        <f t="shared" si="3"/>
        <v>-84151721.214304239</v>
      </c>
      <c r="T20" s="442">
        <f t="shared" si="3"/>
        <v>-84294648.144979596</v>
      </c>
      <c r="U20" s="442">
        <f t="shared" si="3"/>
        <v>-84437575.075654924</v>
      </c>
      <c r="V20" s="442">
        <f t="shared" si="3"/>
        <v>-84580502.006330296</v>
      </c>
      <c r="W20" s="442">
        <f t="shared" si="3"/>
        <v>-84723428.937005639</v>
      </c>
      <c r="X20" s="443">
        <f>SUM(H20:W20)</f>
        <v>-1073467075.188141</v>
      </c>
      <c r="Y20" s="443">
        <f>X20/13</f>
        <v>-82574390.399087772</v>
      </c>
    </row>
    <row r="21" spans="1:25" s="420" customFormat="1">
      <c r="A21" s="426">
        <f t="shared" si="0"/>
        <v>6</v>
      </c>
      <c r="B21" s="420" t="s">
        <v>1363</v>
      </c>
      <c r="C21" s="426"/>
      <c r="D21" s="442">
        <f>SUMIF($C$116:$C$146,"RB",D$116:D$146)</f>
        <v>0</v>
      </c>
      <c r="F21" s="442">
        <f t="shared" ref="F21:W21" si="4">SUMIF($C$116:$C$146,"RB",F$116:F$146)</f>
        <v>0</v>
      </c>
      <c r="G21" s="442">
        <f t="shared" si="4"/>
        <v>0</v>
      </c>
      <c r="H21" s="442">
        <f t="shared" si="4"/>
        <v>0</v>
      </c>
      <c r="I21" s="442">
        <f t="shared" si="4"/>
        <v>0</v>
      </c>
      <c r="J21" s="442">
        <f t="shared" si="4"/>
        <v>0</v>
      </c>
      <c r="K21" s="442">
        <f t="shared" si="4"/>
        <v>0</v>
      </c>
      <c r="L21" s="442">
        <f t="shared" si="4"/>
        <v>0</v>
      </c>
      <c r="M21" s="426">
        <f t="shared" si="1"/>
        <v>6</v>
      </c>
      <c r="N21" s="420" t="s">
        <v>1363</v>
      </c>
      <c r="O21" s="426"/>
      <c r="P21" s="442">
        <f>SUMIF($C$116:$C$146,"RB",P$116:P$146)</f>
        <v>0</v>
      </c>
      <c r="Q21" s="442">
        <f>SUMIF($C$116:$C$146,"RB",Q$116:Q$146)</f>
        <v>0</v>
      </c>
      <c r="R21" s="442">
        <f t="shared" si="4"/>
        <v>0</v>
      </c>
      <c r="S21" s="442">
        <f t="shared" si="4"/>
        <v>0</v>
      </c>
      <c r="T21" s="442">
        <f t="shared" si="4"/>
        <v>0</v>
      </c>
      <c r="U21" s="442">
        <f t="shared" si="4"/>
        <v>0</v>
      </c>
      <c r="V21" s="442">
        <f t="shared" si="4"/>
        <v>0</v>
      </c>
      <c r="W21" s="442">
        <f t="shared" si="4"/>
        <v>0</v>
      </c>
      <c r="X21" s="443">
        <f>SUM(H21:W21)</f>
        <v>6</v>
      </c>
      <c r="Y21" s="443">
        <f>X21/13</f>
        <v>0.46153846153846156</v>
      </c>
    </row>
    <row r="22" spans="1:25" s="420" customFormat="1">
      <c r="A22" s="426">
        <f t="shared" si="0"/>
        <v>7</v>
      </c>
      <c r="B22" s="420" t="s">
        <v>1364</v>
      </c>
      <c r="C22" s="426"/>
      <c r="D22" s="442">
        <f t="shared" ref="D22:V22" si="5">SUMIF($C$166:$C$184,"RB",D$166:D$184)</f>
        <v>-27148476.934126101</v>
      </c>
      <c r="F22" s="442">
        <f t="shared" si="5"/>
        <v>-27148476.934126101</v>
      </c>
      <c r="G22" s="442">
        <f>SUMIF($C$166:$C$171,"RB",G$166:G$171)</f>
        <v>0</v>
      </c>
      <c r="H22" s="442">
        <f t="shared" si="5"/>
        <v>-27148476.934126101</v>
      </c>
      <c r="I22" s="442">
        <f t="shared" si="5"/>
        <v>-27105494.657461923</v>
      </c>
      <c r="J22" s="442">
        <f t="shared" si="5"/>
        <v>-27062512.38079774</v>
      </c>
      <c r="K22" s="442">
        <f t="shared" si="5"/>
        <v>-27019530.104133561</v>
      </c>
      <c r="L22" s="442">
        <f t="shared" si="5"/>
        <v>-26976547.827469382</v>
      </c>
      <c r="M22" s="426">
        <f t="shared" si="1"/>
        <v>7</v>
      </c>
      <c r="N22" s="420" t="s">
        <v>1364</v>
      </c>
      <c r="O22" s="426"/>
      <c r="P22" s="442">
        <f>SUMIF($C$166:$C$184,"RB",P$166:P$184)</f>
        <v>-26933565.5508052</v>
      </c>
      <c r="Q22" s="442">
        <f>SUMIF($C$166:$C$184,"RB",Q$166:Q$184)</f>
        <v>-26890583.274141017</v>
      </c>
      <c r="R22" s="442">
        <f t="shared" si="5"/>
        <v>-26847600.997476839</v>
      </c>
      <c r="S22" s="442">
        <f t="shared" si="5"/>
        <v>-26804618.720812656</v>
      </c>
      <c r="T22" s="442">
        <f t="shared" si="5"/>
        <v>-26761636.444148473</v>
      </c>
      <c r="U22" s="442">
        <f t="shared" si="5"/>
        <v>-26718654.167484295</v>
      </c>
      <c r="V22" s="442">
        <f t="shared" si="5"/>
        <v>-26675671.890820116</v>
      </c>
      <c r="W22" s="442">
        <f>SUMIF($C$166:$C$184,"RB",W$166:W$184)</f>
        <v>-26632689.614155922</v>
      </c>
      <c r="X22" s="443">
        <f>SUM(H22:W22)</f>
        <v>-349577575.5638333</v>
      </c>
      <c r="Y22" s="443">
        <f>X22/13</f>
        <v>-26890582.735679485</v>
      </c>
    </row>
    <row r="23" spans="1:25" s="420" customFormat="1">
      <c r="A23" s="426">
        <f t="shared" si="0"/>
        <v>8</v>
      </c>
      <c r="B23" s="420" t="s">
        <v>1365</v>
      </c>
      <c r="C23" s="426"/>
      <c r="D23" s="442">
        <f>SUMIF($C$193,"RB",D$193)</f>
        <v>0</v>
      </c>
      <c r="F23" s="442">
        <f t="shared" ref="F23:W23" si="6">SUMIF($C$193,"RB",F$193)</f>
        <v>0</v>
      </c>
      <c r="G23" s="442">
        <f t="shared" si="6"/>
        <v>0</v>
      </c>
      <c r="H23" s="442">
        <f t="shared" si="6"/>
        <v>0</v>
      </c>
      <c r="I23" s="442">
        <f t="shared" si="6"/>
        <v>0</v>
      </c>
      <c r="J23" s="442">
        <f t="shared" si="6"/>
        <v>0</v>
      </c>
      <c r="K23" s="442">
        <f t="shared" si="6"/>
        <v>0</v>
      </c>
      <c r="L23" s="442">
        <f t="shared" si="6"/>
        <v>0</v>
      </c>
      <c r="M23" s="426">
        <f t="shared" si="1"/>
        <v>8</v>
      </c>
      <c r="N23" s="420" t="s">
        <v>1365</v>
      </c>
      <c r="O23" s="426"/>
      <c r="P23" s="442">
        <f>SUMIF($C$193,"RB",P$193)</f>
        <v>0</v>
      </c>
      <c r="Q23" s="442">
        <f>SUMIF($C$193,"RB",Q$193)</f>
        <v>0</v>
      </c>
      <c r="R23" s="442">
        <f t="shared" si="6"/>
        <v>0</v>
      </c>
      <c r="S23" s="442">
        <f t="shared" si="6"/>
        <v>0</v>
      </c>
      <c r="T23" s="442">
        <f t="shared" si="6"/>
        <v>0</v>
      </c>
      <c r="U23" s="442">
        <f t="shared" si="6"/>
        <v>0</v>
      </c>
      <c r="V23" s="442">
        <f t="shared" si="6"/>
        <v>0</v>
      </c>
      <c r="W23" s="442">
        <f t="shared" si="6"/>
        <v>0</v>
      </c>
      <c r="X23" s="443">
        <f>SUM(H23:W23)</f>
        <v>8</v>
      </c>
      <c r="Y23" s="443">
        <f>X23/13</f>
        <v>0.61538461538461542</v>
      </c>
    </row>
    <row r="24" spans="1:25" s="1000" customFormat="1">
      <c r="A24" s="426">
        <f t="shared" si="0"/>
        <v>9</v>
      </c>
      <c r="B24" s="420" t="s">
        <v>1366</v>
      </c>
      <c r="C24" s="426"/>
      <c r="D24" s="444">
        <f>SUM(D19:D23)</f>
        <v>-97452184.614287049</v>
      </c>
      <c r="E24" s="420"/>
      <c r="F24" s="444">
        <f t="shared" ref="F24:Y24" si="7">SUM(F19:F23)</f>
        <v>-97452184.614287049</v>
      </c>
      <c r="G24" s="444">
        <f t="shared" si="7"/>
        <v>0</v>
      </c>
      <c r="H24" s="444">
        <f t="shared" si="7"/>
        <v>-97452184.614287049</v>
      </c>
      <c r="I24" s="444">
        <f t="shared" si="7"/>
        <v>-97302997.672642976</v>
      </c>
      <c r="J24" s="444">
        <f t="shared" si="7"/>
        <v>-97002927.730998904</v>
      </c>
      <c r="K24" s="444">
        <f t="shared" si="7"/>
        <v>-97078464.789354846</v>
      </c>
      <c r="L24" s="444">
        <f t="shared" si="7"/>
        <v>-101023665.84771077</v>
      </c>
      <c r="M24" s="426">
        <f t="shared" si="1"/>
        <v>9</v>
      </c>
      <c r="N24" s="420" t="s">
        <v>1366</v>
      </c>
      <c r="O24" s="426"/>
      <c r="P24" s="444">
        <f>SUM(P19:P23)</f>
        <v>-101174840.97308336</v>
      </c>
      <c r="Q24" s="444">
        <f>SUM(Q19:Q23)</f>
        <v>-101973971.46042787</v>
      </c>
      <c r="R24" s="444">
        <f t="shared" si="7"/>
        <v>-102773101.94777238</v>
      </c>
      <c r="S24" s="444">
        <f t="shared" si="7"/>
        <v>-103572232.43511689</v>
      </c>
      <c r="T24" s="444">
        <f t="shared" si="7"/>
        <v>-104371362.92246139</v>
      </c>
      <c r="U24" s="444">
        <f t="shared" si="7"/>
        <v>-105170493.40980589</v>
      </c>
      <c r="V24" s="444">
        <f t="shared" si="7"/>
        <v>-105969623.89715041</v>
      </c>
      <c r="W24" s="444">
        <f t="shared" si="7"/>
        <v>-106768754.38449489</v>
      </c>
      <c r="X24" s="444">
        <f t="shared" si="7"/>
        <v>-1321634592.0853076</v>
      </c>
      <c r="Y24" s="444">
        <f t="shared" si="7"/>
        <v>-101664199.39117751</v>
      </c>
    </row>
    <row r="25" spans="1:25">
      <c r="A25" s="217">
        <f t="shared" si="0"/>
        <v>10</v>
      </c>
      <c r="D25" s="442"/>
      <c r="F25" s="442"/>
      <c r="G25" s="442"/>
      <c r="H25" s="442"/>
      <c r="I25" s="442"/>
      <c r="J25" s="442"/>
      <c r="K25" s="442"/>
      <c r="L25" s="442"/>
      <c r="M25" s="217">
        <f t="shared" si="1"/>
        <v>10</v>
      </c>
      <c r="P25" s="442"/>
      <c r="Q25" s="442"/>
      <c r="R25" s="442"/>
      <c r="S25" s="442"/>
      <c r="T25" s="442"/>
      <c r="U25" s="442"/>
      <c r="V25" s="442"/>
      <c r="W25" s="442"/>
      <c r="X25" s="442"/>
      <c r="Y25" s="442"/>
    </row>
    <row r="26" spans="1:25">
      <c r="A26" s="217">
        <f t="shared" si="0"/>
        <v>11</v>
      </c>
      <c r="B26" s="505" t="s">
        <v>1368</v>
      </c>
      <c r="D26" s="442"/>
      <c r="F26" s="442"/>
      <c r="G26" s="442"/>
      <c r="H26" s="442"/>
      <c r="I26" s="442"/>
      <c r="J26" s="442"/>
      <c r="K26" s="442"/>
      <c r="L26" s="442"/>
      <c r="M26" s="217">
        <f t="shared" si="1"/>
        <v>11</v>
      </c>
      <c r="N26" s="505" t="s">
        <v>1368</v>
      </c>
      <c r="P26" s="442"/>
      <c r="Q26" s="442"/>
      <c r="R26" s="442"/>
      <c r="S26" s="442"/>
      <c r="T26" s="442"/>
      <c r="U26" s="442"/>
      <c r="V26" s="442"/>
      <c r="W26" s="442"/>
      <c r="X26" s="442"/>
      <c r="Y26" s="442"/>
    </row>
    <row r="27" spans="1:25" s="420" customFormat="1">
      <c r="A27" s="426">
        <f t="shared" si="0"/>
        <v>12</v>
      </c>
      <c r="B27" s="420" t="s">
        <v>1361</v>
      </c>
      <c r="C27" s="426"/>
      <c r="D27" s="442">
        <f>SUMIF($C$44:$C$85,"LL",D$44:D$85)</f>
        <v>777474</v>
      </c>
      <c r="F27" s="442">
        <f t="shared" ref="F27:W27" si="8">SUMIF($C$44:$C$85,"LL",F$44:F$85)</f>
        <v>777474</v>
      </c>
      <c r="G27" s="442">
        <f t="shared" si="8"/>
        <v>0</v>
      </c>
      <c r="H27" s="442">
        <f t="shared" si="8"/>
        <v>777474</v>
      </c>
      <c r="I27" s="442">
        <f t="shared" si="8"/>
        <v>871722</v>
      </c>
      <c r="J27" s="442">
        <f t="shared" si="8"/>
        <v>950453</v>
      </c>
      <c r="K27" s="442">
        <f t="shared" si="8"/>
        <v>991193</v>
      </c>
      <c r="L27" s="442">
        <f t="shared" si="8"/>
        <v>1198023</v>
      </c>
      <c r="M27" s="426">
        <f t="shared" si="1"/>
        <v>12</v>
      </c>
      <c r="N27" s="420" t="s">
        <v>1361</v>
      </c>
      <c r="O27" s="426"/>
      <c r="P27" s="442">
        <f>SUMIF($C$44:$C$85,"LL",P$44:P$85)</f>
        <v>1276638</v>
      </c>
      <c r="Q27" s="442">
        <f>SUMIF($C$44:$C$85,"LL",Q$44:Q$85)</f>
        <v>1276638</v>
      </c>
      <c r="R27" s="442">
        <f t="shared" si="8"/>
        <v>1276638</v>
      </c>
      <c r="S27" s="442">
        <f t="shared" si="8"/>
        <v>1276638</v>
      </c>
      <c r="T27" s="442">
        <f t="shared" si="8"/>
        <v>1276638</v>
      </c>
      <c r="U27" s="442">
        <f t="shared" si="8"/>
        <v>1276638</v>
      </c>
      <c r="V27" s="442">
        <f t="shared" si="8"/>
        <v>1276638</v>
      </c>
      <c r="W27" s="442">
        <f t="shared" si="8"/>
        <v>1276638</v>
      </c>
      <c r="X27" s="443">
        <f>SUM(H27:W27)</f>
        <v>15001981</v>
      </c>
      <c r="Y27" s="443">
        <f>X27/13</f>
        <v>1153998.5384615385</v>
      </c>
    </row>
    <row r="28" spans="1:25" s="420" customFormat="1">
      <c r="A28" s="426">
        <f t="shared" si="0"/>
        <v>13</v>
      </c>
      <c r="B28" s="420" t="s">
        <v>1362</v>
      </c>
      <c r="C28" s="426"/>
      <c r="D28" s="442">
        <f>SUMIF($C$102:$C$109,"LL",D$102:D$109)</f>
        <v>0</v>
      </c>
      <c r="F28" s="442">
        <f t="shared" ref="F28:W28" si="9">SUMIF($C$102:$C$109,"LL",F$102:F$109)</f>
        <v>0</v>
      </c>
      <c r="G28" s="442">
        <f t="shared" si="9"/>
        <v>0</v>
      </c>
      <c r="H28" s="442">
        <f t="shared" si="9"/>
        <v>0</v>
      </c>
      <c r="I28" s="442">
        <f t="shared" si="9"/>
        <v>0</v>
      </c>
      <c r="J28" s="442">
        <f t="shared" si="9"/>
        <v>0</v>
      </c>
      <c r="K28" s="442">
        <f t="shared" si="9"/>
        <v>0</v>
      </c>
      <c r="L28" s="442">
        <f t="shared" si="9"/>
        <v>0</v>
      </c>
      <c r="M28" s="426">
        <f t="shared" si="1"/>
        <v>13</v>
      </c>
      <c r="N28" s="420" t="s">
        <v>1362</v>
      </c>
      <c r="O28" s="426"/>
      <c r="P28" s="442">
        <f>SUMIF($C$102:$C$109,"LL",P$102:P$109)</f>
        <v>0</v>
      </c>
      <c r="Q28" s="442">
        <f>SUMIF($C$102:$C$109,"LL",Q$102:Q$109)</f>
        <v>0</v>
      </c>
      <c r="R28" s="442">
        <f t="shared" si="9"/>
        <v>0</v>
      </c>
      <c r="S28" s="442">
        <f t="shared" si="9"/>
        <v>0</v>
      </c>
      <c r="T28" s="442">
        <f t="shared" si="9"/>
        <v>0</v>
      </c>
      <c r="U28" s="442">
        <f t="shared" si="9"/>
        <v>0</v>
      </c>
      <c r="V28" s="442">
        <f t="shared" si="9"/>
        <v>0</v>
      </c>
      <c r="W28" s="442">
        <f t="shared" si="9"/>
        <v>0</v>
      </c>
      <c r="X28" s="443">
        <f>SUM(H28:W28)</f>
        <v>13</v>
      </c>
      <c r="Y28" s="443">
        <f>X28/13</f>
        <v>1</v>
      </c>
    </row>
    <row r="29" spans="1:25" s="420" customFormat="1">
      <c r="A29" s="426">
        <f t="shared" si="0"/>
        <v>14</v>
      </c>
      <c r="B29" s="420" t="s">
        <v>1363</v>
      </c>
      <c r="C29" s="426"/>
      <c r="D29" s="442">
        <f>SUMIF($C$116:$C$146,"LL",D$116:D$146)</f>
        <v>2132327</v>
      </c>
      <c r="F29" s="442">
        <f t="shared" ref="F29:W29" si="10">SUMIF($C$116:$C$146,"LL",F$116:F$146)</f>
        <v>2132327</v>
      </c>
      <c r="G29" s="442">
        <f t="shared" si="10"/>
        <v>0</v>
      </c>
      <c r="H29" s="442">
        <f t="shared" si="10"/>
        <v>2132327</v>
      </c>
      <c r="I29" s="442">
        <f t="shared" si="10"/>
        <v>2270926</v>
      </c>
      <c r="J29" s="442">
        <f t="shared" si="10"/>
        <v>2409511</v>
      </c>
      <c r="K29" s="442">
        <f t="shared" si="10"/>
        <v>2072675</v>
      </c>
      <c r="L29" s="442">
        <f t="shared" si="10"/>
        <v>2041828</v>
      </c>
      <c r="M29" s="426">
        <f t="shared" si="1"/>
        <v>14</v>
      </c>
      <c r="N29" s="420" t="s">
        <v>1363</v>
      </c>
      <c r="O29" s="426"/>
      <c r="P29" s="442">
        <f>SUMIF($C$116:$C$146,"LL",P$116:P$146)</f>
        <v>2214212</v>
      </c>
      <c r="Q29" s="442">
        <f>SUMIF($C$116:$C$146,"LL",Q$116:Q$146)</f>
        <v>2214212</v>
      </c>
      <c r="R29" s="442">
        <f t="shared" si="10"/>
        <v>2214212</v>
      </c>
      <c r="S29" s="442">
        <f t="shared" si="10"/>
        <v>2214212</v>
      </c>
      <c r="T29" s="442">
        <f t="shared" si="10"/>
        <v>2214212</v>
      </c>
      <c r="U29" s="442">
        <f t="shared" si="10"/>
        <v>2214212</v>
      </c>
      <c r="V29" s="442">
        <f t="shared" si="10"/>
        <v>2214212</v>
      </c>
      <c r="W29" s="442">
        <f t="shared" si="10"/>
        <v>2214212</v>
      </c>
      <c r="X29" s="443">
        <f>SUM(H29:W29)</f>
        <v>28640977</v>
      </c>
      <c r="Y29" s="443">
        <f>X29/13</f>
        <v>2203152.076923077</v>
      </c>
    </row>
    <row r="30" spans="1:25" s="420" customFormat="1">
      <c r="A30" s="426">
        <f t="shared" si="0"/>
        <v>15</v>
      </c>
      <c r="B30" s="420" t="s">
        <v>1364</v>
      </c>
      <c r="C30" s="426"/>
      <c r="D30" s="442">
        <f>SUMIF($C$166:$C$171,"LL",D$166:D$171)</f>
        <v>0</v>
      </c>
      <c r="F30" s="442">
        <f t="shared" ref="F30:W30" si="11">SUMIF($C$166:$C$171,"LL",F$166:F$171)</f>
        <v>0</v>
      </c>
      <c r="G30" s="442">
        <f t="shared" si="11"/>
        <v>0</v>
      </c>
      <c r="H30" s="442">
        <f t="shared" si="11"/>
        <v>0</v>
      </c>
      <c r="I30" s="442">
        <f t="shared" si="11"/>
        <v>0</v>
      </c>
      <c r="J30" s="442">
        <f t="shared" si="11"/>
        <v>0</v>
      </c>
      <c r="K30" s="442">
        <f t="shared" si="11"/>
        <v>0</v>
      </c>
      <c r="L30" s="442">
        <f t="shared" si="11"/>
        <v>0</v>
      </c>
      <c r="M30" s="426">
        <f t="shared" si="1"/>
        <v>15</v>
      </c>
      <c r="N30" s="420" t="s">
        <v>1364</v>
      </c>
      <c r="O30" s="426"/>
      <c r="P30" s="442">
        <f>SUMIF($C$166:$C$171,"LL",P$166:P$171)</f>
        <v>0</v>
      </c>
      <c r="Q30" s="442">
        <f>SUMIF($C$166:$C$171,"LL",Q$166:Q$171)</f>
        <v>0</v>
      </c>
      <c r="R30" s="442">
        <f t="shared" si="11"/>
        <v>0</v>
      </c>
      <c r="S30" s="442">
        <f t="shared" si="11"/>
        <v>0</v>
      </c>
      <c r="T30" s="442">
        <f t="shared" si="11"/>
        <v>0</v>
      </c>
      <c r="U30" s="442">
        <f t="shared" si="11"/>
        <v>0</v>
      </c>
      <c r="V30" s="442">
        <f t="shared" si="11"/>
        <v>0</v>
      </c>
      <c r="W30" s="442">
        <f t="shared" si="11"/>
        <v>0</v>
      </c>
      <c r="X30" s="443">
        <f>SUM(H30:W30)</f>
        <v>15</v>
      </c>
      <c r="Y30" s="443">
        <f>X30/13</f>
        <v>1.1538461538461537</v>
      </c>
    </row>
    <row r="31" spans="1:25" s="420" customFormat="1">
      <c r="A31" s="426">
        <f t="shared" si="0"/>
        <v>16</v>
      </c>
      <c r="B31" s="420" t="s">
        <v>1365</v>
      </c>
      <c r="C31" s="426"/>
      <c r="D31" s="442">
        <f>SUMIF($C$193,"LL",D$193)</f>
        <v>0</v>
      </c>
      <c r="F31" s="442">
        <f t="shared" ref="F31:W31" si="12">SUMIF($C$193,"LL",F$193)</f>
        <v>0</v>
      </c>
      <c r="G31" s="442">
        <f t="shared" si="12"/>
        <v>0</v>
      </c>
      <c r="H31" s="442">
        <f t="shared" si="12"/>
        <v>0</v>
      </c>
      <c r="I31" s="442">
        <f t="shared" si="12"/>
        <v>0</v>
      </c>
      <c r="J31" s="442">
        <f t="shared" si="12"/>
        <v>0</v>
      </c>
      <c r="K31" s="442">
        <f t="shared" si="12"/>
        <v>0</v>
      </c>
      <c r="L31" s="442">
        <f t="shared" si="12"/>
        <v>0</v>
      </c>
      <c r="M31" s="426">
        <f t="shared" si="1"/>
        <v>16</v>
      </c>
      <c r="N31" s="420" t="s">
        <v>1365</v>
      </c>
      <c r="O31" s="426"/>
      <c r="P31" s="442">
        <f>SUMIF($C$193,"LL",P$193)</f>
        <v>0</v>
      </c>
      <c r="Q31" s="442">
        <f>SUMIF($C$193,"LL",Q$193)</f>
        <v>0</v>
      </c>
      <c r="R31" s="442">
        <f t="shared" si="12"/>
        <v>0</v>
      </c>
      <c r="S31" s="442">
        <f t="shared" si="12"/>
        <v>0</v>
      </c>
      <c r="T31" s="442">
        <f t="shared" si="12"/>
        <v>0</v>
      </c>
      <c r="U31" s="442">
        <f t="shared" si="12"/>
        <v>0</v>
      </c>
      <c r="V31" s="442">
        <f t="shared" si="12"/>
        <v>0</v>
      </c>
      <c r="W31" s="442">
        <f t="shared" si="12"/>
        <v>0</v>
      </c>
      <c r="X31" s="443">
        <f>SUM(H31:W31)</f>
        <v>16</v>
      </c>
      <c r="Y31" s="443">
        <f>X31/13</f>
        <v>1.2307692307692308</v>
      </c>
    </row>
    <row r="32" spans="1:25" s="1000" customFormat="1">
      <c r="A32" s="426">
        <f t="shared" si="0"/>
        <v>17</v>
      </c>
      <c r="B32" s="420" t="s">
        <v>1367</v>
      </c>
      <c r="C32" s="426"/>
      <c r="D32" s="444">
        <f>SUM(D27:D31)</f>
        <v>2909801</v>
      </c>
      <c r="E32" s="420"/>
      <c r="F32" s="444">
        <f t="shared" ref="F32:Y32" si="13">SUM(F27:F31)</f>
        <v>2909801</v>
      </c>
      <c r="G32" s="444">
        <f t="shared" si="13"/>
        <v>0</v>
      </c>
      <c r="H32" s="444">
        <f t="shared" si="13"/>
        <v>2909801</v>
      </c>
      <c r="I32" s="444">
        <f t="shared" si="13"/>
        <v>3142648</v>
      </c>
      <c r="J32" s="444">
        <f t="shared" si="13"/>
        <v>3359964</v>
      </c>
      <c r="K32" s="444">
        <f t="shared" si="13"/>
        <v>3063868</v>
      </c>
      <c r="L32" s="444">
        <f t="shared" si="13"/>
        <v>3239851</v>
      </c>
      <c r="M32" s="426">
        <f t="shared" si="1"/>
        <v>17</v>
      </c>
      <c r="N32" s="420" t="s">
        <v>1367</v>
      </c>
      <c r="O32" s="426"/>
      <c r="P32" s="444">
        <f>SUM(P27:P31)</f>
        <v>3490850</v>
      </c>
      <c r="Q32" s="444">
        <f>SUM(Q27:Q31)</f>
        <v>3490850</v>
      </c>
      <c r="R32" s="444">
        <f t="shared" si="13"/>
        <v>3490850</v>
      </c>
      <c r="S32" s="444">
        <f t="shared" si="13"/>
        <v>3490850</v>
      </c>
      <c r="T32" s="444">
        <f t="shared" si="13"/>
        <v>3490850</v>
      </c>
      <c r="U32" s="444">
        <f t="shared" si="13"/>
        <v>3490850</v>
      </c>
      <c r="V32" s="444">
        <f t="shared" si="13"/>
        <v>3490850</v>
      </c>
      <c r="W32" s="444">
        <f t="shared" si="13"/>
        <v>3490850</v>
      </c>
      <c r="X32" s="444">
        <f t="shared" si="13"/>
        <v>43643002</v>
      </c>
      <c r="Y32" s="444">
        <f t="shared" si="13"/>
        <v>3357154.0000000005</v>
      </c>
    </row>
    <row r="33" spans="1:25">
      <c r="A33" s="217">
        <f t="shared" si="0"/>
        <v>18</v>
      </c>
      <c r="D33" s="445"/>
      <c r="F33" s="445"/>
      <c r="G33" s="445"/>
      <c r="H33" s="445"/>
      <c r="I33" s="445"/>
      <c r="J33" s="445"/>
      <c r="K33" s="445"/>
      <c r="L33" s="445"/>
      <c r="M33" s="217">
        <f t="shared" si="1"/>
        <v>18</v>
      </c>
      <c r="P33" s="445"/>
      <c r="Q33" s="445"/>
      <c r="R33" s="445"/>
      <c r="S33" s="445"/>
      <c r="T33" s="445"/>
      <c r="U33" s="445"/>
      <c r="V33" s="445"/>
      <c r="W33" s="445"/>
      <c r="X33" s="445"/>
      <c r="Y33" s="445"/>
    </row>
    <row r="34" spans="1:25">
      <c r="A34" s="217">
        <f t="shared" si="0"/>
        <v>19</v>
      </c>
      <c r="B34" s="505" t="s">
        <v>1369</v>
      </c>
      <c r="D34" s="442"/>
      <c r="F34" s="442"/>
      <c r="G34" s="442"/>
      <c r="H34" s="442"/>
      <c r="I34" s="442"/>
      <c r="J34" s="442"/>
      <c r="K34" s="442"/>
      <c r="L34" s="442"/>
      <c r="M34" s="217">
        <f t="shared" si="1"/>
        <v>19</v>
      </c>
      <c r="N34" s="505" t="s">
        <v>1369</v>
      </c>
      <c r="P34" s="442"/>
      <c r="Q34" s="442"/>
      <c r="R34" s="442"/>
      <c r="S34" s="442"/>
      <c r="T34" s="442"/>
      <c r="U34" s="442"/>
      <c r="V34" s="442"/>
      <c r="W34" s="442"/>
      <c r="X34" s="442"/>
      <c r="Y34" s="442"/>
    </row>
    <row r="35" spans="1:25">
      <c r="A35" s="217">
        <f t="shared" si="0"/>
        <v>20</v>
      </c>
      <c r="B35" s="220" t="s">
        <v>1361</v>
      </c>
      <c r="D35" s="442">
        <f>SUMIF($C$44:$C$85,"NON",D$44:D$85)</f>
        <v>10088488</v>
      </c>
      <c r="F35" s="442">
        <f t="shared" ref="F35:W35" si="14">SUMIF($C$44:$C$85,"NON",F$43:F$85)</f>
        <v>15927804</v>
      </c>
      <c r="G35" s="442">
        <f t="shared" si="14"/>
        <v>0</v>
      </c>
      <c r="H35" s="442">
        <f t="shared" si="14"/>
        <v>15927804</v>
      </c>
      <c r="I35" s="442">
        <f t="shared" si="14"/>
        <v>16008288</v>
      </c>
      <c r="J35" s="442">
        <f t="shared" si="14"/>
        <v>15995625</v>
      </c>
      <c r="K35" s="442">
        <f t="shared" si="14"/>
        <v>15696273</v>
      </c>
      <c r="L35" s="442">
        <f t="shared" si="14"/>
        <v>16041444</v>
      </c>
      <c r="M35" s="217">
        <f t="shared" si="1"/>
        <v>20</v>
      </c>
      <c r="N35" s="220" t="s">
        <v>1361</v>
      </c>
      <c r="P35" s="442">
        <f>SUMIF($C$44:$C$85,"NON",P$43:P$85)</f>
        <v>15619155</v>
      </c>
      <c r="Q35" s="442">
        <f>SUMIF($C$44:$C$85,"NON",Q$43:Q$85)</f>
        <v>14919969.166666668</v>
      </c>
      <c r="R35" s="442">
        <f t="shared" si="14"/>
        <v>14220783.333333334</v>
      </c>
      <c r="S35" s="442">
        <f t="shared" si="14"/>
        <v>13521597.5</v>
      </c>
      <c r="T35" s="442">
        <f t="shared" si="14"/>
        <v>12822411.666666668</v>
      </c>
      <c r="U35" s="442">
        <f t="shared" si="14"/>
        <v>12123225.833333336</v>
      </c>
      <c r="V35" s="442">
        <f t="shared" si="14"/>
        <v>11424040.000000002</v>
      </c>
      <c r="W35" s="442">
        <f t="shared" si="14"/>
        <v>10724854.166666668</v>
      </c>
      <c r="X35" s="443">
        <f>SUM(H35:W35)</f>
        <v>185045490.66666666</v>
      </c>
      <c r="Y35" s="443">
        <f>X35/13</f>
        <v>14234268.512820512</v>
      </c>
    </row>
    <row r="36" spans="1:25">
      <c r="A36" s="217">
        <f t="shared" si="0"/>
        <v>21</v>
      </c>
      <c r="B36" s="220" t="s">
        <v>1362</v>
      </c>
      <c r="D36" s="442">
        <f>SUMIF($C$102:$C$109,"NON",D$102:D$109)</f>
        <v>652734</v>
      </c>
      <c r="F36" s="442">
        <f t="shared" ref="F36:W36" si="15">SUMIF($C$102:$C$109,"NON",F$102:F$109)</f>
        <v>652734</v>
      </c>
      <c r="G36" s="442">
        <f t="shared" si="15"/>
        <v>0</v>
      </c>
      <c r="H36" s="442">
        <f t="shared" si="15"/>
        <v>652734</v>
      </c>
      <c r="I36" s="442">
        <f t="shared" si="15"/>
        <v>652668</v>
      </c>
      <c r="J36" s="442">
        <f t="shared" si="15"/>
        <v>652601</v>
      </c>
      <c r="K36" s="442">
        <f t="shared" si="15"/>
        <v>652535</v>
      </c>
      <c r="L36" s="442">
        <f t="shared" si="15"/>
        <v>650899</v>
      </c>
      <c r="M36" s="217">
        <f t="shared" si="1"/>
        <v>21</v>
      </c>
      <c r="N36" s="220" t="s">
        <v>1362</v>
      </c>
      <c r="P36" s="442">
        <f>SUMIF($C$102:$C$109,"NON",P$102:P$109)</f>
        <v>648953</v>
      </c>
      <c r="Q36" s="442">
        <f>SUMIF($C$102:$C$109,"NON",Q$102:Q$109)</f>
        <v>648953</v>
      </c>
      <c r="R36" s="442">
        <f t="shared" si="15"/>
        <v>648953</v>
      </c>
      <c r="S36" s="442">
        <f t="shared" si="15"/>
        <v>648953</v>
      </c>
      <c r="T36" s="442">
        <f t="shared" si="15"/>
        <v>648953</v>
      </c>
      <c r="U36" s="442">
        <f t="shared" si="15"/>
        <v>648953</v>
      </c>
      <c r="V36" s="442">
        <f t="shared" si="15"/>
        <v>648953</v>
      </c>
      <c r="W36" s="442">
        <f t="shared" si="15"/>
        <v>648953</v>
      </c>
      <c r="X36" s="443">
        <f>SUM(H36:W36)</f>
        <v>8453082</v>
      </c>
      <c r="Y36" s="443">
        <f>X36/13</f>
        <v>650237.07692307688</v>
      </c>
    </row>
    <row r="37" spans="1:25">
      <c r="A37" s="217">
        <f t="shared" si="0"/>
        <v>22</v>
      </c>
      <c r="B37" s="220" t="s">
        <v>1363</v>
      </c>
      <c r="D37" s="442">
        <f>SUMIF($C$116:$C$146,"NON",D$116:D$146)</f>
        <v>-3053024</v>
      </c>
      <c r="F37" s="442">
        <f t="shared" ref="F37:W37" si="16">SUMIF($C$116:$C$146,"NON",F$116:F$146)</f>
        <v>-3053024</v>
      </c>
      <c r="G37" s="442">
        <f t="shared" si="16"/>
        <v>0</v>
      </c>
      <c r="H37" s="442">
        <f t="shared" si="16"/>
        <v>-3053024</v>
      </c>
      <c r="I37" s="442">
        <f t="shared" si="16"/>
        <v>-2999996</v>
      </c>
      <c r="J37" s="442">
        <f t="shared" si="16"/>
        <v>-3067203</v>
      </c>
      <c r="K37" s="442">
        <f t="shared" si="16"/>
        <v>-3000008</v>
      </c>
      <c r="L37" s="442">
        <f t="shared" si="16"/>
        <v>-2841471</v>
      </c>
      <c r="M37" s="217">
        <f t="shared" si="1"/>
        <v>22</v>
      </c>
      <c r="N37" s="220" t="s">
        <v>1363</v>
      </c>
      <c r="P37" s="442">
        <f>SUMIF($C$116:$C$146,"NON",P$116:P$146)</f>
        <v>-2606821</v>
      </c>
      <c r="Q37" s="442">
        <f>SUMIF($C$116:$C$146,"NON",Q$116:Q$146)</f>
        <v>-2606821</v>
      </c>
      <c r="R37" s="442">
        <f t="shared" si="16"/>
        <v>-2606821</v>
      </c>
      <c r="S37" s="442">
        <f t="shared" si="16"/>
        <v>-2606821</v>
      </c>
      <c r="T37" s="442">
        <f t="shared" si="16"/>
        <v>-2606821</v>
      </c>
      <c r="U37" s="442">
        <f t="shared" si="16"/>
        <v>-2606821</v>
      </c>
      <c r="V37" s="442">
        <f t="shared" si="16"/>
        <v>-2606821</v>
      </c>
      <c r="W37" s="442">
        <f t="shared" si="16"/>
        <v>-2606821</v>
      </c>
      <c r="X37" s="443">
        <f>SUM(H37:W37)</f>
        <v>-35816248</v>
      </c>
      <c r="Y37" s="443">
        <f>X37/13</f>
        <v>-2755096</v>
      </c>
    </row>
    <row r="38" spans="1:25">
      <c r="A38" s="217">
        <f t="shared" si="0"/>
        <v>23</v>
      </c>
      <c r="B38" s="220" t="s">
        <v>1364</v>
      </c>
      <c r="D38" s="442">
        <f>SUMIF($C$166:$C$171,"NON",D$166:D$171)</f>
        <v>0</v>
      </c>
      <c r="F38" s="442">
        <f t="shared" ref="F38:W38" si="17">SUMIF($C$166:$C$171,"NON",F$166:F$171)</f>
        <v>0</v>
      </c>
      <c r="G38" s="442">
        <f t="shared" si="17"/>
        <v>0</v>
      </c>
      <c r="H38" s="442">
        <f t="shared" si="17"/>
        <v>0</v>
      </c>
      <c r="I38" s="442">
        <f t="shared" si="17"/>
        <v>0</v>
      </c>
      <c r="J38" s="442">
        <f t="shared" si="17"/>
        <v>0</v>
      </c>
      <c r="K38" s="442">
        <f t="shared" si="17"/>
        <v>0</v>
      </c>
      <c r="L38" s="442">
        <f t="shared" si="17"/>
        <v>0</v>
      </c>
      <c r="M38" s="217">
        <f t="shared" si="1"/>
        <v>23</v>
      </c>
      <c r="N38" s="220" t="s">
        <v>1364</v>
      </c>
      <c r="P38" s="442">
        <f>SUMIF($C$166:$C$171,"NON",P$166:P$171)</f>
        <v>0</v>
      </c>
      <c r="Q38" s="442">
        <f>SUMIF($C$166:$C$171,"NON",Q$166:Q$171)</f>
        <v>0</v>
      </c>
      <c r="R38" s="442">
        <f t="shared" si="17"/>
        <v>0</v>
      </c>
      <c r="S38" s="442">
        <f t="shared" si="17"/>
        <v>0</v>
      </c>
      <c r="T38" s="442">
        <f t="shared" si="17"/>
        <v>0</v>
      </c>
      <c r="U38" s="442">
        <f t="shared" si="17"/>
        <v>0</v>
      </c>
      <c r="V38" s="442">
        <f t="shared" si="17"/>
        <v>0</v>
      </c>
      <c r="W38" s="442">
        <f t="shared" si="17"/>
        <v>0</v>
      </c>
      <c r="X38" s="443">
        <f>SUM(H38:W38)</f>
        <v>23</v>
      </c>
      <c r="Y38" s="443">
        <f>X38/13</f>
        <v>1.7692307692307692</v>
      </c>
    </row>
    <row r="39" spans="1:25" s="218" customFormat="1">
      <c r="A39" s="219">
        <f t="shared" si="0"/>
        <v>24</v>
      </c>
      <c r="B39" s="218" t="s">
        <v>1365</v>
      </c>
      <c r="C39" s="426"/>
      <c r="D39" s="442">
        <f>SUMIF($C$193,"NON",D$193)</f>
        <v>-12882</v>
      </c>
      <c r="F39" s="442">
        <f t="shared" ref="F39:W39" si="18">SUMIF($C$193,"NON",F$193)</f>
        <v>-12882</v>
      </c>
      <c r="G39" s="442">
        <f t="shared" si="18"/>
        <v>0</v>
      </c>
      <c r="H39" s="442">
        <f t="shared" si="18"/>
        <v>-12882</v>
      </c>
      <c r="I39" s="442">
        <f t="shared" si="18"/>
        <v>-11814</v>
      </c>
      <c r="J39" s="442">
        <f t="shared" si="18"/>
        <v>-10746</v>
      </c>
      <c r="K39" s="442">
        <f t="shared" si="18"/>
        <v>-9678</v>
      </c>
      <c r="L39" s="442">
        <f t="shared" si="18"/>
        <v>-8610</v>
      </c>
      <c r="M39" s="219">
        <f t="shared" si="1"/>
        <v>24</v>
      </c>
      <c r="N39" s="218" t="s">
        <v>1365</v>
      </c>
      <c r="O39" s="426"/>
      <c r="P39" s="442">
        <f>SUMIF($C$193,"NON",P$193)</f>
        <v>-8006.666666666667</v>
      </c>
      <c r="Q39" s="442">
        <f>SUMIF($C$193,"NON",Q$193)</f>
        <v>-7403.3333333333339</v>
      </c>
      <c r="R39" s="442">
        <f t="shared" si="18"/>
        <v>-6800.0000000000009</v>
      </c>
      <c r="S39" s="442">
        <f t="shared" si="18"/>
        <v>-6196.6666666666679</v>
      </c>
      <c r="T39" s="442">
        <f t="shared" si="18"/>
        <v>-5593.3333333333348</v>
      </c>
      <c r="U39" s="442">
        <f t="shared" si="18"/>
        <v>-4990.0000000000018</v>
      </c>
      <c r="V39" s="442">
        <f t="shared" si="18"/>
        <v>-4386.6666666666688</v>
      </c>
      <c r="W39" s="442">
        <f t="shared" si="18"/>
        <v>-3783.3333333333353</v>
      </c>
      <c r="X39" s="443">
        <f>SUM(H39:W39)</f>
        <v>-100866</v>
      </c>
      <c r="Y39" s="443">
        <f>X39/13</f>
        <v>-7758.9230769230771</v>
      </c>
    </row>
    <row r="40" spans="1:25" s="189" customFormat="1">
      <c r="A40" s="217">
        <f t="shared" si="0"/>
        <v>25</v>
      </c>
      <c r="B40" s="220" t="s">
        <v>1370</v>
      </c>
      <c r="C40" s="426"/>
      <c r="D40" s="444">
        <f>SUM(D35:D39)</f>
        <v>7675316</v>
      </c>
      <c r="E40" s="220"/>
      <c r="F40" s="444">
        <f t="shared" ref="F40:Y40" si="19">SUM(F35:F39)</f>
        <v>13514632</v>
      </c>
      <c r="G40" s="444">
        <f t="shared" si="19"/>
        <v>0</v>
      </c>
      <c r="H40" s="444">
        <f t="shared" si="19"/>
        <v>13514632</v>
      </c>
      <c r="I40" s="444">
        <f t="shared" si="19"/>
        <v>13649146</v>
      </c>
      <c r="J40" s="444">
        <f t="shared" si="19"/>
        <v>13570277</v>
      </c>
      <c r="K40" s="444">
        <f t="shared" si="19"/>
        <v>13339122</v>
      </c>
      <c r="L40" s="444">
        <f t="shared" si="19"/>
        <v>13842262</v>
      </c>
      <c r="M40" s="217">
        <f t="shared" si="1"/>
        <v>25</v>
      </c>
      <c r="N40" s="220" t="s">
        <v>1370</v>
      </c>
      <c r="O40" s="426"/>
      <c r="P40" s="444">
        <f>SUM(P35:P39)</f>
        <v>13653280.333333334</v>
      </c>
      <c r="Q40" s="444">
        <f>SUM(Q35:Q39)</f>
        <v>12954697.833333334</v>
      </c>
      <c r="R40" s="444">
        <f t="shared" si="19"/>
        <v>12256115.333333334</v>
      </c>
      <c r="S40" s="444">
        <f t="shared" si="19"/>
        <v>11557532.833333334</v>
      </c>
      <c r="T40" s="444">
        <f t="shared" si="19"/>
        <v>10858950.333333334</v>
      </c>
      <c r="U40" s="444">
        <f t="shared" si="19"/>
        <v>10160367.833333336</v>
      </c>
      <c r="V40" s="444">
        <f t="shared" si="19"/>
        <v>9461785.3333333358</v>
      </c>
      <c r="W40" s="444">
        <f t="shared" si="19"/>
        <v>8763202.833333334</v>
      </c>
      <c r="X40" s="444">
        <f t="shared" si="19"/>
        <v>157581481.66666666</v>
      </c>
      <c r="Y40" s="444">
        <f t="shared" si="19"/>
        <v>12121652.435897434</v>
      </c>
    </row>
    <row r="41" spans="1:25">
      <c r="A41" s="217">
        <f t="shared" si="0"/>
        <v>26</v>
      </c>
      <c r="D41" s="442"/>
      <c r="F41" s="442"/>
      <c r="G41" s="442"/>
      <c r="H41" s="442"/>
      <c r="I41" s="442"/>
      <c r="J41" s="442"/>
      <c r="K41" s="442"/>
      <c r="L41" s="442"/>
      <c r="M41" s="217">
        <f t="shared" si="1"/>
        <v>26</v>
      </c>
      <c r="P41" s="442"/>
      <c r="Q41" s="442"/>
      <c r="R41" s="442"/>
      <c r="S41" s="442"/>
      <c r="T41" s="442"/>
      <c r="U41" s="442"/>
      <c r="V41" s="442"/>
      <c r="W41" s="442"/>
      <c r="X41" s="442"/>
      <c r="Y41" s="442"/>
    </row>
    <row r="42" spans="1:25" s="1000" customFormat="1">
      <c r="A42" s="426">
        <f t="shared" si="0"/>
        <v>27</v>
      </c>
      <c r="B42" s="446" t="s">
        <v>1371</v>
      </c>
      <c r="C42" s="426"/>
      <c r="D42" s="444">
        <f>SUM(D40,D32,D24)</f>
        <v>-86867067.614287049</v>
      </c>
      <c r="E42" s="420"/>
      <c r="F42" s="444">
        <f t="shared" ref="F42:Y42" si="20">SUM(F40,F32,F24)</f>
        <v>-81027751.614287049</v>
      </c>
      <c r="G42" s="444">
        <f t="shared" si="20"/>
        <v>0</v>
      </c>
      <c r="H42" s="444">
        <f t="shared" si="20"/>
        <v>-81027751.614287049</v>
      </c>
      <c r="I42" s="444">
        <f t="shared" si="20"/>
        <v>-80511203.672642976</v>
      </c>
      <c r="J42" s="444">
        <f t="shared" si="20"/>
        <v>-80072686.730998904</v>
      </c>
      <c r="K42" s="444">
        <f t="shared" si="20"/>
        <v>-80675474.789354846</v>
      </c>
      <c r="L42" s="444">
        <f>SUM(L40,L32,L24)</f>
        <v>-83941552.847710773</v>
      </c>
      <c r="M42" s="426">
        <f t="shared" si="1"/>
        <v>27</v>
      </c>
      <c r="N42" s="446" t="s">
        <v>1371</v>
      </c>
      <c r="O42" s="426"/>
      <c r="P42" s="444">
        <f>SUM(P40,P32,P24)</f>
        <v>-84030710.639750034</v>
      </c>
      <c r="Q42" s="444">
        <f>SUM(Q40,Q32,Q24)</f>
        <v>-85528423.627094537</v>
      </c>
      <c r="R42" s="444">
        <f t="shared" si="20"/>
        <v>-87026136.614439055</v>
      </c>
      <c r="S42" s="444">
        <f t="shared" si="20"/>
        <v>-88523849.601783559</v>
      </c>
      <c r="T42" s="444">
        <f t="shared" si="20"/>
        <v>-90021562.589128062</v>
      </c>
      <c r="U42" s="444">
        <f t="shared" si="20"/>
        <v>-91519275.576472551</v>
      </c>
      <c r="V42" s="444">
        <f t="shared" si="20"/>
        <v>-93016988.563817084</v>
      </c>
      <c r="W42" s="444">
        <f t="shared" si="20"/>
        <v>-94514701.551161557</v>
      </c>
      <c r="X42" s="444">
        <f t="shared" si="20"/>
        <v>-1120410108.4186409</v>
      </c>
      <c r="Y42" s="444">
        <f t="shared" si="20"/>
        <v>-86185392.955280066</v>
      </c>
    </row>
    <row r="43" spans="1:25" s="218" customFormat="1">
      <c r="A43" s="217">
        <f t="shared" si="0"/>
        <v>28</v>
      </c>
      <c r="B43" s="229"/>
      <c r="C43" s="426"/>
      <c r="D43" s="445"/>
      <c r="F43" s="445"/>
      <c r="G43" s="445"/>
      <c r="H43" s="445"/>
      <c r="I43" s="445"/>
      <c r="J43" s="445"/>
      <c r="K43" s="445"/>
      <c r="L43" s="445"/>
      <c r="M43" s="217">
        <f t="shared" si="1"/>
        <v>28</v>
      </c>
      <c r="N43" s="229"/>
      <c r="O43" s="426"/>
      <c r="P43" s="445"/>
      <c r="Q43" s="445"/>
      <c r="R43" s="445"/>
      <c r="S43" s="445"/>
      <c r="T43" s="445"/>
      <c r="U43" s="445"/>
      <c r="V43" s="445"/>
      <c r="W43" s="445"/>
      <c r="X43" s="445"/>
      <c r="Y43" s="445"/>
    </row>
    <row r="44" spans="1:25" s="218" customFormat="1">
      <c r="A44" s="219">
        <f t="shared" si="0"/>
        <v>29</v>
      </c>
      <c r="B44" s="264" t="s">
        <v>1361</v>
      </c>
      <c r="C44" s="426"/>
      <c r="M44" s="219">
        <f t="shared" si="1"/>
        <v>29</v>
      </c>
      <c r="N44" s="264" t="s">
        <v>1361</v>
      </c>
      <c r="O44" s="426"/>
    </row>
    <row r="45" spans="1:25" s="1001" customFormat="1">
      <c r="A45" s="426">
        <f t="shared" si="0"/>
        <v>30</v>
      </c>
      <c r="B45" s="446" t="s">
        <v>1372</v>
      </c>
      <c r="C45" s="426" t="s">
        <v>1373</v>
      </c>
      <c r="D45" s="443">
        <v>8029025</v>
      </c>
      <c r="E45" s="420"/>
      <c r="F45" s="443">
        <f t="shared" ref="F45:F84" si="21">D45*$E$19</f>
        <v>8029025</v>
      </c>
      <c r="G45" s="443"/>
      <c r="H45" s="443">
        <v>8029025</v>
      </c>
      <c r="I45" s="443">
        <v>8038697</v>
      </c>
      <c r="J45" s="443">
        <v>8076139</v>
      </c>
      <c r="K45" s="443">
        <v>8057632</v>
      </c>
      <c r="L45" s="443">
        <v>8447398</v>
      </c>
      <c r="M45" s="426">
        <f t="shared" si="1"/>
        <v>30</v>
      </c>
      <c r="N45" s="446" t="s">
        <v>1372</v>
      </c>
      <c r="O45" s="426" t="s">
        <v>1373</v>
      </c>
      <c r="P45" s="443">
        <v>8390230</v>
      </c>
      <c r="Q45" s="443">
        <v>7691044.166666667</v>
      </c>
      <c r="R45" s="443">
        <v>6991858.333333334</v>
      </c>
      <c r="S45" s="443">
        <v>6292672.5000000009</v>
      </c>
      <c r="T45" s="443">
        <v>5593486.6666666679</v>
      </c>
      <c r="U45" s="443">
        <v>4894300.8333333349</v>
      </c>
      <c r="V45" s="443">
        <v>4195115.0000000019</v>
      </c>
      <c r="W45" s="443">
        <v>3495929.1666666684</v>
      </c>
      <c r="X45" s="443">
        <f t="shared" ref="X45:X84" si="22">SUM(H45:W45)</f>
        <v>88193557.666666672</v>
      </c>
      <c r="Y45" s="443">
        <f>X45/13</f>
        <v>6784119.820512821</v>
      </c>
    </row>
    <row r="46" spans="1:25" s="420" customFormat="1">
      <c r="A46" s="426">
        <f t="shared" si="0"/>
        <v>31</v>
      </c>
      <c r="B46" s="446" t="s">
        <v>1374</v>
      </c>
      <c r="C46" s="426" t="s">
        <v>1375</v>
      </c>
      <c r="D46" s="443">
        <v>1019721</v>
      </c>
      <c r="E46" s="447"/>
      <c r="F46" s="443">
        <f t="shared" si="21"/>
        <v>1019721</v>
      </c>
      <c r="G46" s="443">
        <v>0</v>
      </c>
      <c r="H46" s="448">
        <v>1019721</v>
      </c>
      <c r="I46" s="443">
        <v>1155005</v>
      </c>
      <c r="J46" s="443">
        <v>1183774</v>
      </c>
      <c r="K46" s="443">
        <v>994377</v>
      </c>
      <c r="L46" s="443">
        <v>746976</v>
      </c>
      <c r="M46" s="426">
        <f t="shared" si="1"/>
        <v>31</v>
      </c>
      <c r="N46" s="446" t="s">
        <v>1374</v>
      </c>
      <c r="O46" s="426" t="s">
        <v>1375</v>
      </c>
      <c r="P46" s="443">
        <v>206822</v>
      </c>
      <c r="Q46" s="443">
        <v>206822</v>
      </c>
      <c r="R46" s="443">
        <v>206822</v>
      </c>
      <c r="S46" s="443">
        <v>206822</v>
      </c>
      <c r="T46" s="443">
        <v>206822</v>
      </c>
      <c r="U46" s="443">
        <v>206822</v>
      </c>
      <c r="V46" s="443">
        <v>206822</v>
      </c>
      <c r="W46" s="443">
        <v>206822</v>
      </c>
      <c r="X46" s="443">
        <f t="shared" si="22"/>
        <v>6754460</v>
      </c>
      <c r="Y46" s="443">
        <f t="shared" ref="Y46:Y84" si="23">X46/13</f>
        <v>519573.84615384613</v>
      </c>
    </row>
    <row r="47" spans="1:25" s="420" customFormat="1">
      <c r="A47" s="426">
        <f t="shared" si="0"/>
        <v>32</v>
      </c>
      <c r="B47" s="446" t="s">
        <v>1376</v>
      </c>
      <c r="C47" s="426" t="s">
        <v>1375</v>
      </c>
      <c r="D47" s="443">
        <v>0</v>
      </c>
      <c r="E47" s="449"/>
      <c r="F47" s="443">
        <f t="shared" si="21"/>
        <v>0</v>
      </c>
      <c r="G47" s="443">
        <v>0</v>
      </c>
      <c r="H47" s="448">
        <v>0</v>
      </c>
      <c r="I47" s="448">
        <v>0</v>
      </c>
      <c r="J47" s="448">
        <v>0</v>
      </c>
      <c r="K47" s="448">
        <v>0</v>
      </c>
      <c r="L47" s="448">
        <v>3078</v>
      </c>
      <c r="M47" s="426">
        <f t="shared" si="1"/>
        <v>32</v>
      </c>
      <c r="N47" s="446" t="s">
        <v>1376</v>
      </c>
      <c r="O47" s="426" t="s">
        <v>1375</v>
      </c>
      <c r="P47" s="443">
        <v>3078</v>
      </c>
      <c r="Q47" s="443">
        <v>3078</v>
      </c>
      <c r="R47" s="443">
        <v>3078</v>
      </c>
      <c r="S47" s="443">
        <v>3078</v>
      </c>
      <c r="T47" s="443">
        <v>3078</v>
      </c>
      <c r="U47" s="443">
        <v>3078</v>
      </c>
      <c r="V47" s="443">
        <v>3078</v>
      </c>
      <c r="W47" s="443">
        <v>3078</v>
      </c>
      <c r="X47" s="443">
        <f t="shared" si="22"/>
        <v>27734</v>
      </c>
      <c r="Y47" s="443">
        <f t="shared" si="23"/>
        <v>2133.3846153846152</v>
      </c>
    </row>
    <row r="48" spans="1:25" s="420" customFormat="1">
      <c r="A48" s="426">
        <f t="shared" si="0"/>
        <v>33</v>
      </c>
      <c r="B48" s="446" t="s">
        <v>1377</v>
      </c>
      <c r="C48" s="426" t="s">
        <v>1375</v>
      </c>
      <c r="D48" s="443">
        <v>109273</v>
      </c>
      <c r="F48" s="443">
        <f t="shared" si="21"/>
        <v>109273</v>
      </c>
      <c r="G48" s="443">
        <v>0</v>
      </c>
      <c r="H48" s="448">
        <v>109273</v>
      </c>
      <c r="I48" s="448">
        <v>109273</v>
      </c>
      <c r="J48" s="448">
        <v>109273</v>
      </c>
      <c r="K48" s="448">
        <v>109273</v>
      </c>
      <c r="L48" s="448">
        <v>109273</v>
      </c>
      <c r="M48" s="426">
        <f t="shared" si="1"/>
        <v>33</v>
      </c>
      <c r="N48" s="446" t="s">
        <v>1377</v>
      </c>
      <c r="O48" s="426" t="s">
        <v>1375</v>
      </c>
      <c r="P48" s="443">
        <v>109273</v>
      </c>
      <c r="Q48" s="443">
        <v>109273</v>
      </c>
      <c r="R48" s="443">
        <v>109273</v>
      </c>
      <c r="S48" s="443">
        <v>109273</v>
      </c>
      <c r="T48" s="443">
        <v>109273</v>
      </c>
      <c r="U48" s="443">
        <v>109273</v>
      </c>
      <c r="V48" s="443">
        <v>109273</v>
      </c>
      <c r="W48" s="443">
        <v>109273</v>
      </c>
      <c r="X48" s="443">
        <f t="shared" si="22"/>
        <v>1420582</v>
      </c>
      <c r="Y48" s="443">
        <f t="shared" si="23"/>
        <v>109275.53846153847</v>
      </c>
    </row>
    <row r="49" spans="1:25" s="420" customFormat="1">
      <c r="A49" s="426">
        <f t="shared" si="0"/>
        <v>34</v>
      </c>
      <c r="B49" s="446" t="s">
        <v>1378</v>
      </c>
      <c r="C49" s="426" t="s">
        <v>1373</v>
      </c>
      <c r="D49" s="443">
        <v>396312</v>
      </c>
      <c r="F49" s="443">
        <f t="shared" si="21"/>
        <v>396312</v>
      </c>
      <c r="G49" s="443">
        <v>0</v>
      </c>
      <c r="H49" s="448">
        <v>396312</v>
      </c>
      <c r="I49" s="448">
        <v>395391</v>
      </c>
      <c r="J49" s="448">
        <v>391793</v>
      </c>
      <c r="K49" s="448">
        <v>404642</v>
      </c>
      <c r="L49" s="448">
        <v>408221</v>
      </c>
      <c r="M49" s="426">
        <f t="shared" si="1"/>
        <v>34</v>
      </c>
      <c r="N49" s="446" t="s">
        <v>1378</v>
      </c>
      <c r="O49" s="426" t="s">
        <v>1373</v>
      </c>
      <c r="P49" s="448">
        <v>410350</v>
      </c>
      <c r="Q49" s="448">
        <v>410350</v>
      </c>
      <c r="R49" s="448">
        <v>410350</v>
      </c>
      <c r="S49" s="448">
        <v>410350</v>
      </c>
      <c r="T49" s="448">
        <v>410350</v>
      </c>
      <c r="U49" s="448">
        <v>410350</v>
      </c>
      <c r="V49" s="448">
        <v>410350</v>
      </c>
      <c r="W49" s="448">
        <v>410350</v>
      </c>
      <c r="X49" s="443">
        <f t="shared" si="22"/>
        <v>5279193</v>
      </c>
      <c r="Y49" s="443">
        <f t="shared" si="23"/>
        <v>406091.76923076925</v>
      </c>
    </row>
    <row r="50" spans="1:25" s="420" customFormat="1">
      <c r="A50" s="426">
        <f t="shared" si="0"/>
        <v>35</v>
      </c>
      <c r="B50" s="446" t="s">
        <v>1379</v>
      </c>
      <c r="C50" s="426" t="s">
        <v>1373</v>
      </c>
      <c r="D50" s="443">
        <v>99326</v>
      </c>
      <c r="E50" s="447"/>
      <c r="F50" s="443">
        <f t="shared" si="21"/>
        <v>99326</v>
      </c>
      <c r="G50" s="443">
        <v>0</v>
      </c>
      <c r="H50" s="448">
        <v>99326</v>
      </c>
      <c r="I50" s="448">
        <v>99095</v>
      </c>
      <c r="J50" s="448">
        <v>98194</v>
      </c>
      <c r="K50" s="448">
        <v>101414</v>
      </c>
      <c r="L50" s="448">
        <v>102311</v>
      </c>
      <c r="M50" s="426">
        <f t="shared" si="1"/>
        <v>35</v>
      </c>
      <c r="N50" s="446" t="s">
        <v>1379</v>
      </c>
      <c r="O50" s="426" t="s">
        <v>1373</v>
      </c>
      <c r="P50" s="448">
        <v>102845</v>
      </c>
      <c r="Q50" s="448">
        <v>102845</v>
      </c>
      <c r="R50" s="448">
        <v>102845</v>
      </c>
      <c r="S50" s="448">
        <v>102845</v>
      </c>
      <c r="T50" s="448">
        <v>102845</v>
      </c>
      <c r="U50" s="448">
        <v>102845</v>
      </c>
      <c r="V50" s="448">
        <v>102845</v>
      </c>
      <c r="W50" s="448">
        <v>102845</v>
      </c>
      <c r="X50" s="443">
        <f t="shared" si="22"/>
        <v>1323135</v>
      </c>
      <c r="Y50" s="443">
        <f t="shared" si="23"/>
        <v>101779.61538461539</v>
      </c>
    </row>
    <row r="51" spans="1:25" s="420" customFormat="1">
      <c r="A51" s="426">
        <f t="shared" si="0"/>
        <v>36</v>
      </c>
      <c r="B51" s="446" t="s">
        <v>1380</v>
      </c>
      <c r="C51" s="426" t="s">
        <v>1373</v>
      </c>
      <c r="D51" s="443">
        <v>316781</v>
      </c>
      <c r="E51" s="449"/>
      <c r="F51" s="443">
        <f t="shared" si="21"/>
        <v>316781</v>
      </c>
      <c r="G51" s="443">
        <v>0</v>
      </c>
      <c r="H51" s="448">
        <v>316781</v>
      </c>
      <c r="I51" s="448">
        <v>316781</v>
      </c>
      <c r="J51" s="448">
        <v>246974</v>
      </c>
      <c r="K51" s="448">
        <v>246974</v>
      </c>
      <c r="L51" s="448">
        <v>462360</v>
      </c>
      <c r="M51" s="426">
        <f t="shared" si="1"/>
        <v>36</v>
      </c>
      <c r="N51" s="446" t="s">
        <v>1380</v>
      </c>
      <c r="O51" s="426" t="s">
        <v>1373</v>
      </c>
      <c r="P51" s="448">
        <v>462360</v>
      </c>
      <c r="Q51" s="448">
        <v>462360</v>
      </c>
      <c r="R51" s="448">
        <v>462360</v>
      </c>
      <c r="S51" s="448">
        <v>462360</v>
      </c>
      <c r="T51" s="448">
        <v>462360</v>
      </c>
      <c r="U51" s="448">
        <v>462360</v>
      </c>
      <c r="V51" s="448">
        <v>462360</v>
      </c>
      <c r="W51" s="448">
        <v>462360</v>
      </c>
      <c r="X51" s="443">
        <f t="shared" si="22"/>
        <v>5288786</v>
      </c>
      <c r="Y51" s="443">
        <f t="shared" si="23"/>
        <v>406829.69230769231</v>
      </c>
    </row>
    <row r="52" spans="1:25" s="420" customFormat="1">
      <c r="A52" s="426">
        <f t="shared" si="0"/>
        <v>37</v>
      </c>
      <c r="B52" s="446" t="s">
        <v>1381</v>
      </c>
      <c r="C52" s="426" t="s">
        <v>1373</v>
      </c>
      <c r="D52" s="443">
        <v>79394</v>
      </c>
      <c r="E52" s="449"/>
      <c r="F52" s="443">
        <f t="shared" si="21"/>
        <v>79394</v>
      </c>
      <c r="G52" s="443">
        <v>0</v>
      </c>
      <c r="H52" s="448">
        <v>79394</v>
      </c>
      <c r="I52" s="448">
        <v>79394</v>
      </c>
      <c r="J52" s="448">
        <v>61898</v>
      </c>
      <c r="K52" s="448">
        <v>61898</v>
      </c>
      <c r="L52" s="448">
        <v>115880</v>
      </c>
      <c r="M52" s="426">
        <f t="shared" si="1"/>
        <v>37</v>
      </c>
      <c r="N52" s="446" t="s">
        <v>1381</v>
      </c>
      <c r="O52" s="426" t="s">
        <v>1373</v>
      </c>
      <c r="P52" s="448">
        <v>115880</v>
      </c>
      <c r="Q52" s="448">
        <v>115880</v>
      </c>
      <c r="R52" s="448">
        <v>115880</v>
      </c>
      <c r="S52" s="448">
        <v>115880</v>
      </c>
      <c r="T52" s="448">
        <v>115880</v>
      </c>
      <c r="U52" s="448">
        <v>115880</v>
      </c>
      <c r="V52" s="448">
        <v>115880</v>
      </c>
      <c r="W52" s="448">
        <v>115880</v>
      </c>
      <c r="X52" s="443">
        <f t="shared" si="22"/>
        <v>1325541</v>
      </c>
      <c r="Y52" s="443">
        <f t="shared" si="23"/>
        <v>101964.69230769231</v>
      </c>
    </row>
    <row r="53" spans="1:25" s="420" customFormat="1">
      <c r="A53" s="426">
        <f t="shared" si="0"/>
        <v>38</v>
      </c>
      <c r="B53" s="420" t="s">
        <v>1382</v>
      </c>
      <c r="C53" s="426" t="s">
        <v>1375</v>
      </c>
      <c r="D53" s="443">
        <v>109795</v>
      </c>
      <c r="F53" s="443">
        <f t="shared" si="21"/>
        <v>109795</v>
      </c>
      <c r="G53" s="443">
        <v>0</v>
      </c>
      <c r="H53" s="448">
        <v>109795</v>
      </c>
      <c r="I53" s="442">
        <v>109795</v>
      </c>
      <c r="J53" s="442">
        <v>104415</v>
      </c>
      <c r="K53" s="442">
        <v>104415</v>
      </c>
      <c r="L53" s="442">
        <v>118675</v>
      </c>
      <c r="M53" s="426">
        <f t="shared" si="1"/>
        <v>38</v>
      </c>
      <c r="N53" s="420" t="s">
        <v>1382</v>
      </c>
      <c r="O53" s="426" t="s">
        <v>1375</v>
      </c>
      <c r="P53" s="442">
        <v>118675</v>
      </c>
      <c r="Q53" s="442">
        <v>118675</v>
      </c>
      <c r="R53" s="442">
        <v>118675</v>
      </c>
      <c r="S53" s="442">
        <v>118675</v>
      </c>
      <c r="T53" s="442">
        <v>118675</v>
      </c>
      <c r="U53" s="442">
        <v>118675</v>
      </c>
      <c r="V53" s="442">
        <v>118675</v>
      </c>
      <c r="W53" s="442">
        <v>118675</v>
      </c>
      <c r="X53" s="443">
        <f t="shared" si="22"/>
        <v>1496533</v>
      </c>
      <c r="Y53" s="443">
        <f t="shared" si="23"/>
        <v>115117.92307692308</v>
      </c>
    </row>
    <row r="54" spans="1:25" s="420" customFormat="1">
      <c r="A54" s="426">
        <f t="shared" si="0"/>
        <v>39</v>
      </c>
      <c r="B54" s="420" t="s">
        <v>1383</v>
      </c>
      <c r="C54" s="426" t="s">
        <v>1375</v>
      </c>
      <c r="D54" s="443">
        <v>27518</v>
      </c>
      <c r="E54" s="449"/>
      <c r="F54" s="443">
        <f t="shared" si="21"/>
        <v>27518</v>
      </c>
      <c r="G54" s="443">
        <v>0</v>
      </c>
      <c r="H54" s="448">
        <v>27518</v>
      </c>
      <c r="I54" s="443">
        <v>27518</v>
      </c>
      <c r="J54" s="443">
        <v>26169</v>
      </c>
      <c r="K54" s="443">
        <v>26169</v>
      </c>
      <c r="L54" s="443">
        <v>29743</v>
      </c>
      <c r="M54" s="426">
        <f t="shared" si="1"/>
        <v>39</v>
      </c>
      <c r="N54" s="420" t="s">
        <v>1383</v>
      </c>
      <c r="O54" s="426" t="s">
        <v>1375</v>
      </c>
      <c r="P54" s="443">
        <v>29743</v>
      </c>
      <c r="Q54" s="443">
        <v>29743</v>
      </c>
      <c r="R54" s="443">
        <v>29743</v>
      </c>
      <c r="S54" s="443">
        <v>29743</v>
      </c>
      <c r="T54" s="443">
        <v>29743</v>
      </c>
      <c r="U54" s="443">
        <v>29743</v>
      </c>
      <c r="V54" s="443">
        <v>29743</v>
      </c>
      <c r="W54" s="443">
        <v>29743</v>
      </c>
      <c r="X54" s="443">
        <f t="shared" si="22"/>
        <v>375100</v>
      </c>
      <c r="Y54" s="443">
        <f t="shared" si="23"/>
        <v>28853.846153846152</v>
      </c>
    </row>
    <row r="55" spans="1:25" s="420" customFormat="1">
      <c r="A55" s="426">
        <f t="shared" si="0"/>
        <v>40</v>
      </c>
      <c r="B55" s="446" t="s">
        <v>1384</v>
      </c>
      <c r="C55" s="426" t="s">
        <v>1375</v>
      </c>
      <c r="D55" s="443">
        <v>190355</v>
      </c>
      <c r="E55" s="449"/>
      <c r="F55" s="443">
        <f t="shared" si="21"/>
        <v>190355</v>
      </c>
      <c r="G55" s="443">
        <v>0</v>
      </c>
      <c r="H55" s="448">
        <v>190355</v>
      </c>
      <c r="I55" s="443">
        <v>168144</v>
      </c>
      <c r="J55" s="443">
        <v>145874</v>
      </c>
      <c r="K55" s="443">
        <v>111159</v>
      </c>
      <c r="L55" s="443">
        <v>81725</v>
      </c>
      <c r="M55" s="426">
        <f t="shared" si="1"/>
        <v>40</v>
      </c>
      <c r="N55" s="446" t="s">
        <v>1384</v>
      </c>
      <c r="O55" s="426" t="s">
        <v>1375</v>
      </c>
      <c r="P55" s="443">
        <v>358093</v>
      </c>
      <c r="Q55" s="443">
        <v>358093</v>
      </c>
      <c r="R55" s="443">
        <v>358093</v>
      </c>
      <c r="S55" s="443">
        <v>358093</v>
      </c>
      <c r="T55" s="443">
        <v>358093</v>
      </c>
      <c r="U55" s="443">
        <v>358093</v>
      </c>
      <c r="V55" s="443">
        <v>358093</v>
      </c>
      <c r="W55" s="443">
        <v>358093</v>
      </c>
      <c r="X55" s="443">
        <f t="shared" si="22"/>
        <v>3562041</v>
      </c>
      <c r="Y55" s="443">
        <f t="shared" si="23"/>
        <v>274003.15384615387</v>
      </c>
    </row>
    <row r="56" spans="1:25" s="420" customFormat="1">
      <c r="A56" s="426">
        <f t="shared" si="0"/>
        <v>41</v>
      </c>
      <c r="B56" s="446" t="s">
        <v>1385</v>
      </c>
      <c r="C56" s="426" t="s">
        <v>1375</v>
      </c>
      <c r="D56" s="443">
        <v>47708</v>
      </c>
      <c r="E56" s="449"/>
      <c r="F56" s="443">
        <f t="shared" si="21"/>
        <v>47708</v>
      </c>
      <c r="G56" s="443">
        <v>0</v>
      </c>
      <c r="H56" s="448">
        <v>47708</v>
      </c>
      <c r="I56" s="443">
        <v>42141</v>
      </c>
      <c r="J56" s="443">
        <v>36560</v>
      </c>
      <c r="K56" s="443">
        <v>27860</v>
      </c>
      <c r="L56" s="443">
        <v>20482</v>
      </c>
      <c r="M56" s="426">
        <f t="shared" si="1"/>
        <v>41</v>
      </c>
      <c r="N56" s="446" t="s">
        <v>1385</v>
      </c>
      <c r="O56" s="426" t="s">
        <v>1375</v>
      </c>
      <c r="P56" s="443">
        <v>89748</v>
      </c>
      <c r="Q56" s="443">
        <v>89748</v>
      </c>
      <c r="R56" s="443">
        <v>89748</v>
      </c>
      <c r="S56" s="443">
        <v>89748</v>
      </c>
      <c r="T56" s="443">
        <v>89748</v>
      </c>
      <c r="U56" s="443">
        <v>89748</v>
      </c>
      <c r="V56" s="443">
        <v>89748</v>
      </c>
      <c r="W56" s="443">
        <v>89748</v>
      </c>
      <c r="X56" s="443">
        <f t="shared" si="22"/>
        <v>892776</v>
      </c>
      <c r="Y56" s="443">
        <f t="shared" si="23"/>
        <v>68675.076923076922</v>
      </c>
    </row>
    <row r="57" spans="1:25" s="420" customFormat="1">
      <c r="A57" s="426">
        <f t="shared" si="0"/>
        <v>42</v>
      </c>
      <c r="B57" s="446" t="s">
        <v>1386</v>
      </c>
      <c r="C57" s="426" t="s">
        <v>1375</v>
      </c>
      <c r="D57" s="443">
        <v>182662</v>
      </c>
      <c r="E57" s="449"/>
      <c r="F57" s="443">
        <f t="shared" si="21"/>
        <v>182662</v>
      </c>
      <c r="G57" s="443">
        <v>0</v>
      </c>
      <c r="H57" s="448">
        <v>182662</v>
      </c>
      <c r="I57" s="443">
        <v>205153</v>
      </c>
      <c r="J57" s="443">
        <v>231395</v>
      </c>
      <c r="K57" s="443">
        <v>254969</v>
      </c>
      <c r="L57" s="443">
        <v>287527</v>
      </c>
      <c r="M57" s="426">
        <f t="shared" si="1"/>
        <v>42</v>
      </c>
      <c r="N57" s="446" t="s">
        <v>1386</v>
      </c>
      <c r="O57" s="426" t="s">
        <v>1375</v>
      </c>
      <c r="P57" s="443">
        <v>32953</v>
      </c>
      <c r="Q57" s="443">
        <v>32953</v>
      </c>
      <c r="R57" s="443">
        <v>32953</v>
      </c>
      <c r="S57" s="443">
        <v>32953</v>
      </c>
      <c r="T57" s="443">
        <v>32953</v>
      </c>
      <c r="U57" s="443">
        <v>32953</v>
      </c>
      <c r="V57" s="443">
        <v>32953</v>
      </c>
      <c r="W57" s="443">
        <v>32953</v>
      </c>
      <c r="X57" s="443">
        <f t="shared" si="22"/>
        <v>1425372</v>
      </c>
      <c r="Y57" s="443">
        <f t="shared" si="23"/>
        <v>109644</v>
      </c>
    </row>
    <row r="58" spans="1:25" s="420" customFormat="1">
      <c r="A58" s="426">
        <f t="shared" si="0"/>
        <v>43</v>
      </c>
      <c r="B58" s="446" t="s">
        <v>1387</v>
      </c>
      <c r="C58" s="426" t="s">
        <v>1375</v>
      </c>
      <c r="D58" s="443">
        <v>45780</v>
      </c>
      <c r="E58" s="449"/>
      <c r="F58" s="443">
        <f t="shared" si="21"/>
        <v>45780</v>
      </c>
      <c r="G58" s="443">
        <v>0</v>
      </c>
      <c r="H58" s="448">
        <v>45780</v>
      </c>
      <c r="I58" s="443">
        <v>51417</v>
      </c>
      <c r="J58" s="443">
        <v>57994</v>
      </c>
      <c r="K58" s="443">
        <v>63902</v>
      </c>
      <c r="L58" s="443">
        <v>72062</v>
      </c>
      <c r="M58" s="426">
        <f t="shared" si="1"/>
        <v>43</v>
      </c>
      <c r="N58" s="446" t="s">
        <v>1387</v>
      </c>
      <c r="O58" s="426" t="s">
        <v>1375</v>
      </c>
      <c r="P58" s="443">
        <v>8259</v>
      </c>
      <c r="Q58" s="443">
        <v>8259</v>
      </c>
      <c r="R58" s="443">
        <v>8259</v>
      </c>
      <c r="S58" s="443">
        <v>8259</v>
      </c>
      <c r="T58" s="443">
        <v>8259</v>
      </c>
      <c r="U58" s="443">
        <v>8259</v>
      </c>
      <c r="V58" s="443">
        <v>8259</v>
      </c>
      <c r="W58" s="443">
        <v>8259</v>
      </c>
      <c r="X58" s="443">
        <f t="shared" si="22"/>
        <v>357270</v>
      </c>
      <c r="Y58" s="443">
        <f t="shared" si="23"/>
        <v>27482.307692307691</v>
      </c>
    </row>
    <row r="59" spans="1:25" s="420" customFormat="1">
      <c r="A59" s="426">
        <f t="shared" si="0"/>
        <v>44</v>
      </c>
      <c r="B59" s="446" t="s">
        <v>1388</v>
      </c>
      <c r="C59" s="426" t="s">
        <v>1375</v>
      </c>
      <c r="D59" s="443">
        <v>31152</v>
      </c>
      <c r="E59" s="449"/>
      <c r="F59" s="443">
        <f t="shared" si="21"/>
        <v>31152</v>
      </c>
      <c r="G59" s="443">
        <v>0</v>
      </c>
      <c r="H59" s="448">
        <v>31152</v>
      </c>
      <c r="I59" s="443">
        <v>38256</v>
      </c>
      <c r="J59" s="443">
        <v>42508</v>
      </c>
      <c r="K59" s="443">
        <v>46759</v>
      </c>
      <c r="L59" s="443">
        <v>64919</v>
      </c>
      <c r="M59" s="426">
        <f t="shared" si="1"/>
        <v>44</v>
      </c>
      <c r="N59" s="446" t="s">
        <v>1388</v>
      </c>
      <c r="O59" s="426" t="s">
        <v>1375</v>
      </c>
      <c r="P59" s="443">
        <v>68214</v>
      </c>
      <c r="Q59" s="443">
        <v>68214</v>
      </c>
      <c r="R59" s="443">
        <v>68214</v>
      </c>
      <c r="S59" s="443">
        <v>68214</v>
      </c>
      <c r="T59" s="443">
        <v>68214</v>
      </c>
      <c r="U59" s="443">
        <v>68214</v>
      </c>
      <c r="V59" s="443">
        <v>68214</v>
      </c>
      <c r="W59" s="443">
        <v>68214</v>
      </c>
      <c r="X59" s="443">
        <f t="shared" si="22"/>
        <v>769350</v>
      </c>
      <c r="Y59" s="443">
        <f t="shared" si="23"/>
        <v>59180.769230769234</v>
      </c>
    </row>
    <row r="60" spans="1:25" s="420" customFormat="1">
      <c r="A60" s="426">
        <f t="shared" si="0"/>
        <v>45</v>
      </c>
      <c r="B60" s="446" t="s">
        <v>1389</v>
      </c>
      <c r="C60" s="426" t="s">
        <v>1375</v>
      </c>
      <c r="D60" s="443">
        <v>7808</v>
      </c>
      <c r="E60" s="449"/>
      <c r="F60" s="443">
        <f t="shared" si="21"/>
        <v>7808</v>
      </c>
      <c r="G60" s="443">
        <v>0</v>
      </c>
      <c r="H60" s="448">
        <v>7808</v>
      </c>
      <c r="I60" s="443">
        <v>9588</v>
      </c>
      <c r="J60" s="443">
        <v>10654</v>
      </c>
      <c r="K60" s="443">
        <v>11719</v>
      </c>
      <c r="L60" s="443">
        <v>16271</v>
      </c>
      <c r="M60" s="426">
        <f t="shared" si="1"/>
        <v>45</v>
      </c>
      <c r="N60" s="446" t="s">
        <v>1389</v>
      </c>
      <c r="O60" s="426" t="s">
        <v>1375</v>
      </c>
      <c r="P60" s="443">
        <v>17096</v>
      </c>
      <c r="Q60" s="443">
        <v>17096</v>
      </c>
      <c r="R60" s="443">
        <v>17096</v>
      </c>
      <c r="S60" s="443">
        <v>17096</v>
      </c>
      <c r="T60" s="443">
        <v>17096</v>
      </c>
      <c r="U60" s="443">
        <v>17096</v>
      </c>
      <c r="V60" s="443">
        <v>17096</v>
      </c>
      <c r="W60" s="443">
        <v>17096</v>
      </c>
      <c r="X60" s="443">
        <f t="shared" si="22"/>
        <v>192853</v>
      </c>
      <c r="Y60" s="443">
        <f t="shared" si="23"/>
        <v>14834.846153846154</v>
      </c>
    </row>
    <row r="61" spans="1:25" s="1002" customFormat="1">
      <c r="A61" s="426">
        <f t="shared" si="0"/>
        <v>46</v>
      </c>
      <c r="B61" s="446" t="s">
        <v>1390</v>
      </c>
      <c r="C61" s="426" t="s">
        <v>1399</v>
      </c>
      <c r="D61" s="443">
        <v>46945</v>
      </c>
      <c r="E61" s="449"/>
      <c r="F61" s="443">
        <f t="shared" si="21"/>
        <v>46945</v>
      </c>
      <c r="G61" s="443">
        <v>0</v>
      </c>
      <c r="H61" s="448">
        <v>46945</v>
      </c>
      <c r="I61" s="443">
        <v>46945</v>
      </c>
      <c r="J61" s="443">
        <v>46945</v>
      </c>
      <c r="K61" s="443">
        <v>47593</v>
      </c>
      <c r="L61" s="443">
        <v>47593</v>
      </c>
      <c r="M61" s="426">
        <f t="shared" si="1"/>
        <v>46</v>
      </c>
      <c r="N61" s="446" t="s">
        <v>1390</v>
      </c>
      <c r="O61" s="426" t="s">
        <v>1399</v>
      </c>
      <c r="P61" s="443">
        <v>47593</v>
      </c>
      <c r="Q61" s="443">
        <v>47593</v>
      </c>
      <c r="R61" s="443">
        <v>47593</v>
      </c>
      <c r="S61" s="443">
        <v>47593</v>
      </c>
      <c r="T61" s="443">
        <v>47593</v>
      </c>
      <c r="U61" s="443">
        <v>47593</v>
      </c>
      <c r="V61" s="443">
        <v>47593</v>
      </c>
      <c r="W61" s="443">
        <v>47593</v>
      </c>
      <c r="X61" s="443">
        <f t="shared" si="22"/>
        <v>616811</v>
      </c>
      <c r="Y61" s="443">
        <f t="shared" si="23"/>
        <v>47447</v>
      </c>
    </row>
    <row r="62" spans="1:25" s="1002" customFormat="1">
      <c r="A62" s="426">
        <f t="shared" si="0"/>
        <v>47</v>
      </c>
      <c r="B62" s="446" t="s">
        <v>1391</v>
      </c>
      <c r="C62" s="426" t="s">
        <v>1399</v>
      </c>
      <c r="D62" s="443">
        <v>11766</v>
      </c>
      <c r="E62" s="449"/>
      <c r="F62" s="443">
        <f t="shared" si="21"/>
        <v>11766</v>
      </c>
      <c r="G62" s="443">
        <v>0</v>
      </c>
      <c r="H62" s="448">
        <v>11766</v>
      </c>
      <c r="I62" s="443">
        <v>11766</v>
      </c>
      <c r="J62" s="443">
        <v>11766</v>
      </c>
      <c r="K62" s="443">
        <v>11928</v>
      </c>
      <c r="L62" s="443">
        <v>11928</v>
      </c>
      <c r="M62" s="426">
        <f t="shared" si="1"/>
        <v>47</v>
      </c>
      <c r="N62" s="446" t="s">
        <v>1391</v>
      </c>
      <c r="O62" s="426" t="s">
        <v>1399</v>
      </c>
      <c r="P62" s="443">
        <v>11928</v>
      </c>
      <c r="Q62" s="443">
        <v>11928</v>
      </c>
      <c r="R62" s="443">
        <v>11928</v>
      </c>
      <c r="S62" s="443">
        <v>11928</v>
      </c>
      <c r="T62" s="443">
        <v>11928</v>
      </c>
      <c r="U62" s="443">
        <v>11928</v>
      </c>
      <c r="V62" s="443">
        <v>11928</v>
      </c>
      <c r="W62" s="443">
        <v>11928</v>
      </c>
      <c r="X62" s="443">
        <f t="shared" si="22"/>
        <v>154625</v>
      </c>
      <c r="Y62" s="443">
        <f t="shared" si="23"/>
        <v>11894.23076923077</v>
      </c>
    </row>
    <row r="63" spans="1:25" s="1002" customFormat="1">
      <c r="A63" s="426">
        <f t="shared" si="0"/>
        <v>48</v>
      </c>
      <c r="B63" s="446" t="s">
        <v>1392</v>
      </c>
      <c r="C63" s="426" t="s">
        <v>1399</v>
      </c>
      <c r="D63" s="443">
        <v>153420</v>
      </c>
      <c r="E63" s="449"/>
      <c r="F63" s="443">
        <f t="shared" si="21"/>
        <v>153420</v>
      </c>
      <c r="G63" s="443">
        <v>0</v>
      </c>
      <c r="H63" s="448">
        <v>153420</v>
      </c>
      <c r="I63" s="443">
        <v>186744</v>
      </c>
      <c r="J63" s="443">
        <v>178933</v>
      </c>
      <c r="K63" s="443">
        <v>170115</v>
      </c>
      <c r="L63" s="443">
        <v>166728</v>
      </c>
      <c r="M63" s="426">
        <f t="shared" si="1"/>
        <v>48</v>
      </c>
      <c r="N63" s="446" t="s">
        <v>1392</v>
      </c>
      <c r="O63" s="426" t="s">
        <v>1399</v>
      </c>
      <c r="P63" s="443">
        <v>158918</v>
      </c>
      <c r="Q63" s="443">
        <v>158918</v>
      </c>
      <c r="R63" s="443">
        <v>158918</v>
      </c>
      <c r="S63" s="443">
        <v>158918</v>
      </c>
      <c r="T63" s="443">
        <v>158918</v>
      </c>
      <c r="U63" s="443">
        <v>158918</v>
      </c>
      <c r="V63" s="443">
        <v>158918</v>
      </c>
      <c r="W63" s="443">
        <v>158918</v>
      </c>
      <c r="X63" s="443">
        <f t="shared" si="22"/>
        <v>2127332</v>
      </c>
      <c r="Y63" s="443">
        <f t="shared" si="23"/>
        <v>163640.92307692306</v>
      </c>
    </row>
    <row r="64" spans="1:25" s="1002" customFormat="1">
      <c r="A64" s="426">
        <f t="shared" si="0"/>
        <v>49</v>
      </c>
      <c r="B64" s="446" t="s">
        <v>1393</v>
      </c>
      <c r="C64" s="426" t="s">
        <v>1399</v>
      </c>
      <c r="D64" s="443">
        <v>38451</v>
      </c>
      <c r="E64" s="449"/>
      <c r="F64" s="443">
        <f t="shared" si="21"/>
        <v>38451</v>
      </c>
      <c r="G64" s="443">
        <v>0</v>
      </c>
      <c r="H64" s="448">
        <v>38451</v>
      </c>
      <c r="I64" s="443">
        <v>46803</v>
      </c>
      <c r="J64" s="443">
        <v>44845</v>
      </c>
      <c r="K64" s="443">
        <v>42635</v>
      </c>
      <c r="L64" s="443">
        <v>41786</v>
      </c>
      <c r="M64" s="426">
        <f t="shared" si="1"/>
        <v>49</v>
      </c>
      <c r="N64" s="446" t="s">
        <v>1393</v>
      </c>
      <c r="O64" s="426" t="s">
        <v>1399</v>
      </c>
      <c r="P64" s="443">
        <v>39829</v>
      </c>
      <c r="Q64" s="443">
        <v>39829</v>
      </c>
      <c r="R64" s="443">
        <v>39829</v>
      </c>
      <c r="S64" s="443">
        <v>39829</v>
      </c>
      <c r="T64" s="443">
        <v>39829</v>
      </c>
      <c r="U64" s="443">
        <v>39829</v>
      </c>
      <c r="V64" s="443">
        <v>39829</v>
      </c>
      <c r="W64" s="443">
        <v>39829</v>
      </c>
      <c r="X64" s="443">
        <f t="shared" si="22"/>
        <v>533201</v>
      </c>
      <c r="Y64" s="443">
        <f t="shared" si="23"/>
        <v>41015.461538461539</v>
      </c>
    </row>
    <row r="65" spans="1:25" s="1002" customFormat="1">
      <c r="A65" s="426">
        <f t="shared" si="0"/>
        <v>50</v>
      </c>
      <c r="B65" s="446" t="s">
        <v>1394</v>
      </c>
      <c r="C65" s="426" t="s">
        <v>1399</v>
      </c>
      <c r="D65" s="443">
        <v>17729</v>
      </c>
      <c r="E65" s="449"/>
      <c r="F65" s="443">
        <f t="shared" si="21"/>
        <v>17729</v>
      </c>
      <c r="G65" s="443">
        <v>0</v>
      </c>
      <c r="H65" s="448">
        <v>17729</v>
      </c>
      <c r="I65" s="443">
        <v>17729</v>
      </c>
      <c r="J65" s="443">
        <v>17729</v>
      </c>
      <c r="K65" s="443">
        <v>21118</v>
      </c>
      <c r="L65" s="443">
        <v>21118</v>
      </c>
      <c r="M65" s="426">
        <f t="shared" si="1"/>
        <v>50</v>
      </c>
      <c r="N65" s="446" t="s">
        <v>1394</v>
      </c>
      <c r="O65" s="426" t="s">
        <v>1399</v>
      </c>
      <c r="P65" s="443">
        <v>21118</v>
      </c>
      <c r="Q65" s="443">
        <v>21118</v>
      </c>
      <c r="R65" s="443">
        <v>21118</v>
      </c>
      <c r="S65" s="443">
        <v>21118</v>
      </c>
      <c r="T65" s="443">
        <v>21118</v>
      </c>
      <c r="U65" s="443">
        <v>21118</v>
      </c>
      <c r="V65" s="443">
        <v>21118</v>
      </c>
      <c r="W65" s="443">
        <v>21118</v>
      </c>
      <c r="X65" s="443">
        <f t="shared" si="22"/>
        <v>264417</v>
      </c>
      <c r="Y65" s="443">
        <f t="shared" si="23"/>
        <v>20339.76923076923</v>
      </c>
    </row>
    <row r="66" spans="1:25" s="1002" customFormat="1">
      <c r="A66" s="426">
        <f t="shared" si="0"/>
        <v>51</v>
      </c>
      <c r="B66" s="446" t="s">
        <v>1395</v>
      </c>
      <c r="C66" s="426" t="s">
        <v>1399</v>
      </c>
      <c r="D66" s="443">
        <v>4443</v>
      </c>
      <c r="E66" s="449"/>
      <c r="F66" s="443">
        <f t="shared" si="21"/>
        <v>4443</v>
      </c>
      <c r="G66" s="443">
        <v>0</v>
      </c>
      <c r="H66" s="448">
        <v>4443</v>
      </c>
      <c r="I66" s="443">
        <v>4443</v>
      </c>
      <c r="J66" s="443">
        <v>4443</v>
      </c>
      <c r="K66" s="443">
        <v>5293</v>
      </c>
      <c r="L66" s="443">
        <v>5293</v>
      </c>
      <c r="M66" s="426">
        <f t="shared" si="1"/>
        <v>51</v>
      </c>
      <c r="N66" s="446" t="s">
        <v>1395</v>
      </c>
      <c r="O66" s="426" t="s">
        <v>1399</v>
      </c>
      <c r="P66" s="443">
        <v>5293</v>
      </c>
      <c r="Q66" s="443">
        <v>5293</v>
      </c>
      <c r="R66" s="443">
        <v>5293</v>
      </c>
      <c r="S66" s="443">
        <v>5293</v>
      </c>
      <c r="T66" s="443">
        <v>5293</v>
      </c>
      <c r="U66" s="443">
        <v>5293</v>
      </c>
      <c r="V66" s="443">
        <v>5293</v>
      </c>
      <c r="W66" s="443">
        <v>5293</v>
      </c>
      <c r="X66" s="443">
        <f t="shared" si="22"/>
        <v>66310</v>
      </c>
      <c r="Y66" s="443">
        <f t="shared" si="23"/>
        <v>5100.7692307692305</v>
      </c>
    </row>
    <row r="67" spans="1:25" s="1002" customFormat="1">
      <c r="A67" s="426">
        <f t="shared" si="0"/>
        <v>52</v>
      </c>
      <c r="B67" s="446" t="s">
        <v>1396</v>
      </c>
      <c r="C67" s="426" t="s">
        <v>1399</v>
      </c>
      <c r="D67" s="443">
        <v>229366</v>
      </c>
      <c r="E67" s="449"/>
      <c r="F67" s="443">
        <f t="shared" si="21"/>
        <v>229366</v>
      </c>
      <c r="G67" s="443">
        <v>0</v>
      </c>
      <c r="H67" s="448">
        <v>229366</v>
      </c>
      <c r="I67" s="443">
        <v>286786</v>
      </c>
      <c r="J67" s="443">
        <v>318652</v>
      </c>
      <c r="K67" s="443">
        <v>350517</v>
      </c>
      <c r="L67" s="443">
        <v>471117</v>
      </c>
      <c r="M67" s="426">
        <f t="shared" si="1"/>
        <v>52</v>
      </c>
      <c r="N67" s="446" t="s">
        <v>1396</v>
      </c>
      <c r="O67" s="426" t="s">
        <v>1399</v>
      </c>
      <c r="P67" s="443">
        <v>495261</v>
      </c>
      <c r="Q67" s="443">
        <v>495261</v>
      </c>
      <c r="R67" s="443">
        <v>495261</v>
      </c>
      <c r="S67" s="443">
        <v>495261</v>
      </c>
      <c r="T67" s="443">
        <v>495261</v>
      </c>
      <c r="U67" s="443">
        <v>495261</v>
      </c>
      <c r="V67" s="443">
        <v>495261</v>
      </c>
      <c r="W67" s="443">
        <v>495261</v>
      </c>
      <c r="X67" s="443">
        <f t="shared" si="22"/>
        <v>5618578</v>
      </c>
      <c r="Y67" s="443">
        <f t="shared" si="23"/>
        <v>432198.30769230769</v>
      </c>
    </row>
    <row r="68" spans="1:25" s="1002" customFormat="1">
      <c r="A68" s="426">
        <f t="shared" si="0"/>
        <v>53</v>
      </c>
      <c r="B68" s="446" t="s">
        <v>1397</v>
      </c>
      <c r="C68" s="426" t="s">
        <v>1399</v>
      </c>
      <c r="D68" s="443">
        <v>57485</v>
      </c>
      <c r="E68" s="449"/>
      <c r="F68" s="443">
        <f t="shared" si="21"/>
        <v>57485</v>
      </c>
      <c r="G68" s="443">
        <v>0</v>
      </c>
      <c r="H68" s="448">
        <v>57485</v>
      </c>
      <c r="I68" s="443">
        <v>71876</v>
      </c>
      <c r="J68" s="443">
        <v>79863</v>
      </c>
      <c r="K68" s="443">
        <v>87849</v>
      </c>
      <c r="L68" s="443">
        <v>118075</v>
      </c>
      <c r="M68" s="426">
        <f t="shared" si="1"/>
        <v>53</v>
      </c>
      <c r="N68" s="446" t="s">
        <v>1397</v>
      </c>
      <c r="O68" s="426" t="s">
        <v>1399</v>
      </c>
      <c r="P68" s="443">
        <v>124125</v>
      </c>
      <c r="Q68" s="443">
        <v>124125</v>
      </c>
      <c r="R68" s="443">
        <v>124125</v>
      </c>
      <c r="S68" s="443">
        <v>124125</v>
      </c>
      <c r="T68" s="443">
        <v>124125</v>
      </c>
      <c r="U68" s="443">
        <v>124125</v>
      </c>
      <c r="V68" s="443">
        <v>124125</v>
      </c>
      <c r="W68" s="443">
        <v>124125</v>
      </c>
      <c r="X68" s="443">
        <f t="shared" si="22"/>
        <v>1408201</v>
      </c>
      <c r="Y68" s="443">
        <f t="shared" si="23"/>
        <v>108323.15384615384</v>
      </c>
    </row>
    <row r="69" spans="1:25" s="420" customFormat="1">
      <c r="A69" s="426">
        <f t="shared" si="0"/>
        <v>54</v>
      </c>
      <c r="B69" s="446" t="s">
        <v>1398</v>
      </c>
      <c r="C69" s="426" t="s">
        <v>1399</v>
      </c>
      <c r="D69" s="443">
        <v>118672</v>
      </c>
      <c r="E69" s="449"/>
      <c r="F69" s="443">
        <f t="shared" si="21"/>
        <v>118672</v>
      </c>
      <c r="G69" s="443">
        <v>0</v>
      </c>
      <c r="H69" s="448">
        <v>118672</v>
      </c>
      <c r="I69" s="443">
        <v>118672</v>
      </c>
      <c r="J69" s="443">
        <v>159478</v>
      </c>
      <c r="K69" s="443">
        <v>159478</v>
      </c>
      <c r="L69" s="443">
        <v>195732</v>
      </c>
      <c r="M69" s="426">
        <f t="shared" si="1"/>
        <v>54</v>
      </c>
      <c r="N69" s="446" t="s">
        <v>1398</v>
      </c>
      <c r="O69" s="426" t="s">
        <v>1399</v>
      </c>
      <c r="P69" s="443">
        <v>195732</v>
      </c>
      <c r="Q69" s="443">
        <v>195732</v>
      </c>
      <c r="R69" s="443">
        <v>195732</v>
      </c>
      <c r="S69" s="443">
        <v>195732</v>
      </c>
      <c r="T69" s="443">
        <v>195732</v>
      </c>
      <c r="U69" s="443">
        <v>195732</v>
      </c>
      <c r="V69" s="443">
        <v>195732</v>
      </c>
      <c r="W69" s="443">
        <v>195732</v>
      </c>
      <c r="X69" s="443">
        <f t="shared" si="22"/>
        <v>2317942</v>
      </c>
      <c r="Y69" s="443">
        <f t="shared" si="23"/>
        <v>178303.23076923078</v>
      </c>
    </row>
    <row r="70" spans="1:25" s="420" customFormat="1">
      <c r="A70" s="426">
        <f t="shared" si="0"/>
        <v>55</v>
      </c>
      <c r="B70" s="446" t="s">
        <v>1400</v>
      </c>
      <c r="C70" s="426" t="s">
        <v>1399</v>
      </c>
      <c r="D70" s="443">
        <v>29742</v>
      </c>
      <c r="E70" s="449"/>
      <c r="F70" s="443">
        <f t="shared" si="21"/>
        <v>29742</v>
      </c>
      <c r="G70" s="443">
        <v>0</v>
      </c>
      <c r="H70" s="448">
        <v>29742</v>
      </c>
      <c r="I70" s="443">
        <v>29742</v>
      </c>
      <c r="J70" s="443">
        <v>39970</v>
      </c>
      <c r="K70" s="443">
        <v>39970</v>
      </c>
      <c r="L70" s="443">
        <v>49056</v>
      </c>
      <c r="M70" s="426">
        <f t="shared" si="1"/>
        <v>55</v>
      </c>
      <c r="N70" s="446" t="s">
        <v>1400</v>
      </c>
      <c r="O70" s="426" t="s">
        <v>1399</v>
      </c>
      <c r="P70" s="443">
        <v>49056</v>
      </c>
      <c r="Q70" s="443">
        <v>49056</v>
      </c>
      <c r="R70" s="443">
        <v>49056</v>
      </c>
      <c r="S70" s="443">
        <v>49056</v>
      </c>
      <c r="T70" s="443">
        <v>49056</v>
      </c>
      <c r="U70" s="443">
        <v>49056</v>
      </c>
      <c r="V70" s="443">
        <v>49056</v>
      </c>
      <c r="W70" s="443">
        <v>49056</v>
      </c>
      <c r="X70" s="443">
        <f t="shared" si="22"/>
        <v>580983</v>
      </c>
      <c r="Y70" s="443">
        <f t="shared" si="23"/>
        <v>44691</v>
      </c>
    </row>
    <row r="71" spans="1:25" s="420" customFormat="1">
      <c r="A71" s="426">
        <f t="shared" si="0"/>
        <v>56</v>
      </c>
      <c r="B71" s="446" t="s">
        <v>1401</v>
      </c>
      <c r="C71" s="426" t="s">
        <v>1399</v>
      </c>
      <c r="D71" s="443">
        <v>55536</v>
      </c>
      <c r="E71" s="449"/>
      <c r="F71" s="443">
        <f t="shared" si="21"/>
        <v>55536</v>
      </c>
      <c r="G71" s="443">
        <v>0</v>
      </c>
      <c r="H71" s="448">
        <v>55536</v>
      </c>
      <c r="I71" s="443">
        <v>40153</v>
      </c>
      <c r="J71" s="443">
        <v>38244</v>
      </c>
      <c r="K71" s="443">
        <v>43736</v>
      </c>
      <c r="L71" s="443">
        <v>55650</v>
      </c>
      <c r="M71" s="426">
        <f t="shared" si="1"/>
        <v>56</v>
      </c>
      <c r="N71" s="446" t="s">
        <v>1401</v>
      </c>
      <c r="O71" s="426" t="s">
        <v>1399</v>
      </c>
      <c r="P71" s="443">
        <v>102177</v>
      </c>
      <c r="Q71" s="443">
        <v>102177</v>
      </c>
      <c r="R71" s="443">
        <v>102177</v>
      </c>
      <c r="S71" s="443">
        <v>102177</v>
      </c>
      <c r="T71" s="443">
        <v>102177</v>
      </c>
      <c r="U71" s="443">
        <v>102177</v>
      </c>
      <c r="V71" s="443">
        <v>102177</v>
      </c>
      <c r="W71" s="443">
        <v>102177</v>
      </c>
      <c r="X71" s="443">
        <f t="shared" si="22"/>
        <v>1050791</v>
      </c>
      <c r="Y71" s="443">
        <f t="shared" si="23"/>
        <v>80830.076923076922</v>
      </c>
    </row>
    <row r="72" spans="1:25" s="420" customFormat="1">
      <c r="A72" s="426">
        <f t="shared" si="0"/>
        <v>57</v>
      </c>
      <c r="B72" s="446" t="s">
        <v>1957</v>
      </c>
      <c r="C72" s="426" t="s">
        <v>1399</v>
      </c>
      <c r="D72" s="443">
        <v>13919</v>
      </c>
      <c r="E72" s="449"/>
      <c r="F72" s="443">
        <f t="shared" si="21"/>
        <v>13919</v>
      </c>
      <c r="G72" s="443">
        <v>0</v>
      </c>
      <c r="H72" s="448">
        <v>13919</v>
      </c>
      <c r="I72" s="443">
        <v>10063</v>
      </c>
      <c r="J72" s="443">
        <v>9585</v>
      </c>
      <c r="K72" s="443">
        <v>10961</v>
      </c>
      <c r="L72" s="443">
        <v>13947</v>
      </c>
      <c r="M72" s="426">
        <f t="shared" si="1"/>
        <v>57</v>
      </c>
      <c r="N72" s="446" t="s">
        <v>1957</v>
      </c>
      <c r="O72" s="426" t="s">
        <v>1399</v>
      </c>
      <c r="P72" s="443">
        <v>25608</v>
      </c>
      <c r="Q72" s="443">
        <v>25608</v>
      </c>
      <c r="R72" s="443">
        <v>25608</v>
      </c>
      <c r="S72" s="443">
        <v>25608</v>
      </c>
      <c r="T72" s="443">
        <v>25608</v>
      </c>
      <c r="U72" s="443">
        <v>25608</v>
      </c>
      <c r="V72" s="443">
        <v>25608</v>
      </c>
      <c r="W72" s="443">
        <v>25608</v>
      </c>
      <c r="X72" s="443">
        <f t="shared" si="22"/>
        <v>263396</v>
      </c>
      <c r="Y72" s="443">
        <f t="shared" si="23"/>
        <v>20261.23076923077</v>
      </c>
    </row>
    <row r="73" spans="1:25" s="420" customFormat="1">
      <c r="A73" s="426">
        <f t="shared" si="0"/>
        <v>58</v>
      </c>
      <c r="B73" s="446" t="s">
        <v>1402</v>
      </c>
      <c r="C73" s="426" t="s">
        <v>1375</v>
      </c>
      <c r="D73" s="443">
        <v>-270025</v>
      </c>
      <c r="E73" s="449"/>
      <c r="F73" s="443">
        <f t="shared" si="21"/>
        <v>-270025</v>
      </c>
      <c r="G73" s="443">
        <v>0</v>
      </c>
      <c r="H73" s="448">
        <v>-270025</v>
      </c>
      <c r="I73" s="443">
        <v>-267397</v>
      </c>
      <c r="J73" s="443">
        <v>-264770</v>
      </c>
      <c r="K73" s="443">
        <v>-262142</v>
      </c>
      <c r="L73" s="443">
        <v>-254214</v>
      </c>
      <c r="M73" s="426">
        <f t="shared" si="1"/>
        <v>58</v>
      </c>
      <c r="N73" s="446" t="s">
        <v>1402</v>
      </c>
      <c r="O73" s="426" t="s">
        <v>1375</v>
      </c>
      <c r="P73" s="443">
        <v>-251475</v>
      </c>
      <c r="Q73" s="443">
        <v>-251475</v>
      </c>
      <c r="R73" s="443">
        <v>-251475</v>
      </c>
      <c r="S73" s="443">
        <v>-251475</v>
      </c>
      <c r="T73" s="443">
        <v>-251475</v>
      </c>
      <c r="U73" s="443">
        <v>-251475</v>
      </c>
      <c r="V73" s="443">
        <v>-251475</v>
      </c>
      <c r="W73" s="443">
        <v>-251475</v>
      </c>
      <c r="X73" s="443">
        <f t="shared" si="22"/>
        <v>-3330290</v>
      </c>
      <c r="Y73" s="443">
        <f t="shared" si="23"/>
        <v>-256176.15384615384</v>
      </c>
    </row>
    <row r="74" spans="1:25" s="420" customFormat="1">
      <c r="A74" s="426">
        <f t="shared" si="0"/>
        <v>59</v>
      </c>
      <c r="B74" s="446" t="s">
        <v>1403</v>
      </c>
      <c r="C74" s="426" t="s">
        <v>1375</v>
      </c>
      <c r="D74" s="443">
        <v>-67675</v>
      </c>
      <c r="E74" s="449"/>
      <c r="F74" s="443">
        <f t="shared" si="21"/>
        <v>-67675</v>
      </c>
      <c r="G74" s="443">
        <v>0</v>
      </c>
      <c r="H74" s="448">
        <v>-67675</v>
      </c>
      <c r="I74" s="443">
        <v>-67017</v>
      </c>
      <c r="J74" s="443">
        <v>-66358</v>
      </c>
      <c r="K74" s="443">
        <v>-65700</v>
      </c>
      <c r="L74" s="443">
        <v>-63713</v>
      </c>
      <c r="M74" s="426">
        <f t="shared" si="1"/>
        <v>59</v>
      </c>
      <c r="N74" s="446" t="s">
        <v>1403</v>
      </c>
      <c r="O74" s="426" t="s">
        <v>1375</v>
      </c>
      <c r="P74" s="443">
        <v>-63026</v>
      </c>
      <c r="Q74" s="443">
        <v>-63026</v>
      </c>
      <c r="R74" s="443">
        <v>-63026</v>
      </c>
      <c r="S74" s="443">
        <v>-63026</v>
      </c>
      <c r="T74" s="443">
        <v>-63026</v>
      </c>
      <c r="U74" s="443">
        <v>-63026</v>
      </c>
      <c r="V74" s="443">
        <v>-63026</v>
      </c>
      <c r="W74" s="443">
        <v>-63026</v>
      </c>
      <c r="X74" s="443">
        <f t="shared" si="22"/>
        <v>-834612</v>
      </c>
      <c r="Y74" s="443">
        <f t="shared" si="23"/>
        <v>-64200.923076923078</v>
      </c>
    </row>
    <row r="75" spans="1:25" s="420" customFormat="1">
      <c r="A75" s="426">
        <f t="shared" si="0"/>
        <v>60</v>
      </c>
      <c r="B75" s="446" t="s">
        <v>1404</v>
      </c>
      <c r="C75" s="426" t="s">
        <v>1375</v>
      </c>
      <c r="D75" s="443">
        <v>11958</v>
      </c>
      <c r="E75" s="449"/>
      <c r="F75" s="443">
        <f t="shared" si="21"/>
        <v>11958</v>
      </c>
      <c r="G75" s="443">
        <v>0</v>
      </c>
      <c r="H75" s="448">
        <v>11958</v>
      </c>
      <c r="I75" s="443">
        <v>11520</v>
      </c>
      <c r="J75" s="443">
        <v>11976</v>
      </c>
      <c r="K75" s="443">
        <v>13856</v>
      </c>
      <c r="L75" s="443">
        <v>14522</v>
      </c>
      <c r="M75" s="426">
        <f t="shared" si="1"/>
        <v>60</v>
      </c>
      <c r="N75" s="446" t="s">
        <v>1404</v>
      </c>
      <c r="O75" s="426" t="s">
        <v>1375</v>
      </c>
      <c r="P75" s="443">
        <v>15685</v>
      </c>
      <c r="Q75" s="443">
        <v>15685</v>
      </c>
      <c r="R75" s="443">
        <v>15685</v>
      </c>
      <c r="S75" s="443">
        <v>15685</v>
      </c>
      <c r="T75" s="443">
        <v>15685</v>
      </c>
      <c r="U75" s="443">
        <v>15685</v>
      </c>
      <c r="V75" s="443">
        <v>15685</v>
      </c>
      <c r="W75" s="443">
        <v>15685</v>
      </c>
      <c r="X75" s="443">
        <f t="shared" si="22"/>
        <v>189372</v>
      </c>
      <c r="Y75" s="443">
        <f t="shared" si="23"/>
        <v>14567.076923076924</v>
      </c>
    </row>
    <row r="76" spans="1:25" s="420" customFormat="1">
      <c r="A76" s="426">
        <f t="shared" si="0"/>
        <v>61</v>
      </c>
      <c r="B76" s="446" t="s">
        <v>1405</v>
      </c>
      <c r="C76" s="426" t="s">
        <v>1375</v>
      </c>
      <c r="D76" s="443">
        <v>2997</v>
      </c>
      <c r="E76" s="449"/>
      <c r="F76" s="443">
        <f t="shared" si="21"/>
        <v>2997</v>
      </c>
      <c r="G76" s="443">
        <v>0</v>
      </c>
      <c r="H76" s="448">
        <v>2997</v>
      </c>
      <c r="I76" s="443">
        <v>2887</v>
      </c>
      <c r="J76" s="443">
        <v>3002</v>
      </c>
      <c r="K76" s="443">
        <v>3473</v>
      </c>
      <c r="L76" s="443">
        <v>3640</v>
      </c>
      <c r="M76" s="426">
        <f t="shared" si="1"/>
        <v>61</v>
      </c>
      <c r="N76" s="446" t="s">
        <v>1405</v>
      </c>
      <c r="O76" s="426" t="s">
        <v>1375</v>
      </c>
      <c r="P76" s="443">
        <v>3931</v>
      </c>
      <c r="Q76" s="443">
        <v>3931</v>
      </c>
      <c r="R76" s="443">
        <v>3931</v>
      </c>
      <c r="S76" s="443">
        <v>3931</v>
      </c>
      <c r="T76" s="443">
        <v>3931</v>
      </c>
      <c r="U76" s="443">
        <v>3931</v>
      </c>
      <c r="V76" s="443">
        <v>3931</v>
      </c>
      <c r="W76" s="443">
        <v>3931</v>
      </c>
      <c r="X76" s="443">
        <f t="shared" si="22"/>
        <v>47508</v>
      </c>
      <c r="Y76" s="443">
        <f t="shared" si="23"/>
        <v>3654.4615384615386</v>
      </c>
    </row>
    <row r="77" spans="1:25" s="420" customFormat="1">
      <c r="A77" s="426">
        <f t="shared" si="0"/>
        <v>62</v>
      </c>
      <c r="B77" s="446" t="s">
        <v>1406</v>
      </c>
      <c r="C77" s="426" t="s">
        <v>1375</v>
      </c>
      <c r="D77" s="443">
        <v>44607</v>
      </c>
      <c r="E77" s="449"/>
      <c r="F77" s="443">
        <f t="shared" si="21"/>
        <v>44607</v>
      </c>
      <c r="G77" s="443">
        <v>0</v>
      </c>
      <c r="H77" s="448">
        <v>44607</v>
      </c>
      <c r="I77" s="443">
        <v>10728</v>
      </c>
      <c r="J77" s="443">
        <v>-26387</v>
      </c>
      <c r="K77" s="443">
        <v>-74346</v>
      </c>
      <c r="L77" s="443">
        <v>-62608</v>
      </c>
      <c r="M77" s="426">
        <f t="shared" si="1"/>
        <v>62</v>
      </c>
      <c r="N77" s="446" t="s">
        <v>1406</v>
      </c>
      <c r="O77" s="426" t="s">
        <v>1375</v>
      </c>
      <c r="P77" s="443">
        <v>126580</v>
      </c>
      <c r="Q77" s="443">
        <v>126580</v>
      </c>
      <c r="R77" s="443">
        <v>126580</v>
      </c>
      <c r="S77" s="443">
        <v>126580</v>
      </c>
      <c r="T77" s="443">
        <v>126580</v>
      </c>
      <c r="U77" s="443">
        <v>126580</v>
      </c>
      <c r="V77" s="443">
        <v>126580</v>
      </c>
      <c r="W77" s="443">
        <v>126580</v>
      </c>
      <c r="X77" s="443">
        <f t="shared" si="22"/>
        <v>904696</v>
      </c>
      <c r="Y77" s="443">
        <f t="shared" si="23"/>
        <v>69592</v>
      </c>
    </row>
    <row r="78" spans="1:25" s="420" customFormat="1">
      <c r="A78" s="426">
        <f t="shared" si="0"/>
        <v>63</v>
      </c>
      <c r="B78" s="446" t="s">
        <v>1407</v>
      </c>
      <c r="C78" s="426" t="s">
        <v>1375</v>
      </c>
      <c r="D78" s="443">
        <v>11180</v>
      </c>
      <c r="E78" s="449"/>
      <c r="F78" s="443">
        <f t="shared" si="21"/>
        <v>11180</v>
      </c>
      <c r="G78" s="443">
        <v>0</v>
      </c>
      <c r="H78" s="448">
        <v>11180</v>
      </c>
      <c r="I78" s="443">
        <v>2689</v>
      </c>
      <c r="J78" s="443">
        <v>-6613</v>
      </c>
      <c r="K78" s="443">
        <v>-18633</v>
      </c>
      <c r="L78" s="443">
        <v>-15691</v>
      </c>
      <c r="M78" s="426">
        <f t="shared" si="1"/>
        <v>63</v>
      </c>
      <c r="N78" s="446" t="s">
        <v>1407</v>
      </c>
      <c r="O78" s="426" t="s">
        <v>1375</v>
      </c>
      <c r="P78" s="443">
        <v>31724</v>
      </c>
      <c r="Q78" s="443">
        <v>31724</v>
      </c>
      <c r="R78" s="443">
        <v>31724</v>
      </c>
      <c r="S78" s="443">
        <v>31724</v>
      </c>
      <c r="T78" s="443">
        <v>31724</v>
      </c>
      <c r="U78" s="443">
        <v>31724</v>
      </c>
      <c r="V78" s="443">
        <v>31724</v>
      </c>
      <c r="W78" s="443">
        <v>31724</v>
      </c>
      <c r="X78" s="443">
        <f t="shared" si="22"/>
        <v>226787</v>
      </c>
      <c r="Y78" s="443">
        <f t="shared" si="23"/>
        <v>17445.153846153848</v>
      </c>
    </row>
    <row r="79" spans="1:25" s="420" customFormat="1">
      <c r="A79" s="426">
        <f t="shared" si="0"/>
        <v>64</v>
      </c>
      <c r="B79" s="446" t="s">
        <v>1408</v>
      </c>
      <c r="C79" s="426" t="s">
        <v>1375</v>
      </c>
      <c r="D79" s="443">
        <v>59659</v>
      </c>
      <c r="E79" s="449"/>
      <c r="F79" s="443">
        <f t="shared" si="21"/>
        <v>59659</v>
      </c>
      <c r="G79" s="443">
        <v>0</v>
      </c>
      <c r="H79" s="448">
        <v>59659</v>
      </c>
      <c r="I79" s="443">
        <v>55761</v>
      </c>
      <c r="J79" s="443">
        <v>57948</v>
      </c>
      <c r="K79" s="443">
        <v>53761</v>
      </c>
      <c r="L79" s="443">
        <v>49553</v>
      </c>
      <c r="M79" s="426">
        <f t="shared" si="1"/>
        <v>64</v>
      </c>
      <c r="N79" s="446" t="s">
        <v>1408</v>
      </c>
      <c r="O79" s="426" t="s">
        <v>1375</v>
      </c>
      <c r="P79" s="443">
        <v>-29156</v>
      </c>
      <c r="Q79" s="443">
        <v>-29156</v>
      </c>
      <c r="R79" s="443">
        <v>-29156</v>
      </c>
      <c r="S79" s="443">
        <v>-29156</v>
      </c>
      <c r="T79" s="443">
        <v>-29156</v>
      </c>
      <c r="U79" s="443">
        <v>-29156</v>
      </c>
      <c r="V79" s="443">
        <v>-29156</v>
      </c>
      <c r="W79" s="443">
        <v>-29156</v>
      </c>
      <c r="X79" s="443">
        <f t="shared" si="22"/>
        <v>43498</v>
      </c>
      <c r="Y79" s="443">
        <f t="shared" si="23"/>
        <v>3346</v>
      </c>
    </row>
    <row r="80" spans="1:25" s="420" customFormat="1">
      <c r="A80" s="426">
        <f t="shared" si="0"/>
        <v>65</v>
      </c>
      <c r="B80" s="446" t="s">
        <v>1409</v>
      </c>
      <c r="C80" s="426" t="s">
        <v>1375</v>
      </c>
      <c r="D80" s="443">
        <v>14953</v>
      </c>
      <c r="E80" s="449"/>
      <c r="F80" s="443">
        <f t="shared" si="21"/>
        <v>14953</v>
      </c>
      <c r="G80" s="443">
        <v>0</v>
      </c>
      <c r="H80" s="448">
        <v>14953</v>
      </c>
      <c r="I80" s="443">
        <v>13976</v>
      </c>
      <c r="J80" s="443">
        <v>14523</v>
      </c>
      <c r="K80" s="443">
        <v>13474</v>
      </c>
      <c r="L80" s="443">
        <v>12419</v>
      </c>
      <c r="M80" s="426">
        <f t="shared" si="1"/>
        <v>65</v>
      </c>
      <c r="N80" s="446" t="s">
        <v>1409</v>
      </c>
      <c r="O80" s="426" t="s">
        <v>1375</v>
      </c>
      <c r="P80" s="443">
        <v>-7307</v>
      </c>
      <c r="Q80" s="443">
        <v>-7307</v>
      </c>
      <c r="R80" s="443">
        <v>-7307</v>
      </c>
      <c r="S80" s="443">
        <v>-7307</v>
      </c>
      <c r="T80" s="443">
        <v>-7307</v>
      </c>
      <c r="U80" s="443">
        <v>-7307</v>
      </c>
      <c r="V80" s="443">
        <v>-7307</v>
      </c>
      <c r="W80" s="443">
        <v>-7307</v>
      </c>
      <c r="X80" s="443">
        <f t="shared" si="22"/>
        <v>10954</v>
      </c>
      <c r="Y80" s="443">
        <f t="shared" si="23"/>
        <v>842.61538461538464</v>
      </c>
    </row>
    <row r="81" spans="1:25" s="420" customFormat="1">
      <c r="A81" s="426">
        <f>A80+1</f>
        <v>66</v>
      </c>
      <c r="B81" s="446" t="s">
        <v>1410</v>
      </c>
      <c r="C81" s="426" t="s">
        <v>1375</v>
      </c>
      <c r="D81" s="443">
        <v>7339</v>
      </c>
      <c r="E81" s="449"/>
      <c r="F81" s="443">
        <f t="shared" si="21"/>
        <v>7339</v>
      </c>
      <c r="G81" s="443">
        <v>0</v>
      </c>
      <c r="H81" s="448">
        <v>7339</v>
      </c>
      <c r="I81" s="443">
        <v>7055</v>
      </c>
      <c r="J81" s="443">
        <v>6771</v>
      </c>
      <c r="K81" s="443">
        <v>6487</v>
      </c>
      <c r="L81" s="443">
        <v>6203</v>
      </c>
      <c r="M81" s="426">
        <f>M80+1</f>
        <v>66</v>
      </c>
      <c r="N81" s="446" t="s">
        <v>1410</v>
      </c>
      <c r="O81" s="426" t="s">
        <v>1375</v>
      </c>
      <c r="P81" s="443">
        <v>6043</v>
      </c>
      <c r="Q81" s="443">
        <v>6043</v>
      </c>
      <c r="R81" s="443">
        <v>6043</v>
      </c>
      <c r="S81" s="443">
        <v>6043</v>
      </c>
      <c r="T81" s="443">
        <v>6043</v>
      </c>
      <c r="U81" s="443">
        <v>6043</v>
      </c>
      <c r="V81" s="443">
        <v>6043</v>
      </c>
      <c r="W81" s="443">
        <v>6043</v>
      </c>
      <c r="X81" s="443">
        <f t="shared" si="22"/>
        <v>82265</v>
      </c>
      <c r="Y81" s="443">
        <f t="shared" si="23"/>
        <v>6328.0769230769229</v>
      </c>
    </row>
    <row r="82" spans="1:25" s="420" customFormat="1">
      <c r="A82" s="426">
        <f>A81+1</f>
        <v>67</v>
      </c>
      <c r="B82" s="446" t="s">
        <v>1411</v>
      </c>
      <c r="C82" s="426" t="s">
        <v>1375</v>
      </c>
      <c r="D82" s="443">
        <v>4276</v>
      </c>
      <c r="E82" s="449"/>
      <c r="F82" s="443">
        <f t="shared" si="21"/>
        <v>4276</v>
      </c>
      <c r="G82" s="443">
        <v>0</v>
      </c>
      <c r="H82" s="448">
        <v>4276</v>
      </c>
      <c r="I82" s="443">
        <v>4205</v>
      </c>
      <c r="J82" s="443">
        <v>4133</v>
      </c>
      <c r="K82" s="443">
        <v>4062</v>
      </c>
      <c r="L82" s="443">
        <v>3991</v>
      </c>
      <c r="M82" s="426">
        <f>M81+1</f>
        <v>67</v>
      </c>
      <c r="N82" s="446" t="s">
        <v>1411</v>
      </c>
      <c r="O82" s="426" t="s">
        <v>1375</v>
      </c>
      <c r="P82" s="443">
        <v>3951</v>
      </c>
      <c r="Q82" s="443">
        <v>3951</v>
      </c>
      <c r="R82" s="443">
        <v>3951</v>
      </c>
      <c r="S82" s="443">
        <v>3951</v>
      </c>
      <c r="T82" s="443">
        <v>3951</v>
      </c>
      <c r="U82" s="443">
        <v>3951</v>
      </c>
      <c r="V82" s="443">
        <v>3951</v>
      </c>
      <c r="W82" s="443">
        <v>3951</v>
      </c>
      <c r="X82" s="443">
        <f t="shared" si="22"/>
        <v>52342</v>
      </c>
      <c r="Y82" s="443">
        <f t="shared" si="23"/>
        <v>4026.3076923076924</v>
      </c>
    </row>
    <row r="83" spans="1:25" s="420" customFormat="1">
      <c r="A83" s="426">
        <f>A82+1</f>
        <v>68</v>
      </c>
      <c r="B83" s="446" t="s">
        <v>1412</v>
      </c>
      <c r="C83" s="426" t="s">
        <v>1375</v>
      </c>
      <c r="D83" s="443">
        <v>6331506</v>
      </c>
      <c r="E83" s="449"/>
      <c r="F83" s="443">
        <f t="shared" si="21"/>
        <v>6331506</v>
      </c>
      <c r="G83" s="443">
        <v>0</v>
      </c>
      <c r="H83" s="448">
        <v>6331506</v>
      </c>
      <c r="I83" s="443">
        <v>6308298</v>
      </c>
      <c r="J83" s="443">
        <v>6285089</v>
      </c>
      <c r="K83" s="443">
        <v>6261880</v>
      </c>
      <c r="L83" s="443">
        <v>6344930</v>
      </c>
      <c r="M83" s="426">
        <f>M82+1</f>
        <v>68</v>
      </c>
      <c r="N83" s="446" t="s">
        <v>1412</v>
      </c>
      <c r="O83" s="426" t="s">
        <v>1375</v>
      </c>
      <c r="P83" s="443">
        <v>6334902</v>
      </c>
      <c r="Q83" s="443">
        <v>6334902</v>
      </c>
      <c r="R83" s="443">
        <v>6334902</v>
      </c>
      <c r="S83" s="443">
        <v>6334902</v>
      </c>
      <c r="T83" s="443">
        <v>6334902</v>
      </c>
      <c r="U83" s="443">
        <v>6334902</v>
      </c>
      <c r="V83" s="443">
        <v>6334902</v>
      </c>
      <c r="W83" s="443">
        <v>6334902</v>
      </c>
      <c r="X83" s="443">
        <f t="shared" si="22"/>
        <v>82210987</v>
      </c>
      <c r="Y83" s="443">
        <f t="shared" si="23"/>
        <v>6323922.076923077</v>
      </c>
    </row>
    <row r="84" spans="1:25" s="420" customFormat="1">
      <c r="A84" s="426">
        <f>A83+1</f>
        <v>69</v>
      </c>
      <c r="B84" s="446" t="s">
        <v>1413</v>
      </c>
      <c r="C84" s="426" t="s">
        <v>1375</v>
      </c>
      <c r="D84" s="443">
        <v>2165941</v>
      </c>
      <c r="E84" s="449"/>
      <c r="F84" s="443">
        <f t="shared" si="21"/>
        <v>2165941</v>
      </c>
      <c r="G84" s="443">
        <v>0</v>
      </c>
      <c r="H84" s="448">
        <v>2165941</v>
      </c>
      <c r="I84" s="443">
        <v>2160125</v>
      </c>
      <c r="J84" s="443">
        <v>2154308</v>
      </c>
      <c r="K84" s="443">
        <v>2148491</v>
      </c>
      <c r="L84" s="443">
        <v>2169306</v>
      </c>
      <c r="M84" s="426">
        <f>M83+1</f>
        <v>69</v>
      </c>
      <c r="N84" s="446" t="s">
        <v>1413</v>
      </c>
      <c r="O84" s="426" t="s">
        <v>1375</v>
      </c>
      <c r="P84" s="443">
        <v>2166793</v>
      </c>
      <c r="Q84" s="443">
        <v>2166793</v>
      </c>
      <c r="R84" s="443">
        <v>2166793</v>
      </c>
      <c r="S84" s="443">
        <v>2166793</v>
      </c>
      <c r="T84" s="443">
        <v>2166793</v>
      </c>
      <c r="U84" s="443">
        <v>2166793</v>
      </c>
      <c r="V84" s="443">
        <v>2166793</v>
      </c>
      <c r="W84" s="443">
        <v>2166793</v>
      </c>
      <c r="X84" s="443">
        <f t="shared" si="22"/>
        <v>28132584</v>
      </c>
      <c r="Y84" s="443">
        <f t="shared" si="23"/>
        <v>2164044.923076923</v>
      </c>
    </row>
    <row r="85" spans="1:25" s="218" customFormat="1">
      <c r="A85" s="219">
        <f t="shared" ref="A85:A180" si="24">A84+1</f>
        <v>70</v>
      </c>
      <c r="B85" s="274" t="s">
        <v>1414</v>
      </c>
      <c r="C85" s="426"/>
      <c r="D85" s="451">
        <f>SUM(D45:D84)</f>
        <v>19786800</v>
      </c>
      <c r="E85" s="282"/>
      <c r="F85" s="451">
        <f t="shared" ref="F85:Y85" si="25">SUM(F45:F84)</f>
        <v>19786800</v>
      </c>
      <c r="G85" s="451">
        <f t="shared" si="25"/>
        <v>0</v>
      </c>
      <c r="H85" s="451">
        <f t="shared" si="25"/>
        <v>19786800</v>
      </c>
      <c r="I85" s="451">
        <f t="shared" si="25"/>
        <v>19960200</v>
      </c>
      <c r="J85" s="451">
        <f t="shared" si="25"/>
        <v>19947689</v>
      </c>
      <c r="K85" s="451">
        <f t="shared" si="25"/>
        <v>19699018</v>
      </c>
      <c r="L85" s="451">
        <f t="shared" si="25"/>
        <v>20493262</v>
      </c>
      <c r="M85" s="219">
        <f t="shared" ref="M85:M179" si="26">M84+1</f>
        <v>70</v>
      </c>
      <c r="N85" s="274" t="s">
        <v>1414</v>
      </c>
      <c r="O85" s="426"/>
      <c r="P85" s="451">
        <f>SUM(P45:P84)</f>
        <v>20138902</v>
      </c>
      <c r="Q85" s="451">
        <f>SUM(Q45:Q84)</f>
        <v>19439716.166666668</v>
      </c>
      <c r="R85" s="451">
        <f t="shared" si="25"/>
        <v>18740530.333333336</v>
      </c>
      <c r="S85" s="451">
        <f t="shared" si="25"/>
        <v>18041344.5</v>
      </c>
      <c r="T85" s="451">
        <f t="shared" si="25"/>
        <v>17342158.666666668</v>
      </c>
      <c r="U85" s="451">
        <f t="shared" si="25"/>
        <v>16642972.833333336</v>
      </c>
      <c r="V85" s="451">
        <f t="shared" si="25"/>
        <v>15943787.000000002</v>
      </c>
      <c r="W85" s="451">
        <f t="shared" si="25"/>
        <v>15244601.166666668</v>
      </c>
      <c r="X85" s="451">
        <f t="shared" si="25"/>
        <v>241422961.66666669</v>
      </c>
      <c r="Y85" s="451">
        <f t="shared" si="25"/>
        <v>18570997.051282052</v>
      </c>
    </row>
    <row r="86" spans="1:25" s="218" customFormat="1">
      <c r="A86" s="219"/>
      <c r="C86" s="426"/>
      <c r="D86" s="448"/>
      <c r="E86" s="282"/>
      <c r="F86" s="448"/>
      <c r="G86" s="448"/>
      <c r="H86" s="448"/>
      <c r="I86" s="448"/>
      <c r="J86" s="448"/>
      <c r="K86" s="448"/>
      <c r="L86" s="448"/>
      <c r="M86" s="219"/>
      <c r="O86" s="426"/>
      <c r="P86" s="448"/>
      <c r="Q86" s="448"/>
      <c r="R86" s="448"/>
      <c r="S86" s="448"/>
      <c r="T86" s="448"/>
      <c r="U86" s="448"/>
      <c r="V86" s="448"/>
      <c r="W86" s="448"/>
      <c r="X86" s="448"/>
      <c r="Y86" s="448"/>
    </row>
    <row r="87" spans="1:25">
      <c r="A87" s="1306" t="str">
        <f>'General Headers Index'!$B$4</f>
        <v>COLUMBIA GAS OF KENTUCKY, INC.</v>
      </c>
      <c r="B87" s="1306"/>
      <c r="C87" s="1306"/>
      <c r="D87" s="1306"/>
      <c r="E87" s="1306"/>
      <c r="F87" s="1306"/>
      <c r="G87" s="1306"/>
      <c r="H87" s="1306"/>
      <c r="I87" s="1306"/>
      <c r="J87" s="1306"/>
      <c r="K87" s="1306"/>
      <c r="L87" s="1306"/>
      <c r="M87" s="1306" t="str">
        <f>$A$1</f>
        <v>COLUMBIA GAS OF KENTUCKY, INC.</v>
      </c>
      <c r="N87" s="1306"/>
      <c r="O87" s="1306"/>
      <c r="P87" s="1306"/>
      <c r="Q87" s="1306"/>
      <c r="R87" s="1306"/>
      <c r="S87" s="1306"/>
      <c r="T87" s="1306"/>
      <c r="U87" s="1306"/>
      <c r="V87" s="1306"/>
      <c r="W87" s="1306"/>
      <c r="X87" s="1306"/>
      <c r="Y87" s="1306"/>
    </row>
    <row r="88" spans="1:25">
      <c r="A88" s="1306" t="str">
        <f>'General Headers Index'!$B$6</f>
        <v>CASE NO. 2024 - 00092</v>
      </c>
      <c r="B88" s="1306"/>
      <c r="C88" s="1306"/>
      <c r="D88" s="1306"/>
      <c r="E88" s="1306"/>
      <c r="F88" s="1306"/>
      <c r="G88" s="1306"/>
      <c r="H88" s="1306"/>
      <c r="I88" s="1306"/>
      <c r="J88" s="1306"/>
      <c r="K88" s="1306"/>
      <c r="L88" s="1306"/>
      <c r="M88" s="1306" t="str">
        <f>$A$2</f>
        <v>CASE NO. 2024 - 00092</v>
      </c>
      <c r="N88" s="1306"/>
      <c r="O88" s="1306"/>
      <c r="P88" s="1306"/>
      <c r="Q88" s="1306"/>
      <c r="R88" s="1306"/>
      <c r="S88" s="1306"/>
      <c r="T88" s="1306"/>
      <c r="U88" s="1306"/>
      <c r="V88" s="1306"/>
      <c r="W88" s="1306"/>
      <c r="X88" s="1306"/>
      <c r="Y88" s="1306"/>
    </row>
    <row r="89" spans="1:25">
      <c r="A89" s="1306" t="s">
        <v>556</v>
      </c>
      <c r="B89" s="1306"/>
      <c r="C89" s="1306"/>
      <c r="D89" s="1306"/>
      <c r="E89" s="1306"/>
      <c r="F89" s="1306"/>
      <c r="G89" s="1306"/>
      <c r="H89" s="1306"/>
      <c r="I89" s="1306"/>
      <c r="J89" s="1306"/>
      <c r="K89" s="1306"/>
      <c r="L89" s="1306"/>
      <c r="M89" s="1306" t="str">
        <f>$A$3</f>
        <v>DEFERRED CREDITS AND ACCUMULATED DEFERRED INCOME TAXES</v>
      </c>
      <c r="N89" s="1306"/>
      <c r="O89" s="1306"/>
      <c r="P89" s="1306"/>
      <c r="Q89" s="1306"/>
      <c r="R89" s="1306"/>
      <c r="S89" s="1306"/>
      <c r="T89" s="1306"/>
      <c r="U89" s="1306"/>
      <c r="V89" s="1306"/>
      <c r="W89" s="1306"/>
      <c r="X89" s="1306"/>
      <c r="Y89" s="1306"/>
    </row>
    <row r="90" spans="1:25">
      <c r="A90" s="1306" t="str">
        <f>'General Headers Index'!$B$10</f>
        <v>AS OF AUGUST 31, 2024</v>
      </c>
      <c r="B90" s="1306"/>
      <c r="C90" s="1306"/>
      <c r="D90" s="1306"/>
      <c r="E90" s="1306"/>
      <c r="F90" s="1306"/>
      <c r="G90" s="1306"/>
      <c r="H90" s="1306"/>
      <c r="I90" s="1306"/>
      <c r="J90" s="1306"/>
      <c r="K90" s="1306"/>
      <c r="L90" s="1306"/>
      <c r="M90" s="1306" t="str">
        <f>$A$4</f>
        <v>AS OF AUGUST 31, 2024</v>
      </c>
      <c r="N90" s="1306"/>
      <c r="O90" s="1306"/>
      <c r="P90" s="1306"/>
      <c r="Q90" s="1306"/>
      <c r="R90" s="1306"/>
      <c r="S90" s="1306"/>
      <c r="T90" s="1306"/>
      <c r="U90" s="1306"/>
      <c r="V90" s="1306"/>
      <c r="W90" s="1306"/>
      <c r="X90" s="1306"/>
      <c r="Y90" s="1306"/>
    </row>
    <row r="91" spans="1:25">
      <c r="A91" s="238"/>
      <c r="B91" s="238"/>
      <c r="C91" s="238"/>
      <c r="D91" s="238"/>
      <c r="E91" s="238"/>
      <c r="F91" s="238"/>
      <c r="G91" s="238"/>
      <c r="H91" s="238"/>
      <c r="I91" s="238"/>
      <c r="J91" s="238"/>
      <c r="K91" s="238"/>
      <c r="L91" s="238"/>
      <c r="M91" s="238"/>
      <c r="N91" s="238"/>
      <c r="O91" s="238"/>
      <c r="P91" s="238"/>
      <c r="Q91" s="238"/>
    </row>
    <row r="92" spans="1:25">
      <c r="A92" s="229" t="s">
        <v>2787</v>
      </c>
      <c r="L92" s="326" t="s">
        <v>1353</v>
      </c>
      <c r="M92" s="229" t="s">
        <v>2787</v>
      </c>
      <c r="Y92" s="326" t="s">
        <v>1353</v>
      </c>
    </row>
    <row r="93" spans="1:25">
      <c r="A93" s="229" t="s">
        <v>572</v>
      </c>
      <c r="B93" s="229"/>
      <c r="L93" s="326" t="s">
        <v>2946</v>
      </c>
      <c r="M93" s="229" t="s">
        <v>572</v>
      </c>
      <c r="N93" s="229"/>
      <c r="Y93" s="326" t="s">
        <v>2947</v>
      </c>
    </row>
    <row r="94" spans="1:25">
      <c r="A94" s="229" t="s">
        <v>575</v>
      </c>
      <c r="L94" s="326" t="str">
        <f>$L$8</f>
        <v>WITNESS: HARDING</v>
      </c>
      <c r="M94" s="229" t="s">
        <v>575</v>
      </c>
      <c r="Y94" s="271" t="str">
        <f>$Y$8</f>
        <v>WITNESS: HARDING</v>
      </c>
    </row>
    <row r="95" spans="1:25">
      <c r="A95" s="229"/>
      <c r="M95" s="229"/>
      <c r="P95" s="326"/>
      <c r="Q95" s="229"/>
      <c r="Y95" s="271"/>
    </row>
    <row r="96" spans="1:25" s="217" customFormat="1">
      <c r="A96" s="439"/>
      <c r="B96" s="439"/>
      <c r="C96" s="424"/>
      <c r="D96" s="272" t="s">
        <v>1944</v>
      </c>
      <c r="E96" s="272"/>
      <c r="F96" s="272"/>
      <c r="G96" s="272"/>
      <c r="H96" s="272" t="s">
        <v>1944</v>
      </c>
      <c r="I96" s="272" t="s">
        <v>1945</v>
      </c>
      <c r="J96" s="272" t="s">
        <v>1946</v>
      </c>
      <c r="K96" s="272" t="s">
        <v>1947</v>
      </c>
      <c r="L96" s="272" t="s">
        <v>1948</v>
      </c>
      <c r="M96" s="439"/>
      <c r="N96" s="439"/>
      <c r="O96" s="424"/>
      <c r="P96" s="272" t="s">
        <v>1949</v>
      </c>
      <c r="Q96" s="272" t="s">
        <v>1950</v>
      </c>
      <c r="R96" s="272" t="s">
        <v>1951</v>
      </c>
      <c r="S96" s="272" t="s">
        <v>1952</v>
      </c>
      <c r="T96" s="272" t="s">
        <v>1953</v>
      </c>
      <c r="U96" s="272" t="s">
        <v>1954</v>
      </c>
      <c r="V96" s="272" t="s">
        <v>1955</v>
      </c>
      <c r="W96" s="272" t="s">
        <v>1956</v>
      </c>
      <c r="X96" s="439" t="s">
        <v>349</v>
      </c>
      <c r="Y96" s="440" t="s">
        <v>352</v>
      </c>
    </row>
    <row r="97" spans="1:25">
      <c r="A97" s="217" t="s">
        <v>313</v>
      </c>
      <c r="D97" s="217" t="s">
        <v>538</v>
      </c>
      <c r="E97" s="217" t="s">
        <v>78</v>
      </c>
      <c r="F97" s="217" t="s">
        <v>350</v>
      </c>
      <c r="G97" s="217"/>
      <c r="H97" s="217" t="s">
        <v>1354</v>
      </c>
      <c r="I97" s="217" t="s">
        <v>1354</v>
      </c>
      <c r="J97" s="217" t="s">
        <v>1354</v>
      </c>
      <c r="K97" s="217" t="s">
        <v>1354</v>
      </c>
      <c r="L97" s="217" t="s">
        <v>1354</v>
      </c>
      <c r="M97" s="217" t="s">
        <v>313</v>
      </c>
      <c r="P97" s="217" t="s">
        <v>1354</v>
      </c>
      <c r="Q97" s="217" t="s">
        <v>1354</v>
      </c>
      <c r="R97" s="217" t="s">
        <v>1354</v>
      </c>
      <c r="S97" s="217" t="s">
        <v>1354</v>
      </c>
      <c r="T97" s="217" t="s">
        <v>1354</v>
      </c>
      <c r="U97" s="217" t="s">
        <v>1354</v>
      </c>
      <c r="V97" s="217" t="s">
        <v>1354</v>
      </c>
      <c r="W97" s="217" t="s">
        <v>1354</v>
      </c>
      <c r="X97" s="217" t="s">
        <v>1354</v>
      </c>
      <c r="Y97" s="217" t="s">
        <v>312</v>
      </c>
    </row>
    <row r="98" spans="1:25">
      <c r="A98" s="846" t="s">
        <v>316</v>
      </c>
      <c r="B98" s="999" t="s">
        <v>451</v>
      </c>
      <c r="C98" s="847" t="s">
        <v>1355</v>
      </c>
      <c r="D98" s="846" t="s">
        <v>353</v>
      </c>
      <c r="E98" s="846" t="s">
        <v>529</v>
      </c>
      <c r="F98" s="846" t="s">
        <v>444</v>
      </c>
      <c r="G98" s="846" t="s">
        <v>433</v>
      </c>
      <c r="H98" s="846" t="s">
        <v>444</v>
      </c>
      <c r="I98" s="846" t="s">
        <v>444</v>
      </c>
      <c r="J98" s="846" t="s">
        <v>444</v>
      </c>
      <c r="K98" s="846" t="s">
        <v>444</v>
      </c>
      <c r="L98" s="846" t="s">
        <v>444</v>
      </c>
      <c r="M98" s="846" t="s">
        <v>316</v>
      </c>
      <c r="N98" s="999" t="s">
        <v>451</v>
      </c>
      <c r="O98" s="847" t="s">
        <v>1355</v>
      </c>
      <c r="P98" s="846" t="s">
        <v>444</v>
      </c>
      <c r="Q98" s="846" t="s">
        <v>444</v>
      </c>
      <c r="R98" s="846" t="s">
        <v>444</v>
      </c>
      <c r="S98" s="846" t="s">
        <v>444</v>
      </c>
      <c r="T98" s="846" t="s">
        <v>444</v>
      </c>
      <c r="U98" s="846" t="s">
        <v>444</v>
      </c>
      <c r="V98" s="846" t="s">
        <v>444</v>
      </c>
      <c r="W98" s="846" t="s">
        <v>444</v>
      </c>
      <c r="X98" s="846" t="s">
        <v>444</v>
      </c>
      <c r="Y98" s="846" t="s">
        <v>441</v>
      </c>
    </row>
    <row r="99" spans="1:25">
      <c r="A99" s="217"/>
      <c r="D99" s="300" t="s">
        <v>532</v>
      </c>
      <c r="E99" s="300" t="s">
        <v>541</v>
      </c>
      <c r="F99" s="300" t="s">
        <v>542</v>
      </c>
      <c r="G99" s="300" t="s">
        <v>668</v>
      </c>
      <c r="H99" s="300" t="s">
        <v>669</v>
      </c>
      <c r="I99" s="300" t="s">
        <v>670</v>
      </c>
      <c r="J99" s="300" t="s">
        <v>984</v>
      </c>
      <c r="K99" s="300" t="s">
        <v>985</v>
      </c>
      <c r="L99" s="300" t="s">
        <v>986</v>
      </c>
      <c r="M99" s="217"/>
      <c r="P99" s="300" t="s">
        <v>987</v>
      </c>
      <c r="Q99" s="300" t="s">
        <v>988</v>
      </c>
      <c r="R99" s="300" t="s">
        <v>989</v>
      </c>
      <c r="S99" s="300" t="s">
        <v>990</v>
      </c>
      <c r="T99" s="300" t="s">
        <v>991</v>
      </c>
      <c r="U99" s="300" t="s">
        <v>992</v>
      </c>
      <c r="V99" s="300" t="s">
        <v>993</v>
      </c>
      <c r="W99" s="300" t="s">
        <v>1356</v>
      </c>
      <c r="X99" s="300" t="s">
        <v>1357</v>
      </c>
      <c r="Y99" s="300" t="s">
        <v>1358</v>
      </c>
    </row>
    <row r="100" spans="1:25">
      <c r="A100" s="217"/>
      <c r="D100" s="300" t="s">
        <v>320</v>
      </c>
      <c r="E100" s="300"/>
      <c r="F100" s="300" t="s">
        <v>320</v>
      </c>
      <c r="G100" s="300" t="s">
        <v>320</v>
      </c>
      <c r="H100" s="300" t="s">
        <v>320</v>
      </c>
      <c r="I100" s="300" t="s">
        <v>320</v>
      </c>
      <c r="J100" s="300" t="s">
        <v>320</v>
      </c>
      <c r="K100" s="300" t="s">
        <v>320</v>
      </c>
      <c r="L100" s="300" t="s">
        <v>320</v>
      </c>
      <c r="M100" s="217"/>
      <c r="P100" s="300" t="s">
        <v>320</v>
      </c>
      <c r="Q100" s="300" t="s">
        <v>320</v>
      </c>
      <c r="R100" s="300" t="s">
        <v>320</v>
      </c>
      <c r="S100" s="300" t="s">
        <v>320</v>
      </c>
      <c r="T100" s="300" t="s">
        <v>320</v>
      </c>
      <c r="U100" s="300" t="s">
        <v>320</v>
      </c>
      <c r="V100" s="300" t="s">
        <v>320</v>
      </c>
      <c r="W100" s="300" t="s">
        <v>320</v>
      </c>
      <c r="X100" s="300" t="s">
        <v>320</v>
      </c>
      <c r="Y100" s="300" t="s">
        <v>320</v>
      </c>
    </row>
    <row r="101" spans="1:25">
      <c r="A101" s="217"/>
      <c r="D101" s="300"/>
      <c r="E101" s="300"/>
      <c r="F101" s="300"/>
      <c r="G101" s="300"/>
      <c r="H101" s="300"/>
      <c r="I101" s="300"/>
      <c r="J101" s="300"/>
      <c r="K101" s="300"/>
      <c r="L101" s="300"/>
      <c r="M101" s="217"/>
      <c r="P101" s="300"/>
      <c r="Q101" s="300"/>
      <c r="R101" s="300"/>
      <c r="S101" s="300"/>
      <c r="T101" s="300"/>
      <c r="U101" s="300"/>
      <c r="V101" s="300"/>
      <c r="W101" s="300"/>
      <c r="X101" s="300"/>
      <c r="Y101" s="300"/>
    </row>
    <row r="102" spans="1:25" s="218" customFormat="1">
      <c r="A102" s="219">
        <v>1</v>
      </c>
      <c r="B102" s="264" t="s">
        <v>1362</v>
      </c>
      <c r="C102" s="426"/>
      <c r="D102" s="448"/>
      <c r="F102" s="448"/>
      <c r="G102" s="448"/>
      <c r="H102" s="448"/>
      <c r="I102" s="448"/>
      <c r="J102" s="448"/>
      <c r="K102" s="448"/>
      <c r="L102" s="448"/>
      <c r="M102" s="219">
        <v>1</v>
      </c>
      <c r="N102" s="264" t="s">
        <v>1362</v>
      </c>
      <c r="O102" s="426"/>
      <c r="P102" s="448"/>
      <c r="Q102" s="448"/>
      <c r="R102" s="448"/>
      <c r="S102" s="448"/>
      <c r="T102" s="448"/>
      <c r="U102" s="448"/>
      <c r="V102" s="448"/>
      <c r="W102" s="448"/>
      <c r="X102" s="448"/>
      <c r="Y102" s="448"/>
    </row>
    <row r="103" spans="1:25" s="218" customFormat="1">
      <c r="A103" s="219">
        <f t="shared" si="24"/>
        <v>2</v>
      </c>
      <c r="B103" s="274" t="s">
        <v>1415</v>
      </c>
      <c r="C103" s="426" t="s">
        <v>1373</v>
      </c>
      <c r="D103" s="443">
        <v>-67673958</v>
      </c>
      <c r="E103" s="1003">
        <v>1</v>
      </c>
      <c r="F103" s="448">
        <f t="shared" ref="F103:F108" si="27">D103*$E$103</f>
        <v>-67673958</v>
      </c>
      <c r="G103" s="448">
        <v>0</v>
      </c>
      <c r="H103" s="443">
        <v>-67673958</v>
      </c>
      <c r="I103" s="443">
        <v>-67907866</v>
      </c>
      <c r="J103" s="448">
        <v>-68198599</v>
      </c>
      <c r="K103" s="448">
        <v>-68375686</v>
      </c>
      <c r="L103" s="448">
        <v>-72403429</v>
      </c>
      <c r="M103" s="219">
        <f t="shared" si="26"/>
        <v>2</v>
      </c>
      <c r="N103" s="274" t="s">
        <v>1415</v>
      </c>
      <c r="O103" s="426" t="s">
        <v>1373</v>
      </c>
      <c r="P103" s="448">
        <v>-72825280</v>
      </c>
      <c r="Q103" s="448">
        <v>-73250405.862307206</v>
      </c>
      <c r="R103" s="448">
        <v>-73675531.724614412</v>
      </c>
      <c r="S103" s="448">
        <v>-74100657.586921617</v>
      </c>
      <c r="T103" s="448">
        <v>-74525783.449228823</v>
      </c>
      <c r="U103" s="448">
        <v>-74950909.311536029</v>
      </c>
      <c r="V103" s="448">
        <v>-75376035.173843235</v>
      </c>
      <c r="W103" s="448">
        <v>-75801161.036150441</v>
      </c>
      <c r="X103" s="448">
        <f t="shared" ref="X103:X108" si="28">SUM(H103:W103)</f>
        <v>-939065300.1446017</v>
      </c>
      <c r="Y103" s="448">
        <f t="shared" ref="Y103:Y108" si="29">X103/13</f>
        <v>-72235792.318815514</v>
      </c>
    </row>
    <row r="104" spans="1:25" s="218" customFormat="1">
      <c r="A104" s="219">
        <f t="shared" si="24"/>
        <v>3</v>
      </c>
      <c r="B104" s="274" t="s">
        <v>1416</v>
      </c>
      <c r="C104" s="426" t="s">
        <v>1373</v>
      </c>
      <c r="D104" s="443">
        <v>-14824369</v>
      </c>
      <c r="F104" s="448">
        <f t="shared" si="27"/>
        <v>-14824369</v>
      </c>
      <c r="G104" s="448">
        <v>0</v>
      </c>
      <c r="H104" s="443">
        <v>-14824369</v>
      </c>
      <c r="I104" s="448">
        <v>-14901999</v>
      </c>
      <c r="J104" s="448">
        <v>-14709041</v>
      </c>
      <c r="K104" s="448">
        <v>-15057258</v>
      </c>
      <c r="L104" s="448">
        <v>-16090531</v>
      </c>
      <c r="M104" s="219">
        <f t="shared" si="26"/>
        <v>3</v>
      </c>
      <c r="N104" s="274" t="s">
        <v>1416</v>
      </c>
      <c r="O104" s="426" t="s">
        <v>1373</v>
      </c>
      <c r="P104" s="448">
        <v>-16212677</v>
      </c>
      <c r="Q104" s="448">
        <v>-16334822.666331379</v>
      </c>
      <c r="R104" s="448">
        <v>-16456968.332662757</v>
      </c>
      <c r="S104" s="448">
        <v>-16579113.998994136</v>
      </c>
      <c r="T104" s="448">
        <v>-16701259.665325515</v>
      </c>
      <c r="U104" s="448">
        <v>-16823405.331656896</v>
      </c>
      <c r="V104" s="448">
        <v>-16945550.997988276</v>
      </c>
      <c r="W104" s="448">
        <v>-17067696.664319657</v>
      </c>
      <c r="X104" s="448">
        <f t="shared" si="28"/>
        <v>-208704689.65727866</v>
      </c>
      <c r="Y104" s="448">
        <f t="shared" si="29"/>
        <v>-16054206.896713743</v>
      </c>
    </row>
    <row r="105" spans="1:25" s="218" customFormat="1">
      <c r="A105" s="219">
        <f t="shared" si="24"/>
        <v>4</v>
      </c>
      <c r="B105" s="1004" t="s">
        <v>1417</v>
      </c>
      <c r="C105" s="426" t="s">
        <v>1375</v>
      </c>
      <c r="D105" s="443">
        <v>-115497</v>
      </c>
      <c r="E105" s="282"/>
      <c r="F105" s="448">
        <f t="shared" si="27"/>
        <v>-115497</v>
      </c>
      <c r="G105" s="448">
        <v>0</v>
      </c>
      <c r="H105" s="443">
        <v>-115497</v>
      </c>
      <c r="I105" s="448">
        <v>-115497</v>
      </c>
      <c r="J105" s="448">
        <v>-115497</v>
      </c>
      <c r="K105" s="448">
        <v>-115497</v>
      </c>
      <c r="L105" s="448">
        <v>-115497</v>
      </c>
      <c r="M105" s="219">
        <f t="shared" si="26"/>
        <v>4</v>
      </c>
      <c r="N105" s="1004" t="s">
        <v>1417</v>
      </c>
      <c r="O105" s="426" t="s">
        <v>1375</v>
      </c>
      <c r="P105" s="448">
        <v>-115497</v>
      </c>
      <c r="Q105" s="448">
        <v>-115497</v>
      </c>
      <c r="R105" s="448">
        <v>-115497</v>
      </c>
      <c r="S105" s="448">
        <v>-115497</v>
      </c>
      <c r="T105" s="448">
        <v>-115497</v>
      </c>
      <c r="U105" s="448">
        <v>-115497</v>
      </c>
      <c r="V105" s="448">
        <v>-115497</v>
      </c>
      <c r="W105" s="448">
        <v>-115497</v>
      </c>
      <c r="X105" s="448">
        <f t="shared" si="28"/>
        <v>-1501457</v>
      </c>
      <c r="Y105" s="448">
        <f t="shared" si="29"/>
        <v>-115496.69230769231</v>
      </c>
    </row>
    <row r="106" spans="1:25" s="218" customFormat="1">
      <c r="A106" s="219">
        <f t="shared" si="24"/>
        <v>5</v>
      </c>
      <c r="B106" s="1004" t="s">
        <v>1418</v>
      </c>
      <c r="C106" s="426" t="s">
        <v>1375</v>
      </c>
      <c r="D106" s="443">
        <v>0</v>
      </c>
      <c r="E106" s="282"/>
      <c r="F106" s="448">
        <f t="shared" si="27"/>
        <v>0</v>
      </c>
      <c r="G106" s="448">
        <v>0</v>
      </c>
      <c r="H106" s="443">
        <v>0</v>
      </c>
      <c r="I106" s="448">
        <v>0</v>
      </c>
      <c r="J106" s="448">
        <v>0</v>
      </c>
      <c r="K106" s="448">
        <v>0</v>
      </c>
      <c r="L106" s="448">
        <v>0</v>
      </c>
      <c r="M106" s="219">
        <f t="shared" si="26"/>
        <v>5</v>
      </c>
      <c r="N106" s="1004" t="s">
        <v>1418</v>
      </c>
      <c r="O106" s="426" t="s">
        <v>1375</v>
      </c>
      <c r="P106" s="448">
        <v>0</v>
      </c>
      <c r="Q106" s="448">
        <v>0</v>
      </c>
      <c r="R106" s="448">
        <v>0</v>
      </c>
      <c r="S106" s="448">
        <v>0</v>
      </c>
      <c r="T106" s="448">
        <v>0</v>
      </c>
      <c r="U106" s="448">
        <v>0</v>
      </c>
      <c r="V106" s="448">
        <v>0</v>
      </c>
      <c r="W106" s="448">
        <v>0</v>
      </c>
      <c r="X106" s="448">
        <f t="shared" si="28"/>
        <v>5</v>
      </c>
      <c r="Y106" s="448">
        <f t="shared" si="29"/>
        <v>0.38461538461538464</v>
      </c>
    </row>
    <row r="107" spans="1:25" s="218" customFormat="1">
      <c r="A107" s="219">
        <f>A105+1</f>
        <v>5</v>
      </c>
      <c r="B107" s="1004" t="s">
        <v>1958</v>
      </c>
      <c r="C107" s="426" t="s">
        <v>1375</v>
      </c>
      <c r="D107" s="443">
        <v>-43487</v>
      </c>
      <c r="E107" s="282"/>
      <c r="F107" s="448">
        <f t="shared" si="27"/>
        <v>-43487</v>
      </c>
      <c r="G107" s="448">
        <v>0</v>
      </c>
      <c r="H107" s="443">
        <v>-43487</v>
      </c>
      <c r="I107" s="448">
        <v>-43540</v>
      </c>
      <c r="J107" s="448">
        <v>-43593</v>
      </c>
      <c r="K107" s="448">
        <v>-43646</v>
      </c>
      <c r="L107" s="448">
        <v>-44954</v>
      </c>
      <c r="M107" s="219">
        <f>M105+1</f>
        <v>5</v>
      </c>
      <c r="N107" s="1004" t="s">
        <v>1958</v>
      </c>
      <c r="O107" s="426" t="s">
        <v>1375</v>
      </c>
      <c r="P107" s="448">
        <v>-46510</v>
      </c>
      <c r="Q107" s="448">
        <v>-46510</v>
      </c>
      <c r="R107" s="448">
        <v>-46510</v>
      </c>
      <c r="S107" s="448">
        <v>-46510</v>
      </c>
      <c r="T107" s="448">
        <v>-46510</v>
      </c>
      <c r="U107" s="448">
        <v>-46510</v>
      </c>
      <c r="V107" s="448">
        <v>-46510</v>
      </c>
      <c r="W107" s="448">
        <v>-46510</v>
      </c>
      <c r="X107" s="448">
        <f t="shared" si="28"/>
        <v>-591295</v>
      </c>
      <c r="Y107" s="448">
        <f t="shared" si="29"/>
        <v>-45484.230769230766</v>
      </c>
    </row>
    <row r="108" spans="1:25" s="218" customFormat="1">
      <c r="A108" s="219">
        <f>A106+1</f>
        <v>6</v>
      </c>
      <c r="B108" s="1004" t="s">
        <v>1419</v>
      </c>
      <c r="C108" s="426" t="s">
        <v>1375</v>
      </c>
      <c r="D108" s="443">
        <v>811718</v>
      </c>
      <c r="E108" s="282"/>
      <c r="F108" s="448">
        <f t="shared" si="27"/>
        <v>811718</v>
      </c>
      <c r="G108" s="448">
        <v>0</v>
      </c>
      <c r="H108" s="443">
        <v>811718</v>
      </c>
      <c r="I108" s="448">
        <v>811705</v>
      </c>
      <c r="J108" s="448">
        <v>811691</v>
      </c>
      <c r="K108" s="448">
        <v>811678</v>
      </c>
      <c r="L108" s="448">
        <v>811350</v>
      </c>
      <c r="M108" s="219">
        <f>M106+1</f>
        <v>6</v>
      </c>
      <c r="N108" s="1004" t="s">
        <v>1419</v>
      </c>
      <c r="O108" s="426" t="s">
        <v>1375</v>
      </c>
      <c r="P108" s="448">
        <v>810960</v>
      </c>
      <c r="Q108" s="448">
        <v>810960</v>
      </c>
      <c r="R108" s="448">
        <v>810960</v>
      </c>
      <c r="S108" s="448">
        <v>810960</v>
      </c>
      <c r="T108" s="448">
        <v>810960</v>
      </c>
      <c r="U108" s="448">
        <v>810960</v>
      </c>
      <c r="V108" s="448">
        <v>810960</v>
      </c>
      <c r="W108" s="448">
        <v>810960</v>
      </c>
      <c r="X108" s="448">
        <f t="shared" si="28"/>
        <v>10545828</v>
      </c>
      <c r="Y108" s="448">
        <f t="shared" si="29"/>
        <v>811217.5384615385</v>
      </c>
    </row>
    <row r="109" spans="1:25" s="218" customFormat="1">
      <c r="A109" s="219">
        <f t="shared" si="24"/>
        <v>7</v>
      </c>
      <c r="B109" s="274" t="s">
        <v>1420</v>
      </c>
      <c r="C109" s="426"/>
      <c r="D109" s="451">
        <f>SUM(D103:D108)</f>
        <v>-81845593</v>
      </c>
      <c r="E109" s="282"/>
      <c r="F109" s="451">
        <f t="shared" ref="F109:Y109" si="30">SUM(F103:F108)</f>
        <v>-81845593</v>
      </c>
      <c r="G109" s="451">
        <f t="shared" si="30"/>
        <v>0</v>
      </c>
      <c r="H109" s="451">
        <f t="shared" si="30"/>
        <v>-81845593</v>
      </c>
      <c r="I109" s="451">
        <f t="shared" si="30"/>
        <v>-82157197</v>
      </c>
      <c r="J109" s="451">
        <f t="shared" si="30"/>
        <v>-82255039</v>
      </c>
      <c r="K109" s="451">
        <f t="shared" si="30"/>
        <v>-82780409</v>
      </c>
      <c r="L109" s="451">
        <f t="shared" si="30"/>
        <v>-87843061</v>
      </c>
      <c r="M109" s="219">
        <f t="shared" si="26"/>
        <v>7</v>
      </c>
      <c r="N109" s="274" t="s">
        <v>1420</v>
      </c>
      <c r="O109" s="426"/>
      <c r="P109" s="451">
        <f>SUM(P103:P108)</f>
        <v>-88389004</v>
      </c>
      <c r="Q109" s="451">
        <f>SUM(Q103:Q108)</f>
        <v>-88936275.528638586</v>
      </c>
      <c r="R109" s="451">
        <f t="shared" si="30"/>
        <v>-89483547.057277173</v>
      </c>
      <c r="S109" s="451">
        <f t="shared" si="30"/>
        <v>-90030818.585915759</v>
      </c>
      <c r="T109" s="451">
        <f t="shared" si="30"/>
        <v>-90578090.114554346</v>
      </c>
      <c r="U109" s="451">
        <f t="shared" si="30"/>
        <v>-91125361.643192917</v>
      </c>
      <c r="V109" s="451">
        <f t="shared" si="30"/>
        <v>-91672633.171831518</v>
      </c>
      <c r="W109" s="451">
        <f t="shared" si="30"/>
        <v>-92219904.70047009</v>
      </c>
      <c r="X109" s="451">
        <f t="shared" si="30"/>
        <v>-1139316908.8018804</v>
      </c>
      <c r="Y109" s="451">
        <f t="shared" si="30"/>
        <v>-87639762.215529263</v>
      </c>
    </row>
    <row r="110" spans="1:25" s="218" customFormat="1">
      <c r="A110" s="219">
        <f t="shared" si="24"/>
        <v>8</v>
      </c>
      <c r="C110" s="426"/>
      <c r="D110" s="448"/>
      <c r="E110" s="282"/>
      <c r="F110" s="448"/>
      <c r="G110" s="448"/>
      <c r="H110" s="448"/>
      <c r="I110" s="448"/>
      <c r="J110" s="448"/>
      <c r="K110" s="448"/>
      <c r="L110" s="448"/>
      <c r="M110" s="219">
        <f t="shared" si="26"/>
        <v>8</v>
      </c>
      <c r="O110" s="426"/>
      <c r="P110" s="448"/>
      <c r="Q110" s="448"/>
      <c r="R110" s="448"/>
      <c r="S110" s="448"/>
      <c r="T110" s="448"/>
      <c r="U110" s="448"/>
      <c r="V110" s="448"/>
      <c r="W110" s="448"/>
      <c r="X110" s="448"/>
      <c r="Y110" s="448"/>
    </row>
    <row r="111" spans="1:25" s="1006" customFormat="1">
      <c r="A111" s="426">
        <f t="shared" si="24"/>
        <v>9</v>
      </c>
      <c r="B111" s="264" t="s">
        <v>2041</v>
      </c>
      <c r="C111" s="220"/>
      <c r="D111" s="220"/>
      <c r="E111" s="1005"/>
      <c r="F111" s="220"/>
      <c r="G111" s="220"/>
      <c r="H111" s="220"/>
      <c r="I111" s="420"/>
      <c r="J111" s="420"/>
      <c r="K111" s="420"/>
      <c r="L111" s="420"/>
      <c r="M111" s="426">
        <f t="shared" si="26"/>
        <v>9</v>
      </c>
      <c r="N111" s="264" t="s">
        <v>2041</v>
      </c>
      <c r="O111" s="220"/>
      <c r="P111" s="420"/>
      <c r="Q111" s="420"/>
      <c r="R111" s="420"/>
      <c r="S111" s="420"/>
      <c r="T111" s="420"/>
      <c r="U111" s="420"/>
      <c r="V111" s="420"/>
      <c r="W111" s="442"/>
      <c r="X111" s="420"/>
      <c r="Y111" s="420"/>
    </row>
    <row r="112" spans="1:25" s="1006" customFormat="1">
      <c r="A112" s="426">
        <f>A111+1</f>
        <v>10</v>
      </c>
      <c r="B112" s="274" t="s">
        <v>2042</v>
      </c>
      <c r="C112" s="220" t="s">
        <v>1373</v>
      </c>
      <c r="D112" s="227">
        <v>2617712.9190697144</v>
      </c>
      <c r="E112" s="447">
        <v>1</v>
      </c>
      <c r="F112" s="227">
        <f>D112*E112</f>
        <v>2617712.9190697144</v>
      </c>
      <c r="G112" s="227">
        <v>0</v>
      </c>
      <c r="H112" s="227">
        <f>SUM(F112:G112)</f>
        <v>2617712.9190697144</v>
      </c>
      <c r="I112" s="227">
        <v>2944927.0339534287</v>
      </c>
      <c r="J112" s="227">
        <v>3272141.1488371431</v>
      </c>
      <c r="K112" s="227">
        <v>3599355.2637208574</v>
      </c>
      <c r="L112" s="227">
        <v>3926569.3786045718</v>
      </c>
      <c r="M112" s="426">
        <f>M111+1</f>
        <v>10</v>
      </c>
      <c r="N112" s="274" t="s">
        <v>2042</v>
      </c>
      <c r="O112" s="220" t="s">
        <v>1373</v>
      </c>
      <c r="P112" s="227">
        <v>4249882.9950120458</v>
      </c>
      <c r="Q112" s="227">
        <v>4573196.6114195194</v>
      </c>
      <c r="R112" s="227">
        <v>4896510.227826993</v>
      </c>
      <c r="S112" s="227">
        <v>5219823.8442344666</v>
      </c>
      <c r="T112" s="227">
        <v>5543137.4606419401</v>
      </c>
      <c r="U112" s="227">
        <v>5866451.0770494137</v>
      </c>
      <c r="V112" s="227">
        <v>6189764.6934568873</v>
      </c>
      <c r="W112" s="227">
        <v>6513078.3098643608</v>
      </c>
      <c r="X112" s="448">
        <f>SUM(H112:W112)</f>
        <v>59412560.963691339</v>
      </c>
      <c r="Y112" s="448">
        <f>X112/13</f>
        <v>4570196.997207026</v>
      </c>
    </row>
    <row r="113" spans="1:25" s="1006" customFormat="1">
      <c r="A113" s="426">
        <f>A112+1</f>
        <v>11</v>
      </c>
      <c r="B113" s="274" t="s">
        <v>2043</v>
      </c>
      <c r="C113" s="220" t="s">
        <v>1373</v>
      </c>
      <c r="D113" s="227">
        <v>656068.4007693521</v>
      </c>
      <c r="E113" s="447">
        <v>1</v>
      </c>
      <c r="F113" s="227">
        <f>D113*E113</f>
        <v>656068.4007693521</v>
      </c>
      <c r="G113" s="227">
        <v>0</v>
      </c>
      <c r="H113" s="227">
        <f>SUM(F113:G113)</f>
        <v>656068.4007693521</v>
      </c>
      <c r="I113" s="227">
        <v>738076.9508655211</v>
      </c>
      <c r="J113" s="227">
        <v>820085.50096169009</v>
      </c>
      <c r="K113" s="227">
        <v>902094.05105785909</v>
      </c>
      <c r="L113" s="227">
        <v>984102.60115402809</v>
      </c>
      <c r="M113" s="426">
        <f>M112+1</f>
        <v>11</v>
      </c>
      <c r="N113" s="274" t="s">
        <v>2043</v>
      </c>
      <c r="O113" s="220" t="s">
        <v>1373</v>
      </c>
      <c r="P113" s="227">
        <v>1065133.582709786</v>
      </c>
      <c r="Q113" s="227">
        <v>1146164.5642655438</v>
      </c>
      <c r="R113" s="227">
        <v>1227195.5458213016</v>
      </c>
      <c r="S113" s="227">
        <v>1308226.5273770595</v>
      </c>
      <c r="T113" s="227">
        <v>1389257.5089328173</v>
      </c>
      <c r="U113" s="227">
        <v>1470288.4904885751</v>
      </c>
      <c r="V113" s="227">
        <v>1551319.4720443329</v>
      </c>
      <c r="W113" s="227">
        <v>1632350.4536000907</v>
      </c>
      <c r="X113" s="448">
        <f>SUM(H113:W113)</f>
        <v>14890374.650047958</v>
      </c>
      <c r="Y113" s="448">
        <f>X113/13</f>
        <v>1145413.4346190738</v>
      </c>
    </row>
    <row r="114" spans="1:25" s="1006" customFormat="1">
      <c r="A114" s="426">
        <f>A113+1</f>
        <v>12</v>
      </c>
      <c r="B114" s="274" t="s">
        <v>2044</v>
      </c>
      <c r="C114" s="219"/>
      <c r="D114" s="451">
        <f>SUM(D112:D113)</f>
        <v>3273781.3198390664</v>
      </c>
      <c r="E114" s="282"/>
      <c r="F114" s="1007">
        <f t="shared" ref="F114:W114" si="31">SUM(F112:F113)</f>
        <v>3273781.3198390664</v>
      </c>
      <c r="G114" s="1007">
        <f t="shared" si="31"/>
        <v>0</v>
      </c>
      <c r="H114" s="1007">
        <f t="shared" si="31"/>
        <v>3273781.3198390664</v>
      </c>
      <c r="I114" s="1007">
        <f t="shared" si="31"/>
        <v>3683003.9848189498</v>
      </c>
      <c r="J114" s="1007">
        <f t="shared" si="31"/>
        <v>4092226.6497988333</v>
      </c>
      <c r="K114" s="1007">
        <f t="shared" si="31"/>
        <v>4501449.3147787163</v>
      </c>
      <c r="L114" s="1007">
        <f t="shared" si="31"/>
        <v>4910671.9797585998</v>
      </c>
      <c r="M114" s="426">
        <f>M113+1</f>
        <v>12</v>
      </c>
      <c r="N114" s="274" t="s">
        <v>2044</v>
      </c>
      <c r="O114" s="219"/>
      <c r="P114" s="1007">
        <f>SUM(P112:P113)</f>
        <v>5315016.5777218323</v>
      </c>
      <c r="Q114" s="1007">
        <f>SUM(Q112:Q113)</f>
        <v>5719361.175685063</v>
      </c>
      <c r="R114" s="1007">
        <f t="shared" si="31"/>
        <v>6123705.7736482946</v>
      </c>
      <c r="S114" s="1007">
        <f t="shared" si="31"/>
        <v>6528050.3716115262</v>
      </c>
      <c r="T114" s="1007">
        <f t="shared" si="31"/>
        <v>6932394.9695747569</v>
      </c>
      <c r="U114" s="1007">
        <f t="shared" si="31"/>
        <v>7336739.5675379885</v>
      </c>
      <c r="V114" s="1007">
        <f t="shared" si="31"/>
        <v>7741084.1655012202</v>
      </c>
      <c r="W114" s="1007">
        <f t="shared" si="31"/>
        <v>8145428.7634644518</v>
      </c>
      <c r="X114" s="451">
        <f>SUM(X111:X113)</f>
        <v>74302935.613739297</v>
      </c>
      <c r="Y114" s="451">
        <f>SUM(Y111:Y113)</f>
        <v>5715610.4318260998</v>
      </c>
    </row>
    <row r="115" spans="1:25" s="420" customFormat="1">
      <c r="A115" s="426">
        <f>A114+1</f>
        <v>13</v>
      </c>
      <c r="C115" s="426"/>
      <c r="D115" s="442"/>
      <c r="F115" s="442"/>
      <c r="G115" s="442"/>
      <c r="H115" s="442"/>
      <c r="I115" s="442"/>
      <c r="J115" s="442"/>
      <c r="K115" s="442"/>
      <c r="L115" s="442"/>
      <c r="M115" s="426">
        <f>M114+1</f>
        <v>13</v>
      </c>
      <c r="O115" s="426"/>
      <c r="P115" s="442"/>
      <c r="Q115" s="442"/>
      <c r="R115" s="442"/>
      <c r="S115" s="442"/>
      <c r="T115" s="442"/>
      <c r="U115" s="442"/>
      <c r="V115" s="442"/>
      <c r="W115" s="442"/>
      <c r="X115" s="442"/>
      <c r="Y115" s="442"/>
    </row>
    <row r="116" spans="1:25" s="218" customFormat="1">
      <c r="A116" s="426">
        <f>A115+1</f>
        <v>14</v>
      </c>
      <c r="B116" s="264" t="s">
        <v>1363</v>
      </c>
      <c r="C116" s="426"/>
      <c r="D116" s="448"/>
      <c r="F116" s="448"/>
      <c r="G116" s="448"/>
      <c r="H116" s="448"/>
      <c r="I116" s="448"/>
      <c r="J116" s="448"/>
      <c r="K116" s="448"/>
      <c r="L116" s="448"/>
      <c r="M116" s="426">
        <f>M115+1</f>
        <v>14</v>
      </c>
      <c r="N116" s="264" t="s">
        <v>1363</v>
      </c>
      <c r="O116" s="426"/>
      <c r="P116" s="448"/>
      <c r="Q116" s="448"/>
      <c r="R116" s="448"/>
      <c r="S116" s="448"/>
      <c r="T116" s="448"/>
      <c r="U116" s="448"/>
      <c r="V116" s="448"/>
      <c r="W116" s="448"/>
      <c r="X116" s="448"/>
      <c r="Y116" s="448"/>
    </row>
    <row r="117" spans="1:25" s="1008" customFormat="1">
      <c r="A117" s="219">
        <f t="shared" si="24"/>
        <v>15</v>
      </c>
      <c r="B117" s="274" t="s">
        <v>1959</v>
      </c>
      <c r="C117" s="426" t="s">
        <v>1375</v>
      </c>
      <c r="D117" s="443">
        <v>-214141</v>
      </c>
      <c r="E117" s="1003">
        <v>1</v>
      </c>
      <c r="F117" s="448">
        <f t="shared" ref="F117:F145" si="32">D117*$E$117</f>
        <v>-214141</v>
      </c>
      <c r="G117" s="442">
        <v>0</v>
      </c>
      <c r="H117" s="443">
        <v>-214141</v>
      </c>
      <c r="I117" s="448">
        <v>-242551</v>
      </c>
      <c r="J117" s="448">
        <v>-248593</v>
      </c>
      <c r="K117" s="448">
        <v>-208819</v>
      </c>
      <c r="L117" s="448">
        <v>-156865</v>
      </c>
      <c r="M117" s="219">
        <f t="shared" si="26"/>
        <v>15</v>
      </c>
      <c r="N117" s="274" t="s">
        <v>1959</v>
      </c>
      <c r="O117" s="426" t="s">
        <v>1375</v>
      </c>
      <c r="P117" s="448">
        <v>-43433</v>
      </c>
      <c r="Q117" s="448">
        <v>-43433</v>
      </c>
      <c r="R117" s="448">
        <v>-43433</v>
      </c>
      <c r="S117" s="448">
        <v>-43433</v>
      </c>
      <c r="T117" s="448">
        <v>-43433</v>
      </c>
      <c r="U117" s="448">
        <v>-43433</v>
      </c>
      <c r="V117" s="448">
        <v>-43433</v>
      </c>
      <c r="W117" s="448">
        <v>-43433</v>
      </c>
      <c r="X117" s="448">
        <f t="shared" ref="X117:X145" si="33">SUM(H117:W117)</f>
        <v>-1418418</v>
      </c>
      <c r="Y117" s="448">
        <f t="shared" ref="Y117:Y145" si="34">X117/13</f>
        <v>-109109.07692307692</v>
      </c>
    </row>
    <row r="118" spans="1:25" s="218" customFormat="1">
      <c r="A118" s="219">
        <f t="shared" si="24"/>
        <v>16</v>
      </c>
      <c r="B118" s="274" t="s">
        <v>1421</v>
      </c>
      <c r="C118" s="426" t="s">
        <v>1399</v>
      </c>
      <c r="D118" s="443">
        <v>-439668</v>
      </c>
      <c r="E118" s="282"/>
      <c r="F118" s="448">
        <f t="shared" si="32"/>
        <v>-439668</v>
      </c>
      <c r="G118" s="442">
        <v>0</v>
      </c>
      <c r="H118" s="448">
        <v>-439668</v>
      </c>
      <c r="I118" s="448">
        <v>-327967</v>
      </c>
      <c r="J118" s="448">
        <v>-216266</v>
      </c>
      <c r="K118" s="448">
        <v>-483615</v>
      </c>
      <c r="L118" s="448">
        <v>11</v>
      </c>
      <c r="M118" s="219">
        <f t="shared" si="26"/>
        <v>16</v>
      </c>
      <c r="N118" s="274" t="s">
        <v>1421</v>
      </c>
      <c r="O118" s="426" t="s">
        <v>1399</v>
      </c>
      <c r="P118" s="448">
        <v>11</v>
      </c>
      <c r="Q118" s="448">
        <v>11</v>
      </c>
      <c r="R118" s="448">
        <v>11</v>
      </c>
      <c r="S118" s="448">
        <v>11</v>
      </c>
      <c r="T118" s="448">
        <v>11</v>
      </c>
      <c r="U118" s="448">
        <v>11</v>
      </c>
      <c r="V118" s="448">
        <v>11</v>
      </c>
      <c r="W118" s="448">
        <v>11</v>
      </c>
      <c r="X118" s="448">
        <f t="shared" si="33"/>
        <v>-1467401</v>
      </c>
      <c r="Y118" s="448">
        <f t="shared" si="34"/>
        <v>-112877</v>
      </c>
    </row>
    <row r="119" spans="1:25" s="218" customFormat="1">
      <c r="A119" s="219">
        <f t="shared" si="24"/>
        <v>17</v>
      </c>
      <c r="B119" s="274" t="s">
        <v>1422</v>
      </c>
      <c r="C119" s="426" t="s">
        <v>1399</v>
      </c>
      <c r="D119" s="443">
        <v>-110192</v>
      </c>
      <c r="E119" s="282"/>
      <c r="F119" s="448">
        <f t="shared" si="32"/>
        <v>-110192</v>
      </c>
      <c r="G119" s="442">
        <v>0</v>
      </c>
      <c r="H119" s="448">
        <v>-110192</v>
      </c>
      <c r="I119" s="448">
        <v>-82197</v>
      </c>
      <c r="J119" s="448">
        <v>-54202</v>
      </c>
      <c r="K119" s="448">
        <v>-121207</v>
      </c>
      <c r="L119" s="448">
        <v>3</v>
      </c>
      <c r="M119" s="219">
        <f t="shared" si="26"/>
        <v>17</v>
      </c>
      <c r="N119" s="274" t="s">
        <v>1422</v>
      </c>
      <c r="O119" s="426" t="s">
        <v>1399</v>
      </c>
      <c r="P119" s="448">
        <v>3</v>
      </c>
      <c r="Q119" s="448">
        <v>3</v>
      </c>
      <c r="R119" s="448">
        <v>3</v>
      </c>
      <c r="S119" s="448">
        <v>3</v>
      </c>
      <c r="T119" s="448">
        <v>3</v>
      </c>
      <c r="U119" s="448">
        <v>3</v>
      </c>
      <c r="V119" s="448">
        <v>3</v>
      </c>
      <c r="W119" s="448">
        <v>3</v>
      </c>
      <c r="X119" s="448">
        <f t="shared" si="33"/>
        <v>-367754</v>
      </c>
      <c r="Y119" s="448">
        <f t="shared" si="34"/>
        <v>-28288.76923076923</v>
      </c>
    </row>
    <row r="120" spans="1:25" s="218" customFormat="1">
      <c r="A120" s="219">
        <f t="shared" si="24"/>
        <v>18</v>
      </c>
      <c r="B120" s="274" t="s">
        <v>1423</v>
      </c>
      <c r="C120" s="426" t="s">
        <v>1399</v>
      </c>
      <c r="D120" s="443">
        <v>2161368</v>
      </c>
      <c r="E120" s="282"/>
      <c r="F120" s="448">
        <f t="shared" si="32"/>
        <v>2161368</v>
      </c>
      <c r="G120" s="442">
        <v>0</v>
      </c>
      <c r="H120" s="448">
        <v>2161368</v>
      </c>
      <c r="I120" s="448">
        <v>2161372</v>
      </c>
      <c r="J120" s="448">
        <v>2161364</v>
      </c>
      <c r="K120" s="448">
        <v>2160260</v>
      </c>
      <c r="L120" s="448">
        <v>1698085</v>
      </c>
      <c r="M120" s="219">
        <f t="shared" si="26"/>
        <v>18</v>
      </c>
      <c r="N120" s="274" t="s">
        <v>1423</v>
      </c>
      <c r="O120" s="426" t="s">
        <v>1399</v>
      </c>
      <c r="P120" s="448">
        <v>1836602</v>
      </c>
      <c r="Q120" s="448">
        <v>1836602</v>
      </c>
      <c r="R120" s="448">
        <v>1836602</v>
      </c>
      <c r="S120" s="448">
        <v>1836602</v>
      </c>
      <c r="T120" s="448">
        <v>1836602</v>
      </c>
      <c r="U120" s="448">
        <v>1836602</v>
      </c>
      <c r="V120" s="448">
        <v>1836602</v>
      </c>
      <c r="W120" s="448">
        <v>1836602</v>
      </c>
      <c r="X120" s="448">
        <f t="shared" si="33"/>
        <v>25035283</v>
      </c>
      <c r="Y120" s="448">
        <f t="shared" si="34"/>
        <v>1925791</v>
      </c>
    </row>
    <row r="121" spans="1:25" s="218" customFormat="1">
      <c r="A121" s="219">
        <f t="shared" si="24"/>
        <v>19</v>
      </c>
      <c r="B121" s="274" t="s">
        <v>1424</v>
      </c>
      <c r="C121" s="426" t="s">
        <v>1399</v>
      </c>
      <c r="D121" s="443">
        <v>541696</v>
      </c>
      <c r="E121" s="282"/>
      <c r="F121" s="448">
        <f t="shared" si="32"/>
        <v>541696</v>
      </c>
      <c r="G121" s="442">
        <v>0</v>
      </c>
      <c r="H121" s="448">
        <v>541696</v>
      </c>
      <c r="I121" s="448">
        <v>541697</v>
      </c>
      <c r="J121" s="448">
        <v>541695</v>
      </c>
      <c r="K121" s="448">
        <v>541419</v>
      </c>
      <c r="L121" s="448">
        <v>425585</v>
      </c>
      <c r="M121" s="219">
        <f t="shared" si="26"/>
        <v>19</v>
      </c>
      <c r="N121" s="274" t="s">
        <v>1424</v>
      </c>
      <c r="O121" s="426" t="s">
        <v>1399</v>
      </c>
      <c r="P121" s="448">
        <v>460301</v>
      </c>
      <c r="Q121" s="448">
        <v>460301</v>
      </c>
      <c r="R121" s="448">
        <v>460301</v>
      </c>
      <c r="S121" s="448">
        <v>460301</v>
      </c>
      <c r="T121" s="448">
        <v>460301</v>
      </c>
      <c r="U121" s="448">
        <v>460301</v>
      </c>
      <c r="V121" s="448">
        <v>460301</v>
      </c>
      <c r="W121" s="448">
        <v>460301</v>
      </c>
      <c r="X121" s="448">
        <f t="shared" si="33"/>
        <v>6274519</v>
      </c>
      <c r="Y121" s="448">
        <f t="shared" si="34"/>
        <v>482655.30769230769</v>
      </c>
    </row>
    <row r="122" spans="1:25" s="218" customFormat="1">
      <c r="A122" s="219">
        <f t="shared" si="24"/>
        <v>20</v>
      </c>
      <c r="B122" s="274" t="s">
        <v>1960</v>
      </c>
      <c r="C122" s="426" t="s">
        <v>1375</v>
      </c>
      <c r="D122" s="443">
        <v>-36945</v>
      </c>
      <c r="E122" s="282"/>
      <c r="F122" s="448">
        <f t="shared" si="32"/>
        <v>-36945</v>
      </c>
      <c r="G122" s="442">
        <v>0</v>
      </c>
      <c r="H122" s="448">
        <v>-36945</v>
      </c>
      <c r="I122" s="448">
        <v>-36945</v>
      </c>
      <c r="J122" s="448">
        <v>-36945</v>
      </c>
      <c r="K122" s="448">
        <v>-36945</v>
      </c>
      <c r="L122" s="448">
        <v>-36945</v>
      </c>
      <c r="M122" s="219">
        <f t="shared" si="26"/>
        <v>20</v>
      </c>
      <c r="N122" s="274" t="s">
        <v>1960</v>
      </c>
      <c r="O122" s="426" t="s">
        <v>1375</v>
      </c>
      <c r="P122" s="448">
        <v>-33866</v>
      </c>
      <c r="Q122" s="448">
        <v>-33866</v>
      </c>
      <c r="R122" s="448">
        <v>-33866</v>
      </c>
      <c r="S122" s="448">
        <v>-33866</v>
      </c>
      <c r="T122" s="448">
        <v>-33866</v>
      </c>
      <c r="U122" s="448">
        <v>-33866</v>
      </c>
      <c r="V122" s="448">
        <v>-33866</v>
      </c>
      <c r="W122" s="448">
        <v>-33866</v>
      </c>
      <c r="X122" s="448">
        <f t="shared" si="33"/>
        <v>-455633</v>
      </c>
      <c r="Y122" s="448">
        <f t="shared" si="34"/>
        <v>-35048.692307692305</v>
      </c>
    </row>
    <row r="123" spans="1:25" s="218" customFormat="1">
      <c r="A123" s="219">
        <f t="shared" si="24"/>
        <v>21</v>
      </c>
      <c r="B123" s="274" t="s">
        <v>1961</v>
      </c>
      <c r="C123" s="426" t="s">
        <v>1375</v>
      </c>
      <c r="D123" s="443">
        <v>-9259</v>
      </c>
      <c r="E123" s="282"/>
      <c r="F123" s="448">
        <f t="shared" si="32"/>
        <v>-9259</v>
      </c>
      <c r="G123" s="442">
        <v>0</v>
      </c>
      <c r="H123" s="448">
        <v>-9259</v>
      </c>
      <c r="I123" s="448">
        <v>-9259</v>
      </c>
      <c r="J123" s="448">
        <v>-9259</v>
      </c>
      <c r="K123" s="448">
        <v>-9259</v>
      </c>
      <c r="L123" s="448">
        <v>-9259</v>
      </c>
      <c r="M123" s="219">
        <f t="shared" si="26"/>
        <v>21</v>
      </c>
      <c r="N123" s="274" t="s">
        <v>1961</v>
      </c>
      <c r="O123" s="426" t="s">
        <v>1375</v>
      </c>
      <c r="P123" s="448">
        <v>-8488</v>
      </c>
      <c r="Q123" s="448">
        <v>-8488</v>
      </c>
      <c r="R123" s="448">
        <v>-8488</v>
      </c>
      <c r="S123" s="448">
        <v>-8488</v>
      </c>
      <c r="T123" s="448">
        <v>-8488</v>
      </c>
      <c r="U123" s="448">
        <v>-8488</v>
      </c>
      <c r="V123" s="448">
        <v>-8488</v>
      </c>
      <c r="W123" s="448">
        <v>-8488</v>
      </c>
      <c r="X123" s="448">
        <f t="shared" si="33"/>
        <v>-114178</v>
      </c>
      <c r="Y123" s="448">
        <f t="shared" si="34"/>
        <v>-8782.9230769230762</v>
      </c>
    </row>
    <row r="124" spans="1:25" s="218" customFormat="1">
      <c r="A124" s="219">
        <f t="shared" si="24"/>
        <v>22</v>
      </c>
      <c r="B124" s="274" t="s">
        <v>1425</v>
      </c>
      <c r="C124" s="426" t="s">
        <v>1375</v>
      </c>
      <c r="D124" s="443">
        <v>-27218</v>
      </c>
      <c r="E124" s="282"/>
      <c r="F124" s="448">
        <f t="shared" si="32"/>
        <v>-27218</v>
      </c>
      <c r="G124" s="442">
        <v>0</v>
      </c>
      <c r="H124" s="448">
        <v>-27218</v>
      </c>
      <c r="I124" s="448">
        <v>-29854</v>
      </c>
      <c r="J124" s="448">
        <v>-31234</v>
      </c>
      <c r="K124" s="448">
        <v>-30177</v>
      </c>
      <c r="L124" s="448">
        <v>-27934</v>
      </c>
      <c r="M124" s="219">
        <f t="shared" si="26"/>
        <v>22</v>
      </c>
      <c r="N124" s="274" t="s">
        <v>1425</v>
      </c>
      <c r="O124" s="426" t="s">
        <v>1375</v>
      </c>
      <c r="P124" s="448">
        <v>-22784</v>
      </c>
      <c r="Q124" s="448">
        <v>-22784</v>
      </c>
      <c r="R124" s="448">
        <v>-22784</v>
      </c>
      <c r="S124" s="448">
        <v>-22784</v>
      </c>
      <c r="T124" s="448">
        <v>-22784</v>
      </c>
      <c r="U124" s="448">
        <v>-22784</v>
      </c>
      <c r="V124" s="448">
        <v>-22784</v>
      </c>
      <c r="W124" s="448">
        <v>-22784</v>
      </c>
      <c r="X124" s="448">
        <f t="shared" si="33"/>
        <v>-328667</v>
      </c>
      <c r="Y124" s="448">
        <f t="shared" si="34"/>
        <v>-25282.076923076922</v>
      </c>
    </row>
    <row r="125" spans="1:25" s="218" customFormat="1">
      <c r="A125" s="219">
        <f t="shared" si="24"/>
        <v>23</v>
      </c>
      <c r="B125" s="274" t="s">
        <v>1426</v>
      </c>
      <c r="C125" s="426" t="s">
        <v>1375</v>
      </c>
      <c r="D125" s="443">
        <v>-6822</v>
      </c>
      <c r="E125" s="282"/>
      <c r="F125" s="448">
        <f t="shared" si="32"/>
        <v>-6822</v>
      </c>
      <c r="G125" s="442">
        <v>0</v>
      </c>
      <c r="H125" s="448">
        <v>-6822</v>
      </c>
      <c r="I125" s="448">
        <v>-7482</v>
      </c>
      <c r="J125" s="448">
        <v>-7828</v>
      </c>
      <c r="K125" s="448">
        <v>-7563</v>
      </c>
      <c r="L125" s="448">
        <v>-7001</v>
      </c>
      <c r="M125" s="219">
        <f t="shared" si="26"/>
        <v>23</v>
      </c>
      <c r="N125" s="274" t="s">
        <v>1426</v>
      </c>
      <c r="O125" s="426" t="s">
        <v>1375</v>
      </c>
      <c r="P125" s="448">
        <v>-5710</v>
      </c>
      <c r="Q125" s="448">
        <v>-5710</v>
      </c>
      <c r="R125" s="448">
        <v>-5710</v>
      </c>
      <c r="S125" s="448">
        <v>-5710</v>
      </c>
      <c r="T125" s="448">
        <v>-5710</v>
      </c>
      <c r="U125" s="448">
        <v>-5710</v>
      </c>
      <c r="V125" s="448">
        <v>-5710</v>
      </c>
      <c r="W125" s="448">
        <v>-5710</v>
      </c>
      <c r="X125" s="448">
        <f t="shared" si="33"/>
        <v>-82353</v>
      </c>
      <c r="Y125" s="448">
        <f t="shared" si="34"/>
        <v>-6334.8461538461543</v>
      </c>
    </row>
    <row r="126" spans="1:25" s="218" customFormat="1">
      <c r="A126" s="219">
        <f t="shared" si="24"/>
        <v>24</v>
      </c>
      <c r="B126" s="274" t="s">
        <v>1427</v>
      </c>
      <c r="C126" s="426" t="s">
        <v>1375</v>
      </c>
      <c r="D126" s="443">
        <v>48960</v>
      </c>
      <c r="E126" s="282"/>
      <c r="F126" s="448">
        <f t="shared" si="32"/>
        <v>48960</v>
      </c>
      <c r="G126" s="442">
        <v>0</v>
      </c>
      <c r="H126" s="448">
        <v>48960</v>
      </c>
      <c r="I126" s="448">
        <v>56329</v>
      </c>
      <c r="J126" s="448">
        <v>63736</v>
      </c>
      <c r="K126" s="448">
        <v>71265</v>
      </c>
      <c r="L126" s="448">
        <v>78600</v>
      </c>
      <c r="M126" s="219">
        <f t="shared" si="26"/>
        <v>24</v>
      </c>
      <c r="N126" s="274" t="s">
        <v>1427</v>
      </c>
      <c r="O126" s="426" t="s">
        <v>1375</v>
      </c>
      <c r="P126" s="448">
        <v>53550</v>
      </c>
      <c r="Q126" s="448">
        <v>53550</v>
      </c>
      <c r="R126" s="448">
        <v>53550</v>
      </c>
      <c r="S126" s="448">
        <v>53550</v>
      </c>
      <c r="T126" s="448">
        <v>53550</v>
      </c>
      <c r="U126" s="448">
        <v>53550</v>
      </c>
      <c r="V126" s="448">
        <v>53550</v>
      </c>
      <c r="W126" s="448">
        <v>53550</v>
      </c>
      <c r="X126" s="448">
        <f t="shared" si="33"/>
        <v>747314</v>
      </c>
      <c r="Y126" s="448">
        <f t="shared" si="34"/>
        <v>57485.692307692305</v>
      </c>
    </row>
    <row r="127" spans="1:25" s="218" customFormat="1">
      <c r="A127" s="219">
        <f t="shared" si="24"/>
        <v>25</v>
      </c>
      <c r="B127" s="274" t="s">
        <v>1428</v>
      </c>
      <c r="C127" s="426" t="s">
        <v>1375</v>
      </c>
      <c r="D127" s="443">
        <v>12271</v>
      </c>
      <c r="E127" s="282"/>
      <c r="F127" s="448">
        <f t="shared" si="32"/>
        <v>12271</v>
      </c>
      <c r="G127" s="442">
        <v>0</v>
      </c>
      <c r="H127" s="448">
        <v>12271</v>
      </c>
      <c r="I127" s="448">
        <v>14118</v>
      </c>
      <c r="J127" s="448">
        <v>15974</v>
      </c>
      <c r="K127" s="448">
        <v>17861</v>
      </c>
      <c r="L127" s="448">
        <v>19699</v>
      </c>
      <c r="M127" s="219">
        <f t="shared" si="26"/>
        <v>25</v>
      </c>
      <c r="N127" s="274" t="s">
        <v>1428</v>
      </c>
      <c r="O127" s="426" t="s">
        <v>1375</v>
      </c>
      <c r="P127" s="448">
        <v>13421</v>
      </c>
      <c r="Q127" s="448">
        <v>13421</v>
      </c>
      <c r="R127" s="448">
        <v>13421</v>
      </c>
      <c r="S127" s="448">
        <v>13421</v>
      </c>
      <c r="T127" s="448">
        <v>13421</v>
      </c>
      <c r="U127" s="448">
        <v>13421</v>
      </c>
      <c r="V127" s="448">
        <v>13421</v>
      </c>
      <c r="W127" s="448">
        <v>13421</v>
      </c>
      <c r="X127" s="448">
        <f t="shared" si="33"/>
        <v>187316</v>
      </c>
      <c r="Y127" s="448">
        <f t="shared" si="34"/>
        <v>14408.923076923076</v>
      </c>
    </row>
    <row r="128" spans="1:25" s="218" customFormat="1">
      <c r="A128" s="219">
        <f t="shared" si="24"/>
        <v>26</v>
      </c>
      <c r="B128" s="274" t="s">
        <v>1429</v>
      </c>
      <c r="C128" s="426" t="s">
        <v>1375</v>
      </c>
      <c r="D128" s="443">
        <v>-1255476</v>
      </c>
      <c r="E128" s="282"/>
      <c r="F128" s="448">
        <f t="shared" si="32"/>
        <v>-1255476</v>
      </c>
      <c r="G128" s="442">
        <v>0</v>
      </c>
      <c r="H128" s="448">
        <v>-1255476</v>
      </c>
      <c r="I128" s="448">
        <v>-1248558</v>
      </c>
      <c r="J128" s="448">
        <v>-1311500</v>
      </c>
      <c r="K128" s="448">
        <v>-1309408</v>
      </c>
      <c r="L128" s="448">
        <v>-1296394</v>
      </c>
      <c r="M128" s="219">
        <f t="shared" si="26"/>
        <v>26</v>
      </c>
      <c r="N128" s="274" t="s">
        <v>1429</v>
      </c>
      <c r="O128" s="426" t="s">
        <v>1375</v>
      </c>
      <c r="P128" s="448">
        <v>-1266466</v>
      </c>
      <c r="Q128" s="448">
        <v>-1266466</v>
      </c>
      <c r="R128" s="448">
        <v>-1266466</v>
      </c>
      <c r="S128" s="448">
        <v>-1266466</v>
      </c>
      <c r="T128" s="448">
        <v>-1266466</v>
      </c>
      <c r="U128" s="448">
        <v>-1266466</v>
      </c>
      <c r="V128" s="448">
        <v>-1266466</v>
      </c>
      <c r="W128" s="448">
        <v>-1266466</v>
      </c>
      <c r="X128" s="448">
        <f t="shared" si="33"/>
        <v>-16553038</v>
      </c>
      <c r="Y128" s="448">
        <f t="shared" si="34"/>
        <v>-1273310.6153846155</v>
      </c>
    </row>
    <row r="129" spans="1:25" s="218" customFormat="1">
      <c r="A129" s="219">
        <f t="shared" si="24"/>
        <v>27</v>
      </c>
      <c r="B129" s="274" t="s">
        <v>1430</v>
      </c>
      <c r="C129" s="426" t="s">
        <v>1375</v>
      </c>
      <c r="D129" s="443">
        <v>-314656</v>
      </c>
      <c r="E129" s="282"/>
      <c r="F129" s="448">
        <f t="shared" si="32"/>
        <v>-314656</v>
      </c>
      <c r="G129" s="442">
        <v>0</v>
      </c>
      <c r="H129" s="448">
        <v>-314656</v>
      </c>
      <c r="I129" s="448">
        <v>-312922</v>
      </c>
      <c r="J129" s="448">
        <v>-328697</v>
      </c>
      <c r="K129" s="448">
        <v>-328172</v>
      </c>
      <c r="L129" s="448">
        <v>-324911</v>
      </c>
      <c r="M129" s="219">
        <f t="shared" si="26"/>
        <v>27</v>
      </c>
      <c r="N129" s="274" t="s">
        <v>1430</v>
      </c>
      <c r="O129" s="426" t="s">
        <v>1375</v>
      </c>
      <c r="P129" s="448">
        <v>-317410</v>
      </c>
      <c r="Q129" s="448">
        <v>-317410</v>
      </c>
      <c r="R129" s="448">
        <v>-317410</v>
      </c>
      <c r="S129" s="448">
        <v>-317410</v>
      </c>
      <c r="T129" s="448">
        <v>-317410</v>
      </c>
      <c r="U129" s="448">
        <v>-317410</v>
      </c>
      <c r="V129" s="448">
        <v>-317410</v>
      </c>
      <c r="W129" s="448">
        <v>-317410</v>
      </c>
      <c r="X129" s="448">
        <f t="shared" si="33"/>
        <v>-4148611</v>
      </c>
      <c r="Y129" s="448">
        <f t="shared" si="34"/>
        <v>-319123.92307692306</v>
      </c>
    </row>
    <row r="130" spans="1:25" s="218" customFormat="1">
      <c r="A130" s="219">
        <f t="shared" si="24"/>
        <v>28</v>
      </c>
      <c r="B130" s="274" t="s">
        <v>1431</v>
      </c>
      <c r="C130" s="426" t="s">
        <v>1375</v>
      </c>
      <c r="D130" s="443">
        <v>-955742</v>
      </c>
      <c r="E130" s="282"/>
      <c r="F130" s="448">
        <f t="shared" si="32"/>
        <v>-955742</v>
      </c>
      <c r="G130" s="442">
        <v>0</v>
      </c>
      <c r="H130" s="448">
        <v>-955742</v>
      </c>
      <c r="I130" s="448">
        <v>-909228</v>
      </c>
      <c r="J130" s="448">
        <v>-902576</v>
      </c>
      <c r="K130" s="448">
        <v>-895923</v>
      </c>
      <c r="L130" s="448">
        <v>-844036</v>
      </c>
      <c r="M130" s="219">
        <f t="shared" si="26"/>
        <v>28</v>
      </c>
      <c r="N130" s="274" t="s">
        <v>1431</v>
      </c>
      <c r="O130" s="426" t="s">
        <v>1375</v>
      </c>
      <c r="P130" s="448">
        <v>-839219</v>
      </c>
      <c r="Q130" s="448">
        <v>-839219</v>
      </c>
      <c r="R130" s="448">
        <v>-839219</v>
      </c>
      <c r="S130" s="448">
        <v>-839219</v>
      </c>
      <c r="T130" s="448">
        <v>-839219</v>
      </c>
      <c r="U130" s="448">
        <v>-839219</v>
      </c>
      <c r="V130" s="448">
        <v>-839219</v>
      </c>
      <c r="W130" s="448">
        <v>-839219</v>
      </c>
      <c r="X130" s="448">
        <f t="shared" si="33"/>
        <v>-11221229</v>
      </c>
      <c r="Y130" s="448">
        <f t="shared" si="34"/>
        <v>-863171.4615384615</v>
      </c>
    </row>
    <row r="131" spans="1:25" s="218" customFormat="1">
      <c r="A131" s="219">
        <f t="shared" si="24"/>
        <v>29</v>
      </c>
      <c r="B131" s="274" t="s">
        <v>1432</v>
      </c>
      <c r="C131" s="426" t="s">
        <v>1375</v>
      </c>
      <c r="D131" s="443">
        <v>-239534</v>
      </c>
      <c r="E131" s="282"/>
      <c r="F131" s="448">
        <f t="shared" si="32"/>
        <v>-239534</v>
      </c>
      <c r="G131" s="442">
        <v>0</v>
      </c>
      <c r="H131" s="448">
        <v>-239534</v>
      </c>
      <c r="I131" s="448">
        <v>-227877</v>
      </c>
      <c r="J131" s="448">
        <v>-226210</v>
      </c>
      <c r="K131" s="448">
        <v>-224542</v>
      </c>
      <c r="L131" s="448">
        <v>-211538</v>
      </c>
      <c r="M131" s="219">
        <f t="shared" si="26"/>
        <v>29</v>
      </c>
      <c r="N131" s="274" t="s">
        <v>1432</v>
      </c>
      <c r="O131" s="426" t="s">
        <v>1375</v>
      </c>
      <c r="P131" s="448">
        <v>-210330</v>
      </c>
      <c r="Q131" s="448">
        <v>-210330</v>
      </c>
      <c r="R131" s="448">
        <v>-210330</v>
      </c>
      <c r="S131" s="448">
        <v>-210330</v>
      </c>
      <c r="T131" s="448">
        <v>-210330</v>
      </c>
      <c r="U131" s="448">
        <v>-210330</v>
      </c>
      <c r="V131" s="448">
        <v>-210330</v>
      </c>
      <c r="W131" s="448">
        <v>-210330</v>
      </c>
      <c r="X131" s="448">
        <f t="shared" si="33"/>
        <v>-2812312</v>
      </c>
      <c r="Y131" s="448">
        <f t="shared" si="34"/>
        <v>-216331.69230769231</v>
      </c>
    </row>
    <row r="132" spans="1:25" s="218" customFormat="1">
      <c r="A132" s="219">
        <f t="shared" si="24"/>
        <v>30</v>
      </c>
      <c r="B132" s="274" t="s">
        <v>1433</v>
      </c>
      <c r="C132" s="426" t="s">
        <v>1375</v>
      </c>
      <c r="D132" s="443">
        <v>-12314</v>
      </c>
      <c r="E132" s="282"/>
      <c r="F132" s="448">
        <f t="shared" si="32"/>
        <v>-12314</v>
      </c>
      <c r="G132" s="442">
        <v>0</v>
      </c>
      <c r="H132" s="448">
        <v>-12314</v>
      </c>
      <c r="I132" s="448">
        <v>-9235</v>
      </c>
      <c r="J132" s="448">
        <v>-6156</v>
      </c>
      <c r="K132" s="448">
        <v>-3078</v>
      </c>
      <c r="L132" s="448">
        <v>0</v>
      </c>
      <c r="M132" s="219">
        <f t="shared" si="26"/>
        <v>30</v>
      </c>
      <c r="N132" s="274" t="s">
        <v>1433</v>
      </c>
      <c r="O132" s="426" t="s">
        <v>1375</v>
      </c>
      <c r="P132" s="448">
        <v>0</v>
      </c>
      <c r="Q132" s="448">
        <v>0</v>
      </c>
      <c r="R132" s="448">
        <v>0</v>
      </c>
      <c r="S132" s="448">
        <v>0</v>
      </c>
      <c r="T132" s="448">
        <v>0</v>
      </c>
      <c r="U132" s="448">
        <v>0</v>
      </c>
      <c r="V132" s="448">
        <v>0</v>
      </c>
      <c r="W132" s="448">
        <v>0</v>
      </c>
      <c r="X132" s="448">
        <f t="shared" si="33"/>
        <v>-30753</v>
      </c>
      <c r="Y132" s="448">
        <f t="shared" si="34"/>
        <v>-2365.6153846153848</v>
      </c>
    </row>
    <row r="133" spans="1:25" s="218" customFormat="1">
      <c r="A133" s="219">
        <f t="shared" si="24"/>
        <v>31</v>
      </c>
      <c r="B133" s="274" t="s">
        <v>1434</v>
      </c>
      <c r="C133" s="426" t="s">
        <v>1375</v>
      </c>
      <c r="D133" s="443">
        <v>-3086</v>
      </c>
      <c r="E133" s="282"/>
      <c r="F133" s="448">
        <f t="shared" si="32"/>
        <v>-3086</v>
      </c>
      <c r="G133" s="442">
        <v>0</v>
      </c>
      <c r="H133" s="448">
        <v>-3086</v>
      </c>
      <c r="I133" s="448">
        <v>-2315</v>
      </c>
      <c r="J133" s="448">
        <v>-1543</v>
      </c>
      <c r="K133" s="448">
        <v>-771</v>
      </c>
      <c r="L133" s="448">
        <v>0</v>
      </c>
      <c r="M133" s="219">
        <f t="shared" si="26"/>
        <v>31</v>
      </c>
      <c r="N133" s="274" t="s">
        <v>1434</v>
      </c>
      <c r="O133" s="426" t="s">
        <v>1375</v>
      </c>
      <c r="P133" s="448">
        <v>0</v>
      </c>
      <c r="Q133" s="448">
        <v>0</v>
      </c>
      <c r="R133" s="448">
        <v>0</v>
      </c>
      <c r="S133" s="448">
        <v>0</v>
      </c>
      <c r="T133" s="448">
        <v>0</v>
      </c>
      <c r="U133" s="448">
        <v>0</v>
      </c>
      <c r="V133" s="448">
        <v>0</v>
      </c>
      <c r="W133" s="448">
        <v>0</v>
      </c>
      <c r="X133" s="448">
        <f t="shared" si="33"/>
        <v>-7684</v>
      </c>
      <c r="Y133" s="448">
        <f t="shared" si="34"/>
        <v>-591.07692307692309</v>
      </c>
    </row>
    <row r="134" spans="1:25" s="218" customFormat="1">
      <c r="A134" s="219">
        <f t="shared" si="24"/>
        <v>32</v>
      </c>
      <c r="B134" s="274" t="s">
        <v>1435</v>
      </c>
      <c r="C134" s="426" t="s">
        <v>1375</v>
      </c>
      <c r="D134" s="443">
        <v>-1582</v>
      </c>
      <c r="E134" s="282"/>
      <c r="F134" s="448">
        <f t="shared" si="32"/>
        <v>-1582</v>
      </c>
      <c r="G134" s="442">
        <v>0</v>
      </c>
      <c r="H134" s="448">
        <v>-1582</v>
      </c>
      <c r="I134" s="448">
        <v>-1582</v>
      </c>
      <c r="J134" s="448">
        <v>-1582</v>
      </c>
      <c r="K134" s="448">
        <v>-1582</v>
      </c>
      <c r="L134" s="448">
        <v>-1582</v>
      </c>
      <c r="M134" s="219">
        <f t="shared" si="26"/>
        <v>32</v>
      </c>
      <c r="N134" s="274" t="s">
        <v>1435</v>
      </c>
      <c r="O134" s="426" t="s">
        <v>1375</v>
      </c>
      <c r="P134" s="448">
        <v>-1582</v>
      </c>
      <c r="Q134" s="448">
        <v>-1582</v>
      </c>
      <c r="R134" s="448">
        <v>-1582</v>
      </c>
      <c r="S134" s="448">
        <v>-1582</v>
      </c>
      <c r="T134" s="448">
        <v>-1582</v>
      </c>
      <c r="U134" s="448">
        <v>-1582</v>
      </c>
      <c r="V134" s="448">
        <v>-1582</v>
      </c>
      <c r="W134" s="448">
        <v>-1582</v>
      </c>
      <c r="X134" s="448">
        <f t="shared" si="33"/>
        <v>-20534</v>
      </c>
      <c r="Y134" s="448">
        <f t="shared" si="34"/>
        <v>-1579.5384615384614</v>
      </c>
    </row>
    <row r="135" spans="1:25" s="218" customFormat="1">
      <c r="A135" s="219">
        <f t="shared" si="24"/>
        <v>33</v>
      </c>
      <c r="B135" s="274" t="s">
        <v>1436</v>
      </c>
      <c r="C135" s="426" t="s">
        <v>1375</v>
      </c>
      <c r="D135" s="443">
        <v>-396</v>
      </c>
      <c r="E135" s="282"/>
      <c r="F135" s="448">
        <f t="shared" si="32"/>
        <v>-396</v>
      </c>
      <c r="G135" s="442">
        <v>0</v>
      </c>
      <c r="H135" s="448">
        <v>-396</v>
      </c>
      <c r="I135" s="448">
        <v>-396</v>
      </c>
      <c r="J135" s="448">
        <v>-396</v>
      </c>
      <c r="K135" s="448">
        <v>-396</v>
      </c>
      <c r="L135" s="448">
        <v>-396</v>
      </c>
      <c r="M135" s="219">
        <f t="shared" si="26"/>
        <v>33</v>
      </c>
      <c r="N135" s="274" t="s">
        <v>1436</v>
      </c>
      <c r="O135" s="426" t="s">
        <v>1375</v>
      </c>
      <c r="P135" s="448">
        <v>-396</v>
      </c>
      <c r="Q135" s="448">
        <v>-396</v>
      </c>
      <c r="R135" s="448">
        <v>-396</v>
      </c>
      <c r="S135" s="448">
        <v>-396</v>
      </c>
      <c r="T135" s="448">
        <v>-396</v>
      </c>
      <c r="U135" s="448">
        <v>-396</v>
      </c>
      <c r="V135" s="448">
        <v>-396</v>
      </c>
      <c r="W135" s="448">
        <v>-396</v>
      </c>
      <c r="X135" s="448">
        <f t="shared" si="33"/>
        <v>-5115</v>
      </c>
      <c r="Y135" s="448">
        <f t="shared" si="34"/>
        <v>-393.46153846153845</v>
      </c>
    </row>
    <row r="136" spans="1:25" s="218" customFormat="1">
      <c r="A136" s="219">
        <f t="shared" si="24"/>
        <v>34</v>
      </c>
      <c r="B136" s="274" t="s">
        <v>1437</v>
      </c>
      <c r="C136" s="426" t="s">
        <v>1375</v>
      </c>
      <c r="D136" s="443">
        <v>-3751</v>
      </c>
      <c r="E136" s="282"/>
      <c r="F136" s="448">
        <f t="shared" si="32"/>
        <v>-3751</v>
      </c>
      <c r="G136" s="442">
        <v>0</v>
      </c>
      <c r="H136" s="448">
        <v>-3751</v>
      </c>
      <c r="I136" s="448">
        <v>-3717</v>
      </c>
      <c r="J136" s="448">
        <v>-3682</v>
      </c>
      <c r="K136" s="448">
        <v>-3644</v>
      </c>
      <c r="L136" s="448">
        <v>-3605</v>
      </c>
      <c r="M136" s="219">
        <f t="shared" si="26"/>
        <v>34</v>
      </c>
      <c r="N136" s="274" t="s">
        <v>1437</v>
      </c>
      <c r="O136" s="426" t="s">
        <v>1375</v>
      </c>
      <c r="P136" s="448">
        <v>-3563</v>
      </c>
      <c r="Q136" s="448">
        <v>-3563</v>
      </c>
      <c r="R136" s="448">
        <v>-3563</v>
      </c>
      <c r="S136" s="448">
        <v>-3563</v>
      </c>
      <c r="T136" s="448">
        <v>-3563</v>
      </c>
      <c r="U136" s="448">
        <v>-3563</v>
      </c>
      <c r="V136" s="448">
        <v>-3563</v>
      </c>
      <c r="W136" s="448">
        <v>-3563</v>
      </c>
      <c r="X136" s="448">
        <f t="shared" si="33"/>
        <v>-46869</v>
      </c>
      <c r="Y136" s="448">
        <f t="shared" si="34"/>
        <v>-3605.3076923076924</v>
      </c>
    </row>
    <row r="137" spans="1:25" s="218" customFormat="1">
      <c r="A137" s="219">
        <f t="shared" si="24"/>
        <v>35</v>
      </c>
      <c r="B137" s="274" t="s">
        <v>1438</v>
      </c>
      <c r="C137" s="426" t="s">
        <v>1375</v>
      </c>
      <c r="D137" s="443">
        <v>-940</v>
      </c>
      <c r="E137" s="282"/>
      <c r="F137" s="448">
        <f t="shared" si="32"/>
        <v>-940</v>
      </c>
      <c r="G137" s="442">
        <v>0</v>
      </c>
      <c r="H137" s="448">
        <v>-940</v>
      </c>
      <c r="I137" s="448">
        <v>-932</v>
      </c>
      <c r="J137" s="448">
        <v>-923</v>
      </c>
      <c r="K137" s="448">
        <v>-913</v>
      </c>
      <c r="L137" s="448">
        <v>-904</v>
      </c>
      <c r="M137" s="219">
        <f t="shared" si="26"/>
        <v>35</v>
      </c>
      <c r="N137" s="274" t="s">
        <v>1438</v>
      </c>
      <c r="O137" s="426" t="s">
        <v>1375</v>
      </c>
      <c r="P137" s="448">
        <v>-893</v>
      </c>
      <c r="Q137" s="448">
        <v>-893</v>
      </c>
      <c r="R137" s="448">
        <v>-893</v>
      </c>
      <c r="S137" s="448">
        <v>-893</v>
      </c>
      <c r="T137" s="448">
        <v>-893</v>
      </c>
      <c r="U137" s="448">
        <v>-893</v>
      </c>
      <c r="V137" s="448">
        <v>-893</v>
      </c>
      <c r="W137" s="448">
        <v>-893</v>
      </c>
      <c r="X137" s="448">
        <f t="shared" si="33"/>
        <v>-11721</v>
      </c>
      <c r="Y137" s="448">
        <f t="shared" si="34"/>
        <v>-901.61538461538464</v>
      </c>
    </row>
    <row r="138" spans="1:25" s="218" customFormat="1">
      <c r="A138" s="219">
        <f t="shared" si="24"/>
        <v>36</v>
      </c>
      <c r="B138" s="274" t="s">
        <v>1439</v>
      </c>
      <c r="C138" s="426" t="s">
        <v>1375</v>
      </c>
      <c r="D138" s="443">
        <v>33507</v>
      </c>
      <c r="E138" s="282"/>
      <c r="F138" s="448">
        <f t="shared" si="32"/>
        <v>33507</v>
      </c>
      <c r="G138" s="442">
        <v>0</v>
      </c>
      <c r="H138" s="448">
        <v>33507</v>
      </c>
      <c r="I138" s="448">
        <v>33507</v>
      </c>
      <c r="J138" s="448">
        <v>33507</v>
      </c>
      <c r="K138" s="448">
        <v>30877</v>
      </c>
      <c r="L138" s="448">
        <v>34378</v>
      </c>
      <c r="M138" s="219">
        <f t="shared" si="26"/>
        <v>36</v>
      </c>
      <c r="N138" s="274" t="s">
        <v>1439</v>
      </c>
      <c r="O138" s="426" t="s">
        <v>1375</v>
      </c>
      <c r="P138" s="448">
        <v>34894</v>
      </c>
      <c r="Q138" s="448">
        <v>34894</v>
      </c>
      <c r="R138" s="448">
        <v>34894</v>
      </c>
      <c r="S138" s="448">
        <v>34894</v>
      </c>
      <c r="T138" s="448">
        <v>34894</v>
      </c>
      <c r="U138" s="448">
        <v>34894</v>
      </c>
      <c r="V138" s="448">
        <v>34894</v>
      </c>
      <c r="W138" s="448">
        <v>34894</v>
      </c>
      <c r="X138" s="448">
        <f t="shared" si="33"/>
        <v>444964</v>
      </c>
      <c r="Y138" s="448">
        <f t="shared" si="34"/>
        <v>34228</v>
      </c>
    </row>
    <row r="139" spans="1:25" s="218" customFormat="1">
      <c r="A139" s="219">
        <f t="shared" si="24"/>
        <v>37</v>
      </c>
      <c r="B139" s="274" t="s">
        <v>1440</v>
      </c>
      <c r="C139" s="426" t="s">
        <v>1375</v>
      </c>
      <c r="D139" s="443">
        <v>8398</v>
      </c>
      <c r="E139" s="282"/>
      <c r="F139" s="448">
        <f t="shared" si="32"/>
        <v>8398</v>
      </c>
      <c r="G139" s="442">
        <v>0</v>
      </c>
      <c r="H139" s="448">
        <v>8398</v>
      </c>
      <c r="I139" s="448">
        <v>8398</v>
      </c>
      <c r="J139" s="448">
        <v>8398</v>
      </c>
      <c r="K139" s="448">
        <v>7739</v>
      </c>
      <c r="L139" s="448">
        <v>8616</v>
      </c>
      <c r="M139" s="219">
        <f t="shared" si="26"/>
        <v>37</v>
      </c>
      <c r="N139" s="274" t="s">
        <v>1440</v>
      </c>
      <c r="O139" s="426" t="s">
        <v>1375</v>
      </c>
      <c r="P139" s="448">
        <v>8745</v>
      </c>
      <c r="Q139" s="448">
        <v>8745</v>
      </c>
      <c r="R139" s="448">
        <v>8745</v>
      </c>
      <c r="S139" s="448">
        <v>8745</v>
      </c>
      <c r="T139" s="448">
        <v>8745</v>
      </c>
      <c r="U139" s="448">
        <v>8745</v>
      </c>
      <c r="V139" s="448">
        <v>8745</v>
      </c>
      <c r="W139" s="448">
        <v>8745</v>
      </c>
      <c r="X139" s="448">
        <f t="shared" si="33"/>
        <v>111546</v>
      </c>
      <c r="Y139" s="448">
        <f t="shared" si="34"/>
        <v>8580.461538461539</v>
      </c>
    </row>
    <row r="140" spans="1:25" s="218" customFormat="1">
      <c r="A140" s="219">
        <f t="shared" si="24"/>
        <v>38</v>
      </c>
      <c r="B140" s="274" t="s">
        <v>1441</v>
      </c>
      <c r="C140" s="426" t="s">
        <v>1375</v>
      </c>
      <c r="D140" s="443">
        <v>-3010</v>
      </c>
      <c r="E140" s="282"/>
      <c r="F140" s="448">
        <f t="shared" si="32"/>
        <v>-3010</v>
      </c>
      <c r="G140" s="442">
        <v>0</v>
      </c>
      <c r="H140" s="448">
        <v>-3010</v>
      </c>
      <c r="I140" s="448">
        <v>-2822</v>
      </c>
      <c r="J140" s="448">
        <v>-2634</v>
      </c>
      <c r="K140" s="448">
        <v>-2446</v>
      </c>
      <c r="L140" s="448">
        <v>-2258</v>
      </c>
      <c r="M140" s="219">
        <f t="shared" si="26"/>
        <v>38</v>
      </c>
      <c r="N140" s="274" t="s">
        <v>1441</v>
      </c>
      <c r="O140" s="426" t="s">
        <v>1375</v>
      </c>
      <c r="P140" s="448">
        <v>-2258</v>
      </c>
      <c r="Q140" s="448">
        <v>-2258</v>
      </c>
      <c r="R140" s="448">
        <v>-2258</v>
      </c>
      <c r="S140" s="448">
        <v>-2258</v>
      </c>
      <c r="T140" s="448">
        <v>-2258</v>
      </c>
      <c r="U140" s="448">
        <v>-2258</v>
      </c>
      <c r="V140" s="448">
        <v>-2258</v>
      </c>
      <c r="W140" s="448">
        <v>-2258</v>
      </c>
      <c r="X140" s="448">
        <f t="shared" si="33"/>
        <v>-31196</v>
      </c>
      <c r="Y140" s="448">
        <f t="shared" si="34"/>
        <v>-2399.6923076923076</v>
      </c>
    </row>
    <row r="141" spans="1:25" s="218" customFormat="1">
      <c r="A141" s="219">
        <f t="shared" si="24"/>
        <v>39</v>
      </c>
      <c r="B141" s="274" t="s">
        <v>1442</v>
      </c>
      <c r="C141" s="426" t="s">
        <v>1375</v>
      </c>
      <c r="D141" s="443">
        <v>-755</v>
      </c>
      <c r="E141" s="282"/>
      <c r="F141" s="448">
        <f t="shared" si="32"/>
        <v>-755</v>
      </c>
      <c r="G141" s="442">
        <v>0</v>
      </c>
      <c r="H141" s="448">
        <v>-755</v>
      </c>
      <c r="I141" s="448">
        <v>-708</v>
      </c>
      <c r="J141" s="448">
        <v>-660</v>
      </c>
      <c r="K141" s="448">
        <v>-613</v>
      </c>
      <c r="L141" s="448">
        <v>-566</v>
      </c>
      <c r="M141" s="219">
        <f t="shared" si="26"/>
        <v>39</v>
      </c>
      <c r="N141" s="274" t="s">
        <v>1442</v>
      </c>
      <c r="O141" s="426" t="s">
        <v>1375</v>
      </c>
      <c r="P141" s="448">
        <v>-566</v>
      </c>
      <c r="Q141" s="448">
        <v>-566</v>
      </c>
      <c r="R141" s="448">
        <v>-566</v>
      </c>
      <c r="S141" s="448">
        <v>-566</v>
      </c>
      <c r="T141" s="448">
        <v>-566</v>
      </c>
      <c r="U141" s="448">
        <v>-566</v>
      </c>
      <c r="V141" s="448">
        <v>-566</v>
      </c>
      <c r="W141" s="448">
        <v>-566</v>
      </c>
      <c r="X141" s="448">
        <f t="shared" si="33"/>
        <v>-7791</v>
      </c>
      <c r="Y141" s="448">
        <f t="shared" si="34"/>
        <v>-599.30769230769226</v>
      </c>
    </row>
    <row r="142" spans="1:25" s="218" customFormat="1">
      <c r="A142" s="219">
        <f t="shared" si="24"/>
        <v>40</v>
      </c>
      <c r="B142" s="274" t="s">
        <v>1443</v>
      </c>
      <c r="C142" s="426" t="s">
        <v>1399</v>
      </c>
      <c r="D142" s="443">
        <v>-16693</v>
      </c>
      <c r="E142" s="282"/>
      <c r="F142" s="448">
        <f t="shared" si="32"/>
        <v>-16693</v>
      </c>
      <c r="G142" s="442">
        <v>0</v>
      </c>
      <c r="H142" s="448">
        <v>-16693</v>
      </c>
      <c r="I142" s="448">
        <v>-17574</v>
      </c>
      <c r="J142" s="448">
        <v>-18455</v>
      </c>
      <c r="K142" s="448">
        <v>-19336</v>
      </c>
      <c r="L142" s="448">
        <v>-65452</v>
      </c>
      <c r="M142" s="219">
        <f t="shared" si="26"/>
        <v>40</v>
      </c>
      <c r="N142" s="274" t="s">
        <v>1443</v>
      </c>
      <c r="O142" s="426" t="s">
        <v>1399</v>
      </c>
      <c r="P142" s="448">
        <v>-66131</v>
      </c>
      <c r="Q142" s="448">
        <v>-66131</v>
      </c>
      <c r="R142" s="448">
        <v>-66131</v>
      </c>
      <c r="S142" s="448">
        <v>-66131</v>
      </c>
      <c r="T142" s="448">
        <v>-66131</v>
      </c>
      <c r="U142" s="448">
        <v>-66131</v>
      </c>
      <c r="V142" s="448">
        <v>-66131</v>
      </c>
      <c r="W142" s="448">
        <v>-66131</v>
      </c>
      <c r="X142" s="448">
        <f t="shared" si="33"/>
        <v>-666518</v>
      </c>
      <c r="Y142" s="448">
        <f t="shared" si="34"/>
        <v>-51270.615384615383</v>
      </c>
    </row>
    <row r="143" spans="1:25" s="218" customFormat="1">
      <c r="A143" s="219">
        <f t="shared" si="24"/>
        <v>41</v>
      </c>
      <c r="B143" s="274" t="s">
        <v>1444</v>
      </c>
      <c r="C143" s="426" t="s">
        <v>1399</v>
      </c>
      <c r="D143" s="443">
        <v>-4184</v>
      </c>
      <c r="E143" s="282"/>
      <c r="F143" s="448">
        <f t="shared" si="32"/>
        <v>-4184</v>
      </c>
      <c r="G143" s="442">
        <v>0</v>
      </c>
      <c r="H143" s="448">
        <v>-4184</v>
      </c>
      <c r="I143" s="448">
        <v>-4405</v>
      </c>
      <c r="J143" s="448">
        <v>-4625</v>
      </c>
      <c r="K143" s="448">
        <v>-4846</v>
      </c>
      <c r="L143" s="448">
        <v>-16404</v>
      </c>
      <c r="M143" s="219">
        <f t="shared" si="26"/>
        <v>41</v>
      </c>
      <c r="N143" s="274" t="s">
        <v>1444</v>
      </c>
      <c r="O143" s="426" t="s">
        <v>1399</v>
      </c>
      <c r="P143" s="448">
        <v>-16574</v>
      </c>
      <c r="Q143" s="448">
        <v>-16574</v>
      </c>
      <c r="R143" s="448">
        <v>-16574</v>
      </c>
      <c r="S143" s="448">
        <v>-16574</v>
      </c>
      <c r="T143" s="448">
        <v>-16574</v>
      </c>
      <c r="U143" s="448">
        <v>-16574</v>
      </c>
      <c r="V143" s="448">
        <v>-16574</v>
      </c>
      <c r="W143" s="448">
        <v>-16574</v>
      </c>
      <c r="X143" s="448">
        <f t="shared" si="33"/>
        <v>-167015</v>
      </c>
      <c r="Y143" s="448">
        <f t="shared" si="34"/>
        <v>-12847.307692307691</v>
      </c>
    </row>
    <row r="144" spans="1:25" s="218" customFormat="1">
      <c r="A144" s="219">
        <f t="shared" si="24"/>
        <v>42</v>
      </c>
      <c r="B144" s="274" t="s">
        <v>1445</v>
      </c>
      <c r="C144" s="426" t="s">
        <v>1375</v>
      </c>
      <c r="D144" s="443">
        <v>-56398</v>
      </c>
      <c r="E144" s="282"/>
      <c r="F144" s="448">
        <f t="shared" si="32"/>
        <v>-56398</v>
      </c>
      <c r="G144" s="442">
        <v>0</v>
      </c>
      <c r="H144" s="448">
        <v>-56398</v>
      </c>
      <c r="I144" s="448">
        <v>-52746</v>
      </c>
      <c r="J144" s="448">
        <v>-54692</v>
      </c>
      <c r="K144" s="448">
        <v>-50773</v>
      </c>
      <c r="L144" s="448">
        <v>-46832</v>
      </c>
      <c r="M144" s="219">
        <f t="shared" si="26"/>
        <v>42</v>
      </c>
      <c r="N144" s="274" t="s">
        <v>1445</v>
      </c>
      <c r="O144" s="426" t="s">
        <v>1375</v>
      </c>
      <c r="P144" s="448">
        <v>31610</v>
      </c>
      <c r="Q144" s="448">
        <v>31610</v>
      </c>
      <c r="R144" s="448">
        <v>31610</v>
      </c>
      <c r="S144" s="448">
        <v>31610</v>
      </c>
      <c r="T144" s="448">
        <v>31610</v>
      </c>
      <c r="U144" s="448">
        <v>31610</v>
      </c>
      <c r="V144" s="448">
        <v>31610</v>
      </c>
      <c r="W144" s="448">
        <v>31610</v>
      </c>
      <c r="X144" s="448">
        <f t="shared" si="33"/>
        <v>-8519</v>
      </c>
      <c r="Y144" s="448">
        <f t="shared" si="34"/>
        <v>-655.30769230769226</v>
      </c>
    </row>
    <row r="145" spans="1:25" s="218" customFormat="1">
      <c r="A145" s="219">
        <f t="shared" si="24"/>
        <v>43</v>
      </c>
      <c r="B145" s="274" t="s">
        <v>1446</v>
      </c>
      <c r="C145" s="426" t="s">
        <v>1375</v>
      </c>
      <c r="D145" s="443">
        <v>-14135</v>
      </c>
      <c r="E145" s="282"/>
      <c r="F145" s="448">
        <f t="shared" si="32"/>
        <v>-14135</v>
      </c>
      <c r="G145" s="442">
        <v>0</v>
      </c>
      <c r="H145" s="448">
        <v>-14135</v>
      </c>
      <c r="I145" s="448">
        <v>-13219</v>
      </c>
      <c r="J145" s="448">
        <v>-13708</v>
      </c>
      <c r="K145" s="448">
        <v>-12726</v>
      </c>
      <c r="L145" s="448">
        <v>-11738</v>
      </c>
      <c r="M145" s="219">
        <f t="shared" si="26"/>
        <v>43</v>
      </c>
      <c r="N145" s="274" t="s">
        <v>1446</v>
      </c>
      <c r="O145" s="426" t="s">
        <v>1375</v>
      </c>
      <c r="P145" s="448">
        <v>7923</v>
      </c>
      <c r="Q145" s="448">
        <v>7923</v>
      </c>
      <c r="R145" s="448">
        <v>7923</v>
      </c>
      <c r="S145" s="448">
        <v>7923</v>
      </c>
      <c r="T145" s="448">
        <v>7923</v>
      </c>
      <c r="U145" s="448">
        <v>7923</v>
      </c>
      <c r="V145" s="448">
        <v>7923</v>
      </c>
      <c r="W145" s="448">
        <v>7923</v>
      </c>
      <c r="X145" s="448">
        <f t="shared" si="33"/>
        <v>-2099</v>
      </c>
      <c r="Y145" s="448">
        <f t="shared" si="34"/>
        <v>-161.46153846153845</v>
      </c>
    </row>
    <row r="146" spans="1:25" s="218" customFormat="1">
      <c r="A146" s="219">
        <f t="shared" si="24"/>
        <v>44</v>
      </c>
      <c r="B146" s="274" t="s">
        <v>1447</v>
      </c>
      <c r="C146" s="426"/>
      <c r="D146" s="451">
        <f>SUM(D116:D145)</f>
        <v>-920697</v>
      </c>
      <c r="E146" s="282"/>
      <c r="F146" s="451">
        <f t="shared" ref="F146:Y146" si="35">SUM(F116:F145)</f>
        <v>-920697</v>
      </c>
      <c r="G146" s="451">
        <f t="shared" si="35"/>
        <v>0</v>
      </c>
      <c r="H146" s="451">
        <f t="shared" si="35"/>
        <v>-920697</v>
      </c>
      <c r="I146" s="451">
        <f t="shared" si="35"/>
        <v>-729070</v>
      </c>
      <c r="J146" s="451">
        <f t="shared" si="35"/>
        <v>-657692</v>
      </c>
      <c r="K146" s="451">
        <f t="shared" si="35"/>
        <v>-927333</v>
      </c>
      <c r="L146" s="451">
        <f t="shared" si="35"/>
        <v>-799643</v>
      </c>
      <c r="M146" s="219">
        <f t="shared" si="26"/>
        <v>44</v>
      </c>
      <c r="N146" s="274" t="s">
        <v>1447</v>
      </c>
      <c r="O146" s="426"/>
      <c r="P146" s="451">
        <f>SUM(P116:P145)</f>
        <v>-392609</v>
      </c>
      <c r="Q146" s="451">
        <f>SUM(Q116:Q145)</f>
        <v>-392609</v>
      </c>
      <c r="R146" s="451">
        <f t="shared" si="35"/>
        <v>-392609</v>
      </c>
      <c r="S146" s="451">
        <f t="shared" si="35"/>
        <v>-392609</v>
      </c>
      <c r="T146" s="451">
        <f t="shared" si="35"/>
        <v>-392609</v>
      </c>
      <c r="U146" s="451">
        <f t="shared" si="35"/>
        <v>-392609</v>
      </c>
      <c r="V146" s="451">
        <f t="shared" si="35"/>
        <v>-392609</v>
      </c>
      <c r="W146" s="451">
        <f t="shared" si="35"/>
        <v>-392609</v>
      </c>
      <c r="X146" s="451">
        <f t="shared" si="35"/>
        <v>-7174466</v>
      </c>
      <c r="Y146" s="451">
        <f t="shared" si="35"/>
        <v>-551882.00000000058</v>
      </c>
    </row>
    <row r="147" spans="1:25" s="1009" customFormat="1">
      <c r="A147" s="219">
        <f t="shared" si="24"/>
        <v>45</v>
      </c>
      <c r="B147" s="218"/>
      <c r="C147" s="426"/>
      <c r="D147" s="448"/>
      <c r="E147" s="282"/>
      <c r="F147" s="448"/>
      <c r="G147" s="448"/>
      <c r="H147" s="448"/>
      <c r="I147" s="448"/>
      <c r="J147" s="448"/>
      <c r="K147" s="448"/>
      <c r="L147" s="448"/>
      <c r="M147" s="219">
        <f t="shared" si="26"/>
        <v>45</v>
      </c>
      <c r="N147" s="218"/>
      <c r="O147" s="426"/>
      <c r="P147" s="448"/>
      <c r="Q147" s="448"/>
      <c r="R147" s="448"/>
      <c r="S147" s="448"/>
      <c r="T147" s="448"/>
      <c r="U147" s="448"/>
      <c r="V147" s="448"/>
      <c r="W147" s="448"/>
      <c r="X147" s="448"/>
      <c r="Y147" s="448"/>
    </row>
    <row r="148" spans="1:25" s="218" customFormat="1">
      <c r="A148" s="219">
        <f t="shared" si="24"/>
        <v>46</v>
      </c>
      <c r="B148" s="274" t="s">
        <v>1448</v>
      </c>
      <c r="C148" s="426"/>
      <c r="D148" s="451">
        <f>D85+D109+D146</f>
        <v>-62979490</v>
      </c>
      <c r="E148" s="282"/>
      <c r="F148" s="451">
        <f t="shared" ref="F148:Y148" si="36">F85+F109+F146</f>
        <v>-62979490</v>
      </c>
      <c r="G148" s="451">
        <f t="shared" si="36"/>
        <v>0</v>
      </c>
      <c r="H148" s="451">
        <f t="shared" si="36"/>
        <v>-62979490</v>
      </c>
      <c r="I148" s="451">
        <f t="shared" si="36"/>
        <v>-62926067</v>
      </c>
      <c r="J148" s="451">
        <f t="shared" si="36"/>
        <v>-62965042</v>
      </c>
      <c r="K148" s="451">
        <f t="shared" si="36"/>
        <v>-64008724</v>
      </c>
      <c r="L148" s="451">
        <f t="shared" si="36"/>
        <v>-68149442</v>
      </c>
      <c r="M148" s="219">
        <f t="shared" si="26"/>
        <v>46</v>
      </c>
      <c r="N148" s="274" t="s">
        <v>1448</v>
      </c>
      <c r="O148" s="426"/>
      <c r="P148" s="451">
        <f>P85+P109+P146</f>
        <v>-68642711</v>
      </c>
      <c r="Q148" s="451">
        <f>Q85+Q109+Q146</f>
        <v>-69889168.361971915</v>
      </c>
      <c r="R148" s="451">
        <f t="shared" si="36"/>
        <v>-71135625.72394383</v>
      </c>
      <c r="S148" s="451">
        <f t="shared" si="36"/>
        <v>-72382083.085915759</v>
      </c>
      <c r="T148" s="451">
        <f t="shared" si="36"/>
        <v>-73628540.447887674</v>
      </c>
      <c r="U148" s="451">
        <f t="shared" si="36"/>
        <v>-74874997.809859574</v>
      </c>
      <c r="V148" s="451">
        <f t="shared" si="36"/>
        <v>-76121455.171831518</v>
      </c>
      <c r="W148" s="451">
        <f t="shared" si="36"/>
        <v>-77367912.533803418</v>
      </c>
      <c r="X148" s="451">
        <f t="shared" si="36"/>
        <v>-905068413.13521361</v>
      </c>
      <c r="Y148" s="451">
        <f t="shared" si="36"/>
        <v>-69620647.164247215</v>
      </c>
    </row>
    <row r="149" spans="1:25" s="218" customFormat="1">
      <c r="A149" s="219"/>
      <c r="B149" s="274"/>
      <c r="C149" s="426"/>
      <c r="D149" s="443"/>
      <c r="E149" s="282"/>
      <c r="F149" s="443"/>
      <c r="G149" s="443"/>
      <c r="H149" s="443"/>
      <c r="I149" s="443"/>
      <c r="J149" s="443"/>
      <c r="K149" s="443"/>
      <c r="L149" s="443"/>
      <c r="M149" s="219"/>
      <c r="N149" s="274"/>
      <c r="O149" s="426"/>
      <c r="P149" s="443"/>
      <c r="Q149" s="443"/>
      <c r="R149" s="443"/>
      <c r="S149" s="443"/>
      <c r="T149" s="443"/>
      <c r="U149" s="443"/>
      <c r="V149" s="443"/>
      <c r="W149" s="443"/>
      <c r="X149" s="443"/>
      <c r="Y149" s="443"/>
    </row>
    <row r="150" spans="1:25">
      <c r="A150" s="1306" t="str">
        <f>'General Headers Index'!$B$4</f>
        <v>COLUMBIA GAS OF KENTUCKY, INC.</v>
      </c>
      <c r="B150" s="1306"/>
      <c r="C150" s="1306"/>
      <c r="D150" s="1306"/>
      <c r="E150" s="1306"/>
      <c r="F150" s="1306"/>
      <c r="G150" s="1306"/>
      <c r="H150" s="1306"/>
      <c r="I150" s="1306"/>
      <c r="J150" s="1306"/>
      <c r="K150" s="1306"/>
      <c r="L150" s="1306"/>
      <c r="M150" s="1306" t="str">
        <f>$A$1</f>
        <v>COLUMBIA GAS OF KENTUCKY, INC.</v>
      </c>
      <c r="N150" s="1306"/>
      <c r="O150" s="1306"/>
      <c r="P150" s="1306"/>
      <c r="Q150" s="1306"/>
      <c r="R150" s="1306"/>
      <c r="S150" s="1306"/>
      <c r="T150" s="1306"/>
      <c r="U150" s="1306"/>
      <c r="V150" s="1306"/>
      <c r="W150" s="1306"/>
      <c r="X150" s="1306"/>
      <c r="Y150" s="1306"/>
    </row>
    <row r="151" spans="1:25">
      <c r="A151" s="1306" t="str">
        <f>'General Headers Index'!$B$6</f>
        <v>CASE NO. 2024 - 00092</v>
      </c>
      <c r="B151" s="1306"/>
      <c r="C151" s="1306"/>
      <c r="D151" s="1306"/>
      <c r="E151" s="1306"/>
      <c r="F151" s="1306"/>
      <c r="G151" s="1306"/>
      <c r="H151" s="1306"/>
      <c r="I151" s="1306"/>
      <c r="J151" s="1306"/>
      <c r="K151" s="1306"/>
      <c r="L151" s="1306"/>
      <c r="M151" s="1306" t="str">
        <f>$A$2</f>
        <v>CASE NO. 2024 - 00092</v>
      </c>
      <c r="N151" s="1306"/>
      <c r="O151" s="1306"/>
      <c r="P151" s="1306"/>
      <c r="Q151" s="1306"/>
      <c r="R151" s="1306"/>
      <c r="S151" s="1306"/>
      <c r="T151" s="1306"/>
      <c r="U151" s="1306"/>
      <c r="V151" s="1306"/>
      <c r="W151" s="1306"/>
      <c r="X151" s="1306"/>
      <c r="Y151" s="1306"/>
    </row>
    <row r="152" spans="1:25">
      <c r="A152" s="1306" t="s">
        <v>556</v>
      </c>
      <c r="B152" s="1306"/>
      <c r="C152" s="1306"/>
      <c r="D152" s="1306"/>
      <c r="E152" s="1306"/>
      <c r="F152" s="1306"/>
      <c r="G152" s="1306"/>
      <c r="H152" s="1306"/>
      <c r="I152" s="1306"/>
      <c r="J152" s="1306"/>
      <c r="K152" s="1306"/>
      <c r="L152" s="1306"/>
      <c r="M152" s="1306" t="str">
        <f>$A$3</f>
        <v>DEFERRED CREDITS AND ACCUMULATED DEFERRED INCOME TAXES</v>
      </c>
      <c r="N152" s="1306"/>
      <c r="O152" s="1306"/>
      <c r="P152" s="1306"/>
      <c r="Q152" s="1306"/>
      <c r="R152" s="1306"/>
      <c r="S152" s="1306"/>
      <c r="T152" s="1306"/>
      <c r="U152" s="1306"/>
      <c r="V152" s="1306"/>
      <c r="W152" s="1306"/>
      <c r="X152" s="1306"/>
      <c r="Y152" s="1306"/>
    </row>
    <row r="153" spans="1:25">
      <c r="A153" s="1306" t="str">
        <f>'General Headers Index'!$B$10</f>
        <v>AS OF AUGUST 31, 2024</v>
      </c>
      <c r="B153" s="1306"/>
      <c r="C153" s="1306"/>
      <c r="D153" s="1306"/>
      <c r="E153" s="1306"/>
      <c r="F153" s="1306"/>
      <c r="G153" s="1306"/>
      <c r="H153" s="1306"/>
      <c r="I153" s="1306"/>
      <c r="J153" s="1306"/>
      <c r="K153" s="1306"/>
      <c r="L153" s="1306"/>
      <c r="M153" s="1306" t="str">
        <f>$A$4</f>
        <v>AS OF AUGUST 31, 2024</v>
      </c>
      <c r="N153" s="1306"/>
      <c r="O153" s="1306"/>
      <c r="P153" s="1306"/>
      <c r="Q153" s="1306"/>
      <c r="R153" s="1306"/>
      <c r="S153" s="1306"/>
      <c r="T153" s="1306"/>
      <c r="U153" s="1306"/>
      <c r="V153" s="1306"/>
      <c r="W153" s="1306"/>
      <c r="X153" s="1306"/>
      <c r="Y153" s="1306"/>
    </row>
    <row r="154" spans="1:25">
      <c r="A154" s="238"/>
      <c r="B154" s="238"/>
      <c r="C154" s="238"/>
      <c r="D154" s="238"/>
      <c r="E154" s="238"/>
      <c r="F154" s="238"/>
      <c r="G154" s="238"/>
      <c r="H154" s="238"/>
      <c r="I154" s="238"/>
      <c r="J154" s="238"/>
      <c r="K154" s="238"/>
      <c r="L154" s="238"/>
      <c r="M154" s="238"/>
      <c r="N154" s="238"/>
      <c r="O154" s="238"/>
      <c r="P154" s="238"/>
      <c r="Q154" s="238"/>
    </row>
    <row r="155" spans="1:25">
      <c r="A155" s="229" t="s">
        <v>2787</v>
      </c>
      <c r="L155" s="326" t="s">
        <v>1353</v>
      </c>
      <c r="M155" s="229" t="s">
        <v>2787</v>
      </c>
      <c r="Y155" s="326" t="s">
        <v>1353</v>
      </c>
    </row>
    <row r="156" spans="1:25">
      <c r="A156" s="229" t="s">
        <v>572</v>
      </c>
      <c r="B156" s="229"/>
      <c r="L156" s="326" t="s">
        <v>2948</v>
      </c>
      <c r="M156" s="229" t="s">
        <v>572</v>
      </c>
      <c r="N156" s="229"/>
      <c r="Y156" s="326" t="s">
        <v>2949</v>
      </c>
    </row>
    <row r="157" spans="1:25">
      <c r="A157" s="229" t="s">
        <v>575</v>
      </c>
      <c r="L157" s="326" t="str">
        <f>$L$8</f>
        <v>WITNESS: HARDING</v>
      </c>
      <c r="M157" s="229" t="s">
        <v>575</v>
      </c>
      <c r="Y157" s="271" t="str">
        <f>$Y$8</f>
        <v>WITNESS: HARDING</v>
      </c>
    </row>
    <row r="158" spans="1:25">
      <c r="A158" s="229"/>
      <c r="M158" s="229"/>
      <c r="P158" s="326"/>
      <c r="Q158" s="229"/>
      <c r="Y158" s="271"/>
    </row>
    <row r="159" spans="1:25" s="217" customFormat="1">
      <c r="A159" s="439"/>
      <c r="B159" s="439"/>
      <c r="C159" s="424"/>
      <c r="D159" s="272" t="s">
        <v>1944</v>
      </c>
      <c r="E159" s="272"/>
      <c r="F159" s="272"/>
      <c r="G159" s="272"/>
      <c r="H159" s="272" t="s">
        <v>1944</v>
      </c>
      <c r="I159" s="272" t="s">
        <v>1945</v>
      </c>
      <c r="J159" s="272" t="s">
        <v>1946</v>
      </c>
      <c r="K159" s="272" t="s">
        <v>1947</v>
      </c>
      <c r="L159" s="272" t="s">
        <v>1948</v>
      </c>
      <c r="M159" s="439"/>
      <c r="N159" s="439"/>
      <c r="O159" s="424"/>
      <c r="P159" s="272" t="s">
        <v>1949</v>
      </c>
      <c r="Q159" s="272" t="s">
        <v>1950</v>
      </c>
      <c r="R159" s="272" t="s">
        <v>1951</v>
      </c>
      <c r="S159" s="272" t="s">
        <v>1952</v>
      </c>
      <c r="T159" s="272" t="s">
        <v>1953</v>
      </c>
      <c r="U159" s="272" t="s">
        <v>1954</v>
      </c>
      <c r="V159" s="272" t="s">
        <v>1955</v>
      </c>
      <c r="W159" s="272" t="s">
        <v>1956</v>
      </c>
      <c r="X159" s="439" t="s">
        <v>349</v>
      </c>
      <c r="Y159" s="440" t="s">
        <v>352</v>
      </c>
    </row>
    <row r="160" spans="1:25">
      <c r="A160" s="217" t="s">
        <v>313</v>
      </c>
      <c r="D160" s="217" t="s">
        <v>538</v>
      </c>
      <c r="E160" s="217" t="s">
        <v>78</v>
      </c>
      <c r="F160" s="217" t="s">
        <v>350</v>
      </c>
      <c r="G160" s="217"/>
      <c r="H160" s="217" t="s">
        <v>1354</v>
      </c>
      <c r="I160" s="217" t="s">
        <v>1354</v>
      </c>
      <c r="J160" s="217" t="s">
        <v>1354</v>
      </c>
      <c r="K160" s="217" t="s">
        <v>1354</v>
      </c>
      <c r="L160" s="217" t="s">
        <v>1354</v>
      </c>
      <c r="M160" s="217" t="s">
        <v>313</v>
      </c>
      <c r="P160" s="217" t="s">
        <v>1354</v>
      </c>
      <c r="Q160" s="217" t="s">
        <v>1354</v>
      </c>
      <c r="R160" s="217" t="s">
        <v>1354</v>
      </c>
      <c r="S160" s="217" t="s">
        <v>1354</v>
      </c>
      <c r="T160" s="217" t="s">
        <v>1354</v>
      </c>
      <c r="U160" s="217" t="s">
        <v>1354</v>
      </c>
      <c r="V160" s="217" t="s">
        <v>1354</v>
      </c>
      <c r="W160" s="217" t="s">
        <v>1354</v>
      </c>
      <c r="X160" s="217" t="s">
        <v>1354</v>
      </c>
      <c r="Y160" s="217" t="s">
        <v>312</v>
      </c>
    </row>
    <row r="161" spans="1:25">
      <c r="A161" s="846" t="s">
        <v>316</v>
      </c>
      <c r="B161" s="999" t="s">
        <v>451</v>
      </c>
      <c r="C161" s="847" t="s">
        <v>1355</v>
      </c>
      <c r="D161" s="846" t="s">
        <v>353</v>
      </c>
      <c r="E161" s="846" t="s">
        <v>529</v>
      </c>
      <c r="F161" s="846" t="s">
        <v>444</v>
      </c>
      <c r="G161" s="846" t="s">
        <v>433</v>
      </c>
      <c r="H161" s="846" t="s">
        <v>444</v>
      </c>
      <c r="I161" s="846" t="s">
        <v>444</v>
      </c>
      <c r="J161" s="846" t="s">
        <v>444</v>
      </c>
      <c r="K161" s="846" t="s">
        <v>444</v>
      </c>
      <c r="L161" s="846" t="s">
        <v>444</v>
      </c>
      <c r="M161" s="846" t="s">
        <v>316</v>
      </c>
      <c r="N161" s="999" t="s">
        <v>451</v>
      </c>
      <c r="O161" s="847" t="s">
        <v>1355</v>
      </c>
      <c r="P161" s="846" t="s">
        <v>444</v>
      </c>
      <c r="Q161" s="846" t="s">
        <v>444</v>
      </c>
      <c r="R161" s="846" t="s">
        <v>444</v>
      </c>
      <c r="S161" s="846" t="s">
        <v>444</v>
      </c>
      <c r="T161" s="846" t="s">
        <v>444</v>
      </c>
      <c r="U161" s="846" t="s">
        <v>444</v>
      </c>
      <c r="V161" s="846" t="s">
        <v>444</v>
      </c>
      <c r="W161" s="846" t="s">
        <v>444</v>
      </c>
      <c r="X161" s="846" t="s">
        <v>444</v>
      </c>
      <c r="Y161" s="846" t="s">
        <v>441</v>
      </c>
    </row>
    <row r="162" spans="1:25">
      <c r="A162" s="217"/>
      <c r="D162" s="300" t="s">
        <v>532</v>
      </c>
      <c r="E162" s="300" t="s">
        <v>541</v>
      </c>
      <c r="F162" s="300" t="s">
        <v>542</v>
      </c>
      <c r="G162" s="300" t="s">
        <v>668</v>
      </c>
      <c r="H162" s="300" t="s">
        <v>669</v>
      </c>
      <c r="I162" s="300" t="s">
        <v>670</v>
      </c>
      <c r="J162" s="300" t="s">
        <v>984</v>
      </c>
      <c r="K162" s="300" t="s">
        <v>985</v>
      </c>
      <c r="L162" s="300" t="s">
        <v>986</v>
      </c>
      <c r="M162" s="217"/>
      <c r="P162" s="300" t="s">
        <v>987</v>
      </c>
      <c r="Q162" s="300" t="s">
        <v>988</v>
      </c>
      <c r="R162" s="300" t="s">
        <v>989</v>
      </c>
      <c r="S162" s="300" t="s">
        <v>990</v>
      </c>
      <c r="T162" s="300" t="s">
        <v>991</v>
      </c>
      <c r="U162" s="300" t="s">
        <v>992</v>
      </c>
      <c r="V162" s="300" t="s">
        <v>993</v>
      </c>
      <c r="W162" s="300" t="s">
        <v>1356</v>
      </c>
      <c r="X162" s="300" t="s">
        <v>1357</v>
      </c>
      <c r="Y162" s="300" t="s">
        <v>1358</v>
      </c>
    </row>
    <row r="163" spans="1:25">
      <c r="A163" s="217"/>
      <c r="D163" s="300" t="s">
        <v>320</v>
      </c>
      <c r="E163" s="300"/>
      <c r="F163" s="300" t="s">
        <v>320</v>
      </c>
      <c r="G163" s="300" t="s">
        <v>320</v>
      </c>
      <c r="H163" s="300" t="s">
        <v>320</v>
      </c>
      <c r="I163" s="300" t="s">
        <v>320</v>
      </c>
      <c r="J163" s="300" t="s">
        <v>320</v>
      </c>
      <c r="K163" s="300" t="s">
        <v>320</v>
      </c>
      <c r="L163" s="300" t="s">
        <v>320</v>
      </c>
      <c r="M163" s="217"/>
      <c r="P163" s="300" t="s">
        <v>320</v>
      </c>
      <c r="Q163" s="300" t="s">
        <v>320</v>
      </c>
      <c r="R163" s="300" t="s">
        <v>320</v>
      </c>
      <c r="S163" s="300" t="s">
        <v>320</v>
      </c>
      <c r="T163" s="300" t="s">
        <v>320</v>
      </c>
      <c r="U163" s="300" t="s">
        <v>320</v>
      </c>
      <c r="V163" s="300" t="s">
        <v>320</v>
      </c>
      <c r="W163" s="300" t="s">
        <v>320</v>
      </c>
      <c r="X163" s="300" t="s">
        <v>320</v>
      </c>
      <c r="Y163" s="300" t="s">
        <v>320</v>
      </c>
    </row>
    <row r="164" spans="1:25">
      <c r="A164" s="217"/>
      <c r="D164" s="300"/>
      <c r="E164" s="300"/>
      <c r="F164" s="300"/>
      <c r="G164" s="300"/>
      <c r="H164" s="300"/>
      <c r="I164" s="300"/>
      <c r="J164" s="300"/>
      <c r="K164" s="300"/>
      <c r="L164" s="300"/>
      <c r="M164" s="217"/>
      <c r="P164" s="300"/>
      <c r="Q164" s="300"/>
      <c r="R164" s="300"/>
      <c r="S164" s="300"/>
      <c r="T164" s="300"/>
      <c r="U164" s="300"/>
      <c r="V164" s="300"/>
      <c r="W164" s="300"/>
      <c r="X164" s="300"/>
      <c r="Y164" s="300"/>
    </row>
    <row r="165" spans="1:25" s="218" customFormat="1">
      <c r="A165" s="219">
        <v>1</v>
      </c>
      <c r="B165" s="274"/>
      <c r="C165" s="426"/>
      <c r="D165" s="445"/>
      <c r="F165" s="443"/>
      <c r="G165" s="443"/>
      <c r="H165" s="443"/>
      <c r="I165" s="443"/>
      <c r="J165" s="443"/>
      <c r="K165" s="443"/>
      <c r="L165" s="443"/>
      <c r="M165" s="219">
        <v>1</v>
      </c>
      <c r="N165" s="274"/>
      <c r="O165" s="426"/>
      <c r="P165" s="443"/>
      <c r="Q165" s="443"/>
      <c r="R165" s="443"/>
      <c r="S165" s="443"/>
      <c r="T165" s="443"/>
      <c r="U165" s="443"/>
      <c r="V165" s="443"/>
      <c r="W165" s="443"/>
      <c r="X165" s="443"/>
      <c r="Y165" s="443"/>
    </row>
    <row r="166" spans="1:25" s="218" customFormat="1">
      <c r="A166" s="219">
        <f t="shared" si="24"/>
        <v>2</v>
      </c>
      <c r="B166" s="264" t="s">
        <v>1449</v>
      </c>
      <c r="C166" s="426"/>
      <c r="D166" s="445"/>
      <c r="F166" s="448"/>
      <c r="G166" s="448"/>
      <c r="H166" s="448"/>
      <c r="I166" s="443"/>
      <c r="J166" s="443"/>
      <c r="K166" s="443"/>
      <c r="L166" s="443"/>
      <c r="M166" s="219">
        <f t="shared" si="26"/>
        <v>2</v>
      </c>
      <c r="N166" s="264" t="s">
        <v>1449</v>
      </c>
      <c r="O166" s="426"/>
      <c r="P166" s="443"/>
      <c r="Q166" s="443"/>
      <c r="R166" s="443"/>
      <c r="S166" s="443"/>
      <c r="T166" s="443"/>
      <c r="U166" s="443"/>
      <c r="V166" s="443"/>
      <c r="W166" s="443"/>
      <c r="X166" s="443"/>
      <c r="Y166" s="443"/>
    </row>
    <row r="167" spans="1:25" s="218" customFormat="1">
      <c r="A167" s="219">
        <f t="shared" si="24"/>
        <v>3</v>
      </c>
      <c r="B167" s="274" t="s">
        <v>1450</v>
      </c>
      <c r="C167" s="426" t="s">
        <v>1373</v>
      </c>
      <c r="D167" s="442">
        <v>193324.30000000005</v>
      </c>
      <c r="E167" s="1003">
        <v>1</v>
      </c>
      <c r="F167" s="448">
        <f>D167*$E$103</f>
        <v>193324.30000000005</v>
      </c>
      <c r="G167" s="448">
        <v>0</v>
      </c>
      <c r="H167" s="448">
        <f>SUM(F167:G167)</f>
        <v>193324.30000000005</v>
      </c>
      <c r="I167" s="448">
        <v>189606.52500000005</v>
      </c>
      <c r="J167" s="448">
        <v>185888.75000000006</v>
      </c>
      <c r="K167" s="448">
        <v>182170.97500000006</v>
      </c>
      <c r="L167" s="448">
        <v>178453.20000000007</v>
      </c>
      <c r="M167" s="219">
        <f t="shared" si="26"/>
        <v>3</v>
      </c>
      <c r="N167" s="274" t="s">
        <v>1450</v>
      </c>
      <c r="O167" s="426" t="s">
        <v>1373</v>
      </c>
      <c r="P167" s="448">
        <v>174735.42500000008</v>
      </c>
      <c r="Q167" s="448">
        <v>171017.65000000008</v>
      </c>
      <c r="R167" s="448">
        <v>167299.87500000009</v>
      </c>
      <c r="S167" s="448">
        <v>163582.10000000009</v>
      </c>
      <c r="T167" s="448">
        <v>159864.3250000001</v>
      </c>
      <c r="U167" s="448">
        <v>156146.5500000001</v>
      </c>
      <c r="V167" s="448">
        <v>152428.77500000011</v>
      </c>
      <c r="W167" s="448">
        <v>148711.00000000006</v>
      </c>
      <c r="X167" s="448">
        <f>SUM(H167:W167)</f>
        <v>2223232.4500000011</v>
      </c>
      <c r="Y167" s="448">
        <f>X167/13</f>
        <v>171017.88076923086</v>
      </c>
    </row>
    <row r="168" spans="1:25" s="218" customFormat="1">
      <c r="A168" s="219">
        <f t="shared" si="24"/>
        <v>4</v>
      </c>
      <c r="B168" s="274" t="s">
        <v>1451</v>
      </c>
      <c r="C168" s="426" t="s">
        <v>1373</v>
      </c>
      <c r="D168" s="442">
        <v>460009.3333333332</v>
      </c>
      <c r="E168" s="282"/>
      <c r="F168" s="448">
        <f>D168*$E$103</f>
        <v>460009.3333333332</v>
      </c>
      <c r="G168" s="448">
        <v>0</v>
      </c>
      <c r="H168" s="448">
        <f>SUM(F168:G168)</f>
        <v>460009.3333333332</v>
      </c>
      <c r="I168" s="448">
        <v>451162.99999999988</v>
      </c>
      <c r="J168" s="448">
        <v>442316.66666666657</v>
      </c>
      <c r="K168" s="448">
        <v>433470.33333333326</v>
      </c>
      <c r="L168" s="448">
        <v>424623.99999999994</v>
      </c>
      <c r="M168" s="219">
        <f t="shared" si="26"/>
        <v>4</v>
      </c>
      <c r="N168" s="274" t="s">
        <v>1451</v>
      </c>
      <c r="O168" s="426" t="s">
        <v>1373</v>
      </c>
      <c r="P168" s="448">
        <v>415777.66666666663</v>
      </c>
      <c r="Q168" s="448">
        <v>406931.33333333331</v>
      </c>
      <c r="R168" s="448">
        <v>398085</v>
      </c>
      <c r="S168" s="448">
        <v>389238.66666666669</v>
      </c>
      <c r="T168" s="448">
        <v>380392.33333333337</v>
      </c>
      <c r="U168" s="448">
        <v>371546.00000000006</v>
      </c>
      <c r="V168" s="448">
        <v>362699.66666666674</v>
      </c>
      <c r="W168" s="448">
        <v>353853.33333333314</v>
      </c>
      <c r="X168" s="448">
        <f>SUM(H168:W168)</f>
        <v>5290111.3333333321</v>
      </c>
      <c r="Y168" s="448">
        <f>X168/13</f>
        <v>406931.64102564094</v>
      </c>
    </row>
    <row r="169" spans="1:25" s="218" customFormat="1">
      <c r="A169" s="219">
        <f t="shared" si="24"/>
        <v>5</v>
      </c>
      <c r="B169" s="274" t="s">
        <v>1372</v>
      </c>
      <c r="C169" s="426" t="s">
        <v>1373</v>
      </c>
      <c r="D169" s="442">
        <v>876925.64102564089</v>
      </c>
      <c r="E169" s="282"/>
      <c r="F169" s="448">
        <f>D169*$E$103</f>
        <v>876925.64102564089</v>
      </c>
      <c r="G169" s="448">
        <v>0</v>
      </c>
      <c r="H169" s="448">
        <f>SUM(F169:G169)</f>
        <v>876925.64102564089</v>
      </c>
      <c r="I169" s="448">
        <v>874733.32692307676</v>
      </c>
      <c r="J169" s="448">
        <v>872541.01282051264</v>
      </c>
      <c r="K169" s="448">
        <v>870348.69871794851</v>
      </c>
      <c r="L169" s="448">
        <v>868156.38461538439</v>
      </c>
      <c r="M169" s="219">
        <f t="shared" si="26"/>
        <v>5</v>
      </c>
      <c r="N169" s="274" t="s">
        <v>1372</v>
      </c>
      <c r="O169" s="426" t="s">
        <v>1373</v>
      </c>
      <c r="P169" s="448">
        <v>865964.07051282027</v>
      </c>
      <c r="Q169" s="448">
        <v>863771.75641025614</v>
      </c>
      <c r="R169" s="448">
        <v>861579.44230769202</v>
      </c>
      <c r="S169" s="448">
        <v>859387.1282051279</v>
      </c>
      <c r="T169" s="448">
        <v>857194.81410256377</v>
      </c>
      <c r="U169" s="448">
        <v>855002.49999999965</v>
      </c>
      <c r="V169" s="448">
        <v>852810.18589743553</v>
      </c>
      <c r="W169" s="448">
        <v>850617.87179487164</v>
      </c>
      <c r="X169" s="448">
        <f>SUM(H169:W169)</f>
        <v>11229037.83333333</v>
      </c>
      <c r="Y169" s="448">
        <f>X169/13</f>
        <v>863772.14102564077</v>
      </c>
    </row>
    <row r="170" spans="1:25" s="218" customFormat="1">
      <c r="A170" s="219">
        <f t="shared" si="24"/>
        <v>6</v>
      </c>
      <c r="B170" s="274" t="s">
        <v>1452</v>
      </c>
      <c r="C170" s="426" t="s">
        <v>1373</v>
      </c>
      <c r="D170" s="442">
        <v>-27463422.924119998</v>
      </c>
      <c r="F170" s="448">
        <f>D170*$E$103</f>
        <v>-27463422.924119998</v>
      </c>
      <c r="G170" s="448">
        <v>0</v>
      </c>
      <c r="H170" s="448">
        <f>SUM(F170:G170)</f>
        <v>-27463422.924119998</v>
      </c>
      <c r="I170" s="448">
        <v>-27407694.488801666</v>
      </c>
      <c r="J170" s="448">
        <v>-27351966.053483333</v>
      </c>
      <c r="K170" s="448">
        <v>-27296237.618165001</v>
      </c>
      <c r="L170" s="448">
        <v>-27240509.182846669</v>
      </c>
      <c r="M170" s="219">
        <f t="shared" si="26"/>
        <v>6</v>
      </c>
      <c r="N170" s="274" t="s">
        <v>1452</v>
      </c>
      <c r="O170" s="426" t="s">
        <v>1373</v>
      </c>
      <c r="P170" s="448">
        <v>-27184780.747528337</v>
      </c>
      <c r="Q170" s="448">
        <v>-27129052.312210005</v>
      </c>
      <c r="R170" s="448">
        <v>-27073323.876891673</v>
      </c>
      <c r="S170" s="448">
        <v>-27017595.44157334</v>
      </c>
      <c r="T170" s="448">
        <v>-26961867.006255008</v>
      </c>
      <c r="U170" s="448">
        <v>-26906138.570936676</v>
      </c>
      <c r="V170" s="448">
        <v>-26850410.135618344</v>
      </c>
      <c r="W170" s="442">
        <v>-26794681.700299997</v>
      </c>
      <c r="X170" s="448">
        <f>SUM(H170:W170)</f>
        <v>-352677674.05873007</v>
      </c>
      <c r="Y170" s="448">
        <f>X170/13</f>
        <v>-27129051.850671545</v>
      </c>
    </row>
    <row r="171" spans="1:25" s="218" customFormat="1">
      <c r="A171" s="219">
        <f t="shared" si="24"/>
        <v>7</v>
      </c>
      <c r="B171" s="274" t="s">
        <v>1453</v>
      </c>
      <c r="C171" s="426"/>
      <c r="D171" s="451">
        <f>SUM(D167:D170)</f>
        <v>-25933163.649761025</v>
      </c>
      <c r="F171" s="451">
        <f t="shared" ref="F171:X171" si="37">SUM(F167:F170)</f>
        <v>-25933163.649761025</v>
      </c>
      <c r="G171" s="451">
        <f t="shared" si="37"/>
        <v>0</v>
      </c>
      <c r="H171" s="451">
        <f t="shared" si="37"/>
        <v>-25933163.649761025</v>
      </c>
      <c r="I171" s="451">
        <f t="shared" si="37"/>
        <v>-25892191.636878587</v>
      </c>
      <c r="J171" s="451">
        <f t="shared" si="37"/>
        <v>-25851219.623996153</v>
      </c>
      <c r="K171" s="451">
        <f t="shared" si="37"/>
        <v>-25810247.61111372</v>
      </c>
      <c r="L171" s="451">
        <f t="shared" si="37"/>
        <v>-25769275.598231286</v>
      </c>
      <c r="M171" s="219">
        <f t="shared" si="26"/>
        <v>7</v>
      </c>
      <c r="N171" s="274" t="s">
        <v>1453</v>
      </c>
      <c r="O171" s="426"/>
      <c r="P171" s="451">
        <f>SUM(P167:P170)</f>
        <v>-25728303.585348852</v>
      </c>
      <c r="Q171" s="451">
        <f>SUM(Q167:Q170)</f>
        <v>-25687331.572466414</v>
      </c>
      <c r="R171" s="451">
        <f t="shared" si="37"/>
        <v>-25646359.559583981</v>
      </c>
      <c r="S171" s="451">
        <f t="shared" si="37"/>
        <v>-25605387.546701547</v>
      </c>
      <c r="T171" s="451">
        <f t="shared" si="37"/>
        <v>-25564415.533819109</v>
      </c>
      <c r="U171" s="451">
        <f t="shared" si="37"/>
        <v>-25523443.520936675</v>
      </c>
      <c r="V171" s="451">
        <f t="shared" si="37"/>
        <v>-25482471.508054242</v>
      </c>
      <c r="W171" s="451">
        <f t="shared" si="37"/>
        <v>-25441499.495171793</v>
      </c>
      <c r="X171" s="451">
        <f t="shared" si="37"/>
        <v>-333935292.44206339</v>
      </c>
      <c r="Y171" s="451">
        <f>SUM(Y167:Y170)</f>
        <v>-25687330.187851034</v>
      </c>
    </row>
    <row r="172" spans="1:25" s="218" customFormat="1">
      <c r="A172" s="219">
        <f t="shared" si="24"/>
        <v>8</v>
      </c>
      <c r="C172" s="426"/>
      <c r="D172" s="442"/>
      <c r="F172" s="442"/>
      <c r="G172" s="442"/>
      <c r="H172" s="442"/>
      <c r="I172" s="442"/>
      <c r="J172" s="442"/>
      <c r="K172" s="442"/>
      <c r="L172" s="442"/>
      <c r="M172" s="219">
        <f t="shared" si="26"/>
        <v>8</v>
      </c>
      <c r="O172" s="426"/>
      <c r="P172" s="442"/>
      <c r="Q172" s="442"/>
      <c r="R172" s="442"/>
      <c r="S172" s="442"/>
      <c r="T172" s="442"/>
      <c r="U172" s="442"/>
      <c r="V172" s="442"/>
      <c r="W172" s="442"/>
      <c r="X172" s="442"/>
      <c r="Y172" s="442"/>
    </row>
    <row r="173" spans="1:25" s="1006" customFormat="1">
      <c r="A173" s="426">
        <f t="shared" si="24"/>
        <v>9</v>
      </c>
      <c r="B173" s="454" t="s">
        <v>2045</v>
      </c>
      <c r="C173" s="426"/>
      <c r="D173" s="445"/>
      <c r="E173" s="218"/>
      <c r="F173" s="448"/>
      <c r="G173" s="448"/>
      <c r="H173" s="448"/>
      <c r="I173" s="443"/>
      <c r="J173" s="443"/>
      <c r="K173" s="443"/>
      <c r="L173" s="443"/>
      <c r="M173" s="426">
        <f t="shared" si="26"/>
        <v>9</v>
      </c>
      <c r="N173" s="454" t="s">
        <v>2045</v>
      </c>
      <c r="O173" s="426"/>
      <c r="P173" s="443"/>
      <c r="Q173" s="443"/>
      <c r="R173" s="443"/>
      <c r="S173" s="443"/>
      <c r="T173" s="443"/>
      <c r="U173" s="443"/>
      <c r="V173" s="443"/>
      <c r="W173" s="443"/>
      <c r="X173" s="443"/>
      <c r="Y173" s="443"/>
    </row>
    <row r="174" spans="1:25" s="1006" customFormat="1">
      <c r="A174" s="426">
        <f t="shared" si="24"/>
        <v>10</v>
      </c>
      <c r="B174" s="446" t="s">
        <v>1450</v>
      </c>
      <c r="C174" s="426"/>
      <c r="D174" s="442">
        <v>257594.00399733521</v>
      </c>
      <c r="E174" s="447">
        <v>1</v>
      </c>
      <c r="F174" s="448">
        <f>D174*$E$103</f>
        <v>257594.00399733521</v>
      </c>
      <c r="G174" s="448">
        <v>0</v>
      </c>
      <c r="H174" s="448">
        <f>SUM(F174:G174)</f>
        <v>257594.00399733521</v>
      </c>
      <c r="I174" s="442">
        <v>252640.27315123263</v>
      </c>
      <c r="J174" s="442">
        <v>247686.54230513002</v>
      </c>
      <c r="K174" s="442">
        <v>242732.81145902743</v>
      </c>
      <c r="L174" s="442">
        <v>237779.08061292485</v>
      </c>
      <c r="M174" s="426">
        <f t="shared" si="26"/>
        <v>10</v>
      </c>
      <c r="N174" s="446" t="s">
        <v>1450</v>
      </c>
      <c r="O174" s="426"/>
      <c r="P174" s="442">
        <v>232825.34976682224</v>
      </c>
      <c r="Q174" s="442">
        <v>227871.61892071966</v>
      </c>
      <c r="R174" s="442">
        <v>222917.88807461708</v>
      </c>
      <c r="S174" s="442">
        <v>217964.15722851446</v>
      </c>
      <c r="T174" s="442">
        <v>213010.42638241188</v>
      </c>
      <c r="U174" s="442">
        <v>208056.6955363093</v>
      </c>
      <c r="V174" s="442">
        <v>203102.96469020669</v>
      </c>
      <c r="W174" s="442">
        <v>198149.23384410402</v>
      </c>
      <c r="X174" s="448">
        <f>SUM(H174:W174)</f>
        <v>2962341.0459693559</v>
      </c>
      <c r="Y174" s="448">
        <f>X174/13</f>
        <v>227872.38815148891</v>
      </c>
    </row>
    <row r="175" spans="1:25" s="1006" customFormat="1">
      <c r="A175" s="426">
        <f t="shared" si="24"/>
        <v>11</v>
      </c>
      <c r="B175" s="446" t="s">
        <v>1451</v>
      </c>
      <c r="C175" s="426"/>
      <c r="D175" s="442">
        <v>612937.15300910489</v>
      </c>
      <c r="E175" s="449"/>
      <c r="F175" s="448">
        <f>D175*$E$103</f>
        <v>612937.15300910489</v>
      </c>
      <c r="G175" s="448">
        <v>0</v>
      </c>
      <c r="H175" s="448">
        <f>SUM(F175:G175)</f>
        <v>612937.15300910489</v>
      </c>
      <c r="I175" s="442">
        <v>601149.90006662218</v>
      </c>
      <c r="J175" s="442">
        <v>589362.64712413936</v>
      </c>
      <c r="K175" s="442">
        <v>577575.39418165665</v>
      </c>
      <c r="L175" s="442">
        <v>565788.14123917383</v>
      </c>
      <c r="M175" s="426">
        <f t="shared" si="26"/>
        <v>11</v>
      </c>
      <c r="N175" s="446" t="s">
        <v>1451</v>
      </c>
      <c r="O175" s="426"/>
      <c r="P175" s="442">
        <v>554000.88829669112</v>
      </c>
      <c r="Q175" s="442">
        <v>542213.63535420829</v>
      </c>
      <c r="R175" s="442">
        <v>530426.38241172559</v>
      </c>
      <c r="S175" s="442">
        <v>518639.12946924282</v>
      </c>
      <c r="T175" s="442">
        <v>506851.87652676005</v>
      </c>
      <c r="U175" s="442">
        <v>495064.62358427729</v>
      </c>
      <c r="V175" s="442">
        <v>483277.37064179452</v>
      </c>
      <c r="W175" s="442">
        <v>471490.11769931135</v>
      </c>
      <c r="X175" s="448">
        <f>SUM(H175:W175)</f>
        <v>7048788.2596047083</v>
      </c>
      <c r="Y175" s="448">
        <f>X175/13</f>
        <v>542214.48150805454</v>
      </c>
    </row>
    <row r="176" spans="1:25" s="1006" customFormat="1">
      <c r="A176" s="426">
        <f t="shared" si="24"/>
        <v>12</v>
      </c>
      <c r="B176" s="446" t="s">
        <v>1372</v>
      </c>
      <c r="C176" s="426"/>
      <c r="D176" s="442">
        <v>1168455.2178889287</v>
      </c>
      <c r="E176" s="449"/>
      <c r="F176" s="448">
        <f>D176*$E$103</f>
        <v>1168455.2178889287</v>
      </c>
      <c r="G176" s="448">
        <v>0</v>
      </c>
      <c r="H176" s="448">
        <f>SUM(F176:G176)</f>
        <v>1168455.2178889287</v>
      </c>
      <c r="I176" s="442">
        <v>1165534.0798442063</v>
      </c>
      <c r="J176" s="442">
        <v>1162612.941799484</v>
      </c>
      <c r="K176" s="442">
        <v>1159691.8037547616</v>
      </c>
      <c r="L176" s="442">
        <v>1156770.6657100392</v>
      </c>
      <c r="M176" s="426">
        <f t="shared" si="26"/>
        <v>12</v>
      </c>
      <c r="N176" s="446" t="s">
        <v>1372</v>
      </c>
      <c r="O176" s="426"/>
      <c r="P176" s="442">
        <v>1153849.5276653171</v>
      </c>
      <c r="Q176" s="442">
        <v>1150928.3896205947</v>
      </c>
      <c r="R176" s="442">
        <v>1148007.2515758723</v>
      </c>
      <c r="S176" s="442">
        <v>1145086.1135311499</v>
      </c>
      <c r="T176" s="442">
        <v>1142164.9754864275</v>
      </c>
      <c r="U176" s="442">
        <v>1139243.8374417052</v>
      </c>
      <c r="V176" s="442">
        <v>1136322.6993969828</v>
      </c>
      <c r="W176" s="442">
        <v>1133401.5613522609</v>
      </c>
      <c r="X176" s="448">
        <f>SUM(H176:W176)</f>
        <v>14962081.065067731</v>
      </c>
      <c r="Y176" s="448">
        <f>X176/13</f>
        <v>1150929.3126975177</v>
      </c>
    </row>
    <row r="177" spans="1:25" s="1006" customFormat="1">
      <c r="A177" s="426">
        <f t="shared" si="24"/>
        <v>13</v>
      </c>
      <c r="B177" s="446" t="s">
        <v>1452</v>
      </c>
      <c r="C177" s="426"/>
      <c r="D177" s="442">
        <v>-36148980.578441039</v>
      </c>
      <c r="E177" s="420"/>
      <c r="F177" s="448">
        <f>D177*$E$103</f>
        <v>-36148980.578441039</v>
      </c>
      <c r="G177" s="448">
        <v>0</v>
      </c>
      <c r="H177" s="448">
        <f>SUM(F177:G177)</f>
        <v>-36148980.578441039</v>
      </c>
      <c r="I177" s="442">
        <v>-36074725.50140129</v>
      </c>
      <c r="J177" s="442">
        <v>-36000470.424361542</v>
      </c>
      <c r="K177" s="442">
        <v>-35926215.347321793</v>
      </c>
      <c r="L177" s="442">
        <v>-35851960.270282045</v>
      </c>
      <c r="M177" s="426">
        <f t="shared" si="26"/>
        <v>13</v>
      </c>
      <c r="N177" s="446" t="s">
        <v>1452</v>
      </c>
      <c r="O177" s="426"/>
      <c r="P177" s="442">
        <v>-35777705.193242289</v>
      </c>
      <c r="Q177" s="442">
        <v>-35703450.116202541</v>
      </c>
      <c r="R177" s="442">
        <v>-35629195.039162792</v>
      </c>
      <c r="S177" s="442">
        <v>-35554939.962123044</v>
      </c>
      <c r="T177" s="442">
        <v>-35480684.885083295</v>
      </c>
      <c r="U177" s="442">
        <v>-35406429.808043547</v>
      </c>
      <c r="V177" s="442">
        <v>-35332174.731003791</v>
      </c>
      <c r="W177" s="442">
        <v>-35257919.653964028</v>
      </c>
      <c r="X177" s="448">
        <f>SUM(H177:W177)</f>
        <v>-464144838.51063299</v>
      </c>
      <c r="Y177" s="448">
        <f>X177/13</f>
        <v>-35703449.116202541</v>
      </c>
    </row>
    <row r="178" spans="1:25" s="1006" customFormat="1">
      <c r="A178" s="426">
        <f t="shared" si="24"/>
        <v>14</v>
      </c>
      <c r="B178" s="446" t="s">
        <v>1453</v>
      </c>
      <c r="C178" s="426"/>
      <c r="D178" s="451">
        <f>SUM(D174:D177)</f>
        <v>-34109994.203545667</v>
      </c>
      <c r="E178" s="420"/>
      <c r="F178" s="451">
        <f t="shared" ref="F178:X178" si="38">SUM(F174:F177)</f>
        <v>-34109994.203545667</v>
      </c>
      <c r="G178" s="451">
        <f t="shared" si="38"/>
        <v>0</v>
      </c>
      <c r="H178" s="451">
        <f t="shared" si="38"/>
        <v>-34109994.203545667</v>
      </c>
      <c r="I178" s="451">
        <f t="shared" si="38"/>
        <v>-34055401.248339228</v>
      </c>
      <c r="J178" s="451">
        <f t="shared" si="38"/>
        <v>-34000808.293132789</v>
      </c>
      <c r="K178" s="451">
        <f t="shared" si="38"/>
        <v>-33946215.337926351</v>
      </c>
      <c r="L178" s="451">
        <f t="shared" si="38"/>
        <v>-33891622.382719904</v>
      </c>
      <c r="M178" s="426">
        <f t="shared" si="26"/>
        <v>14</v>
      </c>
      <c r="N178" s="446" t="s">
        <v>1453</v>
      </c>
      <c r="O178" s="426"/>
      <c r="P178" s="451">
        <f>SUM(P174:P177)</f>
        <v>-33837029.427513458</v>
      </c>
      <c r="Q178" s="451">
        <f>SUM(Q174:Q177)</f>
        <v>-33782436.472307019</v>
      </c>
      <c r="R178" s="451">
        <f t="shared" si="38"/>
        <v>-33727843.51710058</v>
      </c>
      <c r="S178" s="451">
        <f t="shared" si="38"/>
        <v>-33673250.561894134</v>
      </c>
      <c r="T178" s="451">
        <f t="shared" si="38"/>
        <v>-33618657.606687695</v>
      </c>
      <c r="U178" s="451">
        <f t="shared" si="38"/>
        <v>-33564064.651481256</v>
      </c>
      <c r="V178" s="451">
        <f t="shared" si="38"/>
        <v>-33509471.696274806</v>
      </c>
      <c r="W178" s="451">
        <f t="shared" si="38"/>
        <v>-33454878.741068352</v>
      </c>
      <c r="X178" s="451">
        <f t="shared" si="38"/>
        <v>-439171628.13999122</v>
      </c>
      <c r="Y178" s="451">
        <f>SUM(Y174:Y177)</f>
        <v>-33782432.933845483</v>
      </c>
    </row>
    <row r="179" spans="1:25" s="218" customFormat="1">
      <c r="A179" s="219">
        <f t="shared" si="24"/>
        <v>15</v>
      </c>
      <c r="C179" s="426"/>
      <c r="D179" s="442"/>
      <c r="F179" s="442"/>
      <c r="G179" s="442"/>
      <c r="H179" s="442"/>
      <c r="I179" s="442"/>
      <c r="J179" s="442"/>
      <c r="K179" s="442"/>
      <c r="L179" s="442"/>
      <c r="M179" s="219">
        <f t="shared" si="26"/>
        <v>15</v>
      </c>
      <c r="O179" s="426"/>
      <c r="P179" s="442"/>
      <c r="Q179" s="442"/>
      <c r="R179" s="442"/>
      <c r="S179" s="442"/>
      <c r="T179" s="442"/>
      <c r="U179" s="442"/>
      <c r="V179" s="442"/>
      <c r="W179" s="442"/>
      <c r="X179" s="442"/>
      <c r="Y179" s="442"/>
    </row>
    <row r="180" spans="1:25" s="218" customFormat="1">
      <c r="A180" s="219">
        <f t="shared" si="24"/>
        <v>16</v>
      </c>
      <c r="B180" s="264" t="s">
        <v>1454</v>
      </c>
      <c r="C180" s="426"/>
      <c r="D180" s="445"/>
      <c r="F180" s="448"/>
      <c r="G180" s="448"/>
      <c r="H180" s="448"/>
      <c r="I180" s="443"/>
      <c r="J180" s="443"/>
      <c r="K180" s="443"/>
      <c r="L180" s="443"/>
      <c r="M180" s="219">
        <f t="shared" ref="M180:M196" si="39">M179+1</f>
        <v>16</v>
      </c>
      <c r="N180" s="264" t="s">
        <v>1454</v>
      </c>
      <c r="O180" s="426"/>
      <c r="P180" s="443"/>
      <c r="Q180" s="443"/>
      <c r="R180" s="443"/>
      <c r="S180" s="443"/>
      <c r="T180" s="443"/>
      <c r="U180" s="443"/>
      <c r="V180" s="443"/>
      <c r="W180" s="443"/>
      <c r="X180" s="443"/>
      <c r="Y180" s="443"/>
    </row>
    <row r="181" spans="1:25" s="218" customFormat="1">
      <c r="A181" s="219">
        <f t="shared" ref="A181:A196" si="40">A180+1</f>
        <v>17</v>
      </c>
      <c r="B181" s="274" t="s">
        <v>1450</v>
      </c>
      <c r="C181" s="426" t="s">
        <v>1373</v>
      </c>
      <c r="D181" s="442">
        <v>18181.893888888888</v>
      </c>
      <c r="E181" s="447">
        <v>1</v>
      </c>
      <c r="F181" s="448">
        <f>D181*$E$103</f>
        <v>18181.893888888888</v>
      </c>
      <c r="G181" s="448">
        <v>0</v>
      </c>
      <c r="H181" s="448">
        <f>SUM(F181:G181)</f>
        <v>18181.893888888888</v>
      </c>
      <c r="I181" s="448">
        <v>17832.242083333331</v>
      </c>
      <c r="J181" s="448">
        <v>17482.590277777774</v>
      </c>
      <c r="K181" s="448">
        <v>17132.938472222217</v>
      </c>
      <c r="L181" s="448">
        <v>16783.28666666666</v>
      </c>
      <c r="M181" s="219">
        <f t="shared" si="39"/>
        <v>17</v>
      </c>
      <c r="N181" s="274" t="s">
        <v>1450</v>
      </c>
      <c r="O181" s="426" t="s">
        <v>1373</v>
      </c>
      <c r="P181" s="448">
        <v>16433.634861111103</v>
      </c>
      <c r="Q181" s="448">
        <v>16083.983055555547</v>
      </c>
      <c r="R181" s="448">
        <v>15734.331249999992</v>
      </c>
      <c r="S181" s="448">
        <v>15384.679444444437</v>
      </c>
      <c r="T181" s="448">
        <v>15035.027638888881</v>
      </c>
      <c r="U181" s="448">
        <v>14685.375833333326</v>
      </c>
      <c r="V181" s="448">
        <v>14335.724027777771</v>
      </c>
      <c r="W181" s="448">
        <v>13986.072222222223</v>
      </c>
      <c r="X181" s="448">
        <f>SUM(H181:W181)</f>
        <v>209108.77972222216</v>
      </c>
      <c r="Y181" s="448">
        <f>X181/13</f>
        <v>16085.290747863242</v>
      </c>
    </row>
    <row r="182" spans="1:25" s="218" customFormat="1">
      <c r="A182" s="219">
        <f t="shared" si="40"/>
        <v>18</v>
      </c>
      <c r="B182" s="274" t="s">
        <v>1451</v>
      </c>
      <c r="C182" s="426" t="s">
        <v>1373</v>
      </c>
      <c r="D182" s="442">
        <v>43262.945555555554</v>
      </c>
      <c r="E182" s="282"/>
      <c r="F182" s="448">
        <f>D182*$E$103</f>
        <v>43262.945555555554</v>
      </c>
      <c r="G182" s="448">
        <v>0</v>
      </c>
      <c r="H182" s="448">
        <f>SUM(F182:G182)</f>
        <v>43262.945555555554</v>
      </c>
      <c r="I182" s="448">
        <v>42430.965833333335</v>
      </c>
      <c r="J182" s="448">
        <v>41598.986111111109</v>
      </c>
      <c r="K182" s="448">
        <v>40767.006388888884</v>
      </c>
      <c r="L182" s="448">
        <v>39935.026666666658</v>
      </c>
      <c r="M182" s="219">
        <f t="shared" si="39"/>
        <v>18</v>
      </c>
      <c r="N182" s="274" t="s">
        <v>1451</v>
      </c>
      <c r="O182" s="426" t="s">
        <v>1373</v>
      </c>
      <c r="P182" s="448">
        <v>39103.046944444432</v>
      </c>
      <c r="Q182" s="448">
        <v>38271.067222222206</v>
      </c>
      <c r="R182" s="448">
        <v>37439.08749999998</v>
      </c>
      <c r="S182" s="448">
        <v>36607.107777777754</v>
      </c>
      <c r="T182" s="448">
        <v>35775.128055555528</v>
      </c>
      <c r="U182" s="448">
        <v>34943.148333333302</v>
      </c>
      <c r="V182" s="448">
        <v>34111.168611111076</v>
      </c>
      <c r="W182" s="448">
        <v>33279.188888888886</v>
      </c>
      <c r="X182" s="448">
        <f>SUM(H182:W182)</f>
        <v>497541.87388888869</v>
      </c>
      <c r="Y182" s="448">
        <f>X182/13</f>
        <v>38272.451837606823</v>
      </c>
    </row>
    <row r="183" spans="1:25" s="218" customFormat="1">
      <c r="A183" s="219">
        <f t="shared" si="40"/>
        <v>19</v>
      </c>
      <c r="B183" s="274" t="s">
        <v>1452</v>
      </c>
      <c r="C183" s="426" t="s">
        <v>1373</v>
      </c>
      <c r="D183" s="442">
        <v>-1276758.1238095239</v>
      </c>
      <c r="F183" s="448">
        <f>D183*$E$103</f>
        <v>-1276758.1238095239</v>
      </c>
      <c r="G183" s="448">
        <v>0</v>
      </c>
      <c r="H183" s="448">
        <f>SUM(F183:G183)</f>
        <v>-1276758.1238095239</v>
      </c>
      <c r="I183" s="448">
        <v>-1273566.2285</v>
      </c>
      <c r="J183" s="448">
        <v>-1270374.3331904761</v>
      </c>
      <c r="K183" s="448">
        <v>-1267182.4378809521</v>
      </c>
      <c r="L183" s="448">
        <v>-1263990.5425714282</v>
      </c>
      <c r="M183" s="219">
        <f t="shared" si="39"/>
        <v>19</v>
      </c>
      <c r="N183" s="274" t="s">
        <v>1452</v>
      </c>
      <c r="O183" s="426" t="s">
        <v>1373</v>
      </c>
      <c r="P183" s="448">
        <v>-1260798.6472619043</v>
      </c>
      <c r="Q183" s="448">
        <v>-1257606.7519523804</v>
      </c>
      <c r="R183" s="448">
        <v>-1254414.8566428565</v>
      </c>
      <c r="S183" s="448">
        <v>-1251222.9613333326</v>
      </c>
      <c r="T183" s="448">
        <v>-1248031.0660238087</v>
      </c>
      <c r="U183" s="448">
        <v>-1244839.1707142848</v>
      </c>
      <c r="V183" s="448">
        <v>-1241647.2754047608</v>
      </c>
      <c r="W183" s="442">
        <v>-1238455.3800952381</v>
      </c>
      <c r="X183" s="448">
        <f>SUM(H183:W183)</f>
        <v>-16348868.775380947</v>
      </c>
      <c r="Y183" s="448">
        <f>X183/13</f>
        <v>-1257605.2904139189</v>
      </c>
    </row>
    <row r="184" spans="1:25" s="218" customFormat="1">
      <c r="A184" s="219">
        <f t="shared" si="40"/>
        <v>20</v>
      </c>
      <c r="B184" s="274" t="s">
        <v>1453</v>
      </c>
      <c r="C184" s="426"/>
      <c r="D184" s="451">
        <f>SUM(D181:D183)</f>
        <v>-1215313.2843650794</v>
      </c>
      <c r="F184" s="451">
        <f t="shared" ref="F184:X184" si="41">SUM(F181:F183)</f>
        <v>-1215313.2843650794</v>
      </c>
      <c r="G184" s="451">
        <f t="shared" si="41"/>
        <v>0</v>
      </c>
      <c r="H184" s="451">
        <f t="shared" si="41"/>
        <v>-1215313.2843650794</v>
      </c>
      <c r="I184" s="451">
        <f t="shared" si="41"/>
        <v>-1213303.0205833332</v>
      </c>
      <c r="J184" s="451">
        <f t="shared" si="41"/>
        <v>-1211292.7568015871</v>
      </c>
      <c r="K184" s="451">
        <f t="shared" si="41"/>
        <v>-1209282.4930198411</v>
      </c>
      <c r="L184" s="451">
        <f t="shared" si="41"/>
        <v>-1207272.229238095</v>
      </c>
      <c r="M184" s="219">
        <f t="shared" si="39"/>
        <v>20</v>
      </c>
      <c r="N184" s="274" t="s">
        <v>1453</v>
      </c>
      <c r="O184" s="426"/>
      <c r="P184" s="451">
        <f>SUM(P181:P183)</f>
        <v>-1205261.9654563488</v>
      </c>
      <c r="Q184" s="451">
        <f>SUM(Q181:Q183)</f>
        <v>-1203251.7016746027</v>
      </c>
      <c r="R184" s="451">
        <f t="shared" si="41"/>
        <v>-1201241.4378928565</v>
      </c>
      <c r="S184" s="451">
        <f t="shared" si="41"/>
        <v>-1199231.1741111104</v>
      </c>
      <c r="T184" s="451">
        <f t="shared" si="41"/>
        <v>-1197220.9103293642</v>
      </c>
      <c r="U184" s="451">
        <f t="shared" si="41"/>
        <v>-1195210.6465476181</v>
      </c>
      <c r="V184" s="451">
        <f t="shared" si="41"/>
        <v>-1193200.3827658719</v>
      </c>
      <c r="W184" s="451">
        <f t="shared" si="41"/>
        <v>-1191190.118984127</v>
      </c>
      <c r="X184" s="451">
        <f t="shared" si="41"/>
        <v>-15642218.121769836</v>
      </c>
      <c r="Y184" s="451">
        <f>SUM(Y181:Y183)</f>
        <v>-1203247.5478284489</v>
      </c>
    </row>
    <row r="185" spans="1:25" s="218" customFormat="1">
      <c r="A185" s="219">
        <f t="shared" si="40"/>
        <v>21</v>
      </c>
      <c r="C185" s="426"/>
      <c r="D185" s="442"/>
      <c r="F185" s="442"/>
      <c r="G185" s="442"/>
      <c r="H185" s="442"/>
      <c r="I185" s="442"/>
      <c r="J185" s="442"/>
      <c r="K185" s="442"/>
      <c r="L185" s="442"/>
      <c r="M185" s="219">
        <f t="shared" si="39"/>
        <v>21</v>
      </c>
      <c r="O185" s="426"/>
      <c r="P185" s="442"/>
      <c r="Q185" s="442"/>
      <c r="R185" s="442"/>
      <c r="S185" s="442"/>
      <c r="T185" s="442"/>
      <c r="U185" s="442"/>
      <c r="V185" s="442"/>
      <c r="W185" s="442"/>
      <c r="X185" s="442"/>
      <c r="Y185" s="442"/>
    </row>
    <row r="186" spans="1:25" s="1006" customFormat="1">
      <c r="A186" s="426">
        <f t="shared" si="40"/>
        <v>22</v>
      </c>
      <c r="B186" s="454" t="s">
        <v>2046</v>
      </c>
      <c r="C186" s="426"/>
      <c r="D186" s="445"/>
      <c r="E186" s="218"/>
      <c r="F186" s="448"/>
      <c r="G186" s="448"/>
      <c r="H186" s="448"/>
      <c r="I186" s="443"/>
      <c r="J186" s="443"/>
      <c r="K186" s="443"/>
      <c r="L186" s="443"/>
      <c r="M186" s="426">
        <f t="shared" si="39"/>
        <v>22</v>
      </c>
      <c r="N186" s="454" t="s">
        <v>2046</v>
      </c>
      <c r="O186" s="426"/>
      <c r="P186" s="443"/>
      <c r="Q186" s="443"/>
      <c r="R186" s="443"/>
      <c r="S186" s="443"/>
      <c r="T186" s="443"/>
      <c r="U186" s="443"/>
      <c r="V186" s="443"/>
      <c r="W186" s="443"/>
      <c r="X186" s="443"/>
      <c r="Y186" s="443"/>
    </row>
    <row r="187" spans="1:25" s="1006" customFormat="1">
      <c r="A187" s="426">
        <f t="shared" si="40"/>
        <v>23</v>
      </c>
      <c r="B187" s="446" t="s">
        <v>1450</v>
      </c>
      <c r="C187" s="426"/>
      <c r="D187" s="442">
        <v>24226.37426900585</v>
      </c>
      <c r="E187" s="447">
        <v>1</v>
      </c>
      <c r="F187" s="448">
        <f>D187*$E$103</f>
        <v>24226.37426900585</v>
      </c>
      <c r="G187" s="448">
        <v>0</v>
      </c>
      <c r="H187" s="448">
        <f>SUM(F187:G187)</f>
        <v>24226.37426900585</v>
      </c>
      <c r="I187" s="442">
        <v>23760.482456140351</v>
      </c>
      <c r="J187" s="442">
        <v>23294.590643274852</v>
      </c>
      <c r="K187" s="442">
        <v>22828.698830409354</v>
      </c>
      <c r="L187" s="442">
        <v>22362.807017543852</v>
      </c>
      <c r="M187" s="426">
        <f t="shared" si="39"/>
        <v>23</v>
      </c>
      <c r="N187" s="446" t="s">
        <v>1450</v>
      </c>
      <c r="O187" s="426"/>
      <c r="P187" s="442">
        <v>21896.915204678353</v>
      </c>
      <c r="Q187" s="442">
        <v>21431.023391812858</v>
      </c>
      <c r="R187" s="442">
        <v>20965.131578947359</v>
      </c>
      <c r="S187" s="442">
        <v>20499.239766081864</v>
      </c>
      <c r="T187" s="442">
        <v>20033.347953216366</v>
      </c>
      <c r="U187" s="442">
        <v>19567.456140350871</v>
      </c>
      <c r="V187" s="442">
        <v>19101.564327485372</v>
      </c>
      <c r="W187" s="442">
        <v>18635.672514619888</v>
      </c>
      <c r="X187" s="448">
        <f>SUM(H187:W187)</f>
        <v>278626.30409356719</v>
      </c>
      <c r="Y187" s="448">
        <f>X187/13</f>
        <v>21432.792622582092</v>
      </c>
    </row>
    <row r="188" spans="1:25" s="1006" customFormat="1">
      <c r="A188" s="426">
        <f t="shared" si="40"/>
        <v>24</v>
      </c>
      <c r="B188" s="446" t="s">
        <v>1451</v>
      </c>
      <c r="C188" s="426"/>
      <c r="D188" s="442">
        <v>57645.497076023399</v>
      </c>
      <c r="E188" s="449"/>
      <c r="F188" s="448">
        <f>D188*$E$103</f>
        <v>57645.497076023399</v>
      </c>
      <c r="G188" s="448">
        <v>0</v>
      </c>
      <c r="H188" s="448">
        <f>SUM(F188:G188)</f>
        <v>57645.497076023399</v>
      </c>
      <c r="I188" s="442">
        <v>56536.929824561412</v>
      </c>
      <c r="J188" s="442">
        <v>55428.362573099417</v>
      </c>
      <c r="K188" s="442">
        <v>54319.79532163743</v>
      </c>
      <c r="L188" s="442">
        <v>53211.228070175435</v>
      </c>
      <c r="M188" s="426">
        <f t="shared" si="39"/>
        <v>24</v>
      </c>
      <c r="N188" s="446" t="s">
        <v>1451</v>
      </c>
      <c r="O188" s="426"/>
      <c r="P188" s="442">
        <v>52102.660818713441</v>
      </c>
      <c r="Q188" s="442">
        <v>50994.093567251446</v>
      </c>
      <c r="R188" s="442">
        <v>49885.526315789451</v>
      </c>
      <c r="S188" s="442">
        <v>48776.959064327457</v>
      </c>
      <c r="T188" s="442">
        <v>47668.39181286547</v>
      </c>
      <c r="U188" s="442">
        <v>46559.824561403475</v>
      </c>
      <c r="V188" s="442">
        <v>45451.25730994148</v>
      </c>
      <c r="W188" s="442">
        <v>44342.690058479537</v>
      </c>
      <c r="X188" s="448">
        <f>SUM(H188:W188)</f>
        <v>662947.21637426887</v>
      </c>
      <c r="Y188" s="448">
        <f>X188/13</f>
        <v>50995.939721097602</v>
      </c>
    </row>
    <row r="189" spans="1:25" s="1006" customFormat="1">
      <c r="A189" s="426">
        <f t="shared" si="40"/>
        <v>25</v>
      </c>
      <c r="B189" s="446" t="s">
        <v>1452</v>
      </c>
      <c r="C189" s="426"/>
      <c r="D189" s="442">
        <v>-1701210.025062657</v>
      </c>
      <c r="E189" s="420"/>
      <c r="F189" s="448">
        <f>D189*$E$103</f>
        <v>-1701210.025062657</v>
      </c>
      <c r="G189" s="448">
        <v>0</v>
      </c>
      <c r="H189" s="448">
        <f>SUM(F189:G189)</f>
        <v>-1701210.025062657</v>
      </c>
      <c r="I189" s="442">
        <v>-1696957.0000000002</v>
      </c>
      <c r="J189" s="442">
        <v>-1692703.9749373435</v>
      </c>
      <c r="K189" s="442">
        <v>-1688450.9498746865</v>
      </c>
      <c r="L189" s="442">
        <v>-1684197.9248120298</v>
      </c>
      <c r="M189" s="426">
        <f t="shared" si="39"/>
        <v>25</v>
      </c>
      <c r="N189" s="446" t="s">
        <v>1452</v>
      </c>
      <c r="O189" s="426"/>
      <c r="P189" s="442">
        <v>-1679944.8997493731</v>
      </c>
      <c r="Q189" s="442">
        <v>-1675691.8746867164</v>
      </c>
      <c r="R189" s="442">
        <v>-1671438.8496240594</v>
      </c>
      <c r="S189" s="442">
        <v>-1667185.8245614027</v>
      </c>
      <c r="T189" s="442">
        <v>-1662932.7994987459</v>
      </c>
      <c r="U189" s="442">
        <v>-1658679.7744360892</v>
      </c>
      <c r="V189" s="442">
        <v>-1654426.7493734325</v>
      </c>
      <c r="W189" s="442">
        <v>-1650173.7243107772</v>
      </c>
      <c r="X189" s="448">
        <f>SUM(H189:W189)</f>
        <v>-21783969.370927315</v>
      </c>
      <c r="Y189" s="448">
        <f>X189/13</f>
        <v>-1675689.9516097936</v>
      </c>
    </row>
    <row r="190" spans="1:25" s="1006" customFormat="1">
      <c r="A190" s="426">
        <f t="shared" si="40"/>
        <v>26</v>
      </c>
      <c r="B190" s="446" t="s">
        <v>1453</v>
      </c>
      <c r="C190" s="426"/>
      <c r="D190" s="451">
        <f>SUM(D187:D189)</f>
        <v>-1619338.1537176277</v>
      </c>
      <c r="E190" s="420"/>
      <c r="F190" s="451">
        <f t="shared" ref="F190:X190" si="42">SUM(F187:F189)</f>
        <v>-1619338.1537176277</v>
      </c>
      <c r="G190" s="451">
        <f t="shared" si="42"/>
        <v>0</v>
      </c>
      <c r="H190" s="451">
        <f t="shared" si="42"/>
        <v>-1619338.1537176277</v>
      </c>
      <c r="I190" s="451">
        <f t="shared" si="42"/>
        <v>-1616659.5877192984</v>
      </c>
      <c r="J190" s="451">
        <f t="shared" si="42"/>
        <v>-1613981.0217209691</v>
      </c>
      <c r="K190" s="451">
        <f t="shared" si="42"/>
        <v>-1611302.4557226398</v>
      </c>
      <c r="L190" s="451">
        <f t="shared" si="42"/>
        <v>-1608623.8897243105</v>
      </c>
      <c r="M190" s="426">
        <f t="shared" si="39"/>
        <v>26</v>
      </c>
      <c r="N190" s="446" t="s">
        <v>1453</v>
      </c>
      <c r="O190" s="426"/>
      <c r="P190" s="451">
        <f>SUM(P187:P189)</f>
        <v>-1605945.3237259812</v>
      </c>
      <c r="Q190" s="451">
        <f>SUM(Q187:Q189)</f>
        <v>-1603266.7577276521</v>
      </c>
      <c r="R190" s="451">
        <f t="shared" si="42"/>
        <v>-1600588.1917293225</v>
      </c>
      <c r="S190" s="451">
        <f t="shared" si="42"/>
        <v>-1597909.6257309932</v>
      </c>
      <c r="T190" s="451">
        <f t="shared" si="42"/>
        <v>-1595231.0597326641</v>
      </c>
      <c r="U190" s="451">
        <f t="shared" si="42"/>
        <v>-1592552.4937343348</v>
      </c>
      <c r="V190" s="451">
        <f t="shared" si="42"/>
        <v>-1589873.9277360057</v>
      </c>
      <c r="W190" s="451">
        <f t="shared" si="42"/>
        <v>-1587195.3617376778</v>
      </c>
      <c r="X190" s="451">
        <f t="shared" si="42"/>
        <v>-20842395.850459479</v>
      </c>
      <c r="Y190" s="451">
        <f>SUM(Y187:Y189)</f>
        <v>-1603261.2192661138</v>
      </c>
    </row>
    <row r="191" spans="1:25" s="218" customFormat="1">
      <c r="A191" s="219">
        <f t="shared" si="40"/>
        <v>27</v>
      </c>
      <c r="C191" s="426"/>
      <c r="D191" s="442"/>
      <c r="F191" s="442"/>
      <c r="G191" s="442"/>
      <c r="H191" s="442"/>
      <c r="I191" s="442"/>
      <c r="J191" s="442"/>
      <c r="K191" s="442"/>
      <c r="L191" s="442"/>
      <c r="M191" s="219">
        <f t="shared" si="39"/>
        <v>27</v>
      </c>
      <c r="O191" s="426"/>
      <c r="P191" s="442"/>
      <c r="Q191" s="442"/>
      <c r="R191" s="442"/>
      <c r="S191" s="442"/>
      <c r="T191" s="442"/>
      <c r="U191" s="442"/>
      <c r="V191" s="442"/>
      <c r="W191" s="442"/>
      <c r="X191" s="442"/>
      <c r="Y191" s="442"/>
    </row>
    <row r="192" spans="1:25" s="218" customFormat="1">
      <c r="A192" s="219">
        <f t="shared" si="40"/>
        <v>28</v>
      </c>
      <c r="B192" s="264" t="s">
        <v>1365</v>
      </c>
      <c r="C192" s="426"/>
      <c r="D192" s="442"/>
      <c r="F192" s="448"/>
      <c r="G192" s="442"/>
      <c r="H192" s="442"/>
      <c r="I192" s="442"/>
      <c r="J192" s="442"/>
      <c r="K192" s="442"/>
      <c r="L192" s="442"/>
      <c r="M192" s="219">
        <f t="shared" si="39"/>
        <v>28</v>
      </c>
      <c r="N192" s="264" t="s">
        <v>1365</v>
      </c>
      <c r="O192" s="426"/>
      <c r="P192" s="442"/>
      <c r="Q192" s="442"/>
      <c r="R192" s="442"/>
      <c r="S192" s="442"/>
      <c r="T192" s="442"/>
      <c r="U192" s="442"/>
      <c r="V192" s="442"/>
      <c r="W192" s="442"/>
      <c r="X192" s="442"/>
      <c r="Y192" s="442"/>
    </row>
    <row r="193" spans="1:25" s="1006" customFormat="1">
      <c r="A193" s="426">
        <f t="shared" si="40"/>
        <v>29</v>
      </c>
      <c r="B193" s="420" t="s">
        <v>1455</v>
      </c>
      <c r="C193" s="426" t="s">
        <v>1375</v>
      </c>
      <c r="D193" s="442">
        <v>-12882</v>
      </c>
      <c r="E193" s="447">
        <v>1</v>
      </c>
      <c r="F193" s="448">
        <f>D193*$E$103</f>
        <v>-12882</v>
      </c>
      <c r="G193" s="442">
        <v>0</v>
      </c>
      <c r="H193" s="448">
        <f>SUM(F193:G193)</f>
        <v>-12882</v>
      </c>
      <c r="I193" s="448">
        <v>-11814</v>
      </c>
      <c r="J193" s="448">
        <v>-10746</v>
      </c>
      <c r="K193" s="448">
        <v>-9678</v>
      </c>
      <c r="L193" s="448">
        <v>-8610</v>
      </c>
      <c r="M193" s="426">
        <f t="shared" si="39"/>
        <v>29</v>
      </c>
      <c r="N193" s="420" t="s">
        <v>1455</v>
      </c>
      <c r="O193" s="426" t="s">
        <v>1375</v>
      </c>
      <c r="P193" s="448">
        <v>-8006.666666666667</v>
      </c>
      <c r="Q193" s="448">
        <v>-7403.3333333333339</v>
      </c>
      <c r="R193" s="448">
        <v>-6800.0000000000009</v>
      </c>
      <c r="S193" s="448">
        <v>-6196.6666666666679</v>
      </c>
      <c r="T193" s="448">
        <v>-5593.3333333333348</v>
      </c>
      <c r="U193" s="448">
        <v>-4990.0000000000018</v>
      </c>
      <c r="V193" s="448">
        <v>-4386.6666666666688</v>
      </c>
      <c r="W193" s="448">
        <v>-3783.3333333333353</v>
      </c>
      <c r="X193" s="448">
        <f>SUM(H193:W193)</f>
        <v>-100861</v>
      </c>
      <c r="Y193" s="448">
        <f>X193/13</f>
        <v>-7758.5384615384619</v>
      </c>
    </row>
    <row r="194" spans="1:25" s="218" customFormat="1">
      <c r="A194" s="219">
        <f t="shared" si="40"/>
        <v>30</v>
      </c>
      <c r="B194" s="274" t="s">
        <v>1453</v>
      </c>
      <c r="C194" s="426"/>
      <c r="D194" s="451">
        <f>SUM(D192:D193)</f>
        <v>-12882</v>
      </c>
      <c r="F194" s="451">
        <f t="shared" ref="F194:Y194" si="43">SUM(F192:F193)</f>
        <v>-12882</v>
      </c>
      <c r="G194" s="451">
        <f t="shared" si="43"/>
        <v>0</v>
      </c>
      <c r="H194" s="451">
        <f t="shared" si="43"/>
        <v>-12882</v>
      </c>
      <c r="I194" s="451">
        <f t="shared" si="43"/>
        <v>-11814</v>
      </c>
      <c r="J194" s="451">
        <f t="shared" si="43"/>
        <v>-10746</v>
      </c>
      <c r="K194" s="451">
        <f t="shared" si="43"/>
        <v>-9678</v>
      </c>
      <c r="L194" s="451">
        <f t="shared" si="43"/>
        <v>-8610</v>
      </c>
      <c r="M194" s="219">
        <f t="shared" si="39"/>
        <v>30</v>
      </c>
      <c r="N194" s="274" t="s">
        <v>1453</v>
      </c>
      <c r="O194" s="426"/>
      <c r="P194" s="451">
        <f>SUM(P192:P193)</f>
        <v>-8006.666666666667</v>
      </c>
      <c r="Q194" s="451">
        <f>SUM(Q192:Q193)</f>
        <v>-7403.3333333333339</v>
      </c>
      <c r="R194" s="451">
        <f t="shared" si="43"/>
        <v>-6800.0000000000009</v>
      </c>
      <c r="S194" s="451">
        <f t="shared" si="43"/>
        <v>-6196.6666666666679</v>
      </c>
      <c r="T194" s="451">
        <f t="shared" si="43"/>
        <v>-5593.3333333333348</v>
      </c>
      <c r="U194" s="451">
        <f t="shared" si="43"/>
        <v>-4990.0000000000018</v>
      </c>
      <c r="V194" s="451">
        <f t="shared" si="43"/>
        <v>-4386.6666666666688</v>
      </c>
      <c r="W194" s="451">
        <f t="shared" si="43"/>
        <v>-3783.3333333333353</v>
      </c>
      <c r="X194" s="451">
        <f t="shared" si="43"/>
        <v>-100861</v>
      </c>
      <c r="Y194" s="451">
        <f t="shared" si="43"/>
        <v>-7758.5384615384619</v>
      </c>
    </row>
    <row r="195" spans="1:25" s="420" customFormat="1">
      <c r="A195" s="426">
        <f t="shared" si="40"/>
        <v>31</v>
      </c>
      <c r="C195" s="426"/>
      <c r="D195" s="434">
        <f>D196-D42</f>
        <v>0</v>
      </c>
      <c r="F195" s="434">
        <f t="shared" ref="F195:Y195" si="44">F196-F42</f>
        <v>-5839315.9999999851</v>
      </c>
      <c r="G195" s="434">
        <f t="shared" si="44"/>
        <v>0</v>
      </c>
      <c r="H195" s="434">
        <f t="shared" si="44"/>
        <v>-5839315.9999999851</v>
      </c>
      <c r="I195" s="434">
        <f t="shared" si="44"/>
        <v>-5849167.9999999851</v>
      </c>
      <c r="J195" s="434">
        <f t="shared" si="44"/>
        <v>-5873387</v>
      </c>
      <c r="K195" s="434">
        <f t="shared" si="44"/>
        <v>-5861008</v>
      </c>
      <c r="L195" s="434">
        <f t="shared" si="44"/>
        <v>-6282375</v>
      </c>
      <c r="M195" s="426">
        <f t="shared" si="39"/>
        <v>31</v>
      </c>
      <c r="O195" s="426"/>
      <c r="P195" s="434">
        <f>P196-P42</f>
        <v>-6238556</v>
      </c>
      <c r="Q195" s="434">
        <f>Q196-Q42</f>
        <v>-5539370.1666666567</v>
      </c>
      <c r="R195" s="434">
        <f t="shared" si="44"/>
        <v>-4840184.3333333135</v>
      </c>
      <c r="S195" s="434">
        <f t="shared" si="44"/>
        <v>-4140998.5000000149</v>
      </c>
      <c r="T195" s="434">
        <f t="shared" si="44"/>
        <v>-3441812.6666666418</v>
      </c>
      <c r="U195" s="434">
        <f t="shared" si="44"/>
        <v>-2742626.8333333135</v>
      </c>
      <c r="V195" s="434">
        <f t="shared" si="44"/>
        <v>-2043441</v>
      </c>
      <c r="W195" s="434">
        <f t="shared" si="44"/>
        <v>-1344255.1666666716</v>
      </c>
      <c r="X195" s="434">
        <f t="shared" si="44"/>
        <v>-60033740.666666746</v>
      </c>
      <c r="Y195" s="434">
        <f t="shared" si="44"/>
        <v>-4617980.051282078</v>
      </c>
    </row>
    <row r="196" spans="1:25" s="1000" customFormat="1">
      <c r="A196" s="426">
        <f t="shared" si="40"/>
        <v>32</v>
      </c>
      <c r="B196" s="446" t="s">
        <v>1456</v>
      </c>
      <c r="C196" s="426"/>
      <c r="D196" s="451">
        <f>D148+D171+D184+D194+D114</f>
        <v>-86867067.614287034</v>
      </c>
      <c r="E196" s="420"/>
      <c r="F196" s="451">
        <f t="shared" ref="F196:Y196" si="45">F148+F171+F184+F194+F114</f>
        <v>-86867067.614287034</v>
      </c>
      <c r="G196" s="451">
        <f t="shared" si="45"/>
        <v>0</v>
      </c>
      <c r="H196" s="451">
        <f t="shared" si="45"/>
        <v>-86867067.614287034</v>
      </c>
      <c r="I196" s="451">
        <f t="shared" si="45"/>
        <v>-86360371.672642961</v>
      </c>
      <c r="J196" s="451">
        <f t="shared" si="45"/>
        <v>-85946073.730998904</v>
      </c>
      <c r="K196" s="451">
        <f t="shared" si="45"/>
        <v>-86536482.789354846</v>
      </c>
      <c r="L196" s="451">
        <f t="shared" si="45"/>
        <v>-90223927.847710773</v>
      </c>
      <c r="M196" s="426">
        <f t="shared" si="39"/>
        <v>32</v>
      </c>
      <c r="N196" s="446" t="s">
        <v>1456</v>
      </c>
      <c r="O196" s="426"/>
      <c r="P196" s="451">
        <f>P148+P171+P184+P194+P114</f>
        <v>-90269266.639750034</v>
      </c>
      <c r="Q196" s="451">
        <f>Q148+Q171+Q184+Q194+Q114</f>
        <v>-91067793.793761194</v>
      </c>
      <c r="R196" s="451">
        <f t="shared" si="45"/>
        <v>-91866320.947772369</v>
      </c>
      <c r="S196" s="451">
        <f t="shared" si="45"/>
        <v>-92664848.101783574</v>
      </c>
      <c r="T196" s="451">
        <f t="shared" si="45"/>
        <v>-93463375.255794704</v>
      </c>
      <c r="U196" s="451">
        <f t="shared" si="45"/>
        <v>-94261902.409805864</v>
      </c>
      <c r="V196" s="451">
        <f t="shared" si="45"/>
        <v>-95060429.563817084</v>
      </c>
      <c r="W196" s="451">
        <f t="shared" si="45"/>
        <v>-95858956.717828229</v>
      </c>
      <c r="X196" s="451">
        <f t="shared" si="45"/>
        <v>-1180443849.0853076</v>
      </c>
      <c r="Y196" s="451">
        <f t="shared" si="45"/>
        <v>-90803373.006562144</v>
      </c>
    </row>
    <row r="197" spans="1:25" s="420" customFormat="1">
      <c r="A197" s="426"/>
      <c r="C197" s="426"/>
      <c r="D197" s="434"/>
      <c r="F197" s="434"/>
      <c r="G197" s="434"/>
      <c r="H197" s="434"/>
      <c r="I197" s="434"/>
      <c r="J197" s="434"/>
      <c r="K197" s="434"/>
      <c r="L197" s="434"/>
      <c r="M197" s="426"/>
      <c r="O197" s="426"/>
      <c r="P197" s="434"/>
      <c r="Q197" s="434"/>
      <c r="R197" s="434"/>
      <c r="S197" s="434"/>
      <c r="T197" s="434"/>
      <c r="U197" s="434"/>
      <c r="V197" s="434"/>
      <c r="W197" s="434"/>
      <c r="X197" s="434"/>
      <c r="Y197" s="434"/>
    </row>
  </sheetData>
  <mergeCells count="24">
    <mergeCell ref="A151:L151"/>
    <mergeCell ref="M151:Y151"/>
    <mergeCell ref="A152:L152"/>
    <mergeCell ref="M152:Y152"/>
    <mergeCell ref="A153:L153"/>
    <mergeCell ref="M153:Y153"/>
    <mergeCell ref="A89:L89"/>
    <mergeCell ref="M89:Y89"/>
    <mergeCell ref="A90:L90"/>
    <mergeCell ref="M90:Y90"/>
    <mergeCell ref="A150:L150"/>
    <mergeCell ref="M150:Y150"/>
    <mergeCell ref="A4:L4"/>
    <mergeCell ref="M4:Y4"/>
    <mergeCell ref="A87:L87"/>
    <mergeCell ref="M87:Y87"/>
    <mergeCell ref="A88:L88"/>
    <mergeCell ref="M88:Y88"/>
    <mergeCell ref="A1:L1"/>
    <mergeCell ref="M1:Y1"/>
    <mergeCell ref="A2:L2"/>
    <mergeCell ref="M2:Y2"/>
    <mergeCell ref="A3:L3"/>
    <mergeCell ref="M3:Y3"/>
  </mergeCells>
  <printOptions horizontalCentered="1"/>
  <pageMargins left="0.5" right="0.5" top="0.5" bottom="0.5" header="0.3" footer="0.3"/>
  <pageSetup scale="49" fitToWidth="2" fitToHeight="0" pageOrder="overThenDown" orientation="landscape" r:id="rId1"/>
  <rowBreaks count="2" manualBreakCount="2">
    <brk id="86" max="16383" man="1"/>
    <brk id="149" max="16383" man="1"/>
  </rowBreaks>
  <colBreaks count="1" manualBreakCount="1">
    <brk id="12"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199"/>
  <sheetViews>
    <sheetView zoomScaleNormal="100" zoomScaleSheetLayoutView="100" workbookViewId="0">
      <selection activeCell="A27" sqref="A27"/>
    </sheetView>
  </sheetViews>
  <sheetFormatPr defaultColWidth="9.6640625" defaultRowHeight="12.75"/>
  <cols>
    <col min="1" max="1" width="5.6640625" style="220" customWidth="1"/>
    <col min="2" max="2" width="82" style="220" bestFit="1" customWidth="1"/>
    <col min="3" max="3" width="5.5" style="426" bestFit="1" customWidth="1"/>
    <col min="4" max="4" width="17" style="220" customWidth="1"/>
    <col min="5" max="5" width="10.83203125" style="220" customWidth="1"/>
    <col min="6" max="6" width="18.6640625" style="220" customWidth="1"/>
    <col min="7" max="7" width="15.5" style="220" bestFit="1" customWidth="1"/>
    <col min="8" max="12" width="16.83203125" style="220" customWidth="1"/>
    <col min="13" max="13" width="5.6640625" style="220" customWidth="1"/>
    <col min="14" max="14" width="82" style="220" bestFit="1" customWidth="1"/>
    <col min="15" max="15" width="5.5" style="426" bestFit="1" customWidth="1"/>
    <col min="16" max="16" width="18.6640625" style="220" customWidth="1"/>
    <col min="17" max="23" width="16.83203125" style="220" customWidth="1"/>
    <col min="24" max="24" width="18.1640625" style="220" customWidth="1"/>
    <col min="25" max="25" width="16.1640625" style="220" customWidth="1"/>
    <col min="26" max="16384" width="9.6640625" style="220"/>
  </cols>
  <sheetData>
    <row r="1" spans="1:25">
      <c r="A1" s="1306" t="str">
        <f>'B-6.A ADIT &amp; EDIT (Base)'!$A$1</f>
        <v>COLUMBIA GAS OF KENTUCKY, INC.</v>
      </c>
      <c r="B1" s="1306"/>
      <c r="C1" s="1306"/>
      <c r="D1" s="1306"/>
      <c r="E1" s="1306"/>
      <c r="F1" s="1306"/>
      <c r="G1" s="1306"/>
      <c r="H1" s="1306"/>
      <c r="I1" s="1306"/>
      <c r="J1" s="1306"/>
      <c r="K1" s="1306"/>
      <c r="L1" s="1306"/>
      <c r="M1" s="1306" t="str">
        <f>A1</f>
        <v>COLUMBIA GAS OF KENTUCKY, INC.</v>
      </c>
      <c r="N1" s="1306"/>
      <c r="O1" s="1306"/>
      <c r="P1" s="1306"/>
      <c r="Q1" s="1306"/>
      <c r="R1" s="1306"/>
      <c r="S1" s="1306"/>
      <c r="T1" s="1306"/>
      <c r="U1" s="1306"/>
      <c r="V1" s="1306"/>
      <c r="W1" s="1306"/>
      <c r="X1" s="1306"/>
      <c r="Y1" s="1306"/>
    </row>
    <row r="2" spans="1:25">
      <c r="A2" s="1306" t="str">
        <f>'B-6.A ADIT &amp; EDIT (Base)'!$A$2</f>
        <v>CASE NO. 2024 - 00092</v>
      </c>
      <c r="B2" s="1306"/>
      <c r="C2" s="1306"/>
      <c r="D2" s="1306"/>
      <c r="E2" s="1306"/>
      <c r="F2" s="1306"/>
      <c r="G2" s="1306"/>
      <c r="H2" s="1306"/>
      <c r="I2" s="1306"/>
      <c r="J2" s="1306"/>
      <c r="K2" s="1306"/>
      <c r="L2" s="1306"/>
      <c r="M2" s="1306" t="str">
        <f t="shared" ref="M2:M4" si="0">A2</f>
        <v>CASE NO. 2024 - 00092</v>
      </c>
      <c r="N2" s="1306"/>
      <c r="O2" s="1306"/>
      <c r="P2" s="1306"/>
      <c r="Q2" s="1306"/>
      <c r="R2" s="1306"/>
      <c r="S2" s="1306"/>
      <c r="T2" s="1306"/>
      <c r="U2" s="1306"/>
      <c r="V2" s="1306"/>
      <c r="W2" s="1306"/>
      <c r="X2" s="1306"/>
      <c r="Y2" s="1306"/>
    </row>
    <row r="3" spans="1:25">
      <c r="A3" s="1306" t="s">
        <v>556</v>
      </c>
      <c r="B3" s="1306"/>
      <c r="C3" s="1306"/>
      <c r="D3" s="1306"/>
      <c r="E3" s="1306"/>
      <c r="F3" s="1306"/>
      <c r="G3" s="1306"/>
      <c r="H3" s="1306"/>
      <c r="I3" s="1306"/>
      <c r="J3" s="1306"/>
      <c r="K3" s="1306"/>
      <c r="L3" s="1306"/>
      <c r="M3" s="1306" t="str">
        <f t="shared" si="0"/>
        <v>DEFERRED CREDITS AND ACCUMULATED DEFERRED INCOME TAXES</v>
      </c>
      <c r="N3" s="1306"/>
      <c r="O3" s="1306"/>
      <c r="P3" s="1306"/>
      <c r="Q3" s="1306"/>
      <c r="R3" s="1306"/>
      <c r="S3" s="1306"/>
      <c r="T3" s="1306"/>
      <c r="U3" s="1306"/>
      <c r="V3" s="1306"/>
      <c r="W3" s="1306"/>
      <c r="X3" s="1306"/>
      <c r="Y3" s="1306"/>
    </row>
    <row r="4" spans="1:25">
      <c r="A4" s="1306" t="str">
        <f>'General Headers Index'!$B$17</f>
        <v>AS OF DECEMBER 31, 2025</v>
      </c>
      <c r="B4" s="1306"/>
      <c r="C4" s="1306"/>
      <c r="D4" s="1306"/>
      <c r="E4" s="1306"/>
      <c r="F4" s="1306"/>
      <c r="G4" s="1306"/>
      <c r="H4" s="1306"/>
      <c r="I4" s="1306"/>
      <c r="J4" s="1306"/>
      <c r="K4" s="1306"/>
      <c r="L4" s="1306"/>
      <c r="M4" s="1306" t="str">
        <f t="shared" si="0"/>
        <v>AS OF DECEMBER 31, 2025</v>
      </c>
      <c r="N4" s="1306"/>
      <c r="O4" s="1306"/>
      <c r="P4" s="1306"/>
      <c r="Q4" s="1306"/>
      <c r="R4" s="1306"/>
      <c r="S4" s="1306"/>
      <c r="T4" s="1306"/>
      <c r="U4" s="1306"/>
      <c r="V4" s="1306"/>
      <c r="W4" s="1306"/>
      <c r="X4" s="1306"/>
      <c r="Y4" s="1306"/>
    </row>
    <row r="5" spans="1:25">
      <c r="B5" s="217"/>
      <c r="C5" s="217"/>
      <c r="D5" s="217"/>
      <c r="E5" s="217"/>
      <c r="F5" s="217"/>
      <c r="G5" s="217"/>
      <c r="H5" s="217"/>
      <c r="I5" s="217"/>
      <c r="J5" s="217"/>
      <c r="K5" s="217"/>
      <c r="L5" s="217"/>
      <c r="N5" s="217"/>
      <c r="O5" s="217"/>
      <c r="P5" s="217"/>
      <c r="Q5" s="217"/>
      <c r="R5" s="217"/>
      <c r="S5" s="217"/>
      <c r="T5" s="217"/>
      <c r="U5" s="217"/>
      <c r="V5" s="217"/>
      <c r="W5" s="217"/>
      <c r="X5" s="217"/>
      <c r="Y5" s="217"/>
    </row>
    <row r="6" spans="1:25">
      <c r="A6" s="229" t="s">
        <v>2788</v>
      </c>
      <c r="L6" s="326" t="s">
        <v>2952</v>
      </c>
      <c r="M6" s="229" t="s">
        <v>2788</v>
      </c>
      <c r="Q6" s="229"/>
      <c r="Y6" s="326" t="s">
        <v>2952</v>
      </c>
    </row>
    <row r="7" spans="1:25">
      <c r="A7" s="229" t="s">
        <v>572</v>
      </c>
      <c r="B7" s="229"/>
      <c r="L7" s="326" t="s">
        <v>2944</v>
      </c>
      <c r="M7" s="229" t="s">
        <v>572</v>
      </c>
      <c r="N7" s="229"/>
      <c r="Q7" s="229"/>
      <c r="Y7" s="326" t="s">
        <v>2945</v>
      </c>
    </row>
    <row r="8" spans="1:25">
      <c r="A8" s="229" t="s">
        <v>58</v>
      </c>
      <c r="L8" s="326" t="str">
        <f>"WITNESS: "&amp;'General Headers Index'!B58</f>
        <v>WITNESS: HARDING</v>
      </c>
      <c r="M8" s="229" t="s">
        <v>58</v>
      </c>
      <c r="Q8" s="229"/>
      <c r="Y8" s="271" t="str">
        <f>"WITNESS: "&amp;'General Headers Index'!B58</f>
        <v>WITNESS: HARDING</v>
      </c>
    </row>
    <row r="9" spans="1:25">
      <c r="A9" s="229"/>
      <c r="M9" s="229"/>
      <c r="P9" s="326"/>
      <c r="Q9" s="229"/>
      <c r="Y9" s="271"/>
    </row>
    <row r="10" spans="1:25" s="217" customFormat="1">
      <c r="A10" s="439"/>
      <c r="B10" s="439"/>
      <c r="C10" s="424"/>
      <c r="D10" s="272" t="s">
        <v>1962</v>
      </c>
      <c r="E10" s="272"/>
      <c r="F10" s="272"/>
      <c r="G10" s="272"/>
      <c r="H10" s="272" t="s">
        <v>1962</v>
      </c>
      <c r="I10" s="272" t="s">
        <v>1963</v>
      </c>
      <c r="J10" s="272" t="s">
        <v>1964</v>
      </c>
      <c r="K10" s="272" t="s">
        <v>1965</v>
      </c>
      <c r="L10" s="272" t="s">
        <v>1966</v>
      </c>
      <c r="M10" s="439"/>
      <c r="N10" s="439"/>
      <c r="O10" s="424"/>
      <c r="P10" s="272" t="s">
        <v>1967</v>
      </c>
      <c r="Q10" s="272" t="s">
        <v>1968</v>
      </c>
      <c r="R10" s="272" t="s">
        <v>1969</v>
      </c>
      <c r="S10" s="272" t="s">
        <v>1970</v>
      </c>
      <c r="T10" s="272" t="s">
        <v>1971</v>
      </c>
      <c r="U10" s="272" t="s">
        <v>1972</v>
      </c>
      <c r="V10" s="272" t="s">
        <v>1973</v>
      </c>
      <c r="W10" s="272" t="s">
        <v>1974</v>
      </c>
      <c r="X10" s="439" t="s">
        <v>349</v>
      </c>
      <c r="Y10" s="440" t="s">
        <v>352</v>
      </c>
    </row>
    <row r="11" spans="1:25">
      <c r="A11" s="217" t="s">
        <v>313</v>
      </c>
      <c r="D11" s="217" t="s">
        <v>538</v>
      </c>
      <c r="E11" s="217" t="s">
        <v>78</v>
      </c>
      <c r="F11" s="217" t="s">
        <v>350</v>
      </c>
      <c r="G11" s="217"/>
      <c r="H11" s="217" t="s">
        <v>1354</v>
      </c>
      <c r="I11" s="217" t="s">
        <v>1354</v>
      </c>
      <c r="J11" s="217" t="s">
        <v>1354</v>
      </c>
      <c r="K11" s="217" t="s">
        <v>1354</v>
      </c>
      <c r="L11" s="217" t="s">
        <v>1354</v>
      </c>
      <c r="M11" s="217" t="s">
        <v>313</v>
      </c>
      <c r="P11" s="217" t="s">
        <v>1354</v>
      </c>
      <c r="Q11" s="217" t="s">
        <v>1354</v>
      </c>
      <c r="R11" s="217" t="s">
        <v>1354</v>
      </c>
      <c r="S11" s="217" t="s">
        <v>1354</v>
      </c>
      <c r="T11" s="217" t="s">
        <v>1354</v>
      </c>
      <c r="U11" s="217" t="s">
        <v>1354</v>
      </c>
      <c r="V11" s="217" t="s">
        <v>1354</v>
      </c>
      <c r="W11" s="217" t="s">
        <v>1354</v>
      </c>
      <c r="X11" s="217" t="s">
        <v>1354</v>
      </c>
      <c r="Y11" s="217" t="s">
        <v>312</v>
      </c>
    </row>
    <row r="12" spans="1:25">
      <c r="A12" s="846" t="s">
        <v>316</v>
      </c>
      <c r="B12" s="999" t="s">
        <v>451</v>
      </c>
      <c r="C12" s="847" t="s">
        <v>1355</v>
      </c>
      <c r="D12" s="846" t="s">
        <v>353</v>
      </c>
      <c r="E12" s="846" t="s">
        <v>529</v>
      </c>
      <c r="F12" s="846" t="s">
        <v>444</v>
      </c>
      <c r="G12" s="846" t="s">
        <v>433</v>
      </c>
      <c r="H12" s="846" t="s">
        <v>444</v>
      </c>
      <c r="I12" s="846" t="s">
        <v>444</v>
      </c>
      <c r="J12" s="846" t="s">
        <v>444</v>
      </c>
      <c r="K12" s="846" t="s">
        <v>444</v>
      </c>
      <c r="L12" s="846" t="s">
        <v>444</v>
      </c>
      <c r="M12" s="846" t="s">
        <v>316</v>
      </c>
      <c r="N12" s="999" t="s">
        <v>451</v>
      </c>
      <c r="O12" s="847" t="s">
        <v>1355</v>
      </c>
      <c r="P12" s="846" t="s">
        <v>444</v>
      </c>
      <c r="Q12" s="846" t="s">
        <v>444</v>
      </c>
      <c r="R12" s="846" t="s">
        <v>444</v>
      </c>
      <c r="S12" s="846" t="s">
        <v>444</v>
      </c>
      <c r="T12" s="846" t="s">
        <v>444</v>
      </c>
      <c r="U12" s="846" t="s">
        <v>444</v>
      </c>
      <c r="V12" s="846" t="s">
        <v>444</v>
      </c>
      <c r="W12" s="846" t="s">
        <v>444</v>
      </c>
      <c r="X12" s="846" t="s">
        <v>444</v>
      </c>
      <c r="Y12" s="846" t="s">
        <v>441</v>
      </c>
    </row>
    <row r="13" spans="1:25">
      <c r="A13" s="217"/>
      <c r="D13" s="300" t="s">
        <v>532</v>
      </c>
      <c r="E13" s="300" t="s">
        <v>541</v>
      </c>
      <c r="F13" s="300" t="s">
        <v>542</v>
      </c>
      <c r="G13" s="300" t="s">
        <v>668</v>
      </c>
      <c r="H13" s="300" t="s">
        <v>669</v>
      </c>
      <c r="I13" s="300" t="s">
        <v>670</v>
      </c>
      <c r="J13" s="300" t="s">
        <v>984</v>
      </c>
      <c r="K13" s="300" t="s">
        <v>985</v>
      </c>
      <c r="L13" s="300" t="s">
        <v>986</v>
      </c>
      <c r="M13" s="217"/>
      <c r="P13" s="300" t="s">
        <v>987</v>
      </c>
      <c r="Q13" s="300" t="s">
        <v>988</v>
      </c>
      <c r="R13" s="300" t="s">
        <v>989</v>
      </c>
      <c r="S13" s="300" t="s">
        <v>990</v>
      </c>
      <c r="T13" s="300" t="s">
        <v>991</v>
      </c>
      <c r="U13" s="300" t="s">
        <v>992</v>
      </c>
      <c r="V13" s="300" t="s">
        <v>993</v>
      </c>
      <c r="W13" s="300" t="s">
        <v>1356</v>
      </c>
      <c r="X13" s="300" t="s">
        <v>1357</v>
      </c>
      <c r="Y13" s="300" t="s">
        <v>1358</v>
      </c>
    </row>
    <row r="14" spans="1:25">
      <c r="A14" s="217"/>
      <c r="D14" s="300" t="s">
        <v>320</v>
      </c>
      <c r="E14" s="300"/>
      <c r="F14" s="300" t="s">
        <v>320</v>
      </c>
      <c r="G14" s="300" t="s">
        <v>320</v>
      </c>
      <c r="H14" s="300" t="s">
        <v>320</v>
      </c>
      <c r="I14" s="300" t="s">
        <v>320</v>
      </c>
      <c r="J14" s="300" t="s">
        <v>320</v>
      </c>
      <c r="K14" s="300" t="s">
        <v>320</v>
      </c>
      <c r="L14" s="300" t="s">
        <v>320</v>
      </c>
      <c r="M14" s="217"/>
      <c r="P14" s="300" t="s">
        <v>320</v>
      </c>
      <c r="Q14" s="300" t="s">
        <v>320</v>
      </c>
      <c r="R14" s="300" t="s">
        <v>320</v>
      </c>
      <c r="S14" s="300" t="s">
        <v>320</v>
      </c>
      <c r="T14" s="300" t="s">
        <v>320</v>
      </c>
      <c r="U14" s="300" t="s">
        <v>320</v>
      </c>
      <c r="V14" s="300" t="s">
        <v>320</v>
      </c>
      <c r="W14" s="300" t="s">
        <v>320</v>
      </c>
      <c r="X14" s="300" t="s">
        <v>320</v>
      </c>
      <c r="Y14" s="300" t="s">
        <v>320</v>
      </c>
    </row>
    <row r="15" spans="1:25">
      <c r="A15" s="217"/>
      <c r="D15" s="300"/>
      <c r="E15" s="300"/>
      <c r="F15" s="300"/>
      <c r="G15" s="300"/>
      <c r="H15" s="300"/>
      <c r="I15" s="300"/>
      <c r="J15" s="300"/>
      <c r="K15" s="300"/>
      <c r="L15" s="300"/>
      <c r="M15" s="217"/>
      <c r="P15" s="300"/>
      <c r="Q15" s="300"/>
      <c r="R15" s="300"/>
      <c r="S15" s="300"/>
      <c r="T15" s="300"/>
      <c r="U15" s="300"/>
      <c r="V15" s="300"/>
      <c r="W15" s="300"/>
      <c r="X15" s="300"/>
      <c r="Y15" s="300"/>
    </row>
    <row r="16" spans="1:25">
      <c r="A16" s="217">
        <v>1</v>
      </c>
      <c r="B16" s="505" t="s">
        <v>1359</v>
      </c>
      <c r="D16" s="442"/>
      <c r="F16" s="442"/>
      <c r="G16" s="442"/>
      <c r="H16" s="442"/>
      <c r="I16" s="442"/>
      <c r="J16" s="442"/>
      <c r="K16" s="442"/>
      <c r="L16" s="442"/>
      <c r="M16" s="217">
        <v>1</v>
      </c>
      <c r="N16" s="505" t="s">
        <v>1359</v>
      </c>
      <c r="P16" s="442"/>
      <c r="Q16" s="442"/>
      <c r="R16" s="442"/>
      <c r="S16" s="442"/>
      <c r="T16" s="442"/>
      <c r="U16" s="442"/>
      <c r="V16" s="442"/>
      <c r="W16" s="442"/>
      <c r="X16" s="442"/>
      <c r="Y16" s="442"/>
    </row>
    <row r="17" spans="1:25">
      <c r="A17" s="217">
        <f t="shared" ref="A17:A80" si="1">A16+1</f>
        <v>2</v>
      </c>
      <c r="D17" s="442"/>
      <c r="F17" s="442"/>
      <c r="G17" s="442"/>
      <c r="H17" s="442"/>
      <c r="I17" s="442"/>
      <c r="J17" s="442"/>
      <c r="K17" s="442"/>
      <c r="L17" s="442"/>
      <c r="M17" s="217">
        <f t="shared" ref="M17:M80" si="2">M16+1</f>
        <v>2</v>
      </c>
      <c r="P17" s="442"/>
      <c r="Q17" s="442"/>
      <c r="R17" s="442"/>
      <c r="S17" s="442"/>
      <c r="T17" s="442"/>
      <c r="U17" s="442"/>
      <c r="V17" s="442"/>
      <c r="W17" s="442"/>
      <c r="X17" s="442"/>
      <c r="Y17" s="442"/>
    </row>
    <row r="18" spans="1:25">
      <c r="A18" s="217">
        <f t="shared" si="1"/>
        <v>3</v>
      </c>
      <c r="B18" s="505" t="s">
        <v>1360</v>
      </c>
      <c r="D18" s="442"/>
      <c r="F18" s="442"/>
      <c r="G18" s="442"/>
      <c r="H18" s="442"/>
      <c r="I18" s="442"/>
      <c r="J18" s="442"/>
      <c r="K18" s="442"/>
      <c r="L18" s="442"/>
      <c r="M18" s="217">
        <f t="shared" si="2"/>
        <v>3</v>
      </c>
      <c r="N18" s="505" t="s">
        <v>1360</v>
      </c>
      <c r="P18" s="442"/>
      <c r="Q18" s="442"/>
      <c r="R18" s="442"/>
      <c r="S18" s="442"/>
      <c r="T18" s="442"/>
      <c r="U18" s="442"/>
      <c r="V18" s="442"/>
      <c r="W18" s="442"/>
      <c r="X18" s="442"/>
      <c r="Y18" s="442"/>
    </row>
    <row r="19" spans="1:25">
      <c r="A19" s="217">
        <f t="shared" si="1"/>
        <v>4</v>
      </c>
      <c r="B19" s="220" t="s">
        <v>1361</v>
      </c>
      <c r="D19" s="442">
        <f>SUMIF($C$44:$C$85,"RB",D$44:D$85)</f>
        <v>1790620.8333333344</v>
      </c>
      <c r="F19" s="442">
        <f t="shared" ref="F19:W19" si="3">SUMIF($C$44:$C$85,"RB",F$44:F$85)</f>
        <v>1790620.8333333344</v>
      </c>
      <c r="G19" s="442">
        <f t="shared" si="3"/>
        <v>0</v>
      </c>
      <c r="H19" s="442">
        <f t="shared" si="3"/>
        <v>1790620.8333333344</v>
      </c>
      <c r="I19" s="442">
        <f t="shared" si="3"/>
        <v>1732355.3472222234</v>
      </c>
      <c r="J19" s="442">
        <f t="shared" si="3"/>
        <v>1674089.8611111119</v>
      </c>
      <c r="K19" s="442">
        <f t="shared" si="3"/>
        <v>1615824.3750000009</v>
      </c>
      <c r="L19" s="442">
        <f t="shared" si="3"/>
        <v>1557558.8888888895</v>
      </c>
      <c r="M19" s="217">
        <f t="shared" si="2"/>
        <v>4</v>
      </c>
      <c r="N19" s="220" t="s">
        <v>1361</v>
      </c>
      <c r="P19" s="442">
        <f t="shared" si="3"/>
        <v>1499293.4027777785</v>
      </c>
      <c r="Q19" s="442">
        <f t="shared" si="3"/>
        <v>1441027.916666667</v>
      </c>
      <c r="R19" s="442">
        <f t="shared" si="3"/>
        <v>1382762.430555556</v>
      </c>
      <c r="S19" s="442">
        <f t="shared" si="3"/>
        <v>1324496.9444444445</v>
      </c>
      <c r="T19" s="442">
        <f t="shared" si="3"/>
        <v>1266231.4583333335</v>
      </c>
      <c r="U19" s="442">
        <f t="shared" si="3"/>
        <v>1207965.9722222222</v>
      </c>
      <c r="V19" s="442">
        <f t="shared" si="3"/>
        <v>1149700.486111111</v>
      </c>
      <c r="W19" s="442">
        <f t="shared" si="3"/>
        <v>1091435</v>
      </c>
      <c r="X19" s="443">
        <f>SUM(H19:W19)</f>
        <v>18733366.916666672</v>
      </c>
      <c r="Y19" s="443">
        <f>X19/13</f>
        <v>1441028.2243589747</v>
      </c>
    </row>
    <row r="20" spans="1:25" s="420" customFormat="1">
      <c r="A20" s="426">
        <f t="shared" si="1"/>
        <v>5</v>
      </c>
      <c r="B20" s="420" t="s">
        <v>1362</v>
      </c>
      <c r="C20" s="426"/>
      <c r="D20" s="442">
        <f>SUMIF($C$102:$C$114,"RB",D$102:D$114)</f>
        <v>-85295136.659707069</v>
      </c>
      <c r="F20" s="442">
        <f t="shared" ref="F20:Y20" si="4">SUMIF($C$102:$C$114,"RB",F$102:F$114)</f>
        <v>-85295136.659707069</v>
      </c>
      <c r="G20" s="442">
        <f t="shared" si="4"/>
        <v>0</v>
      </c>
      <c r="H20" s="442">
        <f t="shared" si="4"/>
        <v>-85295136.659707069</v>
      </c>
      <c r="I20" s="442">
        <f t="shared" si="4"/>
        <v>-85492462.697653696</v>
      </c>
      <c r="J20" s="442">
        <f t="shared" si="4"/>
        <v>-85689788.735600337</v>
      </c>
      <c r="K20" s="442">
        <f t="shared" si="4"/>
        <v>-85887114.773546964</v>
      </c>
      <c r="L20" s="442">
        <f t="shared" si="4"/>
        <v>-86084440.811493605</v>
      </c>
      <c r="M20" s="426">
        <f t="shared" si="2"/>
        <v>5</v>
      </c>
      <c r="N20" s="420" t="s">
        <v>1362</v>
      </c>
      <c r="O20" s="426"/>
      <c r="P20" s="442">
        <f t="shared" si="4"/>
        <v>-86281766.849440232</v>
      </c>
      <c r="Q20" s="442">
        <f t="shared" si="4"/>
        <v>-86479092.887386873</v>
      </c>
      <c r="R20" s="442">
        <f t="shared" si="4"/>
        <v>-86676418.9253335</v>
      </c>
      <c r="S20" s="442">
        <f t="shared" si="4"/>
        <v>-86873744.963280141</v>
      </c>
      <c r="T20" s="442">
        <f t="shared" si="4"/>
        <v>-87071071.001226768</v>
      </c>
      <c r="U20" s="442">
        <f t="shared" si="4"/>
        <v>-87268397.039173409</v>
      </c>
      <c r="V20" s="442">
        <f t="shared" si="4"/>
        <v>-87465723.077120036</v>
      </c>
      <c r="W20" s="442">
        <f t="shared" si="4"/>
        <v>-87663049.115066618</v>
      </c>
      <c r="X20" s="442">
        <f t="shared" si="4"/>
        <v>-1124228179.5360291</v>
      </c>
      <c r="Y20" s="442">
        <f t="shared" si="4"/>
        <v>-86479090.733540699</v>
      </c>
    </row>
    <row r="21" spans="1:25">
      <c r="A21" s="217">
        <f t="shared" si="1"/>
        <v>6</v>
      </c>
      <c r="B21" s="220" t="s">
        <v>1363</v>
      </c>
      <c r="D21" s="442">
        <f>SUMIF($C$116:$C$146,"RB",D$116:D$146)</f>
        <v>0</v>
      </c>
      <c r="F21" s="442">
        <f t="shared" ref="F21:W21" si="5">SUMIF($C$116:$C$146,"RB",F$116:F$146)</f>
        <v>0</v>
      </c>
      <c r="G21" s="442">
        <f t="shared" si="5"/>
        <v>0</v>
      </c>
      <c r="H21" s="442">
        <f t="shared" si="5"/>
        <v>0</v>
      </c>
      <c r="I21" s="442">
        <f t="shared" si="5"/>
        <v>0</v>
      </c>
      <c r="J21" s="442">
        <f t="shared" si="5"/>
        <v>0</v>
      </c>
      <c r="K21" s="442">
        <f t="shared" si="5"/>
        <v>0</v>
      </c>
      <c r="L21" s="442">
        <f t="shared" si="5"/>
        <v>0</v>
      </c>
      <c r="M21" s="217">
        <f t="shared" si="2"/>
        <v>6</v>
      </c>
      <c r="N21" s="220" t="s">
        <v>1363</v>
      </c>
      <c r="P21" s="442">
        <f t="shared" si="5"/>
        <v>0</v>
      </c>
      <c r="Q21" s="442">
        <f t="shared" si="5"/>
        <v>0</v>
      </c>
      <c r="R21" s="442">
        <f t="shared" si="5"/>
        <v>0</v>
      </c>
      <c r="S21" s="442">
        <f t="shared" si="5"/>
        <v>0</v>
      </c>
      <c r="T21" s="442">
        <f t="shared" si="5"/>
        <v>0</v>
      </c>
      <c r="U21" s="442">
        <f t="shared" si="5"/>
        <v>0</v>
      </c>
      <c r="V21" s="442">
        <f t="shared" si="5"/>
        <v>0</v>
      </c>
      <c r="W21" s="442">
        <f t="shared" si="5"/>
        <v>0</v>
      </c>
      <c r="X21" s="443">
        <f>SUM(H21:W21)</f>
        <v>6</v>
      </c>
      <c r="Y21" s="443">
        <f>X21/13</f>
        <v>0.46153846153846156</v>
      </c>
    </row>
    <row r="22" spans="1:25">
      <c r="A22" s="217">
        <f t="shared" si="1"/>
        <v>7</v>
      </c>
      <c r="B22" s="220" t="s">
        <v>1364</v>
      </c>
      <c r="D22" s="442">
        <f>SUMIF($C$165:$C$183,"RB",D$165:D$183)</f>
        <v>-26149178.390832525</v>
      </c>
      <c r="F22" s="442">
        <f t="shared" ref="F22:W22" si="6">SUMIF($C$165:$C$183,"RB",F$165:F$183)</f>
        <v>-26149178.390832525</v>
      </c>
      <c r="G22" s="442">
        <f t="shared" si="6"/>
        <v>0</v>
      </c>
      <c r="H22" s="442">
        <f t="shared" si="6"/>
        <v>-26149178.390832525</v>
      </c>
      <c r="I22" s="442">
        <f t="shared" si="6"/>
        <v>-26108740.486668341</v>
      </c>
      <c r="J22" s="442">
        <f t="shared" si="6"/>
        <v>-26068302.582504161</v>
      </c>
      <c r="K22" s="442">
        <f t="shared" si="6"/>
        <v>-26027864.678339977</v>
      </c>
      <c r="L22" s="442">
        <f t="shared" si="6"/>
        <v>-25987426.774175797</v>
      </c>
      <c r="M22" s="217">
        <f t="shared" si="2"/>
        <v>7</v>
      </c>
      <c r="N22" s="220" t="s">
        <v>1364</v>
      </c>
      <c r="P22" s="442">
        <f t="shared" si="6"/>
        <v>-25946988.870011616</v>
      </c>
      <c r="Q22" s="442">
        <f t="shared" si="6"/>
        <v>-25906550.965847433</v>
      </c>
      <c r="R22" s="442">
        <f t="shared" si="6"/>
        <v>-25866113.061683249</v>
      </c>
      <c r="S22" s="442">
        <f t="shared" si="6"/>
        <v>-25825675.157519069</v>
      </c>
      <c r="T22" s="442">
        <f t="shared" si="6"/>
        <v>-25785237.253354888</v>
      </c>
      <c r="U22" s="442">
        <f t="shared" si="6"/>
        <v>-25744799.349190701</v>
      </c>
      <c r="V22" s="442">
        <f t="shared" si="6"/>
        <v>-25704361.445026521</v>
      </c>
      <c r="W22" s="442">
        <f t="shared" si="6"/>
        <v>-25663923.540862344</v>
      </c>
      <c r="X22" s="443">
        <f>SUM(H22:W22)</f>
        <v>-336785155.55601656</v>
      </c>
      <c r="Y22" s="443">
        <f>X22/13</f>
        <v>-25906550.427385889</v>
      </c>
    </row>
    <row r="23" spans="1:25">
      <c r="A23" s="217">
        <f t="shared" si="1"/>
        <v>8</v>
      </c>
      <c r="B23" s="220" t="s">
        <v>1365</v>
      </c>
      <c r="D23" s="442">
        <f>SUMIF($C$192,"RB",D$192)</f>
        <v>0</v>
      </c>
      <c r="F23" s="442">
        <f t="shared" ref="F23:W23" si="7">SUMIF($C$192,"RB",F$192)</f>
        <v>0</v>
      </c>
      <c r="G23" s="442">
        <f t="shared" si="7"/>
        <v>0</v>
      </c>
      <c r="H23" s="442">
        <f t="shared" si="7"/>
        <v>0</v>
      </c>
      <c r="I23" s="442">
        <f t="shared" si="7"/>
        <v>0</v>
      </c>
      <c r="J23" s="442">
        <f t="shared" si="7"/>
        <v>0</v>
      </c>
      <c r="K23" s="442">
        <f t="shared" si="7"/>
        <v>0</v>
      </c>
      <c r="L23" s="442">
        <f t="shared" si="7"/>
        <v>0</v>
      </c>
      <c r="M23" s="217">
        <f t="shared" si="2"/>
        <v>8</v>
      </c>
      <c r="N23" s="220" t="s">
        <v>1365</v>
      </c>
      <c r="P23" s="442">
        <f t="shared" si="7"/>
        <v>0</v>
      </c>
      <c r="Q23" s="442">
        <f t="shared" si="7"/>
        <v>0</v>
      </c>
      <c r="R23" s="442">
        <f t="shared" si="7"/>
        <v>0</v>
      </c>
      <c r="S23" s="442">
        <f t="shared" si="7"/>
        <v>0</v>
      </c>
      <c r="T23" s="442">
        <f t="shared" si="7"/>
        <v>0</v>
      </c>
      <c r="U23" s="442">
        <f t="shared" si="7"/>
        <v>0</v>
      </c>
      <c r="V23" s="442">
        <f t="shared" si="7"/>
        <v>0</v>
      </c>
      <c r="W23" s="442">
        <f t="shared" si="7"/>
        <v>0</v>
      </c>
      <c r="X23" s="443">
        <f>SUM(H23:W23)</f>
        <v>8</v>
      </c>
      <c r="Y23" s="443">
        <f>X23/13</f>
        <v>0.61538461538461542</v>
      </c>
    </row>
    <row r="24" spans="1:25">
      <c r="A24" s="217">
        <f t="shared" si="1"/>
        <v>9</v>
      </c>
      <c r="B24" s="220" t="s">
        <v>1366</v>
      </c>
      <c r="D24" s="444">
        <f>SUM(D19:D23)</f>
        <v>-109653694.21720627</v>
      </c>
      <c r="F24" s="444">
        <f t="shared" ref="F24:Y24" si="8">SUM(F19:F23)</f>
        <v>-109653694.21720627</v>
      </c>
      <c r="G24" s="444">
        <f t="shared" si="8"/>
        <v>0</v>
      </c>
      <c r="H24" s="444">
        <f t="shared" si="8"/>
        <v>-109653694.21720627</v>
      </c>
      <c r="I24" s="444">
        <f t="shared" si="8"/>
        <v>-109868847.83709982</v>
      </c>
      <c r="J24" s="444">
        <f t="shared" si="8"/>
        <v>-110084001.45699337</v>
      </c>
      <c r="K24" s="444">
        <f t="shared" si="8"/>
        <v>-110299155.07688694</v>
      </c>
      <c r="L24" s="444">
        <f t="shared" si="8"/>
        <v>-110514308.6967805</v>
      </c>
      <c r="M24" s="217">
        <f t="shared" si="2"/>
        <v>9</v>
      </c>
      <c r="N24" s="220" t="s">
        <v>1366</v>
      </c>
      <c r="P24" s="444">
        <f t="shared" si="8"/>
        <v>-110729462.31667407</v>
      </c>
      <c r="Q24" s="444">
        <f t="shared" si="8"/>
        <v>-110944615.93656763</v>
      </c>
      <c r="R24" s="444">
        <f t="shared" si="8"/>
        <v>-111159769.5564612</v>
      </c>
      <c r="S24" s="444">
        <f t="shared" si="8"/>
        <v>-111374923.17635477</v>
      </c>
      <c r="T24" s="444">
        <f t="shared" si="8"/>
        <v>-111590076.79624833</v>
      </c>
      <c r="U24" s="444">
        <f t="shared" si="8"/>
        <v>-111805230.41614188</v>
      </c>
      <c r="V24" s="444">
        <f t="shared" si="8"/>
        <v>-112020384.03603545</v>
      </c>
      <c r="W24" s="444">
        <f t="shared" si="8"/>
        <v>-112235537.65592897</v>
      </c>
      <c r="X24" s="444">
        <f t="shared" si="8"/>
        <v>-1442279954.1753788</v>
      </c>
      <c r="Y24" s="444">
        <f t="shared" si="8"/>
        <v>-110944611.85964453</v>
      </c>
    </row>
    <row r="25" spans="1:25">
      <c r="A25" s="217">
        <f t="shared" si="1"/>
        <v>10</v>
      </c>
      <c r="D25" s="442"/>
      <c r="F25" s="442"/>
      <c r="G25" s="442"/>
      <c r="H25" s="442"/>
      <c r="I25" s="442"/>
      <c r="J25" s="442"/>
      <c r="K25" s="442"/>
      <c r="L25" s="442"/>
      <c r="M25" s="217">
        <f t="shared" si="2"/>
        <v>10</v>
      </c>
      <c r="P25" s="442"/>
      <c r="Q25" s="442"/>
      <c r="R25" s="442"/>
      <c r="S25" s="442"/>
      <c r="T25" s="442"/>
      <c r="U25" s="442"/>
      <c r="V25" s="442"/>
      <c r="W25" s="442"/>
      <c r="X25" s="442"/>
      <c r="Y25" s="442"/>
    </row>
    <row r="26" spans="1:25">
      <c r="A26" s="217">
        <f>A25+1</f>
        <v>11</v>
      </c>
      <c r="B26" s="505" t="s">
        <v>1368</v>
      </c>
      <c r="D26" s="442"/>
      <c r="F26" s="442"/>
      <c r="G26" s="442"/>
      <c r="H26" s="442"/>
      <c r="I26" s="442"/>
      <c r="J26" s="442"/>
      <c r="K26" s="442"/>
      <c r="L26" s="442"/>
      <c r="M26" s="217">
        <f>M25+1</f>
        <v>11</v>
      </c>
      <c r="N26" s="505" t="s">
        <v>1368</v>
      </c>
      <c r="P26" s="442"/>
      <c r="Q26" s="442"/>
      <c r="R26" s="442"/>
      <c r="S26" s="442"/>
      <c r="T26" s="442"/>
      <c r="U26" s="442"/>
      <c r="V26" s="442"/>
      <c r="W26" s="442"/>
      <c r="X26" s="442"/>
      <c r="Y26" s="442"/>
    </row>
    <row r="27" spans="1:25">
      <c r="A27" s="217">
        <f t="shared" si="1"/>
        <v>12</v>
      </c>
      <c r="B27" s="220" t="s">
        <v>1361</v>
      </c>
      <c r="D27" s="442">
        <f>SUMIF($C$44:$C$85,"LL",D$44:D$85)</f>
        <v>1276638</v>
      </c>
      <c r="F27" s="442">
        <f t="shared" ref="F27:W27" si="9">SUMIF($C$44:$C$85,"LL",F$44:F$85)</f>
        <v>1276638</v>
      </c>
      <c r="G27" s="442">
        <f t="shared" si="9"/>
        <v>0</v>
      </c>
      <c r="H27" s="442">
        <f t="shared" si="9"/>
        <v>1276638</v>
      </c>
      <c r="I27" s="442">
        <f t="shared" si="9"/>
        <v>1276638</v>
      </c>
      <c r="J27" s="442">
        <f t="shared" si="9"/>
        <v>1276638</v>
      </c>
      <c r="K27" s="442">
        <f t="shared" si="9"/>
        <v>1276638</v>
      </c>
      <c r="L27" s="442">
        <f t="shared" si="9"/>
        <v>1276638</v>
      </c>
      <c r="M27" s="217">
        <f t="shared" si="2"/>
        <v>12</v>
      </c>
      <c r="N27" s="220" t="s">
        <v>1361</v>
      </c>
      <c r="P27" s="442">
        <f t="shared" si="9"/>
        <v>1276638</v>
      </c>
      <c r="Q27" s="442">
        <f t="shared" si="9"/>
        <v>1276638</v>
      </c>
      <c r="R27" s="442">
        <f t="shared" si="9"/>
        <v>1276638</v>
      </c>
      <c r="S27" s="442">
        <f t="shared" si="9"/>
        <v>1276638</v>
      </c>
      <c r="T27" s="442">
        <f t="shared" si="9"/>
        <v>1276638</v>
      </c>
      <c r="U27" s="442">
        <f t="shared" si="9"/>
        <v>1276638</v>
      </c>
      <c r="V27" s="442">
        <f t="shared" si="9"/>
        <v>1276638</v>
      </c>
      <c r="W27" s="442">
        <f t="shared" si="9"/>
        <v>1276638</v>
      </c>
      <c r="X27" s="443">
        <f>SUM(H27:W27)</f>
        <v>16596306</v>
      </c>
      <c r="Y27" s="443">
        <f>X27/13</f>
        <v>1276638.923076923</v>
      </c>
    </row>
    <row r="28" spans="1:25">
      <c r="A28" s="217">
        <f t="shared" si="1"/>
        <v>13</v>
      </c>
      <c r="B28" s="220" t="s">
        <v>1362</v>
      </c>
      <c r="D28" s="442">
        <f>SUMIF($C$102:$C$109,"LL",D$102:D$109)</f>
        <v>0</v>
      </c>
      <c r="F28" s="442">
        <f t="shared" ref="F28:W28" si="10">SUMIF($C$102:$C$109,"LL",F$102:F$109)</f>
        <v>0</v>
      </c>
      <c r="G28" s="442">
        <f t="shared" si="10"/>
        <v>0</v>
      </c>
      <c r="H28" s="442">
        <f t="shared" si="10"/>
        <v>0</v>
      </c>
      <c r="I28" s="442">
        <f t="shared" si="10"/>
        <v>0</v>
      </c>
      <c r="J28" s="442">
        <f t="shared" si="10"/>
        <v>0</v>
      </c>
      <c r="K28" s="442">
        <f t="shared" si="10"/>
        <v>0</v>
      </c>
      <c r="L28" s="442">
        <f t="shared" si="10"/>
        <v>0</v>
      </c>
      <c r="M28" s="217">
        <f t="shared" si="2"/>
        <v>13</v>
      </c>
      <c r="N28" s="220" t="s">
        <v>1362</v>
      </c>
      <c r="P28" s="442">
        <f t="shared" si="10"/>
        <v>0</v>
      </c>
      <c r="Q28" s="442">
        <f t="shared" si="10"/>
        <v>0</v>
      </c>
      <c r="R28" s="442">
        <f t="shared" si="10"/>
        <v>0</v>
      </c>
      <c r="S28" s="442">
        <f t="shared" si="10"/>
        <v>0</v>
      </c>
      <c r="T28" s="442">
        <f t="shared" si="10"/>
        <v>0</v>
      </c>
      <c r="U28" s="442">
        <f t="shared" si="10"/>
        <v>0</v>
      </c>
      <c r="V28" s="442">
        <f t="shared" si="10"/>
        <v>0</v>
      </c>
      <c r="W28" s="442">
        <f t="shared" si="10"/>
        <v>0</v>
      </c>
      <c r="X28" s="443">
        <f>SUM(H28:W28)</f>
        <v>13</v>
      </c>
      <c r="Y28" s="443">
        <f>X28/13</f>
        <v>1</v>
      </c>
    </row>
    <row r="29" spans="1:25">
      <c r="A29" s="217">
        <f t="shared" si="1"/>
        <v>14</v>
      </c>
      <c r="B29" s="220" t="s">
        <v>1363</v>
      </c>
      <c r="D29" s="442">
        <f>SUMIF($C$116:$C$146,"LL",D$116:D$146)</f>
        <v>2214212</v>
      </c>
      <c r="F29" s="442">
        <f t="shared" ref="F29:W29" si="11">SUMIF($C$116:$C$146,"LL",F$116:F$146)</f>
        <v>2214212</v>
      </c>
      <c r="G29" s="442">
        <f t="shared" si="11"/>
        <v>0</v>
      </c>
      <c r="H29" s="442">
        <f t="shared" si="11"/>
        <v>2214212</v>
      </c>
      <c r="I29" s="442">
        <f t="shared" si="11"/>
        <v>2214212</v>
      </c>
      <c r="J29" s="442">
        <f t="shared" si="11"/>
        <v>2214212</v>
      </c>
      <c r="K29" s="442">
        <f t="shared" si="11"/>
        <v>2214212</v>
      </c>
      <c r="L29" s="442">
        <f t="shared" si="11"/>
        <v>2214212</v>
      </c>
      <c r="M29" s="217">
        <f t="shared" si="2"/>
        <v>14</v>
      </c>
      <c r="N29" s="220" t="s">
        <v>1363</v>
      </c>
      <c r="P29" s="442">
        <f t="shared" si="11"/>
        <v>2214212</v>
      </c>
      <c r="Q29" s="442">
        <f t="shared" si="11"/>
        <v>2214212</v>
      </c>
      <c r="R29" s="442">
        <f t="shared" si="11"/>
        <v>2214212</v>
      </c>
      <c r="S29" s="442">
        <f t="shared" si="11"/>
        <v>2214212</v>
      </c>
      <c r="T29" s="442">
        <f t="shared" si="11"/>
        <v>2214212</v>
      </c>
      <c r="U29" s="442">
        <f t="shared" si="11"/>
        <v>2214212</v>
      </c>
      <c r="V29" s="442">
        <f t="shared" si="11"/>
        <v>2214212</v>
      </c>
      <c r="W29" s="442">
        <f t="shared" si="11"/>
        <v>2214212</v>
      </c>
      <c r="X29" s="443">
        <f>SUM(H29:W29)</f>
        <v>28784770</v>
      </c>
      <c r="Y29" s="443">
        <f>X29/13</f>
        <v>2214213.076923077</v>
      </c>
    </row>
    <row r="30" spans="1:25">
      <c r="A30" s="217">
        <f t="shared" si="1"/>
        <v>15</v>
      </c>
      <c r="B30" s="220" t="s">
        <v>1364</v>
      </c>
      <c r="D30" s="442">
        <f>SUMIF($C$165:$C$170,"LL",D$165:D$170)</f>
        <v>0</v>
      </c>
      <c r="F30" s="442">
        <f t="shared" ref="F30:W30" si="12">SUMIF($C$165:$C$170,"LL",F$165:F$170)</f>
        <v>0</v>
      </c>
      <c r="G30" s="442">
        <f t="shared" si="12"/>
        <v>0</v>
      </c>
      <c r="H30" s="442">
        <f t="shared" si="12"/>
        <v>0</v>
      </c>
      <c r="I30" s="442">
        <f t="shared" si="12"/>
        <v>0</v>
      </c>
      <c r="J30" s="442">
        <f t="shared" si="12"/>
        <v>0</v>
      </c>
      <c r="K30" s="442">
        <f t="shared" si="12"/>
        <v>0</v>
      </c>
      <c r="L30" s="442">
        <f t="shared" si="12"/>
        <v>0</v>
      </c>
      <c r="M30" s="217">
        <f t="shared" si="2"/>
        <v>15</v>
      </c>
      <c r="N30" s="220" t="s">
        <v>1364</v>
      </c>
      <c r="P30" s="442">
        <f t="shared" si="12"/>
        <v>0</v>
      </c>
      <c r="Q30" s="442">
        <f t="shared" si="12"/>
        <v>0</v>
      </c>
      <c r="R30" s="442">
        <f t="shared" si="12"/>
        <v>0</v>
      </c>
      <c r="S30" s="442">
        <f t="shared" si="12"/>
        <v>0</v>
      </c>
      <c r="T30" s="442">
        <f t="shared" si="12"/>
        <v>0</v>
      </c>
      <c r="U30" s="442">
        <f t="shared" si="12"/>
        <v>0</v>
      </c>
      <c r="V30" s="442">
        <f t="shared" si="12"/>
        <v>0</v>
      </c>
      <c r="W30" s="442">
        <f t="shared" si="12"/>
        <v>0</v>
      </c>
      <c r="X30" s="443">
        <f>SUM(H30:W30)</f>
        <v>15</v>
      </c>
      <c r="Y30" s="443">
        <f>X30/13</f>
        <v>1.1538461538461537</v>
      </c>
    </row>
    <row r="31" spans="1:25">
      <c r="A31" s="217">
        <f t="shared" si="1"/>
        <v>16</v>
      </c>
      <c r="B31" s="220" t="s">
        <v>1365</v>
      </c>
      <c r="D31" s="442">
        <f>SUMIF($C$192,"LL",D$192)</f>
        <v>0</v>
      </c>
      <c r="F31" s="442">
        <f t="shared" ref="F31:W31" si="13">SUMIF($C$192,"LL",F$192)</f>
        <v>0</v>
      </c>
      <c r="G31" s="442">
        <f t="shared" si="13"/>
        <v>0</v>
      </c>
      <c r="H31" s="442">
        <f t="shared" si="13"/>
        <v>0</v>
      </c>
      <c r="I31" s="442">
        <f t="shared" si="13"/>
        <v>0</v>
      </c>
      <c r="J31" s="442">
        <f t="shared" si="13"/>
        <v>0</v>
      </c>
      <c r="K31" s="442">
        <f t="shared" si="13"/>
        <v>0</v>
      </c>
      <c r="L31" s="442">
        <f t="shared" si="13"/>
        <v>0</v>
      </c>
      <c r="M31" s="217">
        <f t="shared" si="2"/>
        <v>16</v>
      </c>
      <c r="N31" s="220" t="s">
        <v>1365</v>
      </c>
      <c r="P31" s="442">
        <f t="shared" si="13"/>
        <v>0</v>
      </c>
      <c r="Q31" s="442">
        <f t="shared" si="13"/>
        <v>0</v>
      </c>
      <c r="R31" s="442">
        <f t="shared" si="13"/>
        <v>0</v>
      </c>
      <c r="S31" s="442">
        <f t="shared" si="13"/>
        <v>0</v>
      </c>
      <c r="T31" s="442">
        <f t="shared" si="13"/>
        <v>0</v>
      </c>
      <c r="U31" s="442">
        <f t="shared" si="13"/>
        <v>0</v>
      </c>
      <c r="V31" s="442">
        <f t="shared" si="13"/>
        <v>0</v>
      </c>
      <c r="W31" s="442">
        <f t="shared" si="13"/>
        <v>0</v>
      </c>
      <c r="X31" s="443">
        <f>SUM(H31:W31)</f>
        <v>16</v>
      </c>
      <c r="Y31" s="443">
        <f>X31/13</f>
        <v>1.2307692307692308</v>
      </c>
    </row>
    <row r="32" spans="1:25">
      <c r="A32" s="217">
        <f t="shared" si="1"/>
        <v>17</v>
      </c>
      <c r="B32" s="220" t="s">
        <v>1367</v>
      </c>
      <c r="D32" s="444">
        <f>SUM(D27:D31)</f>
        <v>3490850</v>
      </c>
      <c r="F32" s="444">
        <f t="shared" ref="F32:Y32" si="14">SUM(F27:F31)</f>
        <v>3490850</v>
      </c>
      <c r="G32" s="444">
        <f t="shared" si="14"/>
        <v>0</v>
      </c>
      <c r="H32" s="444">
        <f t="shared" si="14"/>
        <v>3490850</v>
      </c>
      <c r="I32" s="444">
        <f t="shared" si="14"/>
        <v>3490850</v>
      </c>
      <c r="J32" s="444">
        <f t="shared" si="14"/>
        <v>3490850</v>
      </c>
      <c r="K32" s="444">
        <f t="shared" si="14"/>
        <v>3490850</v>
      </c>
      <c r="L32" s="444">
        <f t="shared" si="14"/>
        <v>3490850</v>
      </c>
      <c r="M32" s="217">
        <f t="shared" si="2"/>
        <v>17</v>
      </c>
      <c r="N32" s="220" t="s">
        <v>1367</v>
      </c>
      <c r="P32" s="444">
        <f t="shared" si="14"/>
        <v>3490850</v>
      </c>
      <c r="Q32" s="444">
        <f t="shared" si="14"/>
        <v>3490850</v>
      </c>
      <c r="R32" s="444">
        <f t="shared" si="14"/>
        <v>3490850</v>
      </c>
      <c r="S32" s="444">
        <f t="shared" si="14"/>
        <v>3490850</v>
      </c>
      <c r="T32" s="444">
        <f t="shared" si="14"/>
        <v>3490850</v>
      </c>
      <c r="U32" s="444">
        <f t="shared" si="14"/>
        <v>3490850</v>
      </c>
      <c r="V32" s="444">
        <f t="shared" si="14"/>
        <v>3490850</v>
      </c>
      <c r="W32" s="444">
        <f t="shared" si="14"/>
        <v>3490850</v>
      </c>
      <c r="X32" s="444">
        <f t="shared" si="14"/>
        <v>45381120</v>
      </c>
      <c r="Y32" s="444">
        <f t="shared" si="14"/>
        <v>3490855.384615385</v>
      </c>
    </row>
    <row r="33" spans="1:25">
      <c r="A33" s="217">
        <f t="shared" si="1"/>
        <v>18</v>
      </c>
      <c r="D33" s="445"/>
      <c r="F33" s="445"/>
      <c r="G33" s="445"/>
      <c r="H33" s="445"/>
      <c r="I33" s="445"/>
      <c r="J33" s="445"/>
      <c r="K33" s="445"/>
      <c r="L33" s="445"/>
      <c r="M33" s="217">
        <f t="shared" si="2"/>
        <v>18</v>
      </c>
      <c r="P33" s="445"/>
      <c r="Q33" s="445"/>
      <c r="R33" s="445"/>
      <c r="S33" s="445"/>
      <c r="T33" s="445"/>
      <c r="U33" s="445"/>
      <c r="V33" s="445"/>
      <c r="W33" s="445"/>
      <c r="X33" s="445"/>
      <c r="Y33" s="445"/>
    </row>
    <row r="34" spans="1:25">
      <c r="A34" s="217">
        <f t="shared" si="1"/>
        <v>19</v>
      </c>
      <c r="B34" s="505" t="s">
        <v>1369</v>
      </c>
      <c r="D34" s="442"/>
      <c r="F34" s="442"/>
      <c r="G34" s="442"/>
      <c r="H34" s="442"/>
      <c r="I34" s="442"/>
      <c r="J34" s="442"/>
      <c r="K34" s="442"/>
      <c r="L34" s="442"/>
      <c r="M34" s="217">
        <f t="shared" si="2"/>
        <v>19</v>
      </c>
      <c r="N34" s="505" t="s">
        <v>1369</v>
      </c>
      <c r="P34" s="442"/>
      <c r="Q34" s="442"/>
      <c r="R34" s="442"/>
      <c r="S34" s="442"/>
      <c r="T34" s="442"/>
      <c r="U34" s="442"/>
      <c r="V34" s="442"/>
      <c r="W34" s="442"/>
      <c r="X34" s="442"/>
      <c r="Y34" s="442"/>
    </row>
    <row r="35" spans="1:25">
      <c r="A35" s="217">
        <f t="shared" si="1"/>
        <v>20</v>
      </c>
      <c r="B35" s="220" t="s">
        <v>1361</v>
      </c>
      <c r="D35" s="442">
        <f>SUMIF($C$44:$C$85,"NON",D$44:D$85)</f>
        <v>9380599</v>
      </c>
      <c r="F35" s="442">
        <f t="shared" ref="F35:W35" si="15">SUMIF($C$44:$C$85,"NON",F$44:F$85)</f>
        <v>9380599</v>
      </c>
      <c r="G35" s="442">
        <f t="shared" si="15"/>
        <v>0</v>
      </c>
      <c r="H35" s="442">
        <f t="shared" si="15"/>
        <v>9380599</v>
      </c>
      <c r="I35" s="442">
        <f t="shared" si="15"/>
        <v>9380599</v>
      </c>
      <c r="J35" s="442">
        <f t="shared" si="15"/>
        <v>9380599</v>
      </c>
      <c r="K35" s="442">
        <f t="shared" si="15"/>
        <v>9380599</v>
      </c>
      <c r="L35" s="442">
        <f t="shared" si="15"/>
        <v>9380599</v>
      </c>
      <c r="M35" s="217">
        <f t="shared" si="2"/>
        <v>20</v>
      </c>
      <c r="N35" s="220" t="s">
        <v>1361</v>
      </c>
      <c r="P35" s="442">
        <f t="shared" si="15"/>
        <v>9380599</v>
      </c>
      <c r="Q35" s="442">
        <f t="shared" si="15"/>
        <v>9380599</v>
      </c>
      <c r="R35" s="442">
        <f t="shared" si="15"/>
        <v>9380599</v>
      </c>
      <c r="S35" s="442">
        <f t="shared" si="15"/>
        <v>9380599</v>
      </c>
      <c r="T35" s="442">
        <f t="shared" si="15"/>
        <v>9380599</v>
      </c>
      <c r="U35" s="442">
        <f t="shared" si="15"/>
        <v>9380599</v>
      </c>
      <c r="V35" s="442">
        <f t="shared" si="15"/>
        <v>9380599</v>
      </c>
      <c r="W35" s="442">
        <f t="shared" si="15"/>
        <v>9380599</v>
      </c>
      <c r="X35" s="443">
        <f>SUM(H35:W35)</f>
        <v>121947807</v>
      </c>
      <c r="Y35" s="443">
        <f>X35/13</f>
        <v>9380600.538461538</v>
      </c>
    </row>
    <row r="36" spans="1:25">
      <c r="A36" s="217">
        <f t="shared" si="1"/>
        <v>21</v>
      </c>
      <c r="B36" s="220" t="s">
        <v>1362</v>
      </c>
      <c r="D36" s="442">
        <f>SUMIF($C$102:$C$109,"NON",D$102:D$109)</f>
        <v>648953</v>
      </c>
      <c r="F36" s="442">
        <f t="shared" ref="F36:W36" si="16">SUMIF($C$102:$C$109,"NON",F$102:F$109)</f>
        <v>648953</v>
      </c>
      <c r="G36" s="442">
        <f t="shared" si="16"/>
        <v>0</v>
      </c>
      <c r="H36" s="442">
        <f t="shared" si="16"/>
        <v>648953</v>
      </c>
      <c r="I36" s="442">
        <f t="shared" si="16"/>
        <v>648953</v>
      </c>
      <c r="J36" s="442">
        <f t="shared" si="16"/>
        <v>648953</v>
      </c>
      <c r="K36" s="442">
        <f t="shared" si="16"/>
        <v>648953</v>
      </c>
      <c r="L36" s="442">
        <f t="shared" si="16"/>
        <v>648953</v>
      </c>
      <c r="M36" s="217">
        <f t="shared" si="2"/>
        <v>21</v>
      </c>
      <c r="N36" s="220" t="s">
        <v>1362</v>
      </c>
      <c r="P36" s="442">
        <f t="shared" si="16"/>
        <v>648953</v>
      </c>
      <c r="Q36" s="442">
        <f t="shared" si="16"/>
        <v>648953</v>
      </c>
      <c r="R36" s="442">
        <f t="shared" si="16"/>
        <v>648953</v>
      </c>
      <c r="S36" s="442">
        <f t="shared" si="16"/>
        <v>648953</v>
      </c>
      <c r="T36" s="442">
        <f t="shared" si="16"/>
        <v>648953</v>
      </c>
      <c r="U36" s="442">
        <f t="shared" si="16"/>
        <v>648953</v>
      </c>
      <c r="V36" s="442">
        <f t="shared" si="16"/>
        <v>648953</v>
      </c>
      <c r="W36" s="442">
        <f t="shared" si="16"/>
        <v>648953</v>
      </c>
      <c r="X36" s="443">
        <f>SUM(H36:W36)</f>
        <v>8436410</v>
      </c>
      <c r="Y36" s="443">
        <f>X36/13</f>
        <v>648954.61538461538</v>
      </c>
    </row>
    <row r="37" spans="1:25">
      <c r="A37" s="217">
        <f t="shared" si="1"/>
        <v>22</v>
      </c>
      <c r="B37" s="220" t="s">
        <v>1363</v>
      </c>
      <c r="D37" s="442">
        <f>SUMIF($C$116:$C$146,"NON",D$116:D$146)</f>
        <v>-2606821</v>
      </c>
      <c r="F37" s="442">
        <f t="shared" ref="F37:W37" si="17">SUMIF($C$116:$C$146,"NON",F$116:F$146)</f>
        <v>-2606821</v>
      </c>
      <c r="G37" s="442">
        <f t="shared" si="17"/>
        <v>0</v>
      </c>
      <c r="H37" s="442">
        <f t="shared" si="17"/>
        <v>-2606821</v>
      </c>
      <c r="I37" s="442">
        <f t="shared" si="17"/>
        <v>-2606821</v>
      </c>
      <c r="J37" s="442">
        <f t="shared" si="17"/>
        <v>-2606821</v>
      </c>
      <c r="K37" s="442">
        <f t="shared" si="17"/>
        <v>-2606821</v>
      </c>
      <c r="L37" s="442">
        <f t="shared" si="17"/>
        <v>-2606821</v>
      </c>
      <c r="M37" s="217">
        <f t="shared" si="2"/>
        <v>22</v>
      </c>
      <c r="N37" s="220" t="s">
        <v>1363</v>
      </c>
      <c r="P37" s="442">
        <f t="shared" si="17"/>
        <v>-2606821</v>
      </c>
      <c r="Q37" s="442">
        <f t="shared" si="17"/>
        <v>-2606821</v>
      </c>
      <c r="R37" s="442">
        <f t="shared" si="17"/>
        <v>-2606821</v>
      </c>
      <c r="S37" s="442">
        <f t="shared" si="17"/>
        <v>-2606821</v>
      </c>
      <c r="T37" s="442">
        <f t="shared" si="17"/>
        <v>-2606821</v>
      </c>
      <c r="U37" s="442">
        <f t="shared" si="17"/>
        <v>-2606821</v>
      </c>
      <c r="V37" s="442">
        <f t="shared" si="17"/>
        <v>-2606821</v>
      </c>
      <c r="W37" s="442">
        <f t="shared" si="17"/>
        <v>-2606821</v>
      </c>
      <c r="X37" s="443">
        <f>SUM(H37:W37)</f>
        <v>-33888651</v>
      </c>
      <c r="Y37" s="443">
        <f>X37/13</f>
        <v>-2606819.3076923075</v>
      </c>
    </row>
    <row r="38" spans="1:25">
      <c r="A38" s="217">
        <f t="shared" si="1"/>
        <v>23</v>
      </c>
      <c r="B38" s="220" t="s">
        <v>1364</v>
      </c>
      <c r="D38" s="442">
        <f>SUMIF($C$165:$C$170,"NON",D$165:D$170)</f>
        <v>0</v>
      </c>
      <c r="F38" s="442">
        <f t="shared" ref="F38:W38" si="18">SUMIF($C$165:$C$170,"NON",F$165:F$170)</f>
        <v>0</v>
      </c>
      <c r="G38" s="442">
        <f t="shared" si="18"/>
        <v>0</v>
      </c>
      <c r="H38" s="442">
        <f t="shared" si="18"/>
        <v>0</v>
      </c>
      <c r="I38" s="442">
        <f t="shared" si="18"/>
        <v>0</v>
      </c>
      <c r="J38" s="442">
        <f t="shared" si="18"/>
        <v>0</v>
      </c>
      <c r="K38" s="442">
        <f t="shared" si="18"/>
        <v>0</v>
      </c>
      <c r="L38" s="442">
        <f t="shared" si="18"/>
        <v>0</v>
      </c>
      <c r="M38" s="217">
        <f t="shared" si="2"/>
        <v>23</v>
      </c>
      <c r="N38" s="220" t="s">
        <v>1364</v>
      </c>
      <c r="P38" s="442">
        <f t="shared" si="18"/>
        <v>0</v>
      </c>
      <c r="Q38" s="442">
        <f t="shared" si="18"/>
        <v>0</v>
      </c>
      <c r="R38" s="442">
        <f t="shared" si="18"/>
        <v>0</v>
      </c>
      <c r="S38" s="442">
        <f t="shared" si="18"/>
        <v>0</v>
      </c>
      <c r="T38" s="442">
        <f t="shared" si="18"/>
        <v>0</v>
      </c>
      <c r="U38" s="442">
        <f t="shared" si="18"/>
        <v>0</v>
      </c>
      <c r="V38" s="442">
        <f t="shared" si="18"/>
        <v>0</v>
      </c>
      <c r="W38" s="442">
        <f t="shared" si="18"/>
        <v>0</v>
      </c>
      <c r="X38" s="443">
        <f>SUM(H38:W38)</f>
        <v>23</v>
      </c>
      <c r="Y38" s="443">
        <f>X38/13</f>
        <v>1.7692307692307692</v>
      </c>
    </row>
    <row r="39" spans="1:25">
      <c r="A39" s="217">
        <f t="shared" si="1"/>
        <v>24</v>
      </c>
      <c r="B39" s="220" t="s">
        <v>1365</v>
      </c>
      <c r="D39" s="442">
        <f>SUMIF($C$192,"NON",D$192)</f>
        <v>-1213</v>
      </c>
      <c r="F39" s="442">
        <f t="shared" ref="F39:W39" si="19">SUMIF($C$192,"NON",F$192)</f>
        <v>-1213</v>
      </c>
      <c r="G39" s="442">
        <f t="shared" si="19"/>
        <v>0</v>
      </c>
      <c r="H39" s="442">
        <f t="shared" si="19"/>
        <v>-1213</v>
      </c>
      <c r="I39" s="442">
        <f t="shared" si="19"/>
        <v>-1124.3333333333333</v>
      </c>
      <c r="J39" s="442">
        <f t="shared" si="19"/>
        <v>-1035.6666666666665</v>
      </c>
      <c r="K39" s="442">
        <f t="shared" si="19"/>
        <v>-946.99999999999989</v>
      </c>
      <c r="L39" s="442">
        <f t="shared" si="19"/>
        <v>-858.33333333333326</v>
      </c>
      <c r="M39" s="217">
        <f t="shared" si="2"/>
        <v>24</v>
      </c>
      <c r="N39" s="220" t="s">
        <v>1365</v>
      </c>
      <c r="P39" s="442">
        <f t="shared" si="19"/>
        <v>-769.66666666666663</v>
      </c>
      <c r="Q39" s="442">
        <f t="shared" si="19"/>
        <v>-681</v>
      </c>
      <c r="R39" s="442">
        <f t="shared" si="19"/>
        <v>-592.33333333333337</v>
      </c>
      <c r="S39" s="442">
        <f t="shared" si="19"/>
        <v>-503.66666666666669</v>
      </c>
      <c r="T39" s="442">
        <f t="shared" si="19"/>
        <v>-415</v>
      </c>
      <c r="U39" s="442">
        <f t="shared" si="19"/>
        <v>-326.33333333333331</v>
      </c>
      <c r="V39" s="442">
        <f t="shared" si="19"/>
        <v>-237.66666666666663</v>
      </c>
      <c r="W39" s="442">
        <f t="shared" si="19"/>
        <v>-149</v>
      </c>
      <c r="X39" s="443">
        <f>SUM(H39:W39)</f>
        <v>-8828.9999999999982</v>
      </c>
      <c r="Y39" s="443">
        <f>X39/13</f>
        <v>-679.15384615384596</v>
      </c>
    </row>
    <row r="40" spans="1:25">
      <c r="A40" s="217">
        <f t="shared" si="1"/>
        <v>25</v>
      </c>
      <c r="B40" s="220" t="s">
        <v>1370</v>
      </c>
      <c r="D40" s="444">
        <f>SUM(D35:D39)</f>
        <v>7421518</v>
      </c>
      <c r="F40" s="444">
        <f t="shared" ref="F40:Y40" si="20">SUM(F35:F39)</f>
        <v>7421518</v>
      </c>
      <c r="G40" s="444">
        <f t="shared" si="20"/>
        <v>0</v>
      </c>
      <c r="H40" s="444">
        <f t="shared" si="20"/>
        <v>7421518</v>
      </c>
      <c r="I40" s="444">
        <f t="shared" si="20"/>
        <v>7421606.666666667</v>
      </c>
      <c r="J40" s="444">
        <f t="shared" si="20"/>
        <v>7421695.333333333</v>
      </c>
      <c r="K40" s="444">
        <f t="shared" si="20"/>
        <v>7421784</v>
      </c>
      <c r="L40" s="444">
        <f t="shared" si="20"/>
        <v>7421872.666666667</v>
      </c>
      <c r="M40" s="217">
        <f t="shared" si="2"/>
        <v>25</v>
      </c>
      <c r="N40" s="220" t="s">
        <v>1370</v>
      </c>
      <c r="P40" s="444">
        <f t="shared" si="20"/>
        <v>7421961.333333333</v>
      </c>
      <c r="Q40" s="444">
        <f t="shared" si="20"/>
        <v>7422050</v>
      </c>
      <c r="R40" s="444">
        <f t="shared" si="20"/>
        <v>7422138.666666667</v>
      </c>
      <c r="S40" s="444">
        <f t="shared" si="20"/>
        <v>7422227.333333333</v>
      </c>
      <c r="T40" s="444">
        <f t="shared" si="20"/>
        <v>7422316</v>
      </c>
      <c r="U40" s="444">
        <f t="shared" si="20"/>
        <v>7422404.666666667</v>
      </c>
      <c r="V40" s="444">
        <f t="shared" si="20"/>
        <v>7422493.333333333</v>
      </c>
      <c r="W40" s="444">
        <f t="shared" si="20"/>
        <v>7422582</v>
      </c>
      <c r="X40" s="444">
        <f t="shared" si="20"/>
        <v>96486760</v>
      </c>
      <c r="Y40" s="444">
        <f t="shared" si="20"/>
        <v>7422058.461538461</v>
      </c>
    </row>
    <row r="41" spans="1:25">
      <c r="A41" s="217">
        <f t="shared" si="1"/>
        <v>26</v>
      </c>
      <c r="D41" s="442"/>
      <c r="F41" s="442"/>
      <c r="G41" s="442"/>
      <c r="H41" s="442"/>
      <c r="I41" s="442"/>
      <c r="J41" s="442"/>
      <c r="K41" s="442"/>
      <c r="L41" s="442"/>
      <c r="M41" s="217">
        <f t="shared" si="2"/>
        <v>26</v>
      </c>
      <c r="P41" s="442"/>
      <c r="Q41" s="442"/>
      <c r="R41" s="442"/>
      <c r="S41" s="442"/>
      <c r="T41" s="442"/>
      <c r="U41" s="442"/>
      <c r="V41" s="442"/>
      <c r="W41" s="442"/>
      <c r="X41" s="442"/>
      <c r="Y41" s="442"/>
    </row>
    <row r="42" spans="1:25" s="420" customFormat="1">
      <c r="A42" s="426">
        <f t="shared" si="1"/>
        <v>27</v>
      </c>
      <c r="B42" s="446" t="s">
        <v>1371</v>
      </c>
      <c r="C42" s="426"/>
      <c r="D42" s="444">
        <f>SUM(D40,D32,D24)</f>
        <v>-98741326.21720627</v>
      </c>
      <c r="F42" s="444">
        <f t="shared" ref="F42:Y42" si="21">SUM(F40,F32,F24)</f>
        <v>-98741326.21720627</v>
      </c>
      <c r="G42" s="444">
        <f t="shared" si="21"/>
        <v>0</v>
      </c>
      <c r="H42" s="444">
        <f t="shared" si="21"/>
        <v>-98741326.21720627</v>
      </c>
      <c r="I42" s="444">
        <f t="shared" si="21"/>
        <v>-98956391.170433149</v>
      </c>
      <c r="J42" s="444">
        <f t="shared" si="21"/>
        <v>-99171456.123660043</v>
      </c>
      <c r="K42" s="444">
        <f t="shared" si="21"/>
        <v>-99386521.076886937</v>
      </c>
      <c r="L42" s="444">
        <f t="shared" si="21"/>
        <v>-99601586.030113831</v>
      </c>
      <c r="M42" s="426">
        <f t="shared" si="2"/>
        <v>27</v>
      </c>
      <c r="N42" s="446" t="s">
        <v>1371</v>
      </c>
      <c r="O42" s="426"/>
      <c r="P42" s="444">
        <f t="shared" si="21"/>
        <v>-99816650.98334074</v>
      </c>
      <c r="Q42" s="444">
        <f t="shared" si="21"/>
        <v>-100031715.93656763</v>
      </c>
      <c r="R42" s="444">
        <f t="shared" si="21"/>
        <v>-100246780.88979453</v>
      </c>
      <c r="S42" s="444">
        <f t="shared" si="21"/>
        <v>-100461845.84302144</v>
      </c>
      <c r="T42" s="444">
        <f t="shared" si="21"/>
        <v>-100676910.79624833</v>
      </c>
      <c r="U42" s="444">
        <f t="shared" si="21"/>
        <v>-100891975.74947521</v>
      </c>
      <c r="V42" s="444">
        <f t="shared" si="21"/>
        <v>-101107040.70270212</v>
      </c>
      <c r="W42" s="444">
        <f t="shared" si="21"/>
        <v>-101322105.65592897</v>
      </c>
      <c r="X42" s="444">
        <f t="shared" si="21"/>
        <v>-1300412074.1753788</v>
      </c>
      <c r="Y42" s="444">
        <f t="shared" si="21"/>
        <v>-100031698.01349069</v>
      </c>
    </row>
    <row r="43" spans="1:25">
      <c r="A43" s="217">
        <f t="shared" si="1"/>
        <v>28</v>
      </c>
      <c r="B43" s="229"/>
      <c r="D43" s="445"/>
      <c r="F43" s="442"/>
      <c r="G43" s="442"/>
      <c r="H43" s="442"/>
      <c r="I43" s="442"/>
      <c r="J43" s="442"/>
      <c r="K43" s="442"/>
      <c r="L43" s="442"/>
      <c r="M43" s="217">
        <f t="shared" si="2"/>
        <v>28</v>
      </c>
      <c r="N43" s="229"/>
      <c r="P43" s="442"/>
      <c r="Q43" s="442"/>
      <c r="R43" s="442"/>
      <c r="S43" s="442"/>
      <c r="T43" s="442"/>
      <c r="U43" s="442"/>
      <c r="V43" s="442"/>
      <c r="W43" s="442"/>
      <c r="X43" s="442"/>
      <c r="Y43" s="442"/>
    </row>
    <row r="44" spans="1:25" s="218" customFormat="1">
      <c r="A44" s="219">
        <f t="shared" si="1"/>
        <v>29</v>
      </c>
      <c r="B44" s="264" t="s">
        <v>1361</v>
      </c>
      <c r="C44" s="426"/>
      <c r="D44" s="442"/>
      <c r="F44" s="442"/>
      <c r="G44" s="442"/>
      <c r="H44" s="442"/>
      <c r="I44" s="442"/>
      <c r="J44" s="442"/>
      <c r="K44" s="442"/>
      <c r="L44" s="442"/>
      <c r="M44" s="219">
        <f t="shared" si="2"/>
        <v>29</v>
      </c>
      <c r="N44" s="264" t="s">
        <v>1361</v>
      </c>
      <c r="O44" s="426"/>
      <c r="P44" s="442"/>
      <c r="Q44" s="442"/>
      <c r="R44" s="442"/>
      <c r="S44" s="442"/>
      <c r="T44" s="442"/>
      <c r="U44" s="442"/>
      <c r="V44" s="442"/>
      <c r="W44" s="442"/>
      <c r="X44" s="442"/>
      <c r="Y44" s="442"/>
    </row>
    <row r="45" spans="1:25" s="420" customFormat="1">
      <c r="A45" s="426">
        <f t="shared" si="1"/>
        <v>30</v>
      </c>
      <c r="B45" s="446" t="s">
        <v>1372</v>
      </c>
      <c r="C45" s="426" t="s">
        <v>1373</v>
      </c>
      <c r="D45" s="443">
        <v>699185.83333333454</v>
      </c>
      <c r="E45" s="447">
        <v>1</v>
      </c>
      <c r="F45" s="443">
        <f>D45*$E$45</f>
        <v>699185.83333333454</v>
      </c>
      <c r="G45" s="443"/>
      <c r="H45" s="443">
        <v>699185.83333333454</v>
      </c>
      <c r="I45" s="443">
        <v>640920.3472222233</v>
      </c>
      <c r="J45" s="443">
        <v>582654.86111111206</v>
      </c>
      <c r="K45" s="443">
        <v>524389.37500000081</v>
      </c>
      <c r="L45" s="443">
        <v>466123.88888888957</v>
      </c>
      <c r="M45" s="426">
        <f t="shared" si="2"/>
        <v>30</v>
      </c>
      <c r="N45" s="446" t="s">
        <v>1372</v>
      </c>
      <c r="O45" s="426" t="s">
        <v>1373</v>
      </c>
      <c r="P45" s="443">
        <v>407858.40277777833</v>
      </c>
      <c r="Q45" s="443">
        <v>349592.91666666709</v>
      </c>
      <c r="R45" s="443">
        <v>291327.43055555585</v>
      </c>
      <c r="S45" s="443">
        <v>233061.94444444464</v>
      </c>
      <c r="T45" s="443">
        <v>174796.45833333343</v>
      </c>
      <c r="U45" s="443">
        <v>116530.97222222222</v>
      </c>
      <c r="V45" s="443">
        <v>58265.486111111008</v>
      </c>
      <c r="W45" s="443">
        <v>0</v>
      </c>
      <c r="X45" s="448">
        <f t="shared" ref="X45:X84" si="22">SUM(H45:W45)</f>
        <v>4544737.9166666726</v>
      </c>
      <c r="Y45" s="448">
        <f t="shared" ref="Y45:Y84" si="23">X45/13</f>
        <v>349595.22435897484</v>
      </c>
    </row>
    <row r="46" spans="1:25" s="420" customFormat="1">
      <c r="A46" s="426">
        <f t="shared" si="1"/>
        <v>31</v>
      </c>
      <c r="B46" s="446" t="s">
        <v>1374</v>
      </c>
      <c r="C46" s="426" t="s">
        <v>1375</v>
      </c>
      <c r="D46" s="443">
        <v>206822</v>
      </c>
      <c r="E46" s="447"/>
      <c r="F46" s="443">
        <f t="shared" ref="F46:F84" si="24">D46*$E$45</f>
        <v>206822</v>
      </c>
      <c r="G46" s="443">
        <v>0</v>
      </c>
      <c r="H46" s="448">
        <v>206822</v>
      </c>
      <c r="I46" s="443">
        <v>206822</v>
      </c>
      <c r="J46" s="443">
        <v>206822</v>
      </c>
      <c r="K46" s="443">
        <v>206822</v>
      </c>
      <c r="L46" s="443">
        <v>206822</v>
      </c>
      <c r="M46" s="426">
        <f t="shared" si="2"/>
        <v>31</v>
      </c>
      <c r="N46" s="446" t="s">
        <v>1374</v>
      </c>
      <c r="O46" s="426" t="s">
        <v>1375</v>
      </c>
      <c r="P46" s="443">
        <v>206822</v>
      </c>
      <c r="Q46" s="443">
        <v>206822</v>
      </c>
      <c r="R46" s="443">
        <v>206822</v>
      </c>
      <c r="S46" s="443">
        <v>206822</v>
      </c>
      <c r="T46" s="443">
        <v>206822</v>
      </c>
      <c r="U46" s="443">
        <v>206822</v>
      </c>
      <c r="V46" s="443">
        <v>206822</v>
      </c>
      <c r="W46" s="443">
        <v>206822</v>
      </c>
      <c r="X46" s="448">
        <f t="shared" si="22"/>
        <v>2688717</v>
      </c>
      <c r="Y46" s="448">
        <f t="shared" si="23"/>
        <v>206824.38461538462</v>
      </c>
    </row>
    <row r="47" spans="1:25" s="420" customFormat="1">
      <c r="A47" s="426">
        <f t="shared" si="1"/>
        <v>32</v>
      </c>
      <c r="B47" s="446" t="s">
        <v>1376</v>
      </c>
      <c r="C47" s="426" t="s">
        <v>1375</v>
      </c>
      <c r="D47" s="443">
        <v>3078</v>
      </c>
      <c r="E47" s="449"/>
      <c r="F47" s="443">
        <f t="shared" si="24"/>
        <v>3078</v>
      </c>
      <c r="G47" s="450">
        <v>0</v>
      </c>
      <c r="H47" s="448">
        <v>3078</v>
      </c>
      <c r="I47" s="443">
        <v>3078</v>
      </c>
      <c r="J47" s="443">
        <v>3078</v>
      </c>
      <c r="K47" s="443">
        <v>3078</v>
      </c>
      <c r="L47" s="443">
        <v>3078</v>
      </c>
      <c r="M47" s="426">
        <f t="shared" si="2"/>
        <v>32</v>
      </c>
      <c r="N47" s="446" t="s">
        <v>1376</v>
      </c>
      <c r="O47" s="426" t="s">
        <v>1375</v>
      </c>
      <c r="P47" s="443">
        <v>3078</v>
      </c>
      <c r="Q47" s="443">
        <v>3078</v>
      </c>
      <c r="R47" s="443">
        <v>3078</v>
      </c>
      <c r="S47" s="443">
        <v>3078</v>
      </c>
      <c r="T47" s="443">
        <v>3078</v>
      </c>
      <c r="U47" s="443">
        <v>3078</v>
      </c>
      <c r="V47" s="443">
        <v>3078</v>
      </c>
      <c r="W47" s="443">
        <v>3078</v>
      </c>
      <c r="X47" s="448">
        <f t="shared" si="22"/>
        <v>40046</v>
      </c>
      <c r="Y47" s="448">
        <f t="shared" si="23"/>
        <v>3080.4615384615386</v>
      </c>
    </row>
    <row r="48" spans="1:25" s="420" customFormat="1">
      <c r="A48" s="426">
        <f t="shared" si="1"/>
        <v>33</v>
      </c>
      <c r="B48" s="446" t="s">
        <v>1377</v>
      </c>
      <c r="C48" s="426" t="s">
        <v>1375</v>
      </c>
      <c r="D48" s="443">
        <v>109273</v>
      </c>
      <c r="E48" s="449"/>
      <c r="F48" s="443">
        <f t="shared" si="24"/>
        <v>109273</v>
      </c>
      <c r="G48" s="450">
        <v>0</v>
      </c>
      <c r="H48" s="448">
        <v>109273</v>
      </c>
      <c r="I48" s="443">
        <v>109273</v>
      </c>
      <c r="J48" s="443">
        <v>109273</v>
      </c>
      <c r="K48" s="443">
        <v>109273</v>
      </c>
      <c r="L48" s="443">
        <v>109273</v>
      </c>
      <c r="M48" s="426">
        <f t="shared" si="2"/>
        <v>33</v>
      </c>
      <c r="N48" s="446" t="s">
        <v>1377</v>
      </c>
      <c r="O48" s="426" t="s">
        <v>1375</v>
      </c>
      <c r="P48" s="443">
        <v>109273</v>
      </c>
      <c r="Q48" s="443">
        <v>109273</v>
      </c>
      <c r="R48" s="443">
        <v>109273</v>
      </c>
      <c r="S48" s="443">
        <v>109273</v>
      </c>
      <c r="T48" s="443">
        <v>109273</v>
      </c>
      <c r="U48" s="443">
        <v>109273</v>
      </c>
      <c r="V48" s="443">
        <v>109273</v>
      </c>
      <c r="W48" s="443">
        <v>109273</v>
      </c>
      <c r="X48" s="448">
        <f t="shared" si="22"/>
        <v>1420582</v>
      </c>
      <c r="Y48" s="448">
        <f t="shared" si="23"/>
        <v>109275.53846153847</v>
      </c>
    </row>
    <row r="49" spans="1:25" s="420" customFormat="1">
      <c r="A49" s="426">
        <f t="shared" si="1"/>
        <v>34</v>
      </c>
      <c r="B49" s="446" t="s">
        <v>1378</v>
      </c>
      <c r="C49" s="426" t="s">
        <v>1373</v>
      </c>
      <c r="D49" s="448">
        <v>410350</v>
      </c>
      <c r="F49" s="443">
        <f t="shared" si="24"/>
        <v>410350</v>
      </c>
      <c r="G49" s="450">
        <v>0</v>
      </c>
      <c r="H49" s="448">
        <v>410350</v>
      </c>
      <c r="I49" s="448">
        <v>410350</v>
      </c>
      <c r="J49" s="448">
        <v>410350</v>
      </c>
      <c r="K49" s="448">
        <v>410350</v>
      </c>
      <c r="L49" s="448">
        <v>410350</v>
      </c>
      <c r="M49" s="426">
        <f t="shared" si="2"/>
        <v>34</v>
      </c>
      <c r="N49" s="446" t="s">
        <v>1378</v>
      </c>
      <c r="O49" s="426" t="s">
        <v>1373</v>
      </c>
      <c r="P49" s="448">
        <v>410350</v>
      </c>
      <c r="Q49" s="448">
        <v>410350</v>
      </c>
      <c r="R49" s="448">
        <v>410350</v>
      </c>
      <c r="S49" s="448">
        <v>410350</v>
      </c>
      <c r="T49" s="448">
        <v>410350</v>
      </c>
      <c r="U49" s="448">
        <v>410350</v>
      </c>
      <c r="V49" s="448">
        <v>410350</v>
      </c>
      <c r="W49" s="448">
        <v>410350</v>
      </c>
      <c r="X49" s="448">
        <f t="shared" si="22"/>
        <v>5334584</v>
      </c>
      <c r="Y49" s="448">
        <f t="shared" si="23"/>
        <v>410352.61538461538</v>
      </c>
    </row>
    <row r="50" spans="1:25" s="420" customFormat="1">
      <c r="A50" s="426">
        <f t="shared" si="1"/>
        <v>35</v>
      </c>
      <c r="B50" s="446" t="s">
        <v>1379</v>
      </c>
      <c r="C50" s="426" t="s">
        <v>1373</v>
      </c>
      <c r="D50" s="448">
        <v>102845</v>
      </c>
      <c r="E50" s="447"/>
      <c r="F50" s="443">
        <f t="shared" si="24"/>
        <v>102845</v>
      </c>
      <c r="G50" s="450">
        <v>0</v>
      </c>
      <c r="H50" s="448">
        <v>102845</v>
      </c>
      <c r="I50" s="448">
        <v>102845</v>
      </c>
      <c r="J50" s="448">
        <v>102845</v>
      </c>
      <c r="K50" s="448">
        <v>102845</v>
      </c>
      <c r="L50" s="448">
        <v>102845</v>
      </c>
      <c r="M50" s="426">
        <f t="shared" si="2"/>
        <v>35</v>
      </c>
      <c r="N50" s="446" t="s">
        <v>1379</v>
      </c>
      <c r="O50" s="426" t="s">
        <v>1373</v>
      </c>
      <c r="P50" s="448">
        <v>102845</v>
      </c>
      <c r="Q50" s="448">
        <v>102845</v>
      </c>
      <c r="R50" s="448">
        <v>102845</v>
      </c>
      <c r="S50" s="448">
        <v>102845</v>
      </c>
      <c r="T50" s="448">
        <v>102845</v>
      </c>
      <c r="U50" s="448">
        <v>102845</v>
      </c>
      <c r="V50" s="448">
        <v>102845</v>
      </c>
      <c r="W50" s="448">
        <v>102845</v>
      </c>
      <c r="X50" s="448">
        <f t="shared" si="22"/>
        <v>1337020</v>
      </c>
      <c r="Y50" s="448">
        <f t="shared" si="23"/>
        <v>102847.69230769231</v>
      </c>
    </row>
    <row r="51" spans="1:25" s="420" customFormat="1">
      <c r="A51" s="426">
        <f t="shared" si="1"/>
        <v>36</v>
      </c>
      <c r="B51" s="446" t="s">
        <v>1380</v>
      </c>
      <c r="C51" s="426" t="s">
        <v>1373</v>
      </c>
      <c r="D51" s="448">
        <v>462360</v>
      </c>
      <c r="E51" s="449"/>
      <c r="F51" s="443">
        <f t="shared" si="24"/>
        <v>462360</v>
      </c>
      <c r="G51" s="450">
        <v>0</v>
      </c>
      <c r="H51" s="448">
        <v>462360</v>
      </c>
      <c r="I51" s="448">
        <v>462360</v>
      </c>
      <c r="J51" s="448">
        <v>462360</v>
      </c>
      <c r="K51" s="448">
        <v>462360</v>
      </c>
      <c r="L51" s="448">
        <v>462360</v>
      </c>
      <c r="M51" s="426">
        <f t="shared" si="2"/>
        <v>36</v>
      </c>
      <c r="N51" s="446" t="s">
        <v>1380</v>
      </c>
      <c r="O51" s="426" t="s">
        <v>1373</v>
      </c>
      <c r="P51" s="448">
        <v>462360</v>
      </c>
      <c r="Q51" s="448">
        <v>462360</v>
      </c>
      <c r="R51" s="448">
        <v>462360</v>
      </c>
      <c r="S51" s="448">
        <v>462360</v>
      </c>
      <c r="T51" s="448">
        <v>462360</v>
      </c>
      <c r="U51" s="448">
        <v>462360</v>
      </c>
      <c r="V51" s="448">
        <v>462360</v>
      </c>
      <c r="W51" s="448">
        <v>462360</v>
      </c>
      <c r="X51" s="448">
        <f t="shared" si="22"/>
        <v>6010716</v>
      </c>
      <c r="Y51" s="448">
        <f t="shared" si="23"/>
        <v>462362.76923076925</v>
      </c>
    </row>
    <row r="52" spans="1:25" s="420" customFormat="1">
      <c r="A52" s="426">
        <f t="shared" si="1"/>
        <v>37</v>
      </c>
      <c r="B52" s="446" t="s">
        <v>1381</v>
      </c>
      <c r="C52" s="426" t="s">
        <v>1373</v>
      </c>
      <c r="D52" s="448">
        <v>115880</v>
      </c>
      <c r="E52" s="449"/>
      <c r="F52" s="443">
        <f t="shared" si="24"/>
        <v>115880</v>
      </c>
      <c r="G52" s="450">
        <v>0</v>
      </c>
      <c r="H52" s="448">
        <v>115880</v>
      </c>
      <c r="I52" s="448">
        <v>115880</v>
      </c>
      <c r="J52" s="448">
        <v>115880</v>
      </c>
      <c r="K52" s="448">
        <v>115880</v>
      </c>
      <c r="L52" s="448">
        <v>115880</v>
      </c>
      <c r="M52" s="426">
        <f t="shared" si="2"/>
        <v>37</v>
      </c>
      <c r="N52" s="446" t="s">
        <v>1381</v>
      </c>
      <c r="O52" s="426" t="s">
        <v>1373</v>
      </c>
      <c r="P52" s="448">
        <v>115880</v>
      </c>
      <c r="Q52" s="448">
        <v>115880</v>
      </c>
      <c r="R52" s="448">
        <v>115880</v>
      </c>
      <c r="S52" s="448">
        <v>115880</v>
      </c>
      <c r="T52" s="448">
        <v>115880</v>
      </c>
      <c r="U52" s="448">
        <v>115880</v>
      </c>
      <c r="V52" s="448">
        <v>115880</v>
      </c>
      <c r="W52" s="448">
        <v>115880</v>
      </c>
      <c r="X52" s="448">
        <f t="shared" si="22"/>
        <v>1506477</v>
      </c>
      <c r="Y52" s="448">
        <f t="shared" si="23"/>
        <v>115882.84615384616</v>
      </c>
    </row>
    <row r="53" spans="1:25" s="420" customFormat="1">
      <c r="A53" s="426">
        <f t="shared" si="1"/>
        <v>38</v>
      </c>
      <c r="B53" s="420" t="s">
        <v>1382</v>
      </c>
      <c r="C53" s="426" t="s">
        <v>1375</v>
      </c>
      <c r="D53" s="442">
        <v>118675</v>
      </c>
      <c r="F53" s="443">
        <f t="shared" si="24"/>
        <v>118675</v>
      </c>
      <c r="G53" s="450">
        <v>0</v>
      </c>
      <c r="H53" s="448">
        <v>118675</v>
      </c>
      <c r="I53" s="442">
        <v>118675</v>
      </c>
      <c r="J53" s="442">
        <v>118675</v>
      </c>
      <c r="K53" s="442">
        <v>118675</v>
      </c>
      <c r="L53" s="442">
        <v>118675</v>
      </c>
      <c r="M53" s="426">
        <f t="shared" si="2"/>
        <v>38</v>
      </c>
      <c r="N53" s="420" t="s">
        <v>1382</v>
      </c>
      <c r="O53" s="426" t="s">
        <v>1375</v>
      </c>
      <c r="P53" s="442">
        <v>118675</v>
      </c>
      <c r="Q53" s="442">
        <v>118675</v>
      </c>
      <c r="R53" s="442">
        <v>118675</v>
      </c>
      <c r="S53" s="442">
        <v>118675</v>
      </c>
      <c r="T53" s="442">
        <v>118675</v>
      </c>
      <c r="U53" s="442">
        <v>118675</v>
      </c>
      <c r="V53" s="442">
        <v>118675</v>
      </c>
      <c r="W53" s="442">
        <v>118675</v>
      </c>
      <c r="X53" s="448">
        <f t="shared" si="22"/>
        <v>1542813</v>
      </c>
      <c r="Y53" s="448">
        <f t="shared" si="23"/>
        <v>118677.92307692308</v>
      </c>
    </row>
    <row r="54" spans="1:25" s="420" customFormat="1">
      <c r="A54" s="426">
        <f t="shared" si="1"/>
        <v>39</v>
      </c>
      <c r="B54" s="420" t="s">
        <v>1383</v>
      </c>
      <c r="C54" s="426" t="s">
        <v>1375</v>
      </c>
      <c r="D54" s="443">
        <v>29743</v>
      </c>
      <c r="E54" s="449"/>
      <c r="F54" s="443">
        <f t="shared" si="24"/>
        <v>29743</v>
      </c>
      <c r="G54" s="450">
        <v>0</v>
      </c>
      <c r="H54" s="448">
        <v>29743</v>
      </c>
      <c r="I54" s="443">
        <v>29743</v>
      </c>
      <c r="J54" s="443">
        <v>29743</v>
      </c>
      <c r="K54" s="443">
        <v>29743</v>
      </c>
      <c r="L54" s="443">
        <v>29743</v>
      </c>
      <c r="M54" s="426">
        <f t="shared" si="2"/>
        <v>39</v>
      </c>
      <c r="N54" s="420" t="s">
        <v>1383</v>
      </c>
      <c r="O54" s="426" t="s">
        <v>1375</v>
      </c>
      <c r="P54" s="443">
        <v>29743</v>
      </c>
      <c r="Q54" s="443">
        <v>29743</v>
      </c>
      <c r="R54" s="443">
        <v>29743</v>
      </c>
      <c r="S54" s="443">
        <v>29743</v>
      </c>
      <c r="T54" s="443">
        <v>29743</v>
      </c>
      <c r="U54" s="443">
        <v>29743</v>
      </c>
      <c r="V54" s="443">
        <v>29743</v>
      </c>
      <c r="W54" s="443">
        <v>29743</v>
      </c>
      <c r="X54" s="448">
        <f t="shared" si="22"/>
        <v>386698</v>
      </c>
      <c r="Y54" s="448">
        <f t="shared" si="23"/>
        <v>29746</v>
      </c>
    </row>
    <row r="55" spans="1:25" s="420" customFormat="1">
      <c r="A55" s="426">
        <f t="shared" si="1"/>
        <v>40</v>
      </c>
      <c r="B55" s="446" t="s">
        <v>1384</v>
      </c>
      <c r="C55" s="426" t="s">
        <v>1375</v>
      </c>
      <c r="D55" s="443">
        <v>358093</v>
      </c>
      <c r="E55" s="449"/>
      <c r="F55" s="443">
        <f t="shared" si="24"/>
        <v>358093</v>
      </c>
      <c r="G55" s="450">
        <v>0</v>
      </c>
      <c r="H55" s="448">
        <v>358093</v>
      </c>
      <c r="I55" s="443">
        <v>358093</v>
      </c>
      <c r="J55" s="443">
        <v>358093</v>
      </c>
      <c r="K55" s="443">
        <v>358093</v>
      </c>
      <c r="L55" s="443">
        <v>358093</v>
      </c>
      <c r="M55" s="426">
        <f t="shared" si="2"/>
        <v>40</v>
      </c>
      <c r="N55" s="446" t="s">
        <v>1384</v>
      </c>
      <c r="O55" s="426" t="s">
        <v>1375</v>
      </c>
      <c r="P55" s="443">
        <v>358093</v>
      </c>
      <c r="Q55" s="443">
        <v>358093</v>
      </c>
      <c r="R55" s="443">
        <v>358093</v>
      </c>
      <c r="S55" s="443">
        <v>358093</v>
      </c>
      <c r="T55" s="443">
        <v>358093</v>
      </c>
      <c r="U55" s="443">
        <v>358093</v>
      </c>
      <c r="V55" s="443">
        <v>358093</v>
      </c>
      <c r="W55" s="443">
        <v>358093</v>
      </c>
      <c r="X55" s="448">
        <f t="shared" si="22"/>
        <v>4655249</v>
      </c>
      <c r="Y55" s="448">
        <f t="shared" si="23"/>
        <v>358096.07692307694</v>
      </c>
    </row>
    <row r="56" spans="1:25" s="420" customFormat="1">
      <c r="A56" s="426">
        <f t="shared" si="1"/>
        <v>41</v>
      </c>
      <c r="B56" s="446" t="s">
        <v>1385</v>
      </c>
      <c r="C56" s="426" t="s">
        <v>1375</v>
      </c>
      <c r="D56" s="443">
        <v>89748</v>
      </c>
      <c r="E56" s="449"/>
      <c r="F56" s="443">
        <f t="shared" si="24"/>
        <v>89748</v>
      </c>
      <c r="G56" s="450">
        <v>0</v>
      </c>
      <c r="H56" s="448">
        <v>89748</v>
      </c>
      <c r="I56" s="443">
        <v>89748</v>
      </c>
      <c r="J56" s="443">
        <v>89748</v>
      </c>
      <c r="K56" s="443">
        <v>89748</v>
      </c>
      <c r="L56" s="443">
        <v>89748</v>
      </c>
      <c r="M56" s="426">
        <f t="shared" si="2"/>
        <v>41</v>
      </c>
      <c r="N56" s="446" t="s">
        <v>1385</v>
      </c>
      <c r="O56" s="426" t="s">
        <v>1375</v>
      </c>
      <c r="P56" s="443">
        <v>89748</v>
      </c>
      <c r="Q56" s="443">
        <v>89748</v>
      </c>
      <c r="R56" s="443">
        <v>89748</v>
      </c>
      <c r="S56" s="443">
        <v>89748</v>
      </c>
      <c r="T56" s="443">
        <v>89748</v>
      </c>
      <c r="U56" s="443">
        <v>89748</v>
      </c>
      <c r="V56" s="443">
        <v>89748</v>
      </c>
      <c r="W56" s="443">
        <v>89748</v>
      </c>
      <c r="X56" s="448">
        <f t="shared" si="22"/>
        <v>1166765</v>
      </c>
      <c r="Y56" s="448">
        <f t="shared" si="23"/>
        <v>89751.153846153844</v>
      </c>
    </row>
    <row r="57" spans="1:25" s="420" customFormat="1">
      <c r="A57" s="426">
        <f t="shared" si="1"/>
        <v>42</v>
      </c>
      <c r="B57" s="446" t="s">
        <v>1386</v>
      </c>
      <c r="C57" s="426" t="s">
        <v>1375</v>
      </c>
      <c r="D57" s="443">
        <v>32953</v>
      </c>
      <c r="E57" s="449"/>
      <c r="F57" s="443">
        <f t="shared" si="24"/>
        <v>32953</v>
      </c>
      <c r="G57" s="450">
        <v>0</v>
      </c>
      <c r="H57" s="448">
        <v>32953</v>
      </c>
      <c r="I57" s="443">
        <v>32953</v>
      </c>
      <c r="J57" s="443">
        <v>32953</v>
      </c>
      <c r="K57" s="443">
        <v>32953</v>
      </c>
      <c r="L57" s="443">
        <v>32953</v>
      </c>
      <c r="M57" s="426">
        <f t="shared" si="2"/>
        <v>42</v>
      </c>
      <c r="N57" s="446" t="s">
        <v>1386</v>
      </c>
      <c r="O57" s="426" t="s">
        <v>1375</v>
      </c>
      <c r="P57" s="443">
        <v>32953</v>
      </c>
      <c r="Q57" s="443">
        <v>32953</v>
      </c>
      <c r="R57" s="443">
        <v>32953</v>
      </c>
      <c r="S57" s="443">
        <v>32953</v>
      </c>
      <c r="T57" s="443">
        <v>32953</v>
      </c>
      <c r="U57" s="443">
        <v>32953</v>
      </c>
      <c r="V57" s="443">
        <v>32953</v>
      </c>
      <c r="W57" s="443">
        <v>32953</v>
      </c>
      <c r="X57" s="448">
        <f t="shared" si="22"/>
        <v>428431</v>
      </c>
      <c r="Y57" s="448">
        <f t="shared" si="23"/>
        <v>32956.230769230766</v>
      </c>
    </row>
    <row r="58" spans="1:25" s="420" customFormat="1">
      <c r="A58" s="426">
        <f t="shared" si="1"/>
        <v>43</v>
      </c>
      <c r="B58" s="446" t="s">
        <v>1387</v>
      </c>
      <c r="C58" s="426" t="s">
        <v>1375</v>
      </c>
      <c r="D58" s="443">
        <v>8259</v>
      </c>
      <c r="E58" s="449"/>
      <c r="F58" s="443">
        <f t="shared" si="24"/>
        <v>8259</v>
      </c>
      <c r="G58" s="450">
        <v>0</v>
      </c>
      <c r="H58" s="448">
        <v>8259</v>
      </c>
      <c r="I58" s="443">
        <v>8259</v>
      </c>
      <c r="J58" s="443">
        <v>8259</v>
      </c>
      <c r="K58" s="443">
        <v>8259</v>
      </c>
      <c r="L58" s="443">
        <v>8259</v>
      </c>
      <c r="M58" s="426">
        <f t="shared" si="2"/>
        <v>43</v>
      </c>
      <c r="N58" s="446" t="s">
        <v>1387</v>
      </c>
      <c r="O58" s="426" t="s">
        <v>1375</v>
      </c>
      <c r="P58" s="443">
        <v>8259</v>
      </c>
      <c r="Q58" s="443">
        <v>8259</v>
      </c>
      <c r="R58" s="443">
        <v>8259</v>
      </c>
      <c r="S58" s="443">
        <v>8259</v>
      </c>
      <c r="T58" s="443">
        <v>8259</v>
      </c>
      <c r="U58" s="443">
        <v>8259</v>
      </c>
      <c r="V58" s="443">
        <v>8259</v>
      </c>
      <c r="W58" s="443">
        <v>8259</v>
      </c>
      <c r="X58" s="448">
        <f t="shared" si="22"/>
        <v>107410</v>
      </c>
      <c r="Y58" s="448">
        <f t="shared" si="23"/>
        <v>8262.3076923076915</v>
      </c>
    </row>
    <row r="59" spans="1:25" s="420" customFormat="1">
      <c r="A59" s="426">
        <f t="shared" si="1"/>
        <v>44</v>
      </c>
      <c r="B59" s="446" t="s">
        <v>1388</v>
      </c>
      <c r="C59" s="426" t="s">
        <v>1375</v>
      </c>
      <c r="D59" s="443">
        <v>68214</v>
      </c>
      <c r="E59" s="449"/>
      <c r="F59" s="443">
        <f t="shared" si="24"/>
        <v>68214</v>
      </c>
      <c r="G59" s="450">
        <v>0</v>
      </c>
      <c r="H59" s="448">
        <v>68214</v>
      </c>
      <c r="I59" s="443">
        <v>68214</v>
      </c>
      <c r="J59" s="443">
        <v>68214</v>
      </c>
      <c r="K59" s="443">
        <v>68214</v>
      </c>
      <c r="L59" s="443">
        <v>68214</v>
      </c>
      <c r="M59" s="426">
        <f t="shared" si="2"/>
        <v>44</v>
      </c>
      <c r="N59" s="446" t="s">
        <v>1388</v>
      </c>
      <c r="O59" s="426" t="s">
        <v>1375</v>
      </c>
      <c r="P59" s="443">
        <v>68214</v>
      </c>
      <c r="Q59" s="443">
        <v>68214</v>
      </c>
      <c r="R59" s="443">
        <v>68214</v>
      </c>
      <c r="S59" s="443">
        <v>68214</v>
      </c>
      <c r="T59" s="443">
        <v>68214</v>
      </c>
      <c r="U59" s="443">
        <v>68214</v>
      </c>
      <c r="V59" s="443">
        <v>68214</v>
      </c>
      <c r="W59" s="443">
        <v>68214</v>
      </c>
      <c r="X59" s="448">
        <f t="shared" si="22"/>
        <v>886826</v>
      </c>
      <c r="Y59" s="448">
        <f t="shared" si="23"/>
        <v>68217.38461538461</v>
      </c>
    </row>
    <row r="60" spans="1:25" s="420" customFormat="1">
      <c r="A60" s="426">
        <f t="shared" si="1"/>
        <v>45</v>
      </c>
      <c r="B60" s="446" t="s">
        <v>1389</v>
      </c>
      <c r="C60" s="426" t="s">
        <v>1375</v>
      </c>
      <c r="D60" s="443">
        <v>17096</v>
      </c>
      <c r="E60" s="449"/>
      <c r="F60" s="443">
        <f t="shared" si="24"/>
        <v>17096</v>
      </c>
      <c r="G60" s="450">
        <v>0</v>
      </c>
      <c r="H60" s="448">
        <v>17096</v>
      </c>
      <c r="I60" s="443">
        <v>17096</v>
      </c>
      <c r="J60" s="443">
        <v>17096</v>
      </c>
      <c r="K60" s="443">
        <v>17096</v>
      </c>
      <c r="L60" s="443">
        <v>17096</v>
      </c>
      <c r="M60" s="426">
        <f t="shared" si="2"/>
        <v>45</v>
      </c>
      <c r="N60" s="446" t="s">
        <v>1389</v>
      </c>
      <c r="O60" s="426" t="s">
        <v>1375</v>
      </c>
      <c r="P60" s="443">
        <v>17096</v>
      </c>
      <c r="Q60" s="443">
        <v>17096</v>
      </c>
      <c r="R60" s="443">
        <v>17096</v>
      </c>
      <c r="S60" s="443">
        <v>17096</v>
      </c>
      <c r="T60" s="443">
        <v>17096</v>
      </c>
      <c r="U60" s="443">
        <v>17096</v>
      </c>
      <c r="V60" s="443">
        <v>17096</v>
      </c>
      <c r="W60" s="443">
        <v>17096</v>
      </c>
      <c r="X60" s="448">
        <f t="shared" si="22"/>
        <v>222293</v>
      </c>
      <c r="Y60" s="448">
        <f t="shared" si="23"/>
        <v>17099.461538461539</v>
      </c>
    </row>
    <row r="61" spans="1:25" s="420" customFormat="1">
      <c r="A61" s="426">
        <f t="shared" si="1"/>
        <v>46</v>
      </c>
      <c r="B61" s="446" t="s">
        <v>1390</v>
      </c>
      <c r="C61" s="426" t="s">
        <v>1399</v>
      </c>
      <c r="D61" s="443">
        <v>47593</v>
      </c>
      <c r="E61" s="449"/>
      <c r="F61" s="443">
        <f t="shared" si="24"/>
        <v>47593</v>
      </c>
      <c r="G61" s="443">
        <v>0</v>
      </c>
      <c r="H61" s="448">
        <v>47593</v>
      </c>
      <c r="I61" s="443">
        <v>47593</v>
      </c>
      <c r="J61" s="443">
        <v>47593</v>
      </c>
      <c r="K61" s="443">
        <v>47593</v>
      </c>
      <c r="L61" s="443">
        <v>47593</v>
      </c>
      <c r="M61" s="426">
        <f t="shared" si="2"/>
        <v>46</v>
      </c>
      <c r="N61" s="446" t="s">
        <v>1390</v>
      </c>
      <c r="O61" s="426" t="s">
        <v>1399</v>
      </c>
      <c r="P61" s="443">
        <v>47593</v>
      </c>
      <c r="Q61" s="443">
        <v>47593</v>
      </c>
      <c r="R61" s="443">
        <v>47593</v>
      </c>
      <c r="S61" s="443">
        <v>47593</v>
      </c>
      <c r="T61" s="443">
        <v>47593</v>
      </c>
      <c r="U61" s="443">
        <v>47593</v>
      </c>
      <c r="V61" s="443">
        <v>47593</v>
      </c>
      <c r="W61" s="443">
        <v>47593</v>
      </c>
      <c r="X61" s="443">
        <f t="shared" si="22"/>
        <v>618755</v>
      </c>
      <c r="Y61" s="443">
        <f t="shared" si="23"/>
        <v>47596.538461538461</v>
      </c>
    </row>
    <row r="62" spans="1:25" s="420" customFormat="1">
      <c r="A62" s="426">
        <f t="shared" si="1"/>
        <v>47</v>
      </c>
      <c r="B62" s="446" t="s">
        <v>1391</v>
      </c>
      <c r="C62" s="426" t="s">
        <v>1399</v>
      </c>
      <c r="D62" s="443">
        <v>11928</v>
      </c>
      <c r="E62" s="449"/>
      <c r="F62" s="443">
        <f t="shared" si="24"/>
        <v>11928</v>
      </c>
      <c r="G62" s="443">
        <v>0</v>
      </c>
      <c r="H62" s="448">
        <v>11928</v>
      </c>
      <c r="I62" s="443">
        <v>11928</v>
      </c>
      <c r="J62" s="443">
        <v>11928</v>
      </c>
      <c r="K62" s="443">
        <v>11928</v>
      </c>
      <c r="L62" s="443">
        <v>11928</v>
      </c>
      <c r="M62" s="426">
        <f t="shared" si="2"/>
        <v>47</v>
      </c>
      <c r="N62" s="446" t="s">
        <v>1391</v>
      </c>
      <c r="O62" s="426" t="s">
        <v>1399</v>
      </c>
      <c r="P62" s="443">
        <v>11928</v>
      </c>
      <c r="Q62" s="443">
        <v>11928</v>
      </c>
      <c r="R62" s="443">
        <v>11928</v>
      </c>
      <c r="S62" s="443">
        <v>11928</v>
      </c>
      <c r="T62" s="443">
        <v>11928</v>
      </c>
      <c r="U62" s="443">
        <v>11928</v>
      </c>
      <c r="V62" s="443">
        <v>11928</v>
      </c>
      <c r="W62" s="443">
        <v>11928</v>
      </c>
      <c r="X62" s="443">
        <f t="shared" si="22"/>
        <v>155111</v>
      </c>
      <c r="Y62" s="443">
        <f t="shared" si="23"/>
        <v>11931.615384615385</v>
      </c>
    </row>
    <row r="63" spans="1:25" s="420" customFormat="1">
      <c r="A63" s="426">
        <f t="shared" si="1"/>
        <v>48</v>
      </c>
      <c r="B63" s="446" t="s">
        <v>1392</v>
      </c>
      <c r="C63" s="426" t="s">
        <v>1399</v>
      </c>
      <c r="D63" s="443">
        <v>158918</v>
      </c>
      <c r="E63" s="449"/>
      <c r="F63" s="443">
        <f t="shared" si="24"/>
        <v>158918</v>
      </c>
      <c r="G63" s="443">
        <v>0</v>
      </c>
      <c r="H63" s="448">
        <v>158918</v>
      </c>
      <c r="I63" s="443">
        <v>158918</v>
      </c>
      <c r="J63" s="443">
        <v>158918</v>
      </c>
      <c r="K63" s="443">
        <v>158918</v>
      </c>
      <c r="L63" s="443">
        <v>158918</v>
      </c>
      <c r="M63" s="426">
        <f t="shared" si="2"/>
        <v>48</v>
      </c>
      <c r="N63" s="446" t="s">
        <v>1392</v>
      </c>
      <c r="O63" s="426" t="s">
        <v>1399</v>
      </c>
      <c r="P63" s="443">
        <v>158918</v>
      </c>
      <c r="Q63" s="443">
        <v>158918</v>
      </c>
      <c r="R63" s="443">
        <v>158918</v>
      </c>
      <c r="S63" s="443">
        <v>158918</v>
      </c>
      <c r="T63" s="443">
        <v>158918</v>
      </c>
      <c r="U63" s="443">
        <v>158918</v>
      </c>
      <c r="V63" s="443">
        <v>158918</v>
      </c>
      <c r="W63" s="443">
        <v>158918</v>
      </c>
      <c r="X63" s="443">
        <f t="shared" si="22"/>
        <v>2065982</v>
      </c>
      <c r="Y63" s="443">
        <f t="shared" si="23"/>
        <v>158921.69230769231</v>
      </c>
    </row>
    <row r="64" spans="1:25" s="420" customFormat="1">
      <c r="A64" s="426">
        <f t="shared" si="1"/>
        <v>49</v>
      </c>
      <c r="B64" s="446" t="s">
        <v>1393</v>
      </c>
      <c r="C64" s="426" t="s">
        <v>1399</v>
      </c>
      <c r="D64" s="443">
        <v>39829</v>
      </c>
      <c r="E64" s="449"/>
      <c r="F64" s="443">
        <f t="shared" si="24"/>
        <v>39829</v>
      </c>
      <c r="G64" s="443">
        <v>0</v>
      </c>
      <c r="H64" s="448">
        <v>39829</v>
      </c>
      <c r="I64" s="443">
        <v>39829</v>
      </c>
      <c r="J64" s="443">
        <v>39829</v>
      </c>
      <c r="K64" s="443">
        <v>39829</v>
      </c>
      <c r="L64" s="443">
        <v>39829</v>
      </c>
      <c r="M64" s="426">
        <f t="shared" si="2"/>
        <v>49</v>
      </c>
      <c r="N64" s="446" t="s">
        <v>1393</v>
      </c>
      <c r="O64" s="426" t="s">
        <v>1399</v>
      </c>
      <c r="P64" s="443">
        <v>39829</v>
      </c>
      <c r="Q64" s="443">
        <v>39829</v>
      </c>
      <c r="R64" s="443">
        <v>39829</v>
      </c>
      <c r="S64" s="443">
        <v>39829</v>
      </c>
      <c r="T64" s="443">
        <v>39829</v>
      </c>
      <c r="U64" s="443">
        <v>39829</v>
      </c>
      <c r="V64" s="443">
        <v>39829</v>
      </c>
      <c r="W64" s="443">
        <v>39829</v>
      </c>
      <c r="X64" s="443">
        <f t="shared" si="22"/>
        <v>517826</v>
      </c>
      <c r="Y64" s="443">
        <f t="shared" si="23"/>
        <v>39832.769230769234</v>
      </c>
    </row>
    <row r="65" spans="1:25" s="420" customFormat="1">
      <c r="A65" s="426">
        <f t="shared" si="1"/>
        <v>50</v>
      </c>
      <c r="B65" s="446" t="s">
        <v>1394</v>
      </c>
      <c r="C65" s="426" t="s">
        <v>1399</v>
      </c>
      <c r="D65" s="443">
        <v>21118</v>
      </c>
      <c r="E65" s="449"/>
      <c r="F65" s="443">
        <f t="shared" si="24"/>
        <v>21118</v>
      </c>
      <c r="G65" s="443">
        <v>0</v>
      </c>
      <c r="H65" s="448">
        <v>21118</v>
      </c>
      <c r="I65" s="443">
        <v>21118</v>
      </c>
      <c r="J65" s="443">
        <v>21118</v>
      </c>
      <c r="K65" s="443">
        <v>21118</v>
      </c>
      <c r="L65" s="443">
        <v>21118</v>
      </c>
      <c r="M65" s="426">
        <f t="shared" si="2"/>
        <v>50</v>
      </c>
      <c r="N65" s="446" t="s">
        <v>1394</v>
      </c>
      <c r="O65" s="426" t="s">
        <v>1399</v>
      </c>
      <c r="P65" s="443">
        <v>21118</v>
      </c>
      <c r="Q65" s="443">
        <v>21118</v>
      </c>
      <c r="R65" s="443">
        <v>21118</v>
      </c>
      <c r="S65" s="443">
        <v>21118</v>
      </c>
      <c r="T65" s="443">
        <v>21118</v>
      </c>
      <c r="U65" s="443">
        <v>21118</v>
      </c>
      <c r="V65" s="443">
        <v>21118</v>
      </c>
      <c r="W65" s="443">
        <v>21118</v>
      </c>
      <c r="X65" s="443">
        <f t="shared" si="22"/>
        <v>274584</v>
      </c>
      <c r="Y65" s="443">
        <f t="shared" si="23"/>
        <v>21121.846153846152</v>
      </c>
    </row>
    <row r="66" spans="1:25" s="420" customFormat="1">
      <c r="A66" s="426">
        <f t="shared" si="1"/>
        <v>51</v>
      </c>
      <c r="B66" s="446" t="s">
        <v>1395</v>
      </c>
      <c r="C66" s="426" t="s">
        <v>1399</v>
      </c>
      <c r="D66" s="443">
        <v>5293</v>
      </c>
      <c r="E66" s="449"/>
      <c r="F66" s="443">
        <f t="shared" si="24"/>
        <v>5293</v>
      </c>
      <c r="G66" s="443">
        <v>0</v>
      </c>
      <c r="H66" s="448">
        <v>5293</v>
      </c>
      <c r="I66" s="443">
        <v>5293</v>
      </c>
      <c r="J66" s="443">
        <v>5293</v>
      </c>
      <c r="K66" s="443">
        <v>5293</v>
      </c>
      <c r="L66" s="443">
        <v>5293</v>
      </c>
      <c r="M66" s="426">
        <f t="shared" si="2"/>
        <v>51</v>
      </c>
      <c r="N66" s="446" t="s">
        <v>1395</v>
      </c>
      <c r="O66" s="426" t="s">
        <v>1399</v>
      </c>
      <c r="P66" s="443">
        <v>5293</v>
      </c>
      <c r="Q66" s="443">
        <v>5293</v>
      </c>
      <c r="R66" s="443">
        <v>5293</v>
      </c>
      <c r="S66" s="443">
        <v>5293</v>
      </c>
      <c r="T66" s="443">
        <v>5293</v>
      </c>
      <c r="U66" s="443">
        <v>5293</v>
      </c>
      <c r="V66" s="443">
        <v>5293</v>
      </c>
      <c r="W66" s="443">
        <v>5293</v>
      </c>
      <c r="X66" s="443">
        <f t="shared" si="22"/>
        <v>68860</v>
      </c>
      <c r="Y66" s="443">
        <f t="shared" si="23"/>
        <v>5296.9230769230771</v>
      </c>
    </row>
    <row r="67" spans="1:25" s="420" customFormat="1">
      <c r="A67" s="426">
        <f t="shared" si="1"/>
        <v>52</v>
      </c>
      <c r="B67" s="446" t="s">
        <v>1396</v>
      </c>
      <c r="C67" s="426" t="s">
        <v>1399</v>
      </c>
      <c r="D67" s="443">
        <v>495261</v>
      </c>
      <c r="E67" s="449"/>
      <c r="F67" s="443">
        <f t="shared" si="24"/>
        <v>495261</v>
      </c>
      <c r="G67" s="443">
        <v>0</v>
      </c>
      <c r="H67" s="448">
        <v>495261</v>
      </c>
      <c r="I67" s="443">
        <v>495261</v>
      </c>
      <c r="J67" s="443">
        <v>495261</v>
      </c>
      <c r="K67" s="443">
        <v>495261</v>
      </c>
      <c r="L67" s="443">
        <v>495261</v>
      </c>
      <c r="M67" s="426">
        <f t="shared" si="2"/>
        <v>52</v>
      </c>
      <c r="N67" s="446" t="s">
        <v>1396</v>
      </c>
      <c r="O67" s="426" t="s">
        <v>1399</v>
      </c>
      <c r="P67" s="443">
        <v>495261</v>
      </c>
      <c r="Q67" s="443">
        <v>495261</v>
      </c>
      <c r="R67" s="443">
        <v>495261</v>
      </c>
      <c r="S67" s="443">
        <v>495261</v>
      </c>
      <c r="T67" s="443">
        <v>495261</v>
      </c>
      <c r="U67" s="443">
        <v>495261</v>
      </c>
      <c r="V67" s="443">
        <v>495261</v>
      </c>
      <c r="W67" s="443">
        <v>495261</v>
      </c>
      <c r="X67" s="443">
        <f t="shared" si="22"/>
        <v>6438445</v>
      </c>
      <c r="Y67" s="443">
        <f t="shared" si="23"/>
        <v>495265</v>
      </c>
    </row>
    <row r="68" spans="1:25" s="420" customFormat="1">
      <c r="A68" s="426">
        <f t="shared" si="1"/>
        <v>53</v>
      </c>
      <c r="B68" s="446" t="s">
        <v>1397</v>
      </c>
      <c r="C68" s="426" t="s">
        <v>1399</v>
      </c>
      <c r="D68" s="443">
        <v>124125</v>
      </c>
      <c r="E68" s="449"/>
      <c r="F68" s="443">
        <f t="shared" si="24"/>
        <v>124125</v>
      </c>
      <c r="G68" s="443">
        <v>0</v>
      </c>
      <c r="H68" s="448">
        <v>124125</v>
      </c>
      <c r="I68" s="443">
        <v>124125</v>
      </c>
      <c r="J68" s="443">
        <v>124125</v>
      </c>
      <c r="K68" s="443">
        <v>124125</v>
      </c>
      <c r="L68" s="443">
        <v>124125</v>
      </c>
      <c r="M68" s="426">
        <f t="shared" si="2"/>
        <v>53</v>
      </c>
      <c r="N68" s="446" t="s">
        <v>1397</v>
      </c>
      <c r="O68" s="426" t="s">
        <v>1399</v>
      </c>
      <c r="P68" s="443">
        <v>124125</v>
      </c>
      <c r="Q68" s="443">
        <v>124125</v>
      </c>
      <c r="R68" s="443">
        <v>124125</v>
      </c>
      <c r="S68" s="443">
        <v>124125</v>
      </c>
      <c r="T68" s="443">
        <v>124125</v>
      </c>
      <c r="U68" s="443">
        <v>124125</v>
      </c>
      <c r="V68" s="443">
        <v>124125</v>
      </c>
      <c r="W68" s="443">
        <v>124125</v>
      </c>
      <c r="X68" s="443">
        <f t="shared" si="22"/>
        <v>1613678</v>
      </c>
      <c r="Y68" s="443">
        <f t="shared" si="23"/>
        <v>124129.07692307692</v>
      </c>
    </row>
    <row r="69" spans="1:25" s="420" customFormat="1">
      <c r="A69" s="426">
        <f t="shared" si="1"/>
        <v>54</v>
      </c>
      <c r="B69" s="446" t="s">
        <v>1398</v>
      </c>
      <c r="C69" s="426" t="s">
        <v>1399</v>
      </c>
      <c r="D69" s="443">
        <v>195732</v>
      </c>
      <c r="E69" s="449"/>
      <c r="F69" s="443">
        <f t="shared" si="24"/>
        <v>195732</v>
      </c>
      <c r="G69" s="450">
        <v>0</v>
      </c>
      <c r="H69" s="448">
        <v>195732</v>
      </c>
      <c r="I69" s="443">
        <v>195732</v>
      </c>
      <c r="J69" s="443">
        <v>195732</v>
      </c>
      <c r="K69" s="443">
        <v>195732</v>
      </c>
      <c r="L69" s="443">
        <v>195732</v>
      </c>
      <c r="M69" s="426">
        <f t="shared" si="2"/>
        <v>54</v>
      </c>
      <c r="N69" s="446" t="s">
        <v>1398</v>
      </c>
      <c r="O69" s="426" t="s">
        <v>1399</v>
      </c>
      <c r="P69" s="443">
        <v>195732</v>
      </c>
      <c r="Q69" s="443">
        <v>195732</v>
      </c>
      <c r="R69" s="443">
        <v>195732</v>
      </c>
      <c r="S69" s="443">
        <v>195732</v>
      </c>
      <c r="T69" s="443">
        <v>195732</v>
      </c>
      <c r="U69" s="443">
        <v>195732</v>
      </c>
      <c r="V69" s="443">
        <v>195732</v>
      </c>
      <c r="W69" s="443">
        <v>195732</v>
      </c>
      <c r="X69" s="448">
        <f t="shared" si="22"/>
        <v>2544570</v>
      </c>
      <c r="Y69" s="448">
        <f t="shared" si="23"/>
        <v>195736.15384615384</v>
      </c>
    </row>
    <row r="70" spans="1:25" s="420" customFormat="1">
      <c r="A70" s="426">
        <f t="shared" si="1"/>
        <v>55</v>
      </c>
      <c r="B70" s="446" t="s">
        <v>1400</v>
      </c>
      <c r="C70" s="426" t="s">
        <v>1399</v>
      </c>
      <c r="D70" s="443">
        <v>49056</v>
      </c>
      <c r="E70" s="449"/>
      <c r="F70" s="443">
        <f t="shared" si="24"/>
        <v>49056</v>
      </c>
      <c r="G70" s="450">
        <v>0</v>
      </c>
      <c r="H70" s="448">
        <v>49056</v>
      </c>
      <c r="I70" s="443">
        <v>49056</v>
      </c>
      <c r="J70" s="443">
        <v>49056</v>
      </c>
      <c r="K70" s="443">
        <v>49056</v>
      </c>
      <c r="L70" s="443">
        <v>49056</v>
      </c>
      <c r="M70" s="426">
        <f t="shared" si="2"/>
        <v>55</v>
      </c>
      <c r="N70" s="446" t="s">
        <v>1400</v>
      </c>
      <c r="O70" s="426" t="s">
        <v>1399</v>
      </c>
      <c r="P70" s="443">
        <v>49056</v>
      </c>
      <c r="Q70" s="443">
        <v>49056</v>
      </c>
      <c r="R70" s="443">
        <v>49056</v>
      </c>
      <c r="S70" s="443">
        <v>49056</v>
      </c>
      <c r="T70" s="443">
        <v>49056</v>
      </c>
      <c r="U70" s="443">
        <v>49056</v>
      </c>
      <c r="V70" s="443">
        <v>49056</v>
      </c>
      <c r="W70" s="443">
        <v>49056</v>
      </c>
      <c r="X70" s="448">
        <f t="shared" si="22"/>
        <v>637783</v>
      </c>
      <c r="Y70" s="448">
        <f t="shared" si="23"/>
        <v>49060.230769230766</v>
      </c>
    </row>
    <row r="71" spans="1:25" s="420" customFormat="1">
      <c r="A71" s="426">
        <f t="shared" si="1"/>
        <v>56</v>
      </c>
      <c r="B71" s="446" t="s">
        <v>1401</v>
      </c>
      <c r="C71" s="426" t="s">
        <v>1399</v>
      </c>
      <c r="D71" s="443">
        <v>102177</v>
      </c>
      <c r="E71" s="449"/>
      <c r="F71" s="443">
        <f t="shared" si="24"/>
        <v>102177</v>
      </c>
      <c r="G71" s="450">
        <v>0</v>
      </c>
      <c r="H71" s="448">
        <v>102177</v>
      </c>
      <c r="I71" s="443">
        <v>102177</v>
      </c>
      <c r="J71" s="443">
        <v>102177</v>
      </c>
      <c r="K71" s="443">
        <v>102177</v>
      </c>
      <c r="L71" s="443">
        <v>102177</v>
      </c>
      <c r="M71" s="426">
        <f t="shared" si="2"/>
        <v>56</v>
      </c>
      <c r="N71" s="446" t="s">
        <v>1401</v>
      </c>
      <c r="O71" s="426" t="s">
        <v>1399</v>
      </c>
      <c r="P71" s="443">
        <v>102177</v>
      </c>
      <c r="Q71" s="443">
        <v>102177</v>
      </c>
      <c r="R71" s="443">
        <v>102177</v>
      </c>
      <c r="S71" s="443">
        <v>102177</v>
      </c>
      <c r="T71" s="443">
        <v>102177</v>
      </c>
      <c r="U71" s="443">
        <v>102177</v>
      </c>
      <c r="V71" s="443">
        <v>102177</v>
      </c>
      <c r="W71" s="443">
        <v>102177</v>
      </c>
      <c r="X71" s="448">
        <f t="shared" si="22"/>
        <v>1328357</v>
      </c>
      <c r="Y71" s="448">
        <f t="shared" si="23"/>
        <v>102181.30769230769</v>
      </c>
    </row>
    <row r="72" spans="1:25" s="420" customFormat="1">
      <c r="A72" s="426">
        <f t="shared" si="1"/>
        <v>57</v>
      </c>
      <c r="B72" s="446" t="s">
        <v>1957</v>
      </c>
      <c r="C72" s="426" t="s">
        <v>1399</v>
      </c>
      <c r="D72" s="443">
        <v>25608</v>
      </c>
      <c r="E72" s="449"/>
      <c r="F72" s="443">
        <f t="shared" si="24"/>
        <v>25608</v>
      </c>
      <c r="G72" s="450">
        <v>0</v>
      </c>
      <c r="H72" s="448">
        <v>25608</v>
      </c>
      <c r="I72" s="443">
        <v>25608</v>
      </c>
      <c r="J72" s="443">
        <v>25608</v>
      </c>
      <c r="K72" s="443">
        <v>25608</v>
      </c>
      <c r="L72" s="443">
        <v>25608</v>
      </c>
      <c r="M72" s="426">
        <f t="shared" si="2"/>
        <v>57</v>
      </c>
      <c r="N72" s="446" t="s">
        <v>1957</v>
      </c>
      <c r="O72" s="426" t="s">
        <v>1399</v>
      </c>
      <c r="P72" s="443">
        <v>25608</v>
      </c>
      <c r="Q72" s="443">
        <v>25608</v>
      </c>
      <c r="R72" s="443">
        <v>25608</v>
      </c>
      <c r="S72" s="443">
        <v>25608</v>
      </c>
      <c r="T72" s="443">
        <v>25608</v>
      </c>
      <c r="U72" s="443">
        <v>25608</v>
      </c>
      <c r="V72" s="443">
        <v>25608</v>
      </c>
      <c r="W72" s="443">
        <v>25608</v>
      </c>
      <c r="X72" s="448">
        <f t="shared" si="22"/>
        <v>332961</v>
      </c>
      <c r="Y72" s="448">
        <f t="shared" si="23"/>
        <v>25612.384615384617</v>
      </c>
    </row>
    <row r="73" spans="1:25" s="420" customFormat="1">
      <c r="A73" s="426">
        <f t="shared" si="1"/>
        <v>58</v>
      </c>
      <c r="B73" s="446" t="s">
        <v>1402</v>
      </c>
      <c r="C73" s="426" t="s">
        <v>1375</v>
      </c>
      <c r="D73" s="443">
        <v>-251475</v>
      </c>
      <c r="E73" s="449"/>
      <c r="F73" s="443">
        <f t="shared" si="24"/>
        <v>-251475</v>
      </c>
      <c r="G73" s="450">
        <v>0</v>
      </c>
      <c r="H73" s="448">
        <v>-251475</v>
      </c>
      <c r="I73" s="443">
        <v>-251475</v>
      </c>
      <c r="J73" s="443">
        <v>-251475</v>
      </c>
      <c r="K73" s="443">
        <v>-251475</v>
      </c>
      <c r="L73" s="443">
        <v>-251475</v>
      </c>
      <c r="M73" s="426">
        <f t="shared" si="2"/>
        <v>58</v>
      </c>
      <c r="N73" s="446" t="s">
        <v>1402</v>
      </c>
      <c r="O73" s="426" t="s">
        <v>1375</v>
      </c>
      <c r="P73" s="443">
        <v>-251475</v>
      </c>
      <c r="Q73" s="443">
        <v>-251475</v>
      </c>
      <c r="R73" s="443">
        <v>-251475</v>
      </c>
      <c r="S73" s="443">
        <v>-251475</v>
      </c>
      <c r="T73" s="443">
        <v>-251475</v>
      </c>
      <c r="U73" s="443">
        <v>-251475</v>
      </c>
      <c r="V73" s="443">
        <v>-251475</v>
      </c>
      <c r="W73" s="443">
        <v>-251475</v>
      </c>
      <c r="X73" s="448">
        <f t="shared" si="22"/>
        <v>-3269117</v>
      </c>
      <c r="Y73" s="448">
        <f t="shared" si="23"/>
        <v>-251470.53846153847</v>
      </c>
    </row>
    <row r="74" spans="1:25" s="420" customFormat="1">
      <c r="A74" s="426">
        <f t="shared" si="1"/>
        <v>59</v>
      </c>
      <c r="B74" s="446" t="s">
        <v>1403</v>
      </c>
      <c r="C74" s="426" t="s">
        <v>1375</v>
      </c>
      <c r="D74" s="443">
        <v>-63026</v>
      </c>
      <c r="E74" s="449"/>
      <c r="F74" s="443">
        <f t="shared" si="24"/>
        <v>-63026</v>
      </c>
      <c r="G74" s="450">
        <v>0</v>
      </c>
      <c r="H74" s="448">
        <v>-63026</v>
      </c>
      <c r="I74" s="443">
        <v>-63026</v>
      </c>
      <c r="J74" s="443">
        <v>-63026</v>
      </c>
      <c r="K74" s="443">
        <v>-63026</v>
      </c>
      <c r="L74" s="443">
        <v>-63026</v>
      </c>
      <c r="M74" s="426">
        <f t="shared" si="2"/>
        <v>59</v>
      </c>
      <c r="N74" s="446" t="s">
        <v>1403</v>
      </c>
      <c r="O74" s="426" t="s">
        <v>1375</v>
      </c>
      <c r="P74" s="443">
        <v>-63026</v>
      </c>
      <c r="Q74" s="443">
        <v>-63026</v>
      </c>
      <c r="R74" s="443">
        <v>-63026</v>
      </c>
      <c r="S74" s="443">
        <v>-63026</v>
      </c>
      <c r="T74" s="443">
        <v>-63026</v>
      </c>
      <c r="U74" s="443">
        <v>-63026</v>
      </c>
      <c r="V74" s="443">
        <v>-63026</v>
      </c>
      <c r="W74" s="443">
        <v>-63026</v>
      </c>
      <c r="X74" s="448">
        <f t="shared" si="22"/>
        <v>-819279</v>
      </c>
      <c r="Y74" s="448">
        <f t="shared" si="23"/>
        <v>-63021.461538461539</v>
      </c>
    </row>
    <row r="75" spans="1:25" s="420" customFormat="1">
      <c r="A75" s="426">
        <f t="shared" si="1"/>
        <v>60</v>
      </c>
      <c r="B75" s="446" t="s">
        <v>1404</v>
      </c>
      <c r="C75" s="426" t="s">
        <v>1375</v>
      </c>
      <c r="D75" s="443">
        <v>15685</v>
      </c>
      <c r="E75" s="449"/>
      <c r="F75" s="443">
        <f t="shared" si="24"/>
        <v>15685</v>
      </c>
      <c r="G75" s="450">
        <v>0</v>
      </c>
      <c r="H75" s="448">
        <v>15685</v>
      </c>
      <c r="I75" s="443">
        <v>15685</v>
      </c>
      <c r="J75" s="443">
        <v>15685</v>
      </c>
      <c r="K75" s="443">
        <v>15685</v>
      </c>
      <c r="L75" s="443">
        <v>15685</v>
      </c>
      <c r="M75" s="426">
        <f t="shared" si="2"/>
        <v>60</v>
      </c>
      <c r="N75" s="446" t="s">
        <v>1404</v>
      </c>
      <c r="O75" s="426" t="s">
        <v>1375</v>
      </c>
      <c r="P75" s="443">
        <v>15685</v>
      </c>
      <c r="Q75" s="443">
        <v>15685</v>
      </c>
      <c r="R75" s="443">
        <v>15685</v>
      </c>
      <c r="S75" s="443">
        <v>15685</v>
      </c>
      <c r="T75" s="443">
        <v>15685</v>
      </c>
      <c r="U75" s="443">
        <v>15685</v>
      </c>
      <c r="V75" s="443">
        <v>15685</v>
      </c>
      <c r="W75" s="443">
        <v>15685</v>
      </c>
      <c r="X75" s="448">
        <f t="shared" si="22"/>
        <v>203965</v>
      </c>
      <c r="Y75" s="448">
        <f t="shared" si="23"/>
        <v>15689.615384615385</v>
      </c>
    </row>
    <row r="76" spans="1:25" s="420" customFormat="1">
      <c r="A76" s="426">
        <f t="shared" si="1"/>
        <v>61</v>
      </c>
      <c r="B76" s="446" t="s">
        <v>1405</v>
      </c>
      <c r="C76" s="426" t="s">
        <v>1375</v>
      </c>
      <c r="D76" s="443">
        <v>3931</v>
      </c>
      <c r="E76" s="449"/>
      <c r="F76" s="443">
        <f t="shared" si="24"/>
        <v>3931</v>
      </c>
      <c r="G76" s="450">
        <v>0</v>
      </c>
      <c r="H76" s="448">
        <v>3931</v>
      </c>
      <c r="I76" s="443">
        <v>3931</v>
      </c>
      <c r="J76" s="443">
        <v>3931</v>
      </c>
      <c r="K76" s="443">
        <v>3931</v>
      </c>
      <c r="L76" s="443">
        <v>3931</v>
      </c>
      <c r="M76" s="426">
        <f t="shared" si="2"/>
        <v>61</v>
      </c>
      <c r="N76" s="446" t="s">
        <v>1405</v>
      </c>
      <c r="O76" s="426" t="s">
        <v>1375</v>
      </c>
      <c r="P76" s="443">
        <v>3931</v>
      </c>
      <c r="Q76" s="443">
        <v>3931</v>
      </c>
      <c r="R76" s="443">
        <v>3931</v>
      </c>
      <c r="S76" s="443">
        <v>3931</v>
      </c>
      <c r="T76" s="443">
        <v>3931</v>
      </c>
      <c r="U76" s="443">
        <v>3931</v>
      </c>
      <c r="V76" s="443">
        <v>3931</v>
      </c>
      <c r="W76" s="443">
        <v>3931</v>
      </c>
      <c r="X76" s="448">
        <f t="shared" si="22"/>
        <v>51164</v>
      </c>
      <c r="Y76" s="448">
        <f t="shared" si="23"/>
        <v>3935.6923076923076</v>
      </c>
    </row>
    <row r="77" spans="1:25" s="420" customFormat="1">
      <c r="A77" s="426">
        <f t="shared" si="1"/>
        <v>62</v>
      </c>
      <c r="B77" s="446" t="s">
        <v>1406</v>
      </c>
      <c r="C77" s="426" t="s">
        <v>1375</v>
      </c>
      <c r="D77" s="443">
        <v>126580</v>
      </c>
      <c r="E77" s="449"/>
      <c r="F77" s="443">
        <f t="shared" si="24"/>
        <v>126580</v>
      </c>
      <c r="G77" s="450">
        <v>0</v>
      </c>
      <c r="H77" s="448">
        <v>126580</v>
      </c>
      <c r="I77" s="443">
        <v>126580</v>
      </c>
      <c r="J77" s="443">
        <v>126580</v>
      </c>
      <c r="K77" s="443">
        <v>126580</v>
      </c>
      <c r="L77" s="443">
        <v>126580</v>
      </c>
      <c r="M77" s="426">
        <f t="shared" si="2"/>
        <v>62</v>
      </c>
      <c r="N77" s="446" t="s">
        <v>1406</v>
      </c>
      <c r="O77" s="426" t="s">
        <v>1375</v>
      </c>
      <c r="P77" s="443">
        <v>126580</v>
      </c>
      <c r="Q77" s="443">
        <v>126580</v>
      </c>
      <c r="R77" s="443">
        <v>126580</v>
      </c>
      <c r="S77" s="443">
        <v>126580</v>
      </c>
      <c r="T77" s="443">
        <v>126580</v>
      </c>
      <c r="U77" s="443">
        <v>126580</v>
      </c>
      <c r="V77" s="443">
        <v>126580</v>
      </c>
      <c r="W77" s="443">
        <v>126580</v>
      </c>
      <c r="X77" s="448">
        <f t="shared" si="22"/>
        <v>1645602</v>
      </c>
      <c r="Y77" s="448">
        <f t="shared" si="23"/>
        <v>126584.76923076923</v>
      </c>
    </row>
    <row r="78" spans="1:25" s="420" customFormat="1">
      <c r="A78" s="426">
        <f t="shared" si="1"/>
        <v>63</v>
      </c>
      <c r="B78" s="446" t="s">
        <v>1407</v>
      </c>
      <c r="C78" s="426" t="s">
        <v>1375</v>
      </c>
      <c r="D78" s="443">
        <v>31724</v>
      </c>
      <c r="E78" s="449"/>
      <c r="F78" s="443">
        <f t="shared" si="24"/>
        <v>31724</v>
      </c>
      <c r="G78" s="450">
        <v>0</v>
      </c>
      <c r="H78" s="448">
        <v>31724</v>
      </c>
      <c r="I78" s="443">
        <v>31724</v>
      </c>
      <c r="J78" s="443">
        <v>31724</v>
      </c>
      <c r="K78" s="443">
        <v>31724</v>
      </c>
      <c r="L78" s="443">
        <v>31724</v>
      </c>
      <c r="M78" s="426">
        <f t="shared" si="2"/>
        <v>63</v>
      </c>
      <c r="N78" s="446" t="s">
        <v>1407</v>
      </c>
      <c r="O78" s="426" t="s">
        <v>1375</v>
      </c>
      <c r="P78" s="443">
        <v>31724</v>
      </c>
      <c r="Q78" s="443">
        <v>31724</v>
      </c>
      <c r="R78" s="443">
        <v>31724</v>
      </c>
      <c r="S78" s="443">
        <v>31724</v>
      </c>
      <c r="T78" s="443">
        <v>31724</v>
      </c>
      <c r="U78" s="443">
        <v>31724</v>
      </c>
      <c r="V78" s="443">
        <v>31724</v>
      </c>
      <c r="W78" s="443">
        <v>31724</v>
      </c>
      <c r="X78" s="448">
        <f t="shared" si="22"/>
        <v>412475</v>
      </c>
      <c r="Y78" s="448">
        <f t="shared" si="23"/>
        <v>31728.846153846152</v>
      </c>
    </row>
    <row r="79" spans="1:25" s="420" customFormat="1">
      <c r="A79" s="426">
        <f t="shared" si="1"/>
        <v>64</v>
      </c>
      <c r="B79" s="446" t="s">
        <v>1408</v>
      </c>
      <c r="C79" s="426" t="s">
        <v>1375</v>
      </c>
      <c r="D79" s="443">
        <v>-29156</v>
      </c>
      <c r="E79" s="449"/>
      <c r="F79" s="443">
        <f t="shared" si="24"/>
        <v>-29156</v>
      </c>
      <c r="G79" s="450">
        <v>0</v>
      </c>
      <c r="H79" s="448">
        <v>-29156</v>
      </c>
      <c r="I79" s="443">
        <v>-29156</v>
      </c>
      <c r="J79" s="443">
        <v>-29156</v>
      </c>
      <c r="K79" s="443">
        <v>-29156</v>
      </c>
      <c r="L79" s="443">
        <v>-29156</v>
      </c>
      <c r="M79" s="426">
        <f t="shared" si="2"/>
        <v>64</v>
      </c>
      <c r="N79" s="446" t="s">
        <v>1408</v>
      </c>
      <c r="O79" s="426" t="s">
        <v>1375</v>
      </c>
      <c r="P79" s="443">
        <v>-29156</v>
      </c>
      <c r="Q79" s="443">
        <v>-29156</v>
      </c>
      <c r="R79" s="443">
        <v>-29156</v>
      </c>
      <c r="S79" s="443">
        <v>-29156</v>
      </c>
      <c r="T79" s="443">
        <v>-29156</v>
      </c>
      <c r="U79" s="443">
        <v>-29156</v>
      </c>
      <c r="V79" s="443">
        <v>-29156</v>
      </c>
      <c r="W79" s="443">
        <v>-29156</v>
      </c>
      <c r="X79" s="448">
        <f t="shared" si="22"/>
        <v>-378964</v>
      </c>
      <c r="Y79" s="448">
        <f t="shared" si="23"/>
        <v>-29151.076923076922</v>
      </c>
    </row>
    <row r="80" spans="1:25" s="420" customFormat="1">
      <c r="A80" s="426">
        <f t="shared" si="1"/>
        <v>65</v>
      </c>
      <c r="B80" s="446" t="s">
        <v>1409</v>
      </c>
      <c r="C80" s="426" t="s">
        <v>1375</v>
      </c>
      <c r="D80" s="443">
        <v>-7307</v>
      </c>
      <c r="E80" s="449"/>
      <c r="F80" s="443">
        <f t="shared" si="24"/>
        <v>-7307</v>
      </c>
      <c r="G80" s="450">
        <v>0</v>
      </c>
      <c r="H80" s="448">
        <v>-7307</v>
      </c>
      <c r="I80" s="443">
        <v>-7307</v>
      </c>
      <c r="J80" s="443">
        <v>-7307</v>
      </c>
      <c r="K80" s="443">
        <v>-7307</v>
      </c>
      <c r="L80" s="443">
        <v>-7307</v>
      </c>
      <c r="M80" s="426">
        <f t="shared" si="2"/>
        <v>65</v>
      </c>
      <c r="N80" s="446" t="s">
        <v>1409</v>
      </c>
      <c r="O80" s="426" t="s">
        <v>1375</v>
      </c>
      <c r="P80" s="443">
        <v>-7307</v>
      </c>
      <c r="Q80" s="443">
        <v>-7307</v>
      </c>
      <c r="R80" s="443">
        <v>-7307</v>
      </c>
      <c r="S80" s="443">
        <v>-7307</v>
      </c>
      <c r="T80" s="443">
        <v>-7307</v>
      </c>
      <c r="U80" s="443">
        <v>-7307</v>
      </c>
      <c r="V80" s="443">
        <v>-7307</v>
      </c>
      <c r="W80" s="443">
        <v>-7307</v>
      </c>
      <c r="X80" s="448">
        <f t="shared" si="22"/>
        <v>-94926</v>
      </c>
      <c r="Y80" s="448">
        <f t="shared" si="23"/>
        <v>-7302</v>
      </c>
    </row>
    <row r="81" spans="1:25" s="420" customFormat="1">
      <c r="A81" s="426">
        <f>A80+1</f>
        <v>66</v>
      </c>
      <c r="B81" s="446" t="s">
        <v>1410</v>
      </c>
      <c r="C81" s="426" t="s">
        <v>1375</v>
      </c>
      <c r="D81" s="443">
        <v>6043</v>
      </c>
      <c r="E81" s="449"/>
      <c r="F81" s="443">
        <f t="shared" si="24"/>
        <v>6043</v>
      </c>
      <c r="G81" s="450">
        <v>0</v>
      </c>
      <c r="H81" s="448">
        <v>6043</v>
      </c>
      <c r="I81" s="443">
        <v>6043</v>
      </c>
      <c r="J81" s="443">
        <v>6043</v>
      </c>
      <c r="K81" s="443">
        <v>6043</v>
      </c>
      <c r="L81" s="443">
        <v>6043</v>
      </c>
      <c r="M81" s="426">
        <f>M80+1</f>
        <v>66</v>
      </c>
      <c r="N81" s="446" t="s">
        <v>1410</v>
      </c>
      <c r="O81" s="426" t="s">
        <v>1375</v>
      </c>
      <c r="P81" s="443">
        <v>6043</v>
      </c>
      <c r="Q81" s="443">
        <v>6043</v>
      </c>
      <c r="R81" s="443">
        <v>6043</v>
      </c>
      <c r="S81" s="443">
        <v>6043</v>
      </c>
      <c r="T81" s="443">
        <v>6043</v>
      </c>
      <c r="U81" s="443">
        <v>6043</v>
      </c>
      <c r="V81" s="443">
        <v>6043</v>
      </c>
      <c r="W81" s="443">
        <v>6043</v>
      </c>
      <c r="X81" s="448">
        <f t="shared" si="22"/>
        <v>78625</v>
      </c>
      <c r="Y81" s="448">
        <f t="shared" si="23"/>
        <v>6048.0769230769229</v>
      </c>
    </row>
    <row r="82" spans="1:25" s="420" customFormat="1">
      <c r="A82" s="426">
        <f>A81+1</f>
        <v>67</v>
      </c>
      <c r="B82" s="446" t="s">
        <v>1411</v>
      </c>
      <c r="C82" s="426" t="s">
        <v>1375</v>
      </c>
      <c r="D82" s="443">
        <v>3951</v>
      </c>
      <c r="E82" s="449"/>
      <c r="F82" s="443">
        <f t="shared" si="24"/>
        <v>3951</v>
      </c>
      <c r="G82" s="450">
        <v>0</v>
      </c>
      <c r="H82" s="448">
        <v>3951</v>
      </c>
      <c r="I82" s="443">
        <v>3951</v>
      </c>
      <c r="J82" s="443">
        <v>3951</v>
      </c>
      <c r="K82" s="443">
        <v>3951</v>
      </c>
      <c r="L82" s="443">
        <v>3951</v>
      </c>
      <c r="M82" s="426">
        <f>M81+1</f>
        <v>67</v>
      </c>
      <c r="N82" s="446" t="s">
        <v>1411</v>
      </c>
      <c r="O82" s="426" t="s">
        <v>1375</v>
      </c>
      <c r="P82" s="443">
        <v>3951</v>
      </c>
      <c r="Q82" s="443">
        <v>3951</v>
      </c>
      <c r="R82" s="443">
        <v>3951</v>
      </c>
      <c r="S82" s="443">
        <v>3951</v>
      </c>
      <c r="T82" s="443">
        <v>3951</v>
      </c>
      <c r="U82" s="443">
        <v>3951</v>
      </c>
      <c r="V82" s="443">
        <v>3951</v>
      </c>
      <c r="W82" s="443">
        <v>3951</v>
      </c>
      <c r="X82" s="448">
        <f t="shared" si="22"/>
        <v>51430</v>
      </c>
      <c r="Y82" s="448">
        <f t="shared" si="23"/>
        <v>3956.1538461538462</v>
      </c>
    </row>
    <row r="83" spans="1:25" s="420" customFormat="1">
      <c r="A83" s="426">
        <f>A82+1</f>
        <v>68</v>
      </c>
      <c r="B83" s="446" t="s">
        <v>1412</v>
      </c>
      <c r="C83" s="426" t="s">
        <v>1375</v>
      </c>
      <c r="D83" s="443">
        <v>6334902</v>
      </c>
      <c r="E83" s="449"/>
      <c r="F83" s="443">
        <f t="shared" si="24"/>
        <v>6334902</v>
      </c>
      <c r="G83" s="450">
        <v>0</v>
      </c>
      <c r="H83" s="448">
        <v>6334902</v>
      </c>
      <c r="I83" s="443">
        <v>6334902</v>
      </c>
      <c r="J83" s="443">
        <v>6334902</v>
      </c>
      <c r="K83" s="443">
        <v>6334902</v>
      </c>
      <c r="L83" s="443">
        <v>6334902</v>
      </c>
      <c r="M83" s="426">
        <f>M82+1</f>
        <v>68</v>
      </c>
      <c r="N83" s="446" t="s">
        <v>1412</v>
      </c>
      <c r="O83" s="426" t="s">
        <v>1375</v>
      </c>
      <c r="P83" s="443">
        <v>6334902</v>
      </c>
      <c r="Q83" s="443">
        <v>6334902</v>
      </c>
      <c r="R83" s="443">
        <v>6334902</v>
      </c>
      <c r="S83" s="443">
        <v>6334902</v>
      </c>
      <c r="T83" s="443">
        <v>6334902</v>
      </c>
      <c r="U83" s="443">
        <v>6334902</v>
      </c>
      <c r="V83" s="443">
        <v>6334902</v>
      </c>
      <c r="W83" s="443">
        <v>6334902</v>
      </c>
      <c r="X83" s="448">
        <f t="shared" si="22"/>
        <v>82353794</v>
      </c>
      <c r="Y83" s="448">
        <f t="shared" si="23"/>
        <v>6334907.230769231</v>
      </c>
    </row>
    <row r="84" spans="1:25" s="420" customFormat="1">
      <c r="A84" s="426">
        <f>A83+1</f>
        <v>69</v>
      </c>
      <c r="B84" s="446" t="s">
        <v>1413</v>
      </c>
      <c r="C84" s="426" t="s">
        <v>1375</v>
      </c>
      <c r="D84" s="443">
        <v>2166793</v>
      </c>
      <c r="E84" s="449"/>
      <c r="F84" s="443">
        <f t="shared" si="24"/>
        <v>2166793</v>
      </c>
      <c r="G84" s="450">
        <v>0</v>
      </c>
      <c r="H84" s="448">
        <v>2166793</v>
      </c>
      <c r="I84" s="443">
        <v>2166793</v>
      </c>
      <c r="J84" s="443">
        <v>2166793</v>
      </c>
      <c r="K84" s="443">
        <v>2166793</v>
      </c>
      <c r="L84" s="443">
        <v>2166793</v>
      </c>
      <c r="M84" s="426">
        <f>M83+1</f>
        <v>69</v>
      </c>
      <c r="N84" s="446" t="s">
        <v>1413</v>
      </c>
      <c r="O84" s="426" t="s">
        <v>1375</v>
      </c>
      <c r="P84" s="443">
        <v>2166793</v>
      </c>
      <c r="Q84" s="443">
        <v>2166793</v>
      </c>
      <c r="R84" s="443">
        <v>2166793</v>
      </c>
      <c r="S84" s="443">
        <v>2166793</v>
      </c>
      <c r="T84" s="443">
        <v>2166793</v>
      </c>
      <c r="U84" s="443">
        <v>2166793</v>
      </c>
      <c r="V84" s="443">
        <v>2166793</v>
      </c>
      <c r="W84" s="443">
        <v>2166793</v>
      </c>
      <c r="X84" s="448">
        <f t="shared" si="22"/>
        <v>28168378</v>
      </c>
      <c r="Y84" s="448">
        <f t="shared" si="23"/>
        <v>2166798.3076923075</v>
      </c>
    </row>
    <row r="85" spans="1:25" s="218" customFormat="1">
      <c r="A85" s="219">
        <f t="shared" ref="A85:A171" si="25">A84+1</f>
        <v>70</v>
      </c>
      <c r="B85" s="274" t="s">
        <v>1414</v>
      </c>
      <c r="C85" s="426"/>
      <c r="D85" s="451">
        <f>SUM(D45:D84)</f>
        <v>12447857.833333334</v>
      </c>
      <c r="E85" s="282"/>
      <c r="F85" s="451">
        <f t="shared" ref="F85:Y85" si="26">SUM(F45:F84)</f>
        <v>12447857.833333334</v>
      </c>
      <c r="G85" s="451">
        <f t="shared" si="26"/>
        <v>0</v>
      </c>
      <c r="H85" s="451">
        <f t="shared" si="26"/>
        <v>12447857.833333334</v>
      </c>
      <c r="I85" s="451">
        <f t="shared" si="26"/>
        <v>12389592.347222224</v>
      </c>
      <c r="J85" s="451">
        <f t="shared" si="26"/>
        <v>12331326.861111112</v>
      </c>
      <c r="K85" s="451">
        <f t="shared" si="26"/>
        <v>12273061.375</v>
      </c>
      <c r="L85" s="451">
        <f t="shared" si="26"/>
        <v>12214795.88888889</v>
      </c>
      <c r="M85" s="219">
        <f t="shared" ref="M85:M178" si="27">M84+1</f>
        <v>70</v>
      </c>
      <c r="N85" s="274" t="s">
        <v>1414</v>
      </c>
      <c r="O85" s="426"/>
      <c r="P85" s="451">
        <f t="shared" si="26"/>
        <v>12156530.402777778</v>
      </c>
      <c r="Q85" s="451">
        <f t="shared" si="26"/>
        <v>12098264.916666668</v>
      </c>
      <c r="R85" s="451">
        <f t="shared" si="26"/>
        <v>12039999.430555556</v>
      </c>
      <c r="S85" s="451">
        <f t="shared" si="26"/>
        <v>11981733.944444444</v>
      </c>
      <c r="T85" s="451">
        <f t="shared" si="26"/>
        <v>11923468.458333334</v>
      </c>
      <c r="U85" s="451">
        <f t="shared" si="26"/>
        <v>11865202.972222222</v>
      </c>
      <c r="V85" s="451">
        <f t="shared" si="26"/>
        <v>11806937.486111112</v>
      </c>
      <c r="W85" s="451">
        <f t="shared" si="26"/>
        <v>11748672</v>
      </c>
      <c r="X85" s="451">
        <f t="shared" si="26"/>
        <v>157279423.91666669</v>
      </c>
      <c r="Y85" s="451">
        <f t="shared" si="26"/>
        <v>12098417.224358976</v>
      </c>
    </row>
    <row r="86" spans="1:25" s="218" customFormat="1">
      <c r="A86" s="219"/>
      <c r="C86" s="426"/>
      <c r="D86" s="448"/>
      <c r="E86" s="282"/>
      <c r="F86" s="448"/>
      <c r="G86" s="448"/>
      <c r="H86" s="448"/>
      <c r="I86" s="448"/>
      <c r="J86" s="448"/>
      <c r="K86" s="448"/>
      <c r="L86" s="448"/>
      <c r="M86" s="219"/>
      <c r="O86" s="426"/>
      <c r="P86" s="448"/>
      <c r="Q86" s="448"/>
      <c r="R86" s="448"/>
      <c r="S86" s="448"/>
      <c r="T86" s="448"/>
      <c r="U86" s="448"/>
      <c r="V86" s="448"/>
      <c r="W86" s="448"/>
      <c r="X86" s="448"/>
      <c r="Y86" s="448"/>
    </row>
    <row r="87" spans="1:25">
      <c r="A87" s="1306" t="str">
        <f>'B-6.A ADIT &amp; EDIT (Base)'!$A$1</f>
        <v>COLUMBIA GAS OF KENTUCKY, INC.</v>
      </c>
      <c r="B87" s="1306"/>
      <c r="C87" s="1306"/>
      <c r="D87" s="1306"/>
      <c r="E87" s="1306"/>
      <c r="F87" s="1306"/>
      <c r="G87" s="1306"/>
      <c r="H87" s="1306"/>
      <c r="I87" s="1306"/>
      <c r="J87" s="1306"/>
      <c r="K87" s="1306"/>
      <c r="L87" s="1306"/>
      <c r="M87" s="1306" t="str">
        <f>A87</f>
        <v>COLUMBIA GAS OF KENTUCKY, INC.</v>
      </c>
      <c r="N87" s="1306"/>
      <c r="O87" s="1306"/>
      <c r="P87" s="1306"/>
      <c r="Q87" s="1306"/>
      <c r="R87" s="1306"/>
      <c r="S87" s="1306"/>
      <c r="T87" s="1306"/>
      <c r="U87" s="1306"/>
      <c r="V87" s="1306"/>
      <c r="W87" s="1306"/>
      <c r="X87" s="1306"/>
      <c r="Y87" s="1306"/>
    </row>
    <row r="88" spans="1:25">
      <c r="A88" s="1306" t="str">
        <f>'B-6.A ADIT &amp; EDIT (Base)'!$A$2</f>
        <v>CASE NO. 2024 - 00092</v>
      </c>
      <c r="B88" s="1306"/>
      <c r="C88" s="1306"/>
      <c r="D88" s="1306"/>
      <c r="E88" s="1306"/>
      <c r="F88" s="1306"/>
      <c r="G88" s="1306"/>
      <c r="H88" s="1306"/>
      <c r="I88" s="1306"/>
      <c r="J88" s="1306"/>
      <c r="K88" s="1306"/>
      <c r="L88" s="1306"/>
      <c r="M88" s="1306" t="str">
        <f t="shared" ref="M88:M90" si="28">A88</f>
        <v>CASE NO. 2024 - 00092</v>
      </c>
      <c r="N88" s="1306"/>
      <c r="O88" s="1306"/>
      <c r="P88" s="1306"/>
      <c r="Q88" s="1306"/>
      <c r="R88" s="1306"/>
      <c r="S88" s="1306"/>
      <c r="T88" s="1306"/>
      <c r="U88" s="1306"/>
      <c r="V88" s="1306"/>
      <c r="W88" s="1306"/>
      <c r="X88" s="1306"/>
      <c r="Y88" s="1306"/>
    </row>
    <row r="89" spans="1:25">
      <c r="A89" s="1306" t="s">
        <v>556</v>
      </c>
      <c r="B89" s="1306"/>
      <c r="C89" s="1306"/>
      <c r="D89" s="1306"/>
      <c r="E89" s="1306"/>
      <c r="F89" s="1306"/>
      <c r="G89" s="1306"/>
      <c r="H89" s="1306"/>
      <c r="I89" s="1306"/>
      <c r="J89" s="1306"/>
      <c r="K89" s="1306"/>
      <c r="L89" s="1306"/>
      <c r="M89" s="1306" t="str">
        <f t="shared" si="28"/>
        <v>DEFERRED CREDITS AND ACCUMULATED DEFERRED INCOME TAXES</v>
      </c>
      <c r="N89" s="1306"/>
      <c r="O89" s="1306"/>
      <c r="P89" s="1306"/>
      <c r="Q89" s="1306"/>
      <c r="R89" s="1306"/>
      <c r="S89" s="1306"/>
      <c r="T89" s="1306"/>
      <c r="U89" s="1306"/>
      <c r="V89" s="1306"/>
      <c r="W89" s="1306"/>
      <c r="X89" s="1306"/>
      <c r="Y89" s="1306"/>
    </row>
    <row r="90" spans="1:25">
      <c r="A90" s="1306" t="str">
        <f>'General Headers Index'!$B$17</f>
        <v>AS OF DECEMBER 31, 2025</v>
      </c>
      <c r="B90" s="1306"/>
      <c r="C90" s="1306"/>
      <c r="D90" s="1306"/>
      <c r="E90" s="1306"/>
      <c r="F90" s="1306"/>
      <c r="G90" s="1306"/>
      <c r="H90" s="1306"/>
      <c r="I90" s="1306"/>
      <c r="J90" s="1306"/>
      <c r="K90" s="1306"/>
      <c r="L90" s="1306"/>
      <c r="M90" s="1306" t="str">
        <f t="shared" si="28"/>
        <v>AS OF DECEMBER 31, 2025</v>
      </c>
      <c r="N90" s="1306"/>
      <c r="O90" s="1306"/>
      <c r="P90" s="1306"/>
      <c r="Q90" s="1306"/>
      <c r="R90" s="1306"/>
      <c r="S90" s="1306"/>
      <c r="T90" s="1306"/>
      <c r="U90" s="1306"/>
      <c r="V90" s="1306"/>
      <c r="W90" s="1306"/>
      <c r="X90" s="1306"/>
      <c r="Y90" s="1306"/>
    </row>
    <row r="91" spans="1:25">
      <c r="B91" s="217"/>
      <c r="C91" s="217"/>
      <c r="D91" s="217"/>
      <c r="E91" s="217"/>
      <c r="F91" s="217"/>
      <c r="G91" s="217"/>
      <c r="H91" s="217"/>
      <c r="I91" s="217"/>
      <c r="J91" s="217"/>
      <c r="K91" s="217"/>
      <c r="L91" s="217"/>
      <c r="N91" s="217"/>
      <c r="O91" s="217"/>
      <c r="P91" s="217"/>
      <c r="Q91" s="217"/>
      <c r="R91" s="217"/>
      <c r="S91" s="217"/>
      <c r="T91" s="217"/>
      <c r="U91" s="217"/>
      <c r="V91" s="217"/>
      <c r="W91" s="217"/>
      <c r="X91" s="217"/>
      <c r="Y91" s="217"/>
    </row>
    <row r="92" spans="1:25">
      <c r="A92" s="229" t="s">
        <v>2788</v>
      </c>
      <c r="L92" s="326" t="s">
        <v>2952</v>
      </c>
      <c r="M92" s="229" t="s">
        <v>2788</v>
      </c>
      <c r="Q92" s="229"/>
      <c r="Y92" s="326" t="s">
        <v>2952</v>
      </c>
    </row>
    <row r="93" spans="1:25">
      <c r="A93" s="229" t="s">
        <v>572</v>
      </c>
      <c r="B93" s="229"/>
      <c r="L93" s="326" t="s">
        <v>2946</v>
      </c>
      <c r="M93" s="229" t="s">
        <v>572</v>
      </c>
      <c r="N93" s="229"/>
      <c r="Q93" s="229"/>
      <c r="Y93" s="326" t="s">
        <v>2947</v>
      </c>
    </row>
    <row r="94" spans="1:25">
      <c r="A94" s="229" t="s">
        <v>58</v>
      </c>
      <c r="L94" s="326" t="str">
        <f>$L$8</f>
        <v>WITNESS: HARDING</v>
      </c>
      <c r="M94" s="229" t="s">
        <v>58</v>
      </c>
      <c r="Q94" s="229"/>
      <c r="Y94" s="271" t="str">
        <f>$Y$8</f>
        <v>WITNESS: HARDING</v>
      </c>
    </row>
    <row r="95" spans="1:25">
      <c r="A95" s="229"/>
      <c r="M95" s="229"/>
      <c r="P95" s="326"/>
      <c r="Q95" s="229"/>
      <c r="Y95" s="271"/>
    </row>
    <row r="96" spans="1:25" s="217" customFormat="1">
      <c r="A96" s="439"/>
      <c r="B96" s="439"/>
      <c r="C96" s="424"/>
      <c r="D96" s="272" t="s">
        <v>1962</v>
      </c>
      <c r="E96" s="272"/>
      <c r="F96" s="272"/>
      <c r="G96" s="272"/>
      <c r="H96" s="272" t="s">
        <v>1962</v>
      </c>
      <c r="I96" s="272" t="s">
        <v>1963</v>
      </c>
      <c r="J96" s="272" t="s">
        <v>1964</v>
      </c>
      <c r="K96" s="272" t="s">
        <v>1965</v>
      </c>
      <c r="L96" s="272" t="s">
        <v>1966</v>
      </c>
      <c r="M96" s="439"/>
      <c r="N96" s="439"/>
      <c r="O96" s="424"/>
      <c r="P96" s="272" t="s">
        <v>1967</v>
      </c>
      <c r="Q96" s="272" t="s">
        <v>1968</v>
      </c>
      <c r="R96" s="272" t="s">
        <v>1969</v>
      </c>
      <c r="S96" s="272" t="s">
        <v>1970</v>
      </c>
      <c r="T96" s="272" t="s">
        <v>1971</v>
      </c>
      <c r="U96" s="272" t="s">
        <v>1972</v>
      </c>
      <c r="V96" s="272" t="s">
        <v>1973</v>
      </c>
      <c r="W96" s="272" t="s">
        <v>1974</v>
      </c>
      <c r="X96" s="439" t="s">
        <v>349</v>
      </c>
      <c r="Y96" s="440" t="s">
        <v>352</v>
      </c>
    </row>
    <row r="97" spans="1:25">
      <c r="A97" s="217" t="s">
        <v>313</v>
      </c>
      <c r="D97" s="217" t="s">
        <v>538</v>
      </c>
      <c r="E97" s="217" t="s">
        <v>78</v>
      </c>
      <c r="F97" s="217" t="s">
        <v>350</v>
      </c>
      <c r="G97" s="217"/>
      <c r="H97" s="217" t="s">
        <v>1354</v>
      </c>
      <c r="I97" s="217" t="s">
        <v>1354</v>
      </c>
      <c r="J97" s="217" t="s">
        <v>1354</v>
      </c>
      <c r="K97" s="217" t="s">
        <v>1354</v>
      </c>
      <c r="L97" s="217" t="s">
        <v>1354</v>
      </c>
      <c r="M97" s="217" t="s">
        <v>313</v>
      </c>
      <c r="P97" s="217" t="s">
        <v>1354</v>
      </c>
      <c r="Q97" s="217" t="s">
        <v>1354</v>
      </c>
      <c r="R97" s="217" t="s">
        <v>1354</v>
      </c>
      <c r="S97" s="217" t="s">
        <v>1354</v>
      </c>
      <c r="T97" s="217" t="s">
        <v>1354</v>
      </c>
      <c r="U97" s="217" t="s">
        <v>1354</v>
      </c>
      <c r="V97" s="217" t="s">
        <v>1354</v>
      </c>
      <c r="W97" s="217" t="s">
        <v>1354</v>
      </c>
      <c r="X97" s="217" t="s">
        <v>1354</v>
      </c>
      <c r="Y97" s="217" t="s">
        <v>312</v>
      </c>
    </row>
    <row r="98" spans="1:25">
      <c r="A98" s="846" t="s">
        <v>316</v>
      </c>
      <c r="B98" s="999" t="s">
        <v>451</v>
      </c>
      <c r="C98" s="847" t="s">
        <v>1355</v>
      </c>
      <c r="D98" s="846" t="s">
        <v>353</v>
      </c>
      <c r="E98" s="846" t="s">
        <v>529</v>
      </c>
      <c r="F98" s="846" t="s">
        <v>444</v>
      </c>
      <c r="G98" s="846" t="s">
        <v>433</v>
      </c>
      <c r="H98" s="846" t="s">
        <v>444</v>
      </c>
      <c r="I98" s="846" t="s">
        <v>444</v>
      </c>
      <c r="J98" s="846" t="s">
        <v>444</v>
      </c>
      <c r="K98" s="846" t="s">
        <v>444</v>
      </c>
      <c r="L98" s="846" t="s">
        <v>444</v>
      </c>
      <c r="M98" s="846" t="s">
        <v>316</v>
      </c>
      <c r="N98" s="999" t="s">
        <v>451</v>
      </c>
      <c r="O98" s="847" t="s">
        <v>1355</v>
      </c>
      <c r="P98" s="846" t="s">
        <v>444</v>
      </c>
      <c r="Q98" s="846" t="s">
        <v>444</v>
      </c>
      <c r="R98" s="846" t="s">
        <v>444</v>
      </c>
      <c r="S98" s="846" t="s">
        <v>444</v>
      </c>
      <c r="T98" s="846" t="s">
        <v>444</v>
      </c>
      <c r="U98" s="846" t="s">
        <v>444</v>
      </c>
      <c r="V98" s="846" t="s">
        <v>444</v>
      </c>
      <c r="W98" s="846" t="s">
        <v>444</v>
      </c>
      <c r="X98" s="846" t="s">
        <v>444</v>
      </c>
      <c r="Y98" s="846" t="s">
        <v>441</v>
      </c>
    </row>
    <row r="99" spans="1:25">
      <c r="A99" s="217"/>
      <c r="D99" s="300" t="s">
        <v>532</v>
      </c>
      <c r="E99" s="300" t="s">
        <v>541</v>
      </c>
      <c r="F99" s="300" t="s">
        <v>542</v>
      </c>
      <c r="G99" s="300" t="s">
        <v>668</v>
      </c>
      <c r="H99" s="300" t="s">
        <v>669</v>
      </c>
      <c r="I99" s="300" t="s">
        <v>670</v>
      </c>
      <c r="J99" s="300" t="s">
        <v>984</v>
      </c>
      <c r="K99" s="300" t="s">
        <v>985</v>
      </c>
      <c r="L99" s="300" t="s">
        <v>986</v>
      </c>
      <c r="M99" s="217"/>
      <c r="P99" s="300" t="s">
        <v>987</v>
      </c>
      <c r="Q99" s="300" t="s">
        <v>988</v>
      </c>
      <c r="R99" s="300" t="s">
        <v>989</v>
      </c>
      <c r="S99" s="300" t="s">
        <v>990</v>
      </c>
      <c r="T99" s="300" t="s">
        <v>991</v>
      </c>
      <c r="U99" s="300" t="s">
        <v>992</v>
      </c>
      <c r="V99" s="300" t="s">
        <v>993</v>
      </c>
      <c r="W99" s="300" t="s">
        <v>1356</v>
      </c>
      <c r="X99" s="300" t="s">
        <v>1357</v>
      </c>
      <c r="Y99" s="300" t="s">
        <v>1358</v>
      </c>
    </row>
    <row r="100" spans="1:25">
      <c r="A100" s="217"/>
      <c r="D100" s="300" t="s">
        <v>320</v>
      </c>
      <c r="E100" s="300"/>
      <c r="F100" s="300" t="s">
        <v>320</v>
      </c>
      <c r="G100" s="300" t="s">
        <v>320</v>
      </c>
      <c r="H100" s="300" t="s">
        <v>320</v>
      </c>
      <c r="I100" s="300" t="s">
        <v>320</v>
      </c>
      <c r="J100" s="300" t="s">
        <v>320</v>
      </c>
      <c r="K100" s="300" t="s">
        <v>320</v>
      </c>
      <c r="L100" s="300" t="s">
        <v>320</v>
      </c>
      <c r="M100" s="217"/>
      <c r="P100" s="300" t="s">
        <v>320</v>
      </c>
      <c r="Q100" s="300" t="s">
        <v>320</v>
      </c>
      <c r="R100" s="300" t="s">
        <v>320</v>
      </c>
      <c r="S100" s="300" t="s">
        <v>320</v>
      </c>
      <c r="T100" s="300" t="s">
        <v>320</v>
      </c>
      <c r="U100" s="300" t="s">
        <v>320</v>
      </c>
      <c r="V100" s="300" t="s">
        <v>320</v>
      </c>
      <c r="W100" s="300" t="s">
        <v>320</v>
      </c>
      <c r="X100" s="300" t="s">
        <v>320</v>
      </c>
      <c r="Y100" s="300" t="s">
        <v>320</v>
      </c>
    </row>
    <row r="101" spans="1:25">
      <c r="A101" s="217"/>
      <c r="D101" s="300"/>
      <c r="E101" s="300"/>
      <c r="F101" s="300"/>
      <c r="G101" s="300"/>
      <c r="H101" s="300"/>
      <c r="I101" s="300"/>
      <c r="J101" s="300"/>
      <c r="K101" s="300"/>
      <c r="L101" s="300"/>
      <c r="M101" s="217"/>
      <c r="P101" s="300"/>
      <c r="Q101" s="300"/>
      <c r="R101" s="300"/>
      <c r="S101" s="300"/>
      <c r="T101" s="300"/>
      <c r="U101" s="300"/>
      <c r="V101" s="300"/>
      <c r="W101" s="300"/>
      <c r="X101" s="300"/>
      <c r="Y101" s="300"/>
    </row>
    <row r="102" spans="1:25" s="218" customFormat="1">
      <c r="A102" s="219">
        <f>A86+1</f>
        <v>1</v>
      </c>
      <c r="B102" s="264" t="s">
        <v>1362</v>
      </c>
      <c r="C102" s="426"/>
      <c r="D102" s="448"/>
      <c r="F102" s="448"/>
      <c r="G102" s="448"/>
      <c r="H102" s="448"/>
      <c r="I102" s="448"/>
      <c r="J102" s="448"/>
      <c r="K102" s="448"/>
      <c r="L102" s="448"/>
      <c r="M102" s="219">
        <f>M86+1</f>
        <v>1</v>
      </c>
      <c r="N102" s="264" t="s">
        <v>1362</v>
      </c>
      <c r="O102" s="426"/>
      <c r="P102" s="448"/>
      <c r="Q102" s="448"/>
      <c r="R102" s="448"/>
      <c r="S102" s="448"/>
      <c r="T102" s="448"/>
      <c r="U102" s="448"/>
      <c r="V102" s="448"/>
      <c r="W102" s="448"/>
      <c r="X102" s="448"/>
      <c r="Y102" s="448"/>
    </row>
    <row r="103" spans="1:25" s="420" customFormat="1">
      <c r="A103" s="426">
        <f t="shared" si="25"/>
        <v>2</v>
      </c>
      <c r="B103" s="446" t="s">
        <v>1415</v>
      </c>
      <c r="C103" s="426" t="s">
        <v>1373</v>
      </c>
      <c r="D103" s="448">
        <v>-77501664.485379264</v>
      </c>
      <c r="E103" s="1003">
        <v>1</v>
      </c>
      <c r="F103" s="448">
        <f t="shared" ref="F103:F108" si="29">D103*$E$103</f>
        <v>-77501664.485379264</v>
      </c>
      <c r="G103" s="452">
        <v>0</v>
      </c>
      <c r="H103" s="448">
        <v>-77501664.485379264</v>
      </c>
      <c r="I103" s="443">
        <v>-77934223.82090804</v>
      </c>
      <c r="J103" s="443">
        <v>-78366783.156436816</v>
      </c>
      <c r="K103" s="443">
        <v>-78799342.491965592</v>
      </c>
      <c r="L103" s="443">
        <v>-79231901.827494368</v>
      </c>
      <c r="M103" s="426">
        <f t="shared" si="27"/>
        <v>2</v>
      </c>
      <c r="N103" s="446" t="s">
        <v>1415</v>
      </c>
      <c r="O103" s="426" t="s">
        <v>1373</v>
      </c>
      <c r="P103" s="443">
        <v>-79664461.163023144</v>
      </c>
      <c r="Q103" s="443">
        <v>-80097020.49855192</v>
      </c>
      <c r="R103" s="443">
        <v>-80529579.834080696</v>
      </c>
      <c r="S103" s="443">
        <v>-80962139.169609472</v>
      </c>
      <c r="T103" s="443">
        <v>-81394698.505138248</v>
      </c>
      <c r="U103" s="443">
        <v>-81827257.840667024</v>
      </c>
      <c r="V103" s="443">
        <v>-82259817.1761958</v>
      </c>
      <c r="W103" s="443">
        <v>-82692376.511724532</v>
      </c>
      <c r="X103" s="448">
        <f t="shared" ref="X103:X108" si="30">SUM(H103:W103)</f>
        <v>-1041261264.4811749</v>
      </c>
      <c r="Y103" s="448">
        <f t="shared" ref="Y103:Y108" si="31">X103/13</f>
        <v>-80097020.34470576</v>
      </c>
    </row>
    <row r="104" spans="1:25" s="420" customFormat="1">
      <c r="A104" s="426">
        <f t="shared" si="25"/>
        <v>3</v>
      </c>
      <c r="B104" s="446" t="s">
        <v>1416</v>
      </c>
      <c r="C104" s="426" t="s">
        <v>1373</v>
      </c>
      <c r="D104" s="448">
        <v>-17556279.329645179</v>
      </c>
      <c r="E104" s="449"/>
      <c r="F104" s="448">
        <f t="shared" si="29"/>
        <v>-17556279.329645179</v>
      </c>
      <c r="G104" s="452">
        <v>0</v>
      </c>
      <c r="H104" s="448">
        <v>-17556279.329645179</v>
      </c>
      <c r="I104" s="443">
        <v>-17678530.715096626</v>
      </c>
      <c r="J104" s="443">
        <v>-17800782.100548074</v>
      </c>
      <c r="K104" s="443">
        <v>-17923033.485999521</v>
      </c>
      <c r="L104" s="443">
        <v>-18045284.871450968</v>
      </c>
      <c r="M104" s="426">
        <f t="shared" si="27"/>
        <v>3</v>
      </c>
      <c r="N104" s="446" t="s">
        <v>1416</v>
      </c>
      <c r="O104" s="426" t="s">
        <v>1373</v>
      </c>
      <c r="P104" s="443">
        <v>-18167536.256902415</v>
      </c>
      <c r="Q104" s="443">
        <v>-18289787.642353863</v>
      </c>
      <c r="R104" s="443">
        <v>-18412039.02780531</v>
      </c>
      <c r="S104" s="443">
        <v>-18534290.413256757</v>
      </c>
      <c r="T104" s="443">
        <v>-18656541.798708204</v>
      </c>
      <c r="U104" s="443">
        <v>-18778793.184159651</v>
      </c>
      <c r="V104" s="443">
        <v>-18901044.569611099</v>
      </c>
      <c r="W104" s="443">
        <v>-19023295.955062542</v>
      </c>
      <c r="X104" s="448">
        <f t="shared" si="30"/>
        <v>-237767236.35060024</v>
      </c>
      <c r="Y104" s="448">
        <f t="shared" si="31"/>
        <v>-18289787.411584634</v>
      </c>
    </row>
    <row r="105" spans="1:25" s="420" customFormat="1">
      <c r="A105" s="426">
        <f t="shared" si="25"/>
        <v>4</v>
      </c>
      <c r="B105" s="453" t="s">
        <v>1417</v>
      </c>
      <c r="C105" s="426" t="s">
        <v>1375</v>
      </c>
      <c r="D105" s="448">
        <v>-115497</v>
      </c>
      <c r="E105" s="449"/>
      <c r="F105" s="448">
        <f t="shared" si="29"/>
        <v>-115497</v>
      </c>
      <c r="G105" s="452">
        <v>0</v>
      </c>
      <c r="H105" s="448">
        <v>-115497</v>
      </c>
      <c r="I105" s="443">
        <v>-115497</v>
      </c>
      <c r="J105" s="443">
        <v>-115497</v>
      </c>
      <c r="K105" s="443">
        <v>-115497</v>
      </c>
      <c r="L105" s="443">
        <v>-115497</v>
      </c>
      <c r="M105" s="426">
        <f t="shared" si="27"/>
        <v>4</v>
      </c>
      <c r="N105" s="453" t="s">
        <v>1417</v>
      </c>
      <c r="O105" s="426" t="s">
        <v>1375</v>
      </c>
      <c r="P105" s="443">
        <v>-115497</v>
      </c>
      <c r="Q105" s="443">
        <v>-115497</v>
      </c>
      <c r="R105" s="443">
        <v>-115497</v>
      </c>
      <c r="S105" s="443">
        <v>-115497</v>
      </c>
      <c r="T105" s="443">
        <v>-115497</v>
      </c>
      <c r="U105" s="443">
        <v>-115497</v>
      </c>
      <c r="V105" s="443">
        <v>-115497</v>
      </c>
      <c r="W105" s="443">
        <v>-115497</v>
      </c>
      <c r="X105" s="448">
        <f t="shared" si="30"/>
        <v>-1501457</v>
      </c>
      <c r="Y105" s="448">
        <f t="shared" si="31"/>
        <v>-115496.69230769231</v>
      </c>
    </row>
    <row r="106" spans="1:25" s="420" customFormat="1">
      <c r="A106" s="426">
        <f t="shared" si="25"/>
        <v>5</v>
      </c>
      <c r="B106" s="453" t="s">
        <v>1418</v>
      </c>
      <c r="C106" s="426" t="s">
        <v>1375</v>
      </c>
      <c r="D106" s="448">
        <v>0</v>
      </c>
      <c r="E106" s="449"/>
      <c r="F106" s="448">
        <f t="shared" si="29"/>
        <v>0</v>
      </c>
      <c r="G106" s="452">
        <v>0</v>
      </c>
      <c r="H106" s="448">
        <v>0</v>
      </c>
      <c r="I106" s="443">
        <v>0</v>
      </c>
      <c r="J106" s="443">
        <v>0</v>
      </c>
      <c r="K106" s="443">
        <v>0</v>
      </c>
      <c r="L106" s="443">
        <v>0</v>
      </c>
      <c r="M106" s="426">
        <f t="shared" si="27"/>
        <v>5</v>
      </c>
      <c r="N106" s="453" t="s">
        <v>1418</v>
      </c>
      <c r="O106" s="426" t="s">
        <v>1375</v>
      </c>
      <c r="P106" s="443">
        <v>0</v>
      </c>
      <c r="Q106" s="443">
        <v>0</v>
      </c>
      <c r="R106" s="443">
        <v>0</v>
      </c>
      <c r="S106" s="443">
        <v>0</v>
      </c>
      <c r="T106" s="443">
        <v>0</v>
      </c>
      <c r="U106" s="443">
        <v>0</v>
      </c>
      <c r="V106" s="443">
        <v>0</v>
      </c>
      <c r="W106" s="443">
        <v>0</v>
      </c>
      <c r="X106" s="448">
        <f t="shared" si="30"/>
        <v>5</v>
      </c>
      <c r="Y106" s="448">
        <f t="shared" si="31"/>
        <v>0.38461538461538464</v>
      </c>
    </row>
    <row r="107" spans="1:25" s="420" customFormat="1">
      <c r="A107" s="426">
        <f t="shared" si="25"/>
        <v>6</v>
      </c>
      <c r="B107" s="453" t="s">
        <v>1958</v>
      </c>
      <c r="C107" s="426" t="s">
        <v>1375</v>
      </c>
      <c r="D107" s="448">
        <v>-46510</v>
      </c>
      <c r="E107" s="449"/>
      <c r="F107" s="448">
        <f t="shared" si="29"/>
        <v>-46510</v>
      </c>
      <c r="G107" s="452">
        <v>0</v>
      </c>
      <c r="H107" s="448">
        <v>-46510</v>
      </c>
      <c r="I107" s="443">
        <v>-46510</v>
      </c>
      <c r="J107" s="443">
        <v>-46510</v>
      </c>
      <c r="K107" s="443">
        <v>-46510</v>
      </c>
      <c r="L107" s="443">
        <v>-46510</v>
      </c>
      <c r="M107" s="426">
        <f t="shared" si="27"/>
        <v>6</v>
      </c>
      <c r="N107" s="453" t="s">
        <v>1958</v>
      </c>
      <c r="O107" s="426" t="s">
        <v>1375</v>
      </c>
      <c r="P107" s="443">
        <v>-46510</v>
      </c>
      <c r="Q107" s="443">
        <v>-46510</v>
      </c>
      <c r="R107" s="443">
        <v>-46510</v>
      </c>
      <c r="S107" s="443">
        <v>-46510</v>
      </c>
      <c r="T107" s="443">
        <v>-46510</v>
      </c>
      <c r="U107" s="443">
        <v>-46510</v>
      </c>
      <c r="V107" s="443">
        <v>-46510</v>
      </c>
      <c r="W107" s="443">
        <v>-46510</v>
      </c>
      <c r="X107" s="448">
        <f t="shared" si="30"/>
        <v>-604624</v>
      </c>
      <c r="Y107" s="448">
        <f t="shared" si="31"/>
        <v>-46509.538461538461</v>
      </c>
    </row>
    <row r="108" spans="1:25" s="420" customFormat="1">
      <c r="A108" s="426">
        <f t="shared" si="25"/>
        <v>7</v>
      </c>
      <c r="B108" s="453" t="s">
        <v>1419</v>
      </c>
      <c r="C108" s="426" t="s">
        <v>1375</v>
      </c>
      <c r="D108" s="448">
        <v>810960</v>
      </c>
      <c r="E108" s="449"/>
      <c r="F108" s="448">
        <f t="shared" si="29"/>
        <v>810960</v>
      </c>
      <c r="G108" s="452">
        <v>0</v>
      </c>
      <c r="H108" s="448">
        <v>810960</v>
      </c>
      <c r="I108" s="443">
        <v>810960</v>
      </c>
      <c r="J108" s="443">
        <v>810960</v>
      </c>
      <c r="K108" s="443">
        <v>810960</v>
      </c>
      <c r="L108" s="443">
        <v>810960</v>
      </c>
      <c r="M108" s="426">
        <f t="shared" si="27"/>
        <v>7</v>
      </c>
      <c r="N108" s="453" t="s">
        <v>1419</v>
      </c>
      <c r="O108" s="426" t="s">
        <v>1375</v>
      </c>
      <c r="P108" s="443">
        <v>810960</v>
      </c>
      <c r="Q108" s="443">
        <v>810960</v>
      </c>
      <c r="R108" s="443">
        <v>810960</v>
      </c>
      <c r="S108" s="443">
        <v>810960</v>
      </c>
      <c r="T108" s="443">
        <v>810960</v>
      </c>
      <c r="U108" s="443">
        <v>810960</v>
      </c>
      <c r="V108" s="443">
        <v>810960</v>
      </c>
      <c r="W108" s="443">
        <v>810960</v>
      </c>
      <c r="X108" s="448">
        <f t="shared" si="30"/>
        <v>10542487</v>
      </c>
      <c r="Y108" s="448">
        <f t="shared" si="31"/>
        <v>810960.5384615385</v>
      </c>
    </row>
    <row r="109" spans="1:25" s="218" customFormat="1">
      <c r="A109" s="219">
        <f t="shared" si="25"/>
        <v>8</v>
      </c>
      <c r="B109" s="274" t="s">
        <v>1420</v>
      </c>
      <c r="C109" s="426"/>
      <c r="D109" s="451">
        <f>SUM(D103:D108)</f>
        <v>-94408990.815024436</v>
      </c>
      <c r="E109" s="282"/>
      <c r="F109" s="451">
        <f t="shared" ref="F109:Y109" si="32">SUM(F103:F108)</f>
        <v>-94408990.815024436</v>
      </c>
      <c r="G109" s="451">
        <f t="shared" si="32"/>
        <v>0</v>
      </c>
      <c r="H109" s="451">
        <f t="shared" si="32"/>
        <v>-94408990.815024436</v>
      </c>
      <c r="I109" s="451">
        <f t="shared" si="32"/>
        <v>-94963801.536004663</v>
      </c>
      <c r="J109" s="451">
        <f t="shared" si="32"/>
        <v>-95518612.25698489</v>
      </c>
      <c r="K109" s="451">
        <f t="shared" si="32"/>
        <v>-96073422.977965117</v>
      </c>
      <c r="L109" s="451">
        <f t="shared" si="32"/>
        <v>-96628233.698945343</v>
      </c>
      <c r="M109" s="219">
        <f t="shared" si="27"/>
        <v>8</v>
      </c>
      <c r="N109" s="274" t="s">
        <v>1420</v>
      </c>
      <c r="O109" s="426"/>
      <c r="P109" s="451">
        <f t="shared" si="32"/>
        <v>-97183044.419925556</v>
      </c>
      <c r="Q109" s="451">
        <f t="shared" si="32"/>
        <v>-97737855.140905783</v>
      </c>
      <c r="R109" s="451">
        <f t="shared" si="32"/>
        <v>-98292665.86188601</v>
      </c>
      <c r="S109" s="451">
        <f t="shared" si="32"/>
        <v>-98847476.582866222</v>
      </c>
      <c r="T109" s="451">
        <f t="shared" si="32"/>
        <v>-99402287.303846449</v>
      </c>
      <c r="U109" s="451">
        <f t="shared" si="32"/>
        <v>-99957098.024826676</v>
      </c>
      <c r="V109" s="451">
        <f t="shared" si="32"/>
        <v>-100511908.7458069</v>
      </c>
      <c r="W109" s="451">
        <f t="shared" si="32"/>
        <v>-101066719.46678707</v>
      </c>
      <c r="X109" s="451">
        <f t="shared" si="32"/>
        <v>-1270592089.8317752</v>
      </c>
      <c r="Y109" s="451">
        <f t="shared" si="32"/>
        <v>-97737853.063982695</v>
      </c>
    </row>
    <row r="110" spans="1:25" s="218" customFormat="1">
      <c r="A110" s="219">
        <f t="shared" si="25"/>
        <v>9</v>
      </c>
      <c r="C110" s="426"/>
      <c r="D110" s="448"/>
      <c r="E110" s="282"/>
      <c r="F110" s="448"/>
      <c r="G110" s="448"/>
      <c r="H110" s="448"/>
      <c r="I110" s="448"/>
      <c r="J110" s="448"/>
      <c r="K110" s="448"/>
      <c r="L110" s="448"/>
      <c r="M110" s="219">
        <f t="shared" si="27"/>
        <v>9</v>
      </c>
      <c r="O110" s="426"/>
      <c r="P110" s="448"/>
      <c r="Q110" s="448"/>
      <c r="R110" s="448"/>
      <c r="S110" s="448"/>
      <c r="T110" s="448"/>
      <c r="U110" s="448"/>
      <c r="V110" s="448"/>
      <c r="W110" s="448"/>
      <c r="X110" s="448"/>
      <c r="Y110" s="448"/>
    </row>
    <row r="111" spans="1:25" s="420" customFormat="1">
      <c r="A111" s="426">
        <f t="shared" si="25"/>
        <v>10</v>
      </c>
      <c r="B111" s="264" t="s">
        <v>2041</v>
      </c>
      <c r="C111" s="217"/>
      <c r="D111" s="220"/>
      <c r="E111" s="1005"/>
      <c r="F111" s="220"/>
      <c r="G111" s="220"/>
      <c r="H111" s="220"/>
      <c r="M111" s="426">
        <f t="shared" si="27"/>
        <v>10</v>
      </c>
      <c r="N111" s="264" t="s">
        <v>2041</v>
      </c>
      <c r="O111" s="217"/>
      <c r="W111" s="442"/>
    </row>
    <row r="112" spans="1:25" s="420" customFormat="1">
      <c r="A112" s="426">
        <f t="shared" si="25"/>
        <v>11</v>
      </c>
      <c r="B112" s="274" t="s">
        <v>2042</v>
      </c>
      <c r="C112" s="217" t="s">
        <v>1373</v>
      </c>
      <c r="D112" s="227">
        <v>7806332.7754942551</v>
      </c>
      <c r="E112" s="1003">
        <v>1</v>
      </c>
      <c r="F112" s="227">
        <f>D112*E112</f>
        <v>7806332.7754942551</v>
      </c>
      <c r="G112" s="227">
        <v>0</v>
      </c>
      <c r="H112" s="227">
        <f>SUM(F112:G112)</f>
        <v>7806332.7754942551</v>
      </c>
      <c r="I112" s="227">
        <v>8092177.2414870448</v>
      </c>
      <c r="J112" s="227">
        <v>8378021.7074798346</v>
      </c>
      <c r="K112" s="227">
        <v>8663866.1734726243</v>
      </c>
      <c r="L112" s="227">
        <v>8949710.639465414</v>
      </c>
      <c r="M112" s="426">
        <f t="shared" si="27"/>
        <v>11</v>
      </c>
      <c r="N112" s="274" t="s">
        <v>2042</v>
      </c>
      <c r="O112" s="217" t="s">
        <v>1373</v>
      </c>
      <c r="P112" s="227">
        <v>9235555.1054582037</v>
      </c>
      <c r="Q112" s="227">
        <v>9521399.5714509934</v>
      </c>
      <c r="R112" s="227">
        <v>9807244.0374437831</v>
      </c>
      <c r="S112" s="227">
        <v>10093088.503436573</v>
      </c>
      <c r="T112" s="227">
        <v>10378932.969429363</v>
      </c>
      <c r="U112" s="227">
        <v>10664777.435422152</v>
      </c>
      <c r="V112" s="227">
        <v>10950621.901414942</v>
      </c>
      <c r="W112" s="227">
        <v>11236466.367407732</v>
      </c>
      <c r="X112" s="448">
        <f>SUM(H112:W112)</f>
        <v>123778205.42886293</v>
      </c>
      <c r="Y112" s="448">
        <f>X112/13</f>
        <v>9521400.4176048413</v>
      </c>
    </row>
    <row r="113" spans="1:25" s="420" customFormat="1">
      <c r="A113" s="426">
        <f t="shared" si="25"/>
        <v>12</v>
      </c>
      <c r="B113" s="274" t="s">
        <v>2043</v>
      </c>
      <c r="C113" s="217" t="s">
        <v>1373</v>
      </c>
      <c r="D113" s="227">
        <v>1956474.3798231219</v>
      </c>
      <c r="E113" s="1003">
        <v>1</v>
      </c>
      <c r="F113" s="227">
        <f>D113*E113</f>
        <v>1956474.3798231219</v>
      </c>
      <c r="G113" s="227">
        <v>0</v>
      </c>
      <c r="H113" s="227">
        <f>SUM(F113:G113)</f>
        <v>1956474.3798231219</v>
      </c>
      <c r="I113" s="227">
        <v>2028114.5968639215</v>
      </c>
      <c r="J113" s="227">
        <v>2099754.8139047208</v>
      </c>
      <c r="K113" s="227">
        <v>2171395.0309455204</v>
      </c>
      <c r="L113" s="227">
        <v>2243035.2479863199</v>
      </c>
      <c r="M113" s="426">
        <f t="shared" si="27"/>
        <v>12</v>
      </c>
      <c r="N113" s="274" t="s">
        <v>2043</v>
      </c>
      <c r="O113" s="217" t="s">
        <v>1373</v>
      </c>
      <c r="P113" s="227">
        <v>2314675.4650271195</v>
      </c>
      <c r="Q113" s="227">
        <v>2386315.6820679191</v>
      </c>
      <c r="R113" s="227">
        <v>2457955.8991087186</v>
      </c>
      <c r="S113" s="227">
        <v>2529596.1161495182</v>
      </c>
      <c r="T113" s="227">
        <v>2601236.3331903177</v>
      </c>
      <c r="U113" s="227">
        <v>2672876.5502311173</v>
      </c>
      <c r="V113" s="227">
        <v>2744516.7672719168</v>
      </c>
      <c r="W113" s="227">
        <v>2816156.9843127164</v>
      </c>
      <c r="X113" s="448">
        <f>SUM(H113:W113)</f>
        <v>31022115.86688295</v>
      </c>
      <c r="Y113" s="448">
        <f>X113/13</f>
        <v>2386316.6051448425</v>
      </c>
    </row>
    <row r="114" spans="1:25" s="420" customFormat="1">
      <c r="A114" s="426">
        <f t="shared" si="25"/>
        <v>13</v>
      </c>
      <c r="B114" s="274" t="s">
        <v>2044</v>
      </c>
      <c r="C114" s="219"/>
      <c r="D114" s="451">
        <f>SUM(D112:D113)</f>
        <v>9762807.1553173773</v>
      </c>
      <c r="E114" s="282"/>
      <c r="F114" s="1007">
        <f t="shared" ref="F114:W114" si="33">SUM(F112:F113)</f>
        <v>9762807.1553173773</v>
      </c>
      <c r="G114" s="1007">
        <f t="shared" si="33"/>
        <v>0</v>
      </c>
      <c r="H114" s="1007">
        <f t="shared" si="33"/>
        <v>9762807.1553173773</v>
      </c>
      <c r="I114" s="1007">
        <f t="shared" si="33"/>
        <v>10120291.838350967</v>
      </c>
      <c r="J114" s="1007">
        <f t="shared" si="33"/>
        <v>10477776.521384556</v>
      </c>
      <c r="K114" s="1007">
        <f t="shared" si="33"/>
        <v>10835261.204418145</v>
      </c>
      <c r="L114" s="1007">
        <f t="shared" si="33"/>
        <v>11192745.887451734</v>
      </c>
      <c r="M114" s="426">
        <f t="shared" si="27"/>
        <v>13</v>
      </c>
      <c r="N114" s="274" t="s">
        <v>2044</v>
      </c>
      <c r="O114" s="219"/>
      <c r="P114" s="1007">
        <f t="shared" si="33"/>
        <v>11550230.570485324</v>
      </c>
      <c r="Q114" s="1007">
        <f t="shared" si="33"/>
        <v>11907715.253518913</v>
      </c>
      <c r="R114" s="1007">
        <f t="shared" si="33"/>
        <v>12265199.936552502</v>
      </c>
      <c r="S114" s="1007">
        <f t="shared" si="33"/>
        <v>12622684.619586091</v>
      </c>
      <c r="T114" s="1007">
        <f t="shared" si="33"/>
        <v>12980169.302619681</v>
      </c>
      <c r="U114" s="1007">
        <f t="shared" si="33"/>
        <v>13337653.98565327</v>
      </c>
      <c r="V114" s="1007">
        <f t="shared" si="33"/>
        <v>13695138.668686859</v>
      </c>
      <c r="W114" s="1007">
        <f t="shared" si="33"/>
        <v>14052623.351720449</v>
      </c>
      <c r="X114" s="451">
        <f>SUM(X111:X113)</f>
        <v>154800321.29574588</v>
      </c>
      <c r="Y114" s="451">
        <f>SUM(Y111:Y113)</f>
        <v>11907717.022749685</v>
      </c>
    </row>
    <row r="115" spans="1:25" s="218" customFormat="1">
      <c r="A115" s="219">
        <f t="shared" si="25"/>
        <v>14</v>
      </c>
      <c r="C115" s="426"/>
      <c r="D115" s="448"/>
      <c r="E115" s="282"/>
      <c r="F115" s="448"/>
      <c r="G115" s="448"/>
      <c r="H115" s="448"/>
      <c r="I115" s="448"/>
      <c r="J115" s="448"/>
      <c r="K115" s="448"/>
      <c r="L115" s="448"/>
      <c r="M115" s="219">
        <f t="shared" si="27"/>
        <v>14</v>
      </c>
      <c r="O115" s="426"/>
      <c r="P115" s="448"/>
      <c r="Q115" s="448"/>
      <c r="R115" s="448"/>
      <c r="S115" s="448"/>
      <c r="T115" s="448"/>
      <c r="U115" s="448"/>
      <c r="V115" s="448"/>
      <c r="W115" s="448"/>
      <c r="X115" s="448"/>
      <c r="Y115" s="448"/>
    </row>
    <row r="116" spans="1:25" s="218" customFormat="1">
      <c r="A116" s="219">
        <f t="shared" si="25"/>
        <v>15</v>
      </c>
      <c r="B116" s="264" t="s">
        <v>1363</v>
      </c>
      <c r="C116" s="426"/>
      <c r="D116" s="448"/>
      <c r="F116" s="448"/>
      <c r="G116" s="448"/>
      <c r="H116" s="448"/>
      <c r="I116" s="448"/>
      <c r="J116" s="448"/>
      <c r="K116" s="448"/>
      <c r="L116" s="448"/>
      <c r="M116" s="219">
        <f t="shared" si="27"/>
        <v>15</v>
      </c>
      <c r="N116" s="264" t="s">
        <v>1363</v>
      </c>
      <c r="O116" s="426"/>
      <c r="P116" s="448"/>
      <c r="Q116" s="448"/>
      <c r="R116" s="448"/>
      <c r="S116" s="448"/>
      <c r="T116" s="448"/>
      <c r="U116" s="448"/>
      <c r="V116" s="448"/>
      <c r="W116" s="448"/>
      <c r="X116" s="448"/>
      <c r="Y116" s="448"/>
    </row>
    <row r="117" spans="1:25" s="420" customFormat="1">
      <c r="A117" s="426">
        <f t="shared" si="25"/>
        <v>16</v>
      </c>
      <c r="B117" s="446" t="s">
        <v>1959</v>
      </c>
      <c r="C117" s="426" t="s">
        <v>1375</v>
      </c>
      <c r="D117" s="443">
        <v>-43433</v>
      </c>
      <c r="E117" s="1003">
        <v>1</v>
      </c>
      <c r="F117" s="448">
        <f t="shared" ref="F117:F145" si="34">D117*$E$117</f>
        <v>-43433</v>
      </c>
      <c r="G117" s="452">
        <v>0</v>
      </c>
      <c r="H117" s="448">
        <v>-43433</v>
      </c>
      <c r="I117" s="443">
        <v>-43433</v>
      </c>
      <c r="J117" s="443">
        <v>-43433</v>
      </c>
      <c r="K117" s="443">
        <v>-43433</v>
      </c>
      <c r="L117" s="443">
        <v>-43433</v>
      </c>
      <c r="M117" s="426">
        <f t="shared" si="27"/>
        <v>16</v>
      </c>
      <c r="N117" s="446" t="s">
        <v>1959</v>
      </c>
      <c r="O117" s="426" t="s">
        <v>1375</v>
      </c>
      <c r="P117" s="443">
        <v>-43433</v>
      </c>
      <c r="Q117" s="443">
        <v>-43433</v>
      </c>
      <c r="R117" s="443">
        <v>-43433</v>
      </c>
      <c r="S117" s="443">
        <v>-43433</v>
      </c>
      <c r="T117" s="443">
        <v>-43433</v>
      </c>
      <c r="U117" s="443">
        <v>-43433</v>
      </c>
      <c r="V117" s="443">
        <v>-43433</v>
      </c>
      <c r="W117" s="443">
        <v>-43433</v>
      </c>
      <c r="X117" s="448">
        <f t="shared" ref="X117:X145" si="35">SUM(H117:W117)</f>
        <v>-564613</v>
      </c>
      <c r="Y117" s="448">
        <f t="shared" ref="Y117:Y145" si="36">X117/13</f>
        <v>-43431.769230769234</v>
      </c>
    </row>
    <row r="118" spans="1:25" s="420" customFormat="1">
      <c r="A118" s="426">
        <f t="shared" si="25"/>
        <v>17</v>
      </c>
      <c r="B118" s="446" t="s">
        <v>1421</v>
      </c>
      <c r="C118" s="426" t="s">
        <v>1399</v>
      </c>
      <c r="D118" s="443">
        <v>11</v>
      </c>
      <c r="E118" s="449"/>
      <c r="F118" s="448">
        <f t="shared" si="34"/>
        <v>11</v>
      </c>
      <c r="G118" s="452">
        <v>0</v>
      </c>
      <c r="H118" s="448">
        <v>11</v>
      </c>
      <c r="I118" s="443">
        <v>11</v>
      </c>
      <c r="J118" s="443">
        <v>11</v>
      </c>
      <c r="K118" s="443">
        <v>11</v>
      </c>
      <c r="L118" s="443">
        <v>11</v>
      </c>
      <c r="M118" s="426">
        <f t="shared" si="27"/>
        <v>17</v>
      </c>
      <c r="N118" s="446" t="s">
        <v>1421</v>
      </c>
      <c r="O118" s="426" t="s">
        <v>1399</v>
      </c>
      <c r="P118" s="443">
        <v>11</v>
      </c>
      <c r="Q118" s="443">
        <v>11</v>
      </c>
      <c r="R118" s="443">
        <v>11</v>
      </c>
      <c r="S118" s="443">
        <v>11</v>
      </c>
      <c r="T118" s="443">
        <v>11</v>
      </c>
      <c r="U118" s="443">
        <v>11</v>
      </c>
      <c r="V118" s="443">
        <v>11</v>
      </c>
      <c r="W118" s="443">
        <v>11</v>
      </c>
      <c r="X118" s="448">
        <f t="shared" si="35"/>
        <v>160</v>
      </c>
      <c r="Y118" s="448">
        <f t="shared" si="36"/>
        <v>12.307692307692308</v>
      </c>
    </row>
    <row r="119" spans="1:25" s="420" customFormat="1">
      <c r="A119" s="426">
        <f t="shared" si="25"/>
        <v>18</v>
      </c>
      <c r="B119" s="446" t="s">
        <v>1422</v>
      </c>
      <c r="C119" s="426" t="s">
        <v>1399</v>
      </c>
      <c r="D119" s="443">
        <v>3</v>
      </c>
      <c r="E119" s="449"/>
      <c r="F119" s="448">
        <f t="shared" si="34"/>
        <v>3</v>
      </c>
      <c r="G119" s="452">
        <v>0</v>
      </c>
      <c r="H119" s="448">
        <v>3</v>
      </c>
      <c r="I119" s="443">
        <v>3</v>
      </c>
      <c r="J119" s="443">
        <v>3</v>
      </c>
      <c r="K119" s="443">
        <v>3</v>
      </c>
      <c r="L119" s="443">
        <v>3</v>
      </c>
      <c r="M119" s="426">
        <f t="shared" si="27"/>
        <v>18</v>
      </c>
      <c r="N119" s="446" t="s">
        <v>1422</v>
      </c>
      <c r="O119" s="426" t="s">
        <v>1399</v>
      </c>
      <c r="P119" s="443">
        <v>3</v>
      </c>
      <c r="Q119" s="443">
        <v>3</v>
      </c>
      <c r="R119" s="443">
        <v>3</v>
      </c>
      <c r="S119" s="443">
        <v>3</v>
      </c>
      <c r="T119" s="443">
        <v>3</v>
      </c>
      <c r="U119" s="443">
        <v>3</v>
      </c>
      <c r="V119" s="443">
        <v>3</v>
      </c>
      <c r="W119" s="443">
        <v>3</v>
      </c>
      <c r="X119" s="448">
        <f t="shared" si="35"/>
        <v>57</v>
      </c>
      <c r="Y119" s="448">
        <f t="shared" si="36"/>
        <v>4.384615384615385</v>
      </c>
    </row>
    <row r="120" spans="1:25" s="420" customFormat="1">
      <c r="A120" s="426">
        <f t="shared" si="25"/>
        <v>19</v>
      </c>
      <c r="B120" s="446" t="s">
        <v>1423</v>
      </c>
      <c r="C120" s="426" t="s">
        <v>1399</v>
      </c>
      <c r="D120" s="443">
        <v>1836602</v>
      </c>
      <c r="E120" s="449"/>
      <c r="F120" s="448">
        <f t="shared" si="34"/>
        <v>1836602</v>
      </c>
      <c r="G120" s="452">
        <v>0</v>
      </c>
      <c r="H120" s="448">
        <v>1836602</v>
      </c>
      <c r="I120" s="443">
        <v>1836602</v>
      </c>
      <c r="J120" s="443">
        <v>1836602</v>
      </c>
      <c r="K120" s="443">
        <v>1836602</v>
      </c>
      <c r="L120" s="443">
        <v>1836602</v>
      </c>
      <c r="M120" s="426">
        <f t="shared" si="27"/>
        <v>19</v>
      </c>
      <c r="N120" s="446" t="s">
        <v>1423</v>
      </c>
      <c r="O120" s="426" t="s">
        <v>1399</v>
      </c>
      <c r="P120" s="443">
        <v>1836602</v>
      </c>
      <c r="Q120" s="443">
        <v>1836602</v>
      </c>
      <c r="R120" s="443">
        <v>1836602</v>
      </c>
      <c r="S120" s="443">
        <v>1836602</v>
      </c>
      <c r="T120" s="443">
        <v>1836602</v>
      </c>
      <c r="U120" s="443">
        <v>1836602</v>
      </c>
      <c r="V120" s="443">
        <v>1836602</v>
      </c>
      <c r="W120" s="443">
        <v>1836602</v>
      </c>
      <c r="X120" s="448">
        <f t="shared" si="35"/>
        <v>23875845</v>
      </c>
      <c r="Y120" s="448">
        <f t="shared" si="36"/>
        <v>1836603.4615384615</v>
      </c>
    </row>
    <row r="121" spans="1:25" s="420" customFormat="1">
      <c r="A121" s="426">
        <f t="shared" si="25"/>
        <v>20</v>
      </c>
      <c r="B121" s="446" t="s">
        <v>1424</v>
      </c>
      <c r="C121" s="426" t="s">
        <v>1399</v>
      </c>
      <c r="D121" s="443">
        <v>460301</v>
      </c>
      <c r="E121" s="449"/>
      <c r="F121" s="448">
        <f t="shared" si="34"/>
        <v>460301</v>
      </c>
      <c r="G121" s="452">
        <v>0</v>
      </c>
      <c r="H121" s="448">
        <v>460301</v>
      </c>
      <c r="I121" s="443">
        <v>460301</v>
      </c>
      <c r="J121" s="443">
        <v>460301</v>
      </c>
      <c r="K121" s="443">
        <v>460301</v>
      </c>
      <c r="L121" s="443">
        <v>460301</v>
      </c>
      <c r="M121" s="426">
        <f t="shared" si="27"/>
        <v>20</v>
      </c>
      <c r="N121" s="446" t="s">
        <v>1424</v>
      </c>
      <c r="O121" s="426" t="s">
        <v>1399</v>
      </c>
      <c r="P121" s="443">
        <v>460301</v>
      </c>
      <c r="Q121" s="443">
        <v>460301</v>
      </c>
      <c r="R121" s="443">
        <v>460301</v>
      </c>
      <c r="S121" s="443">
        <v>460301</v>
      </c>
      <c r="T121" s="443">
        <v>460301</v>
      </c>
      <c r="U121" s="443">
        <v>460301</v>
      </c>
      <c r="V121" s="443">
        <v>460301</v>
      </c>
      <c r="W121" s="443">
        <v>460301</v>
      </c>
      <c r="X121" s="448">
        <f t="shared" si="35"/>
        <v>5983933</v>
      </c>
      <c r="Y121" s="448">
        <f t="shared" si="36"/>
        <v>460302.53846153844</v>
      </c>
    </row>
    <row r="122" spans="1:25" s="420" customFormat="1">
      <c r="A122" s="426">
        <f t="shared" si="25"/>
        <v>21</v>
      </c>
      <c r="B122" s="446" t="s">
        <v>1960</v>
      </c>
      <c r="C122" s="426" t="s">
        <v>1375</v>
      </c>
      <c r="D122" s="443">
        <v>-33866</v>
      </c>
      <c r="E122" s="449"/>
      <c r="F122" s="448">
        <f t="shared" si="34"/>
        <v>-33866</v>
      </c>
      <c r="G122" s="452">
        <v>0</v>
      </c>
      <c r="H122" s="448">
        <v>-33866</v>
      </c>
      <c r="I122" s="443">
        <v>-33866</v>
      </c>
      <c r="J122" s="443">
        <v>-33866</v>
      </c>
      <c r="K122" s="443">
        <v>-33866</v>
      </c>
      <c r="L122" s="443">
        <v>-33866</v>
      </c>
      <c r="M122" s="426">
        <f t="shared" si="27"/>
        <v>21</v>
      </c>
      <c r="N122" s="446" t="s">
        <v>1960</v>
      </c>
      <c r="O122" s="426" t="s">
        <v>1375</v>
      </c>
      <c r="P122" s="443">
        <v>-33866</v>
      </c>
      <c r="Q122" s="443">
        <v>-33866</v>
      </c>
      <c r="R122" s="443">
        <v>-33866</v>
      </c>
      <c r="S122" s="443">
        <v>-33866</v>
      </c>
      <c r="T122" s="443">
        <v>-33866</v>
      </c>
      <c r="U122" s="443">
        <v>-33866</v>
      </c>
      <c r="V122" s="443">
        <v>-33866</v>
      </c>
      <c r="W122" s="443">
        <v>-33866</v>
      </c>
      <c r="X122" s="448">
        <f t="shared" si="35"/>
        <v>-440237</v>
      </c>
      <c r="Y122" s="448">
        <f t="shared" si="36"/>
        <v>-33864.384615384617</v>
      </c>
    </row>
    <row r="123" spans="1:25" s="420" customFormat="1">
      <c r="A123" s="426">
        <f t="shared" si="25"/>
        <v>22</v>
      </c>
      <c r="B123" s="446" t="s">
        <v>1961</v>
      </c>
      <c r="C123" s="426" t="s">
        <v>1375</v>
      </c>
      <c r="D123" s="443">
        <v>-8488</v>
      </c>
      <c r="E123" s="449"/>
      <c r="F123" s="448">
        <f t="shared" si="34"/>
        <v>-8488</v>
      </c>
      <c r="G123" s="452">
        <v>0</v>
      </c>
      <c r="H123" s="448">
        <v>-8488</v>
      </c>
      <c r="I123" s="443">
        <v>-8488</v>
      </c>
      <c r="J123" s="443">
        <v>-8488</v>
      </c>
      <c r="K123" s="443">
        <v>-8488</v>
      </c>
      <c r="L123" s="443">
        <v>-8488</v>
      </c>
      <c r="M123" s="426">
        <f t="shared" si="27"/>
        <v>22</v>
      </c>
      <c r="N123" s="446" t="s">
        <v>1961</v>
      </c>
      <c r="O123" s="426" t="s">
        <v>1375</v>
      </c>
      <c r="P123" s="443">
        <v>-8488</v>
      </c>
      <c r="Q123" s="443">
        <v>-8488</v>
      </c>
      <c r="R123" s="443">
        <v>-8488</v>
      </c>
      <c r="S123" s="443">
        <v>-8488</v>
      </c>
      <c r="T123" s="443">
        <v>-8488</v>
      </c>
      <c r="U123" s="443">
        <v>-8488</v>
      </c>
      <c r="V123" s="443">
        <v>-8488</v>
      </c>
      <c r="W123" s="443">
        <v>-8488</v>
      </c>
      <c r="X123" s="448">
        <f t="shared" si="35"/>
        <v>-110322</v>
      </c>
      <c r="Y123" s="448">
        <f t="shared" si="36"/>
        <v>-8486.3076923076915</v>
      </c>
    </row>
    <row r="124" spans="1:25" s="420" customFormat="1">
      <c r="A124" s="426">
        <f t="shared" si="25"/>
        <v>23</v>
      </c>
      <c r="B124" s="446" t="s">
        <v>1425</v>
      </c>
      <c r="C124" s="426" t="s">
        <v>1375</v>
      </c>
      <c r="D124" s="443">
        <v>-22784</v>
      </c>
      <c r="E124" s="449"/>
      <c r="F124" s="448">
        <f t="shared" si="34"/>
        <v>-22784</v>
      </c>
      <c r="G124" s="452">
        <v>0</v>
      </c>
      <c r="H124" s="448">
        <v>-22784</v>
      </c>
      <c r="I124" s="443">
        <v>-22784</v>
      </c>
      <c r="J124" s="443">
        <v>-22784</v>
      </c>
      <c r="K124" s="443">
        <v>-22784</v>
      </c>
      <c r="L124" s="443">
        <v>-22784</v>
      </c>
      <c r="M124" s="426">
        <f t="shared" si="27"/>
        <v>23</v>
      </c>
      <c r="N124" s="446" t="s">
        <v>1425</v>
      </c>
      <c r="O124" s="426" t="s">
        <v>1375</v>
      </c>
      <c r="P124" s="443">
        <v>-22784</v>
      </c>
      <c r="Q124" s="443">
        <v>-22784</v>
      </c>
      <c r="R124" s="443">
        <v>-22784</v>
      </c>
      <c r="S124" s="443">
        <v>-22784</v>
      </c>
      <c r="T124" s="443">
        <v>-22784</v>
      </c>
      <c r="U124" s="443">
        <v>-22784</v>
      </c>
      <c r="V124" s="443">
        <v>-22784</v>
      </c>
      <c r="W124" s="443">
        <v>-22784</v>
      </c>
      <c r="X124" s="448">
        <f t="shared" si="35"/>
        <v>-296169</v>
      </c>
      <c r="Y124" s="448">
        <f t="shared" si="36"/>
        <v>-22782.23076923077</v>
      </c>
    </row>
    <row r="125" spans="1:25" s="420" customFormat="1">
      <c r="A125" s="426">
        <f t="shared" si="25"/>
        <v>24</v>
      </c>
      <c r="B125" s="446" t="s">
        <v>1426</v>
      </c>
      <c r="C125" s="426" t="s">
        <v>1375</v>
      </c>
      <c r="D125" s="443">
        <v>-5710</v>
      </c>
      <c r="E125" s="449"/>
      <c r="F125" s="448">
        <f t="shared" si="34"/>
        <v>-5710</v>
      </c>
      <c r="G125" s="452">
        <v>0</v>
      </c>
      <c r="H125" s="448">
        <v>-5710</v>
      </c>
      <c r="I125" s="443">
        <v>-5710</v>
      </c>
      <c r="J125" s="443">
        <v>-5710</v>
      </c>
      <c r="K125" s="443">
        <v>-5710</v>
      </c>
      <c r="L125" s="443">
        <v>-5710</v>
      </c>
      <c r="M125" s="426">
        <f t="shared" si="27"/>
        <v>24</v>
      </c>
      <c r="N125" s="446" t="s">
        <v>1426</v>
      </c>
      <c r="O125" s="426" t="s">
        <v>1375</v>
      </c>
      <c r="P125" s="443">
        <v>-5710</v>
      </c>
      <c r="Q125" s="443">
        <v>-5710</v>
      </c>
      <c r="R125" s="443">
        <v>-5710</v>
      </c>
      <c r="S125" s="443">
        <v>-5710</v>
      </c>
      <c r="T125" s="443">
        <v>-5710</v>
      </c>
      <c r="U125" s="443">
        <v>-5710</v>
      </c>
      <c r="V125" s="443">
        <v>-5710</v>
      </c>
      <c r="W125" s="443">
        <v>-5710</v>
      </c>
      <c r="X125" s="448">
        <f t="shared" si="35"/>
        <v>-74206</v>
      </c>
      <c r="Y125" s="448">
        <f t="shared" si="36"/>
        <v>-5708.1538461538457</v>
      </c>
    </row>
    <row r="126" spans="1:25" s="420" customFormat="1">
      <c r="A126" s="426">
        <f t="shared" si="25"/>
        <v>25</v>
      </c>
      <c r="B126" s="446" t="s">
        <v>1427</v>
      </c>
      <c r="C126" s="426" t="s">
        <v>1375</v>
      </c>
      <c r="D126" s="443">
        <v>53550</v>
      </c>
      <c r="E126" s="449"/>
      <c r="F126" s="448">
        <f t="shared" si="34"/>
        <v>53550</v>
      </c>
      <c r="G126" s="452">
        <v>0</v>
      </c>
      <c r="H126" s="448">
        <v>53550</v>
      </c>
      <c r="I126" s="443">
        <v>53550</v>
      </c>
      <c r="J126" s="443">
        <v>53550</v>
      </c>
      <c r="K126" s="443">
        <v>53550</v>
      </c>
      <c r="L126" s="443">
        <v>53550</v>
      </c>
      <c r="M126" s="426">
        <f t="shared" si="27"/>
        <v>25</v>
      </c>
      <c r="N126" s="446" t="s">
        <v>1427</v>
      </c>
      <c r="O126" s="426" t="s">
        <v>1375</v>
      </c>
      <c r="P126" s="443">
        <v>53550</v>
      </c>
      <c r="Q126" s="443">
        <v>53550</v>
      </c>
      <c r="R126" s="443">
        <v>53550</v>
      </c>
      <c r="S126" s="443">
        <v>53550</v>
      </c>
      <c r="T126" s="443">
        <v>53550</v>
      </c>
      <c r="U126" s="443">
        <v>53550</v>
      </c>
      <c r="V126" s="443">
        <v>53550</v>
      </c>
      <c r="W126" s="443">
        <v>53550</v>
      </c>
      <c r="X126" s="448">
        <f t="shared" si="35"/>
        <v>696175</v>
      </c>
      <c r="Y126" s="448">
        <f t="shared" si="36"/>
        <v>53551.923076923078</v>
      </c>
    </row>
    <row r="127" spans="1:25" s="420" customFormat="1">
      <c r="A127" s="426">
        <f t="shared" si="25"/>
        <v>26</v>
      </c>
      <c r="B127" s="446" t="s">
        <v>1428</v>
      </c>
      <c r="C127" s="426" t="s">
        <v>1375</v>
      </c>
      <c r="D127" s="443">
        <v>13421</v>
      </c>
      <c r="E127" s="449"/>
      <c r="F127" s="448">
        <f t="shared" si="34"/>
        <v>13421</v>
      </c>
      <c r="G127" s="452">
        <v>0</v>
      </c>
      <c r="H127" s="448">
        <v>13421</v>
      </c>
      <c r="I127" s="443">
        <v>13421</v>
      </c>
      <c r="J127" s="443">
        <v>13421</v>
      </c>
      <c r="K127" s="443">
        <v>13421</v>
      </c>
      <c r="L127" s="443">
        <v>13421</v>
      </c>
      <c r="M127" s="426">
        <f t="shared" si="27"/>
        <v>26</v>
      </c>
      <c r="N127" s="446" t="s">
        <v>1428</v>
      </c>
      <c r="O127" s="426" t="s">
        <v>1375</v>
      </c>
      <c r="P127" s="443">
        <v>13421</v>
      </c>
      <c r="Q127" s="443">
        <v>13421</v>
      </c>
      <c r="R127" s="443">
        <v>13421</v>
      </c>
      <c r="S127" s="443">
        <v>13421</v>
      </c>
      <c r="T127" s="443">
        <v>13421</v>
      </c>
      <c r="U127" s="443">
        <v>13421</v>
      </c>
      <c r="V127" s="443">
        <v>13421</v>
      </c>
      <c r="W127" s="443">
        <v>13421</v>
      </c>
      <c r="X127" s="448">
        <f t="shared" si="35"/>
        <v>174499</v>
      </c>
      <c r="Y127" s="448">
        <f t="shared" si="36"/>
        <v>13423</v>
      </c>
    </row>
    <row r="128" spans="1:25" s="420" customFormat="1">
      <c r="A128" s="426">
        <f t="shared" si="25"/>
        <v>27</v>
      </c>
      <c r="B128" s="446" t="s">
        <v>1429</v>
      </c>
      <c r="C128" s="426" t="s">
        <v>1375</v>
      </c>
      <c r="D128" s="443">
        <v>-1266466</v>
      </c>
      <c r="E128" s="449"/>
      <c r="F128" s="448">
        <f t="shared" si="34"/>
        <v>-1266466</v>
      </c>
      <c r="G128" s="452">
        <v>0</v>
      </c>
      <c r="H128" s="448">
        <v>-1266466</v>
      </c>
      <c r="I128" s="443">
        <v>-1266466</v>
      </c>
      <c r="J128" s="443">
        <v>-1266466</v>
      </c>
      <c r="K128" s="443">
        <v>-1266466</v>
      </c>
      <c r="L128" s="443">
        <v>-1266466</v>
      </c>
      <c r="M128" s="426">
        <f t="shared" si="27"/>
        <v>27</v>
      </c>
      <c r="N128" s="446" t="s">
        <v>1429</v>
      </c>
      <c r="O128" s="426" t="s">
        <v>1375</v>
      </c>
      <c r="P128" s="443">
        <v>-1266466</v>
      </c>
      <c r="Q128" s="443">
        <v>-1266466</v>
      </c>
      <c r="R128" s="443">
        <v>-1266466</v>
      </c>
      <c r="S128" s="443">
        <v>-1266466</v>
      </c>
      <c r="T128" s="443">
        <v>-1266466</v>
      </c>
      <c r="U128" s="443">
        <v>-1266466</v>
      </c>
      <c r="V128" s="443">
        <v>-1266466</v>
      </c>
      <c r="W128" s="443">
        <v>-1266466</v>
      </c>
      <c r="X128" s="448">
        <f t="shared" si="35"/>
        <v>-16464031</v>
      </c>
      <c r="Y128" s="448">
        <f t="shared" si="36"/>
        <v>-1266463.923076923</v>
      </c>
    </row>
    <row r="129" spans="1:25" s="420" customFormat="1">
      <c r="A129" s="426">
        <f t="shared" si="25"/>
        <v>28</v>
      </c>
      <c r="B129" s="446" t="s">
        <v>1430</v>
      </c>
      <c r="C129" s="426" t="s">
        <v>1375</v>
      </c>
      <c r="D129" s="443">
        <v>-317410</v>
      </c>
      <c r="E129" s="449"/>
      <c r="F129" s="448">
        <f t="shared" si="34"/>
        <v>-317410</v>
      </c>
      <c r="G129" s="452">
        <v>0</v>
      </c>
      <c r="H129" s="448">
        <v>-317410</v>
      </c>
      <c r="I129" s="443">
        <v>-317410</v>
      </c>
      <c r="J129" s="443">
        <v>-317410</v>
      </c>
      <c r="K129" s="443">
        <v>-317410</v>
      </c>
      <c r="L129" s="443">
        <v>-317410</v>
      </c>
      <c r="M129" s="426">
        <f t="shared" si="27"/>
        <v>28</v>
      </c>
      <c r="N129" s="446" t="s">
        <v>1430</v>
      </c>
      <c r="O129" s="426" t="s">
        <v>1375</v>
      </c>
      <c r="P129" s="443">
        <v>-317410</v>
      </c>
      <c r="Q129" s="443">
        <v>-317410</v>
      </c>
      <c r="R129" s="443">
        <v>-317410</v>
      </c>
      <c r="S129" s="443">
        <v>-317410</v>
      </c>
      <c r="T129" s="443">
        <v>-317410</v>
      </c>
      <c r="U129" s="443">
        <v>-317410</v>
      </c>
      <c r="V129" s="443">
        <v>-317410</v>
      </c>
      <c r="W129" s="443">
        <v>-317410</v>
      </c>
      <c r="X129" s="448">
        <f t="shared" si="35"/>
        <v>-4126302</v>
      </c>
      <c r="Y129" s="448">
        <f t="shared" si="36"/>
        <v>-317407.84615384613</v>
      </c>
    </row>
    <row r="130" spans="1:25" s="420" customFormat="1">
      <c r="A130" s="426">
        <f t="shared" si="25"/>
        <v>29</v>
      </c>
      <c r="B130" s="446" t="s">
        <v>1431</v>
      </c>
      <c r="C130" s="426" t="s">
        <v>1375</v>
      </c>
      <c r="D130" s="443">
        <v>-839219</v>
      </c>
      <c r="E130" s="449"/>
      <c r="F130" s="448">
        <f t="shared" si="34"/>
        <v>-839219</v>
      </c>
      <c r="G130" s="452">
        <v>0</v>
      </c>
      <c r="H130" s="448">
        <v>-839219</v>
      </c>
      <c r="I130" s="443">
        <v>-839219</v>
      </c>
      <c r="J130" s="443">
        <v>-839219</v>
      </c>
      <c r="K130" s="443">
        <v>-839219</v>
      </c>
      <c r="L130" s="443">
        <v>-839219</v>
      </c>
      <c r="M130" s="426">
        <f t="shared" si="27"/>
        <v>29</v>
      </c>
      <c r="N130" s="446" t="s">
        <v>1431</v>
      </c>
      <c r="O130" s="426" t="s">
        <v>1375</v>
      </c>
      <c r="P130" s="443">
        <v>-839219</v>
      </c>
      <c r="Q130" s="443">
        <v>-839219</v>
      </c>
      <c r="R130" s="443">
        <v>-839219</v>
      </c>
      <c r="S130" s="443">
        <v>-839219</v>
      </c>
      <c r="T130" s="443">
        <v>-839219</v>
      </c>
      <c r="U130" s="443">
        <v>-839219</v>
      </c>
      <c r="V130" s="443">
        <v>-839219</v>
      </c>
      <c r="W130" s="443">
        <v>-839219</v>
      </c>
      <c r="X130" s="448">
        <f t="shared" si="35"/>
        <v>-10909818</v>
      </c>
      <c r="Y130" s="448">
        <f t="shared" si="36"/>
        <v>-839216.76923076925</v>
      </c>
    </row>
    <row r="131" spans="1:25" s="420" customFormat="1">
      <c r="A131" s="426">
        <f t="shared" si="25"/>
        <v>30</v>
      </c>
      <c r="B131" s="446" t="s">
        <v>1432</v>
      </c>
      <c r="C131" s="426" t="s">
        <v>1375</v>
      </c>
      <c r="D131" s="443">
        <v>-210330</v>
      </c>
      <c r="E131" s="449"/>
      <c r="F131" s="448">
        <f t="shared" si="34"/>
        <v>-210330</v>
      </c>
      <c r="G131" s="452">
        <v>0</v>
      </c>
      <c r="H131" s="448">
        <v>-210330</v>
      </c>
      <c r="I131" s="443">
        <v>-210330</v>
      </c>
      <c r="J131" s="443">
        <v>-210330</v>
      </c>
      <c r="K131" s="443">
        <v>-210330</v>
      </c>
      <c r="L131" s="443">
        <v>-210330</v>
      </c>
      <c r="M131" s="426">
        <f t="shared" si="27"/>
        <v>30</v>
      </c>
      <c r="N131" s="446" t="s">
        <v>1432</v>
      </c>
      <c r="O131" s="426" t="s">
        <v>1375</v>
      </c>
      <c r="P131" s="443">
        <v>-210330</v>
      </c>
      <c r="Q131" s="443">
        <v>-210330</v>
      </c>
      <c r="R131" s="443">
        <v>-210330</v>
      </c>
      <c r="S131" s="443">
        <v>-210330</v>
      </c>
      <c r="T131" s="443">
        <v>-210330</v>
      </c>
      <c r="U131" s="443">
        <v>-210330</v>
      </c>
      <c r="V131" s="443">
        <v>-210330</v>
      </c>
      <c r="W131" s="443">
        <v>-210330</v>
      </c>
      <c r="X131" s="448">
        <f t="shared" si="35"/>
        <v>-2734260</v>
      </c>
      <c r="Y131" s="448">
        <f t="shared" si="36"/>
        <v>-210327.69230769231</v>
      </c>
    </row>
    <row r="132" spans="1:25" s="420" customFormat="1">
      <c r="A132" s="426">
        <f t="shared" si="25"/>
        <v>31</v>
      </c>
      <c r="B132" s="446" t="s">
        <v>1433</v>
      </c>
      <c r="C132" s="426" t="s">
        <v>1375</v>
      </c>
      <c r="D132" s="443">
        <v>0</v>
      </c>
      <c r="E132" s="449"/>
      <c r="F132" s="448">
        <f t="shared" si="34"/>
        <v>0</v>
      </c>
      <c r="G132" s="452">
        <v>0</v>
      </c>
      <c r="H132" s="448">
        <v>0</v>
      </c>
      <c r="I132" s="443">
        <v>0</v>
      </c>
      <c r="J132" s="443">
        <v>0</v>
      </c>
      <c r="K132" s="443">
        <v>0</v>
      </c>
      <c r="L132" s="443">
        <v>0</v>
      </c>
      <c r="M132" s="426">
        <f t="shared" si="27"/>
        <v>31</v>
      </c>
      <c r="N132" s="446" t="s">
        <v>1433</v>
      </c>
      <c r="O132" s="426" t="s">
        <v>1375</v>
      </c>
      <c r="P132" s="443">
        <v>0</v>
      </c>
      <c r="Q132" s="443">
        <v>0</v>
      </c>
      <c r="R132" s="443">
        <v>0</v>
      </c>
      <c r="S132" s="443">
        <v>0</v>
      </c>
      <c r="T132" s="443">
        <v>0</v>
      </c>
      <c r="U132" s="443">
        <v>0</v>
      </c>
      <c r="V132" s="443">
        <v>0</v>
      </c>
      <c r="W132" s="443">
        <v>0</v>
      </c>
      <c r="X132" s="448">
        <f t="shared" si="35"/>
        <v>31</v>
      </c>
      <c r="Y132" s="448">
        <f t="shared" si="36"/>
        <v>2.3846153846153846</v>
      </c>
    </row>
    <row r="133" spans="1:25" s="420" customFormat="1">
      <c r="A133" s="426">
        <f t="shared" si="25"/>
        <v>32</v>
      </c>
      <c r="B133" s="446" t="s">
        <v>1434</v>
      </c>
      <c r="C133" s="426" t="s">
        <v>1375</v>
      </c>
      <c r="D133" s="443">
        <v>0</v>
      </c>
      <c r="E133" s="449"/>
      <c r="F133" s="448">
        <f t="shared" si="34"/>
        <v>0</v>
      </c>
      <c r="G133" s="452">
        <v>0</v>
      </c>
      <c r="H133" s="448">
        <v>0</v>
      </c>
      <c r="I133" s="443">
        <v>0</v>
      </c>
      <c r="J133" s="443">
        <v>0</v>
      </c>
      <c r="K133" s="443">
        <v>0</v>
      </c>
      <c r="L133" s="443">
        <v>0</v>
      </c>
      <c r="M133" s="426">
        <f t="shared" si="27"/>
        <v>32</v>
      </c>
      <c r="N133" s="446" t="s">
        <v>1434</v>
      </c>
      <c r="O133" s="426" t="s">
        <v>1375</v>
      </c>
      <c r="P133" s="443">
        <v>0</v>
      </c>
      <c r="Q133" s="443">
        <v>0</v>
      </c>
      <c r="R133" s="443">
        <v>0</v>
      </c>
      <c r="S133" s="443">
        <v>0</v>
      </c>
      <c r="T133" s="443">
        <v>0</v>
      </c>
      <c r="U133" s="443">
        <v>0</v>
      </c>
      <c r="V133" s="443">
        <v>0</v>
      </c>
      <c r="W133" s="443">
        <v>0</v>
      </c>
      <c r="X133" s="448">
        <f t="shared" si="35"/>
        <v>32</v>
      </c>
      <c r="Y133" s="448">
        <f t="shared" si="36"/>
        <v>2.4615384615384617</v>
      </c>
    </row>
    <row r="134" spans="1:25" s="420" customFormat="1">
      <c r="A134" s="426">
        <f t="shared" si="25"/>
        <v>33</v>
      </c>
      <c r="B134" s="446" t="s">
        <v>1435</v>
      </c>
      <c r="C134" s="426" t="s">
        <v>1375</v>
      </c>
      <c r="D134" s="443">
        <v>-1582</v>
      </c>
      <c r="E134" s="449"/>
      <c r="F134" s="448">
        <f t="shared" si="34"/>
        <v>-1582</v>
      </c>
      <c r="G134" s="452">
        <v>0</v>
      </c>
      <c r="H134" s="448">
        <v>-1582</v>
      </c>
      <c r="I134" s="443">
        <v>-1582</v>
      </c>
      <c r="J134" s="443">
        <v>-1582</v>
      </c>
      <c r="K134" s="443">
        <v>-1582</v>
      </c>
      <c r="L134" s="443">
        <v>-1582</v>
      </c>
      <c r="M134" s="426">
        <f t="shared" si="27"/>
        <v>33</v>
      </c>
      <c r="N134" s="446" t="s">
        <v>1435</v>
      </c>
      <c r="O134" s="426" t="s">
        <v>1375</v>
      </c>
      <c r="P134" s="443">
        <v>-1582</v>
      </c>
      <c r="Q134" s="443">
        <v>-1582</v>
      </c>
      <c r="R134" s="443">
        <v>-1582</v>
      </c>
      <c r="S134" s="443">
        <v>-1582</v>
      </c>
      <c r="T134" s="443">
        <v>-1582</v>
      </c>
      <c r="U134" s="443">
        <v>-1582</v>
      </c>
      <c r="V134" s="443">
        <v>-1582</v>
      </c>
      <c r="W134" s="443">
        <v>-1582</v>
      </c>
      <c r="X134" s="448">
        <f t="shared" si="35"/>
        <v>-20533</v>
      </c>
      <c r="Y134" s="448">
        <f t="shared" si="36"/>
        <v>-1579.4615384615386</v>
      </c>
    </row>
    <row r="135" spans="1:25" s="420" customFormat="1">
      <c r="A135" s="426">
        <f t="shared" si="25"/>
        <v>34</v>
      </c>
      <c r="B135" s="446" t="s">
        <v>1436</v>
      </c>
      <c r="C135" s="426" t="s">
        <v>1375</v>
      </c>
      <c r="D135" s="443">
        <v>-396</v>
      </c>
      <c r="E135" s="449"/>
      <c r="F135" s="448">
        <f t="shared" si="34"/>
        <v>-396</v>
      </c>
      <c r="G135" s="452">
        <v>0</v>
      </c>
      <c r="H135" s="448">
        <v>-396</v>
      </c>
      <c r="I135" s="443">
        <v>-396</v>
      </c>
      <c r="J135" s="443">
        <v>-396</v>
      </c>
      <c r="K135" s="443">
        <v>-396</v>
      </c>
      <c r="L135" s="443">
        <v>-396</v>
      </c>
      <c r="M135" s="426">
        <f t="shared" si="27"/>
        <v>34</v>
      </c>
      <c r="N135" s="446" t="s">
        <v>1436</v>
      </c>
      <c r="O135" s="426" t="s">
        <v>1375</v>
      </c>
      <c r="P135" s="443">
        <v>-396</v>
      </c>
      <c r="Q135" s="443">
        <v>-396</v>
      </c>
      <c r="R135" s="443">
        <v>-396</v>
      </c>
      <c r="S135" s="443">
        <v>-396</v>
      </c>
      <c r="T135" s="443">
        <v>-396</v>
      </c>
      <c r="U135" s="443">
        <v>-396</v>
      </c>
      <c r="V135" s="443">
        <v>-396</v>
      </c>
      <c r="W135" s="443">
        <v>-396</v>
      </c>
      <c r="X135" s="448">
        <f t="shared" si="35"/>
        <v>-5114</v>
      </c>
      <c r="Y135" s="448">
        <f t="shared" si="36"/>
        <v>-393.38461538461536</v>
      </c>
    </row>
    <row r="136" spans="1:25" s="420" customFormat="1">
      <c r="A136" s="426">
        <f t="shared" si="25"/>
        <v>35</v>
      </c>
      <c r="B136" s="446" t="s">
        <v>1437</v>
      </c>
      <c r="C136" s="426" t="s">
        <v>1375</v>
      </c>
      <c r="D136" s="443">
        <v>-3563</v>
      </c>
      <c r="E136" s="449"/>
      <c r="F136" s="448">
        <f t="shared" si="34"/>
        <v>-3563</v>
      </c>
      <c r="G136" s="452">
        <v>0</v>
      </c>
      <c r="H136" s="448">
        <v>-3563</v>
      </c>
      <c r="I136" s="443">
        <v>-3563</v>
      </c>
      <c r="J136" s="443">
        <v>-3563</v>
      </c>
      <c r="K136" s="443">
        <v>-3563</v>
      </c>
      <c r="L136" s="443">
        <v>-3563</v>
      </c>
      <c r="M136" s="426">
        <f t="shared" si="27"/>
        <v>35</v>
      </c>
      <c r="N136" s="446" t="s">
        <v>1437</v>
      </c>
      <c r="O136" s="426" t="s">
        <v>1375</v>
      </c>
      <c r="P136" s="443">
        <v>-3563</v>
      </c>
      <c r="Q136" s="443">
        <v>-3563</v>
      </c>
      <c r="R136" s="443">
        <v>-3563</v>
      </c>
      <c r="S136" s="443">
        <v>-3563</v>
      </c>
      <c r="T136" s="443">
        <v>-3563</v>
      </c>
      <c r="U136" s="443">
        <v>-3563</v>
      </c>
      <c r="V136" s="443">
        <v>-3563</v>
      </c>
      <c r="W136" s="443">
        <v>-3563</v>
      </c>
      <c r="X136" s="448">
        <f t="shared" si="35"/>
        <v>-46284</v>
      </c>
      <c r="Y136" s="448">
        <f t="shared" si="36"/>
        <v>-3560.3076923076924</v>
      </c>
    </row>
    <row r="137" spans="1:25" s="420" customFormat="1">
      <c r="A137" s="426">
        <f t="shared" si="25"/>
        <v>36</v>
      </c>
      <c r="B137" s="446" t="s">
        <v>1438</v>
      </c>
      <c r="C137" s="426" t="s">
        <v>1375</v>
      </c>
      <c r="D137" s="443">
        <v>-893</v>
      </c>
      <c r="E137" s="449"/>
      <c r="F137" s="448">
        <f t="shared" si="34"/>
        <v>-893</v>
      </c>
      <c r="G137" s="452">
        <v>0</v>
      </c>
      <c r="H137" s="448">
        <v>-893</v>
      </c>
      <c r="I137" s="443">
        <v>-893</v>
      </c>
      <c r="J137" s="443">
        <v>-893</v>
      </c>
      <c r="K137" s="443">
        <v>-893</v>
      </c>
      <c r="L137" s="443">
        <v>-893</v>
      </c>
      <c r="M137" s="426">
        <f t="shared" si="27"/>
        <v>36</v>
      </c>
      <c r="N137" s="446" t="s">
        <v>1438</v>
      </c>
      <c r="O137" s="426" t="s">
        <v>1375</v>
      </c>
      <c r="P137" s="443">
        <v>-893</v>
      </c>
      <c r="Q137" s="443">
        <v>-893</v>
      </c>
      <c r="R137" s="443">
        <v>-893</v>
      </c>
      <c r="S137" s="443">
        <v>-893</v>
      </c>
      <c r="T137" s="443">
        <v>-893</v>
      </c>
      <c r="U137" s="443">
        <v>-893</v>
      </c>
      <c r="V137" s="443">
        <v>-893</v>
      </c>
      <c r="W137" s="443">
        <v>-893</v>
      </c>
      <c r="X137" s="448">
        <f t="shared" si="35"/>
        <v>-11573</v>
      </c>
      <c r="Y137" s="448">
        <f t="shared" si="36"/>
        <v>-890.23076923076928</v>
      </c>
    </row>
    <row r="138" spans="1:25" s="420" customFormat="1">
      <c r="A138" s="426">
        <f t="shared" si="25"/>
        <v>37</v>
      </c>
      <c r="B138" s="446" t="s">
        <v>1439</v>
      </c>
      <c r="C138" s="426" t="s">
        <v>1375</v>
      </c>
      <c r="D138" s="443">
        <v>34894</v>
      </c>
      <c r="E138" s="449"/>
      <c r="F138" s="448">
        <f t="shared" si="34"/>
        <v>34894</v>
      </c>
      <c r="G138" s="452">
        <v>0</v>
      </c>
      <c r="H138" s="448">
        <v>34894</v>
      </c>
      <c r="I138" s="443">
        <v>34894</v>
      </c>
      <c r="J138" s="443">
        <v>34894</v>
      </c>
      <c r="K138" s="443">
        <v>34894</v>
      </c>
      <c r="L138" s="443">
        <v>34894</v>
      </c>
      <c r="M138" s="426">
        <f t="shared" si="27"/>
        <v>37</v>
      </c>
      <c r="N138" s="446" t="s">
        <v>1439</v>
      </c>
      <c r="O138" s="426" t="s">
        <v>1375</v>
      </c>
      <c r="P138" s="443">
        <v>34894</v>
      </c>
      <c r="Q138" s="443">
        <v>34894</v>
      </c>
      <c r="R138" s="443">
        <v>34894</v>
      </c>
      <c r="S138" s="443">
        <v>34894</v>
      </c>
      <c r="T138" s="443">
        <v>34894</v>
      </c>
      <c r="U138" s="443">
        <v>34894</v>
      </c>
      <c r="V138" s="443">
        <v>34894</v>
      </c>
      <c r="W138" s="443">
        <v>34894</v>
      </c>
      <c r="X138" s="448">
        <f t="shared" si="35"/>
        <v>453659</v>
      </c>
      <c r="Y138" s="448">
        <f t="shared" si="36"/>
        <v>34896.846153846156</v>
      </c>
    </row>
    <row r="139" spans="1:25" s="420" customFormat="1">
      <c r="A139" s="426">
        <f t="shared" si="25"/>
        <v>38</v>
      </c>
      <c r="B139" s="446" t="s">
        <v>1440</v>
      </c>
      <c r="C139" s="426" t="s">
        <v>1375</v>
      </c>
      <c r="D139" s="443">
        <v>8745</v>
      </c>
      <c r="E139" s="449"/>
      <c r="F139" s="448">
        <f t="shared" si="34"/>
        <v>8745</v>
      </c>
      <c r="G139" s="452">
        <v>0</v>
      </c>
      <c r="H139" s="448">
        <v>8745</v>
      </c>
      <c r="I139" s="443">
        <v>8745</v>
      </c>
      <c r="J139" s="443">
        <v>8745</v>
      </c>
      <c r="K139" s="443">
        <v>8745</v>
      </c>
      <c r="L139" s="443">
        <v>8745</v>
      </c>
      <c r="M139" s="426">
        <f t="shared" si="27"/>
        <v>38</v>
      </c>
      <c r="N139" s="446" t="s">
        <v>1440</v>
      </c>
      <c r="O139" s="426" t="s">
        <v>1375</v>
      </c>
      <c r="P139" s="443">
        <v>8745</v>
      </c>
      <c r="Q139" s="443">
        <v>8745</v>
      </c>
      <c r="R139" s="443">
        <v>8745</v>
      </c>
      <c r="S139" s="443">
        <v>8745</v>
      </c>
      <c r="T139" s="443">
        <v>8745</v>
      </c>
      <c r="U139" s="443">
        <v>8745</v>
      </c>
      <c r="V139" s="443">
        <v>8745</v>
      </c>
      <c r="W139" s="443">
        <v>8745</v>
      </c>
      <c r="X139" s="448">
        <f t="shared" si="35"/>
        <v>113723</v>
      </c>
      <c r="Y139" s="448">
        <f t="shared" si="36"/>
        <v>8747.9230769230762</v>
      </c>
    </row>
    <row r="140" spans="1:25" s="420" customFormat="1">
      <c r="A140" s="426">
        <f t="shared" si="25"/>
        <v>39</v>
      </c>
      <c r="B140" s="446" t="s">
        <v>1441</v>
      </c>
      <c r="C140" s="426" t="s">
        <v>1375</v>
      </c>
      <c r="D140" s="443">
        <v>-2258</v>
      </c>
      <c r="E140" s="449"/>
      <c r="F140" s="448">
        <f t="shared" si="34"/>
        <v>-2258</v>
      </c>
      <c r="G140" s="452">
        <v>0</v>
      </c>
      <c r="H140" s="448">
        <v>-2258</v>
      </c>
      <c r="I140" s="443">
        <v>-2258</v>
      </c>
      <c r="J140" s="443">
        <v>-2258</v>
      </c>
      <c r="K140" s="443">
        <v>-2258</v>
      </c>
      <c r="L140" s="443">
        <v>-2258</v>
      </c>
      <c r="M140" s="426">
        <f t="shared" si="27"/>
        <v>39</v>
      </c>
      <c r="N140" s="446" t="s">
        <v>1441</v>
      </c>
      <c r="O140" s="426" t="s">
        <v>1375</v>
      </c>
      <c r="P140" s="443">
        <v>-2258</v>
      </c>
      <c r="Q140" s="443">
        <v>-2258</v>
      </c>
      <c r="R140" s="443">
        <v>-2258</v>
      </c>
      <c r="S140" s="443">
        <v>-2258</v>
      </c>
      <c r="T140" s="443">
        <v>-2258</v>
      </c>
      <c r="U140" s="443">
        <v>-2258</v>
      </c>
      <c r="V140" s="443">
        <v>-2258</v>
      </c>
      <c r="W140" s="443">
        <v>-2258</v>
      </c>
      <c r="X140" s="448">
        <f t="shared" si="35"/>
        <v>-29315</v>
      </c>
      <c r="Y140" s="448">
        <f t="shared" si="36"/>
        <v>-2255</v>
      </c>
    </row>
    <row r="141" spans="1:25" s="420" customFormat="1">
      <c r="A141" s="426">
        <f t="shared" si="25"/>
        <v>40</v>
      </c>
      <c r="B141" s="446" t="s">
        <v>1442</v>
      </c>
      <c r="C141" s="426" t="s">
        <v>1375</v>
      </c>
      <c r="D141" s="443">
        <v>-566</v>
      </c>
      <c r="E141" s="449"/>
      <c r="F141" s="448">
        <f t="shared" si="34"/>
        <v>-566</v>
      </c>
      <c r="G141" s="452">
        <v>0</v>
      </c>
      <c r="H141" s="448">
        <v>-566</v>
      </c>
      <c r="I141" s="443">
        <v>-566</v>
      </c>
      <c r="J141" s="443">
        <v>-566</v>
      </c>
      <c r="K141" s="443">
        <v>-566</v>
      </c>
      <c r="L141" s="443">
        <v>-566</v>
      </c>
      <c r="M141" s="426">
        <f t="shared" si="27"/>
        <v>40</v>
      </c>
      <c r="N141" s="446" t="s">
        <v>1442</v>
      </c>
      <c r="O141" s="426" t="s">
        <v>1375</v>
      </c>
      <c r="P141" s="443">
        <v>-566</v>
      </c>
      <c r="Q141" s="443">
        <v>-566</v>
      </c>
      <c r="R141" s="443">
        <v>-566</v>
      </c>
      <c r="S141" s="443">
        <v>-566</v>
      </c>
      <c r="T141" s="443">
        <v>-566</v>
      </c>
      <c r="U141" s="443">
        <v>-566</v>
      </c>
      <c r="V141" s="443">
        <v>-566</v>
      </c>
      <c r="W141" s="443">
        <v>-566</v>
      </c>
      <c r="X141" s="448">
        <f t="shared" si="35"/>
        <v>-7318</v>
      </c>
      <c r="Y141" s="448">
        <f t="shared" si="36"/>
        <v>-562.92307692307691</v>
      </c>
    </row>
    <row r="142" spans="1:25" s="420" customFormat="1">
      <c r="A142" s="426">
        <f t="shared" si="25"/>
        <v>41</v>
      </c>
      <c r="B142" s="446" t="s">
        <v>1443</v>
      </c>
      <c r="C142" s="426" t="s">
        <v>1399</v>
      </c>
      <c r="D142" s="443">
        <v>-66131</v>
      </c>
      <c r="E142" s="449"/>
      <c r="F142" s="443">
        <f t="shared" si="34"/>
        <v>-66131</v>
      </c>
      <c r="G142" s="443">
        <v>0</v>
      </c>
      <c r="H142" s="448">
        <v>-66131</v>
      </c>
      <c r="I142" s="443">
        <v>-66131</v>
      </c>
      <c r="J142" s="443">
        <v>-66131</v>
      </c>
      <c r="K142" s="443">
        <v>-66131</v>
      </c>
      <c r="L142" s="443">
        <v>-66131</v>
      </c>
      <c r="M142" s="426">
        <f t="shared" si="27"/>
        <v>41</v>
      </c>
      <c r="N142" s="446" t="s">
        <v>1443</v>
      </c>
      <c r="O142" s="426" t="s">
        <v>1399</v>
      </c>
      <c r="P142" s="443">
        <v>-66131</v>
      </c>
      <c r="Q142" s="443">
        <v>-66131</v>
      </c>
      <c r="R142" s="443">
        <v>-66131</v>
      </c>
      <c r="S142" s="443">
        <v>-66131</v>
      </c>
      <c r="T142" s="443">
        <v>-66131</v>
      </c>
      <c r="U142" s="443">
        <v>-66131</v>
      </c>
      <c r="V142" s="443">
        <v>-66131</v>
      </c>
      <c r="W142" s="443">
        <v>-66131</v>
      </c>
      <c r="X142" s="443">
        <f t="shared" si="35"/>
        <v>-859662</v>
      </c>
      <c r="Y142" s="443">
        <f t="shared" si="36"/>
        <v>-66127.846153846156</v>
      </c>
    </row>
    <row r="143" spans="1:25" s="420" customFormat="1">
      <c r="A143" s="426">
        <f t="shared" si="25"/>
        <v>42</v>
      </c>
      <c r="B143" s="446" t="s">
        <v>1444</v>
      </c>
      <c r="C143" s="426" t="s">
        <v>1399</v>
      </c>
      <c r="D143" s="443">
        <v>-16574</v>
      </c>
      <c r="E143" s="449"/>
      <c r="F143" s="443">
        <f t="shared" si="34"/>
        <v>-16574</v>
      </c>
      <c r="G143" s="443">
        <v>0</v>
      </c>
      <c r="H143" s="448">
        <v>-16574</v>
      </c>
      <c r="I143" s="443">
        <v>-16574</v>
      </c>
      <c r="J143" s="443">
        <v>-16574</v>
      </c>
      <c r="K143" s="443">
        <v>-16574</v>
      </c>
      <c r="L143" s="443">
        <v>-16574</v>
      </c>
      <c r="M143" s="426">
        <f t="shared" si="27"/>
        <v>42</v>
      </c>
      <c r="N143" s="446" t="s">
        <v>1444</v>
      </c>
      <c r="O143" s="426" t="s">
        <v>1399</v>
      </c>
      <c r="P143" s="443">
        <v>-16574</v>
      </c>
      <c r="Q143" s="443">
        <v>-16574</v>
      </c>
      <c r="R143" s="443">
        <v>-16574</v>
      </c>
      <c r="S143" s="443">
        <v>-16574</v>
      </c>
      <c r="T143" s="443">
        <v>-16574</v>
      </c>
      <c r="U143" s="443">
        <v>-16574</v>
      </c>
      <c r="V143" s="443">
        <v>-16574</v>
      </c>
      <c r="W143" s="443">
        <v>-16574</v>
      </c>
      <c r="X143" s="443">
        <f t="shared" si="35"/>
        <v>-215420</v>
      </c>
      <c r="Y143" s="443">
        <f t="shared" si="36"/>
        <v>-16570.76923076923</v>
      </c>
    </row>
    <row r="144" spans="1:25" s="420" customFormat="1">
      <c r="A144" s="426">
        <f t="shared" si="25"/>
        <v>43</v>
      </c>
      <c r="B144" s="446" t="s">
        <v>1445</v>
      </c>
      <c r="C144" s="426" t="s">
        <v>1375</v>
      </c>
      <c r="D144" s="443">
        <v>31610</v>
      </c>
      <c r="E144" s="449"/>
      <c r="F144" s="448">
        <f t="shared" si="34"/>
        <v>31610</v>
      </c>
      <c r="G144" s="452">
        <v>0</v>
      </c>
      <c r="H144" s="448">
        <v>31610</v>
      </c>
      <c r="I144" s="443">
        <v>31610</v>
      </c>
      <c r="J144" s="443">
        <v>31610</v>
      </c>
      <c r="K144" s="443">
        <v>31610</v>
      </c>
      <c r="L144" s="443">
        <v>31610</v>
      </c>
      <c r="M144" s="426">
        <f t="shared" si="27"/>
        <v>43</v>
      </c>
      <c r="N144" s="446" t="s">
        <v>1445</v>
      </c>
      <c r="O144" s="426" t="s">
        <v>1375</v>
      </c>
      <c r="P144" s="443">
        <v>31610</v>
      </c>
      <c r="Q144" s="443">
        <v>31610</v>
      </c>
      <c r="R144" s="443">
        <v>31610</v>
      </c>
      <c r="S144" s="443">
        <v>31610</v>
      </c>
      <c r="T144" s="443">
        <v>31610</v>
      </c>
      <c r="U144" s="443">
        <v>31610</v>
      </c>
      <c r="V144" s="443">
        <v>31610</v>
      </c>
      <c r="W144" s="443">
        <v>31610</v>
      </c>
      <c r="X144" s="448">
        <f t="shared" si="35"/>
        <v>410973</v>
      </c>
      <c r="Y144" s="448">
        <f t="shared" si="36"/>
        <v>31613.307692307691</v>
      </c>
    </row>
    <row r="145" spans="1:25" s="420" customFormat="1">
      <c r="A145" s="426">
        <f t="shared" si="25"/>
        <v>44</v>
      </c>
      <c r="B145" s="446" t="s">
        <v>1446</v>
      </c>
      <c r="C145" s="426" t="s">
        <v>1375</v>
      </c>
      <c r="D145" s="443">
        <v>7923</v>
      </c>
      <c r="E145" s="449"/>
      <c r="F145" s="448">
        <f t="shared" si="34"/>
        <v>7923</v>
      </c>
      <c r="G145" s="452">
        <v>0</v>
      </c>
      <c r="H145" s="448">
        <v>7923</v>
      </c>
      <c r="I145" s="443">
        <v>7923</v>
      </c>
      <c r="J145" s="443">
        <v>7923</v>
      </c>
      <c r="K145" s="443">
        <v>7923</v>
      </c>
      <c r="L145" s="443">
        <v>7923</v>
      </c>
      <c r="M145" s="426">
        <f t="shared" si="27"/>
        <v>44</v>
      </c>
      <c r="N145" s="446" t="s">
        <v>1446</v>
      </c>
      <c r="O145" s="426" t="s">
        <v>1375</v>
      </c>
      <c r="P145" s="443">
        <v>7923</v>
      </c>
      <c r="Q145" s="443">
        <v>7923</v>
      </c>
      <c r="R145" s="443">
        <v>7923</v>
      </c>
      <c r="S145" s="443">
        <v>7923</v>
      </c>
      <c r="T145" s="443">
        <v>7923</v>
      </c>
      <c r="U145" s="443">
        <v>7923</v>
      </c>
      <c r="V145" s="443">
        <v>7923</v>
      </c>
      <c r="W145" s="443">
        <v>7923</v>
      </c>
      <c r="X145" s="448">
        <f t="shared" si="35"/>
        <v>103043</v>
      </c>
      <c r="Y145" s="448">
        <f t="shared" si="36"/>
        <v>7926.3846153846152</v>
      </c>
    </row>
    <row r="146" spans="1:25" s="218" customFormat="1">
      <c r="A146" s="219">
        <f t="shared" si="25"/>
        <v>45</v>
      </c>
      <c r="B146" s="274" t="s">
        <v>1447</v>
      </c>
      <c r="C146" s="426"/>
      <c r="D146" s="451">
        <f>SUM(D116:D145)</f>
        <v>-392609</v>
      </c>
      <c r="E146" s="282"/>
      <c r="F146" s="451">
        <f t="shared" ref="F146:Y146" si="37">SUM(F116:F145)</f>
        <v>-392609</v>
      </c>
      <c r="G146" s="451">
        <f t="shared" si="37"/>
        <v>0</v>
      </c>
      <c r="H146" s="451">
        <f t="shared" si="37"/>
        <v>-392609</v>
      </c>
      <c r="I146" s="451">
        <f t="shared" si="37"/>
        <v>-392609</v>
      </c>
      <c r="J146" s="451">
        <f t="shared" si="37"/>
        <v>-392609</v>
      </c>
      <c r="K146" s="451">
        <f t="shared" si="37"/>
        <v>-392609</v>
      </c>
      <c r="L146" s="451">
        <f t="shared" si="37"/>
        <v>-392609</v>
      </c>
      <c r="M146" s="219">
        <f t="shared" si="27"/>
        <v>45</v>
      </c>
      <c r="N146" s="274" t="s">
        <v>1447</v>
      </c>
      <c r="O146" s="426"/>
      <c r="P146" s="451">
        <f t="shared" si="37"/>
        <v>-392609</v>
      </c>
      <c r="Q146" s="451">
        <f t="shared" si="37"/>
        <v>-392609</v>
      </c>
      <c r="R146" s="451">
        <f t="shared" si="37"/>
        <v>-392609</v>
      </c>
      <c r="S146" s="451">
        <f t="shared" si="37"/>
        <v>-392609</v>
      </c>
      <c r="T146" s="451">
        <f t="shared" si="37"/>
        <v>-392609</v>
      </c>
      <c r="U146" s="451">
        <f t="shared" si="37"/>
        <v>-392609</v>
      </c>
      <c r="V146" s="451">
        <f t="shared" si="37"/>
        <v>-392609</v>
      </c>
      <c r="W146" s="451">
        <f t="shared" si="37"/>
        <v>-392609</v>
      </c>
      <c r="X146" s="451">
        <f t="shared" si="37"/>
        <v>-5103047</v>
      </c>
      <c r="Y146" s="451">
        <f t="shared" si="37"/>
        <v>-392542.07692307705</v>
      </c>
    </row>
    <row r="147" spans="1:25" s="218" customFormat="1">
      <c r="A147" s="219">
        <f t="shared" si="25"/>
        <v>46</v>
      </c>
      <c r="C147" s="426"/>
      <c r="D147" s="448"/>
      <c r="E147" s="282"/>
      <c r="F147" s="448"/>
      <c r="G147" s="448"/>
      <c r="H147" s="448"/>
      <c r="I147" s="448"/>
      <c r="J147" s="448"/>
      <c r="K147" s="448"/>
      <c r="L147" s="448"/>
      <c r="M147" s="219">
        <f t="shared" si="27"/>
        <v>46</v>
      </c>
      <c r="O147" s="426"/>
      <c r="P147" s="448"/>
      <c r="Q147" s="448"/>
      <c r="R147" s="448"/>
      <c r="S147" s="448"/>
      <c r="T147" s="448"/>
      <c r="U147" s="448"/>
      <c r="V147" s="448"/>
      <c r="W147" s="448"/>
      <c r="X147" s="448"/>
      <c r="Y147" s="448"/>
    </row>
    <row r="148" spans="1:25" s="420" customFormat="1">
      <c r="A148" s="426">
        <f t="shared" si="25"/>
        <v>47</v>
      </c>
      <c r="B148" s="446" t="s">
        <v>1448</v>
      </c>
      <c r="C148" s="426"/>
      <c r="D148" s="451">
        <f>D85+D109+D114+D146</f>
        <v>-72590934.826373726</v>
      </c>
      <c r="E148" s="449"/>
      <c r="F148" s="451">
        <f t="shared" ref="F148:Y148" si="38">F85+F109+F114+F146</f>
        <v>-72590934.826373726</v>
      </c>
      <c r="G148" s="451">
        <f t="shared" si="38"/>
        <v>0</v>
      </c>
      <c r="H148" s="451">
        <f t="shared" si="38"/>
        <v>-72590934.826373726</v>
      </c>
      <c r="I148" s="451">
        <f t="shared" si="38"/>
        <v>-72846526.350431472</v>
      </c>
      <c r="J148" s="451">
        <f t="shared" si="38"/>
        <v>-73102117.874489233</v>
      </c>
      <c r="K148" s="451">
        <f t="shared" si="38"/>
        <v>-73357709.398546964</v>
      </c>
      <c r="L148" s="451">
        <f t="shared" si="38"/>
        <v>-73613300.92260471</v>
      </c>
      <c r="M148" s="426">
        <f t="shared" si="27"/>
        <v>47</v>
      </c>
      <c r="N148" s="446" t="s">
        <v>1448</v>
      </c>
      <c r="O148" s="426"/>
      <c r="P148" s="451">
        <f t="shared" si="38"/>
        <v>-73868892.446662456</v>
      </c>
      <c r="Q148" s="451">
        <f t="shared" si="38"/>
        <v>-74124483.970720202</v>
      </c>
      <c r="R148" s="451">
        <f t="shared" si="38"/>
        <v>-74380075.494777948</v>
      </c>
      <c r="S148" s="451">
        <f t="shared" si="38"/>
        <v>-74635667.018835679</v>
      </c>
      <c r="T148" s="451">
        <f t="shared" si="38"/>
        <v>-74891258.54289344</v>
      </c>
      <c r="U148" s="451">
        <f t="shared" si="38"/>
        <v>-75146850.066951185</v>
      </c>
      <c r="V148" s="451">
        <f t="shared" si="38"/>
        <v>-75402441.591008931</v>
      </c>
      <c r="W148" s="451">
        <f t="shared" si="38"/>
        <v>-75658033.115066618</v>
      </c>
      <c r="X148" s="451">
        <f t="shared" si="38"/>
        <v>-963615391.61936259</v>
      </c>
      <c r="Y148" s="451">
        <f t="shared" si="38"/>
        <v>-74124260.8937971</v>
      </c>
    </row>
    <row r="149" spans="1:25" s="218" customFormat="1">
      <c r="A149" s="219"/>
      <c r="B149" s="274"/>
      <c r="C149" s="426"/>
      <c r="D149" s="445"/>
      <c r="F149" s="443"/>
      <c r="G149" s="443"/>
      <c r="H149" s="443"/>
      <c r="I149" s="443"/>
      <c r="J149" s="443"/>
      <c r="K149" s="443"/>
      <c r="L149" s="443"/>
      <c r="M149" s="219"/>
      <c r="N149" s="274"/>
      <c r="O149" s="426"/>
      <c r="P149" s="443"/>
      <c r="Q149" s="443"/>
      <c r="R149" s="443"/>
      <c r="S149" s="443"/>
      <c r="T149" s="443"/>
      <c r="U149" s="443"/>
      <c r="V149" s="443"/>
      <c r="W149" s="443"/>
      <c r="X149" s="443"/>
      <c r="Y149" s="443"/>
    </row>
    <row r="150" spans="1:25">
      <c r="A150" s="1306" t="str">
        <f>'B-6.A ADIT &amp; EDIT (Base)'!$A$1</f>
        <v>COLUMBIA GAS OF KENTUCKY, INC.</v>
      </c>
      <c r="B150" s="1306"/>
      <c r="C150" s="1306"/>
      <c r="D150" s="1306"/>
      <c r="E150" s="1306"/>
      <c r="F150" s="1306"/>
      <c r="G150" s="1306"/>
      <c r="H150" s="1306"/>
      <c r="I150" s="1306"/>
      <c r="J150" s="1306"/>
      <c r="K150" s="1306"/>
      <c r="L150" s="1306"/>
      <c r="M150" s="1306" t="str">
        <f>A150</f>
        <v>COLUMBIA GAS OF KENTUCKY, INC.</v>
      </c>
      <c r="N150" s="1306"/>
      <c r="O150" s="1306"/>
      <c r="P150" s="1306"/>
      <c r="Q150" s="1306"/>
      <c r="R150" s="1306"/>
      <c r="S150" s="1306"/>
      <c r="T150" s="1306"/>
      <c r="U150" s="1306"/>
      <c r="V150" s="1306"/>
      <c r="W150" s="1306"/>
      <c r="X150" s="1306"/>
      <c r="Y150" s="1306"/>
    </row>
    <row r="151" spans="1:25">
      <c r="A151" s="1306" t="str">
        <f>'B-6.A ADIT &amp; EDIT (Base)'!$A$2</f>
        <v>CASE NO. 2024 - 00092</v>
      </c>
      <c r="B151" s="1306"/>
      <c r="C151" s="1306"/>
      <c r="D151" s="1306"/>
      <c r="E151" s="1306"/>
      <c r="F151" s="1306"/>
      <c r="G151" s="1306"/>
      <c r="H151" s="1306"/>
      <c r="I151" s="1306"/>
      <c r="J151" s="1306"/>
      <c r="K151" s="1306"/>
      <c r="L151" s="1306"/>
      <c r="M151" s="1306" t="str">
        <f t="shared" ref="M151:M153" si="39">A151</f>
        <v>CASE NO. 2024 - 00092</v>
      </c>
      <c r="N151" s="1306"/>
      <c r="O151" s="1306"/>
      <c r="P151" s="1306"/>
      <c r="Q151" s="1306"/>
      <c r="R151" s="1306"/>
      <c r="S151" s="1306"/>
      <c r="T151" s="1306"/>
      <c r="U151" s="1306"/>
      <c r="V151" s="1306"/>
      <c r="W151" s="1306"/>
      <c r="X151" s="1306"/>
      <c r="Y151" s="1306"/>
    </row>
    <row r="152" spans="1:25">
      <c r="A152" s="1306" t="s">
        <v>556</v>
      </c>
      <c r="B152" s="1306"/>
      <c r="C152" s="1306"/>
      <c r="D152" s="1306"/>
      <c r="E152" s="1306"/>
      <c r="F152" s="1306"/>
      <c r="G152" s="1306"/>
      <c r="H152" s="1306"/>
      <c r="I152" s="1306"/>
      <c r="J152" s="1306"/>
      <c r="K152" s="1306"/>
      <c r="L152" s="1306"/>
      <c r="M152" s="1306" t="str">
        <f t="shared" si="39"/>
        <v>DEFERRED CREDITS AND ACCUMULATED DEFERRED INCOME TAXES</v>
      </c>
      <c r="N152" s="1306"/>
      <c r="O152" s="1306"/>
      <c r="P152" s="1306"/>
      <c r="Q152" s="1306"/>
      <c r="R152" s="1306"/>
      <c r="S152" s="1306"/>
      <c r="T152" s="1306"/>
      <c r="U152" s="1306"/>
      <c r="V152" s="1306"/>
      <c r="W152" s="1306"/>
      <c r="X152" s="1306"/>
      <c r="Y152" s="1306"/>
    </row>
    <row r="153" spans="1:25">
      <c r="A153" s="1306" t="str">
        <f>'General Headers Index'!$B$17</f>
        <v>AS OF DECEMBER 31, 2025</v>
      </c>
      <c r="B153" s="1306"/>
      <c r="C153" s="1306"/>
      <c r="D153" s="1306"/>
      <c r="E153" s="1306"/>
      <c r="F153" s="1306"/>
      <c r="G153" s="1306"/>
      <c r="H153" s="1306"/>
      <c r="I153" s="1306"/>
      <c r="J153" s="1306"/>
      <c r="K153" s="1306"/>
      <c r="L153" s="1306"/>
      <c r="M153" s="1306" t="str">
        <f t="shared" si="39"/>
        <v>AS OF DECEMBER 31, 2025</v>
      </c>
      <c r="N153" s="1306"/>
      <c r="O153" s="1306"/>
      <c r="P153" s="1306"/>
      <c r="Q153" s="1306"/>
      <c r="R153" s="1306"/>
      <c r="S153" s="1306"/>
      <c r="T153" s="1306"/>
      <c r="U153" s="1306"/>
      <c r="V153" s="1306"/>
      <c r="W153" s="1306"/>
      <c r="X153" s="1306"/>
      <c r="Y153" s="1306"/>
    </row>
    <row r="154" spans="1:25">
      <c r="B154" s="217"/>
      <c r="C154" s="217"/>
      <c r="D154" s="217"/>
      <c r="E154" s="217"/>
      <c r="F154" s="217"/>
      <c r="G154" s="217"/>
      <c r="H154" s="217"/>
      <c r="I154" s="217"/>
      <c r="J154" s="217"/>
      <c r="K154" s="217"/>
      <c r="L154" s="217"/>
      <c r="N154" s="217"/>
      <c r="O154" s="217"/>
      <c r="P154" s="217"/>
      <c r="Q154" s="217"/>
      <c r="R154" s="217"/>
      <c r="S154" s="217"/>
      <c r="T154" s="217"/>
      <c r="U154" s="217"/>
      <c r="V154" s="217"/>
      <c r="W154" s="217"/>
      <c r="X154" s="217"/>
      <c r="Y154" s="217"/>
    </row>
    <row r="155" spans="1:25">
      <c r="A155" s="229" t="s">
        <v>2788</v>
      </c>
      <c r="L155" s="326" t="s">
        <v>2952</v>
      </c>
      <c r="M155" s="229" t="s">
        <v>2788</v>
      </c>
      <c r="Q155" s="229"/>
      <c r="Y155" s="326" t="s">
        <v>2952</v>
      </c>
    </row>
    <row r="156" spans="1:25">
      <c r="A156" s="229" t="s">
        <v>572</v>
      </c>
      <c r="B156" s="229"/>
      <c r="L156" s="326" t="s">
        <v>2948</v>
      </c>
      <c r="M156" s="229" t="s">
        <v>572</v>
      </c>
      <c r="N156" s="229"/>
      <c r="Q156" s="229"/>
      <c r="Y156" s="326" t="s">
        <v>2949</v>
      </c>
    </row>
    <row r="157" spans="1:25">
      <c r="A157" s="229" t="s">
        <v>58</v>
      </c>
      <c r="L157" s="326" t="str">
        <f>$L$8</f>
        <v>WITNESS: HARDING</v>
      </c>
      <c r="M157" s="229" t="s">
        <v>58</v>
      </c>
      <c r="Q157" s="229"/>
      <c r="Y157" s="271" t="str">
        <f>$Y$8</f>
        <v>WITNESS: HARDING</v>
      </c>
    </row>
    <row r="158" spans="1:25">
      <c r="A158" s="229"/>
      <c r="M158" s="229"/>
      <c r="P158" s="326"/>
      <c r="Q158" s="229"/>
      <c r="Y158" s="271"/>
    </row>
    <row r="159" spans="1:25" s="217" customFormat="1">
      <c r="A159" s="439"/>
      <c r="B159" s="439"/>
      <c r="C159" s="424"/>
      <c r="D159" s="272" t="s">
        <v>1962</v>
      </c>
      <c r="E159" s="272"/>
      <c r="F159" s="272"/>
      <c r="G159" s="272"/>
      <c r="H159" s="272" t="s">
        <v>1962</v>
      </c>
      <c r="I159" s="272" t="s">
        <v>1963</v>
      </c>
      <c r="J159" s="272" t="s">
        <v>1964</v>
      </c>
      <c r="K159" s="272" t="s">
        <v>1965</v>
      </c>
      <c r="L159" s="272" t="s">
        <v>1966</v>
      </c>
      <c r="M159" s="439"/>
      <c r="N159" s="439"/>
      <c r="O159" s="424"/>
      <c r="P159" s="272" t="s">
        <v>1967</v>
      </c>
      <c r="Q159" s="272" t="s">
        <v>1968</v>
      </c>
      <c r="R159" s="272" t="s">
        <v>1969</v>
      </c>
      <c r="S159" s="272" t="s">
        <v>1970</v>
      </c>
      <c r="T159" s="272" t="s">
        <v>1971</v>
      </c>
      <c r="U159" s="272" t="s">
        <v>1972</v>
      </c>
      <c r="V159" s="272" t="s">
        <v>1973</v>
      </c>
      <c r="W159" s="272" t="s">
        <v>1974</v>
      </c>
      <c r="X159" s="439" t="s">
        <v>349</v>
      </c>
      <c r="Y159" s="440" t="s">
        <v>352</v>
      </c>
    </row>
    <row r="160" spans="1:25">
      <c r="A160" s="217" t="s">
        <v>313</v>
      </c>
      <c r="D160" s="217" t="s">
        <v>538</v>
      </c>
      <c r="E160" s="217" t="s">
        <v>78</v>
      </c>
      <c r="F160" s="217" t="s">
        <v>350</v>
      </c>
      <c r="G160" s="217"/>
      <c r="H160" s="217" t="s">
        <v>1354</v>
      </c>
      <c r="I160" s="217" t="s">
        <v>1354</v>
      </c>
      <c r="J160" s="217" t="s">
        <v>1354</v>
      </c>
      <c r="K160" s="217" t="s">
        <v>1354</v>
      </c>
      <c r="L160" s="217" t="s">
        <v>1354</v>
      </c>
      <c r="M160" s="217" t="s">
        <v>313</v>
      </c>
      <c r="P160" s="217" t="s">
        <v>1354</v>
      </c>
      <c r="Q160" s="217" t="s">
        <v>1354</v>
      </c>
      <c r="R160" s="217" t="s">
        <v>1354</v>
      </c>
      <c r="S160" s="217" t="s">
        <v>1354</v>
      </c>
      <c r="T160" s="217" t="s">
        <v>1354</v>
      </c>
      <c r="U160" s="217" t="s">
        <v>1354</v>
      </c>
      <c r="V160" s="217" t="s">
        <v>1354</v>
      </c>
      <c r="W160" s="217" t="s">
        <v>1354</v>
      </c>
      <c r="X160" s="217" t="s">
        <v>1354</v>
      </c>
      <c r="Y160" s="217" t="s">
        <v>312</v>
      </c>
    </row>
    <row r="161" spans="1:25">
      <c r="A161" s="846" t="s">
        <v>316</v>
      </c>
      <c r="B161" s="999" t="s">
        <v>451</v>
      </c>
      <c r="C161" s="847" t="s">
        <v>1355</v>
      </c>
      <c r="D161" s="846" t="s">
        <v>353</v>
      </c>
      <c r="E161" s="846" t="s">
        <v>529</v>
      </c>
      <c r="F161" s="846" t="s">
        <v>444</v>
      </c>
      <c r="G161" s="846" t="s">
        <v>433</v>
      </c>
      <c r="H161" s="846" t="s">
        <v>444</v>
      </c>
      <c r="I161" s="846" t="s">
        <v>444</v>
      </c>
      <c r="J161" s="846" t="s">
        <v>444</v>
      </c>
      <c r="K161" s="846" t="s">
        <v>444</v>
      </c>
      <c r="L161" s="846" t="s">
        <v>444</v>
      </c>
      <c r="M161" s="846" t="s">
        <v>316</v>
      </c>
      <c r="N161" s="999" t="s">
        <v>451</v>
      </c>
      <c r="O161" s="847" t="s">
        <v>1355</v>
      </c>
      <c r="P161" s="846" t="s">
        <v>444</v>
      </c>
      <c r="Q161" s="846" t="s">
        <v>444</v>
      </c>
      <c r="R161" s="846" t="s">
        <v>444</v>
      </c>
      <c r="S161" s="846" t="s">
        <v>444</v>
      </c>
      <c r="T161" s="846" t="s">
        <v>444</v>
      </c>
      <c r="U161" s="846" t="s">
        <v>444</v>
      </c>
      <c r="V161" s="846" t="s">
        <v>444</v>
      </c>
      <c r="W161" s="846" t="s">
        <v>444</v>
      </c>
      <c r="X161" s="846" t="s">
        <v>444</v>
      </c>
      <c r="Y161" s="846" t="s">
        <v>441</v>
      </c>
    </row>
    <row r="162" spans="1:25">
      <c r="A162" s="217"/>
      <c r="D162" s="300" t="s">
        <v>532</v>
      </c>
      <c r="E162" s="300" t="s">
        <v>541</v>
      </c>
      <c r="F162" s="300" t="s">
        <v>542</v>
      </c>
      <c r="G162" s="300" t="s">
        <v>668</v>
      </c>
      <c r="H162" s="300" t="s">
        <v>669</v>
      </c>
      <c r="I162" s="300" t="s">
        <v>670</v>
      </c>
      <c r="J162" s="300" t="s">
        <v>984</v>
      </c>
      <c r="K162" s="300" t="s">
        <v>985</v>
      </c>
      <c r="L162" s="300" t="s">
        <v>986</v>
      </c>
      <c r="M162" s="217"/>
      <c r="P162" s="300" t="s">
        <v>987</v>
      </c>
      <c r="Q162" s="300" t="s">
        <v>988</v>
      </c>
      <c r="R162" s="300" t="s">
        <v>989</v>
      </c>
      <c r="S162" s="300" t="s">
        <v>990</v>
      </c>
      <c r="T162" s="300" t="s">
        <v>991</v>
      </c>
      <c r="U162" s="300" t="s">
        <v>992</v>
      </c>
      <c r="V162" s="300" t="s">
        <v>993</v>
      </c>
      <c r="W162" s="300" t="s">
        <v>1356</v>
      </c>
      <c r="X162" s="300" t="s">
        <v>1357</v>
      </c>
      <c r="Y162" s="300" t="s">
        <v>1358</v>
      </c>
    </row>
    <row r="163" spans="1:25">
      <c r="A163" s="217"/>
      <c r="D163" s="300" t="s">
        <v>320</v>
      </c>
      <c r="E163" s="300"/>
      <c r="F163" s="300" t="s">
        <v>320</v>
      </c>
      <c r="G163" s="300" t="s">
        <v>320</v>
      </c>
      <c r="H163" s="300" t="s">
        <v>320</v>
      </c>
      <c r="I163" s="300" t="s">
        <v>320</v>
      </c>
      <c r="J163" s="300" t="s">
        <v>320</v>
      </c>
      <c r="K163" s="300" t="s">
        <v>320</v>
      </c>
      <c r="L163" s="300" t="s">
        <v>320</v>
      </c>
      <c r="M163" s="217"/>
      <c r="P163" s="300" t="s">
        <v>320</v>
      </c>
      <c r="Q163" s="300" t="s">
        <v>320</v>
      </c>
      <c r="R163" s="300" t="s">
        <v>320</v>
      </c>
      <c r="S163" s="300" t="s">
        <v>320</v>
      </c>
      <c r="T163" s="300" t="s">
        <v>320</v>
      </c>
      <c r="U163" s="300" t="s">
        <v>320</v>
      </c>
      <c r="V163" s="300" t="s">
        <v>320</v>
      </c>
      <c r="W163" s="300" t="s">
        <v>320</v>
      </c>
      <c r="X163" s="300" t="s">
        <v>320</v>
      </c>
      <c r="Y163" s="300" t="s">
        <v>320</v>
      </c>
    </row>
    <row r="164" spans="1:25">
      <c r="A164" s="217"/>
      <c r="D164" s="300"/>
      <c r="E164" s="300"/>
      <c r="F164" s="300"/>
      <c r="G164" s="300"/>
      <c r="H164" s="300"/>
      <c r="I164" s="300"/>
      <c r="J164" s="300"/>
      <c r="K164" s="300"/>
      <c r="L164" s="300"/>
      <c r="M164" s="217"/>
      <c r="P164" s="300"/>
      <c r="Q164" s="300"/>
      <c r="R164" s="300"/>
      <c r="S164" s="300"/>
      <c r="T164" s="300"/>
      <c r="U164" s="300"/>
      <c r="V164" s="300"/>
      <c r="W164" s="300"/>
      <c r="X164" s="300"/>
      <c r="Y164" s="300"/>
    </row>
    <row r="165" spans="1:25" s="420" customFormat="1">
      <c r="A165" s="426">
        <f>A149+1</f>
        <v>1</v>
      </c>
      <c r="B165" s="454" t="s">
        <v>1449</v>
      </c>
      <c r="C165" s="426"/>
      <c r="D165" s="445"/>
      <c r="F165" s="448"/>
      <c r="G165" s="448"/>
      <c r="H165" s="448"/>
      <c r="I165" s="443"/>
      <c r="J165" s="443"/>
      <c r="K165" s="443"/>
      <c r="L165" s="443"/>
      <c r="M165" s="426">
        <f>M149+1</f>
        <v>1</v>
      </c>
      <c r="N165" s="454" t="s">
        <v>1449</v>
      </c>
      <c r="O165" s="426"/>
      <c r="P165" s="443"/>
      <c r="Q165" s="443"/>
      <c r="R165" s="443"/>
      <c r="S165" s="443"/>
      <c r="T165" s="443"/>
      <c r="U165" s="443"/>
      <c r="V165" s="443"/>
      <c r="W165" s="443"/>
      <c r="X165" s="443"/>
      <c r="Y165" s="443"/>
    </row>
    <row r="166" spans="1:25" s="420" customFormat="1">
      <c r="A166" s="426">
        <f t="shared" si="25"/>
        <v>2</v>
      </c>
      <c r="B166" s="446" t="s">
        <v>1450</v>
      </c>
      <c r="C166" s="426" t="s">
        <v>1373</v>
      </c>
      <c r="D166" s="443">
        <v>133839.90000000008</v>
      </c>
      <c r="E166" s="447">
        <v>1</v>
      </c>
      <c r="F166" s="448">
        <f>D166*$E$103</f>
        <v>133839.90000000008</v>
      </c>
      <c r="G166" s="452">
        <v>0</v>
      </c>
      <c r="H166" s="448">
        <f>SUM(F166:G166)</f>
        <v>133839.90000000008</v>
      </c>
      <c r="I166" s="443">
        <v>130122.12500000009</v>
      </c>
      <c r="J166" s="443">
        <v>126404.35000000009</v>
      </c>
      <c r="K166" s="443">
        <v>122686.5750000001</v>
      </c>
      <c r="L166" s="443">
        <v>118968.8000000001</v>
      </c>
      <c r="M166" s="426">
        <f t="shared" si="27"/>
        <v>2</v>
      </c>
      <c r="N166" s="446" t="s">
        <v>1450</v>
      </c>
      <c r="O166" s="426" t="s">
        <v>1373</v>
      </c>
      <c r="P166" s="443">
        <v>115251.02500000011</v>
      </c>
      <c r="Q166" s="443">
        <v>111533.25000000012</v>
      </c>
      <c r="R166" s="443">
        <v>107815.47500000012</v>
      </c>
      <c r="S166" s="443">
        <v>104097.70000000013</v>
      </c>
      <c r="T166" s="443">
        <v>100379.92500000013</v>
      </c>
      <c r="U166" s="443">
        <v>96662.15000000014</v>
      </c>
      <c r="V166" s="443">
        <v>92944.375000000146</v>
      </c>
      <c r="W166" s="443">
        <v>89226.600000000079</v>
      </c>
      <c r="X166" s="448">
        <f>SUM(H166:W166)</f>
        <v>1449934.2500000014</v>
      </c>
      <c r="Y166" s="448">
        <f>X166/13</f>
        <v>111533.40384615396</v>
      </c>
    </row>
    <row r="167" spans="1:25" s="420" customFormat="1">
      <c r="A167" s="426">
        <f t="shared" si="25"/>
        <v>3</v>
      </c>
      <c r="B167" s="446" t="s">
        <v>1451</v>
      </c>
      <c r="C167" s="426" t="s">
        <v>1373</v>
      </c>
      <c r="D167" s="443">
        <v>318467.99999999983</v>
      </c>
      <c r="E167" s="449"/>
      <c r="F167" s="448">
        <f>D167*$E$103</f>
        <v>318467.99999999983</v>
      </c>
      <c r="G167" s="452">
        <v>0</v>
      </c>
      <c r="H167" s="448">
        <f>SUM(F167:G167)</f>
        <v>318467.99999999983</v>
      </c>
      <c r="I167" s="443">
        <v>309621.66666666651</v>
      </c>
      <c r="J167" s="443">
        <v>300775.3333333332</v>
      </c>
      <c r="K167" s="443">
        <v>291928.99999999988</v>
      </c>
      <c r="L167" s="443">
        <v>283082.66666666657</v>
      </c>
      <c r="M167" s="426">
        <f t="shared" si="27"/>
        <v>3</v>
      </c>
      <c r="N167" s="446" t="s">
        <v>1451</v>
      </c>
      <c r="O167" s="426" t="s">
        <v>1373</v>
      </c>
      <c r="P167" s="443">
        <v>274236.33333333326</v>
      </c>
      <c r="Q167" s="443">
        <v>265389.99999999994</v>
      </c>
      <c r="R167" s="443">
        <v>256543.6666666666</v>
      </c>
      <c r="S167" s="443">
        <v>247697.33333333326</v>
      </c>
      <c r="T167" s="443">
        <v>238850.99999999991</v>
      </c>
      <c r="U167" s="443">
        <v>230004.66666666657</v>
      </c>
      <c r="V167" s="443">
        <v>221158.33333333323</v>
      </c>
      <c r="W167" s="443">
        <v>212311.99999999983</v>
      </c>
      <c r="X167" s="448">
        <f>SUM(H167:W167)</f>
        <v>3450072.9999999986</v>
      </c>
      <c r="Y167" s="448">
        <f>X167/13</f>
        <v>265390.23076923063</v>
      </c>
    </row>
    <row r="168" spans="1:25" s="420" customFormat="1">
      <c r="A168" s="426">
        <f t="shared" si="25"/>
        <v>4</v>
      </c>
      <c r="B168" s="446" t="s">
        <v>1372</v>
      </c>
      <c r="C168" s="426" t="s">
        <v>1373</v>
      </c>
      <c r="D168" s="443">
        <v>841848.61538461526</v>
      </c>
      <c r="E168" s="449"/>
      <c r="F168" s="448">
        <f>D168*$E$103</f>
        <v>841848.61538461526</v>
      </c>
      <c r="G168" s="452">
        <v>0</v>
      </c>
      <c r="H168" s="448">
        <f>SUM(F168:G168)</f>
        <v>841848.61538461526</v>
      </c>
      <c r="I168" s="443">
        <v>839656.30128205114</v>
      </c>
      <c r="J168" s="443">
        <v>837463.98717948701</v>
      </c>
      <c r="K168" s="443">
        <v>835271.67307692289</v>
      </c>
      <c r="L168" s="443">
        <v>833079.35897435877</v>
      </c>
      <c r="M168" s="426">
        <f t="shared" si="27"/>
        <v>4</v>
      </c>
      <c r="N168" s="446" t="s">
        <v>1372</v>
      </c>
      <c r="O168" s="426" t="s">
        <v>1373</v>
      </c>
      <c r="P168" s="443">
        <v>830887.04487179464</v>
      </c>
      <c r="Q168" s="443">
        <v>828694.73076923052</v>
      </c>
      <c r="R168" s="443">
        <v>826502.4166666664</v>
      </c>
      <c r="S168" s="443">
        <v>824310.10256410227</v>
      </c>
      <c r="T168" s="443">
        <v>822117.78846153815</v>
      </c>
      <c r="U168" s="443">
        <v>819925.47435897402</v>
      </c>
      <c r="V168" s="443">
        <v>817733.1602564099</v>
      </c>
      <c r="W168" s="443">
        <v>815540.84615384601</v>
      </c>
      <c r="X168" s="448">
        <f>SUM(H168:W168)</f>
        <v>10773035.499999996</v>
      </c>
      <c r="Y168" s="448">
        <f>X168/13</f>
        <v>828695.03846153815</v>
      </c>
    </row>
    <row r="169" spans="1:25" s="420" customFormat="1">
      <c r="A169" s="426">
        <f t="shared" si="25"/>
        <v>5</v>
      </c>
      <c r="B169" s="446" t="s">
        <v>1452</v>
      </c>
      <c r="C169" s="426" t="s">
        <v>1373</v>
      </c>
      <c r="D169" s="443">
        <v>-26260185.842359997</v>
      </c>
      <c r="F169" s="448">
        <f>D169*$E$103</f>
        <v>-26260185.842359997</v>
      </c>
      <c r="G169" s="452">
        <v>0</v>
      </c>
      <c r="H169" s="448">
        <f>SUM(F169:G169)</f>
        <v>-26260185.842359997</v>
      </c>
      <c r="I169" s="443">
        <v>-26207001.779541664</v>
      </c>
      <c r="J169" s="443">
        <v>-26153817.71672333</v>
      </c>
      <c r="K169" s="443">
        <v>-26100633.653904997</v>
      </c>
      <c r="L169" s="443">
        <v>-26047449.591086663</v>
      </c>
      <c r="M169" s="426">
        <f t="shared" si="27"/>
        <v>5</v>
      </c>
      <c r="N169" s="446" t="s">
        <v>1452</v>
      </c>
      <c r="O169" s="426" t="s">
        <v>1373</v>
      </c>
      <c r="P169" s="443">
        <v>-25994265.52826833</v>
      </c>
      <c r="Q169" s="443">
        <v>-25941081.465449996</v>
      </c>
      <c r="R169" s="443">
        <v>-25887897.402631663</v>
      </c>
      <c r="S169" s="443">
        <v>-25834713.339813329</v>
      </c>
      <c r="T169" s="443">
        <v>-25781529.276994996</v>
      </c>
      <c r="U169" s="443">
        <v>-25728345.214176662</v>
      </c>
      <c r="V169" s="443">
        <v>-25675161.151358329</v>
      </c>
      <c r="W169" s="443">
        <v>-25621977.088539999</v>
      </c>
      <c r="X169" s="448">
        <f>SUM(H169:W169)</f>
        <v>-337234054.05084997</v>
      </c>
      <c r="Y169" s="448">
        <f>X169/13</f>
        <v>-25941081.080834612</v>
      </c>
    </row>
    <row r="170" spans="1:25" s="218" customFormat="1">
      <c r="A170" s="219">
        <f t="shared" si="25"/>
        <v>6</v>
      </c>
      <c r="B170" s="274" t="s">
        <v>1453</v>
      </c>
      <c r="C170" s="426"/>
      <c r="D170" s="451">
        <f>SUM(D166:D169)</f>
        <v>-24966029.326975383</v>
      </c>
      <c r="F170" s="451">
        <f t="shared" ref="F170:Y170" si="40">SUM(F166:F169)</f>
        <v>-24966029.326975383</v>
      </c>
      <c r="G170" s="451">
        <f t="shared" si="40"/>
        <v>0</v>
      </c>
      <c r="H170" s="451">
        <f t="shared" si="40"/>
        <v>-24966029.326975383</v>
      </c>
      <c r="I170" s="451">
        <f t="shared" si="40"/>
        <v>-24927601.686592948</v>
      </c>
      <c r="J170" s="451">
        <f t="shared" si="40"/>
        <v>-24889174.046210509</v>
      </c>
      <c r="K170" s="451">
        <f t="shared" si="40"/>
        <v>-24850746.405828074</v>
      </c>
      <c r="L170" s="451">
        <f t="shared" si="40"/>
        <v>-24812318.765445638</v>
      </c>
      <c r="M170" s="219">
        <f t="shared" si="27"/>
        <v>6</v>
      </c>
      <c r="N170" s="274" t="s">
        <v>1453</v>
      </c>
      <c r="O170" s="426"/>
      <c r="P170" s="451">
        <f t="shared" si="40"/>
        <v>-24773891.125063203</v>
      </c>
      <c r="Q170" s="451">
        <f t="shared" si="40"/>
        <v>-24735463.484680764</v>
      </c>
      <c r="R170" s="451">
        <f t="shared" si="40"/>
        <v>-24697035.844298329</v>
      </c>
      <c r="S170" s="451">
        <f t="shared" si="40"/>
        <v>-24658608.203915894</v>
      </c>
      <c r="T170" s="451">
        <f t="shared" si="40"/>
        <v>-24620180.563533459</v>
      </c>
      <c r="U170" s="451">
        <f t="shared" si="40"/>
        <v>-24581752.92315102</v>
      </c>
      <c r="V170" s="451">
        <f t="shared" si="40"/>
        <v>-24543325.282768585</v>
      </c>
      <c r="W170" s="451">
        <f t="shared" si="40"/>
        <v>-24504897.642386153</v>
      </c>
      <c r="X170" s="451">
        <f t="shared" si="40"/>
        <v>-321561011.30084997</v>
      </c>
      <c r="Y170" s="451">
        <f t="shared" si="40"/>
        <v>-24735462.407757688</v>
      </c>
    </row>
    <row r="171" spans="1:25" s="218" customFormat="1">
      <c r="A171" s="219">
        <f t="shared" si="25"/>
        <v>7</v>
      </c>
      <c r="C171" s="426"/>
      <c r="D171" s="442"/>
      <c r="F171" s="442"/>
      <c r="G171" s="442"/>
      <c r="H171" s="442"/>
      <c r="I171" s="442"/>
      <c r="J171" s="442"/>
      <c r="K171" s="442"/>
      <c r="L171" s="442"/>
      <c r="M171" s="219">
        <f t="shared" si="27"/>
        <v>7</v>
      </c>
      <c r="O171" s="426"/>
      <c r="P171" s="442"/>
      <c r="Q171" s="442"/>
      <c r="R171" s="442"/>
      <c r="S171" s="442"/>
      <c r="T171" s="442"/>
      <c r="U171" s="442"/>
      <c r="V171" s="442"/>
      <c r="W171" s="442"/>
      <c r="X171" s="442"/>
      <c r="Y171" s="442"/>
    </row>
    <row r="172" spans="1:25" s="420" customFormat="1">
      <c r="A172" s="426">
        <f t="shared" ref="A172:A182" si="41">A171+1</f>
        <v>8</v>
      </c>
      <c r="B172" s="454" t="s">
        <v>2045</v>
      </c>
      <c r="C172" s="426"/>
      <c r="D172" s="445"/>
      <c r="F172" s="448"/>
      <c r="G172" s="448"/>
      <c r="H172" s="448"/>
      <c r="I172" s="443"/>
      <c r="J172" s="443"/>
      <c r="K172" s="443"/>
      <c r="L172" s="443"/>
      <c r="M172" s="426">
        <f t="shared" si="27"/>
        <v>8</v>
      </c>
      <c r="N172" s="454" t="s">
        <v>2045</v>
      </c>
      <c r="O172" s="426"/>
      <c r="P172" s="443"/>
      <c r="Q172" s="443"/>
      <c r="R172" s="443"/>
      <c r="S172" s="443"/>
      <c r="T172" s="443"/>
      <c r="U172" s="443"/>
      <c r="V172" s="443"/>
      <c r="W172" s="443"/>
      <c r="X172" s="443"/>
      <c r="Y172" s="443"/>
    </row>
    <row r="173" spans="1:25" s="420" customFormat="1">
      <c r="A173" s="426">
        <f t="shared" si="41"/>
        <v>9</v>
      </c>
      <c r="B173" s="446" t="s">
        <v>1450</v>
      </c>
      <c r="C173" s="426"/>
      <c r="D173" s="443">
        <v>178334.31045969366</v>
      </c>
      <c r="E173" s="447">
        <v>1</v>
      </c>
      <c r="F173" s="448">
        <f>D173*$E$103</f>
        <v>178334.31045969366</v>
      </c>
      <c r="G173" s="452">
        <v>0</v>
      </c>
      <c r="H173" s="448">
        <f>SUM(F173:G173)</f>
        <v>178334.31045969366</v>
      </c>
      <c r="I173" s="443">
        <v>173380.57961359108</v>
      </c>
      <c r="J173" s="443">
        <v>168426.8487674885</v>
      </c>
      <c r="K173" s="443">
        <v>163473.11792138588</v>
      </c>
      <c r="L173" s="443">
        <v>158519.3870752833</v>
      </c>
      <c r="M173" s="426">
        <f t="shared" si="27"/>
        <v>9</v>
      </c>
      <c r="N173" s="446" t="s">
        <v>1450</v>
      </c>
      <c r="O173" s="426"/>
      <c r="P173" s="443">
        <v>153565.65622918072</v>
      </c>
      <c r="Q173" s="443">
        <v>148611.92538307811</v>
      </c>
      <c r="R173" s="443">
        <v>143658.19453697553</v>
      </c>
      <c r="S173" s="443">
        <v>138704.46369087294</v>
      </c>
      <c r="T173" s="443">
        <v>133750.73284477036</v>
      </c>
      <c r="U173" s="443">
        <v>128797.00199866775</v>
      </c>
      <c r="V173" s="443">
        <v>123843.27115256517</v>
      </c>
      <c r="W173" s="443">
        <v>118889.54030646248</v>
      </c>
      <c r="X173" s="448">
        <f>SUM(H173:W173)</f>
        <v>1931964.0299800159</v>
      </c>
      <c r="Y173" s="448">
        <f>X173/13</f>
        <v>148612.61769077045</v>
      </c>
    </row>
    <row r="174" spans="1:25" s="420" customFormat="1">
      <c r="A174" s="426">
        <f t="shared" si="41"/>
        <v>10</v>
      </c>
      <c r="B174" s="446" t="s">
        <v>1451</v>
      </c>
      <c r="C174" s="426"/>
      <c r="D174" s="443">
        <v>424341.10592938022</v>
      </c>
      <c r="E174" s="449"/>
      <c r="F174" s="448">
        <f>D174*$E$103</f>
        <v>424341.10592938022</v>
      </c>
      <c r="G174" s="452">
        <v>0</v>
      </c>
      <c r="H174" s="448">
        <f>SUM(F174:G174)</f>
        <v>424341.10592938022</v>
      </c>
      <c r="I174" s="443">
        <v>412553.85298689746</v>
      </c>
      <c r="J174" s="443">
        <v>400766.60004441469</v>
      </c>
      <c r="K174" s="443">
        <v>388979.34710193193</v>
      </c>
      <c r="L174" s="443">
        <v>377192.09415944916</v>
      </c>
      <c r="M174" s="426">
        <f t="shared" si="27"/>
        <v>10</v>
      </c>
      <c r="N174" s="446" t="s">
        <v>1451</v>
      </c>
      <c r="O174" s="426"/>
      <c r="P174" s="443">
        <v>365404.84121696639</v>
      </c>
      <c r="Q174" s="443">
        <v>353617.58827448363</v>
      </c>
      <c r="R174" s="443">
        <v>341830.33533200086</v>
      </c>
      <c r="S174" s="443">
        <v>330043.08238951804</v>
      </c>
      <c r="T174" s="443">
        <v>318255.82944703521</v>
      </c>
      <c r="U174" s="443">
        <v>306468.57650455245</v>
      </c>
      <c r="V174" s="443">
        <v>294681.32356206962</v>
      </c>
      <c r="W174" s="443">
        <v>282894.07061958674</v>
      </c>
      <c r="X174" s="448">
        <f>SUM(H174:W174)</f>
        <v>4597038.6475682864</v>
      </c>
      <c r="Y174" s="448">
        <f>X174/13</f>
        <v>353618.35750525282</v>
      </c>
    </row>
    <row r="175" spans="1:25" s="420" customFormat="1">
      <c r="A175" s="426">
        <f t="shared" si="41"/>
        <v>11</v>
      </c>
      <c r="B175" s="446" t="s">
        <v>1372</v>
      </c>
      <c r="C175" s="426"/>
      <c r="D175" s="443">
        <v>1121717.0091733716</v>
      </c>
      <c r="E175" s="449"/>
      <c r="F175" s="448">
        <f>D175*$E$103</f>
        <v>1121717.0091733716</v>
      </c>
      <c r="G175" s="452">
        <v>0</v>
      </c>
      <c r="H175" s="448">
        <f>SUM(F175:G175)</f>
        <v>1121717.0091733716</v>
      </c>
      <c r="I175" s="443">
        <v>1118795.8711286492</v>
      </c>
      <c r="J175" s="443">
        <v>1115874.7330839268</v>
      </c>
      <c r="K175" s="443">
        <v>1112953.5950392045</v>
      </c>
      <c r="L175" s="443">
        <v>1110032.4569944821</v>
      </c>
      <c r="M175" s="426">
        <f t="shared" si="27"/>
        <v>11</v>
      </c>
      <c r="N175" s="446" t="s">
        <v>1372</v>
      </c>
      <c r="O175" s="426"/>
      <c r="P175" s="443">
        <v>1107111.3189497599</v>
      </c>
      <c r="Q175" s="443">
        <v>1104190.1809050376</v>
      </c>
      <c r="R175" s="443">
        <v>1101269.0428603152</v>
      </c>
      <c r="S175" s="443">
        <v>1098347.9048155928</v>
      </c>
      <c r="T175" s="443">
        <v>1095426.7667708704</v>
      </c>
      <c r="U175" s="443">
        <v>1092505.628726148</v>
      </c>
      <c r="V175" s="443">
        <v>1089584.4906814257</v>
      </c>
      <c r="W175" s="443">
        <v>1086663.3526367038</v>
      </c>
      <c r="X175" s="448">
        <f>SUM(H175:W175)</f>
        <v>14354483.351765485</v>
      </c>
      <c r="Y175" s="448">
        <f>X175/13</f>
        <v>1104191.0270588836</v>
      </c>
    </row>
    <row r="176" spans="1:25" s="420" customFormat="1">
      <c r="A176" s="426">
        <f t="shared" si="41"/>
        <v>12</v>
      </c>
      <c r="B176" s="446" t="s">
        <v>1452</v>
      </c>
      <c r="C176" s="426"/>
      <c r="D176" s="443">
        <v>-34990254.286955364</v>
      </c>
      <c r="F176" s="448">
        <f>D176*$E$103</f>
        <v>-34990254.286955364</v>
      </c>
      <c r="G176" s="452">
        <v>0</v>
      </c>
      <c r="H176" s="448">
        <f>SUM(F176:G176)</f>
        <v>-34990254.286955364</v>
      </c>
      <c r="I176" s="443">
        <v>-34919389.446424603</v>
      </c>
      <c r="J176" s="443">
        <v>-34848524.60589385</v>
      </c>
      <c r="K176" s="443">
        <v>-34777659.76536309</v>
      </c>
      <c r="L176" s="443">
        <v>-34706794.924832337</v>
      </c>
      <c r="M176" s="426">
        <f t="shared" si="27"/>
        <v>12</v>
      </c>
      <c r="N176" s="446" t="s">
        <v>1452</v>
      </c>
      <c r="O176" s="426"/>
      <c r="P176" s="443">
        <v>-34635930.084301576</v>
      </c>
      <c r="Q176" s="443">
        <v>-34565065.243770815</v>
      </c>
      <c r="R176" s="443">
        <v>-34494200.403240062</v>
      </c>
      <c r="S176" s="443">
        <v>-34423335.562709302</v>
      </c>
      <c r="T176" s="443">
        <v>-34352470.722178549</v>
      </c>
      <c r="U176" s="443">
        <v>-34281605.881647788</v>
      </c>
      <c r="V176" s="443">
        <v>-34210741.041117035</v>
      </c>
      <c r="W176" s="443">
        <v>-34139876.200586282</v>
      </c>
      <c r="X176" s="448">
        <f>SUM(H176:W176)</f>
        <v>-449345836.16902059</v>
      </c>
      <c r="Y176" s="448">
        <f>X176/13</f>
        <v>-34565064.320693895</v>
      </c>
    </row>
    <row r="177" spans="1:25" s="420" customFormat="1">
      <c r="A177" s="426">
        <f t="shared" si="41"/>
        <v>13</v>
      </c>
      <c r="B177" s="446" t="s">
        <v>1453</v>
      </c>
      <c r="C177" s="426"/>
      <c r="D177" s="451">
        <f>SUM(D173:D176)</f>
        <v>-33265861.861392919</v>
      </c>
      <c r="F177" s="451">
        <f t="shared" ref="F177:Y177" si="42">SUM(F173:F176)</f>
        <v>-33265861.861392919</v>
      </c>
      <c r="G177" s="451">
        <f t="shared" si="42"/>
        <v>0</v>
      </c>
      <c r="H177" s="451">
        <f t="shared" si="42"/>
        <v>-33265861.861392919</v>
      </c>
      <c r="I177" s="451">
        <f t="shared" si="42"/>
        <v>-33214659.142695464</v>
      </c>
      <c r="J177" s="451">
        <f t="shared" si="42"/>
        <v>-33163456.423998021</v>
      </c>
      <c r="K177" s="451">
        <f t="shared" si="42"/>
        <v>-33112253.705300566</v>
      </c>
      <c r="L177" s="451">
        <f t="shared" si="42"/>
        <v>-33061050.986603122</v>
      </c>
      <c r="M177" s="426">
        <f t="shared" si="27"/>
        <v>13</v>
      </c>
      <c r="N177" s="446" t="s">
        <v>1453</v>
      </c>
      <c r="O177" s="426"/>
      <c r="P177" s="451">
        <f t="shared" si="42"/>
        <v>-33009848.267905667</v>
      </c>
      <c r="Q177" s="451">
        <f t="shared" si="42"/>
        <v>-32958645.549208216</v>
      </c>
      <c r="R177" s="451">
        <f t="shared" si="42"/>
        <v>-32907442.830510769</v>
      </c>
      <c r="S177" s="451">
        <f t="shared" si="42"/>
        <v>-32856240.111813318</v>
      </c>
      <c r="T177" s="451">
        <f t="shared" si="42"/>
        <v>-32805037.393115871</v>
      </c>
      <c r="U177" s="451">
        <f t="shared" si="42"/>
        <v>-32753834.67441842</v>
      </c>
      <c r="V177" s="451">
        <f t="shared" si="42"/>
        <v>-32702631.955720976</v>
      </c>
      <c r="W177" s="451">
        <f t="shared" si="42"/>
        <v>-32651429.237023529</v>
      </c>
      <c r="X177" s="451">
        <f t="shared" si="42"/>
        <v>-428462350.13970679</v>
      </c>
      <c r="Y177" s="451">
        <f t="shared" si="42"/>
        <v>-32958642.318438988</v>
      </c>
    </row>
    <row r="178" spans="1:25" s="218" customFormat="1">
      <c r="A178" s="219">
        <f t="shared" si="41"/>
        <v>14</v>
      </c>
      <c r="C178" s="426"/>
      <c r="D178" s="442"/>
      <c r="F178" s="442"/>
      <c r="G178" s="442"/>
      <c r="H178" s="442"/>
      <c r="I178" s="442"/>
      <c r="J178" s="442"/>
      <c r="K178" s="442"/>
      <c r="L178" s="442"/>
      <c r="M178" s="219">
        <f t="shared" si="27"/>
        <v>14</v>
      </c>
      <c r="O178" s="426"/>
      <c r="P178" s="442"/>
      <c r="Q178" s="442"/>
      <c r="R178" s="442"/>
      <c r="S178" s="442"/>
      <c r="T178" s="442"/>
      <c r="U178" s="442"/>
      <c r="V178" s="442"/>
      <c r="W178" s="442"/>
      <c r="X178" s="442"/>
      <c r="Y178" s="442"/>
    </row>
    <row r="179" spans="1:25" s="420" customFormat="1">
      <c r="A179" s="426">
        <f t="shared" si="41"/>
        <v>15</v>
      </c>
      <c r="B179" s="454" t="s">
        <v>1454</v>
      </c>
      <c r="C179" s="426"/>
      <c r="D179" s="445"/>
      <c r="F179" s="448"/>
      <c r="G179" s="448"/>
      <c r="H179" s="448"/>
      <c r="I179" s="443"/>
      <c r="J179" s="443"/>
      <c r="K179" s="443"/>
      <c r="L179" s="443"/>
      <c r="M179" s="426">
        <f t="shared" ref="M179:M197" si="43">M178+1</f>
        <v>15</v>
      </c>
      <c r="N179" s="454" t="s">
        <v>1454</v>
      </c>
      <c r="O179" s="426"/>
      <c r="P179" s="443"/>
      <c r="Q179" s="443"/>
      <c r="R179" s="443"/>
      <c r="S179" s="443"/>
      <c r="T179" s="443"/>
      <c r="U179" s="443"/>
      <c r="V179" s="443"/>
      <c r="W179" s="443"/>
      <c r="X179" s="443"/>
      <c r="Y179" s="443"/>
    </row>
    <row r="180" spans="1:25" s="420" customFormat="1">
      <c r="A180" s="426">
        <f t="shared" si="41"/>
        <v>16</v>
      </c>
      <c r="B180" s="446" t="s">
        <v>1450</v>
      </c>
      <c r="C180" s="426" t="s">
        <v>1373</v>
      </c>
      <c r="D180" s="443">
        <v>12587.465</v>
      </c>
      <c r="E180" s="447">
        <v>1</v>
      </c>
      <c r="F180" s="448">
        <f>D180*$E$103</f>
        <v>12587.465</v>
      </c>
      <c r="G180" s="452">
        <v>0</v>
      </c>
      <c r="H180" s="448">
        <f>SUM(F180:G180)</f>
        <v>12587.465</v>
      </c>
      <c r="I180" s="443">
        <v>12237.813194444445</v>
      </c>
      <c r="J180" s="443">
        <v>11888.16138888889</v>
      </c>
      <c r="K180" s="443">
        <v>11538.509583333334</v>
      </c>
      <c r="L180" s="443">
        <v>11188.857777777779</v>
      </c>
      <c r="M180" s="426">
        <f t="shared" si="43"/>
        <v>16</v>
      </c>
      <c r="N180" s="446" t="s">
        <v>1450</v>
      </c>
      <c r="O180" s="426" t="s">
        <v>1373</v>
      </c>
      <c r="P180" s="443">
        <v>10839.205972222224</v>
      </c>
      <c r="Q180" s="443">
        <v>10489.554166666669</v>
      </c>
      <c r="R180" s="443">
        <v>10139.902361111113</v>
      </c>
      <c r="S180" s="443">
        <v>9790.2505555555581</v>
      </c>
      <c r="T180" s="443">
        <v>9440.5987500000028</v>
      </c>
      <c r="U180" s="443">
        <v>9090.9469444444476</v>
      </c>
      <c r="V180" s="443">
        <v>8741.2951388888923</v>
      </c>
      <c r="W180" s="443">
        <v>8391.6433333333334</v>
      </c>
      <c r="X180" s="448">
        <f>SUM(H180:W180)</f>
        <v>136380.20416666666</v>
      </c>
      <c r="Y180" s="448">
        <f>X180/13</f>
        <v>10490.784935897436</v>
      </c>
    </row>
    <row r="181" spans="1:25" s="420" customFormat="1">
      <c r="A181" s="426">
        <f t="shared" si="41"/>
        <v>17</v>
      </c>
      <c r="B181" s="446" t="s">
        <v>1451</v>
      </c>
      <c r="C181" s="426" t="s">
        <v>1373</v>
      </c>
      <c r="D181" s="443">
        <v>29951.269999999997</v>
      </c>
      <c r="E181" s="449"/>
      <c r="F181" s="448">
        <f>D181*$E$103</f>
        <v>29951.269999999997</v>
      </c>
      <c r="G181" s="452">
        <v>0</v>
      </c>
      <c r="H181" s="448">
        <f>SUM(F181:G181)</f>
        <v>29951.269999999997</v>
      </c>
      <c r="I181" s="443">
        <v>29119.290277777774</v>
      </c>
      <c r="J181" s="443">
        <v>28287.310555555552</v>
      </c>
      <c r="K181" s="443">
        <v>27455.33083333333</v>
      </c>
      <c r="L181" s="443">
        <v>26623.351111111107</v>
      </c>
      <c r="M181" s="426">
        <f t="shared" si="43"/>
        <v>17</v>
      </c>
      <c r="N181" s="446" t="s">
        <v>1451</v>
      </c>
      <c r="O181" s="426" t="s">
        <v>1373</v>
      </c>
      <c r="P181" s="443">
        <v>25791.371388888885</v>
      </c>
      <c r="Q181" s="443">
        <v>24959.391666666663</v>
      </c>
      <c r="R181" s="443">
        <v>24127.41194444444</v>
      </c>
      <c r="S181" s="443">
        <v>23295.432222222218</v>
      </c>
      <c r="T181" s="443">
        <v>22463.452499999996</v>
      </c>
      <c r="U181" s="443">
        <v>21631.472777777773</v>
      </c>
      <c r="V181" s="443">
        <v>20799.493055555551</v>
      </c>
      <c r="W181" s="443">
        <v>19967.513333333329</v>
      </c>
      <c r="X181" s="448">
        <f>SUM(H181:W181)</f>
        <v>324489.09166666656</v>
      </c>
      <c r="Y181" s="448">
        <f>X181/13</f>
        <v>24960.699358974351</v>
      </c>
    </row>
    <row r="182" spans="1:25" s="420" customFormat="1">
      <c r="A182" s="426">
        <f t="shared" si="41"/>
        <v>18</v>
      </c>
      <c r="B182" s="446" t="s">
        <v>1452</v>
      </c>
      <c r="C182" s="426" t="s">
        <v>1373</v>
      </c>
      <c r="D182" s="443">
        <v>-1225687.7988571427</v>
      </c>
      <c r="F182" s="448">
        <f>D182*$E$103</f>
        <v>-1225687.7988571427</v>
      </c>
      <c r="G182" s="452">
        <v>0</v>
      </c>
      <c r="H182" s="448">
        <f>SUM(F182:G182)</f>
        <v>-1225687.7988571427</v>
      </c>
      <c r="I182" s="443">
        <v>-1222495.9035476188</v>
      </c>
      <c r="J182" s="443">
        <v>-1219304.0082380949</v>
      </c>
      <c r="K182" s="443">
        <v>-1216112.1129285709</v>
      </c>
      <c r="L182" s="443">
        <v>-1212920.217619047</v>
      </c>
      <c r="M182" s="426">
        <f t="shared" si="43"/>
        <v>18</v>
      </c>
      <c r="N182" s="446" t="s">
        <v>1452</v>
      </c>
      <c r="O182" s="426" t="s">
        <v>1373</v>
      </c>
      <c r="P182" s="443">
        <v>-1209728.3223095231</v>
      </c>
      <c r="Q182" s="443">
        <v>-1206536.4269999992</v>
      </c>
      <c r="R182" s="443">
        <v>-1203344.5316904753</v>
      </c>
      <c r="S182" s="443">
        <v>-1200152.6363809514</v>
      </c>
      <c r="T182" s="443">
        <v>-1196960.7410714275</v>
      </c>
      <c r="U182" s="443">
        <v>-1193768.8457619036</v>
      </c>
      <c r="V182" s="443">
        <v>-1190576.9504523796</v>
      </c>
      <c r="W182" s="443">
        <v>-1187385.0551428569</v>
      </c>
      <c r="X182" s="448">
        <f>SUM(H182:W182)</f>
        <v>-15684955.550999992</v>
      </c>
      <c r="Y182" s="448">
        <f>X182/13</f>
        <v>-1206535.0423846147</v>
      </c>
    </row>
    <row r="183" spans="1:25" s="218" customFormat="1">
      <c r="A183" s="219">
        <f t="shared" ref="A183:A197" si="44">A182+1</f>
        <v>19</v>
      </c>
      <c r="B183" s="274" t="s">
        <v>1453</v>
      </c>
      <c r="C183" s="426"/>
      <c r="D183" s="451">
        <f>SUM(D180:D182)</f>
        <v>-1183149.0638571426</v>
      </c>
      <c r="F183" s="451">
        <f t="shared" ref="F183:Y183" si="45">SUM(F180:F182)</f>
        <v>-1183149.0638571426</v>
      </c>
      <c r="G183" s="451">
        <f t="shared" si="45"/>
        <v>0</v>
      </c>
      <c r="H183" s="451">
        <f t="shared" si="45"/>
        <v>-1183149.0638571426</v>
      </c>
      <c r="I183" s="451">
        <f t="shared" si="45"/>
        <v>-1181138.8000753967</v>
      </c>
      <c r="J183" s="451">
        <f t="shared" si="45"/>
        <v>-1179128.5362936505</v>
      </c>
      <c r="K183" s="451">
        <f t="shared" si="45"/>
        <v>-1177118.2725119044</v>
      </c>
      <c r="L183" s="451">
        <f t="shared" si="45"/>
        <v>-1175108.0087301582</v>
      </c>
      <c r="M183" s="219">
        <f t="shared" si="43"/>
        <v>19</v>
      </c>
      <c r="N183" s="274" t="s">
        <v>1453</v>
      </c>
      <c r="O183" s="426"/>
      <c r="P183" s="451">
        <f t="shared" si="45"/>
        <v>-1173097.7449484121</v>
      </c>
      <c r="Q183" s="451">
        <f t="shared" si="45"/>
        <v>-1171087.4811666659</v>
      </c>
      <c r="R183" s="451">
        <f t="shared" si="45"/>
        <v>-1169077.2173849198</v>
      </c>
      <c r="S183" s="451">
        <f t="shared" si="45"/>
        <v>-1167066.9536031736</v>
      </c>
      <c r="T183" s="451">
        <f t="shared" si="45"/>
        <v>-1165056.6898214275</v>
      </c>
      <c r="U183" s="451">
        <f t="shared" si="45"/>
        <v>-1163046.4260396813</v>
      </c>
      <c r="V183" s="451">
        <f t="shared" si="45"/>
        <v>-1161036.1622579352</v>
      </c>
      <c r="W183" s="451">
        <f t="shared" si="45"/>
        <v>-1159025.8984761902</v>
      </c>
      <c r="X183" s="451">
        <f t="shared" si="45"/>
        <v>-15224086.255166659</v>
      </c>
      <c r="Y183" s="451">
        <f t="shared" si="45"/>
        <v>-1171083.5580897429</v>
      </c>
    </row>
    <row r="184" spans="1:25" s="218" customFormat="1">
      <c r="A184" s="219">
        <f t="shared" si="44"/>
        <v>20</v>
      </c>
      <c r="C184" s="426"/>
      <c r="D184" s="442"/>
      <c r="F184" s="442"/>
      <c r="G184" s="442"/>
      <c r="H184" s="442"/>
      <c r="I184" s="442"/>
      <c r="J184" s="442"/>
      <c r="K184" s="442"/>
      <c r="L184" s="442"/>
      <c r="M184" s="219">
        <f t="shared" si="43"/>
        <v>20</v>
      </c>
      <c r="O184" s="426"/>
      <c r="P184" s="442"/>
      <c r="Q184" s="442"/>
      <c r="R184" s="442"/>
      <c r="S184" s="442"/>
      <c r="T184" s="442"/>
      <c r="U184" s="442"/>
      <c r="V184" s="442"/>
      <c r="W184" s="442"/>
      <c r="X184" s="442"/>
      <c r="Y184" s="442"/>
    </row>
    <row r="185" spans="1:25" s="420" customFormat="1">
      <c r="A185" s="219">
        <f t="shared" si="44"/>
        <v>21</v>
      </c>
      <c r="B185" s="454" t="s">
        <v>2046</v>
      </c>
      <c r="C185" s="426"/>
      <c r="D185" s="445"/>
      <c r="F185" s="448"/>
      <c r="G185" s="448"/>
      <c r="H185" s="448"/>
      <c r="I185" s="443"/>
      <c r="J185" s="443"/>
      <c r="K185" s="443"/>
      <c r="L185" s="443"/>
      <c r="M185" s="219">
        <f t="shared" si="43"/>
        <v>21</v>
      </c>
      <c r="N185" s="454" t="s">
        <v>2046</v>
      </c>
      <c r="O185" s="426"/>
      <c r="P185" s="443"/>
      <c r="Q185" s="443"/>
      <c r="R185" s="443"/>
      <c r="S185" s="443"/>
      <c r="T185" s="443"/>
      <c r="U185" s="443"/>
      <c r="V185" s="443"/>
      <c r="W185" s="443"/>
      <c r="X185" s="443"/>
      <c r="Y185" s="443"/>
    </row>
    <row r="186" spans="1:25" s="420" customFormat="1">
      <c r="A186" s="219">
        <f t="shared" si="44"/>
        <v>22</v>
      </c>
      <c r="B186" s="446" t="s">
        <v>1450</v>
      </c>
      <c r="C186" s="426"/>
      <c r="D186" s="443">
        <v>16772.105263157897</v>
      </c>
      <c r="E186" s="447">
        <v>1</v>
      </c>
      <c r="F186" s="448">
        <f>D186*$E$103</f>
        <v>16772.105263157897</v>
      </c>
      <c r="G186" s="452">
        <v>0</v>
      </c>
      <c r="H186" s="448">
        <f>SUM(F186:G186)</f>
        <v>16772.105263157897</v>
      </c>
      <c r="I186" s="443">
        <v>16306.2134502924</v>
      </c>
      <c r="J186" s="443">
        <v>15840.321637426903</v>
      </c>
      <c r="K186" s="443">
        <v>15374.429824561406</v>
      </c>
      <c r="L186" s="443">
        <v>14908.53801169591</v>
      </c>
      <c r="M186" s="219">
        <f t="shared" si="43"/>
        <v>22</v>
      </c>
      <c r="N186" s="446" t="s">
        <v>1450</v>
      </c>
      <c r="O186" s="426"/>
      <c r="P186" s="443">
        <v>14442.646198830413</v>
      </c>
      <c r="Q186" s="443">
        <v>13976.754385964916</v>
      </c>
      <c r="R186" s="443">
        <v>13510.862573099419</v>
      </c>
      <c r="S186" s="443">
        <v>13044.970760233924</v>
      </c>
      <c r="T186" s="443">
        <v>12579.078947368427</v>
      </c>
      <c r="U186" s="443">
        <v>12113.18713450293</v>
      </c>
      <c r="V186" s="443">
        <v>11647.295321637434</v>
      </c>
      <c r="W186" s="443">
        <v>11181.403508771931</v>
      </c>
      <c r="X186" s="448">
        <f>SUM(H186:W186)</f>
        <v>181719.80701754391</v>
      </c>
      <c r="Y186" s="448">
        <f>X186/13</f>
        <v>13978.446693657224</v>
      </c>
    </row>
    <row r="187" spans="1:25" s="420" customFormat="1">
      <c r="A187" s="219">
        <f t="shared" si="44"/>
        <v>23</v>
      </c>
      <c r="B187" s="446" t="s">
        <v>1451</v>
      </c>
      <c r="C187" s="426"/>
      <c r="D187" s="443">
        <v>39908.42105263158</v>
      </c>
      <c r="E187" s="449"/>
      <c r="F187" s="448">
        <f>D187*$E$103</f>
        <v>39908.42105263158</v>
      </c>
      <c r="G187" s="452">
        <v>0</v>
      </c>
      <c r="H187" s="448">
        <f>SUM(F187:G187)</f>
        <v>39908.42105263158</v>
      </c>
      <c r="I187" s="443">
        <v>38799.853801169593</v>
      </c>
      <c r="J187" s="443">
        <v>37691.286549707605</v>
      </c>
      <c r="K187" s="443">
        <v>36582.719298245611</v>
      </c>
      <c r="L187" s="443">
        <v>35474.152046783624</v>
      </c>
      <c r="M187" s="219">
        <f t="shared" si="43"/>
        <v>23</v>
      </c>
      <c r="N187" s="446" t="s">
        <v>1451</v>
      </c>
      <c r="O187" s="426"/>
      <c r="P187" s="443">
        <v>34365.584795321636</v>
      </c>
      <c r="Q187" s="443">
        <v>33257.017543859649</v>
      </c>
      <c r="R187" s="443">
        <v>32148.450292397658</v>
      </c>
      <c r="S187" s="443">
        <v>31039.883040935671</v>
      </c>
      <c r="T187" s="443">
        <v>29931.315789473683</v>
      </c>
      <c r="U187" s="443">
        <v>28822.748538011692</v>
      </c>
      <c r="V187" s="443">
        <v>27714.181286549705</v>
      </c>
      <c r="W187" s="443">
        <v>26605.614035087718</v>
      </c>
      <c r="X187" s="448">
        <f>SUM(H187:W187)</f>
        <v>432364.22807017545</v>
      </c>
      <c r="Y187" s="448">
        <f>X187/13</f>
        <v>33258.786774628883</v>
      </c>
    </row>
    <row r="188" spans="1:25" s="420" customFormat="1">
      <c r="A188" s="219">
        <f t="shared" si="44"/>
        <v>24</v>
      </c>
      <c r="B188" s="446" t="s">
        <v>1452</v>
      </c>
      <c r="C188" s="426"/>
      <c r="D188" s="443">
        <v>-1633161.6240601505</v>
      </c>
      <c r="F188" s="448">
        <f>D188*$E$103</f>
        <v>-1633161.6240601505</v>
      </c>
      <c r="G188" s="452">
        <v>0</v>
      </c>
      <c r="H188" s="448">
        <f>SUM(F188:G188)</f>
        <v>-1633161.6240601505</v>
      </c>
      <c r="I188" s="443">
        <v>-1628908.5989974935</v>
      </c>
      <c r="J188" s="443">
        <v>-1624655.5739348368</v>
      </c>
      <c r="K188" s="443">
        <v>-1620402.5488721801</v>
      </c>
      <c r="L188" s="443">
        <v>-1616149.5238095233</v>
      </c>
      <c r="M188" s="219">
        <f t="shared" si="43"/>
        <v>24</v>
      </c>
      <c r="N188" s="446" t="s">
        <v>1452</v>
      </c>
      <c r="O188" s="426"/>
      <c r="P188" s="443">
        <v>-1611896.4987468664</v>
      </c>
      <c r="Q188" s="443">
        <v>-1607643.4736842096</v>
      </c>
      <c r="R188" s="443">
        <v>-1603390.4486215529</v>
      </c>
      <c r="S188" s="443">
        <v>-1599137.4235588962</v>
      </c>
      <c r="T188" s="443">
        <v>-1594884.3984962394</v>
      </c>
      <c r="U188" s="443">
        <v>-1590631.3734335825</v>
      </c>
      <c r="V188" s="443">
        <v>-1586378.3483709258</v>
      </c>
      <c r="W188" s="443">
        <v>-1582125.3233082707</v>
      </c>
      <c r="X188" s="448">
        <f>SUM(H188:W188)</f>
        <v>-20899341.157894727</v>
      </c>
      <c r="Y188" s="448">
        <f>X188/13</f>
        <v>-1607641.6275303636</v>
      </c>
    </row>
    <row r="189" spans="1:25" s="420" customFormat="1">
      <c r="A189" s="219">
        <f t="shared" si="44"/>
        <v>25</v>
      </c>
      <c r="B189" s="446" t="s">
        <v>1453</v>
      </c>
      <c r="C189" s="426"/>
      <c r="D189" s="451">
        <f>SUM(D186:D188)</f>
        <v>-1576481.097744361</v>
      </c>
      <c r="F189" s="451">
        <f t="shared" ref="F189:Y189" si="46">SUM(F186:F188)</f>
        <v>-1576481.097744361</v>
      </c>
      <c r="G189" s="451">
        <f t="shared" si="46"/>
        <v>0</v>
      </c>
      <c r="H189" s="451">
        <f t="shared" si="46"/>
        <v>-1576481.097744361</v>
      </c>
      <c r="I189" s="451">
        <f t="shared" si="46"/>
        <v>-1573802.5317460315</v>
      </c>
      <c r="J189" s="451">
        <f t="shared" si="46"/>
        <v>-1571123.9657477022</v>
      </c>
      <c r="K189" s="451">
        <f t="shared" si="46"/>
        <v>-1568445.3997493731</v>
      </c>
      <c r="L189" s="451">
        <f t="shared" si="46"/>
        <v>-1565766.8337510438</v>
      </c>
      <c r="M189" s="219">
        <f t="shared" si="43"/>
        <v>25</v>
      </c>
      <c r="N189" s="446" t="s">
        <v>1453</v>
      </c>
      <c r="O189" s="426"/>
      <c r="P189" s="451">
        <f t="shared" si="46"/>
        <v>-1563088.2677527142</v>
      </c>
      <c r="Q189" s="451">
        <f t="shared" si="46"/>
        <v>-1560409.7017543851</v>
      </c>
      <c r="R189" s="451">
        <f t="shared" si="46"/>
        <v>-1557731.1357560558</v>
      </c>
      <c r="S189" s="451">
        <f t="shared" si="46"/>
        <v>-1555052.5697577265</v>
      </c>
      <c r="T189" s="451">
        <f t="shared" si="46"/>
        <v>-1552374.0037593974</v>
      </c>
      <c r="U189" s="451">
        <f t="shared" si="46"/>
        <v>-1549695.4377610679</v>
      </c>
      <c r="V189" s="451">
        <f t="shared" si="46"/>
        <v>-1547016.8717627386</v>
      </c>
      <c r="W189" s="451">
        <f t="shared" si="46"/>
        <v>-1544338.3057644111</v>
      </c>
      <c r="X189" s="451">
        <f t="shared" si="46"/>
        <v>-20285257.122807007</v>
      </c>
      <c r="Y189" s="451">
        <f t="shared" si="46"/>
        <v>-1560404.3940620776</v>
      </c>
    </row>
    <row r="190" spans="1:25" s="218" customFormat="1">
      <c r="A190" s="219">
        <f t="shared" si="44"/>
        <v>26</v>
      </c>
      <c r="C190" s="426"/>
      <c r="D190" s="442"/>
      <c r="F190" s="442"/>
      <c r="G190" s="442"/>
      <c r="H190" s="442"/>
      <c r="I190" s="442"/>
      <c r="J190" s="442"/>
      <c r="K190" s="442"/>
      <c r="L190" s="442"/>
      <c r="M190" s="219">
        <f t="shared" si="43"/>
        <v>26</v>
      </c>
      <c r="O190" s="426"/>
      <c r="P190" s="442"/>
      <c r="Q190" s="442"/>
      <c r="R190" s="442"/>
      <c r="S190" s="442"/>
      <c r="T190" s="442"/>
      <c r="U190" s="442"/>
      <c r="V190" s="442"/>
      <c r="W190" s="442"/>
      <c r="X190" s="442"/>
      <c r="Y190" s="442"/>
    </row>
    <row r="191" spans="1:25" s="218" customFormat="1">
      <c r="A191" s="219">
        <f t="shared" si="44"/>
        <v>27</v>
      </c>
      <c r="B191" s="264" t="s">
        <v>1365</v>
      </c>
      <c r="C191" s="426"/>
      <c r="D191" s="442"/>
      <c r="F191" s="448"/>
      <c r="G191" s="442"/>
      <c r="H191" s="442"/>
      <c r="I191" s="442"/>
      <c r="J191" s="442"/>
      <c r="K191" s="442"/>
      <c r="L191" s="442"/>
      <c r="M191" s="219">
        <f t="shared" si="43"/>
        <v>27</v>
      </c>
      <c r="N191" s="264" t="s">
        <v>1365</v>
      </c>
      <c r="O191" s="426"/>
      <c r="P191" s="442"/>
      <c r="Q191" s="442"/>
      <c r="R191" s="442"/>
      <c r="S191" s="442"/>
      <c r="T191" s="442"/>
      <c r="U191" s="442"/>
      <c r="V191" s="442"/>
      <c r="W191" s="442"/>
      <c r="X191" s="442"/>
      <c r="Y191" s="442"/>
    </row>
    <row r="192" spans="1:25" s="420" customFormat="1">
      <c r="A192" s="426">
        <f t="shared" si="44"/>
        <v>28</v>
      </c>
      <c r="B192" s="420" t="s">
        <v>1455</v>
      </c>
      <c r="C192" s="426" t="s">
        <v>1375</v>
      </c>
      <c r="D192" s="443">
        <v>-1213</v>
      </c>
      <c r="E192" s="1003">
        <v>1</v>
      </c>
      <c r="F192" s="448">
        <f>D192*$E$103</f>
        <v>-1213</v>
      </c>
      <c r="G192" s="455">
        <v>0</v>
      </c>
      <c r="H192" s="448">
        <f>SUM(F192:G192)</f>
        <v>-1213</v>
      </c>
      <c r="I192" s="443">
        <v>-1124.3333333333333</v>
      </c>
      <c r="J192" s="443">
        <v>-1035.6666666666665</v>
      </c>
      <c r="K192" s="443">
        <v>-946.99999999999989</v>
      </c>
      <c r="L192" s="443">
        <v>-858.33333333333326</v>
      </c>
      <c r="M192" s="426">
        <f t="shared" si="43"/>
        <v>28</v>
      </c>
      <c r="N192" s="420" t="s">
        <v>1455</v>
      </c>
      <c r="O192" s="426" t="s">
        <v>1375</v>
      </c>
      <c r="P192" s="443">
        <v>-769.66666666666663</v>
      </c>
      <c r="Q192" s="443">
        <v>-681</v>
      </c>
      <c r="R192" s="443">
        <v>-592.33333333333337</v>
      </c>
      <c r="S192" s="443">
        <v>-503.66666666666669</v>
      </c>
      <c r="T192" s="443">
        <v>-415</v>
      </c>
      <c r="U192" s="443">
        <v>-326.33333333333331</v>
      </c>
      <c r="V192" s="443">
        <v>-237.66666666666663</v>
      </c>
      <c r="W192" s="443">
        <v>-149</v>
      </c>
      <c r="X192" s="448">
        <f>SUM(H192:W192)</f>
        <v>-8824.9999999999982</v>
      </c>
      <c r="Y192" s="448">
        <f>X192/13</f>
        <v>-678.8461538461537</v>
      </c>
    </row>
    <row r="193" spans="1:25" s="218" customFormat="1">
      <c r="A193" s="219">
        <f t="shared" si="44"/>
        <v>29</v>
      </c>
      <c r="B193" s="274" t="s">
        <v>1453</v>
      </c>
      <c r="C193" s="426"/>
      <c r="D193" s="451">
        <f>SUM(D191:D192)</f>
        <v>-1213</v>
      </c>
      <c r="F193" s="451">
        <f t="shared" ref="F193:Y193" si="47">SUM(F191:F192)</f>
        <v>-1213</v>
      </c>
      <c r="G193" s="451">
        <f t="shared" si="47"/>
        <v>0</v>
      </c>
      <c r="H193" s="451">
        <f t="shared" si="47"/>
        <v>-1213</v>
      </c>
      <c r="I193" s="451">
        <f t="shared" si="47"/>
        <v>-1124.3333333333333</v>
      </c>
      <c r="J193" s="451">
        <f t="shared" si="47"/>
        <v>-1035.6666666666665</v>
      </c>
      <c r="K193" s="451">
        <f t="shared" si="47"/>
        <v>-946.99999999999989</v>
      </c>
      <c r="L193" s="451">
        <f t="shared" si="47"/>
        <v>-858.33333333333326</v>
      </c>
      <c r="M193" s="219">
        <f t="shared" si="43"/>
        <v>29</v>
      </c>
      <c r="N193" s="274" t="s">
        <v>1453</v>
      </c>
      <c r="O193" s="426"/>
      <c r="P193" s="451">
        <f t="shared" si="47"/>
        <v>-769.66666666666663</v>
      </c>
      <c r="Q193" s="451">
        <f t="shared" si="47"/>
        <v>-681</v>
      </c>
      <c r="R193" s="451">
        <f t="shared" si="47"/>
        <v>-592.33333333333337</v>
      </c>
      <c r="S193" s="451">
        <f t="shared" si="47"/>
        <v>-503.66666666666669</v>
      </c>
      <c r="T193" s="451">
        <f t="shared" si="47"/>
        <v>-415</v>
      </c>
      <c r="U193" s="451">
        <f t="shared" si="47"/>
        <v>-326.33333333333331</v>
      </c>
      <c r="V193" s="451">
        <f t="shared" si="47"/>
        <v>-237.66666666666663</v>
      </c>
      <c r="W193" s="451">
        <f t="shared" si="47"/>
        <v>-149</v>
      </c>
      <c r="X193" s="451">
        <f t="shared" si="47"/>
        <v>-8824.9999999999982</v>
      </c>
      <c r="Y193" s="451">
        <f t="shared" si="47"/>
        <v>-678.8461538461537</v>
      </c>
    </row>
    <row r="194" spans="1:25" s="218" customFormat="1">
      <c r="A194" s="219">
        <f t="shared" si="44"/>
        <v>30</v>
      </c>
      <c r="C194" s="426"/>
      <c r="D194" s="442"/>
      <c r="F194" s="442"/>
      <c r="G194" s="442"/>
      <c r="H194" s="442"/>
      <c r="I194" s="442"/>
      <c r="J194" s="442"/>
      <c r="K194" s="442"/>
      <c r="L194" s="442"/>
      <c r="M194" s="219">
        <f t="shared" si="43"/>
        <v>30</v>
      </c>
      <c r="O194" s="426"/>
      <c r="P194" s="442"/>
      <c r="Q194" s="442"/>
      <c r="R194" s="442"/>
      <c r="S194" s="442"/>
      <c r="T194" s="442"/>
      <c r="U194" s="442"/>
      <c r="V194" s="442"/>
      <c r="W194" s="442"/>
      <c r="X194" s="442"/>
      <c r="Y194" s="442"/>
    </row>
    <row r="195" spans="1:25" s="420" customFormat="1">
      <c r="A195" s="426">
        <f t="shared" si="44"/>
        <v>31</v>
      </c>
      <c r="B195" s="446" t="s">
        <v>1456</v>
      </c>
      <c r="C195" s="426"/>
      <c r="D195" s="451">
        <f>D148+D170+D183+D193</f>
        <v>-98741326.21720624</v>
      </c>
      <c r="F195" s="451">
        <f t="shared" ref="F195:Y195" si="48">F148+F170+F183+F193</f>
        <v>-98741326.21720624</v>
      </c>
      <c r="G195" s="451">
        <f t="shared" si="48"/>
        <v>0</v>
      </c>
      <c r="H195" s="451">
        <f t="shared" si="48"/>
        <v>-98741326.21720624</v>
      </c>
      <c r="I195" s="451">
        <f t="shared" si="48"/>
        <v>-98956391.170433149</v>
      </c>
      <c r="J195" s="451">
        <f t="shared" si="48"/>
        <v>-99171456.123660073</v>
      </c>
      <c r="K195" s="451">
        <f t="shared" si="48"/>
        <v>-99386521.076886937</v>
      </c>
      <c r="L195" s="451">
        <f t="shared" si="48"/>
        <v>-99601586.030113831</v>
      </c>
      <c r="M195" s="426">
        <f t="shared" si="43"/>
        <v>31</v>
      </c>
      <c r="N195" s="446" t="s">
        <v>1456</v>
      </c>
      <c r="O195" s="426"/>
      <c r="P195" s="451">
        <f t="shared" si="48"/>
        <v>-99816650.983340755</v>
      </c>
      <c r="Q195" s="451">
        <f t="shared" si="48"/>
        <v>-100031715.93656763</v>
      </c>
      <c r="R195" s="451">
        <f t="shared" si="48"/>
        <v>-100246780.88979453</v>
      </c>
      <c r="S195" s="451">
        <f t="shared" si="48"/>
        <v>-100461845.84302142</v>
      </c>
      <c r="T195" s="451">
        <f t="shared" si="48"/>
        <v>-100676910.79624832</v>
      </c>
      <c r="U195" s="451">
        <f t="shared" si="48"/>
        <v>-100891975.74947521</v>
      </c>
      <c r="V195" s="451">
        <f t="shared" si="48"/>
        <v>-101107040.70270212</v>
      </c>
      <c r="W195" s="451">
        <f t="shared" si="48"/>
        <v>-101322105.65592895</v>
      </c>
      <c r="X195" s="451">
        <f t="shared" si="48"/>
        <v>-1300409314.1753793</v>
      </c>
      <c r="Y195" s="451">
        <f t="shared" si="48"/>
        <v>-100031485.70579837</v>
      </c>
    </row>
    <row r="196" spans="1:25" s="420" customFormat="1">
      <c r="A196" s="426">
        <f t="shared" si="44"/>
        <v>32</v>
      </c>
      <c r="C196" s="426"/>
      <c r="D196" s="434"/>
      <c r="F196" s="434"/>
      <c r="G196" s="434"/>
      <c r="H196" s="434"/>
      <c r="I196" s="434"/>
      <c r="J196" s="434"/>
      <c r="K196" s="434"/>
      <c r="L196" s="434"/>
      <c r="M196" s="426">
        <f t="shared" si="43"/>
        <v>32</v>
      </c>
      <c r="O196" s="426"/>
      <c r="P196" s="434"/>
      <c r="Q196" s="434"/>
      <c r="R196" s="434"/>
      <c r="S196" s="434"/>
      <c r="T196" s="434"/>
      <c r="U196" s="434"/>
      <c r="V196" s="434"/>
      <c r="W196" s="434"/>
      <c r="X196" s="434"/>
      <c r="Y196" s="434"/>
    </row>
    <row r="197" spans="1:25" s="420" customFormat="1">
      <c r="A197" s="426">
        <f t="shared" si="44"/>
        <v>33</v>
      </c>
      <c r="B197" s="420" t="s">
        <v>2953</v>
      </c>
      <c r="C197" s="426"/>
      <c r="H197" s="456">
        <f>SUM(H45,H103,H168:H169,H112)</f>
        <v>-94414483.103527069</v>
      </c>
      <c r="I197" s="456">
        <f t="shared" ref="I197:Y197" si="49">SUM(I45,I103,I168:I169,I112)</f>
        <v>-94568471.710458383</v>
      </c>
      <c r="J197" s="456">
        <f t="shared" si="49"/>
        <v>-94722460.317389697</v>
      </c>
      <c r="K197" s="456">
        <f t="shared" si="49"/>
        <v>-94876448.924321041</v>
      </c>
      <c r="L197" s="456">
        <f t="shared" si="49"/>
        <v>-95030437.531252354</v>
      </c>
      <c r="M197" s="426">
        <f t="shared" si="43"/>
        <v>33</v>
      </c>
      <c r="N197" s="420" t="s">
        <v>2953</v>
      </c>
      <c r="O197" s="426"/>
      <c r="P197" s="456">
        <f t="shared" si="49"/>
        <v>-95184426.138183713</v>
      </c>
      <c r="Q197" s="456">
        <f t="shared" si="49"/>
        <v>-95338414.745115027</v>
      </c>
      <c r="R197" s="456">
        <f t="shared" si="49"/>
        <v>-95492403.352046341</v>
      </c>
      <c r="S197" s="456">
        <f t="shared" si="49"/>
        <v>-95646391.958977699</v>
      </c>
      <c r="T197" s="456">
        <f t="shared" si="49"/>
        <v>-95800380.565909013</v>
      </c>
      <c r="U197" s="456">
        <f t="shared" si="49"/>
        <v>-95954369.172840327</v>
      </c>
      <c r="V197" s="456">
        <f t="shared" si="49"/>
        <v>-96108357.779771671</v>
      </c>
      <c r="W197" s="456">
        <f t="shared" si="49"/>
        <v>-96262346.386702955</v>
      </c>
      <c r="X197" s="456">
        <f t="shared" si="49"/>
        <v>-1239399339.6864953</v>
      </c>
      <c r="Y197" s="456">
        <f t="shared" si="49"/>
        <v>-95338410.745115012</v>
      </c>
    </row>
    <row r="199" spans="1:25" ht="27.75" customHeight="1">
      <c r="B199" s="1321" t="s">
        <v>2954</v>
      </c>
      <c r="C199" s="1321"/>
      <c r="D199" s="1321"/>
      <c r="E199" s="1321"/>
      <c r="F199" s="1321"/>
      <c r="G199" s="1321"/>
      <c r="H199" s="1321"/>
      <c r="I199" s="1321"/>
      <c r="J199" s="1321"/>
      <c r="K199" s="1321"/>
      <c r="L199" s="1321"/>
      <c r="N199" s="1321" t="s">
        <v>2954</v>
      </c>
      <c r="O199" s="1321"/>
      <c r="P199" s="1321"/>
      <c r="Q199" s="1321"/>
      <c r="R199" s="1321"/>
      <c r="S199" s="1321"/>
      <c r="T199" s="1321"/>
      <c r="U199" s="1321"/>
      <c r="V199" s="1321"/>
      <c r="W199" s="1321"/>
      <c r="X199" s="1321"/>
      <c r="Y199" s="1321"/>
    </row>
  </sheetData>
  <mergeCells count="26">
    <mergeCell ref="B199:L199"/>
    <mergeCell ref="N199:Y199"/>
    <mergeCell ref="A151:L151"/>
    <mergeCell ref="M151:Y151"/>
    <mergeCell ref="A152:L152"/>
    <mergeCell ref="M152:Y152"/>
    <mergeCell ref="A153:L153"/>
    <mergeCell ref="M153:Y153"/>
    <mergeCell ref="A89:L89"/>
    <mergeCell ref="M89:Y89"/>
    <mergeCell ref="A90:L90"/>
    <mergeCell ref="M90:Y90"/>
    <mergeCell ref="A150:L150"/>
    <mergeCell ref="M150:Y150"/>
    <mergeCell ref="A4:L4"/>
    <mergeCell ref="M4:Y4"/>
    <mergeCell ref="A87:L87"/>
    <mergeCell ref="M87:Y87"/>
    <mergeCell ref="A88:L88"/>
    <mergeCell ref="M88:Y88"/>
    <mergeCell ref="A1:L1"/>
    <mergeCell ref="M1:Y1"/>
    <mergeCell ref="A2:L2"/>
    <mergeCell ref="M2:Y2"/>
    <mergeCell ref="A3:L3"/>
    <mergeCell ref="M3:Y3"/>
  </mergeCells>
  <printOptions horizontalCentered="1"/>
  <pageMargins left="0.5" right="0.5" top="0.5" bottom="0.5" header="0.3" footer="0.3"/>
  <pageSetup scale="49" fitToWidth="2" fitToHeight="3" pageOrder="overThenDown" orientation="landscape" r:id="rId1"/>
  <rowBreaks count="2" manualBreakCount="2">
    <brk id="86" max="16383" man="1"/>
    <brk id="149" max="16383" man="1"/>
  </rowBreaks>
  <colBreaks count="1" manualBreakCount="1">
    <brk id="12"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M47"/>
  <sheetViews>
    <sheetView zoomScaleNormal="100" zoomScaleSheetLayoutView="100" workbookViewId="0">
      <selection activeCell="E33" sqref="E33"/>
    </sheetView>
  </sheetViews>
  <sheetFormatPr defaultColWidth="11.1640625" defaultRowHeight="12.75"/>
  <cols>
    <col min="1" max="1" width="9.5" style="426" bestFit="1" customWidth="1"/>
    <col min="2" max="2" width="53.5" style="420" customWidth="1"/>
    <col min="3" max="3" width="37.5" style="420" bestFit="1" customWidth="1"/>
    <col min="4" max="4" width="38.6640625" style="420" bestFit="1" customWidth="1"/>
    <col min="5" max="5" width="26.33203125" style="420" customWidth="1"/>
    <col min="6" max="7" width="37.5" style="420" bestFit="1" customWidth="1"/>
    <col min="8" max="8" width="23" style="420" bestFit="1" customWidth="1"/>
    <col min="9" max="9" width="15.6640625" style="420" bestFit="1" customWidth="1"/>
    <col min="10" max="10" width="17.1640625" style="420" bestFit="1" customWidth="1"/>
    <col min="11" max="11" width="14.6640625" style="420" customWidth="1"/>
    <col min="12" max="12" width="14" style="420" bestFit="1" customWidth="1"/>
    <col min="13" max="16384" width="11.1640625" style="420"/>
  </cols>
  <sheetData>
    <row r="1" spans="1:13">
      <c r="A1" s="1322" t="str">
        <f>+'General Headers Index'!B4</f>
        <v>COLUMBIA GAS OF KENTUCKY, INC.</v>
      </c>
      <c r="B1" s="1322"/>
      <c r="C1" s="1322"/>
      <c r="D1" s="1322"/>
      <c r="E1" s="1322"/>
      <c r="F1" s="1322"/>
      <c r="G1" s="1322"/>
      <c r="H1" s="1322"/>
      <c r="I1" s="419"/>
      <c r="J1" s="419"/>
      <c r="K1" s="419"/>
      <c r="L1" s="419"/>
      <c r="M1" s="419"/>
    </row>
    <row r="2" spans="1:13">
      <c r="A2" s="1322" t="str">
        <f>+'General Headers Index'!B6</f>
        <v>CASE NO. 2024 - 00092</v>
      </c>
      <c r="B2" s="1322"/>
      <c r="C2" s="1322"/>
      <c r="D2" s="1322"/>
      <c r="E2" s="1322"/>
      <c r="F2" s="1322"/>
      <c r="G2" s="1322"/>
      <c r="H2" s="1322"/>
      <c r="I2" s="419"/>
      <c r="J2" s="419"/>
      <c r="K2" s="419"/>
      <c r="L2" s="419"/>
      <c r="M2" s="419"/>
    </row>
    <row r="3" spans="1:13">
      <c r="A3" s="1322" t="s">
        <v>1975</v>
      </c>
      <c r="B3" s="1322"/>
      <c r="C3" s="1322"/>
      <c r="D3" s="1322"/>
      <c r="E3" s="1322"/>
      <c r="F3" s="1322"/>
      <c r="G3" s="1322"/>
      <c r="H3" s="1322"/>
      <c r="I3" s="421"/>
      <c r="J3" s="421"/>
      <c r="K3" s="421"/>
      <c r="L3" s="421"/>
      <c r="M3" s="421"/>
    </row>
    <row r="4" spans="1:13">
      <c r="A4" s="1322" t="str">
        <f>+'General Headers Index'!B17</f>
        <v>AS OF DECEMBER 31, 2025</v>
      </c>
      <c r="B4" s="1322"/>
      <c r="C4" s="1322"/>
      <c r="D4" s="1322"/>
      <c r="E4" s="1322"/>
      <c r="F4" s="1322"/>
      <c r="G4" s="1322"/>
      <c r="H4" s="1322"/>
      <c r="I4" s="421"/>
      <c r="J4" s="421"/>
      <c r="K4" s="421"/>
      <c r="L4" s="421"/>
      <c r="M4" s="421"/>
    </row>
    <row r="5" spans="1:13">
      <c r="A5" s="995"/>
      <c r="B5" s="418"/>
      <c r="C5" s="418"/>
      <c r="D5" s="418"/>
      <c r="E5" s="418"/>
      <c r="F5" s="418"/>
      <c r="G5" s="418"/>
      <c r="H5" s="418"/>
      <c r="I5" s="421"/>
      <c r="J5" s="421"/>
      <c r="K5" s="421"/>
      <c r="L5" s="421"/>
      <c r="M5" s="421"/>
    </row>
    <row r="6" spans="1:13">
      <c r="A6" s="422" t="s">
        <v>2788</v>
      </c>
      <c r="B6" s="419"/>
      <c r="C6" s="418"/>
      <c r="D6" s="419"/>
      <c r="E6" s="419"/>
      <c r="F6" s="419"/>
      <c r="G6" s="419"/>
      <c r="H6" s="423" t="s">
        <v>2475</v>
      </c>
      <c r="I6" s="419"/>
      <c r="J6" s="419"/>
      <c r="K6" s="419"/>
      <c r="L6" s="419"/>
    </row>
    <row r="7" spans="1:13">
      <c r="A7" s="422" t="s">
        <v>572</v>
      </c>
      <c r="B7" s="422"/>
      <c r="C7" s="418"/>
      <c r="D7" s="419"/>
      <c r="E7" s="419"/>
      <c r="F7" s="419"/>
      <c r="G7" s="419"/>
      <c r="H7" s="423" t="s">
        <v>722</v>
      </c>
      <c r="I7" s="419"/>
      <c r="J7" s="419"/>
      <c r="K7" s="419"/>
      <c r="L7" s="419"/>
    </row>
    <row r="8" spans="1:13">
      <c r="A8" s="422" t="s">
        <v>58</v>
      </c>
      <c r="B8" s="419"/>
      <c r="C8" s="418"/>
      <c r="D8" s="419"/>
      <c r="E8" s="419"/>
      <c r="F8" s="419"/>
      <c r="G8" s="419"/>
      <c r="H8" s="423" t="str">
        <f>"WITNESS: "&amp;'General Headers Index'!B58</f>
        <v>WITNESS: HARDING</v>
      </c>
      <c r="I8" s="419"/>
      <c r="J8" s="419"/>
      <c r="K8" s="419"/>
      <c r="L8" s="419"/>
    </row>
    <row r="9" spans="1:13">
      <c r="A9" s="996"/>
      <c r="B9" s="997"/>
      <c r="C9" s="995"/>
      <c r="D9" s="997"/>
      <c r="E9" s="997"/>
      <c r="F9" s="997"/>
      <c r="G9" s="997"/>
      <c r="H9" s="998"/>
      <c r="I9" s="419"/>
      <c r="J9" s="419"/>
      <c r="K9" s="419"/>
      <c r="L9" s="419"/>
    </row>
    <row r="10" spans="1:13">
      <c r="A10" s="217" t="s">
        <v>313</v>
      </c>
      <c r="B10" s="233"/>
      <c r="C10" s="233" t="s">
        <v>2905</v>
      </c>
      <c r="D10" s="227"/>
      <c r="E10" s="227"/>
      <c r="F10" s="227"/>
      <c r="G10" s="227"/>
    </row>
    <row r="11" spans="1:13">
      <c r="A11" s="885" t="s">
        <v>316</v>
      </c>
      <c r="B11" s="233" t="s">
        <v>2903</v>
      </c>
      <c r="C11" s="233" t="s">
        <v>2904</v>
      </c>
      <c r="D11" s="849"/>
      <c r="E11" s="849"/>
      <c r="F11" s="849"/>
      <c r="G11" s="849"/>
      <c r="H11" s="848"/>
    </row>
    <row r="12" spans="1:13">
      <c r="A12" s="424"/>
      <c r="B12" s="425"/>
      <c r="C12" s="425" t="s">
        <v>532</v>
      </c>
      <c r="D12" s="227"/>
      <c r="E12" s="227"/>
      <c r="F12" s="227"/>
      <c r="G12" s="227"/>
    </row>
    <row r="13" spans="1:13">
      <c r="B13" s="252"/>
      <c r="C13" s="300" t="s">
        <v>320</v>
      </c>
      <c r="D13" s="227"/>
      <c r="E13" s="227"/>
      <c r="F13" s="227"/>
      <c r="G13" s="227"/>
    </row>
    <row r="14" spans="1:13">
      <c r="B14" s="252"/>
      <c r="C14" s="300"/>
      <c r="D14" s="227"/>
      <c r="E14" s="227"/>
      <c r="F14" s="227"/>
      <c r="G14" s="227"/>
    </row>
    <row r="15" spans="1:13">
      <c r="A15" s="426">
        <v>1</v>
      </c>
      <c r="B15" s="227" t="s">
        <v>1976</v>
      </c>
      <c r="C15" s="227">
        <f>'B-6.B ADIT &amp; EDIT (Forecast)'!H197</f>
        <v>-94414483.103527069</v>
      </c>
      <c r="D15" s="227" t="s">
        <v>1977</v>
      </c>
      <c r="E15" s="227"/>
      <c r="F15" s="227"/>
      <c r="G15" s="227"/>
    </row>
    <row r="16" spans="1:13">
      <c r="B16" s="227"/>
      <c r="C16" s="227"/>
      <c r="D16" s="227"/>
      <c r="E16" s="227"/>
      <c r="F16" s="227"/>
      <c r="G16" s="227"/>
    </row>
    <row r="17" spans="1:8">
      <c r="A17" s="426">
        <f>A15+1</f>
        <v>2</v>
      </c>
      <c r="B17" s="227" t="s">
        <v>1978</v>
      </c>
      <c r="C17" s="849">
        <f>'B-6.B ADIT &amp; EDIT (Forecast)'!W197</f>
        <v>-96262346.386702955</v>
      </c>
      <c r="D17" s="227" t="s">
        <v>1979</v>
      </c>
      <c r="E17" s="227"/>
      <c r="F17" s="227"/>
      <c r="G17" s="227"/>
    </row>
    <row r="18" spans="1:8">
      <c r="B18" s="227"/>
      <c r="C18" s="227"/>
      <c r="E18" s="227"/>
      <c r="F18" s="227"/>
      <c r="G18" s="227"/>
    </row>
    <row r="19" spans="1:8">
      <c r="A19" s="426">
        <f>A17+1</f>
        <v>3</v>
      </c>
      <c r="B19" s="227" t="s">
        <v>1980</v>
      </c>
      <c r="C19" s="227">
        <f>C17-C15</f>
        <v>-1847863.2831758857</v>
      </c>
      <c r="E19" s="227"/>
      <c r="F19" s="227"/>
      <c r="G19" s="227"/>
    </row>
    <row r="20" spans="1:8">
      <c r="D20" s="227"/>
      <c r="E20" s="227"/>
      <c r="F20" s="227"/>
      <c r="G20" s="227"/>
    </row>
    <row r="21" spans="1:8">
      <c r="A21" s="847"/>
      <c r="B21" s="848"/>
      <c r="C21" s="848"/>
      <c r="D21" s="849"/>
      <c r="E21" s="849"/>
      <c r="F21" s="849"/>
      <c r="G21" s="849"/>
      <c r="H21" s="848"/>
    </row>
    <row r="22" spans="1:8" s="426" customFormat="1">
      <c r="D22" s="233" t="s">
        <v>2906</v>
      </c>
      <c r="E22" s="233"/>
      <c r="F22" s="233" t="s">
        <v>2907</v>
      </c>
      <c r="G22" s="233"/>
    </row>
    <row r="23" spans="1:8" s="426" customFormat="1">
      <c r="A23" s="217" t="s">
        <v>313</v>
      </c>
      <c r="B23" s="233"/>
      <c r="C23" s="233" t="s">
        <v>2905</v>
      </c>
      <c r="D23" s="233" t="s">
        <v>2905</v>
      </c>
      <c r="E23" s="233" t="s">
        <v>2907</v>
      </c>
      <c r="F23" s="233" t="s">
        <v>2905</v>
      </c>
      <c r="G23" s="233" t="s">
        <v>2905</v>
      </c>
      <c r="H23" s="426" t="s">
        <v>2910</v>
      </c>
    </row>
    <row r="24" spans="1:8" s="426" customFormat="1">
      <c r="A24" s="846" t="s">
        <v>316</v>
      </c>
      <c r="B24" s="233" t="s">
        <v>1761</v>
      </c>
      <c r="C24" s="233" t="s">
        <v>2904</v>
      </c>
      <c r="D24" s="233" t="s">
        <v>2904</v>
      </c>
      <c r="E24" s="427" t="s">
        <v>2908</v>
      </c>
      <c r="F24" s="233" t="s">
        <v>2904</v>
      </c>
      <c r="G24" s="233" t="s">
        <v>2904</v>
      </c>
      <c r="H24" s="428" t="s">
        <v>2909</v>
      </c>
    </row>
    <row r="25" spans="1:8">
      <c r="A25" s="424"/>
      <c r="B25" s="425"/>
      <c r="C25" s="425" t="s">
        <v>532</v>
      </c>
      <c r="D25" s="429" t="s">
        <v>541</v>
      </c>
      <c r="E25" s="429" t="s">
        <v>542</v>
      </c>
      <c r="F25" s="429" t="s">
        <v>2955</v>
      </c>
      <c r="G25" s="429" t="s">
        <v>669</v>
      </c>
      <c r="H25" s="429" t="s">
        <v>2956</v>
      </c>
    </row>
    <row r="26" spans="1:8">
      <c r="C26" s="300" t="s">
        <v>320</v>
      </c>
      <c r="D26" s="300" t="s">
        <v>320</v>
      </c>
      <c r="E26" s="428"/>
      <c r="F26" s="300" t="s">
        <v>320</v>
      </c>
      <c r="G26" s="300" t="s">
        <v>320</v>
      </c>
      <c r="H26" s="300" t="s">
        <v>320</v>
      </c>
    </row>
    <row r="27" spans="1:8">
      <c r="C27" s="300"/>
      <c r="D27" s="300"/>
      <c r="E27" s="428"/>
      <c r="F27" s="300"/>
      <c r="G27" s="300"/>
      <c r="H27" s="300"/>
    </row>
    <row r="28" spans="1:8">
      <c r="A28" s="426">
        <v>4</v>
      </c>
      <c r="B28" s="430" t="s">
        <v>1560</v>
      </c>
      <c r="C28" s="227">
        <f>'B-6.B ADIT &amp; EDIT (Forecast)'!H$197</f>
        <v>-94414483.103527069</v>
      </c>
      <c r="D28" s="227">
        <v>0</v>
      </c>
      <c r="E28" s="233" t="s">
        <v>1981</v>
      </c>
      <c r="F28" s="227">
        <v>0</v>
      </c>
      <c r="G28" s="227">
        <f>C28</f>
        <v>-94414483.103527069</v>
      </c>
      <c r="H28" s="431">
        <f t="shared" ref="H28:H40" si="0">G28-C28</f>
        <v>0</v>
      </c>
    </row>
    <row r="29" spans="1:8">
      <c r="A29" s="426">
        <f t="shared" ref="A29:A40" si="1">A28+1</f>
        <v>5</v>
      </c>
      <c r="B29" s="432" t="s">
        <v>1561</v>
      </c>
      <c r="C29" s="227">
        <f>'B-6.B ADIT &amp; EDIT (Forecast)'!I$197</f>
        <v>-94568471.710458383</v>
      </c>
      <c r="D29" s="227">
        <f t="shared" ref="D29:D40" si="2">C29-C28</f>
        <v>-153988.60693131387</v>
      </c>
      <c r="E29" s="233" t="s">
        <v>1982</v>
      </c>
      <c r="F29" s="433">
        <f>ROUND(D29*335/365,0)</f>
        <v>-141332</v>
      </c>
      <c r="G29" s="227">
        <f>F29+G28</f>
        <v>-94555815.103527069</v>
      </c>
      <c r="H29" s="431">
        <f t="shared" si="0"/>
        <v>12656.606931313872</v>
      </c>
    </row>
    <row r="30" spans="1:8">
      <c r="A30" s="426">
        <f t="shared" si="1"/>
        <v>6</v>
      </c>
      <c r="B30" s="432" t="s">
        <v>1562</v>
      </c>
      <c r="C30" s="227">
        <f>'B-6.B ADIT &amp; EDIT (Forecast)'!J$197</f>
        <v>-94722460.317389697</v>
      </c>
      <c r="D30" s="227">
        <f t="shared" si="2"/>
        <v>-153988.60693131387</v>
      </c>
      <c r="E30" s="233" t="s">
        <v>1983</v>
      </c>
      <c r="F30" s="433">
        <f>ROUND(D30*305/365,0)</f>
        <v>-128675</v>
      </c>
      <c r="G30" s="227">
        <f t="shared" ref="G30:G40" si="3">F30+G29</f>
        <v>-94684490.103527069</v>
      </c>
      <c r="H30" s="431">
        <f t="shared" si="0"/>
        <v>37970.213862627745</v>
      </c>
    </row>
    <row r="31" spans="1:8">
      <c r="A31" s="426">
        <f t="shared" si="1"/>
        <v>7</v>
      </c>
      <c r="B31" s="432" t="s">
        <v>1563</v>
      </c>
      <c r="C31" s="227">
        <f>'B-6.B ADIT &amp; EDIT (Forecast)'!K$197</f>
        <v>-94876448.924321041</v>
      </c>
      <c r="D31" s="227">
        <f t="shared" si="2"/>
        <v>-153988.60693134367</v>
      </c>
      <c r="E31" s="233" t="s">
        <v>1984</v>
      </c>
      <c r="F31" s="433">
        <f>ROUND(D31*274/365,0)</f>
        <v>-115597</v>
      </c>
      <c r="G31" s="227">
        <f>F31+G30</f>
        <v>-94800087.103527069</v>
      </c>
      <c r="H31" s="431">
        <f t="shared" si="0"/>
        <v>76361.820793971419</v>
      </c>
    </row>
    <row r="32" spans="1:8">
      <c r="A32" s="426">
        <f t="shared" si="1"/>
        <v>8</v>
      </c>
      <c r="B32" s="432" t="s">
        <v>1564</v>
      </c>
      <c r="C32" s="227">
        <f>'B-6.B ADIT &amp; EDIT (Forecast)'!L$197</f>
        <v>-95030437.531252354</v>
      </c>
      <c r="D32" s="227">
        <f t="shared" si="2"/>
        <v>-153988.60693131387</v>
      </c>
      <c r="E32" s="233" t="s">
        <v>1985</v>
      </c>
      <c r="F32" s="433">
        <f>ROUND(D32*243/365,0)</f>
        <v>-102518</v>
      </c>
      <c r="G32" s="227">
        <f t="shared" si="3"/>
        <v>-94902605.103527069</v>
      </c>
      <c r="H32" s="431">
        <f t="shared" si="0"/>
        <v>127832.42772528529</v>
      </c>
    </row>
    <row r="33" spans="1:8">
      <c r="A33" s="426">
        <f t="shared" si="1"/>
        <v>9</v>
      </c>
      <c r="B33" s="432" t="s">
        <v>1565</v>
      </c>
      <c r="C33" s="227">
        <f>'B-6.B ADIT &amp; EDIT (Forecast)'!P$197</f>
        <v>-95184426.138183713</v>
      </c>
      <c r="D33" s="227">
        <f t="shared" si="2"/>
        <v>-153988.60693135858</v>
      </c>
      <c r="E33" s="233" t="s">
        <v>1986</v>
      </c>
      <c r="F33" s="433">
        <f>ROUND(D33*215/365,0)</f>
        <v>-90706</v>
      </c>
      <c r="G33" s="227">
        <f t="shared" si="3"/>
        <v>-94993311.103527069</v>
      </c>
      <c r="H33" s="431">
        <f t="shared" si="0"/>
        <v>191115.03465664387</v>
      </c>
    </row>
    <row r="34" spans="1:8">
      <c r="A34" s="426">
        <f t="shared" si="1"/>
        <v>10</v>
      </c>
      <c r="B34" s="432" t="s">
        <v>1566</v>
      </c>
      <c r="C34" s="227">
        <f>'B-6.B ADIT &amp; EDIT (Forecast)'!Q$197</f>
        <v>-95338414.745115027</v>
      </c>
      <c r="D34" s="227">
        <f t="shared" si="2"/>
        <v>-153988.60693131387</v>
      </c>
      <c r="E34" s="233" t="s">
        <v>1987</v>
      </c>
      <c r="F34" s="433">
        <f>ROUND(D34*184/365,0)</f>
        <v>-77627</v>
      </c>
      <c r="G34" s="227">
        <f t="shared" si="3"/>
        <v>-95070938.103527069</v>
      </c>
      <c r="H34" s="431">
        <f t="shared" si="0"/>
        <v>267476.64158795774</v>
      </c>
    </row>
    <row r="35" spans="1:8">
      <c r="A35" s="426">
        <f t="shared" si="1"/>
        <v>11</v>
      </c>
      <c r="B35" s="432" t="s">
        <v>1567</v>
      </c>
      <c r="C35" s="227">
        <f>'B-6.B ADIT &amp; EDIT (Forecast)'!R$197</f>
        <v>-95492403.352046341</v>
      </c>
      <c r="D35" s="227">
        <f t="shared" si="2"/>
        <v>-153988.60693131387</v>
      </c>
      <c r="E35" s="233" t="s">
        <v>1988</v>
      </c>
      <c r="F35" s="433">
        <f>ROUND(D35*154/365,0)</f>
        <v>-64971</v>
      </c>
      <c r="G35" s="227">
        <f t="shared" si="3"/>
        <v>-95135909.103527069</v>
      </c>
      <c r="H35" s="431">
        <f t="shared" si="0"/>
        <v>356494.24851927161</v>
      </c>
    </row>
    <row r="36" spans="1:8">
      <c r="A36" s="426">
        <f t="shared" si="1"/>
        <v>12</v>
      </c>
      <c r="B36" s="432" t="s">
        <v>1568</v>
      </c>
      <c r="C36" s="227">
        <f>'B-6.B ADIT &amp; EDIT (Forecast)'!S$197</f>
        <v>-95646391.958977699</v>
      </c>
      <c r="D36" s="227">
        <f t="shared" si="2"/>
        <v>-153988.60693135858</v>
      </c>
      <c r="E36" s="233" t="s">
        <v>1989</v>
      </c>
      <c r="F36" s="433">
        <f>ROUND(D36*123/365,0)</f>
        <v>-51892</v>
      </c>
      <c r="G36" s="227">
        <f t="shared" si="3"/>
        <v>-95187801.103527069</v>
      </c>
      <c r="H36" s="431">
        <f t="shared" si="0"/>
        <v>458590.85545063019</v>
      </c>
    </row>
    <row r="37" spans="1:8">
      <c r="A37" s="426">
        <f t="shared" si="1"/>
        <v>13</v>
      </c>
      <c r="B37" s="432" t="s">
        <v>1569</v>
      </c>
      <c r="C37" s="227">
        <f>'B-6.B ADIT &amp; EDIT (Forecast)'!T$197</f>
        <v>-95800380.565909013</v>
      </c>
      <c r="D37" s="227">
        <f t="shared" si="2"/>
        <v>-153988.60693131387</v>
      </c>
      <c r="E37" s="233" t="s">
        <v>1990</v>
      </c>
      <c r="F37" s="433">
        <f>ROUND(D37*93/365,0)</f>
        <v>-39235</v>
      </c>
      <c r="G37" s="227">
        <f t="shared" si="3"/>
        <v>-95227036.103527069</v>
      </c>
      <c r="H37" s="431">
        <f t="shared" si="0"/>
        <v>573344.46238194406</v>
      </c>
    </row>
    <row r="38" spans="1:8">
      <c r="A38" s="426">
        <f t="shared" si="1"/>
        <v>14</v>
      </c>
      <c r="B38" s="432" t="s">
        <v>1570</v>
      </c>
      <c r="C38" s="227">
        <f>'B-6.B ADIT &amp; EDIT (Forecast)'!U$197</f>
        <v>-95954369.172840327</v>
      </c>
      <c r="D38" s="227">
        <f t="shared" si="2"/>
        <v>-153988.60693131387</v>
      </c>
      <c r="E38" s="233" t="s">
        <v>1991</v>
      </c>
      <c r="F38" s="433">
        <f>ROUND(D38*62/365,0)</f>
        <v>-26157</v>
      </c>
      <c r="G38" s="227">
        <f t="shared" si="3"/>
        <v>-95253193.103527069</v>
      </c>
      <c r="H38" s="431">
        <f t="shared" si="0"/>
        <v>701176.06931325793</v>
      </c>
    </row>
    <row r="39" spans="1:8">
      <c r="A39" s="426">
        <f t="shared" si="1"/>
        <v>15</v>
      </c>
      <c r="B39" s="432" t="s">
        <v>1571</v>
      </c>
      <c r="C39" s="227">
        <f>'B-6.B ADIT &amp; EDIT (Forecast)'!V$197</f>
        <v>-96108357.779771671</v>
      </c>
      <c r="D39" s="227">
        <f t="shared" si="2"/>
        <v>-153988.60693134367</v>
      </c>
      <c r="E39" s="233" t="s">
        <v>1992</v>
      </c>
      <c r="F39" s="433">
        <f>ROUND(D39*31/365,0)</f>
        <v>-13078</v>
      </c>
      <c r="G39" s="227">
        <f t="shared" si="3"/>
        <v>-95266271.103527069</v>
      </c>
      <c r="H39" s="431">
        <f t="shared" si="0"/>
        <v>842086.67624460161</v>
      </c>
    </row>
    <row r="40" spans="1:8">
      <c r="A40" s="426">
        <f t="shared" si="1"/>
        <v>16</v>
      </c>
      <c r="B40" s="430" t="s">
        <v>1572</v>
      </c>
      <c r="C40" s="227">
        <f>'B-6.B ADIT &amp; EDIT (Forecast)'!W$197</f>
        <v>-96262346.386702955</v>
      </c>
      <c r="D40" s="227">
        <f t="shared" si="2"/>
        <v>-153988.60693128407</v>
      </c>
      <c r="E40" s="233" t="s">
        <v>1993</v>
      </c>
      <c r="F40" s="433">
        <f>ROUND(D40*1/365,0)</f>
        <v>-422</v>
      </c>
      <c r="G40" s="252">
        <f t="shared" si="3"/>
        <v>-95266693.103527069</v>
      </c>
      <c r="H40" s="431">
        <f t="shared" si="0"/>
        <v>995653.28317588568</v>
      </c>
    </row>
    <row r="41" spans="1:8">
      <c r="B41" s="432"/>
      <c r="C41" s="227"/>
      <c r="D41" s="227"/>
      <c r="E41" s="233"/>
      <c r="F41" s="433"/>
      <c r="G41" s="252"/>
      <c r="H41" s="431"/>
    </row>
    <row r="42" spans="1:8">
      <c r="A42" s="426">
        <f>A40+1</f>
        <v>17</v>
      </c>
      <c r="B42" s="227" t="s">
        <v>677</v>
      </c>
      <c r="C42" s="434"/>
      <c r="D42" s="435">
        <f>SUM(D28:D40)</f>
        <v>-1847863.2831758857</v>
      </c>
      <c r="E42" s="233"/>
      <c r="F42" s="435">
        <f>SUM(F28:F40)</f>
        <v>-852210</v>
      </c>
      <c r="G42" s="227"/>
      <c r="H42" s="435">
        <f>-D42+F42</f>
        <v>995653.28317588568</v>
      </c>
    </row>
    <row r="43" spans="1:8">
      <c r="B43" s="227"/>
      <c r="C43" s="227"/>
      <c r="D43" s="227"/>
      <c r="E43" s="227"/>
      <c r="F43" s="227"/>
      <c r="G43" s="227"/>
    </row>
    <row r="44" spans="1:8">
      <c r="A44" s="426">
        <f>A42+1</f>
        <v>18</v>
      </c>
      <c r="B44" s="227" t="s">
        <v>1994</v>
      </c>
      <c r="C44" s="227"/>
      <c r="D44" s="227"/>
      <c r="F44" s="227"/>
      <c r="H44" s="436">
        <f>-'B-6.B ADIT &amp; EDIT (Forecast)'!W197+'B-6.B ADIT &amp; EDIT (Forecast)'!Y197</f>
        <v>923935.64158794284</v>
      </c>
    </row>
    <row r="45" spans="1:8">
      <c r="B45" s="227"/>
      <c r="C45" s="227"/>
      <c r="D45" s="227"/>
      <c r="E45" s="227"/>
      <c r="F45" s="227"/>
      <c r="G45" s="227"/>
    </row>
    <row r="46" spans="1:8">
      <c r="A46" s="426">
        <f>A44+1</f>
        <v>19</v>
      </c>
      <c r="B46" s="227" t="s">
        <v>1995</v>
      </c>
      <c r="C46" s="437"/>
      <c r="H46" s="438">
        <f>H42-H44</f>
        <v>71717.641587942839</v>
      </c>
    </row>
    <row r="47" spans="1:8">
      <c r="H47" s="434"/>
    </row>
  </sheetData>
  <mergeCells count="4">
    <mergeCell ref="A1:H1"/>
    <mergeCell ref="A2:H2"/>
    <mergeCell ref="A3:H3"/>
    <mergeCell ref="A4:H4"/>
  </mergeCells>
  <printOptions horizontalCentered="1"/>
  <pageMargins left="0.5" right="0.5" top="0.75" bottom="0.5" header="0.3" footer="0.3"/>
  <pageSetup scale="6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E25"/>
  <sheetViews>
    <sheetView zoomScaleNormal="100" zoomScaleSheetLayoutView="96" workbookViewId="0">
      <selection activeCell="D12" sqref="D12"/>
    </sheetView>
  </sheetViews>
  <sheetFormatPr defaultColWidth="8.6640625" defaultRowHeight="10.5"/>
  <cols>
    <col min="1" max="1" width="5.5" style="948" customWidth="1"/>
    <col min="2" max="2" width="21.1640625" style="948" customWidth="1"/>
    <col min="3" max="3" width="27.1640625" style="948" customWidth="1"/>
    <col min="4" max="4" width="42.6640625" style="948" customWidth="1"/>
    <col min="5" max="5" width="62.1640625" style="948" customWidth="1"/>
    <col min="6" max="16384" width="8.6640625" style="948"/>
  </cols>
  <sheetData>
    <row r="1" spans="1:5" ht="12.75">
      <c r="A1" s="1306" t="str">
        <f>'General Headers Index'!B4</f>
        <v>COLUMBIA GAS OF KENTUCKY, INC.</v>
      </c>
      <c r="B1" s="1306"/>
      <c r="C1" s="1306"/>
      <c r="D1" s="1306"/>
      <c r="E1" s="1306"/>
    </row>
    <row r="2" spans="1:5" ht="12.75">
      <c r="A2" s="1306" t="str">
        <f>'General Headers Index'!B6</f>
        <v>CASE NO. 2024 - 00092</v>
      </c>
      <c r="B2" s="1306"/>
      <c r="C2" s="1306"/>
      <c r="D2" s="1306"/>
      <c r="E2" s="1306"/>
    </row>
    <row r="3" spans="1:5" ht="12.75">
      <c r="A3" s="1306" t="s">
        <v>1017</v>
      </c>
      <c r="B3" s="1306"/>
      <c r="C3" s="1306"/>
      <c r="D3" s="1306"/>
      <c r="E3" s="1306"/>
    </row>
    <row r="4" spans="1:5" ht="12.75">
      <c r="A4" s="1306" t="str">
        <f>'General Headers Index'!B12</f>
        <v>FOR THE BASE PERIOD AUGUST 31, 2024</v>
      </c>
      <c r="B4" s="1306"/>
      <c r="C4" s="1306"/>
      <c r="D4" s="1306"/>
      <c r="E4" s="1306"/>
    </row>
    <row r="5" spans="1:5" ht="12.75">
      <c r="A5" s="217"/>
      <c r="B5" s="217"/>
      <c r="C5" s="217"/>
      <c r="D5" s="217"/>
      <c r="E5" s="217"/>
    </row>
    <row r="6" spans="1:5" ht="12.75">
      <c r="A6" s="220"/>
      <c r="B6" s="220"/>
      <c r="C6" s="220"/>
      <c r="D6" s="220"/>
      <c r="E6" s="220"/>
    </row>
    <row r="7" spans="1:5" ht="12.75">
      <c r="A7" s="229" t="s">
        <v>2832</v>
      </c>
      <c r="B7" s="220"/>
      <c r="C7" s="220"/>
      <c r="D7" s="220"/>
      <c r="E7" s="326" t="s">
        <v>1018</v>
      </c>
    </row>
    <row r="8" spans="1:5" ht="12.75">
      <c r="A8" s="229" t="str">
        <f>'General Headers Index'!B37</f>
        <v>TYPE OF FILING:___X___ORIGINAL______UPDATED</v>
      </c>
      <c r="B8" s="220"/>
      <c r="C8" s="220"/>
      <c r="D8" s="220"/>
      <c r="E8" s="326" t="s">
        <v>722</v>
      </c>
    </row>
    <row r="9" spans="1:5" ht="12.75">
      <c r="A9" s="229" t="s">
        <v>58</v>
      </c>
      <c r="B9" s="220"/>
      <c r="C9" s="220"/>
      <c r="D9" s="220"/>
      <c r="E9" s="326" t="str">
        <f>"WITNESS: "&amp;'General Headers Index'!B42</f>
        <v>WITNESS: GORE</v>
      </c>
    </row>
    <row r="10" spans="1:5" ht="12.75">
      <c r="A10" s="837"/>
      <c r="B10" s="836"/>
      <c r="C10" s="836"/>
      <c r="D10" s="836"/>
      <c r="E10" s="838"/>
    </row>
    <row r="11" spans="1:5" ht="12.75">
      <c r="A11" s="217" t="s">
        <v>313</v>
      </c>
      <c r="B11" s="217" t="s">
        <v>368</v>
      </c>
      <c r="C11" s="220"/>
      <c r="D11" s="217" t="s">
        <v>350</v>
      </c>
      <c r="E11" s="217" t="s">
        <v>1019</v>
      </c>
    </row>
    <row r="12" spans="1:5" ht="12.75">
      <c r="A12" s="890" t="s">
        <v>316</v>
      </c>
      <c r="B12" s="890" t="s">
        <v>316</v>
      </c>
      <c r="C12" s="890" t="s">
        <v>440</v>
      </c>
      <c r="D12" s="890" t="s">
        <v>354</v>
      </c>
      <c r="E12" s="890" t="s">
        <v>1020</v>
      </c>
    </row>
    <row r="13" spans="1:5" ht="12.75">
      <c r="A13" s="220"/>
      <c r="B13" s="220"/>
      <c r="C13" s="220"/>
      <c r="D13" s="220"/>
      <c r="E13" s="220"/>
    </row>
    <row r="14" spans="1:5" ht="12.75">
      <c r="A14" s="220"/>
      <c r="B14" s="220"/>
      <c r="C14" s="220"/>
      <c r="D14" s="220"/>
      <c r="E14" s="220"/>
    </row>
    <row r="15" spans="1:5" ht="12.75">
      <c r="A15" s="220"/>
      <c r="B15" s="220"/>
      <c r="C15" s="220"/>
      <c r="D15" s="329"/>
      <c r="E15" s="328"/>
    </row>
    <row r="16" spans="1:5" ht="12.75">
      <c r="A16" s="220"/>
      <c r="B16" s="220"/>
      <c r="C16" s="220"/>
      <c r="D16" s="220"/>
      <c r="E16" s="328"/>
    </row>
    <row r="17" spans="1:5" ht="12.75">
      <c r="A17" s="1306" t="s">
        <v>1021</v>
      </c>
      <c r="B17" s="1306"/>
      <c r="C17" s="1306"/>
      <c r="D17" s="1306"/>
      <c r="E17" s="1306"/>
    </row>
    <row r="18" spans="1:5" ht="12.75">
      <c r="A18" s="220"/>
      <c r="B18" s="220"/>
      <c r="C18" s="220"/>
      <c r="D18" s="220"/>
      <c r="E18" s="220"/>
    </row>
    <row r="19" spans="1:5" ht="12.75">
      <c r="A19" s="220"/>
      <c r="B19" s="220"/>
      <c r="C19" s="220"/>
      <c r="D19" s="329"/>
      <c r="E19" s="328"/>
    </row>
    <row r="20" spans="1:5" ht="12.75">
      <c r="A20" s="220"/>
      <c r="B20" s="220"/>
      <c r="C20" s="220"/>
      <c r="D20" s="220"/>
      <c r="E20" s="328"/>
    </row>
    <row r="21" spans="1:5" ht="12.75">
      <c r="A21" s="220"/>
      <c r="B21" s="220"/>
      <c r="C21" s="220"/>
      <c r="D21" s="329"/>
      <c r="E21" s="328"/>
    </row>
    <row r="22" spans="1:5" ht="12.75">
      <c r="A22" s="220"/>
      <c r="B22" s="220"/>
      <c r="C22" s="220"/>
      <c r="D22" s="220"/>
      <c r="E22" s="328"/>
    </row>
    <row r="23" spans="1:5" ht="12.75">
      <c r="A23" s="220"/>
      <c r="B23" s="220"/>
      <c r="C23" s="220"/>
      <c r="D23" s="329"/>
      <c r="E23" s="328"/>
    </row>
    <row r="24" spans="1:5" ht="12.75">
      <c r="A24" s="220"/>
      <c r="B24" s="220"/>
      <c r="C24" s="220"/>
      <c r="D24" s="220"/>
      <c r="E24" s="220"/>
    </row>
    <row r="25" spans="1:5" ht="11.25">
      <c r="A25" s="417"/>
      <c r="B25" s="417"/>
      <c r="C25" s="417"/>
      <c r="D25" s="417"/>
      <c r="E25" s="417"/>
    </row>
  </sheetData>
  <mergeCells count="5">
    <mergeCell ref="A1:E1"/>
    <mergeCell ref="A2:E2"/>
    <mergeCell ref="A3:E3"/>
    <mergeCell ref="A4:E4"/>
    <mergeCell ref="A17:E17"/>
  </mergeCells>
  <printOptions horizontalCentered="1"/>
  <pageMargins left="0.5" right="0.5" top="0.75" bottom="0.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C26"/>
  <sheetViews>
    <sheetView zoomScaleNormal="100" zoomScaleSheetLayoutView="100" workbookViewId="0">
      <selection activeCell="C29" sqref="C29"/>
    </sheetView>
  </sheetViews>
  <sheetFormatPr defaultRowHeight="10.5"/>
  <cols>
    <col min="1" max="1" width="25.83203125" customWidth="1"/>
    <col min="2" max="2" width="2.6640625" customWidth="1"/>
    <col min="3" max="3" width="104.5" bestFit="1" customWidth="1"/>
  </cols>
  <sheetData>
    <row r="1" spans="1:3" ht="12.75">
      <c r="A1" s="337" t="s">
        <v>579</v>
      </c>
      <c r="B1" s="255"/>
      <c r="C1" s="255"/>
    </row>
    <row r="2" spans="1:3" ht="12.75">
      <c r="A2" s="255"/>
      <c r="B2" s="255"/>
      <c r="C2" s="255"/>
    </row>
    <row r="3" spans="1:3" ht="12.75">
      <c r="A3" s="883" t="s">
        <v>708</v>
      </c>
      <c r="B3" s="883"/>
      <c r="C3" s="883"/>
    </row>
    <row r="4" spans="1:3" ht="12.75">
      <c r="A4" s="255"/>
      <c r="B4" s="255"/>
      <c r="C4" s="255"/>
    </row>
    <row r="5" spans="1:3" ht="12.75">
      <c r="A5" s="883" t="s">
        <v>709</v>
      </c>
      <c r="B5" s="883"/>
      <c r="C5" s="883"/>
    </row>
    <row r="6" spans="1:3" ht="12.75">
      <c r="A6" s="255"/>
      <c r="B6" s="255"/>
      <c r="C6" s="255"/>
    </row>
    <row r="7" spans="1:3" ht="12.75">
      <c r="A7" s="883" t="str">
        <f>'General Headers Index'!B4</f>
        <v>COLUMBIA GAS OF KENTUCKY, INC.</v>
      </c>
      <c r="B7" s="883"/>
      <c r="C7" s="883"/>
    </row>
    <row r="8" spans="1:3" ht="12.75">
      <c r="A8" s="255"/>
      <c r="B8" s="255"/>
      <c r="C8" s="255"/>
    </row>
    <row r="9" spans="1:3" ht="12.75">
      <c r="A9" s="883" t="str">
        <f>'General Headers Index'!B6</f>
        <v>CASE NO. 2024 - 00092</v>
      </c>
      <c r="B9" s="883"/>
      <c r="C9" s="883"/>
    </row>
    <row r="10" spans="1:3" ht="12.75">
      <c r="A10" s="255"/>
      <c r="B10" s="255"/>
      <c r="C10" s="255"/>
    </row>
    <row r="11" spans="1:3" ht="12.75">
      <c r="A11" s="255"/>
      <c r="B11" s="255"/>
      <c r="C11" s="255"/>
    </row>
    <row r="12" spans="1:3" ht="12.75">
      <c r="A12" s="255"/>
      <c r="B12" s="255"/>
      <c r="C12" s="255"/>
    </row>
    <row r="13" spans="1:3" ht="12.75">
      <c r="A13" s="286" t="s">
        <v>97</v>
      </c>
      <c r="B13" s="255"/>
      <c r="C13" s="286" t="str">
        <f>'General Headers Index'!B8</f>
        <v>FOR THE TWELVE MONTHS ENDED AUGUST 31, 2024</v>
      </c>
    </row>
    <row r="14" spans="1:3" ht="12.75">
      <c r="A14" s="255"/>
      <c r="B14" s="255"/>
      <c r="C14" s="255"/>
    </row>
    <row r="15" spans="1:3" ht="12.75">
      <c r="A15" s="286" t="s">
        <v>684</v>
      </c>
      <c r="B15" s="255"/>
      <c r="C15" s="286" t="str">
        <f>'General Headers Index'!B15</f>
        <v>FOR THE TWELVE MONTHS ENDED DECEMBER 31, 2025</v>
      </c>
    </row>
    <row r="16" spans="1:3" ht="12.75">
      <c r="A16" s="255"/>
      <c r="B16" s="255"/>
      <c r="C16" s="255"/>
    </row>
    <row r="17" spans="1:3" ht="12.75">
      <c r="A17" s="255"/>
      <c r="B17" s="255"/>
      <c r="C17" s="255"/>
    </row>
    <row r="18" spans="1:3" ht="12.75">
      <c r="A18" s="287" t="s">
        <v>314</v>
      </c>
      <c r="B18" s="288"/>
      <c r="C18" s="287" t="s">
        <v>451</v>
      </c>
    </row>
    <row r="19" spans="1:3" ht="12.75">
      <c r="A19" s="255"/>
      <c r="B19" s="255"/>
      <c r="C19" s="255"/>
    </row>
    <row r="20" spans="1:3" ht="12.75">
      <c r="A20" s="255"/>
      <c r="B20" s="255"/>
      <c r="C20" s="255"/>
    </row>
    <row r="21" spans="1:3" ht="12.75">
      <c r="A21" s="286" t="s">
        <v>710</v>
      </c>
      <c r="B21" s="255"/>
      <c r="C21" s="286" t="s">
        <v>711</v>
      </c>
    </row>
    <row r="22" spans="1:3" ht="12.75">
      <c r="A22" s="286" t="s">
        <v>712</v>
      </c>
      <c r="B22" s="255"/>
      <c r="C22" s="286" t="s">
        <v>2457</v>
      </c>
    </row>
    <row r="23" spans="1:3" ht="12.75">
      <c r="A23" s="286" t="s">
        <v>2957</v>
      </c>
      <c r="C23" s="286" t="s">
        <v>2781</v>
      </c>
    </row>
    <row r="24" spans="1:3" ht="12.75">
      <c r="A24" s="286" t="s">
        <v>2958</v>
      </c>
      <c r="B24" s="255"/>
      <c r="C24" s="286" t="s">
        <v>2782</v>
      </c>
    </row>
    <row r="25" spans="1:3" ht="12.75">
      <c r="A25" s="286" t="s">
        <v>2959</v>
      </c>
      <c r="B25" s="255"/>
      <c r="C25" s="286" t="s">
        <v>2783</v>
      </c>
    </row>
    <row r="26" spans="1:3" ht="12.75">
      <c r="A26" s="286" t="s">
        <v>2960</v>
      </c>
      <c r="C26" s="286" t="s">
        <v>2784</v>
      </c>
    </row>
  </sheetData>
  <printOptions horizontalCentered="1"/>
  <pageMargins left="0.5" right="0.5" top="0.75" bottom="0.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89"/>
  <sheetViews>
    <sheetView workbookViewId="0">
      <selection activeCell="G84" sqref="G84"/>
    </sheetView>
  </sheetViews>
  <sheetFormatPr defaultColWidth="8.6640625" defaultRowHeight="12.75"/>
  <cols>
    <col min="1" max="1" width="1.6640625" style="5" customWidth="1"/>
    <col min="2" max="2" width="10.1640625" style="5" bestFit="1" customWidth="1"/>
    <col min="3" max="3" width="12.5" style="5" bestFit="1" customWidth="1"/>
    <col min="4" max="4" width="25.6640625" style="5" customWidth="1"/>
    <col min="5" max="5" width="66" style="5" bestFit="1" customWidth="1"/>
    <col min="6" max="6" width="20.6640625" style="5" bestFit="1" customWidth="1"/>
    <col min="7" max="7" width="14.5" style="5" customWidth="1"/>
    <col min="8" max="8" width="23.6640625" style="5" bestFit="1" customWidth="1"/>
    <col min="9" max="11" width="23.6640625" style="5" customWidth="1"/>
    <col min="12" max="12" width="16.6640625" style="6" bestFit="1" customWidth="1"/>
    <col min="13" max="13" width="37.1640625" style="5" bestFit="1" customWidth="1"/>
    <col min="14" max="14" width="47" style="5" bestFit="1" customWidth="1"/>
    <col min="15" max="15" width="46.33203125" style="5" bestFit="1" customWidth="1"/>
    <col min="16" max="16" width="17.1640625" style="5" bestFit="1" customWidth="1"/>
    <col min="17" max="19" width="8.6640625" style="5"/>
    <col min="20" max="20" width="12.5" style="5" customWidth="1"/>
    <col min="21" max="21" width="40.5" style="5" bestFit="1" customWidth="1"/>
    <col min="22" max="24" width="8.6640625" style="5"/>
    <col min="25" max="25" width="11.6640625" style="5" bestFit="1" customWidth="1"/>
    <col min="26" max="16384" width="8.6640625" style="5"/>
  </cols>
  <sheetData>
    <row r="1" spans="2:15" ht="25.5">
      <c r="F1" s="6" t="s">
        <v>1896</v>
      </c>
      <c r="H1" s="6" t="s">
        <v>1897</v>
      </c>
      <c r="I1" s="134" t="s">
        <v>2116</v>
      </c>
      <c r="J1" s="1300" t="s">
        <v>2117</v>
      </c>
      <c r="K1" s="1300"/>
    </row>
    <row r="2" spans="2:15">
      <c r="B2" s="106" t="s">
        <v>1898</v>
      </c>
      <c r="C2" s="106" t="s">
        <v>1899</v>
      </c>
      <c r="D2" s="106"/>
      <c r="E2" s="106" t="s">
        <v>1900</v>
      </c>
      <c r="F2" s="106" t="s">
        <v>1901</v>
      </c>
      <c r="G2" s="106" t="s">
        <v>1902</v>
      </c>
      <c r="H2" s="106" t="s">
        <v>1901</v>
      </c>
      <c r="I2" s="135" t="s">
        <v>40</v>
      </c>
      <c r="J2" s="1301" t="s">
        <v>40</v>
      </c>
      <c r="K2" s="1301"/>
      <c r="L2" s="106" t="s">
        <v>1903</v>
      </c>
      <c r="M2" s="106" t="s">
        <v>1082</v>
      </c>
      <c r="N2" s="106" t="s">
        <v>1263</v>
      </c>
    </row>
    <row r="3" spans="2:15">
      <c r="B3" s="6" t="s">
        <v>720</v>
      </c>
      <c r="C3" s="139" t="s">
        <v>2449</v>
      </c>
      <c r="D3" s="6" t="s">
        <v>1907</v>
      </c>
      <c r="E3" s="107" t="s">
        <v>1908</v>
      </c>
      <c r="F3" s="114">
        <v>-1590</v>
      </c>
      <c r="G3" s="166">
        <v>4.7870000000000079E-2</v>
      </c>
      <c r="H3" s="115">
        <f t="shared" ref="H3:H67" si="0">+F3*(1+G3)</f>
        <v>-1666.1133000000002</v>
      </c>
      <c r="I3" s="136">
        <f t="shared" ref="I3:I37" si="1">+F3</f>
        <v>-1590</v>
      </c>
      <c r="J3" s="141">
        <f t="shared" ref="J3:J33" si="2">+H3</f>
        <v>-1666.1133000000002</v>
      </c>
      <c r="K3" s="1297">
        <f>SUM(J3:J4)</f>
        <v>-8468.8853400000007</v>
      </c>
      <c r="L3" s="108">
        <v>921</v>
      </c>
      <c r="M3" s="109" t="s">
        <v>1092</v>
      </c>
      <c r="N3" s="173" t="str">
        <f t="shared" ref="N3:N67" si="3">M3&amp;L3</f>
        <v>Dues &amp; Donations921</v>
      </c>
      <c r="O3" s="112"/>
    </row>
    <row r="4" spans="2:15">
      <c r="B4" s="6" t="s">
        <v>720</v>
      </c>
      <c r="C4" s="6" t="str">
        <f>+C3</f>
        <v>ADJ 7.1</v>
      </c>
      <c r="D4" s="6" t="s">
        <v>1907</v>
      </c>
      <c r="E4" s="107" t="s">
        <v>1908</v>
      </c>
      <c r="F4" s="114">
        <f>-8082-F3</f>
        <v>-6492</v>
      </c>
      <c r="G4" s="143">
        <f>+G3</f>
        <v>4.7870000000000079E-2</v>
      </c>
      <c r="H4" s="115">
        <f t="shared" si="0"/>
        <v>-6802.7720400000007</v>
      </c>
      <c r="I4" s="136">
        <f t="shared" si="1"/>
        <v>-6492</v>
      </c>
      <c r="J4" s="141">
        <f t="shared" si="2"/>
        <v>-6802.7720400000007</v>
      </c>
      <c r="K4" s="1298"/>
      <c r="L4" s="108">
        <v>9302</v>
      </c>
      <c r="M4" s="109" t="s">
        <v>1092</v>
      </c>
      <c r="N4" s="173" t="str">
        <f t="shared" si="3"/>
        <v>Dues &amp; Donations9302</v>
      </c>
      <c r="O4" s="112"/>
    </row>
    <row r="5" spans="2:15">
      <c r="B5" s="6" t="s">
        <v>720</v>
      </c>
      <c r="C5" s="6" t="str">
        <f>+C4</f>
        <v>ADJ 7.1</v>
      </c>
      <c r="D5" s="6" t="s">
        <v>1907</v>
      </c>
      <c r="E5" s="107" t="s">
        <v>2280</v>
      </c>
      <c r="F5" s="114">
        <v>-6</v>
      </c>
      <c r="G5" s="143">
        <f t="shared" ref="G5:G69" si="4">+G4</f>
        <v>4.7870000000000079E-2</v>
      </c>
      <c r="H5" s="115">
        <f t="shared" si="0"/>
        <v>-6.2872200000000005</v>
      </c>
      <c r="I5" s="136">
        <f t="shared" si="1"/>
        <v>-6</v>
      </c>
      <c r="J5" s="141">
        <f t="shared" si="2"/>
        <v>-6.2872200000000005</v>
      </c>
      <c r="K5" s="1297">
        <f>SUM(J5:J6)</f>
        <v>-2181.6653400000005</v>
      </c>
      <c r="L5" s="108">
        <v>921</v>
      </c>
      <c r="M5" s="109" t="s">
        <v>1030</v>
      </c>
      <c r="N5" s="173" t="str">
        <f t="shared" si="3"/>
        <v>Employee Expenses921</v>
      </c>
      <c r="O5" s="112"/>
    </row>
    <row r="6" spans="2:15">
      <c r="B6" s="6" t="s">
        <v>720</v>
      </c>
      <c r="C6" s="6" t="str">
        <f>+C5</f>
        <v>ADJ 7.1</v>
      </c>
      <c r="D6" s="6" t="s">
        <v>1907</v>
      </c>
      <c r="E6" s="107" t="s">
        <v>2281</v>
      </c>
      <c r="F6" s="114">
        <v>-2076</v>
      </c>
      <c r="G6" s="143">
        <f t="shared" si="4"/>
        <v>4.7870000000000079E-2</v>
      </c>
      <c r="H6" s="115">
        <f t="shared" si="0"/>
        <v>-2175.3781200000003</v>
      </c>
      <c r="I6" s="136">
        <f t="shared" si="1"/>
        <v>-2076</v>
      </c>
      <c r="J6" s="141">
        <f t="shared" si="2"/>
        <v>-2175.3781200000003</v>
      </c>
      <c r="K6" s="1299"/>
      <c r="L6" s="108">
        <v>921</v>
      </c>
      <c r="M6" s="109" t="s">
        <v>1030</v>
      </c>
      <c r="N6" s="173" t="str">
        <f t="shared" si="3"/>
        <v>Employee Expenses921</v>
      </c>
      <c r="O6" s="112"/>
    </row>
    <row r="7" spans="2:15">
      <c r="B7" s="6" t="s">
        <v>720</v>
      </c>
      <c r="C7" s="6" t="str">
        <f>+C6</f>
        <v>ADJ 7.1</v>
      </c>
      <c r="D7" s="6" t="s">
        <v>1907</v>
      </c>
      <c r="E7" s="107" t="s">
        <v>2368</v>
      </c>
      <c r="F7" s="114">
        <v>-65288</v>
      </c>
      <c r="G7" s="143">
        <f t="shared" si="4"/>
        <v>4.7870000000000079E-2</v>
      </c>
      <c r="H7" s="115">
        <f t="shared" si="0"/>
        <v>-68413.336560000011</v>
      </c>
      <c r="I7" s="136">
        <f t="shared" si="1"/>
        <v>-65288</v>
      </c>
      <c r="J7" s="141">
        <f t="shared" si="2"/>
        <v>-68413.336560000011</v>
      </c>
      <c r="K7" s="216">
        <f>+J7</f>
        <v>-68413.336560000011</v>
      </c>
      <c r="L7" s="108">
        <v>923</v>
      </c>
      <c r="M7" s="109" t="s">
        <v>1084</v>
      </c>
      <c r="N7" s="173" t="str">
        <f t="shared" si="3"/>
        <v>Outside Services923</v>
      </c>
      <c r="O7" s="112"/>
    </row>
    <row r="8" spans="2:15">
      <c r="B8" s="6" t="s">
        <v>720</v>
      </c>
      <c r="C8" s="6" t="str">
        <f>+C6</f>
        <v>ADJ 7.1</v>
      </c>
      <c r="D8" s="6" t="s">
        <v>1907</v>
      </c>
      <c r="E8" s="107" t="s">
        <v>2282</v>
      </c>
      <c r="F8" s="114">
        <v>-7182</v>
      </c>
      <c r="G8" s="143">
        <f>+G6</f>
        <v>4.7870000000000079E-2</v>
      </c>
      <c r="H8" s="115">
        <f t="shared" si="0"/>
        <v>-7525.8023400000002</v>
      </c>
      <c r="I8" s="136">
        <f t="shared" si="1"/>
        <v>-7182</v>
      </c>
      <c r="J8" s="141">
        <f t="shared" si="2"/>
        <v>-7525.8023400000002</v>
      </c>
      <c r="K8" s="148">
        <f>+J8</f>
        <v>-7525.8023400000002</v>
      </c>
      <c r="L8" s="108">
        <v>921</v>
      </c>
      <c r="M8" s="109" t="s">
        <v>1100</v>
      </c>
      <c r="N8" s="173" t="str">
        <f t="shared" si="3"/>
        <v>Miscellaneous &amp; Other921</v>
      </c>
      <c r="O8" s="112"/>
    </row>
    <row r="9" spans="2:15">
      <c r="B9" s="6" t="s">
        <v>720</v>
      </c>
      <c r="C9" s="6" t="str">
        <f>+C7</f>
        <v>ADJ 7.1</v>
      </c>
      <c r="D9" s="6" t="s">
        <v>1907</v>
      </c>
      <c r="E9" s="107" t="s">
        <v>3091</v>
      </c>
      <c r="F9" s="114">
        <f>-15466.08</f>
        <v>-15466.08</v>
      </c>
      <c r="G9" s="1286">
        <v>7.0000000000000007E-2</v>
      </c>
      <c r="H9" s="115">
        <f t="shared" ref="H9" si="5">+F9*(1+G9)</f>
        <v>-16548.705600000001</v>
      </c>
      <c r="I9" s="136">
        <f t="shared" ref="I9" si="6">+F9</f>
        <v>-15466.08</v>
      </c>
      <c r="J9" s="141">
        <f t="shared" ref="J9" si="7">+H9</f>
        <v>-16548.705600000001</v>
      </c>
      <c r="K9" s="148">
        <f>+J9</f>
        <v>-16548.705600000001</v>
      </c>
      <c r="L9" s="108">
        <v>920</v>
      </c>
      <c r="M9" s="109" t="s">
        <v>1096</v>
      </c>
      <c r="N9" s="173" t="str">
        <f t="shared" si="3"/>
        <v>Labor920</v>
      </c>
      <c r="O9" s="112"/>
    </row>
    <row r="10" spans="2:15">
      <c r="B10" s="6" t="s">
        <v>720</v>
      </c>
      <c r="C10" s="139" t="s">
        <v>2450</v>
      </c>
      <c r="D10" s="6" t="s">
        <v>1907</v>
      </c>
      <c r="E10" s="107" t="s">
        <v>1092</v>
      </c>
      <c r="F10" s="114">
        <v>-1004</v>
      </c>
      <c r="G10" s="143">
        <f>+G8</f>
        <v>4.7870000000000079E-2</v>
      </c>
      <c r="H10" s="115">
        <f t="shared" si="0"/>
        <v>-1052.0614800000001</v>
      </c>
      <c r="I10" s="136">
        <f t="shared" si="1"/>
        <v>-1004</v>
      </c>
      <c r="J10" s="141">
        <f t="shared" si="2"/>
        <v>-1052.0614800000001</v>
      </c>
      <c r="K10" s="1297">
        <f>SUM(J10:J11)</f>
        <v>-1942.7509800000003</v>
      </c>
      <c r="L10" s="144">
        <v>923</v>
      </c>
      <c r="M10" s="145" t="s">
        <v>1092</v>
      </c>
      <c r="N10" s="173" t="str">
        <f t="shared" si="3"/>
        <v>Dues &amp; Donations923</v>
      </c>
      <c r="O10" s="112"/>
    </row>
    <row r="11" spans="2:15" s="1044" customFormat="1">
      <c r="B11" s="30" t="s">
        <v>720</v>
      </c>
      <c r="C11" s="30" t="str">
        <f>+C10</f>
        <v>ADJ 7.2</v>
      </c>
      <c r="D11" s="30" t="s">
        <v>1907</v>
      </c>
      <c r="E11" s="125" t="s">
        <v>1092</v>
      </c>
      <c r="F11" s="119">
        <v>-850</v>
      </c>
      <c r="G11" s="143">
        <f t="shared" si="4"/>
        <v>4.7870000000000079E-2</v>
      </c>
      <c r="H11" s="120">
        <f t="shared" si="0"/>
        <v>-890.68950000000007</v>
      </c>
      <c r="I11" s="138">
        <f t="shared" si="1"/>
        <v>-850</v>
      </c>
      <c r="J11" s="142">
        <f t="shared" si="2"/>
        <v>-890.68950000000007</v>
      </c>
      <c r="K11" s="1299"/>
      <c r="L11" s="146" t="s">
        <v>1906</v>
      </c>
      <c r="M11" s="147" t="s">
        <v>1092</v>
      </c>
      <c r="N11" s="211" t="str">
        <f t="shared" si="3"/>
        <v>Dues &amp; DonationsAllocate</v>
      </c>
      <c r="O11" s="137" t="s">
        <v>1941</v>
      </c>
    </row>
    <row r="12" spans="2:15" s="1044" customFormat="1">
      <c r="B12" s="30" t="s">
        <v>720</v>
      </c>
      <c r="C12" s="30" t="str">
        <f>+C11</f>
        <v>ADJ 7.2</v>
      </c>
      <c r="D12" s="30" t="s">
        <v>1907</v>
      </c>
      <c r="E12" s="125" t="s">
        <v>2734</v>
      </c>
      <c r="F12" s="119">
        <v>-3843</v>
      </c>
      <c r="G12" s="143">
        <f t="shared" si="4"/>
        <v>4.7870000000000079E-2</v>
      </c>
      <c r="H12" s="120">
        <f t="shared" si="0"/>
        <v>-4026.9644100000005</v>
      </c>
      <c r="I12" s="138">
        <f t="shared" si="1"/>
        <v>-3843</v>
      </c>
      <c r="J12" s="265">
        <f t="shared" si="2"/>
        <v>-4026.9644100000005</v>
      </c>
      <c r="K12" s="1045">
        <f>+J12</f>
        <v>-4026.9644100000005</v>
      </c>
      <c r="L12" s="146" t="s">
        <v>1906</v>
      </c>
      <c r="M12" s="147" t="s">
        <v>1092</v>
      </c>
      <c r="N12" s="211" t="str">
        <f>M12&amp;L12</f>
        <v>Dues &amp; DonationsAllocate</v>
      </c>
      <c r="O12" s="137"/>
    </row>
    <row r="13" spans="2:15">
      <c r="B13" s="30" t="s">
        <v>720</v>
      </c>
      <c r="C13" s="30" t="str">
        <f>+C11</f>
        <v>ADJ 7.2</v>
      </c>
      <c r="D13" s="30" t="s">
        <v>1907</v>
      </c>
      <c r="E13" s="125" t="s">
        <v>1909</v>
      </c>
      <c r="F13" s="119">
        <f>-13257-F12</f>
        <v>-9414</v>
      </c>
      <c r="G13" s="143">
        <f>+G11</f>
        <v>4.7870000000000079E-2</v>
      </c>
      <c r="H13" s="115">
        <f t="shared" si="0"/>
        <v>-9864.6481800000001</v>
      </c>
      <c r="I13" s="136">
        <f t="shared" si="1"/>
        <v>-9414</v>
      </c>
      <c r="J13" s="141">
        <f t="shared" si="2"/>
        <v>-9864.6481800000001</v>
      </c>
      <c r="K13" s="1297">
        <f>SUM(J13:J16)</f>
        <v>-20190.359160000004</v>
      </c>
      <c r="L13" s="146" t="s">
        <v>1906</v>
      </c>
      <c r="M13" s="147" t="s">
        <v>1092</v>
      </c>
      <c r="N13" s="211" t="str">
        <f t="shared" si="3"/>
        <v>Dues &amp; DonationsAllocate</v>
      </c>
      <c r="O13" s="137" t="s">
        <v>1941</v>
      </c>
    </row>
    <row r="14" spans="2:15">
      <c r="B14" s="6" t="s">
        <v>720</v>
      </c>
      <c r="C14" s="6" t="str">
        <f t="shared" ref="C14:C26" si="8">+C13</f>
        <v>ADJ 7.2</v>
      </c>
      <c r="D14" s="6" t="s">
        <v>1907</v>
      </c>
      <c r="E14" s="107" t="s">
        <v>2283</v>
      </c>
      <c r="F14" s="114">
        <v>-416</v>
      </c>
      <c r="G14" s="143">
        <f t="shared" si="4"/>
        <v>4.7870000000000079E-2</v>
      </c>
      <c r="H14" s="115">
        <f t="shared" si="0"/>
        <v>-435.91392000000002</v>
      </c>
      <c r="I14" s="136">
        <f t="shared" si="1"/>
        <v>-416</v>
      </c>
      <c r="J14" s="141">
        <f t="shared" si="2"/>
        <v>-435.91392000000002</v>
      </c>
      <c r="K14" s="1298"/>
      <c r="L14" s="108">
        <v>921</v>
      </c>
      <c r="M14" s="109" t="s">
        <v>1030</v>
      </c>
      <c r="N14" s="173" t="str">
        <f t="shared" si="3"/>
        <v>Employee Expenses921</v>
      </c>
      <c r="O14" s="137"/>
    </row>
    <row r="15" spans="2:15">
      <c r="B15" s="6" t="s">
        <v>2285</v>
      </c>
      <c r="C15" s="6" t="str">
        <f t="shared" si="8"/>
        <v>ADJ 7.2</v>
      </c>
      <c r="D15" s="6" t="s">
        <v>1907</v>
      </c>
      <c r="E15" s="107" t="s">
        <v>2289</v>
      </c>
      <c r="F15" s="114">
        <v>-7638</v>
      </c>
      <c r="G15" s="143">
        <f t="shared" si="4"/>
        <v>4.7870000000000079E-2</v>
      </c>
      <c r="H15" s="115">
        <f t="shared" si="0"/>
        <v>-8003.6310600000006</v>
      </c>
      <c r="I15" s="136">
        <f t="shared" si="1"/>
        <v>-7638</v>
      </c>
      <c r="J15" s="141">
        <f t="shared" si="2"/>
        <v>-8003.6310600000006</v>
      </c>
      <c r="K15" s="1298"/>
      <c r="L15" s="144">
        <v>921</v>
      </c>
      <c r="M15" s="145" t="s">
        <v>1100</v>
      </c>
      <c r="N15" s="173" t="str">
        <f t="shared" si="3"/>
        <v>Miscellaneous &amp; Other921</v>
      </c>
      <c r="O15" s="131"/>
    </row>
    <row r="16" spans="2:15">
      <c r="B16" s="6" t="s">
        <v>2286</v>
      </c>
      <c r="C16" s="6" t="str">
        <f t="shared" si="8"/>
        <v>ADJ 7.2</v>
      </c>
      <c r="D16" s="6" t="s">
        <v>1907</v>
      </c>
      <c r="E16" s="107" t="s">
        <v>2289</v>
      </c>
      <c r="F16" s="114">
        <v>-1800</v>
      </c>
      <c r="G16" s="143">
        <f t="shared" si="4"/>
        <v>4.7870000000000079E-2</v>
      </c>
      <c r="H16" s="115">
        <f t="shared" si="0"/>
        <v>-1886.1660000000002</v>
      </c>
      <c r="I16" s="136">
        <f t="shared" si="1"/>
        <v>-1800</v>
      </c>
      <c r="J16" s="141">
        <f t="shared" si="2"/>
        <v>-1886.1660000000002</v>
      </c>
      <c r="K16" s="1299"/>
      <c r="L16" s="144">
        <v>923</v>
      </c>
      <c r="M16" s="145" t="s">
        <v>1100</v>
      </c>
      <c r="N16" s="173" t="str">
        <f t="shared" si="3"/>
        <v>Miscellaneous &amp; Other923</v>
      </c>
      <c r="O16" s="131"/>
    </row>
    <row r="17" spans="2:20">
      <c r="B17" s="6" t="s">
        <v>2287</v>
      </c>
      <c r="C17" s="6" t="str">
        <f t="shared" si="8"/>
        <v>ADJ 7.2</v>
      </c>
      <c r="D17" s="6" t="s">
        <v>1907</v>
      </c>
      <c r="E17" s="107" t="s">
        <v>1088</v>
      </c>
      <c r="F17" s="114">
        <v>-978</v>
      </c>
      <c r="G17" s="143">
        <f t="shared" si="4"/>
        <v>4.7870000000000079E-2</v>
      </c>
      <c r="H17" s="115">
        <f t="shared" si="0"/>
        <v>-1024.8168600000001</v>
      </c>
      <c r="I17" s="136">
        <f t="shared" si="1"/>
        <v>-978</v>
      </c>
      <c r="J17" s="141">
        <f t="shared" si="2"/>
        <v>-1024.8168600000001</v>
      </c>
      <c r="K17" s="148">
        <f>+J17</f>
        <v>-1024.8168600000001</v>
      </c>
      <c r="L17" s="144">
        <v>9302</v>
      </c>
      <c r="M17" s="145" t="s">
        <v>1088</v>
      </c>
      <c r="N17" s="173" t="str">
        <f t="shared" si="3"/>
        <v>Advertising Expense9302</v>
      </c>
      <c r="O17" s="131"/>
    </row>
    <row r="18" spans="2:20">
      <c r="B18" s="6" t="s">
        <v>2288</v>
      </c>
      <c r="C18" s="6" t="str">
        <f t="shared" si="8"/>
        <v>ADJ 7.2</v>
      </c>
      <c r="D18" s="6" t="s">
        <v>1907</v>
      </c>
      <c r="E18" s="107" t="s">
        <v>2118</v>
      </c>
      <c r="F18" s="114">
        <f>-19195-F19</f>
        <v>-6730</v>
      </c>
      <c r="G18" s="143">
        <f t="shared" si="4"/>
        <v>4.7870000000000079E-2</v>
      </c>
      <c r="H18" s="115">
        <f t="shared" si="0"/>
        <v>-7052.1651000000002</v>
      </c>
      <c r="I18" s="136">
        <f t="shared" si="1"/>
        <v>-6730</v>
      </c>
      <c r="J18" s="141">
        <f t="shared" si="2"/>
        <v>-7052.1651000000002</v>
      </c>
      <c r="K18" s="148">
        <f>+J18</f>
        <v>-7052.1651000000002</v>
      </c>
      <c r="L18" s="144">
        <v>921</v>
      </c>
      <c r="M18" s="145" t="s">
        <v>1030</v>
      </c>
      <c r="N18" s="173" t="str">
        <f t="shared" si="3"/>
        <v>Employee Expenses921</v>
      </c>
      <c r="O18" s="112"/>
    </row>
    <row r="19" spans="2:20">
      <c r="B19" s="6" t="s">
        <v>720</v>
      </c>
      <c r="C19" s="6" t="str">
        <f t="shared" si="8"/>
        <v>ADJ 7.2</v>
      </c>
      <c r="D19" s="6" t="s">
        <v>1907</v>
      </c>
      <c r="E19" s="107" t="s">
        <v>2119</v>
      </c>
      <c r="F19" s="114">
        <v>-12465</v>
      </c>
      <c r="G19" s="143">
        <f t="shared" si="4"/>
        <v>4.7870000000000079E-2</v>
      </c>
      <c r="H19" s="115">
        <f t="shared" si="0"/>
        <v>-13061.699550000001</v>
      </c>
      <c r="I19" s="136">
        <f t="shared" si="1"/>
        <v>-12465</v>
      </c>
      <c r="J19" s="141">
        <f t="shared" si="2"/>
        <v>-13061.699550000001</v>
      </c>
      <c r="K19" s="148">
        <f>+J19</f>
        <v>-13061.699550000001</v>
      </c>
      <c r="L19" s="144">
        <v>921</v>
      </c>
      <c r="M19" s="145" t="s">
        <v>1030</v>
      </c>
      <c r="N19" s="173" t="str">
        <f t="shared" si="3"/>
        <v>Employee Expenses921</v>
      </c>
      <c r="O19" s="112"/>
    </row>
    <row r="20" spans="2:20">
      <c r="B20" s="6" t="s">
        <v>720</v>
      </c>
      <c r="C20" s="6" t="str">
        <f t="shared" si="8"/>
        <v>ADJ 7.2</v>
      </c>
      <c r="D20" s="6" t="s">
        <v>1907</v>
      </c>
      <c r="E20" s="107" t="s">
        <v>2284</v>
      </c>
      <c r="F20" s="114">
        <v>-600</v>
      </c>
      <c r="G20" s="143">
        <f t="shared" si="4"/>
        <v>4.7870000000000079E-2</v>
      </c>
      <c r="H20" s="115">
        <f t="shared" si="0"/>
        <v>-628.72200000000009</v>
      </c>
      <c r="I20" s="136">
        <f t="shared" si="1"/>
        <v>-600</v>
      </c>
      <c r="J20" s="141">
        <f t="shared" si="2"/>
        <v>-628.72200000000009</v>
      </c>
      <c r="K20" s="1297">
        <f>SUM(J20:J23)</f>
        <v>-60625.566720000003</v>
      </c>
      <c r="L20" s="144">
        <v>921</v>
      </c>
      <c r="M20" s="145" t="s">
        <v>1030</v>
      </c>
      <c r="N20" s="173" t="str">
        <f t="shared" si="3"/>
        <v>Employee Expenses921</v>
      </c>
      <c r="O20" s="112"/>
    </row>
    <row r="21" spans="2:20">
      <c r="B21" s="6" t="s">
        <v>720</v>
      </c>
      <c r="C21" s="6" t="str">
        <f t="shared" si="8"/>
        <v>ADJ 7.2</v>
      </c>
      <c r="D21" s="6" t="s">
        <v>1907</v>
      </c>
      <c r="E21" s="107" t="s">
        <v>1910</v>
      </c>
      <c r="F21" s="114">
        <v>-17</v>
      </c>
      <c r="G21" s="143">
        <f t="shared" si="4"/>
        <v>4.7870000000000079E-2</v>
      </c>
      <c r="H21" s="115">
        <f t="shared" si="0"/>
        <v>-17.813790000000001</v>
      </c>
      <c r="I21" s="136">
        <f t="shared" si="1"/>
        <v>-17</v>
      </c>
      <c r="J21" s="141">
        <f t="shared" si="2"/>
        <v>-17.813790000000001</v>
      </c>
      <c r="K21" s="1298"/>
      <c r="L21" s="144">
        <v>921</v>
      </c>
      <c r="M21" s="145" t="s">
        <v>1030</v>
      </c>
      <c r="N21" s="173" t="str">
        <f t="shared" si="3"/>
        <v>Employee Expenses921</v>
      </c>
      <c r="O21" s="111"/>
      <c r="P21" s="112"/>
      <c r="Q21" s="112"/>
      <c r="R21" s="112"/>
      <c r="S21" s="26"/>
      <c r="T21" s="26"/>
    </row>
    <row r="22" spans="2:20">
      <c r="B22" s="6" t="s">
        <v>720</v>
      </c>
      <c r="C22" s="6" t="str">
        <f t="shared" si="8"/>
        <v>ADJ 7.2</v>
      </c>
      <c r="D22" s="6" t="s">
        <v>1907</v>
      </c>
      <c r="E22" s="107" t="s">
        <v>2120</v>
      </c>
      <c r="F22" s="114">
        <v>-55334</v>
      </c>
      <c r="G22" s="143">
        <f t="shared" si="4"/>
        <v>4.7870000000000079E-2</v>
      </c>
      <c r="H22" s="115">
        <f t="shared" si="0"/>
        <v>-57982.838580000003</v>
      </c>
      <c r="I22" s="136">
        <f t="shared" si="1"/>
        <v>-55334</v>
      </c>
      <c r="J22" s="141">
        <f t="shared" si="2"/>
        <v>-57982.838580000003</v>
      </c>
      <c r="K22" s="1298"/>
      <c r="L22" s="144">
        <v>921</v>
      </c>
      <c r="M22" s="145" t="s">
        <v>1030</v>
      </c>
      <c r="N22" s="173" t="str">
        <f t="shared" si="3"/>
        <v>Employee Expenses921</v>
      </c>
      <c r="O22" s="111"/>
      <c r="P22" s="112"/>
      <c r="Q22" s="112"/>
      <c r="R22" s="112"/>
      <c r="S22" s="26"/>
      <c r="T22" s="26"/>
    </row>
    <row r="23" spans="2:20" s="1044" customFormat="1">
      <c r="B23" s="30" t="s">
        <v>720</v>
      </c>
      <c r="C23" s="30" t="str">
        <f t="shared" si="8"/>
        <v>ADJ 7.2</v>
      </c>
      <c r="D23" s="30" t="s">
        <v>1907</v>
      </c>
      <c r="E23" s="125" t="s">
        <v>2120</v>
      </c>
      <c r="F23" s="119">
        <v>-1905</v>
      </c>
      <c r="G23" s="143">
        <f t="shared" si="4"/>
        <v>4.7870000000000079E-2</v>
      </c>
      <c r="H23" s="120">
        <f t="shared" si="0"/>
        <v>-1996.1923500000003</v>
      </c>
      <c r="I23" s="138">
        <f t="shared" si="1"/>
        <v>-1905</v>
      </c>
      <c r="J23" s="142">
        <f t="shared" si="2"/>
        <v>-1996.1923500000003</v>
      </c>
      <c r="K23" s="1299"/>
      <c r="L23" s="146" t="s">
        <v>1906</v>
      </c>
      <c r="M23" s="147" t="s">
        <v>1030</v>
      </c>
      <c r="N23" s="211" t="str">
        <f t="shared" si="3"/>
        <v>Employee ExpensesAllocate</v>
      </c>
      <c r="O23" s="137" t="s">
        <v>1941</v>
      </c>
      <c r="P23" s="128"/>
      <c r="Q23" s="128"/>
      <c r="R23" s="128"/>
      <c r="S23" s="129"/>
      <c r="T23" s="129"/>
    </row>
    <row r="24" spans="2:20" s="1044" customFormat="1">
      <c r="B24" s="6" t="s">
        <v>720</v>
      </c>
      <c r="C24" s="6" t="str">
        <f t="shared" si="8"/>
        <v>ADJ 7.2</v>
      </c>
      <c r="D24" s="6" t="str">
        <f>+D23</f>
        <v>CKY Direct Exclusion</v>
      </c>
      <c r="E24" s="107" t="s">
        <v>2121</v>
      </c>
      <c r="F24" s="170">
        <v>-32</v>
      </c>
      <c r="G24" s="143">
        <f t="shared" si="4"/>
        <v>4.7870000000000079E-2</v>
      </c>
      <c r="H24" s="171">
        <f t="shared" si="0"/>
        <v>-33.531840000000003</v>
      </c>
      <c r="I24" s="136">
        <f t="shared" si="1"/>
        <v>-32</v>
      </c>
      <c r="J24" s="141">
        <f t="shared" si="2"/>
        <v>-33.531840000000003</v>
      </c>
      <c r="K24" s="1297">
        <f>SUM(J24:J26)</f>
        <v>-3631.9174200000002</v>
      </c>
      <c r="L24" s="172">
        <v>921</v>
      </c>
      <c r="M24" s="145" t="s">
        <v>1029</v>
      </c>
      <c r="N24" s="173" t="str">
        <f t="shared" si="3"/>
        <v>Materials &amp; Supplies921</v>
      </c>
      <c r="O24" s="174"/>
      <c r="P24" s="128"/>
      <c r="Q24" s="128"/>
      <c r="R24" s="128"/>
      <c r="S24" s="129"/>
      <c r="T24" s="129"/>
    </row>
    <row r="25" spans="2:20" s="1044" customFormat="1">
      <c r="B25" s="6" t="s">
        <v>720</v>
      </c>
      <c r="C25" s="6" t="str">
        <f t="shared" si="8"/>
        <v>ADJ 7.2</v>
      </c>
      <c r="D25" s="6" t="str">
        <f>+D24</f>
        <v>CKY Direct Exclusion</v>
      </c>
      <c r="E25" s="107" t="s">
        <v>2122</v>
      </c>
      <c r="F25" s="170">
        <v>-3336</v>
      </c>
      <c r="G25" s="143">
        <f t="shared" si="4"/>
        <v>4.7870000000000079E-2</v>
      </c>
      <c r="H25" s="171">
        <f t="shared" si="0"/>
        <v>-3495.6943200000001</v>
      </c>
      <c r="I25" s="136">
        <f t="shared" si="1"/>
        <v>-3336</v>
      </c>
      <c r="J25" s="141">
        <f t="shared" si="2"/>
        <v>-3495.6943200000001</v>
      </c>
      <c r="K25" s="1298"/>
      <c r="L25" s="172">
        <v>921</v>
      </c>
      <c r="M25" s="145" t="s">
        <v>1100</v>
      </c>
      <c r="N25" s="173" t="str">
        <f t="shared" si="3"/>
        <v>Miscellaneous &amp; Other921</v>
      </c>
      <c r="O25" s="174"/>
      <c r="P25" s="128"/>
      <c r="Q25" s="128"/>
      <c r="R25" s="128"/>
      <c r="S25" s="129"/>
      <c r="T25" s="129"/>
    </row>
    <row r="26" spans="2:20" s="1044" customFormat="1">
      <c r="B26" s="17" t="s">
        <v>720</v>
      </c>
      <c r="C26" s="17" t="str">
        <f t="shared" si="8"/>
        <v>ADJ 7.2</v>
      </c>
      <c r="D26" s="17" t="str">
        <f>+D25</f>
        <v>CKY Direct Exclusion</v>
      </c>
      <c r="E26" s="175" t="s">
        <v>2122</v>
      </c>
      <c r="F26" s="176">
        <v>-98</v>
      </c>
      <c r="G26" s="177">
        <f t="shared" si="4"/>
        <v>4.7870000000000079E-2</v>
      </c>
      <c r="H26" s="178">
        <f t="shared" si="0"/>
        <v>-102.69126000000001</v>
      </c>
      <c r="I26" s="179">
        <f t="shared" si="1"/>
        <v>-98</v>
      </c>
      <c r="J26" s="180">
        <f t="shared" si="2"/>
        <v>-102.69126000000001</v>
      </c>
      <c r="K26" s="1302"/>
      <c r="L26" s="181" t="s">
        <v>1906</v>
      </c>
      <c r="M26" s="182" t="s">
        <v>1100</v>
      </c>
      <c r="N26" s="183" t="str">
        <f t="shared" si="3"/>
        <v>Miscellaneous &amp; OtherAllocate</v>
      </c>
      <c r="O26" s="184" t="s">
        <v>1941</v>
      </c>
      <c r="P26" s="129"/>
      <c r="Q26" s="129"/>
      <c r="R26" s="129"/>
      <c r="S26" s="129"/>
      <c r="T26" s="129"/>
    </row>
    <row r="27" spans="2:20" s="1044" customFormat="1">
      <c r="B27" s="30" t="s">
        <v>720</v>
      </c>
      <c r="C27" s="139" t="s">
        <v>1933</v>
      </c>
      <c r="D27" s="30" t="s">
        <v>1912</v>
      </c>
      <c r="E27" s="125" t="s">
        <v>1908</v>
      </c>
      <c r="F27" s="119">
        <v>-391</v>
      </c>
      <c r="G27" s="143">
        <f t="shared" si="4"/>
        <v>4.7870000000000079E-2</v>
      </c>
      <c r="H27" s="120">
        <f t="shared" si="0"/>
        <v>-409.71717000000001</v>
      </c>
      <c r="I27" s="168">
        <f t="shared" si="1"/>
        <v>-391</v>
      </c>
      <c r="J27" s="169">
        <f t="shared" si="2"/>
        <v>-409.71717000000001</v>
      </c>
      <c r="K27" s="1045">
        <f>+J27</f>
        <v>-409.71717000000001</v>
      </c>
      <c r="L27" s="121" t="s">
        <v>1906</v>
      </c>
      <c r="M27" s="122" t="s">
        <v>1091</v>
      </c>
      <c r="N27" s="123" t="str">
        <f t="shared" si="3"/>
        <v>Corporate Service BillAllocate</v>
      </c>
      <c r="O27" s="137" t="s">
        <v>1941</v>
      </c>
      <c r="P27" s="129"/>
      <c r="Q27" s="129"/>
      <c r="R27" s="129"/>
      <c r="S27" s="129"/>
      <c r="T27" s="129"/>
    </row>
    <row r="28" spans="2:20">
      <c r="B28" s="6" t="s">
        <v>720</v>
      </c>
      <c r="C28" s="6" t="str">
        <f t="shared" ref="C28:C33" si="9">+C27</f>
        <v>ADJ 8.1</v>
      </c>
      <c r="D28" s="6" t="s">
        <v>1912</v>
      </c>
      <c r="E28" s="107" t="s">
        <v>2489</v>
      </c>
      <c r="F28" s="114">
        <v>-4160</v>
      </c>
      <c r="G28" s="143">
        <f t="shared" si="4"/>
        <v>4.7870000000000079E-2</v>
      </c>
      <c r="H28" s="115">
        <f t="shared" si="0"/>
        <v>-4359.1392000000005</v>
      </c>
      <c r="I28" s="136">
        <f t="shared" si="1"/>
        <v>-4160</v>
      </c>
      <c r="J28" s="141">
        <f t="shared" si="2"/>
        <v>-4359.1392000000005</v>
      </c>
      <c r="K28" s="148">
        <f>+J28</f>
        <v>-4359.1392000000005</v>
      </c>
      <c r="L28" s="108">
        <v>923</v>
      </c>
      <c r="M28" s="109" t="s">
        <v>1091</v>
      </c>
      <c r="N28" s="110" t="str">
        <f t="shared" si="3"/>
        <v>Corporate Service Bill923</v>
      </c>
      <c r="O28" s="31"/>
      <c r="P28" s="26"/>
      <c r="Q28" s="26"/>
      <c r="R28" s="26"/>
      <c r="S28" s="26"/>
      <c r="T28" s="26"/>
    </row>
    <row r="29" spans="2:20">
      <c r="B29" s="6" t="s">
        <v>720</v>
      </c>
      <c r="C29" s="6" t="str">
        <f t="shared" si="9"/>
        <v>ADJ 8.1</v>
      </c>
      <c r="D29" s="6" t="s">
        <v>1912</v>
      </c>
      <c r="E29" s="107" t="s">
        <v>2281</v>
      </c>
      <c r="F29" s="114">
        <v>-2915</v>
      </c>
      <c r="G29" s="143">
        <f t="shared" si="4"/>
        <v>4.7870000000000079E-2</v>
      </c>
      <c r="H29" s="115">
        <f t="shared" si="0"/>
        <v>-3054.5410500000003</v>
      </c>
      <c r="I29" s="136">
        <f t="shared" si="1"/>
        <v>-2915</v>
      </c>
      <c r="J29" s="141">
        <f t="shared" si="2"/>
        <v>-3054.5410500000003</v>
      </c>
      <c r="K29" s="1297">
        <f>SUM(J29:J32)</f>
        <v>-5298.0307199999997</v>
      </c>
      <c r="L29" s="108">
        <v>921</v>
      </c>
      <c r="M29" s="109" t="s">
        <v>1091</v>
      </c>
      <c r="N29" s="110" t="str">
        <f t="shared" si="3"/>
        <v>Corporate Service Bill921</v>
      </c>
      <c r="O29" s="31"/>
      <c r="P29" s="26"/>
      <c r="Q29" s="26"/>
      <c r="R29" s="26"/>
      <c r="S29" s="26"/>
      <c r="T29" s="26"/>
    </row>
    <row r="30" spans="2:20">
      <c r="B30" s="6" t="s">
        <v>720</v>
      </c>
      <c r="C30" s="6" t="str">
        <f t="shared" si="9"/>
        <v>ADJ 8.1</v>
      </c>
      <c r="D30" s="6" t="s">
        <v>1912</v>
      </c>
      <c r="E30" s="107" t="s">
        <v>1913</v>
      </c>
      <c r="F30" s="114">
        <v>-361</v>
      </c>
      <c r="G30" s="143">
        <f t="shared" si="4"/>
        <v>4.7870000000000079E-2</v>
      </c>
      <c r="H30" s="115">
        <f t="shared" si="0"/>
        <v>-378.28107000000006</v>
      </c>
      <c r="I30" s="210">
        <f t="shared" si="1"/>
        <v>-361</v>
      </c>
      <c r="J30" s="141">
        <f t="shared" si="2"/>
        <v>-378.28107000000006</v>
      </c>
      <c r="K30" s="1298"/>
      <c r="L30" s="108">
        <v>921</v>
      </c>
      <c r="M30" s="109" t="s">
        <v>1091</v>
      </c>
      <c r="N30" s="110" t="str">
        <f t="shared" si="3"/>
        <v>Corporate Service Bill921</v>
      </c>
      <c r="O30" s="31"/>
      <c r="P30" s="26"/>
      <c r="Q30" s="26"/>
      <c r="R30" s="26"/>
      <c r="S30" s="26"/>
      <c r="T30" s="26"/>
    </row>
    <row r="31" spans="2:20">
      <c r="B31" s="6" t="s">
        <v>720</v>
      </c>
      <c r="C31" s="6" t="str">
        <f t="shared" si="9"/>
        <v>ADJ 8.1</v>
      </c>
      <c r="D31" s="6" t="s">
        <v>1912</v>
      </c>
      <c r="E31" s="107" t="s">
        <v>1913</v>
      </c>
      <c r="F31" s="114">
        <v>-965</v>
      </c>
      <c r="G31" s="143">
        <f t="shared" si="4"/>
        <v>4.7870000000000079E-2</v>
      </c>
      <c r="H31" s="115">
        <f t="shared" si="0"/>
        <v>-1011.19455</v>
      </c>
      <c r="I31" s="1046">
        <f t="shared" si="1"/>
        <v>-965</v>
      </c>
      <c r="J31" s="141">
        <f t="shared" si="2"/>
        <v>-1011.19455</v>
      </c>
      <c r="K31" s="1298"/>
      <c r="L31" s="108">
        <v>923</v>
      </c>
      <c r="M31" s="109" t="s">
        <v>1091</v>
      </c>
      <c r="N31" s="110" t="str">
        <f t="shared" si="3"/>
        <v>Corporate Service Bill923</v>
      </c>
      <c r="O31" s="31"/>
      <c r="P31" s="26"/>
      <c r="Q31" s="26"/>
      <c r="R31" s="26"/>
      <c r="S31" s="26"/>
      <c r="T31" s="26"/>
    </row>
    <row r="32" spans="2:20">
      <c r="B32" s="6" t="s">
        <v>720</v>
      </c>
      <c r="C32" s="6" t="str">
        <f t="shared" si="9"/>
        <v>ADJ 8.1</v>
      </c>
      <c r="D32" s="6" t="s">
        <v>1912</v>
      </c>
      <c r="E32" s="107" t="s">
        <v>2367</v>
      </c>
      <c r="F32" s="114">
        <v>-815</v>
      </c>
      <c r="G32" s="143">
        <f t="shared" si="4"/>
        <v>4.7870000000000079E-2</v>
      </c>
      <c r="H32" s="115">
        <f t="shared" si="0"/>
        <v>-854.01405000000011</v>
      </c>
      <c r="I32" s="136">
        <f t="shared" si="1"/>
        <v>-815</v>
      </c>
      <c r="J32" s="141">
        <f t="shared" si="2"/>
        <v>-854.01405000000011</v>
      </c>
      <c r="K32" s="1299"/>
      <c r="L32" s="108">
        <v>921</v>
      </c>
      <c r="M32" s="109" t="s">
        <v>1091</v>
      </c>
      <c r="N32" s="110" t="str">
        <f t="shared" si="3"/>
        <v>Corporate Service Bill921</v>
      </c>
      <c r="O32" s="31"/>
      <c r="P32" s="26"/>
      <c r="Q32" s="26"/>
      <c r="R32" s="26"/>
      <c r="S32" s="26"/>
      <c r="T32" s="26"/>
    </row>
    <row r="33" spans="2:20">
      <c r="B33" s="6" t="s">
        <v>720</v>
      </c>
      <c r="C33" s="6" t="str">
        <f t="shared" si="9"/>
        <v>ADJ 8.1</v>
      </c>
      <c r="D33" s="6" t="s">
        <v>1912</v>
      </c>
      <c r="E33" s="107" t="s">
        <v>2368</v>
      </c>
      <c r="F33" s="114">
        <v>-10548</v>
      </c>
      <c r="G33" s="143">
        <f t="shared" si="4"/>
        <v>4.7870000000000079E-2</v>
      </c>
      <c r="H33" s="115">
        <f t="shared" si="0"/>
        <v>-11052.932760000002</v>
      </c>
      <c r="I33" s="136">
        <f t="shared" si="1"/>
        <v>-10548</v>
      </c>
      <c r="J33" s="141">
        <f t="shared" si="2"/>
        <v>-11052.932760000002</v>
      </c>
      <c r="K33" s="1297">
        <f>SUM(J33:J34)</f>
        <v>-11056.076370000001</v>
      </c>
      <c r="L33" s="108">
        <v>923</v>
      </c>
      <c r="M33" s="109" t="s">
        <v>1091</v>
      </c>
      <c r="N33" s="110" t="str">
        <f t="shared" si="3"/>
        <v>Corporate Service Bill923</v>
      </c>
      <c r="O33" s="31"/>
      <c r="P33" s="26"/>
      <c r="Q33" s="26"/>
      <c r="R33" s="26"/>
      <c r="S33" s="26"/>
      <c r="T33" s="26"/>
    </row>
    <row r="34" spans="2:20">
      <c r="B34" s="6" t="s">
        <v>720</v>
      </c>
      <c r="C34" s="6" t="str">
        <f>+C31</f>
        <v>ADJ 8.1</v>
      </c>
      <c r="D34" s="6" t="s">
        <v>1912</v>
      </c>
      <c r="E34" s="107" t="s">
        <v>2369</v>
      </c>
      <c r="F34" s="114">
        <v>-3</v>
      </c>
      <c r="G34" s="143">
        <f t="shared" si="4"/>
        <v>4.7870000000000079E-2</v>
      </c>
      <c r="H34" s="115">
        <f t="shared" si="0"/>
        <v>-3.1436100000000002</v>
      </c>
      <c r="I34" s="136">
        <f t="shared" si="1"/>
        <v>-3</v>
      </c>
      <c r="J34" s="141">
        <f>+H34</f>
        <v>-3.1436100000000002</v>
      </c>
      <c r="K34" s="1299"/>
      <c r="L34" s="108">
        <v>923</v>
      </c>
      <c r="M34" s="109" t="s">
        <v>1091</v>
      </c>
      <c r="N34" s="110" t="str">
        <f t="shared" si="3"/>
        <v>Corporate Service Bill923</v>
      </c>
      <c r="O34" s="31"/>
      <c r="P34" s="26"/>
      <c r="Q34" s="26"/>
      <c r="R34" s="26"/>
      <c r="S34" s="26"/>
      <c r="T34" s="26"/>
    </row>
    <row r="35" spans="2:20">
      <c r="B35" s="6" t="s">
        <v>720</v>
      </c>
      <c r="C35" s="139" t="s">
        <v>1934</v>
      </c>
      <c r="D35" s="6" t="s">
        <v>1912</v>
      </c>
      <c r="E35" s="107" t="s">
        <v>2371</v>
      </c>
      <c r="F35" s="114">
        <v>-4379</v>
      </c>
      <c r="G35" s="143">
        <f t="shared" si="4"/>
        <v>4.7870000000000079E-2</v>
      </c>
      <c r="H35" s="115">
        <f t="shared" si="0"/>
        <v>-4588.62273</v>
      </c>
      <c r="I35" s="136">
        <f t="shared" si="1"/>
        <v>-4379</v>
      </c>
      <c r="J35" s="141">
        <f>+H35</f>
        <v>-4588.62273</v>
      </c>
      <c r="K35" s="1297">
        <f>SUM(J35:J37)</f>
        <v>-5841.8752500000001</v>
      </c>
      <c r="L35" s="108">
        <v>921</v>
      </c>
      <c r="M35" s="109" t="s">
        <v>1091</v>
      </c>
      <c r="N35" s="110" t="str">
        <f t="shared" si="3"/>
        <v>Corporate Service Bill921</v>
      </c>
      <c r="O35" s="31"/>
      <c r="P35" s="26"/>
      <c r="Q35" s="26"/>
      <c r="R35" s="26"/>
      <c r="S35" s="26"/>
      <c r="T35" s="26"/>
    </row>
    <row r="36" spans="2:20">
      <c r="B36" s="6" t="s">
        <v>720</v>
      </c>
      <c r="C36" s="6" t="str">
        <f t="shared" ref="C36:C78" si="10">+C35</f>
        <v>ADJ 8.2</v>
      </c>
      <c r="D36" s="6" t="s">
        <v>1912</v>
      </c>
      <c r="E36" s="107" t="s">
        <v>1092</v>
      </c>
      <c r="F36" s="114">
        <v>-622</v>
      </c>
      <c r="G36" s="143">
        <f t="shared" si="4"/>
        <v>4.7870000000000079E-2</v>
      </c>
      <c r="H36" s="115">
        <f t="shared" si="0"/>
        <v>-651.77514000000008</v>
      </c>
      <c r="I36" s="136">
        <f t="shared" si="1"/>
        <v>-622</v>
      </c>
      <c r="J36" s="141">
        <f>+H36</f>
        <v>-651.77514000000008</v>
      </c>
      <c r="K36" s="1298"/>
      <c r="L36" s="108">
        <v>923</v>
      </c>
      <c r="M36" s="109" t="s">
        <v>1091</v>
      </c>
      <c r="N36" s="110" t="str">
        <f t="shared" si="3"/>
        <v>Corporate Service Bill923</v>
      </c>
      <c r="O36" s="31"/>
      <c r="P36" s="26"/>
      <c r="Q36" s="26"/>
      <c r="R36" s="26"/>
      <c r="S36" s="26"/>
      <c r="T36" s="26"/>
    </row>
    <row r="37" spans="2:20">
      <c r="B37" s="6" t="s">
        <v>720</v>
      </c>
      <c r="C37" s="6" t="str">
        <f t="shared" si="10"/>
        <v>ADJ 8.2</v>
      </c>
      <c r="D37" s="6" t="s">
        <v>1912</v>
      </c>
      <c r="E37" s="107" t="s">
        <v>1092</v>
      </c>
      <c r="F37" s="114">
        <v>-574</v>
      </c>
      <c r="G37" s="143">
        <f t="shared" si="4"/>
        <v>4.7870000000000079E-2</v>
      </c>
      <c r="H37" s="115">
        <f t="shared" si="0"/>
        <v>-601.47738000000004</v>
      </c>
      <c r="I37" s="136">
        <f t="shared" si="1"/>
        <v>-574</v>
      </c>
      <c r="J37" s="141">
        <f>+H37</f>
        <v>-601.47738000000004</v>
      </c>
      <c r="K37" s="1299"/>
      <c r="L37" s="108">
        <v>9302</v>
      </c>
      <c r="M37" s="109" t="s">
        <v>1091</v>
      </c>
      <c r="N37" s="110" t="str">
        <f t="shared" si="3"/>
        <v>Corporate Service Bill9302</v>
      </c>
      <c r="O37" s="31"/>
      <c r="P37" s="26"/>
      <c r="Q37" s="26"/>
      <c r="R37" s="26"/>
      <c r="S37" s="26"/>
      <c r="T37" s="26"/>
    </row>
    <row r="38" spans="2:20">
      <c r="B38" s="6" t="s">
        <v>720</v>
      </c>
      <c r="C38" s="6" t="str">
        <f t="shared" si="10"/>
        <v>ADJ 8.2</v>
      </c>
      <c r="D38" s="6" t="s">
        <v>1912</v>
      </c>
      <c r="E38" s="107" t="s">
        <v>1909</v>
      </c>
      <c r="F38" s="114">
        <v>-1139</v>
      </c>
      <c r="G38" s="143">
        <f t="shared" si="4"/>
        <v>4.7870000000000079E-2</v>
      </c>
      <c r="H38" s="115">
        <f t="shared" si="0"/>
        <v>-1193.5239300000001</v>
      </c>
      <c r="I38" s="1294">
        <f>SUM(F38:F48)</f>
        <v>-20947</v>
      </c>
      <c r="J38" s="1297">
        <f>SUM(H38:H48)</f>
        <v>-21949.732889999999</v>
      </c>
      <c r="K38" s="1297">
        <f>+J38</f>
        <v>-21949.732889999999</v>
      </c>
      <c r="L38" s="108">
        <v>923</v>
      </c>
      <c r="M38" s="109" t="s">
        <v>1091</v>
      </c>
      <c r="N38" s="110" t="str">
        <f t="shared" si="3"/>
        <v>Corporate Service Bill923</v>
      </c>
      <c r="O38" s="113"/>
      <c r="P38" s="113"/>
      <c r="Q38" s="113"/>
      <c r="R38" s="113"/>
      <c r="S38" s="113"/>
      <c r="T38" s="113"/>
    </row>
    <row r="39" spans="2:20">
      <c r="B39" s="6" t="s">
        <v>720</v>
      </c>
      <c r="C39" s="6" t="str">
        <f t="shared" si="10"/>
        <v>ADJ 8.2</v>
      </c>
      <c r="D39" s="6" t="s">
        <v>1912</v>
      </c>
      <c r="E39" s="107" t="s">
        <v>1909</v>
      </c>
      <c r="F39" s="114">
        <v>-1944</v>
      </c>
      <c r="G39" s="143">
        <f t="shared" si="4"/>
        <v>4.7870000000000079E-2</v>
      </c>
      <c r="H39" s="115">
        <f t="shared" si="0"/>
        <v>-2037.0592800000002</v>
      </c>
      <c r="I39" s="1295"/>
      <c r="J39" s="1298"/>
      <c r="K39" s="1298"/>
      <c r="L39" s="108">
        <v>9302</v>
      </c>
      <c r="M39" s="109" t="s">
        <v>1091</v>
      </c>
      <c r="N39" s="110" t="str">
        <f t="shared" si="3"/>
        <v>Corporate Service Bill9302</v>
      </c>
      <c r="O39" s="113"/>
      <c r="P39" s="113"/>
      <c r="Q39" s="113"/>
      <c r="R39" s="113"/>
      <c r="S39" s="113"/>
      <c r="T39" s="113"/>
    </row>
    <row r="40" spans="2:20">
      <c r="B40" s="6" t="s">
        <v>720</v>
      </c>
      <c r="C40" s="6" t="str">
        <f>+C39</f>
        <v>ADJ 8.2</v>
      </c>
      <c r="D40" s="6" t="s">
        <v>1912</v>
      </c>
      <c r="E40" s="107" t="s">
        <v>2492</v>
      </c>
      <c r="F40" s="114">
        <f>-7931+205</f>
        <v>-7726</v>
      </c>
      <c r="G40" s="143">
        <f>+G39</f>
        <v>4.7870000000000079E-2</v>
      </c>
      <c r="H40" s="115">
        <f t="shared" si="0"/>
        <v>-8095.8436200000006</v>
      </c>
      <c r="I40" s="1295"/>
      <c r="J40" s="1298"/>
      <c r="K40" s="1298"/>
      <c r="L40" s="108">
        <v>923</v>
      </c>
      <c r="M40" s="109" t="s">
        <v>1091</v>
      </c>
      <c r="N40" s="110" t="str">
        <f>M40&amp;L40</f>
        <v>Corporate Service Bill923</v>
      </c>
      <c r="O40" s="116"/>
      <c r="P40" s="113"/>
      <c r="Q40" s="113"/>
      <c r="R40" s="113"/>
      <c r="S40" s="113"/>
      <c r="T40" s="113"/>
    </row>
    <row r="41" spans="2:20">
      <c r="B41" s="6" t="s">
        <v>720</v>
      </c>
      <c r="C41" s="6" t="str">
        <f>+C40</f>
        <v>ADJ 8.2</v>
      </c>
      <c r="D41" s="6" t="s">
        <v>1912</v>
      </c>
      <c r="E41" s="107" t="s">
        <v>2370</v>
      </c>
      <c r="F41" s="114">
        <v>-1231</v>
      </c>
      <c r="G41" s="143">
        <f>+G40</f>
        <v>4.7870000000000079E-2</v>
      </c>
      <c r="H41" s="115">
        <f t="shared" si="0"/>
        <v>-1289.9279700000002</v>
      </c>
      <c r="I41" s="1295"/>
      <c r="J41" s="1298"/>
      <c r="K41" s="1298"/>
      <c r="L41" s="108">
        <v>921</v>
      </c>
      <c r="M41" s="109" t="s">
        <v>1091</v>
      </c>
      <c r="N41" s="110" t="str">
        <f t="shared" si="3"/>
        <v>Corporate Service Bill921</v>
      </c>
      <c r="O41" s="116"/>
      <c r="P41" s="113"/>
      <c r="Q41" s="113"/>
      <c r="R41" s="113"/>
      <c r="S41" s="113"/>
      <c r="T41" s="113"/>
    </row>
    <row r="42" spans="2:20">
      <c r="B42" s="6" t="s">
        <v>720</v>
      </c>
      <c r="C42" s="6" t="str">
        <f t="shared" si="10"/>
        <v>ADJ 8.2</v>
      </c>
      <c r="D42" s="6" t="s">
        <v>1912</v>
      </c>
      <c r="E42" s="107" t="s">
        <v>2135</v>
      </c>
      <c r="F42" s="114">
        <v>-8</v>
      </c>
      <c r="G42" s="143">
        <f t="shared" si="4"/>
        <v>4.7870000000000079E-2</v>
      </c>
      <c r="H42" s="115">
        <f t="shared" si="0"/>
        <v>-8.3829600000000006</v>
      </c>
      <c r="I42" s="1295"/>
      <c r="J42" s="1298"/>
      <c r="K42" s="1298"/>
      <c r="L42" s="108">
        <v>921</v>
      </c>
      <c r="M42" s="109" t="s">
        <v>1091</v>
      </c>
      <c r="N42" s="110" t="str">
        <f t="shared" si="3"/>
        <v>Corporate Service Bill921</v>
      </c>
      <c r="O42" s="116"/>
      <c r="P42" s="113"/>
      <c r="Q42" s="113"/>
      <c r="R42" s="113"/>
      <c r="S42" s="113"/>
      <c r="T42" s="113"/>
    </row>
    <row r="43" spans="2:20">
      <c r="B43" s="6" t="s">
        <v>720</v>
      </c>
      <c r="C43" s="6" t="str">
        <f t="shared" si="10"/>
        <v>ADJ 8.2</v>
      </c>
      <c r="D43" s="6" t="s">
        <v>1912</v>
      </c>
      <c r="E43" s="107" t="s">
        <v>2136</v>
      </c>
      <c r="F43" s="114">
        <v>-183</v>
      </c>
      <c r="G43" s="143">
        <f t="shared" si="4"/>
        <v>4.7870000000000079E-2</v>
      </c>
      <c r="H43" s="115">
        <f t="shared" si="0"/>
        <v>-191.76021</v>
      </c>
      <c r="I43" s="1295"/>
      <c r="J43" s="1298"/>
      <c r="K43" s="1298"/>
      <c r="L43" s="108">
        <v>921</v>
      </c>
      <c r="M43" s="109" t="s">
        <v>1091</v>
      </c>
      <c r="N43" s="110" t="str">
        <f t="shared" si="3"/>
        <v>Corporate Service Bill921</v>
      </c>
      <c r="O43" s="116"/>
      <c r="P43" s="113"/>
      <c r="Q43" s="113"/>
      <c r="R43" s="113"/>
      <c r="S43" s="113"/>
      <c r="T43" s="113"/>
    </row>
    <row r="44" spans="2:20">
      <c r="B44" s="6" t="s">
        <v>720</v>
      </c>
      <c r="C44" s="6" t="str">
        <f t="shared" si="10"/>
        <v>ADJ 8.2</v>
      </c>
      <c r="D44" s="6" t="s">
        <v>1912</v>
      </c>
      <c r="E44" s="107" t="s">
        <v>2137</v>
      </c>
      <c r="F44" s="114">
        <v>-89</v>
      </c>
      <c r="G44" s="143">
        <f t="shared" si="4"/>
        <v>4.7870000000000079E-2</v>
      </c>
      <c r="H44" s="115">
        <f t="shared" si="0"/>
        <v>-93.260430000000014</v>
      </c>
      <c r="I44" s="1295"/>
      <c r="J44" s="1298"/>
      <c r="K44" s="1298"/>
      <c r="L44" s="108">
        <v>923</v>
      </c>
      <c r="M44" s="109" t="s">
        <v>1091</v>
      </c>
      <c r="N44" s="110" t="str">
        <f t="shared" si="3"/>
        <v>Corporate Service Bill923</v>
      </c>
      <c r="O44" s="116"/>
      <c r="P44" s="113"/>
      <c r="Q44" s="113"/>
      <c r="R44" s="113"/>
      <c r="S44" s="113"/>
      <c r="T44" s="113"/>
    </row>
    <row r="45" spans="2:20">
      <c r="B45" s="6" t="s">
        <v>720</v>
      </c>
      <c r="C45" s="6" t="str">
        <f t="shared" si="10"/>
        <v>ADJ 8.2</v>
      </c>
      <c r="D45" s="6" t="s">
        <v>1912</v>
      </c>
      <c r="E45" s="107" t="s">
        <v>2138</v>
      </c>
      <c r="F45" s="114">
        <v>-2784</v>
      </c>
      <c r="G45" s="143">
        <f t="shared" si="4"/>
        <v>4.7870000000000079E-2</v>
      </c>
      <c r="H45" s="115">
        <f t="shared" si="0"/>
        <v>-2917.2700800000002</v>
      </c>
      <c r="I45" s="1295"/>
      <c r="J45" s="1298"/>
      <c r="K45" s="1298"/>
      <c r="L45" s="108">
        <v>923</v>
      </c>
      <c r="M45" s="109" t="s">
        <v>1091</v>
      </c>
      <c r="N45" s="110" t="str">
        <f t="shared" si="3"/>
        <v>Corporate Service Bill923</v>
      </c>
      <c r="O45" s="116"/>
      <c r="P45" s="113"/>
      <c r="Q45" s="113"/>
      <c r="R45" s="113"/>
      <c r="S45" s="113"/>
      <c r="T45" s="113"/>
    </row>
    <row r="46" spans="2:20">
      <c r="B46" s="6" t="s">
        <v>720</v>
      </c>
      <c r="C46" s="6" t="str">
        <f t="shared" si="10"/>
        <v>ADJ 8.2</v>
      </c>
      <c r="D46" s="6" t="s">
        <v>1912</v>
      </c>
      <c r="E46" s="107" t="s">
        <v>2138</v>
      </c>
      <c r="F46" s="114">
        <f>-2627-1</f>
        <v>-2628</v>
      </c>
      <c r="G46" s="143">
        <f t="shared" si="4"/>
        <v>4.7870000000000079E-2</v>
      </c>
      <c r="H46" s="115">
        <f t="shared" si="0"/>
        <v>-2753.8023600000001</v>
      </c>
      <c r="I46" s="1295"/>
      <c r="J46" s="1298"/>
      <c r="K46" s="1298"/>
      <c r="L46" s="108">
        <v>9302</v>
      </c>
      <c r="M46" s="109" t="s">
        <v>1091</v>
      </c>
      <c r="N46" s="110" t="str">
        <f t="shared" si="3"/>
        <v>Corporate Service Bill9302</v>
      </c>
      <c r="O46" s="116"/>
      <c r="P46" s="113"/>
      <c r="Q46" s="113"/>
      <c r="R46" s="113"/>
      <c r="S46" s="113"/>
      <c r="T46" s="113"/>
    </row>
    <row r="47" spans="2:20">
      <c r="B47" s="6" t="s">
        <v>720</v>
      </c>
      <c r="C47" s="6" t="str">
        <f t="shared" si="10"/>
        <v>ADJ 8.2</v>
      </c>
      <c r="D47" s="6" t="s">
        <v>1912</v>
      </c>
      <c r="E47" s="107" t="s">
        <v>2139</v>
      </c>
      <c r="F47" s="114">
        <v>-2999</v>
      </c>
      <c r="G47" s="143">
        <f t="shared" si="4"/>
        <v>4.7870000000000079E-2</v>
      </c>
      <c r="H47" s="115">
        <f t="shared" si="0"/>
        <v>-3142.5621300000003</v>
      </c>
      <c r="I47" s="1295"/>
      <c r="J47" s="1298"/>
      <c r="K47" s="1298"/>
      <c r="L47" s="108">
        <v>923</v>
      </c>
      <c r="M47" s="109" t="s">
        <v>1091</v>
      </c>
      <c r="N47" s="110" t="str">
        <f t="shared" si="3"/>
        <v>Corporate Service Bill923</v>
      </c>
      <c r="O47" s="116"/>
      <c r="P47" s="113"/>
      <c r="Q47" s="113"/>
      <c r="R47" s="113"/>
      <c r="S47" s="113"/>
      <c r="T47" s="113"/>
    </row>
    <row r="48" spans="2:20" s="1044" customFormat="1">
      <c r="B48" s="30" t="s">
        <v>720</v>
      </c>
      <c r="C48" s="30" t="str">
        <f t="shared" si="10"/>
        <v>ADJ 8.2</v>
      </c>
      <c r="D48" s="30" t="s">
        <v>1912</v>
      </c>
      <c r="E48" s="125" t="s">
        <v>2139</v>
      </c>
      <c r="F48" s="119">
        <v>-216</v>
      </c>
      <c r="G48" s="143">
        <f t="shared" si="4"/>
        <v>4.7870000000000079E-2</v>
      </c>
      <c r="H48" s="120">
        <f t="shared" si="0"/>
        <v>-226.33992000000001</v>
      </c>
      <c r="I48" s="1296"/>
      <c r="J48" s="1299"/>
      <c r="K48" s="1299"/>
      <c r="L48" s="121" t="s">
        <v>1906</v>
      </c>
      <c r="M48" s="122" t="s">
        <v>1091</v>
      </c>
      <c r="N48" s="123" t="str">
        <f t="shared" si="3"/>
        <v>Corporate Service BillAllocate</v>
      </c>
      <c r="O48" s="137" t="s">
        <v>1941</v>
      </c>
      <c r="P48" s="130"/>
      <c r="Q48" s="130"/>
      <c r="R48" s="130"/>
      <c r="S48" s="130"/>
      <c r="T48" s="130"/>
    </row>
    <row r="49" spans="2:20">
      <c r="B49" s="6" t="s">
        <v>720</v>
      </c>
      <c r="C49" s="6" t="str">
        <f t="shared" si="10"/>
        <v>ADJ 8.2</v>
      </c>
      <c r="D49" s="6" t="s">
        <v>1912</v>
      </c>
      <c r="E49" s="107" t="s">
        <v>1088</v>
      </c>
      <c r="F49" s="114">
        <v>-1099</v>
      </c>
      <c r="G49" s="143">
        <f t="shared" si="4"/>
        <v>4.7870000000000079E-2</v>
      </c>
      <c r="H49" s="115">
        <f t="shared" si="0"/>
        <v>-1151.6091300000001</v>
      </c>
      <c r="I49" s="1294">
        <f>SUM(F49:F53)</f>
        <v>-9780</v>
      </c>
      <c r="J49" s="1297">
        <f>SUM(H49:H53)</f>
        <v>-10248.168599999999</v>
      </c>
      <c r="K49" s="1297">
        <f>+J49</f>
        <v>-10248.168599999999</v>
      </c>
      <c r="L49" s="108">
        <v>910</v>
      </c>
      <c r="M49" s="109" t="s">
        <v>1091</v>
      </c>
      <c r="N49" s="110" t="str">
        <f t="shared" si="3"/>
        <v>Corporate Service Bill910</v>
      </c>
      <c r="O49" s="116"/>
      <c r="P49" s="113"/>
      <c r="Q49" s="113"/>
      <c r="R49" s="113"/>
      <c r="S49" s="113"/>
      <c r="T49" s="113"/>
    </row>
    <row r="50" spans="2:20">
      <c r="B50" s="6" t="s">
        <v>720</v>
      </c>
      <c r="C50" s="6" t="str">
        <f t="shared" si="10"/>
        <v>ADJ 8.2</v>
      </c>
      <c r="D50" s="6" t="s">
        <v>1912</v>
      </c>
      <c r="E50" s="107" t="s">
        <v>1088</v>
      </c>
      <c r="F50" s="114">
        <f>-2767-205</f>
        <v>-2972</v>
      </c>
      <c r="G50" s="143">
        <f t="shared" si="4"/>
        <v>4.7870000000000079E-2</v>
      </c>
      <c r="H50" s="115">
        <f t="shared" si="0"/>
        <v>-3114.2696400000004</v>
      </c>
      <c r="I50" s="1295"/>
      <c r="J50" s="1298"/>
      <c r="K50" s="1298"/>
      <c r="L50" s="108">
        <v>923</v>
      </c>
      <c r="M50" s="109" t="s">
        <v>1091</v>
      </c>
      <c r="N50" s="110" t="str">
        <f t="shared" si="3"/>
        <v>Corporate Service Bill923</v>
      </c>
      <c r="O50" s="116"/>
      <c r="P50" s="113"/>
      <c r="Q50" s="113"/>
      <c r="R50" s="113"/>
      <c r="S50" s="113"/>
      <c r="T50" s="113"/>
    </row>
    <row r="51" spans="2:20">
      <c r="B51" s="6" t="s">
        <v>720</v>
      </c>
      <c r="C51" s="6" t="str">
        <f t="shared" si="10"/>
        <v>ADJ 8.2</v>
      </c>
      <c r="D51" s="6" t="s">
        <v>1912</v>
      </c>
      <c r="E51" s="107" t="s">
        <v>1088</v>
      </c>
      <c r="F51" s="114">
        <v>-5297</v>
      </c>
      <c r="G51" s="143">
        <f t="shared" si="4"/>
        <v>4.7870000000000079E-2</v>
      </c>
      <c r="H51" s="115">
        <f t="shared" si="0"/>
        <v>-5550.5673900000002</v>
      </c>
      <c r="I51" s="1295"/>
      <c r="J51" s="1298"/>
      <c r="K51" s="1298"/>
      <c r="L51" s="108">
        <v>9301</v>
      </c>
      <c r="M51" s="109" t="s">
        <v>1091</v>
      </c>
      <c r="N51" s="110" t="str">
        <f t="shared" si="3"/>
        <v>Corporate Service Bill9301</v>
      </c>
      <c r="P51" s="113"/>
      <c r="Q51" s="113"/>
      <c r="R51" s="113"/>
      <c r="S51" s="113"/>
      <c r="T51" s="113"/>
    </row>
    <row r="52" spans="2:20">
      <c r="B52" s="6" t="s">
        <v>720</v>
      </c>
      <c r="C52" s="6" t="str">
        <f t="shared" si="10"/>
        <v>ADJ 8.2</v>
      </c>
      <c r="D52" s="6" t="s">
        <v>1912</v>
      </c>
      <c r="E52" s="107" t="s">
        <v>1088</v>
      </c>
      <c r="F52" s="114">
        <v>-143</v>
      </c>
      <c r="G52" s="143">
        <f t="shared" si="4"/>
        <v>4.7870000000000079E-2</v>
      </c>
      <c r="H52" s="115">
        <f t="shared" si="0"/>
        <v>-149.84541000000002</v>
      </c>
      <c r="I52" s="1295"/>
      <c r="J52" s="1298"/>
      <c r="K52" s="1298"/>
      <c r="L52" s="108">
        <v>9302</v>
      </c>
      <c r="M52" s="109" t="s">
        <v>1091</v>
      </c>
      <c r="N52" s="110" t="str">
        <f t="shared" si="3"/>
        <v>Corporate Service Bill9302</v>
      </c>
      <c r="O52" s="116"/>
      <c r="P52" s="113"/>
      <c r="Q52" s="113"/>
      <c r="R52" s="113"/>
      <c r="S52" s="113"/>
      <c r="T52" s="113"/>
    </row>
    <row r="53" spans="2:20" s="1044" customFormat="1">
      <c r="B53" s="30" t="s">
        <v>720</v>
      </c>
      <c r="C53" s="30" t="str">
        <f>+C52</f>
        <v>ADJ 8.2</v>
      </c>
      <c r="D53" s="30" t="s">
        <v>1912</v>
      </c>
      <c r="E53" s="125" t="s">
        <v>1088</v>
      </c>
      <c r="F53" s="119">
        <v>-269</v>
      </c>
      <c r="G53" s="143">
        <f>+G52</f>
        <v>4.7870000000000079E-2</v>
      </c>
      <c r="H53" s="120">
        <f t="shared" si="0"/>
        <v>-281.87703000000005</v>
      </c>
      <c r="I53" s="1296"/>
      <c r="J53" s="1299"/>
      <c r="K53" s="1299"/>
      <c r="L53" s="121" t="s">
        <v>1906</v>
      </c>
      <c r="M53" s="122" t="s">
        <v>1091</v>
      </c>
      <c r="N53" s="123" t="str">
        <f t="shared" si="3"/>
        <v>Corporate Service BillAllocate</v>
      </c>
      <c r="O53" s="137" t="s">
        <v>1941</v>
      </c>
      <c r="P53" s="130"/>
      <c r="Q53" s="130"/>
      <c r="R53" s="130"/>
      <c r="S53" s="130"/>
      <c r="T53" s="130"/>
    </row>
    <row r="54" spans="2:20">
      <c r="B54" s="6" t="s">
        <v>720</v>
      </c>
      <c r="C54" s="6" t="str">
        <f t="shared" si="10"/>
        <v>ADJ 8.2</v>
      </c>
      <c r="D54" s="6" t="s">
        <v>1912</v>
      </c>
      <c r="E54" s="107" t="s">
        <v>2118</v>
      </c>
      <c r="F54" s="114">
        <v>-300</v>
      </c>
      <c r="G54" s="143">
        <f t="shared" si="4"/>
        <v>4.7870000000000079E-2</v>
      </c>
      <c r="H54" s="115">
        <f t="shared" si="0"/>
        <v>-314.36100000000005</v>
      </c>
      <c r="I54" s="1294">
        <f>SUM(F54:F55)</f>
        <v>-555</v>
      </c>
      <c r="J54" s="1297">
        <f>SUM(H54:H55)</f>
        <v>-581.56785000000013</v>
      </c>
      <c r="K54" s="1297">
        <f>+J54</f>
        <v>-581.56785000000013</v>
      </c>
      <c r="L54" s="108">
        <v>921</v>
      </c>
      <c r="M54" s="109" t="s">
        <v>1091</v>
      </c>
      <c r="N54" s="110" t="str">
        <f t="shared" si="3"/>
        <v>Corporate Service Bill921</v>
      </c>
      <c r="O54" s="31"/>
      <c r="P54" s="26"/>
      <c r="Q54" s="26"/>
      <c r="R54" s="26"/>
      <c r="S54" s="26"/>
      <c r="T54" s="26"/>
    </row>
    <row r="55" spans="2:20" s="1044" customFormat="1">
      <c r="B55" s="30" t="s">
        <v>720</v>
      </c>
      <c r="C55" s="30" t="str">
        <f t="shared" si="10"/>
        <v>ADJ 8.2</v>
      </c>
      <c r="D55" s="30" t="s">
        <v>1912</v>
      </c>
      <c r="E55" s="125" t="s">
        <v>2118</v>
      </c>
      <c r="F55" s="119">
        <v>-255</v>
      </c>
      <c r="G55" s="143">
        <f t="shared" si="4"/>
        <v>4.7870000000000079E-2</v>
      </c>
      <c r="H55" s="120">
        <f t="shared" si="0"/>
        <v>-267.20685000000003</v>
      </c>
      <c r="I55" s="1296"/>
      <c r="J55" s="1299"/>
      <c r="K55" s="1299"/>
      <c r="L55" s="121" t="s">
        <v>1906</v>
      </c>
      <c r="M55" s="122" t="s">
        <v>1091</v>
      </c>
      <c r="N55" s="123" t="str">
        <f t="shared" si="3"/>
        <v>Corporate Service BillAllocate</v>
      </c>
      <c r="O55" s="137" t="s">
        <v>1941</v>
      </c>
      <c r="P55" s="130"/>
      <c r="Q55" s="130"/>
      <c r="R55" s="130"/>
      <c r="S55" s="130"/>
      <c r="T55" s="130"/>
    </row>
    <row r="56" spans="2:20">
      <c r="B56" s="6" t="s">
        <v>720</v>
      </c>
      <c r="C56" s="6" t="str">
        <f t="shared" si="10"/>
        <v>ADJ 8.2</v>
      </c>
      <c r="D56" s="6" t="s">
        <v>1912</v>
      </c>
      <c r="E56" s="107" t="s">
        <v>2119</v>
      </c>
      <c r="F56" s="114">
        <v>-10561</v>
      </c>
      <c r="G56" s="143">
        <f t="shared" si="4"/>
        <v>4.7870000000000079E-2</v>
      </c>
      <c r="H56" s="115">
        <f t="shared" si="0"/>
        <v>-11066.55507</v>
      </c>
      <c r="I56" s="1294">
        <f>SUM(F56:F57)</f>
        <v>-11760</v>
      </c>
      <c r="J56" s="1297">
        <f>SUM(H56:H57)</f>
        <v>-12322.9512</v>
      </c>
      <c r="K56" s="1297">
        <f>+J56</f>
        <v>-12322.9512</v>
      </c>
      <c r="L56" s="108">
        <v>921</v>
      </c>
      <c r="M56" s="109" t="s">
        <v>1091</v>
      </c>
      <c r="N56" s="110" t="str">
        <f t="shared" si="3"/>
        <v>Corporate Service Bill921</v>
      </c>
      <c r="O56" s="113"/>
      <c r="P56" s="113"/>
      <c r="Q56" s="113"/>
      <c r="R56" s="113"/>
      <c r="S56" s="113"/>
      <c r="T56" s="113"/>
    </row>
    <row r="57" spans="2:20" s="1044" customFormat="1">
      <c r="B57" s="30" t="s">
        <v>720</v>
      </c>
      <c r="C57" s="30" t="str">
        <f t="shared" si="10"/>
        <v>ADJ 8.2</v>
      </c>
      <c r="D57" s="30" t="s">
        <v>1912</v>
      </c>
      <c r="E57" s="125" t="s">
        <v>2119</v>
      </c>
      <c r="F57" s="119">
        <v>-1199</v>
      </c>
      <c r="G57" s="143">
        <f t="shared" si="4"/>
        <v>4.7870000000000079E-2</v>
      </c>
      <c r="H57" s="120">
        <f t="shared" si="0"/>
        <v>-1256.3961300000001</v>
      </c>
      <c r="I57" s="1296"/>
      <c r="J57" s="1299"/>
      <c r="K57" s="1299"/>
      <c r="L57" s="121" t="s">
        <v>1906</v>
      </c>
      <c r="M57" s="122" t="s">
        <v>1091</v>
      </c>
      <c r="N57" s="123" t="str">
        <f t="shared" si="3"/>
        <v>Corporate Service BillAllocate</v>
      </c>
      <c r="O57" s="137" t="s">
        <v>1941</v>
      </c>
      <c r="P57" s="130"/>
      <c r="Q57" s="130"/>
      <c r="R57" s="130"/>
      <c r="S57" s="130"/>
      <c r="T57" s="130"/>
    </row>
    <row r="58" spans="2:20" s="1044" customFormat="1">
      <c r="B58" s="6" t="str">
        <f>+B57</f>
        <v>D-2.4</v>
      </c>
      <c r="C58" s="6" t="str">
        <f t="shared" si="10"/>
        <v>ADJ 8.2</v>
      </c>
      <c r="D58" s="6" t="s">
        <v>1912</v>
      </c>
      <c r="E58" s="107" t="s">
        <v>1914</v>
      </c>
      <c r="F58" s="114">
        <v>-38</v>
      </c>
      <c r="G58" s="143">
        <f t="shared" si="4"/>
        <v>4.7870000000000079E-2</v>
      </c>
      <c r="H58" s="115">
        <f t="shared" si="0"/>
        <v>-39.81906</v>
      </c>
      <c r="I58" s="1294">
        <f>SUM(F58:F62)</f>
        <v>-6634</v>
      </c>
      <c r="J58" s="1297">
        <f>SUM(H58:H62)</f>
        <v>-6951.5695800000003</v>
      </c>
      <c r="K58" s="1297">
        <f>+J58</f>
        <v>-6951.5695800000003</v>
      </c>
      <c r="L58" s="144">
        <v>921</v>
      </c>
      <c r="M58" s="145" t="s">
        <v>1091</v>
      </c>
      <c r="N58" s="110" t="str">
        <f t="shared" si="3"/>
        <v>Corporate Service Bill921</v>
      </c>
      <c r="O58" s="137"/>
      <c r="P58" s="130"/>
      <c r="Q58" s="130"/>
      <c r="R58" s="130"/>
      <c r="S58" s="130"/>
      <c r="T58" s="130"/>
    </row>
    <row r="59" spans="2:20">
      <c r="B59" s="6" t="str">
        <f>+B58</f>
        <v>D-2.4</v>
      </c>
      <c r="C59" s="6" t="str">
        <f t="shared" si="10"/>
        <v>ADJ 8.2</v>
      </c>
      <c r="D59" s="30" t="s">
        <v>1912</v>
      </c>
      <c r="E59" s="125" t="s">
        <v>1910</v>
      </c>
      <c r="F59" s="119">
        <v>-167</v>
      </c>
      <c r="G59" s="143">
        <f t="shared" si="4"/>
        <v>4.7870000000000079E-2</v>
      </c>
      <c r="H59" s="115">
        <f t="shared" si="0"/>
        <v>-174.99429000000001</v>
      </c>
      <c r="I59" s="1295"/>
      <c r="J59" s="1298"/>
      <c r="K59" s="1298"/>
      <c r="L59" s="108">
        <v>921</v>
      </c>
      <c r="M59" s="109" t="s">
        <v>1091</v>
      </c>
      <c r="N59" s="110" t="str">
        <f t="shared" si="3"/>
        <v>Corporate Service Bill921</v>
      </c>
      <c r="O59" s="131"/>
      <c r="P59" s="113"/>
      <c r="Q59" s="113"/>
      <c r="R59" s="113"/>
      <c r="S59" s="113"/>
      <c r="T59" s="113"/>
    </row>
    <row r="60" spans="2:20">
      <c r="B60" s="6" t="s">
        <v>720</v>
      </c>
      <c r="C60" s="6" t="str">
        <f t="shared" si="10"/>
        <v>ADJ 8.2</v>
      </c>
      <c r="D60" s="30" t="s">
        <v>1912</v>
      </c>
      <c r="E60" s="125" t="s">
        <v>1921</v>
      </c>
      <c r="F60" s="119">
        <v>-2282</v>
      </c>
      <c r="G60" s="143">
        <f t="shared" si="4"/>
        <v>4.7870000000000079E-2</v>
      </c>
      <c r="H60" s="115">
        <f t="shared" si="0"/>
        <v>-2391.2393400000001</v>
      </c>
      <c r="I60" s="1295"/>
      <c r="J60" s="1298"/>
      <c r="K60" s="1298"/>
      <c r="L60" s="108">
        <v>921</v>
      </c>
      <c r="M60" s="109" t="s">
        <v>1091</v>
      </c>
      <c r="N60" s="110" t="str">
        <f t="shared" si="3"/>
        <v>Corporate Service Bill921</v>
      </c>
      <c r="O60" s="131"/>
      <c r="P60" s="113"/>
      <c r="Q60" s="113"/>
      <c r="R60" s="113"/>
      <c r="S60" s="113"/>
      <c r="T60" s="113"/>
    </row>
    <row r="61" spans="2:20">
      <c r="B61" s="6" t="s">
        <v>720</v>
      </c>
      <c r="C61" s="6" t="str">
        <f t="shared" si="10"/>
        <v>ADJ 8.2</v>
      </c>
      <c r="D61" s="6" t="s">
        <v>1912</v>
      </c>
      <c r="E61" s="107" t="s">
        <v>2120</v>
      </c>
      <c r="F61" s="114">
        <v>-3862</v>
      </c>
      <c r="G61" s="143">
        <f t="shared" si="4"/>
        <v>4.7870000000000079E-2</v>
      </c>
      <c r="H61" s="115">
        <f t="shared" si="0"/>
        <v>-4046.8739400000004</v>
      </c>
      <c r="I61" s="1295"/>
      <c r="J61" s="1298"/>
      <c r="K61" s="1298"/>
      <c r="L61" s="108">
        <v>921</v>
      </c>
      <c r="M61" s="109" t="s">
        <v>1091</v>
      </c>
      <c r="N61" s="110" t="str">
        <f t="shared" si="3"/>
        <v>Corporate Service Bill921</v>
      </c>
    </row>
    <row r="62" spans="2:20" s="1044" customFormat="1">
      <c r="B62" s="30" t="s">
        <v>720</v>
      </c>
      <c r="C62" s="30" t="str">
        <f t="shared" si="10"/>
        <v>ADJ 8.2</v>
      </c>
      <c r="D62" s="30" t="s">
        <v>1912</v>
      </c>
      <c r="E62" s="125" t="s">
        <v>2120</v>
      </c>
      <c r="F62" s="119">
        <v>-285</v>
      </c>
      <c r="G62" s="212">
        <f t="shared" si="4"/>
        <v>4.7870000000000079E-2</v>
      </c>
      <c r="H62" s="120">
        <f t="shared" si="0"/>
        <v>-298.64295000000004</v>
      </c>
      <c r="I62" s="1296"/>
      <c r="J62" s="1299"/>
      <c r="K62" s="1299"/>
      <c r="L62" s="121" t="s">
        <v>1906</v>
      </c>
      <c r="M62" s="122" t="s">
        <v>1091</v>
      </c>
      <c r="N62" s="123" t="str">
        <f t="shared" si="3"/>
        <v>Corporate Service BillAllocate</v>
      </c>
      <c r="O62" s="137" t="s">
        <v>1941</v>
      </c>
    </row>
    <row r="63" spans="2:20">
      <c r="B63" s="6" t="s">
        <v>720</v>
      </c>
      <c r="C63" s="6" t="str">
        <f t="shared" si="10"/>
        <v>ADJ 8.2</v>
      </c>
      <c r="D63" s="6" t="s">
        <v>1912</v>
      </c>
      <c r="E63" s="107" t="s">
        <v>1918</v>
      </c>
      <c r="F63" s="114">
        <v>-25622</v>
      </c>
      <c r="G63" s="143">
        <f t="shared" si="4"/>
        <v>4.7870000000000079E-2</v>
      </c>
      <c r="H63" s="115">
        <f t="shared" si="0"/>
        <v>-26848.525140000002</v>
      </c>
      <c r="I63" s="1294">
        <f>SUM(F63:F65)</f>
        <v>-27445</v>
      </c>
      <c r="J63" s="1297">
        <f>SUM(H63:H65)</f>
        <v>-28758.792150000005</v>
      </c>
      <c r="K63" s="1297">
        <f>+J63</f>
        <v>-28758.792150000005</v>
      </c>
      <c r="L63" s="108">
        <v>923</v>
      </c>
      <c r="M63" s="109" t="s">
        <v>1091</v>
      </c>
      <c r="N63" s="110" t="str">
        <f t="shared" si="3"/>
        <v>Corporate Service Bill923</v>
      </c>
      <c r="O63" s="116"/>
      <c r="P63" s="113"/>
      <c r="Q63" s="113"/>
      <c r="R63" s="113"/>
      <c r="S63" s="113"/>
      <c r="T63" s="113"/>
    </row>
    <row r="64" spans="2:20" s="1044" customFormat="1">
      <c r="B64" s="30" t="s">
        <v>720</v>
      </c>
      <c r="C64" s="30" t="str">
        <f t="shared" si="10"/>
        <v>ADJ 8.2</v>
      </c>
      <c r="D64" s="30" t="s">
        <v>1912</v>
      </c>
      <c r="E64" s="125" t="s">
        <v>1918</v>
      </c>
      <c r="F64" s="119">
        <v>-60</v>
      </c>
      <c r="G64" s="143">
        <f t="shared" si="4"/>
        <v>4.7870000000000079E-2</v>
      </c>
      <c r="H64" s="120">
        <f t="shared" si="0"/>
        <v>-62.872200000000007</v>
      </c>
      <c r="I64" s="1295"/>
      <c r="J64" s="1298"/>
      <c r="K64" s="1298"/>
      <c r="L64" s="121" t="s">
        <v>1906</v>
      </c>
      <c r="M64" s="122" t="s">
        <v>1091</v>
      </c>
      <c r="N64" s="123" t="str">
        <f t="shared" si="3"/>
        <v>Corporate Service BillAllocate</v>
      </c>
      <c r="O64" s="137" t="s">
        <v>1941</v>
      </c>
      <c r="P64" s="130"/>
      <c r="Q64" s="130"/>
      <c r="R64" s="130"/>
      <c r="S64" s="130"/>
      <c r="T64" s="130"/>
    </row>
    <row r="65" spans="2:20">
      <c r="B65" s="6" t="s">
        <v>720</v>
      </c>
      <c r="C65" s="6" t="str">
        <f t="shared" si="10"/>
        <v>ADJ 8.2</v>
      </c>
      <c r="D65" s="6" t="s">
        <v>1912</v>
      </c>
      <c r="E65" s="107" t="s">
        <v>1925</v>
      </c>
      <c r="F65" s="114">
        <v>-1763</v>
      </c>
      <c r="G65" s="143">
        <f t="shared" si="4"/>
        <v>4.7870000000000079E-2</v>
      </c>
      <c r="H65" s="115">
        <f t="shared" si="0"/>
        <v>-1847.3948100000002</v>
      </c>
      <c r="I65" s="1296"/>
      <c r="J65" s="1299"/>
      <c r="K65" s="1299"/>
      <c r="L65" s="108">
        <v>923</v>
      </c>
      <c r="M65" s="109" t="s">
        <v>1091</v>
      </c>
      <c r="N65" s="110" t="str">
        <f t="shared" si="3"/>
        <v>Corporate Service Bill923</v>
      </c>
    </row>
    <row r="66" spans="2:20">
      <c r="B66" s="6" t="s">
        <v>720</v>
      </c>
      <c r="C66" s="6" t="str">
        <f t="shared" si="10"/>
        <v>ADJ 8.2</v>
      </c>
      <c r="D66" s="6" t="s">
        <v>1912</v>
      </c>
      <c r="E66" s="107" t="s">
        <v>1915</v>
      </c>
      <c r="F66" s="114">
        <v>-25780</v>
      </c>
      <c r="G66" s="143">
        <f t="shared" si="4"/>
        <v>4.7870000000000079E-2</v>
      </c>
      <c r="H66" s="115">
        <f t="shared" si="0"/>
        <v>-27014.088600000003</v>
      </c>
      <c r="I66" s="1294">
        <f>SUM(F66:F78)</f>
        <v>-36226</v>
      </c>
      <c r="J66" s="1297">
        <f>SUM(H66:H78)</f>
        <v>-37960.138620000005</v>
      </c>
      <c r="K66" s="1297">
        <f>+J66</f>
        <v>-37960.138620000005</v>
      </c>
      <c r="L66" s="108">
        <v>923</v>
      </c>
      <c r="M66" s="109" t="s">
        <v>1091</v>
      </c>
      <c r="N66" s="110" t="str">
        <f t="shared" si="3"/>
        <v>Corporate Service Bill923</v>
      </c>
      <c r="O66" s="116"/>
      <c r="P66" s="113"/>
      <c r="Q66" s="113"/>
      <c r="R66" s="113"/>
      <c r="S66" s="113"/>
      <c r="T66" s="113"/>
    </row>
    <row r="67" spans="2:20" s="1044" customFormat="1">
      <c r="B67" s="30" t="s">
        <v>720</v>
      </c>
      <c r="C67" s="30" t="str">
        <f t="shared" si="10"/>
        <v>ADJ 8.2</v>
      </c>
      <c r="D67" s="30" t="s">
        <v>1912</v>
      </c>
      <c r="E67" s="125" t="s">
        <v>1916</v>
      </c>
      <c r="F67" s="119">
        <v>-526</v>
      </c>
      <c r="G67" s="143">
        <f t="shared" si="4"/>
        <v>4.7870000000000079E-2</v>
      </c>
      <c r="H67" s="120">
        <f t="shared" si="0"/>
        <v>-551.17962</v>
      </c>
      <c r="I67" s="1295"/>
      <c r="J67" s="1298"/>
      <c r="K67" s="1298"/>
      <c r="L67" s="121" t="s">
        <v>1906</v>
      </c>
      <c r="M67" s="122" t="s">
        <v>1091</v>
      </c>
      <c r="N67" s="123" t="str">
        <f t="shared" si="3"/>
        <v>Corporate Service BillAllocate</v>
      </c>
      <c r="O67" s="137" t="s">
        <v>1941</v>
      </c>
      <c r="P67" s="130"/>
      <c r="Q67" s="130"/>
      <c r="R67" s="130"/>
      <c r="S67" s="130"/>
      <c r="T67" s="130"/>
    </row>
    <row r="68" spans="2:20">
      <c r="B68" s="6" t="s">
        <v>720</v>
      </c>
      <c r="C68" s="6" t="str">
        <f t="shared" si="10"/>
        <v>ADJ 8.2</v>
      </c>
      <c r="D68" s="6" t="s">
        <v>1912</v>
      </c>
      <c r="E68" s="107" t="s">
        <v>1911</v>
      </c>
      <c r="F68" s="114">
        <v>-335</v>
      </c>
      <c r="G68" s="143">
        <f t="shared" si="4"/>
        <v>4.7870000000000079E-2</v>
      </c>
      <c r="H68" s="115">
        <f t="shared" ref="H68:H78" si="11">+F68*(1+G68)</f>
        <v>-351.03645</v>
      </c>
      <c r="I68" s="1295"/>
      <c r="J68" s="1298"/>
      <c r="K68" s="1298"/>
      <c r="L68" s="108">
        <v>923</v>
      </c>
      <c r="M68" s="109" t="s">
        <v>1091</v>
      </c>
      <c r="N68" s="110" t="str">
        <f t="shared" ref="N68:N78" si="12">M68&amp;L68</f>
        <v>Corporate Service Bill923</v>
      </c>
      <c r="O68" s="116"/>
      <c r="P68" s="113"/>
      <c r="Q68" s="113"/>
      <c r="R68" s="113"/>
      <c r="S68" s="113"/>
      <c r="T68" s="113"/>
    </row>
    <row r="69" spans="2:20">
      <c r="B69" s="6" t="s">
        <v>720</v>
      </c>
      <c r="C69" s="6" t="str">
        <f t="shared" si="10"/>
        <v>ADJ 8.2</v>
      </c>
      <c r="D69" s="6" t="s">
        <v>1912</v>
      </c>
      <c r="E69" s="107" t="s">
        <v>1917</v>
      </c>
      <c r="F69" s="114">
        <v>-349</v>
      </c>
      <c r="G69" s="143">
        <f t="shared" si="4"/>
        <v>4.7870000000000079E-2</v>
      </c>
      <c r="H69" s="115">
        <f t="shared" si="11"/>
        <v>-365.70663000000002</v>
      </c>
      <c r="I69" s="1295"/>
      <c r="J69" s="1298"/>
      <c r="K69" s="1298"/>
      <c r="L69" s="108">
        <v>923</v>
      </c>
      <c r="M69" s="109" t="s">
        <v>1091</v>
      </c>
      <c r="N69" s="110" t="str">
        <f t="shared" si="12"/>
        <v>Corporate Service Bill923</v>
      </c>
      <c r="O69" s="131"/>
      <c r="P69" s="113"/>
      <c r="Q69" s="113"/>
      <c r="R69" s="113"/>
      <c r="S69" s="113"/>
      <c r="T69" s="113"/>
    </row>
    <row r="70" spans="2:20">
      <c r="B70" s="6" t="s">
        <v>720</v>
      </c>
      <c r="C70" s="6" t="str">
        <f t="shared" si="10"/>
        <v>ADJ 8.2</v>
      </c>
      <c r="D70" s="6" t="s">
        <v>1912</v>
      </c>
      <c r="E70" s="107" t="s">
        <v>1919</v>
      </c>
      <c r="F70" s="114">
        <v>-1799</v>
      </c>
      <c r="G70" s="143">
        <f t="shared" ref="G70:G76" si="13">+G69</f>
        <v>4.7870000000000079E-2</v>
      </c>
      <c r="H70" s="115">
        <f t="shared" si="11"/>
        <v>-1885.1181300000001</v>
      </c>
      <c r="I70" s="1295"/>
      <c r="J70" s="1298"/>
      <c r="K70" s="1298"/>
      <c r="L70" s="108">
        <v>931</v>
      </c>
      <c r="M70" s="109" t="s">
        <v>1091</v>
      </c>
      <c r="N70" s="110" t="str">
        <f t="shared" si="12"/>
        <v>Corporate Service Bill931</v>
      </c>
      <c r="O70" s="116"/>
      <c r="P70" s="113"/>
      <c r="Q70" s="113"/>
      <c r="R70" s="113"/>
      <c r="S70" s="113"/>
      <c r="T70" s="113"/>
    </row>
    <row r="71" spans="2:20">
      <c r="B71" s="6" t="s">
        <v>720</v>
      </c>
      <c r="C71" s="6" t="str">
        <f t="shared" si="10"/>
        <v>ADJ 8.2</v>
      </c>
      <c r="D71" s="6" t="s">
        <v>1912</v>
      </c>
      <c r="E71" s="107" t="s">
        <v>1920</v>
      </c>
      <c r="F71" s="114">
        <v>-5362</v>
      </c>
      <c r="G71" s="143">
        <f t="shared" si="13"/>
        <v>4.7870000000000079E-2</v>
      </c>
      <c r="H71" s="115">
        <f t="shared" si="11"/>
        <v>-5618.6789400000007</v>
      </c>
      <c r="I71" s="1295"/>
      <c r="J71" s="1298"/>
      <c r="K71" s="1298"/>
      <c r="L71" s="108">
        <v>921</v>
      </c>
      <c r="M71" s="109" t="s">
        <v>1091</v>
      </c>
      <c r="N71" s="110" t="str">
        <f t="shared" si="12"/>
        <v>Corporate Service Bill921</v>
      </c>
      <c r="O71" s="116"/>
      <c r="P71" s="113"/>
      <c r="Q71" s="113"/>
      <c r="R71" s="113"/>
      <c r="S71" s="113"/>
      <c r="T71" s="113"/>
    </row>
    <row r="72" spans="2:20">
      <c r="B72" s="6" t="s">
        <v>720</v>
      </c>
      <c r="C72" s="6" t="str">
        <f t="shared" si="10"/>
        <v>ADJ 8.2</v>
      </c>
      <c r="D72" s="6" t="s">
        <v>1912</v>
      </c>
      <c r="E72" s="107" t="s">
        <v>1922</v>
      </c>
      <c r="F72" s="114">
        <v>-178</v>
      </c>
      <c r="G72" s="143">
        <f t="shared" si="13"/>
        <v>4.7870000000000079E-2</v>
      </c>
      <c r="H72" s="115">
        <f t="shared" si="11"/>
        <v>-186.52086000000003</v>
      </c>
      <c r="I72" s="1295"/>
      <c r="J72" s="1298"/>
      <c r="K72" s="1298"/>
      <c r="L72" s="108">
        <v>921</v>
      </c>
      <c r="M72" s="109" t="s">
        <v>1091</v>
      </c>
      <c r="N72" s="110" t="str">
        <f t="shared" si="12"/>
        <v>Corporate Service Bill921</v>
      </c>
      <c r="O72" s="116"/>
      <c r="P72" s="113"/>
      <c r="Q72" s="113"/>
      <c r="R72" s="113"/>
      <c r="S72" s="113"/>
      <c r="T72" s="113"/>
    </row>
    <row r="73" spans="2:20" s="1044" customFormat="1">
      <c r="B73" s="30" t="s">
        <v>720</v>
      </c>
      <c r="C73" s="30" t="str">
        <f t="shared" si="10"/>
        <v>ADJ 8.2</v>
      </c>
      <c r="D73" s="30" t="s">
        <v>1912</v>
      </c>
      <c r="E73" s="125" t="s">
        <v>1923</v>
      </c>
      <c r="F73" s="119">
        <v>-265</v>
      </c>
      <c r="G73" s="143">
        <f t="shared" si="13"/>
        <v>4.7870000000000079E-2</v>
      </c>
      <c r="H73" s="120">
        <f t="shared" si="11"/>
        <v>-277.68555000000003</v>
      </c>
      <c r="I73" s="1295"/>
      <c r="J73" s="1298"/>
      <c r="K73" s="1298"/>
      <c r="L73" s="121" t="s">
        <v>1906</v>
      </c>
      <c r="M73" s="122" t="s">
        <v>1091</v>
      </c>
      <c r="N73" s="123" t="str">
        <f t="shared" si="12"/>
        <v>Corporate Service BillAllocate</v>
      </c>
      <c r="O73" s="137" t="s">
        <v>1941</v>
      </c>
      <c r="P73" s="130"/>
      <c r="Q73" s="130"/>
      <c r="R73" s="130"/>
      <c r="S73" s="130"/>
      <c r="T73" s="130"/>
    </row>
    <row r="74" spans="2:20">
      <c r="B74" s="6" t="s">
        <v>720</v>
      </c>
      <c r="C74" s="6" t="str">
        <f t="shared" si="10"/>
        <v>ADJ 8.2</v>
      </c>
      <c r="D74" s="6" t="s">
        <v>1912</v>
      </c>
      <c r="E74" s="107" t="s">
        <v>1924</v>
      </c>
      <c r="F74" s="114">
        <v>-1089</v>
      </c>
      <c r="G74" s="143">
        <f t="shared" si="13"/>
        <v>4.7870000000000079E-2</v>
      </c>
      <c r="H74" s="115">
        <f t="shared" si="11"/>
        <v>-1141.1304300000002</v>
      </c>
      <c r="I74" s="1295"/>
      <c r="J74" s="1298"/>
      <c r="K74" s="1298"/>
      <c r="L74" s="108">
        <v>931</v>
      </c>
      <c r="M74" s="109" t="s">
        <v>1091</v>
      </c>
      <c r="N74" s="110" t="str">
        <f t="shared" si="12"/>
        <v>Corporate Service Bill931</v>
      </c>
    </row>
    <row r="75" spans="2:20">
      <c r="B75" s="6" t="s">
        <v>720</v>
      </c>
      <c r="C75" s="6" t="str">
        <f t="shared" si="10"/>
        <v>ADJ 8.2</v>
      </c>
      <c r="D75" s="6" t="s">
        <v>1912</v>
      </c>
      <c r="E75" s="107" t="s">
        <v>2372</v>
      </c>
      <c r="F75" s="114">
        <v>-181</v>
      </c>
      <c r="G75" s="143">
        <f t="shared" si="13"/>
        <v>4.7870000000000079E-2</v>
      </c>
      <c r="H75" s="115">
        <f t="shared" si="11"/>
        <v>-189.66447000000002</v>
      </c>
      <c r="I75" s="1295"/>
      <c r="J75" s="1298"/>
      <c r="K75" s="1298"/>
      <c r="L75" s="108">
        <v>921</v>
      </c>
      <c r="M75" s="109" t="s">
        <v>1091</v>
      </c>
      <c r="N75" s="110" t="str">
        <f>M75&amp;L75</f>
        <v>Corporate Service Bill921</v>
      </c>
    </row>
    <row r="76" spans="2:20">
      <c r="B76" s="6" t="s">
        <v>720</v>
      </c>
      <c r="C76" s="6" t="str">
        <f t="shared" si="10"/>
        <v>ADJ 8.2</v>
      </c>
      <c r="D76" s="6" t="s">
        <v>1912</v>
      </c>
      <c r="E76" s="107" t="s">
        <v>2121</v>
      </c>
      <c r="F76" s="114">
        <v>-119</v>
      </c>
      <c r="G76" s="143">
        <f t="shared" si="13"/>
        <v>4.7870000000000079E-2</v>
      </c>
      <c r="H76" s="115">
        <f t="shared" si="11"/>
        <v>-124.69653000000001</v>
      </c>
      <c r="I76" s="1295"/>
      <c r="J76" s="1298"/>
      <c r="K76" s="1298"/>
      <c r="L76" s="108">
        <v>921</v>
      </c>
      <c r="M76" s="109" t="s">
        <v>1091</v>
      </c>
      <c r="N76" s="110" t="str">
        <f t="shared" si="12"/>
        <v>Corporate Service Bill921</v>
      </c>
    </row>
    <row r="77" spans="2:20">
      <c r="B77" s="6" t="s">
        <v>720</v>
      </c>
      <c r="C77" s="6" t="str">
        <f t="shared" si="10"/>
        <v>ADJ 8.2</v>
      </c>
      <c r="D77" s="6" t="s">
        <v>1912</v>
      </c>
      <c r="E77" s="107" t="s">
        <v>2122</v>
      </c>
      <c r="F77" s="114">
        <v>-218</v>
      </c>
      <c r="G77" s="143">
        <f>+G76</f>
        <v>4.7870000000000079E-2</v>
      </c>
      <c r="H77" s="115">
        <f t="shared" si="11"/>
        <v>-228.43566000000001</v>
      </c>
      <c r="I77" s="1295"/>
      <c r="J77" s="1298"/>
      <c r="K77" s="1298"/>
      <c r="L77" s="108">
        <v>921</v>
      </c>
      <c r="M77" s="109" t="s">
        <v>1091</v>
      </c>
      <c r="N77" s="110" t="str">
        <f t="shared" si="12"/>
        <v>Corporate Service Bill921</v>
      </c>
    </row>
    <row r="78" spans="2:20">
      <c r="B78" s="6" t="s">
        <v>720</v>
      </c>
      <c r="C78" s="6" t="str">
        <f t="shared" si="10"/>
        <v>ADJ 8.2</v>
      </c>
      <c r="D78" s="6" t="s">
        <v>1912</v>
      </c>
      <c r="E78" s="107" t="s">
        <v>2123</v>
      </c>
      <c r="F78" s="114">
        <v>-25</v>
      </c>
      <c r="G78" s="143">
        <f>+G77</f>
        <v>4.7870000000000079E-2</v>
      </c>
      <c r="H78" s="115">
        <f t="shared" si="11"/>
        <v>-26.196750000000002</v>
      </c>
      <c r="I78" s="1296"/>
      <c r="J78" s="1299"/>
      <c r="K78" s="1299"/>
      <c r="L78" s="108">
        <v>923</v>
      </c>
      <c r="M78" s="109" t="s">
        <v>1091</v>
      </c>
      <c r="N78" s="110" t="str">
        <f t="shared" si="12"/>
        <v>Corporate Service Bill923</v>
      </c>
    </row>
    <row r="79" spans="2:20">
      <c r="B79" s="6"/>
      <c r="H79" s="28"/>
      <c r="I79" s="28"/>
      <c r="J79" s="28"/>
      <c r="K79" s="28"/>
      <c r="L79" s="28"/>
      <c r="M79" s="28"/>
      <c r="N79" s="28"/>
    </row>
    <row r="80" spans="2:20">
      <c r="E80" s="117" t="s">
        <v>1926</v>
      </c>
      <c r="F80" s="31">
        <f>SUM(F3:F26)</f>
        <v>-204560.08000000002</v>
      </c>
      <c r="G80" s="117"/>
      <c r="H80" s="31">
        <f>SUM(H3:H26)</f>
        <v>-214694.63538000002</v>
      </c>
      <c r="I80" s="31"/>
    </row>
    <row r="81" spans="5:9">
      <c r="E81" s="23" t="s">
        <v>1927</v>
      </c>
      <c r="F81" s="28">
        <f>SUM(F3:F9)</f>
        <v>-98100.08</v>
      </c>
      <c r="G81" s="23"/>
      <c r="H81" s="28">
        <f>SUM(H3:H9)</f>
        <v>-103138.39518000001</v>
      </c>
      <c r="I81" s="28"/>
    </row>
    <row r="82" spans="5:9">
      <c r="E82" s="117" t="s">
        <v>1928</v>
      </c>
      <c r="F82" s="118">
        <f>SUM(F27:F78)</f>
        <v>-139080</v>
      </c>
      <c r="G82" s="117"/>
      <c r="H82" s="118">
        <f>SUM(H27:H78)</f>
        <v>-145737.75959999996</v>
      </c>
      <c r="I82" s="118"/>
    </row>
    <row r="83" spans="5:9">
      <c r="E83" s="23" t="s">
        <v>1929</v>
      </c>
      <c r="F83" s="28">
        <f>SUM(F27:F34)</f>
        <v>-20158</v>
      </c>
      <c r="G83" s="23"/>
      <c r="H83" s="28">
        <f>SUM(H27:H34)</f>
        <v>-21122.963460000003</v>
      </c>
      <c r="I83" s="28"/>
    </row>
    <row r="89" spans="5:9">
      <c r="H89" s="28"/>
    </row>
  </sheetData>
  <mergeCells count="32">
    <mergeCell ref="I63:I65"/>
    <mergeCell ref="J63:J65"/>
    <mergeCell ref="K63:K65"/>
    <mergeCell ref="I66:I78"/>
    <mergeCell ref="J66:J78"/>
    <mergeCell ref="K66:K78"/>
    <mergeCell ref="I56:I57"/>
    <mergeCell ref="J56:J57"/>
    <mergeCell ref="K56:K57"/>
    <mergeCell ref="I58:I62"/>
    <mergeCell ref="J58:J62"/>
    <mergeCell ref="K58:K62"/>
    <mergeCell ref="I49:I53"/>
    <mergeCell ref="J49:J53"/>
    <mergeCell ref="K49:K53"/>
    <mergeCell ref="I54:I55"/>
    <mergeCell ref="J54:J55"/>
    <mergeCell ref="K54:K55"/>
    <mergeCell ref="I38:I48"/>
    <mergeCell ref="J38:J48"/>
    <mergeCell ref="K38:K48"/>
    <mergeCell ref="J1:K1"/>
    <mergeCell ref="J2:K2"/>
    <mergeCell ref="K3:K4"/>
    <mergeCell ref="K5:K6"/>
    <mergeCell ref="K10:K11"/>
    <mergeCell ref="K13:K16"/>
    <mergeCell ref="K20:K23"/>
    <mergeCell ref="K24:K26"/>
    <mergeCell ref="K29:K32"/>
    <mergeCell ref="K33:K34"/>
    <mergeCell ref="K35:K37"/>
  </mergeCells>
  <phoneticPr fontId="0"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84"/>
  <sheetViews>
    <sheetView zoomScaleNormal="100" zoomScaleSheetLayoutView="100" workbookViewId="0">
      <selection activeCell="A3" sqref="A3:Q3"/>
    </sheetView>
  </sheetViews>
  <sheetFormatPr defaultColWidth="11.6640625" defaultRowHeight="10.5"/>
  <cols>
    <col min="1" max="1" width="4.6640625" style="528" customWidth="1"/>
    <col min="2" max="2" width="1.83203125" style="528" customWidth="1"/>
    <col min="3" max="3" width="51.6640625" style="528" customWidth="1"/>
    <col min="4" max="4" width="1.83203125" style="528" customWidth="1"/>
    <col min="5" max="5" width="19.5" style="528" bestFit="1" customWidth="1"/>
    <col min="6" max="6" width="1.83203125" style="528" customWidth="1"/>
    <col min="7" max="7" width="20.6640625" style="528" bestFit="1" customWidth="1"/>
    <col min="8" max="8" width="1.83203125" style="528" customWidth="1"/>
    <col min="9" max="9" width="19.33203125" style="528" bestFit="1" customWidth="1"/>
    <col min="10" max="10" width="1.83203125" style="528" customWidth="1"/>
    <col min="11" max="11" width="20.6640625" style="528" bestFit="1" customWidth="1"/>
    <col min="12" max="12" width="1.83203125" style="528" customWidth="1"/>
    <col min="13" max="13" width="20.6640625" style="528" bestFit="1" customWidth="1"/>
    <col min="14" max="14" width="1.83203125" style="528" customWidth="1"/>
    <col min="15" max="15" width="15.6640625" style="528" customWidth="1"/>
    <col min="16" max="16" width="1.83203125" style="528" customWidth="1"/>
    <col min="17" max="17" width="21.6640625" style="528" customWidth="1"/>
    <col min="18" max="18" width="3.6640625" style="528" customWidth="1"/>
    <col min="19" max="16384" width="11.6640625" style="528"/>
  </cols>
  <sheetData>
    <row r="1" spans="1:17" ht="12.75">
      <c r="A1" s="1323" t="str">
        <f>'General Headers Index'!B4</f>
        <v>COLUMBIA GAS OF KENTUCKY, INC.</v>
      </c>
      <c r="B1" s="1323"/>
      <c r="C1" s="1323"/>
      <c r="D1" s="1323"/>
      <c r="E1" s="1323"/>
      <c r="F1" s="1323"/>
      <c r="G1" s="1323"/>
      <c r="H1" s="1323"/>
      <c r="I1" s="1323"/>
      <c r="J1" s="1323"/>
      <c r="K1" s="1323"/>
      <c r="L1" s="1323"/>
      <c r="M1" s="1323"/>
      <c r="N1" s="1323"/>
      <c r="O1" s="1323"/>
      <c r="P1" s="1323"/>
      <c r="Q1" s="1323"/>
    </row>
    <row r="2" spans="1:17" ht="12.75">
      <c r="A2" s="1323" t="str">
        <f>'General Headers Index'!B6</f>
        <v>CASE NO. 2024 - 00092</v>
      </c>
      <c r="B2" s="1323"/>
      <c r="C2" s="1323"/>
      <c r="D2" s="1323"/>
      <c r="E2" s="1323"/>
      <c r="F2" s="1323"/>
      <c r="G2" s="1323"/>
      <c r="H2" s="1323"/>
      <c r="I2" s="1323"/>
      <c r="J2" s="1323"/>
      <c r="K2" s="1323"/>
      <c r="L2" s="1323"/>
      <c r="M2" s="1323"/>
      <c r="N2" s="1323"/>
      <c r="O2" s="1323"/>
      <c r="P2" s="1323"/>
      <c r="Q2" s="1323"/>
    </row>
    <row r="3" spans="1:17" ht="12.75">
      <c r="A3" s="1323" t="str">
        <f>'Index C'!$C$21</f>
        <v>OPERATING INCOME SUMMARY</v>
      </c>
      <c r="B3" s="1323"/>
      <c r="C3" s="1323"/>
      <c r="D3" s="1323"/>
      <c r="E3" s="1323"/>
      <c r="F3" s="1323"/>
      <c r="G3" s="1323"/>
      <c r="H3" s="1323"/>
      <c r="I3" s="1323"/>
      <c r="J3" s="1323"/>
      <c r="K3" s="1323"/>
      <c r="L3" s="1323"/>
      <c r="M3" s="1323"/>
      <c r="N3" s="1323"/>
      <c r="O3" s="1323"/>
      <c r="P3" s="1323"/>
      <c r="Q3" s="1323"/>
    </row>
    <row r="4" spans="1:17" ht="12.75">
      <c r="A4" s="1324" t="str">
        <f>'General Headers Index'!B9</f>
        <v>BASE PERIOD: TWELVE MONTHS ENDED AUGUST 31, 2024</v>
      </c>
      <c r="B4" s="1324"/>
      <c r="C4" s="1324"/>
      <c r="D4" s="1324"/>
      <c r="E4" s="1324"/>
      <c r="F4" s="1324"/>
      <c r="G4" s="1324"/>
      <c r="H4" s="1324"/>
      <c r="I4" s="1324"/>
      <c r="J4" s="1324"/>
      <c r="K4" s="1324"/>
      <c r="L4" s="1324"/>
      <c r="M4" s="1324"/>
      <c r="N4" s="1324"/>
      <c r="O4" s="1324"/>
      <c r="P4" s="1324"/>
      <c r="Q4" s="1324"/>
    </row>
    <row r="5" spans="1:17" ht="12.75">
      <c r="A5" s="1324" t="str">
        <f>'General Headers Index'!B16</f>
        <v>FORECASTED TEST PERIOD: TWELVE MONTHS ENDED DECEMBER 31, 2025</v>
      </c>
      <c r="B5" s="1324"/>
      <c r="C5" s="1324"/>
      <c r="D5" s="1324"/>
      <c r="E5" s="1324"/>
      <c r="F5" s="1324"/>
      <c r="G5" s="1324"/>
      <c r="H5" s="1324"/>
      <c r="I5" s="1324"/>
      <c r="J5" s="1324"/>
      <c r="K5" s="1324"/>
      <c r="L5" s="1324"/>
      <c r="M5" s="1324"/>
      <c r="N5" s="1324"/>
      <c r="O5" s="1324"/>
      <c r="P5" s="1324"/>
      <c r="Q5" s="1324"/>
    </row>
    <row r="6" spans="1:17" ht="12.75">
      <c r="A6" s="255"/>
      <c r="B6" s="255"/>
      <c r="C6" s="255"/>
      <c r="D6" s="255"/>
      <c r="E6" s="255"/>
      <c r="F6" s="255"/>
      <c r="G6" s="255"/>
      <c r="H6" s="255"/>
      <c r="I6" s="255"/>
      <c r="J6" s="255"/>
      <c r="K6" s="255"/>
      <c r="L6" s="255"/>
      <c r="M6" s="255"/>
      <c r="N6" s="255"/>
      <c r="O6" s="255"/>
      <c r="P6" s="255"/>
      <c r="Q6" s="255"/>
    </row>
    <row r="7" spans="1:17" ht="12.75">
      <c r="A7" s="255"/>
      <c r="B7" s="255"/>
      <c r="C7" s="255"/>
      <c r="D7" s="255"/>
      <c r="E7" s="255"/>
      <c r="F7" s="255"/>
      <c r="G7" s="255"/>
      <c r="H7" s="255"/>
      <c r="I7" s="255"/>
      <c r="J7" s="255"/>
      <c r="K7" s="255"/>
      <c r="L7" s="255"/>
      <c r="M7" s="255"/>
      <c r="N7" s="255"/>
      <c r="O7" s="255"/>
      <c r="P7" s="255"/>
      <c r="Q7" s="255"/>
    </row>
    <row r="8" spans="1:17" ht="12.75">
      <c r="A8" s="286" t="s">
        <v>2786</v>
      </c>
      <c r="B8" s="255"/>
      <c r="C8" s="255"/>
      <c r="D8" s="255"/>
      <c r="E8" s="255"/>
      <c r="F8" s="255"/>
      <c r="G8" s="255"/>
      <c r="H8" s="255"/>
      <c r="I8" s="255"/>
      <c r="J8" s="255"/>
      <c r="K8" s="255"/>
      <c r="L8" s="255"/>
      <c r="M8" s="255"/>
      <c r="N8" s="255"/>
      <c r="O8" s="546"/>
      <c r="P8" s="255"/>
      <c r="Q8" s="545" t="s">
        <v>721</v>
      </c>
    </row>
    <row r="9" spans="1:17" ht="12.75">
      <c r="A9" s="286" t="str">
        <f>'General Headers Index'!B37</f>
        <v>TYPE OF FILING:___X___ORIGINAL______UPDATED</v>
      </c>
      <c r="B9" s="255"/>
      <c r="C9" s="255"/>
      <c r="D9" s="255"/>
      <c r="E9" s="255"/>
      <c r="F9" s="255"/>
      <c r="G9" s="255"/>
      <c r="H9" s="255"/>
      <c r="I9" s="255"/>
      <c r="J9" s="255"/>
      <c r="K9" s="255"/>
      <c r="L9" s="255"/>
      <c r="M9" s="255"/>
      <c r="N9" s="255"/>
      <c r="O9" s="546"/>
      <c r="P9" s="255"/>
      <c r="Q9" s="545" t="s">
        <v>722</v>
      </c>
    </row>
    <row r="10" spans="1:17" ht="12.75">
      <c r="A10" s="286" t="s">
        <v>575</v>
      </c>
      <c r="B10" s="255"/>
      <c r="C10" s="255"/>
      <c r="D10" s="255"/>
      <c r="E10" s="255"/>
      <c r="F10" s="255"/>
      <c r="G10" s="255"/>
      <c r="H10" s="255"/>
      <c r="I10" s="255"/>
      <c r="J10" s="255"/>
      <c r="K10" s="255"/>
      <c r="L10" s="255"/>
      <c r="M10" s="255"/>
      <c r="N10" s="255"/>
      <c r="O10" s="546"/>
      <c r="P10" s="255"/>
      <c r="Q10" s="545" t="str">
        <f>"WITNESS: "&amp;'General Headers Index'!B45</f>
        <v>WITNESS: SHAEFFER</v>
      </c>
    </row>
    <row r="11" spans="1:17" ht="12.75">
      <c r="A11" s="850"/>
      <c r="B11" s="851"/>
      <c r="C11" s="851"/>
      <c r="D11" s="851"/>
      <c r="E11" s="851"/>
      <c r="F11" s="851"/>
      <c r="G11" s="851"/>
      <c r="H11" s="851"/>
      <c r="I11" s="851"/>
      <c r="J11" s="851"/>
      <c r="K11" s="851"/>
      <c r="L11" s="851"/>
      <c r="M11" s="851"/>
      <c r="N11" s="851"/>
      <c r="O11" s="852"/>
      <c r="P11" s="851"/>
      <c r="Q11" s="853"/>
    </row>
    <row r="12" spans="1:17" ht="12.75">
      <c r="A12" s="286"/>
      <c r="B12" s="255"/>
      <c r="C12" s="255"/>
      <c r="D12" s="255"/>
      <c r="E12" s="254" t="s">
        <v>755</v>
      </c>
      <c r="F12" s="255"/>
      <c r="G12" s="255"/>
      <c r="H12" s="255"/>
      <c r="I12" s="254" t="s">
        <v>351</v>
      </c>
      <c r="J12" s="255"/>
      <c r="K12" s="254" t="s">
        <v>2428</v>
      </c>
      <c r="L12" s="255"/>
      <c r="M12" s="254" t="s">
        <v>351</v>
      </c>
      <c r="N12" s="255"/>
      <c r="O12" s="546"/>
      <c r="P12" s="255"/>
      <c r="Q12" s="545"/>
    </row>
    <row r="13" spans="1:17" s="1010" customFormat="1" ht="12.75">
      <c r="A13" s="254"/>
      <c r="B13" s="254"/>
      <c r="C13" s="254"/>
      <c r="D13" s="254"/>
      <c r="E13" s="254" t="s">
        <v>502</v>
      </c>
      <c r="F13" s="254"/>
      <c r="G13" s="254" t="s">
        <v>502</v>
      </c>
      <c r="H13" s="254"/>
      <c r="I13" s="254" t="s">
        <v>502</v>
      </c>
      <c r="J13" s="254"/>
      <c r="K13" s="254" t="s">
        <v>351</v>
      </c>
      <c r="L13" s="254"/>
      <c r="M13" s="254" t="s">
        <v>651</v>
      </c>
      <c r="N13" s="254"/>
      <c r="O13" s="254"/>
      <c r="P13" s="254"/>
      <c r="Q13" s="254" t="s">
        <v>651</v>
      </c>
    </row>
    <row r="14" spans="1:17" s="1010" customFormat="1" ht="12.75">
      <c r="A14" s="254" t="s">
        <v>313</v>
      </c>
      <c r="B14" s="254"/>
      <c r="C14" s="254"/>
      <c r="D14" s="254"/>
      <c r="E14" s="254" t="s">
        <v>723</v>
      </c>
      <c r="F14" s="254"/>
      <c r="G14" s="254" t="s">
        <v>724</v>
      </c>
      <c r="H14" s="254"/>
      <c r="I14" s="254" t="s">
        <v>723</v>
      </c>
      <c r="J14" s="254"/>
      <c r="K14" s="254" t="s">
        <v>2429</v>
      </c>
      <c r="L14" s="254"/>
      <c r="M14" s="254" t="s">
        <v>723</v>
      </c>
      <c r="N14" s="254"/>
      <c r="O14" s="254" t="s">
        <v>523</v>
      </c>
      <c r="P14" s="254"/>
      <c r="Q14" s="254" t="s">
        <v>723</v>
      </c>
    </row>
    <row r="15" spans="1:17" s="1010" customFormat="1" ht="12.75">
      <c r="A15" s="1011" t="s">
        <v>316</v>
      </c>
      <c r="B15" s="1011"/>
      <c r="C15" s="1011" t="s">
        <v>451</v>
      </c>
      <c r="D15" s="1011"/>
      <c r="E15" s="1011" t="s">
        <v>725</v>
      </c>
      <c r="F15" s="1011"/>
      <c r="G15" s="1011" t="s">
        <v>725</v>
      </c>
      <c r="H15" s="1011"/>
      <c r="I15" s="1011" t="s">
        <v>725</v>
      </c>
      <c r="J15" s="1011"/>
      <c r="K15" s="1011" t="s">
        <v>725</v>
      </c>
      <c r="L15" s="1011"/>
      <c r="M15" s="1011" t="s">
        <v>725</v>
      </c>
      <c r="N15" s="1011"/>
      <c r="O15" s="1011" t="s">
        <v>726</v>
      </c>
      <c r="P15" s="1011"/>
      <c r="Q15" s="1011" t="s">
        <v>727</v>
      </c>
    </row>
    <row r="16" spans="1:17" s="1010" customFormat="1" ht="12.75">
      <c r="A16" s="254"/>
      <c r="B16" s="254"/>
      <c r="C16" s="254"/>
      <c r="D16" s="254"/>
      <c r="E16" s="336" t="s">
        <v>532</v>
      </c>
      <c r="F16" s="543"/>
      <c r="G16" s="336" t="s">
        <v>2458</v>
      </c>
      <c r="H16" s="254"/>
      <c r="I16" s="336" t="s">
        <v>542</v>
      </c>
      <c r="J16" s="254"/>
      <c r="K16" s="336" t="s">
        <v>2459</v>
      </c>
      <c r="L16" s="254"/>
      <c r="M16" s="336" t="s">
        <v>669</v>
      </c>
      <c r="N16" s="254"/>
      <c r="O16" s="336" t="s">
        <v>670</v>
      </c>
      <c r="P16" s="254"/>
      <c r="Q16" s="336" t="s">
        <v>2364</v>
      </c>
    </row>
    <row r="17" spans="1:18" ht="12.75">
      <c r="A17" s="255"/>
      <c r="B17" s="255"/>
      <c r="C17" s="255"/>
      <c r="D17" s="255"/>
      <c r="E17" s="254" t="s">
        <v>320</v>
      </c>
      <c r="F17" s="255"/>
      <c r="G17" s="254" t="s">
        <v>320</v>
      </c>
      <c r="H17" s="255"/>
      <c r="I17" s="254" t="s">
        <v>320</v>
      </c>
      <c r="J17" s="255"/>
      <c r="K17" s="254" t="s">
        <v>320</v>
      </c>
      <c r="L17" s="255"/>
      <c r="M17" s="254" t="s">
        <v>320</v>
      </c>
      <c r="N17" s="255"/>
      <c r="O17" s="254" t="s">
        <v>320</v>
      </c>
      <c r="P17" s="255"/>
      <c r="Q17" s="254" t="s">
        <v>320</v>
      </c>
    </row>
    <row r="18" spans="1:18" ht="12.75">
      <c r="A18" s="255"/>
      <c r="B18" s="255"/>
      <c r="C18" s="255"/>
      <c r="D18" s="255"/>
      <c r="E18" s="255"/>
      <c r="F18" s="255"/>
      <c r="G18" s="255"/>
      <c r="H18" s="255"/>
      <c r="I18" s="255"/>
      <c r="J18" s="255"/>
      <c r="K18" s="255"/>
      <c r="L18" s="255"/>
      <c r="M18" s="255"/>
      <c r="N18" s="255"/>
      <c r="O18" s="255"/>
      <c r="P18" s="255"/>
      <c r="Q18" s="255"/>
    </row>
    <row r="19" spans="1:18" ht="12.75">
      <c r="A19" s="254" t="s">
        <v>321</v>
      </c>
      <c r="B19" s="255"/>
      <c r="C19" s="286" t="s">
        <v>728</v>
      </c>
      <c r="D19" s="286"/>
      <c r="E19" s="1185">
        <f>'C-2 Adj Operating Income Sum'!E18</f>
        <v>170218511.75259772</v>
      </c>
      <c r="F19" s="1186"/>
      <c r="G19" s="1185">
        <f>I19-E19</f>
        <v>-2813871.6599999964</v>
      </c>
      <c r="H19" s="1186"/>
      <c r="I19" s="1185">
        <f>'C-2 Adj Operating Income Sum'!I18</f>
        <v>167404640.09259772</v>
      </c>
      <c r="J19" s="1186"/>
      <c r="K19" s="1185">
        <f>M19-I19</f>
        <v>-17046962.465931028</v>
      </c>
      <c r="L19" s="1185"/>
      <c r="M19" s="1185">
        <f>'C-2 Adj Operating Income Sum'!Q18</f>
        <v>150357677.62666669</v>
      </c>
      <c r="N19" s="1185"/>
      <c r="O19" s="1185">
        <f>+'A- Financial Summary'!F32</f>
        <v>23773019.485332005</v>
      </c>
      <c r="P19" s="1185"/>
      <c r="Q19" s="1185">
        <f>O19+M19</f>
        <v>174130697.11199871</v>
      </c>
      <c r="R19" s="558"/>
    </row>
    <row r="20" spans="1:18" ht="12.75">
      <c r="A20" s="255"/>
      <c r="B20" s="255"/>
      <c r="C20" s="255"/>
      <c r="D20" s="255"/>
      <c r="E20" s="1185"/>
      <c r="F20" s="1185"/>
      <c r="G20" s="1185"/>
      <c r="H20" s="1185"/>
      <c r="I20" s="1185"/>
      <c r="J20" s="1185"/>
      <c r="K20" s="1185"/>
      <c r="L20" s="1185"/>
      <c r="M20" s="1185"/>
      <c r="N20" s="1185"/>
      <c r="O20" s="1185"/>
      <c r="P20" s="1185"/>
      <c r="Q20" s="1185"/>
      <c r="R20" s="558"/>
    </row>
    <row r="21" spans="1:18" ht="12.75">
      <c r="A21" s="254">
        <f>A19+1</f>
        <v>2</v>
      </c>
      <c r="B21" s="255"/>
      <c r="C21" s="286" t="s">
        <v>729</v>
      </c>
      <c r="D21" s="286"/>
      <c r="E21" s="1185"/>
      <c r="F21" s="1186"/>
      <c r="G21" s="1185"/>
      <c r="H21" s="1186"/>
      <c r="I21" s="1185"/>
      <c r="J21" s="1186"/>
      <c r="K21" s="1185"/>
      <c r="L21" s="1187"/>
      <c r="M21" s="1185"/>
      <c r="N21" s="1185"/>
      <c r="O21" s="1185"/>
      <c r="P21" s="1185"/>
      <c r="Q21" s="1185"/>
      <c r="R21" s="558"/>
    </row>
    <row r="22" spans="1:18" ht="12.75">
      <c r="A22" s="254">
        <f>A21+1</f>
        <v>3</v>
      </c>
      <c r="B22" s="255"/>
      <c r="C22" s="286" t="s">
        <v>730</v>
      </c>
      <c r="D22" s="286"/>
      <c r="E22" s="1185">
        <f>'C-2 Adj Operating Income Sum'!E21</f>
        <v>46329989.590000004</v>
      </c>
      <c r="F22" s="1186"/>
      <c r="G22" s="1185">
        <f>I22-E22</f>
        <v>0</v>
      </c>
      <c r="H22" s="1186"/>
      <c r="I22" s="1185">
        <f>'C-2 Adj Operating Income Sum'!I21</f>
        <v>46329989.590000004</v>
      </c>
      <c r="J22" s="1186"/>
      <c r="K22" s="1185">
        <f>M22-I22</f>
        <v>-10916967.93</v>
      </c>
      <c r="L22" s="1187"/>
      <c r="M22" s="1185">
        <f>'C-2 Adj Operating Income Sum'!Q21</f>
        <v>35413021.660000004</v>
      </c>
      <c r="N22" s="1185"/>
      <c r="O22" s="1185">
        <v>0</v>
      </c>
      <c r="P22" s="1185"/>
      <c r="Q22" s="1185">
        <f>O22+M22</f>
        <v>35413021.660000004</v>
      </c>
      <c r="R22" s="558"/>
    </row>
    <row r="23" spans="1:18" ht="12.75">
      <c r="A23" s="254">
        <f>A22+1</f>
        <v>4</v>
      </c>
      <c r="B23" s="255"/>
      <c r="C23" s="286" t="s">
        <v>2460</v>
      </c>
      <c r="D23" s="286"/>
      <c r="E23" s="1185">
        <f>SUM('C-2 Adj Operating Income Sum'!E22:E29)</f>
        <v>55298043.780000001</v>
      </c>
      <c r="F23" s="1186"/>
      <c r="G23" s="1185">
        <f>I23-E23</f>
        <v>-10.030000001192093</v>
      </c>
      <c r="H23" s="1186"/>
      <c r="I23" s="1185">
        <f>SUM('C-2 Adj Operating Income Sum'!I22:I29)</f>
        <v>55298033.75</v>
      </c>
      <c r="J23" s="1186"/>
      <c r="K23" s="1185">
        <f>M23-I23</f>
        <v>-2431461.7733321115</v>
      </c>
      <c r="L23" s="1185"/>
      <c r="M23" s="1185">
        <f>SUM('C-2 Adj Operating Income Sum'!Q22:Q29)</f>
        <v>52866571.976667888</v>
      </c>
      <c r="N23" s="1185"/>
      <c r="O23" s="1185">
        <f>O19*('H-1 Gross Conversion Factor'!I19+'H-1 Gross Conversion Factor'!I21)</f>
        <v>130085.96262373673</v>
      </c>
      <c r="P23" s="1185"/>
      <c r="Q23" s="1185">
        <f>O23+M23</f>
        <v>52996657.939291626</v>
      </c>
      <c r="R23" s="558"/>
    </row>
    <row r="24" spans="1:18" ht="12.75">
      <c r="A24" s="254">
        <f>A23+1</f>
        <v>5</v>
      </c>
      <c r="B24" s="255"/>
      <c r="C24" s="286" t="s">
        <v>1831</v>
      </c>
      <c r="D24" s="286"/>
      <c r="E24" s="1185">
        <f>+'C-2 Adj Operating Income Sum'!E31</f>
        <v>22462921.900000002</v>
      </c>
      <c r="F24" s="1186"/>
      <c r="G24" s="1185">
        <f>I24-E24</f>
        <v>-995225.21638863534</v>
      </c>
      <c r="H24" s="1186"/>
      <c r="I24" s="1185">
        <f>'C-2 Adj Operating Income Sum'!I31</f>
        <v>21467696.683611367</v>
      </c>
      <c r="J24" s="1186"/>
      <c r="K24" s="1185">
        <f>M24-I24</f>
        <v>5016199.3463886343</v>
      </c>
      <c r="L24" s="1185"/>
      <c r="M24" s="1185">
        <f>'C-2 Adj Operating Income Sum'!Q31</f>
        <v>26483896.030000001</v>
      </c>
      <c r="N24" s="1185"/>
      <c r="O24" s="1185">
        <v>0</v>
      </c>
      <c r="P24" s="1185"/>
      <c r="Q24" s="1185">
        <f>O24+M24</f>
        <v>26483896.030000001</v>
      </c>
      <c r="R24" s="558"/>
    </row>
    <row r="25" spans="1:18" ht="12.75">
      <c r="A25" s="254">
        <f>A24+1</f>
        <v>6</v>
      </c>
      <c r="B25" s="255"/>
      <c r="C25" s="286" t="s">
        <v>732</v>
      </c>
      <c r="D25" s="286"/>
      <c r="E25" s="1188">
        <f>'C-2 Adj Operating Income Sum'!E34+'C-2 Adj Operating Income Sum'!E35+'C-2 Adj Operating Income Sum'!E36</f>
        <v>6685048.6541831288</v>
      </c>
      <c r="F25" s="1186"/>
      <c r="G25" s="1188">
        <f>I25-E25</f>
        <v>-679911.15095465723</v>
      </c>
      <c r="H25" s="1186"/>
      <c r="I25" s="1188">
        <f>'C-2 Adj Operating Income Sum'!I34+'C-2 Adj Operating Income Sum'!I35+'C-2 Adj Operating Income Sum'!I36</f>
        <v>6005137.5032284716</v>
      </c>
      <c r="J25" s="1186"/>
      <c r="K25" s="1188">
        <f>M25-I25</f>
        <v>2572653.9396361234</v>
      </c>
      <c r="L25" s="1185"/>
      <c r="M25" s="1188">
        <f>+SUM('C-2 Adj Operating Income Sum'!Q34:Q36)</f>
        <v>8577791.442864595</v>
      </c>
      <c r="N25" s="1185"/>
      <c r="O25" s="1188">
        <v>0</v>
      </c>
      <c r="P25" s="1185"/>
      <c r="Q25" s="1188">
        <f>O25+M25</f>
        <v>8577791.442864595</v>
      </c>
      <c r="R25" s="558"/>
    </row>
    <row r="26" spans="1:18" ht="12.75">
      <c r="A26" s="254"/>
      <c r="B26" s="255"/>
      <c r="C26" s="286"/>
      <c r="D26" s="286"/>
      <c r="E26" s="1185"/>
      <c r="F26" s="1186"/>
      <c r="G26" s="1185"/>
      <c r="H26" s="1186"/>
      <c r="I26" s="1185"/>
      <c r="J26" s="1186"/>
      <c r="K26" s="1185"/>
      <c r="L26" s="1185"/>
      <c r="M26" s="1185"/>
      <c r="N26" s="1185"/>
      <c r="O26" s="1185"/>
      <c r="P26" s="1185"/>
      <c r="Q26" s="1185"/>
      <c r="R26" s="558"/>
    </row>
    <row r="27" spans="1:18" ht="12.75">
      <c r="A27" s="254">
        <f>A25+1</f>
        <v>7</v>
      </c>
      <c r="B27" s="255"/>
      <c r="C27" s="286" t="s">
        <v>733</v>
      </c>
      <c r="D27" s="286"/>
      <c r="E27" s="1185">
        <f>+E19-SUM(E22:E25)</f>
        <v>39442507.828414574</v>
      </c>
      <c r="F27" s="1186"/>
      <c r="G27" s="1185">
        <f>+G19-SUM(G22:G25)</f>
        <v>-1138725.2626567027</v>
      </c>
      <c r="H27" s="1186"/>
      <c r="I27" s="1185">
        <f>+I19-SUM(I22:I25)</f>
        <v>38303782.565757886</v>
      </c>
      <c r="J27" s="1186"/>
      <c r="K27" s="1185">
        <f>+K19-SUM(K22:K25)</f>
        <v>-11287386.048623674</v>
      </c>
      <c r="L27" s="1185"/>
      <c r="M27" s="1185">
        <f>+M19-SUM(M22:M25)</f>
        <v>27016396.517134205</v>
      </c>
      <c r="N27" s="1185"/>
      <c r="O27" s="1185">
        <f>+O19-SUM(O22:O25)</f>
        <v>23642933.522708267</v>
      </c>
      <c r="P27" s="1185"/>
      <c r="Q27" s="1185">
        <f>+Q19-SUM(Q22:Q25)</f>
        <v>50659330.039842486</v>
      </c>
      <c r="R27" s="558"/>
    </row>
    <row r="28" spans="1:18" ht="12.75">
      <c r="A28" s="254"/>
      <c r="B28" s="255"/>
      <c r="C28" s="286"/>
      <c r="D28" s="286"/>
      <c r="E28" s="1185"/>
      <c r="F28" s="1186"/>
      <c r="G28" s="1185"/>
      <c r="H28" s="1186"/>
      <c r="I28" s="1185"/>
      <c r="J28" s="1186"/>
      <c r="K28" s="1185"/>
      <c r="L28" s="1185"/>
      <c r="M28" s="1185"/>
      <c r="N28" s="1185"/>
      <c r="O28" s="1185"/>
      <c r="P28" s="1185"/>
      <c r="Q28" s="1185"/>
      <c r="R28" s="558"/>
    </row>
    <row r="29" spans="1:18" ht="12.75">
      <c r="A29" s="254"/>
      <c r="B29" s="255"/>
      <c r="C29" s="286"/>
      <c r="D29" s="286"/>
      <c r="E29" s="1185"/>
      <c r="F29" s="1186"/>
      <c r="G29" s="1185"/>
      <c r="H29" s="1186"/>
      <c r="I29" s="1185"/>
      <c r="J29" s="1186"/>
      <c r="K29" s="1185"/>
      <c r="L29" s="1185"/>
      <c r="M29" s="1189"/>
      <c r="N29" s="1185"/>
      <c r="O29" s="1185"/>
      <c r="P29" s="1185"/>
      <c r="Q29" s="1190"/>
      <c r="R29" s="558"/>
    </row>
    <row r="30" spans="1:18" ht="12.75">
      <c r="A30" s="254">
        <f>A27+1</f>
        <v>8</v>
      </c>
      <c r="B30" s="255"/>
      <c r="C30" s="286" t="s">
        <v>734</v>
      </c>
      <c r="D30" s="286"/>
      <c r="E30" s="1185">
        <f>'C-2 Adj Operating Income Sum'!E41</f>
        <v>5435745.6936461935</v>
      </c>
      <c r="F30" s="1186"/>
      <c r="G30" s="1185">
        <f>I30-E30</f>
        <v>-653583.69364619348</v>
      </c>
      <c r="H30" s="1186"/>
      <c r="I30" s="1185">
        <f>ROUND('C-2 Adj Operating Income Sum'!I41+'E-1.2 CWC Fed&amp;State Intrst Sync'!F138,0)</f>
        <v>4782162</v>
      </c>
      <c r="J30" s="1186"/>
      <c r="K30" s="1185">
        <f>M30-I30</f>
        <v>-2294898</v>
      </c>
      <c r="L30" s="1185"/>
      <c r="M30" s="1185">
        <f>+'C-2 Adj Operating Income Sum'!Q41</f>
        <v>2487264</v>
      </c>
      <c r="N30" s="1185"/>
      <c r="O30" s="1185">
        <f>Q30-M30</f>
        <v>4716761.5333954496</v>
      </c>
      <c r="P30" s="1185"/>
      <c r="Q30" s="1185">
        <f>'E-1.1 Fed &amp; State Inc Tax'!L63+'E-1.2 CWC Fed&amp;State Intrst Sync'!G138</f>
        <v>7204025.5333954496</v>
      </c>
      <c r="R30" s="558"/>
    </row>
    <row r="31" spans="1:18" ht="12.75">
      <c r="A31" s="254">
        <f>A30+1</f>
        <v>9</v>
      </c>
      <c r="B31" s="255"/>
      <c r="C31" s="286" t="s">
        <v>735</v>
      </c>
      <c r="D31" s="286"/>
      <c r="E31" s="1191">
        <f>'C-2 Adj Operating Income Sum'!E42</f>
        <v>1376540.7217272078</v>
      </c>
      <c r="F31" s="1186"/>
      <c r="G31" s="1188">
        <f>I31-E31</f>
        <v>-76417.721727207769</v>
      </c>
      <c r="H31" s="1186"/>
      <c r="I31" s="1191">
        <f>ROUND('C-2 Adj Operating Income Sum'!I42+'E-1.2 CWC Fed&amp;State Intrst Sync'!F137,0)</f>
        <v>1300123</v>
      </c>
      <c r="J31" s="1186"/>
      <c r="K31" s="1188">
        <f>M31-I31</f>
        <v>-585033</v>
      </c>
      <c r="L31" s="1185"/>
      <c r="M31" s="1188">
        <f>+'C-2 Adj Operating Income Sum'!Q42</f>
        <v>715090</v>
      </c>
      <c r="N31" s="1185"/>
      <c r="O31" s="1191">
        <f>Q31-M31</f>
        <v>1182146.5381490425</v>
      </c>
      <c r="P31" s="1185"/>
      <c r="Q31" s="1191">
        <f>'E-1.1 Fed &amp; State Inc Tax'!L65+'E-1.2 CWC Fed&amp;State Intrst Sync'!G137</f>
        <v>1897236.5381490425</v>
      </c>
      <c r="R31" s="558"/>
    </row>
    <row r="32" spans="1:18" ht="12.75">
      <c r="A32" s="254">
        <f>A31+1</f>
        <v>10</v>
      </c>
      <c r="B32" s="255"/>
      <c r="C32" s="286" t="s">
        <v>736</v>
      </c>
      <c r="D32" s="286"/>
      <c r="E32" s="1185">
        <f>+E30+E31</f>
        <v>6812286.4153734017</v>
      </c>
      <c r="F32" s="1186"/>
      <c r="G32" s="1185">
        <f>+G30+G31</f>
        <v>-730001.41537340125</v>
      </c>
      <c r="H32" s="1186"/>
      <c r="I32" s="1185">
        <f>+I30+I31</f>
        <v>6082285</v>
      </c>
      <c r="J32" s="1186"/>
      <c r="K32" s="1185">
        <f>+K30+K31</f>
        <v>-2879931</v>
      </c>
      <c r="L32" s="1185"/>
      <c r="M32" s="1185">
        <f>+M30+M31</f>
        <v>3202354</v>
      </c>
      <c r="N32" s="1185"/>
      <c r="O32" s="1185">
        <f>+O30+O31</f>
        <v>5898908.0715444926</v>
      </c>
      <c r="P32" s="1185"/>
      <c r="Q32" s="1185">
        <f>+Q30+Q31</f>
        <v>9101262.0715444926</v>
      </c>
      <c r="R32" s="558"/>
    </row>
    <row r="33" spans="1:18" ht="12.75">
      <c r="A33" s="255"/>
      <c r="B33" s="255"/>
      <c r="C33" s="255"/>
      <c r="D33" s="255"/>
      <c r="E33" s="1185"/>
      <c r="F33" s="1185"/>
      <c r="G33" s="1185"/>
      <c r="H33" s="1185"/>
      <c r="I33" s="1185"/>
      <c r="J33" s="1185"/>
      <c r="K33" s="1185"/>
      <c r="L33" s="1185"/>
      <c r="M33" s="1185"/>
      <c r="N33" s="1185"/>
      <c r="O33" s="1185"/>
      <c r="P33" s="1185"/>
      <c r="Q33" s="1185"/>
      <c r="R33" s="558"/>
    </row>
    <row r="34" spans="1:18" ht="12.75" customHeight="1">
      <c r="A34" s="254">
        <f>A32+1</f>
        <v>11</v>
      </c>
      <c r="B34" s="255"/>
      <c r="C34" s="286" t="s">
        <v>737</v>
      </c>
      <c r="D34" s="286"/>
      <c r="E34" s="1192">
        <f>+E27-E32</f>
        <v>32630221.413041174</v>
      </c>
      <c r="F34" s="1186"/>
      <c r="G34" s="1192">
        <f>+G27-G32</f>
        <v>-408723.84728330141</v>
      </c>
      <c r="H34" s="1186"/>
      <c r="I34" s="1192">
        <f>+I27-I32</f>
        <v>32221497.565757886</v>
      </c>
      <c r="J34" s="1186"/>
      <c r="K34" s="1192">
        <f>+K27-K32</f>
        <v>-8407455.0486236736</v>
      </c>
      <c r="L34" s="1185"/>
      <c r="M34" s="1192">
        <f>+M27-M32</f>
        <v>23814042.517134205</v>
      </c>
      <c r="N34" s="1185"/>
      <c r="O34" s="1192">
        <f>+O27-O32</f>
        <v>17744025.451163776</v>
      </c>
      <c r="P34" s="1185"/>
      <c r="Q34" s="1192">
        <f>+Q27-Q32</f>
        <v>41558067.968297996</v>
      </c>
      <c r="R34" s="558"/>
    </row>
    <row r="35" spans="1:18" ht="12.75">
      <c r="A35" s="255"/>
      <c r="B35" s="255"/>
      <c r="C35" s="255"/>
      <c r="D35" s="255"/>
      <c r="E35" s="1185"/>
      <c r="F35" s="1185"/>
      <c r="G35" s="1185"/>
      <c r="H35" s="1185"/>
      <c r="I35" s="1185"/>
      <c r="J35" s="1185"/>
      <c r="K35" s="1185"/>
      <c r="L35" s="1185"/>
      <c r="M35" s="1185"/>
      <c r="N35" s="1185"/>
      <c r="O35" s="1185"/>
      <c r="P35" s="1185"/>
      <c r="Q35" s="1185"/>
      <c r="R35" s="558"/>
    </row>
    <row r="36" spans="1:18" ht="12.75">
      <c r="A36" s="254">
        <f>A34+1</f>
        <v>12</v>
      </c>
      <c r="B36" s="255"/>
      <c r="C36" s="286" t="s">
        <v>695</v>
      </c>
      <c r="D36" s="286"/>
      <c r="E36" s="1192">
        <f>ROUND('B-1 p.1 Summary (Base)'!F38,0)</f>
        <v>573914846</v>
      </c>
      <c r="F36" s="1186"/>
      <c r="G36" s="1185"/>
      <c r="H36" s="1186"/>
      <c r="I36" s="1192">
        <f>ROUND('B-1 p.1 Summary (Base)'!J38,0)</f>
        <v>512510189</v>
      </c>
      <c r="J36" s="1186"/>
      <c r="K36" s="1192">
        <f>M36-I36</f>
        <v>6317122.7631956339</v>
      </c>
      <c r="L36" s="1187"/>
      <c r="M36" s="1192">
        <f>'B-1 p.2 Summary (Forecast)'!K41</f>
        <v>518827311.76319563</v>
      </c>
      <c r="N36" s="1185"/>
      <c r="O36" s="1185"/>
      <c r="P36" s="1185"/>
      <c r="Q36" s="1192">
        <f>M36</f>
        <v>518827311.76319563</v>
      </c>
      <c r="R36" s="558"/>
    </row>
    <row r="37" spans="1:18" ht="12.75">
      <c r="A37" s="255"/>
      <c r="B37" s="255"/>
      <c r="C37" s="255"/>
      <c r="D37" s="255"/>
      <c r="E37" s="554"/>
      <c r="F37" s="255"/>
      <c r="G37" s="579"/>
      <c r="H37" s="255"/>
      <c r="I37" s="554"/>
      <c r="J37" s="255"/>
      <c r="K37" s="554"/>
      <c r="L37" s="255"/>
      <c r="M37" s="554"/>
      <c r="N37" s="554"/>
      <c r="O37" s="554"/>
      <c r="P37" s="554"/>
      <c r="Q37" s="554"/>
      <c r="R37" s="558"/>
    </row>
    <row r="38" spans="1:18" ht="12.75">
      <c r="A38" s="254">
        <f>A36+1</f>
        <v>13</v>
      </c>
      <c r="B38" s="255"/>
      <c r="C38" s="286" t="s">
        <v>738</v>
      </c>
      <c r="D38" s="286"/>
      <c r="E38" s="581">
        <f>ROUND(E34/E36,4)</f>
        <v>5.6899999999999999E-2</v>
      </c>
      <c r="F38" s="286"/>
      <c r="G38" s="579"/>
      <c r="H38" s="286"/>
      <c r="I38" s="581">
        <f>ROUND(I34/I36,4)</f>
        <v>6.2899999999999998E-2</v>
      </c>
      <c r="J38" s="286"/>
      <c r="K38" s="579"/>
      <c r="L38" s="255"/>
      <c r="M38" s="581">
        <f>ROUND(M34/M36,4)</f>
        <v>4.5900000000000003E-2</v>
      </c>
      <c r="N38" s="255"/>
      <c r="O38" s="579"/>
      <c r="P38" s="255"/>
      <c r="Q38" s="581">
        <f>+'J-1.1, J-1.2 13 MO AVG WACC'!M25</f>
        <v>8.0100000000000005E-2</v>
      </c>
    </row>
    <row r="39" spans="1:18" ht="12.75">
      <c r="A39" s="255"/>
      <c r="B39" s="255"/>
      <c r="C39" s="255"/>
      <c r="D39" s="255"/>
      <c r="E39" s="255"/>
      <c r="F39" s="255"/>
      <c r="G39" s="255"/>
      <c r="H39" s="255"/>
      <c r="I39" s="554"/>
      <c r="J39" s="255"/>
      <c r="K39" s="554"/>
      <c r="L39" s="255"/>
      <c r="M39" s="554"/>
      <c r="N39" s="255"/>
      <c r="O39" s="579"/>
      <c r="P39" s="255"/>
      <c r="Q39" s="554"/>
    </row>
    <row r="40" spans="1:18" ht="11.25">
      <c r="A40" s="546"/>
      <c r="B40" s="546"/>
      <c r="C40" s="582"/>
      <c r="D40" s="582"/>
      <c r="E40" s="582"/>
      <c r="F40" s="582"/>
      <c r="G40" s="582"/>
      <c r="H40" s="582"/>
      <c r="I40" s="583"/>
      <c r="J40" s="582"/>
      <c r="K40" s="583"/>
      <c r="L40" s="582"/>
      <c r="M40" s="583"/>
      <c r="N40" s="546"/>
      <c r="O40" s="1012"/>
      <c r="P40" s="546"/>
      <c r="Q40" s="569"/>
    </row>
    <row r="41" spans="1:18" ht="11.25">
      <c r="A41" s="546"/>
      <c r="B41" s="546"/>
      <c r="C41" s="582"/>
      <c r="D41" s="582"/>
      <c r="E41" s="582"/>
      <c r="F41" s="582"/>
      <c r="G41" s="582"/>
      <c r="H41" s="582"/>
      <c r="I41" s="1013"/>
      <c r="J41" s="582"/>
      <c r="K41" s="582"/>
      <c r="L41" s="582"/>
      <c r="M41" s="1013"/>
      <c r="N41" s="546"/>
      <c r="O41" s="1012"/>
      <c r="P41" s="546"/>
      <c r="Q41" s="1013"/>
    </row>
    <row r="42" spans="1:18" ht="11.25">
      <c r="A42" s="546"/>
      <c r="B42" s="546"/>
      <c r="C42" s="546"/>
      <c r="D42" s="546"/>
      <c r="E42" s="546"/>
      <c r="F42" s="546"/>
      <c r="G42" s="546"/>
      <c r="H42" s="546"/>
      <c r="I42" s="546"/>
      <c r="J42" s="546"/>
      <c r="K42" s="546"/>
      <c r="L42" s="546"/>
      <c r="M42" s="1014"/>
      <c r="N42" s="546"/>
      <c r="O42" s="1015"/>
      <c r="P42" s="546"/>
      <c r="Q42" s="546"/>
    </row>
    <row r="43" spans="1:18" ht="11.25">
      <c r="A43" s="546"/>
      <c r="B43" s="546"/>
      <c r="C43" s="582"/>
      <c r="D43" s="582"/>
      <c r="E43" s="582"/>
      <c r="F43" s="582"/>
      <c r="G43" s="582"/>
      <c r="H43" s="582"/>
      <c r="I43" s="582"/>
      <c r="J43" s="582"/>
      <c r="K43" s="582"/>
      <c r="L43" s="582"/>
      <c r="M43" s="583"/>
      <c r="N43" s="546"/>
      <c r="O43" s="546"/>
      <c r="P43" s="546"/>
      <c r="Q43" s="546"/>
    </row>
    <row r="44" spans="1:18" ht="11.25">
      <c r="A44" s="546"/>
      <c r="B44" s="546"/>
      <c r="C44" s="584"/>
      <c r="D44" s="584"/>
      <c r="E44" s="584"/>
      <c r="F44" s="584"/>
      <c r="G44" s="584"/>
      <c r="H44" s="584"/>
      <c r="I44" s="585"/>
      <c r="J44" s="584"/>
      <c r="K44" s="585"/>
      <c r="L44" s="582"/>
      <c r="M44" s="569"/>
      <c r="N44" s="586"/>
      <c r="O44" s="546"/>
      <c r="P44" s="546"/>
      <c r="Q44" s="546"/>
    </row>
    <row r="45" spans="1:18" ht="11.25">
      <c r="A45" s="546"/>
      <c r="B45" s="546"/>
      <c r="C45" s="546"/>
      <c r="D45" s="546"/>
      <c r="E45" s="546"/>
      <c r="F45" s="546"/>
      <c r="G45" s="546"/>
      <c r="H45" s="546"/>
      <c r="I45" s="546"/>
      <c r="J45" s="546"/>
      <c r="K45" s="546"/>
      <c r="L45" s="546"/>
      <c r="M45" s="546"/>
      <c r="N45" s="546"/>
      <c r="O45" s="546"/>
      <c r="P45" s="546"/>
      <c r="Q45" s="546"/>
    </row>
    <row r="46" spans="1:18" ht="11.25">
      <c r="A46" s="546"/>
      <c r="B46" s="546"/>
      <c r="C46" s="546"/>
      <c r="D46" s="546"/>
      <c r="E46" s="546"/>
      <c r="F46" s="546"/>
      <c r="G46" s="546"/>
      <c r="H46" s="546"/>
      <c r="I46" s="546"/>
      <c r="J46" s="546"/>
      <c r="K46" s="546"/>
      <c r="L46" s="546"/>
      <c r="M46" s="546"/>
      <c r="N46" s="546"/>
      <c r="O46" s="587"/>
      <c r="P46" s="546"/>
      <c r="Q46" s="546"/>
    </row>
    <row r="47" spans="1:18" ht="11.25">
      <c r="A47" s="546"/>
      <c r="B47" s="546"/>
      <c r="C47" s="546"/>
      <c r="D47" s="546"/>
      <c r="E47" s="546"/>
      <c r="F47" s="546"/>
      <c r="G47" s="546"/>
      <c r="H47" s="546"/>
      <c r="I47" s="546"/>
      <c r="J47" s="546"/>
      <c r="K47" s="546"/>
      <c r="L47" s="546"/>
      <c r="M47" s="546"/>
      <c r="N47" s="546"/>
      <c r="O47" s="1013"/>
      <c r="P47" s="546"/>
    </row>
    <row r="48" spans="1:18" ht="11.25">
      <c r="A48" s="546"/>
      <c r="B48" s="546"/>
      <c r="C48" s="546"/>
      <c r="D48" s="546"/>
      <c r="E48" s="546"/>
      <c r="F48" s="546"/>
      <c r="G48" s="546"/>
      <c r="H48" s="546"/>
      <c r="I48" s="546"/>
      <c r="J48" s="546"/>
      <c r="K48" s="546"/>
      <c r="L48" s="546"/>
      <c r="M48" s="546"/>
      <c r="N48" s="546"/>
      <c r="O48" s="1013"/>
      <c r="P48" s="546"/>
    </row>
    <row r="49" spans="1:17" ht="11.25">
      <c r="A49" s="546"/>
      <c r="B49" s="546"/>
      <c r="C49" s="546"/>
      <c r="D49" s="546"/>
      <c r="E49" s="546"/>
      <c r="F49" s="546"/>
      <c r="G49" s="546"/>
      <c r="H49" s="546"/>
      <c r="I49" s="546"/>
      <c r="J49" s="546"/>
      <c r="K49" s="546"/>
      <c r="L49" s="546"/>
      <c r="M49" s="546"/>
      <c r="N49" s="546"/>
      <c r="O49" s="1013"/>
      <c r="P49" s="546"/>
    </row>
    <row r="50" spans="1:17" ht="11.25">
      <c r="A50" s="546"/>
      <c r="B50" s="546"/>
      <c r="C50" s="546"/>
      <c r="D50" s="546"/>
      <c r="E50" s="546"/>
      <c r="F50" s="546"/>
      <c r="G50" s="546"/>
      <c r="H50" s="546"/>
      <c r="I50" s="546"/>
      <c r="J50" s="546"/>
      <c r="K50" s="546"/>
      <c r="L50" s="546"/>
      <c r="M50" s="546"/>
      <c r="N50" s="546"/>
      <c r="O50" s="1013"/>
      <c r="P50" s="546"/>
    </row>
    <row r="51" spans="1:17" ht="11.25">
      <c r="A51" s="546"/>
      <c r="B51" s="546"/>
      <c r="C51" s="546"/>
      <c r="D51" s="546"/>
      <c r="E51" s="546"/>
      <c r="F51" s="546"/>
      <c r="G51" s="546"/>
      <c r="H51" s="546"/>
      <c r="I51" s="546"/>
      <c r="J51" s="546"/>
      <c r="K51" s="546"/>
      <c r="L51" s="546"/>
      <c r="M51" s="546"/>
      <c r="N51" s="546"/>
      <c r="O51" s="546"/>
      <c r="P51" s="546"/>
    </row>
    <row r="52" spans="1:17" ht="11.25">
      <c r="A52" s="546"/>
      <c r="B52" s="546"/>
      <c r="C52" s="546"/>
      <c r="D52" s="546"/>
      <c r="E52" s="546"/>
      <c r="F52" s="546"/>
      <c r="G52" s="546"/>
      <c r="H52" s="546"/>
      <c r="I52" s="546"/>
      <c r="J52" s="546"/>
      <c r="K52" s="546"/>
      <c r="L52" s="546"/>
      <c r="M52" s="546"/>
      <c r="N52" s="546"/>
      <c r="O52" s="546"/>
      <c r="P52" s="546"/>
    </row>
    <row r="53" spans="1:17" ht="11.25">
      <c r="A53" s="546"/>
      <c r="B53" s="546"/>
      <c r="C53" s="546"/>
      <c r="D53" s="546"/>
      <c r="E53" s="546"/>
      <c r="F53" s="546"/>
      <c r="G53" s="546"/>
      <c r="H53" s="546"/>
      <c r="I53" s="546"/>
      <c r="J53" s="546"/>
      <c r="K53" s="546"/>
      <c r="L53" s="546"/>
      <c r="M53" s="546"/>
      <c r="N53" s="546"/>
      <c r="O53" s="546"/>
      <c r="P53" s="546"/>
    </row>
    <row r="54" spans="1:17" ht="11.25">
      <c r="A54" s="546"/>
      <c r="B54" s="546"/>
      <c r="C54" s="546"/>
      <c r="D54" s="546"/>
      <c r="E54" s="546"/>
      <c r="F54" s="546"/>
      <c r="G54" s="546"/>
      <c r="H54" s="546"/>
      <c r="I54" s="546"/>
      <c r="J54" s="546"/>
      <c r="K54" s="546"/>
      <c r="L54" s="546"/>
      <c r="M54" s="546"/>
      <c r="N54" s="546"/>
      <c r="O54" s="546"/>
      <c r="P54" s="546"/>
    </row>
    <row r="55" spans="1:17" ht="11.25">
      <c r="A55" s="546"/>
      <c r="B55" s="546"/>
      <c r="C55" s="546"/>
      <c r="D55" s="546"/>
      <c r="E55" s="546"/>
      <c r="F55" s="546"/>
      <c r="G55" s="546"/>
      <c r="H55" s="546"/>
      <c r="I55" s="546"/>
      <c r="J55" s="546"/>
      <c r="K55" s="546"/>
      <c r="L55" s="546"/>
      <c r="M55" s="546"/>
      <c r="N55" s="546"/>
      <c r="O55" s="546"/>
      <c r="P55" s="546"/>
    </row>
    <row r="56" spans="1:17" ht="11.25">
      <c r="A56" s="546"/>
      <c r="B56" s="546"/>
      <c r="C56" s="546"/>
      <c r="D56" s="546"/>
      <c r="E56" s="546"/>
      <c r="F56" s="546"/>
      <c r="G56" s="546"/>
      <c r="H56" s="546"/>
      <c r="I56" s="546"/>
      <c r="J56" s="546"/>
      <c r="K56" s="546"/>
      <c r="L56" s="546"/>
      <c r="M56" s="546"/>
      <c r="N56" s="546"/>
      <c r="O56" s="546"/>
      <c r="P56" s="546"/>
    </row>
    <row r="57" spans="1:17" ht="11.25">
      <c r="A57" s="546"/>
      <c r="B57" s="546"/>
      <c r="C57" s="546"/>
      <c r="D57" s="546"/>
      <c r="E57" s="546"/>
      <c r="F57" s="546"/>
      <c r="G57" s="546"/>
      <c r="H57" s="546"/>
      <c r="I57" s="546"/>
      <c r="J57" s="546"/>
      <c r="K57" s="546"/>
      <c r="L57" s="546"/>
      <c r="M57" s="546"/>
      <c r="N57" s="546"/>
      <c r="O57" s="546"/>
      <c r="P57" s="546"/>
    </row>
    <row r="58" spans="1:17" ht="11.25">
      <c r="A58" s="546"/>
      <c r="B58" s="546"/>
      <c r="C58" s="546"/>
      <c r="D58" s="546"/>
      <c r="E58" s="546"/>
      <c r="F58" s="546"/>
      <c r="G58" s="546"/>
      <c r="H58" s="546"/>
      <c r="I58" s="546"/>
      <c r="J58" s="546"/>
      <c r="K58" s="546"/>
      <c r="L58" s="546"/>
      <c r="M58" s="546"/>
      <c r="N58" s="546"/>
      <c r="O58" s="546"/>
      <c r="P58" s="546"/>
    </row>
    <row r="59" spans="1:17" ht="11.25">
      <c r="A59" s="546"/>
      <c r="B59" s="546"/>
      <c r="C59" s="546"/>
      <c r="D59" s="546"/>
      <c r="E59" s="546"/>
      <c r="F59" s="546"/>
      <c r="G59" s="546"/>
      <c r="H59" s="546"/>
      <c r="I59" s="546"/>
      <c r="J59" s="546"/>
      <c r="K59" s="546"/>
      <c r="L59" s="546"/>
      <c r="M59" s="546"/>
      <c r="N59" s="546"/>
      <c r="O59" s="546"/>
      <c r="P59" s="546"/>
      <c r="Q59" s="546"/>
    </row>
    <row r="60" spans="1:17" ht="11.25">
      <c r="A60" s="546"/>
      <c r="B60" s="546"/>
      <c r="C60" s="546"/>
      <c r="D60" s="546"/>
      <c r="E60" s="546"/>
      <c r="F60" s="546"/>
      <c r="G60" s="546"/>
      <c r="H60" s="546"/>
      <c r="I60" s="546"/>
      <c r="J60" s="546"/>
      <c r="K60" s="546"/>
      <c r="L60" s="546"/>
      <c r="M60" s="546"/>
      <c r="N60" s="546"/>
      <c r="O60" s="546"/>
      <c r="P60" s="546"/>
      <c r="Q60" s="546"/>
    </row>
    <row r="61" spans="1:17" ht="11.25">
      <c r="A61" s="546"/>
      <c r="B61" s="546"/>
      <c r="C61" s="546"/>
      <c r="D61" s="546"/>
      <c r="E61" s="546"/>
      <c r="F61" s="546"/>
      <c r="G61" s="546"/>
      <c r="H61" s="546"/>
      <c r="I61" s="546"/>
      <c r="J61" s="546"/>
      <c r="K61" s="546"/>
      <c r="L61" s="546"/>
      <c r="M61" s="546"/>
      <c r="N61" s="546"/>
      <c r="O61" s="546"/>
      <c r="P61" s="546"/>
      <c r="Q61" s="546"/>
    </row>
    <row r="62" spans="1:17" ht="11.25">
      <c r="A62" s="546"/>
      <c r="B62" s="546"/>
      <c r="C62" s="546"/>
      <c r="D62" s="546"/>
      <c r="E62" s="546"/>
      <c r="F62" s="546"/>
      <c r="G62" s="546"/>
      <c r="H62" s="546"/>
      <c r="I62" s="546"/>
      <c r="J62" s="546"/>
      <c r="K62" s="546"/>
      <c r="L62" s="546"/>
      <c r="M62" s="546"/>
      <c r="N62" s="546"/>
      <c r="O62" s="546"/>
      <c r="P62" s="546"/>
      <c r="Q62" s="546"/>
    </row>
    <row r="63" spans="1:17" ht="11.25">
      <c r="A63" s="546"/>
      <c r="B63" s="546"/>
      <c r="C63" s="546"/>
      <c r="D63" s="546"/>
      <c r="E63" s="546"/>
      <c r="F63" s="546"/>
      <c r="G63" s="546"/>
      <c r="H63" s="546"/>
      <c r="I63" s="546"/>
      <c r="J63" s="546"/>
      <c r="K63" s="546"/>
      <c r="L63" s="546"/>
      <c r="M63" s="546"/>
      <c r="N63" s="546"/>
      <c r="O63" s="546"/>
      <c r="P63" s="546"/>
      <c r="Q63" s="546"/>
    </row>
    <row r="64" spans="1:17" ht="11.25">
      <c r="A64" s="546"/>
      <c r="B64" s="546"/>
      <c r="C64" s="546"/>
      <c r="D64" s="546"/>
      <c r="E64" s="546"/>
      <c r="F64" s="546"/>
      <c r="G64" s="546"/>
      <c r="H64" s="546"/>
      <c r="I64" s="546"/>
      <c r="J64" s="546"/>
      <c r="K64" s="546"/>
      <c r="L64" s="546"/>
      <c r="M64" s="546"/>
      <c r="N64" s="546"/>
      <c r="O64" s="546"/>
      <c r="P64" s="546"/>
      <c r="Q64" s="546"/>
    </row>
    <row r="65" spans="1:17" ht="11.25">
      <c r="A65" s="546"/>
      <c r="B65" s="546"/>
      <c r="C65" s="546"/>
      <c r="D65" s="546"/>
      <c r="E65" s="546"/>
      <c r="F65" s="546"/>
      <c r="G65" s="546"/>
      <c r="H65" s="546"/>
      <c r="I65" s="546"/>
      <c r="J65" s="546"/>
      <c r="K65" s="546"/>
      <c r="L65" s="546"/>
      <c r="M65" s="546"/>
      <c r="N65" s="546"/>
      <c r="O65" s="546"/>
      <c r="P65" s="546"/>
      <c r="Q65" s="546"/>
    </row>
    <row r="66" spans="1:17" ht="11.25">
      <c r="A66" s="546"/>
      <c r="B66" s="546"/>
      <c r="C66" s="546"/>
      <c r="D66" s="546"/>
      <c r="E66" s="546"/>
      <c r="F66" s="546"/>
      <c r="G66" s="546"/>
      <c r="H66" s="546"/>
      <c r="I66" s="546"/>
      <c r="J66" s="546"/>
      <c r="K66" s="546"/>
      <c r="L66" s="546"/>
      <c r="M66" s="546"/>
      <c r="N66" s="546"/>
      <c r="O66" s="546"/>
      <c r="P66" s="546"/>
      <c r="Q66" s="546"/>
    </row>
    <row r="67" spans="1:17" ht="11.25">
      <c r="A67" s="546"/>
      <c r="B67" s="546"/>
      <c r="C67" s="546"/>
      <c r="D67" s="546"/>
      <c r="E67" s="546"/>
      <c r="F67" s="546"/>
      <c r="G67" s="546"/>
      <c r="H67" s="546"/>
      <c r="I67" s="546"/>
      <c r="J67" s="546"/>
      <c r="K67" s="546"/>
      <c r="L67" s="546"/>
      <c r="M67" s="546"/>
      <c r="N67" s="546"/>
      <c r="O67" s="546"/>
      <c r="P67" s="546"/>
      <c r="Q67" s="546"/>
    </row>
    <row r="68" spans="1:17" ht="11.25">
      <c r="A68" s="546"/>
      <c r="B68" s="546"/>
      <c r="C68" s="546"/>
      <c r="D68" s="546"/>
      <c r="E68" s="546"/>
      <c r="F68" s="546"/>
      <c r="G68" s="546"/>
      <c r="H68" s="546"/>
      <c r="I68" s="546"/>
      <c r="J68" s="546"/>
      <c r="K68" s="546"/>
      <c r="L68" s="546"/>
      <c r="M68" s="546"/>
      <c r="N68" s="546"/>
      <c r="O68" s="546"/>
      <c r="P68" s="546"/>
      <c r="Q68" s="546"/>
    </row>
    <row r="69" spans="1:17" ht="11.25">
      <c r="A69" s="546"/>
      <c r="B69" s="546"/>
      <c r="C69" s="546"/>
      <c r="D69" s="546"/>
      <c r="E69" s="546"/>
      <c r="F69" s="546"/>
      <c r="G69" s="546"/>
      <c r="H69" s="546"/>
      <c r="I69" s="546"/>
      <c r="J69" s="546"/>
      <c r="K69" s="546"/>
      <c r="L69" s="546"/>
      <c r="M69" s="546"/>
      <c r="N69" s="546"/>
      <c r="O69" s="546"/>
      <c r="P69" s="546"/>
      <c r="Q69" s="546"/>
    </row>
    <row r="70" spans="1:17" ht="11.25">
      <c r="A70" s="546"/>
      <c r="B70" s="546"/>
      <c r="C70" s="546"/>
      <c r="D70" s="546"/>
      <c r="E70" s="546"/>
      <c r="F70" s="546"/>
      <c r="G70" s="546"/>
      <c r="H70" s="546"/>
      <c r="I70" s="546"/>
      <c r="J70" s="546"/>
      <c r="K70" s="546"/>
      <c r="L70" s="546"/>
      <c r="M70" s="546"/>
      <c r="N70" s="546"/>
      <c r="O70" s="546"/>
      <c r="P70" s="546"/>
      <c r="Q70" s="546"/>
    </row>
    <row r="71" spans="1:17" ht="11.25">
      <c r="A71" s="546"/>
      <c r="B71" s="546"/>
      <c r="C71" s="546"/>
      <c r="D71" s="546"/>
      <c r="E71" s="546"/>
      <c r="F71" s="546"/>
      <c r="G71" s="546"/>
      <c r="H71" s="546"/>
      <c r="I71" s="546"/>
      <c r="J71" s="546"/>
      <c r="K71" s="546"/>
      <c r="L71" s="546"/>
      <c r="M71" s="546"/>
      <c r="N71" s="546"/>
      <c r="O71" s="546"/>
      <c r="P71" s="546"/>
      <c r="Q71" s="546"/>
    </row>
    <row r="72" spans="1:17" ht="11.25">
      <c r="A72" s="546"/>
      <c r="B72" s="546"/>
      <c r="C72" s="546"/>
      <c r="D72" s="546"/>
      <c r="E72" s="546"/>
      <c r="F72" s="546"/>
      <c r="G72" s="546"/>
      <c r="H72" s="546"/>
      <c r="I72" s="546"/>
      <c r="J72" s="546"/>
      <c r="K72" s="546"/>
      <c r="L72" s="546"/>
      <c r="M72" s="546"/>
      <c r="N72" s="546"/>
      <c r="O72" s="546"/>
      <c r="P72" s="546"/>
      <c r="Q72" s="546"/>
    </row>
    <row r="73" spans="1:17" ht="11.25">
      <c r="A73" s="546"/>
      <c r="B73" s="546"/>
      <c r="C73" s="546"/>
      <c r="D73" s="546"/>
      <c r="E73" s="546"/>
      <c r="F73" s="546"/>
      <c r="G73" s="546"/>
      <c r="H73" s="546"/>
      <c r="I73" s="546"/>
      <c r="J73" s="546"/>
      <c r="K73" s="546"/>
      <c r="L73" s="546"/>
      <c r="M73" s="546"/>
      <c r="N73" s="546"/>
      <c r="O73" s="546"/>
      <c r="P73" s="546"/>
      <c r="Q73" s="546"/>
    </row>
    <row r="74" spans="1:17" ht="11.25">
      <c r="A74" s="546"/>
      <c r="B74" s="546"/>
      <c r="C74" s="546"/>
      <c r="D74" s="546"/>
      <c r="E74" s="546"/>
      <c r="F74" s="546"/>
      <c r="G74" s="546"/>
      <c r="H74" s="546"/>
      <c r="I74" s="546"/>
      <c r="J74" s="546"/>
      <c r="K74" s="546"/>
      <c r="L74" s="546"/>
      <c r="M74" s="546"/>
      <c r="N74" s="546"/>
      <c r="O74" s="546"/>
      <c r="P74" s="546"/>
      <c r="Q74" s="546"/>
    </row>
    <row r="75" spans="1:17" ht="11.25">
      <c r="A75" s="546"/>
      <c r="B75" s="546"/>
      <c r="C75" s="546"/>
      <c r="D75" s="546"/>
      <c r="E75" s="546"/>
      <c r="F75" s="546"/>
      <c r="G75" s="546"/>
      <c r="H75" s="546"/>
      <c r="I75" s="546"/>
      <c r="J75" s="546"/>
      <c r="K75" s="546"/>
      <c r="L75" s="546"/>
      <c r="M75" s="546"/>
      <c r="N75" s="546"/>
      <c r="O75" s="546"/>
      <c r="P75" s="546"/>
      <c r="Q75" s="546"/>
    </row>
    <row r="76" spans="1:17" ht="11.25">
      <c r="A76" s="546"/>
      <c r="B76" s="546"/>
      <c r="C76" s="546"/>
      <c r="D76" s="546"/>
      <c r="E76" s="546"/>
      <c r="F76" s="546"/>
      <c r="G76" s="546"/>
      <c r="H76" s="546"/>
      <c r="I76" s="546"/>
      <c r="J76" s="546"/>
      <c r="K76" s="546"/>
      <c r="L76" s="546"/>
      <c r="M76" s="546"/>
      <c r="N76" s="546"/>
      <c r="O76" s="546"/>
      <c r="P76" s="546"/>
      <c r="Q76" s="546"/>
    </row>
    <row r="77" spans="1:17" ht="11.25">
      <c r="A77" s="546"/>
      <c r="B77" s="546"/>
      <c r="C77" s="546"/>
      <c r="D77" s="546"/>
      <c r="E77" s="546"/>
      <c r="F77" s="546"/>
      <c r="G77" s="546"/>
      <c r="H77" s="546"/>
      <c r="I77" s="546"/>
      <c r="J77" s="546"/>
      <c r="K77" s="546"/>
      <c r="L77" s="546"/>
      <c r="M77" s="546"/>
      <c r="N77" s="546"/>
      <c r="O77" s="546"/>
      <c r="P77" s="546"/>
      <c r="Q77" s="546"/>
    </row>
    <row r="78" spans="1:17" ht="11.25">
      <c r="A78" s="546"/>
      <c r="B78" s="546"/>
      <c r="C78" s="546"/>
      <c r="D78" s="546"/>
      <c r="E78" s="546"/>
      <c r="F78" s="546"/>
      <c r="G78" s="546"/>
      <c r="H78" s="546"/>
      <c r="I78" s="546"/>
      <c r="J78" s="546"/>
      <c r="K78" s="546"/>
      <c r="L78" s="546"/>
      <c r="M78" s="546"/>
      <c r="N78" s="546"/>
      <c r="O78" s="546"/>
      <c r="P78" s="546"/>
      <c r="Q78" s="546"/>
    </row>
    <row r="79" spans="1:17" ht="11.25">
      <c r="A79" s="546"/>
      <c r="B79" s="546"/>
      <c r="C79" s="546"/>
      <c r="D79" s="546"/>
      <c r="E79" s="546"/>
      <c r="F79" s="546"/>
      <c r="G79" s="546"/>
      <c r="H79" s="546"/>
      <c r="I79" s="546"/>
      <c r="J79" s="546"/>
      <c r="K79" s="546"/>
      <c r="L79" s="546"/>
      <c r="M79" s="546"/>
      <c r="N79" s="546"/>
      <c r="O79" s="546"/>
      <c r="P79" s="546"/>
      <c r="Q79" s="546"/>
    </row>
    <row r="80" spans="1:17" ht="11.25">
      <c r="A80" s="546"/>
      <c r="B80" s="546"/>
      <c r="C80" s="546"/>
      <c r="D80" s="546"/>
      <c r="E80" s="546"/>
      <c r="F80" s="546"/>
      <c r="G80" s="546"/>
      <c r="H80" s="546"/>
      <c r="I80" s="546"/>
      <c r="J80" s="546"/>
      <c r="K80" s="546"/>
      <c r="L80" s="546"/>
      <c r="M80" s="546"/>
      <c r="N80" s="546"/>
      <c r="O80" s="546"/>
      <c r="P80" s="546"/>
      <c r="Q80" s="546"/>
    </row>
    <row r="81" spans="1:17" ht="11.25">
      <c r="A81" s="546"/>
      <c r="B81" s="546"/>
      <c r="C81" s="546"/>
      <c r="D81" s="546"/>
      <c r="E81" s="546"/>
      <c r="F81" s="546"/>
      <c r="G81" s="546"/>
      <c r="H81" s="546"/>
      <c r="I81" s="546"/>
      <c r="J81" s="546"/>
      <c r="K81" s="546"/>
      <c r="L81" s="546"/>
      <c r="M81" s="546"/>
      <c r="N81" s="546"/>
      <c r="O81" s="546"/>
      <c r="P81" s="546"/>
      <c r="Q81" s="546"/>
    </row>
    <row r="82" spans="1:17" ht="11.25">
      <c r="A82" s="546"/>
      <c r="B82" s="546"/>
      <c r="C82" s="546"/>
      <c r="D82" s="546"/>
      <c r="E82" s="546"/>
      <c r="F82" s="546"/>
      <c r="G82" s="546"/>
      <c r="H82" s="546"/>
      <c r="I82" s="546"/>
      <c r="J82" s="546"/>
      <c r="K82" s="546"/>
      <c r="L82" s="546"/>
      <c r="M82" s="546"/>
      <c r="N82" s="546"/>
      <c r="O82" s="546"/>
      <c r="P82" s="546"/>
      <c r="Q82" s="546"/>
    </row>
    <row r="83" spans="1:17" ht="11.25">
      <c r="A83" s="546"/>
      <c r="B83" s="546"/>
      <c r="C83" s="546"/>
      <c r="D83" s="546"/>
      <c r="E83" s="546"/>
      <c r="F83" s="546"/>
      <c r="G83" s="546"/>
      <c r="H83" s="546"/>
      <c r="I83" s="546"/>
      <c r="J83" s="546"/>
      <c r="K83" s="546"/>
      <c r="L83" s="546"/>
      <c r="M83" s="546"/>
      <c r="N83" s="546"/>
      <c r="O83" s="546"/>
      <c r="P83" s="546"/>
      <c r="Q83" s="546"/>
    </row>
    <row r="84" spans="1:17" ht="11.25">
      <c r="A84" s="546"/>
      <c r="B84" s="546"/>
      <c r="C84" s="546"/>
      <c r="D84" s="546"/>
      <c r="E84" s="546"/>
      <c r="F84" s="546"/>
      <c r="G84" s="546"/>
      <c r="H84" s="546"/>
      <c r="I84" s="546"/>
      <c r="J84" s="546"/>
      <c r="K84" s="546"/>
      <c r="L84" s="546"/>
      <c r="M84" s="546"/>
      <c r="N84" s="546"/>
      <c r="O84" s="546"/>
      <c r="P84" s="546"/>
      <c r="Q84" s="546"/>
    </row>
  </sheetData>
  <mergeCells count="5">
    <mergeCell ref="A1:Q1"/>
    <mergeCell ref="A2:Q2"/>
    <mergeCell ref="A3:Q3"/>
    <mergeCell ref="A4:Q4"/>
    <mergeCell ref="A5:Q5"/>
  </mergeCells>
  <printOptions horizontalCentered="1"/>
  <pageMargins left="0.5" right="0.5" top="0.75" bottom="0.5" header="0.3" footer="0.3"/>
  <pageSetup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R50"/>
  <sheetViews>
    <sheetView zoomScaleNormal="100" zoomScaleSheetLayoutView="100" workbookViewId="0">
      <selection activeCell="A3" sqref="A3"/>
    </sheetView>
  </sheetViews>
  <sheetFormatPr defaultRowHeight="10.5"/>
  <cols>
    <col min="1" max="1" width="7.33203125" customWidth="1"/>
    <col min="2" max="2" width="1.83203125" customWidth="1"/>
    <col min="3" max="3" width="62" bestFit="1" customWidth="1"/>
    <col min="4" max="4" width="1.83203125" customWidth="1"/>
    <col min="5" max="5" width="15.6640625" bestFit="1" customWidth="1"/>
    <col min="6" max="6" width="1.83203125" customWidth="1"/>
    <col min="7" max="7" width="27.6640625" bestFit="1" customWidth="1"/>
    <col min="8" max="8" width="1.83203125" customWidth="1"/>
    <col min="9" max="9" width="15.83203125" customWidth="1"/>
    <col min="10" max="10" width="1.83203125" customWidth="1"/>
    <col min="11" max="11" width="27.6640625" bestFit="1" customWidth="1"/>
    <col min="12" max="12" width="1.83203125" customWidth="1"/>
    <col min="13" max="13" width="16.83203125" bestFit="1" customWidth="1"/>
    <col min="14" max="14" width="1.83203125" customWidth="1"/>
    <col min="15" max="15" width="22.5" bestFit="1" customWidth="1"/>
    <col min="16" max="16" width="1.83203125" customWidth="1"/>
    <col min="17" max="17" width="24.6640625" bestFit="1" customWidth="1"/>
  </cols>
  <sheetData>
    <row r="1" spans="1:18" ht="12.75">
      <c r="A1" s="1016" t="str">
        <f>'General Headers Index'!B4</f>
        <v>COLUMBIA GAS OF KENTUCKY, INC.</v>
      </c>
      <c r="B1" s="1016"/>
      <c r="C1" s="1016"/>
      <c r="D1" s="1016"/>
      <c r="E1" s="1016"/>
      <c r="F1" s="1016"/>
      <c r="G1" s="1016"/>
      <c r="H1" s="1016"/>
      <c r="I1" s="1016"/>
      <c r="J1" s="1016"/>
      <c r="K1" s="1016"/>
      <c r="L1" s="1016"/>
      <c r="M1" s="1016"/>
      <c r="N1" s="1016"/>
      <c r="O1" s="1016"/>
      <c r="P1" s="1016"/>
      <c r="Q1" s="1016"/>
      <c r="R1" s="543"/>
    </row>
    <row r="2" spans="1:18" ht="12.75">
      <c r="A2" s="1016" t="str">
        <f>'General Headers Index'!B6</f>
        <v>CASE NO. 2024 - 00092</v>
      </c>
      <c r="B2" s="1016"/>
      <c r="C2" s="1016"/>
      <c r="D2" s="1016"/>
      <c r="E2" s="1016"/>
      <c r="F2" s="1016"/>
      <c r="G2" s="1016"/>
      <c r="H2" s="1016"/>
      <c r="I2" s="1016"/>
      <c r="J2" s="1016"/>
      <c r="K2" s="1016"/>
      <c r="L2" s="1016"/>
      <c r="M2" s="1016"/>
      <c r="N2" s="1016"/>
      <c r="O2" s="1016"/>
      <c r="P2" s="1016"/>
      <c r="Q2" s="1016"/>
      <c r="R2" s="543"/>
    </row>
    <row r="3" spans="1:18" ht="12.75">
      <c r="A3" s="1016" t="str">
        <f>'Index C'!$C$22</f>
        <v>ADJUSTED OPERATING INCOME SUMMARY</v>
      </c>
      <c r="B3" s="1016"/>
      <c r="C3" s="1016"/>
      <c r="D3" s="1016"/>
      <c r="E3" s="1016"/>
      <c r="F3" s="1016"/>
      <c r="G3" s="1016"/>
      <c r="H3" s="1016"/>
      <c r="I3" s="1016"/>
      <c r="J3" s="1016"/>
      <c r="K3" s="1016"/>
      <c r="L3" s="1016"/>
      <c r="M3" s="1016"/>
      <c r="N3" s="1016"/>
      <c r="O3" s="1016"/>
      <c r="P3" s="1016"/>
      <c r="Q3" s="1016"/>
      <c r="R3" s="570"/>
    </row>
    <row r="4" spans="1:18" ht="12.75">
      <c r="A4" s="1016" t="str">
        <f>'General Headers Index'!B9</f>
        <v>BASE PERIOD: TWELVE MONTHS ENDED AUGUST 31, 2024</v>
      </c>
      <c r="B4" s="1016"/>
      <c r="C4" s="1016"/>
      <c r="D4" s="1016"/>
      <c r="E4" s="1016"/>
      <c r="F4" s="1016"/>
      <c r="G4" s="1016"/>
      <c r="H4" s="1016"/>
      <c r="I4" s="1016"/>
      <c r="J4" s="1016"/>
      <c r="K4" s="1016"/>
      <c r="L4" s="1016"/>
      <c r="M4" s="1016"/>
      <c r="N4" s="1016"/>
      <c r="O4" s="1016"/>
      <c r="P4" s="1016"/>
      <c r="Q4" s="1016"/>
      <c r="R4" s="543"/>
    </row>
    <row r="5" spans="1:18" ht="12.75">
      <c r="A5" s="1016" t="str">
        <f>'General Headers Index'!B16</f>
        <v>FORECASTED TEST PERIOD: TWELVE MONTHS ENDED DECEMBER 31, 2025</v>
      </c>
      <c r="B5" s="1016"/>
      <c r="C5" s="1016"/>
      <c r="D5" s="1016"/>
      <c r="E5" s="1016"/>
      <c r="F5" s="1016"/>
      <c r="G5" s="1016"/>
      <c r="H5" s="1016"/>
      <c r="I5" s="1016"/>
      <c r="J5" s="1016"/>
      <c r="K5" s="1016"/>
      <c r="L5" s="1016"/>
      <c r="M5" s="1016"/>
      <c r="N5" s="1016"/>
      <c r="O5" s="1016"/>
      <c r="P5" s="1016"/>
      <c r="Q5" s="1016"/>
      <c r="R5" s="543"/>
    </row>
    <row r="6" spans="1:18" ht="12.75">
      <c r="A6" s="255"/>
      <c r="B6" s="255"/>
      <c r="C6" s="544"/>
      <c r="D6" s="544"/>
      <c r="E6" s="544"/>
      <c r="F6" s="544"/>
      <c r="G6" s="544"/>
      <c r="H6" s="544"/>
      <c r="I6" s="544"/>
      <c r="J6" s="544"/>
      <c r="K6" s="544"/>
      <c r="L6" s="255"/>
      <c r="M6" s="255"/>
      <c r="N6" s="255"/>
      <c r="O6" s="255"/>
      <c r="P6" s="255"/>
      <c r="Q6" s="255"/>
      <c r="R6" s="255"/>
    </row>
    <row r="7" spans="1:18" ht="12.75">
      <c r="A7" s="286" t="s">
        <v>739</v>
      </c>
      <c r="B7" s="255"/>
      <c r="C7" s="255"/>
      <c r="D7" s="255"/>
      <c r="E7" s="255"/>
      <c r="F7" s="255"/>
      <c r="G7" s="255"/>
      <c r="H7" s="255"/>
      <c r="I7" s="255"/>
      <c r="J7" s="255"/>
      <c r="K7" s="255"/>
      <c r="L7" s="255"/>
      <c r="M7" s="255"/>
      <c r="N7" s="255"/>
      <c r="O7" s="571"/>
      <c r="P7" s="255"/>
      <c r="Q7" s="547" t="s">
        <v>740</v>
      </c>
      <c r="R7" s="572"/>
    </row>
    <row r="8" spans="1:18" ht="12.75">
      <c r="A8" s="286" t="str">
        <f>'General Headers Index'!B37</f>
        <v>TYPE OF FILING:___X___ORIGINAL______UPDATED</v>
      </c>
      <c r="B8" s="255"/>
      <c r="C8" s="255"/>
      <c r="D8" s="255"/>
      <c r="E8" s="255"/>
      <c r="F8" s="255"/>
      <c r="G8" s="255"/>
      <c r="H8" s="255"/>
      <c r="I8" s="255"/>
      <c r="J8" s="255"/>
      <c r="K8" s="255"/>
      <c r="L8" s="255"/>
      <c r="M8" s="255"/>
      <c r="N8" s="255"/>
      <c r="O8" s="571"/>
      <c r="P8" s="255"/>
      <c r="Q8" s="547" t="s">
        <v>722</v>
      </c>
      <c r="R8" s="572"/>
    </row>
    <row r="9" spans="1:18" ht="12.75">
      <c r="A9" s="286" t="s">
        <v>575</v>
      </c>
      <c r="B9" s="255"/>
      <c r="C9" s="255"/>
      <c r="D9" s="255"/>
      <c r="E9" s="255"/>
      <c r="F9" s="255"/>
      <c r="G9" s="255"/>
      <c r="H9" s="255"/>
      <c r="I9" s="255"/>
      <c r="J9" s="255"/>
      <c r="K9" s="255"/>
      <c r="L9" s="255"/>
      <c r="M9" s="255"/>
      <c r="N9" s="255"/>
      <c r="O9" s="571"/>
      <c r="P9" s="255"/>
      <c r="Q9" s="545" t="str">
        <f>"WITNESS: "&amp;'General Headers Index'!B45</f>
        <v>WITNESS: SHAEFFER</v>
      </c>
      <c r="R9" s="545"/>
    </row>
    <row r="10" spans="1:18" ht="12.75">
      <c r="A10" s="850"/>
      <c r="B10" s="851"/>
      <c r="C10" s="851"/>
      <c r="D10" s="851"/>
      <c r="E10" s="851"/>
      <c r="F10" s="851"/>
      <c r="G10" s="851"/>
      <c r="H10" s="851"/>
      <c r="I10" s="851"/>
      <c r="J10" s="851"/>
      <c r="K10" s="851"/>
      <c r="L10" s="851"/>
      <c r="M10" s="851"/>
      <c r="N10" s="851"/>
      <c r="O10" s="854"/>
      <c r="P10" s="851"/>
      <c r="Q10" s="853"/>
      <c r="R10" s="545"/>
    </row>
    <row r="11" spans="1:18" ht="12.75">
      <c r="A11" s="286"/>
      <c r="B11" s="255"/>
      <c r="C11" s="255"/>
      <c r="D11" s="255"/>
      <c r="E11" s="254" t="s">
        <v>755</v>
      </c>
      <c r="F11" s="255"/>
      <c r="G11" s="255"/>
      <c r="H11" s="255"/>
      <c r="I11" s="254" t="s">
        <v>351</v>
      </c>
      <c r="J11" s="255"/>
      <c r="K11" s="255"/>
      <c r="L11" s="255"/>
      <c r="M11" s="254" t="s">
        <v>755</v>
      </c>
      <c r="N11" s="255"/>
      <c r="O11" s="255"/>
      <c r="P11" s="255"/>
      <c r="Q11" s="254" t="s">
        <v>351</v>
      </c>
      <c r="R11" s="545"/>
    </row>
    <row r="12" spans="1:18" ht="12.75">
      <c r="A12" s="255"/>
      <c r="B12" s="255"/>
      <c r="C12" s="255"/>
      <c r="D12" s="255"/>
      <c r="E12" s="254" t="s">
        <v>315</v>
      </c>
      <c r="F12" s="255"/>
      <c r="G12" s="254" t="s">
        <v>1828</v>
      </c>
      <c r="H12" s="255"/>
      <c r="I12" s="254" t="s">
        <v>315</v>
      </c>
      <c r="J12" s="255"/>
      <c r="K12" s="254" t="s">
        <v>1828</v>
      </c>
      <c r="L12" s="255"/>
      <c r="M12" s="254" t="s">
        <v>741</v>
      </c>
      <c r="N12" s="255"/>
      <c r="O12" s="254" t="s">
        <v>1795</v>
      </c>
      <c r="P12" s="255"/>
      <c r="Q12" s="254" t="s">
        <v>651</v>
      </c>
      <c r="R12" s="254"/>
    </row>
    <row r="13" spans="1:18" ht="12.75">
      <c r="A13" s="543" t="s">
        <v>313</v>
      </c>
      <c r="B13" s="255"/>
      <c r="C13" s="254"/>
      <c r="D13" s="254"/>
      <c r="E13" s="543" t="s">
        <v>742</v>
      </c>
      <c r="F13" s="254"/>
      <c r="G13" s="254" t="s">
        <v>2360</v>
      </c>
      <c r="H13" s="254"/>
      <c r="I13" s="543" t="s">
        <v>742</v>
      </c>
      <c r="J13" s="254"/>
      <c r="K13" s="254" t="s">
        <v>2361</v>
      </c>
      <c r="L13" s="255"/>
      <c r="M13" s="543" t="s">
        <v>742</v>
      </c>
      <c r="N13" s="255"/>
      <c r="O13" s="254" t="s">
        <v>2339</v>
      </c>
      <c r="P13" s="255"/>
      <c r="Q13" s="543" t="s">
        <v>742</v>
      </c>
      <c r="R13" s="543"/>
    </row>
    <row r="14" spans="1:18" ht="12.75">
      <c r="A14" s="549" t="s">
        <v>316</v>
      </c>
      <c r="B14" s="548"/>
      <c r="C14" s="549" t="s">
        <v>743</v>
      </c>
      <c r="D14" s="549"/>
      <c r="E14" s="574" t="s">
        <v>744</v>
      </c>
      <c r="F14" s="549"/>
      <c r="G14" s="441" t="s">
        <v>355</v>
      </c>
      <c r="H14" s="549"/>
      <c r="I14" s="574" t="s">
        <v>744</v>
      </c>
      <c r="J14" s="549"/>
      <c r="K14" s="441" t="s">
        <v>355</v>
      </c>
      <c r="L14" s="548"/>
      <c r="M14" s="574" t="s">
        <v>744</v>
      </c>
      <c r="N14" s="548"/>
      <c r="O14" s="441" t="s">
        <v>355</v>
      </c>
      <c r="P14" s="573"/>
      <c r="Q14" s="574" t="s">
        <v>744</v>
      </c>
      <c r="R14" s="254"/>
    </row>
    <row r="15" spans="1:18" ht="12.75">
      <c r="A15" s="543"/>
      <c r="B15" s="255"/>
      <c r="C15" s="543"/>
      <c r="D15" s="543"/>
      <c r="E15" s="336" t="s">
        <v>532</v>
      </c>
      <c r="F15" s="543"/>
      <c r="G15" s="336" t="s">
        <v>541</v>
      </c>
      <c r="H15" s="543"/>
      <c r="I15" s="336" t="s">
        <v>2362</v>
      </c>
      <c r="J15" s="543"/>
      <c r="K15" s="336" t="s">
        <v>668</v>
      </c>
      <c r="L15" s="255"/>
      <c r="M15" s="336" t="s">
        <v>2363</v>
      </c>
      <c r="N15" s="255"/>
      <c r="O15" s="336" t="s">
        <v>670</v>
      </c>
      <c r="P15" s="255"/>
      <c r="Q15" s="336" t="s">
        <v>2364</v>
      </c>
      <c r="R15" s="254"/>
    </row>
    <row r="16" spans="1:18" ht="12.75">
      <c r="A16" s="255"/>
      <c r="B16" s="255"/>
      <c r="C16" s="288"/>
      <c r="D16" s="288"/>
      <c r="E16" s="254" t="s">
        <v>320</v>
      </c>
      <c r="F16" s="288"/>
      <c r="G16" s="254" t="s">
        <v>320</v>
      </c>
      <c r="H16" s="288"/>
      <c r="I16" s="254" t="s">
        <v>320</v>
      </c>
      <c r="J16" s="288"/>
      <c r="K16" s="254" t="s">
        <v>320</v>
      </c>
      <c r="L16" s="255"/>
      <c r="M16" s="254" t="s">
        <v>320</v>
      </c>
      <c r="N16" s="255"/>
      <c r="O16" s="254" t="s">
        <v>320</v>
      </c>
      <c r="P16" s="255"/>
      <c r="Q16" s="254" t="s">
        <v>320</v>
      </c>
      <c r="R16" s="254"/>
    </row>
    <row r="17" spans="1:18" ht="12.75">
      <c r="A17" s="255"/>
      <c r="B17" s="255"/>
      <c r="C17" s="288"/>
      <c r="D17" s="288"/>
      <c r="E17" s="254"/>
      <c r="F17" s="288"/>
      <c r="G17" s="254"/>
      <c r="H17" s="288"/>
      <c r="I17" s="254"/>
      <c r="J17" s="288"/>
      <c r="K17" s="254"/>
      <c r="L17" s="255"/>
      <c r="M17" s="254"/>
      <c r="N17" s="255"/>
      <c r="O17" s="575"/>
      <c r="P17" s="255"/>
      <c r="Q17" s="254"/>
      <c r="R17" s="254"/>
    </row>
    <row r="18" spans="1:18" ht="12.75">
      <c r="A18" s="543">
        <v>1</v>
      </c>
      <c r="B18" s="255"/>
      <c r="C18" s="286" t="s">
        <v>746</v>
      </c>
      <c r="D18" s="286"/>
      <c r="E18" s="1193">
        <f>'C-2.1.A Oper Rev&amp;Exp by Accts'!F34</f>
        <v>170218511.75259772</v>
      </c>
      <c r="F18" s="1194"/>
      <c r="G18" s="1193">
        <f>+'D-1.A (BP IS Adj Summary)'!G33</f>
        <v>-2813871.6599999997</v>
      </c>
      <c r="H18" s="1193"/>
      <c r="I18" s="1193">
        <f>+E18+G18</f>
        <v>167404640.09259772</v>
      </c>
      <c r="J18" s="1194"/>
      <c r="K18" s="1193">
        <f>+'D-1.A (BP IS Adj Summary)'!M33</f>
        <v>-16583954.465931017</v>
      </c>
      <c r="L18" s="1185"/>
      <c r="M18" s="1193">
        <f>'C-2.1.B Oper Rev&amp;Exp by Accts'!F39</f>
        <v>150820685.62666669</v>
      </c>
      <c r="N18" s="1185"/>
      <c r="O18" s="1185">
        <f>ROUND(+'D-1.B (FTP IS Adj Summary)'!Q33,0)</f>
        <v>-463008</v>
      </c>
      <c r="P18" s="1185"/>
      <c r="Q18" s="1185">
        <f>M18+O18</f>
        <v>150357677.62666669</v>
      </c>
      <c r="R18" s="554"/>
    </row>
    <row r="19" spans="1:18" ht="12.75">
      <c r="A19" s="254"/>
      <c r="B19" s="255"/>
      <c r="C19" s="576"/>
      <c r="D19" s="576"/>
      <c r="E19" s="1193"/>
      <c r="F19" s="1194"/>
      <c r="G19" s="1194"/>
      <c r="H19" s="1194"/>
      <c r="I19" s="1194"/>
      <c r="J19" s="1194"/>
      <c r="K19" s="1193"/>
      <c r="L19" s="1185"/>
      <c r="M19" s="1193"/>
      <c r="N19" s="1185"/>
      <c r="O19" s="1185"/>
      <c r="P19" s="1185"/>
      <c r="Q19" s="1185"/>
      <c r="R19" s="554"/>
    </row>
    <row r="20" spans="1:18" ht="12.75">
      <c r="A20" s="543">
        <f>A18+1</f>
        <v>2</v>
      </c>
      <c r="B20" s="255"/>
      <c r="C20" s="286" t="s">
        <v>729</v>
      </c>
      <c r="D20" s="286"/>
      <c r="E20" s="1185"/>
      <c r="F20" s="1194"/>
      <c r="G20" s="1194"/>
      <c r="H20" s="1194"/>
      <c r="I20" s="1194"/>
      <c r="J20" s="1194"/>
      <c r="K20" s="1185"/>
      <c r="L20" s="1185"/>
      <c r="M20" s="1185"/>
      <c r="N20" s="1185"/>
      <c r="O20" s="1185"/>
      <c r="P20" s="1185"/>
      <c r="Q20" s="1185"/>
      <c r="R20" s="554"/>
    </row>
    <row r="21" spans="1:18" ht="12.75">
      <c r="A21" s="543">
        <f t="shared" ref="A21:A26" si="0">+A20+1</f>
        <v>3</v>
      </c>
      <c r="B21" s="255"/>
      <c r="C21" s="286" t="s">
        <v>1531</v>
      </c>
      <c r="D21" s="286"/>
      <c r="E21" s="1193">
        <f>'C-2.1.A Oper Rev&amp;Exp by Accts'!F68-'C-2.1.A Oper Rev&amp;Exp by Accts'!F64</f>
        <v>46329989.590000004</v>
      </c>
      <c r="F21" s="1194"/>
      <c r="G21" s="1193">
        <v>0</v>
      </c>
      <c r="H21" s="1194"/>
      <c r="I21" s="1193">
        <f>+E21+G21</f>
        <v>46329989.590000004</v>
      </c>
      <c r="J21" s="1194"/>
      <c r="K21" s="1193">
        <f>+'D-1.A (BP IS Adj Summary)'!M44</f>
        <v>-10916967.930000003</v>
      </c>
      <c r="L21" s="1185"/>
      <c r="M21" s="1193">
        <f>'C-2.1.B Oper Rev&amp;Exp by Accts'!F69-'C-2.1.B Oper Rev&amp;Exp by Accts'!F65</f>
        <v>35413021.660000004</v>
      </c>
      <c r="N21" s="1185"/>
      <c r="O21" s="1185">
        <f>+'D-1.B (FTP IS Adj Summary)'!Q44</f>
        <v>0</v>
      </c>
      <c r="P21" s="1185"/>
      <c r="Q21" s="1185">
        <f t="shared" ref="Q21:Q31" si="1">M21+O21</f>
        <v>35413021.660000004</v>
      </c>
      <c r="R21" s="554"/>
    </row>
    <row r="22" spans="1:18" ht="12.75">
      <c r="A22" s="543">
        <f t="shared" si="0"/>
        <v>4</v>
      </c>
      <c r="B22" s="255"/>
      <c r="C22" s="286" t="s">
        <v>2505</v>
      </c>
      <c r="D22" s="286"/>
      <c r="E22" s="1185">
        <f>'C-2.1.A Oper Rev&amp;Exp by Accts'!D56</f>
        <v>0</v>
      </c>
      <c r="F22" s="1194"/>
      <c r="G22" s="1185">
        <v>0</v>
      </c>
      <c r="H22" s="1194"/>
      <c r="I22" s="1193">
        <f t="shared" ref="I22:I31" si="2">+E22+G22</f>
        <v>0</v>
      </c>
      <c r="J22" s="1194"/>
      <c r="K22" s="1193">
        <f>+'D-1.A (BP IS Adj Summary)'!M67</f>
        <v>0</v>
      </c>
      <c r="L22" s="1185"/>
      <c r="M22" s="1185">
        <f>'C-2.1.B Oper Rev&amp;Exp by Accts'!F57</f>
        <v>0</v>
      </c>
      <c r="N22" s="1185"/>
      <c r="O22" s="1185">
        <f>+'D-1.B (FTP IS Adj Summary)'!Q66</f>
        <v>0</v>
      </c>
      <c r="P22" s="1185"/>
      <c r="Q22" s="1185">
        <f>M22+O22</f>
        <v>0</v>
      </c>
      <c r="R22" s="554"/>
    </row>
    <row r="23" spans="1:18" ht="12.75">
      <c r="A23" s="543">
        <f t="shared" si="0"/>
        <v>5</v>
      </c>
      <c r="B23" s="255"/>
      <c r="C23" s="286" t="s">
        <v>731</v>
      </c>
      <c r="D23" s="286"/>
      <c r="E23" s="1193">
        <f>+'C-2.1.A Oper Rev&amp;Exp by Accts'!F39+'C-2.1.A Oper Rev&amp;Exp by Accts'!F64</f>
        <v>410690.58999999997</v>
      </c>
      <c r="F23" s="1194"/>
      <c r="G23" s="1193">
        <f>+'D-1.A (BP IS Adj Summary)'!G66+'D-1.A (BP IS Adj Summary)'!G68</f>
        <v>-10.0300000000002</v>
      </c>
      <c r="H23" s="1194"/>
      <c r="I23" s="1193">
        <f t="shared" si="2"/>
        <v>410680.55999999994</v>
      </c>
      <c r="J23" s="1194"/>
      <c r="K23" s="1193">
        <f>+'D-1.A (BP IS Adj Summary)'!M66+'D-1.A (BP IS Adj Summary)'!M68</f>
        <v>-1342.5599999999977</v>
      </c>
      <c r="L23" s="1185"/>
      <c r="M23" s="1193">
        <f>'C-2.1.B Oper Rev&amp;Exp by Accts'!F65</f>
        <v>409337.99999999994</v>
      </c>
      <c r="N23" s="1185"/>
      <c r="O23" s="1185">
        <f>+'D-1.B (FTP IS Adj Summary)'!Q67</f>
        <v>-74.82676403469857</v>
      </c>
      <c r="P23" s="1185"/>
      <c r="Q23" s="1185">
        <f t="shared" si="1"/>
        <v>409263.17323596525</v>
      </c>
      <c r="R23" s="554"/>
    </row>
    <row r="24" spans="1:18" ht="12.75">
      <c r="A24" s="543">
        <f t="shared" si="0"/>
        <v>6</v>
      </c>
      <c r="B24" s="255"/>
      <c r="C24" s="286" t="s">
        <v>2937</v>
      </c>
      <c r="D24" s="286"/>
      <c r="E24" s="1193">
        <f>+'C-2.1.A Oper Rev&amp;Exp by Accts'!F44+'C-2.1.A Oper Rev&amp;Exp by Accts'!F48</f>
        <v>4775.42</v>
      </c>
      <c r="F24" s="1194"/>
      <c r="G24" s="1193">
        <f>+'D-1.A (BP IS Adj Summary)'!G67+'D-1.A (BP IS Adj Summary)'!G69</f>
        <v>0</v>
      </c>
      <c r="H24" s="1194"/>
      <c r="I24" s="1193">
        <f t="shared" ref="I24" si="3">+E24+G24</f>
        <v>4775.42</v>
      </c>
      <c r="J24" s="1194"/>
      <c r="K24" s="1193">
        <f>+'D-1.A (BP IS Adj Summary)'!M69+'D-1.A (BP IS Adj Summary)'!M70+'D-1.A (BP IS Adj Summary)'!M71</f>
        <v>-392.65999999999957</v>
      </c>
      <c r="L24" s="1185"/>
      <c r="M24" s="1193">
        <f>'C-2.1.B Oper Rev&amp;Exp by Accts'!F45+'C-2.1.B Oper Rev&amp;Exp by Accts'!F49</f>
        <v>4382.76</v>
      </c>
      <c r="N24" s="1185"/>
      <c r="O24" s="1185">
        <f t="array" ref="O24">SUM(+'D-1.B (FTP IS Adj Summary)'!Q68:Q70)</f>
        <v>-0.73102890731023995</v>
      </c>
      <c r="P24" s="1185"/>
      <c r="Q24" s="1185">
        <f t="shared" ref="Q24" si="4">M24+O24</f>
        <v>4382.02897109269</v>
      </c>
      <c r="R24" s="554"/>
    </row>
    <row r="25" spans="1:18" ht="12.75">
      <c r="A25" s="543">
        <f t="shared" si="0"/>
        <v>7</v>
      </c>
      <c r="B25" s="255"/>
      <c r="C25" s="551" t="s">
        <v>2503</v>
      </c>
      <c r="D25" s="551"/>
      <c r="E25" s="1185">
        <f>'C-2.1.A Oper Rev&amp;Exp by Accts'!F80+'C-2.1.A Oper Rev&amp;Exp by Accts'!F104</f>
        <v>19157566.510000002</v>
      </c>
      <c r="F25" s="1194"/>
      <c r="G25" s="1185">
        <v>0</v>
      </c>
      <c r="H25" s="1194"/>
      <c r="I25" s="1193">
        <f t="shared" si="2"/>
        <v>19157566.510000002</v>
      </c>
      <c r="J25" s="1194"/>
      <c r="K25" s="1193">
        <f>+SUM('D-1.A (BP IS Adj Summary)'!M72:M80)+SUM('D-1.A (BP IS Adj Summary)'!M81:M88)</f>
        <v>-83303.280000000435</v>
      </c>
      <c r="L25" s="1185"/>
      <c r="M25" s="1185">
        <f>'C-2.1.B Oper Rev&amp;Exp by Accts'!F81+'C-2.1.B Oper Rev&amp;Exp by Accts'!F107</f>
        <v>19074263.23</v>
      </c>
      <c r="N25" s="1185"/>
      <c r="O25" s="1185">
        <f>+SUM('D-1.B (FTP IS Adj Summary)'!Q71:Q79)+SUM('D-1.B (FTP IS Adj Summary)'!Q80:Q87)</f>
        <v>-793.27463486313843</v>
      </c>
      <c r="P25" s="1185"/>
      <c r="Q25" s="1185">
        <f t="shared" si="1"/>
        <v>19073469.955365136</v>
      </c>
      <c r="R25" s="554"/>
    </row>
    <row r="26" spans="1:18" ht="12.75">
      <c r="A26" s="543">
        <f t="shared" si="0"/>
        <v>8</v>
      </c>
      <c r="B26" s="255"/>
      <c r="C26" s="551" t="s">
        <v>2506</v>
      </c>
      <c r="D26" s="551"/>
      <c r="E26" s="1185">
        <f>'C-2.1.A Oper Rev&amp;Exp by Accts'!F112</f>
        <v>4387772.7</v>
      </c>
      <c r="F26" s="1194"/>
      <c r="G26" s="1185">
        <v>0</v>
      </c>
      <c r="H26" s="1194"/>
      <c r="I26" s="1193">
        <f t="shared" si="2"/>
        <v>4387772.7</v>
      </c>
      <c r="J26" s="1194"/>
      <c r="K26" s="1193">
        <f>+SUM('D-1.A (BP IS Adj Summary)'!M89:M93)</f>
        <v>-86205.020000000077</v>
      </c>
      <c r="L26" s="1185"/>
      <c r="M26" s="1185">
        <f>'C-2.1.B Oper Rev&amp;Exp by Accts'!F115</f>
        <v>4301567.46</v>
      </c>
      <c r="N26" s="1185"/>
      <c r="O26" s="1185">
        <f>+SUM('D-1.B (FTP IS Adj Summary)'!Q88:Q92)</f>
        <v>-506103.50171085238</v>
      </c>
      <c r="P26" s="1185"/>
      <c r="Q26" s="1185">
        <f t="shared" si="1"/>
        <v>3795463.9582891474</v>
      </c>
      <c r="R26" s="554"/>
    </row>
    <row r="27" spans="1:18" ht="12.75">
      <c r="A27" s="543">
        <f t="shared" ref="A27:A42" si="5">A26+1</f>
        <v>9</v>
      </c>
      <c r="B27" s="255"/>
      <c r="C27" s="286" t="s">
        <v>1829</v>
      </c>
      <c r="D27" s="286"/>
      <c r="E27" s="1193">
        <f>'C-2.1.A Oper Rev&amp;Exp by Accts'!F119</f>
        <v>382516.6</v>
      </c>
      <c r="F27" s="1194"/>
      <c r="G27" s="1193">
        <v>0</v>
      </c>
      <c r="H27" s="1194"/>
      <c r="I27" s="1193">
        <f t="shared" si="2"/>
        <v>382516.6</v>
      </c>
      <c r="J27" s="1194"/>
      <c r="K27" s="1193">
        <f>+SUM('D-1.A (BP IS Adj Summary)'!M94:M97)</f>
        <v>18342.670000000049</v>
      </c>
      <c r="L27" s="1185"/>
      <c r="M27" s="1193">
        <f>'C-2.1.B Oper Rev&amp;Exp by Accts'!F122</f>
        <v>400859.27</v>
      </c>
      <c r="N27" s="1185"/>
      <c r="O27" s="1185">
        <f>+SUM('D-1.B (FTP IS Adj Summary)'!Q93:Q96)</f>
        <v>12970.348241896643</v>
      </c>
      <c r="P27" s="1185"/>
      <c r="Q27" s="1185">
        <f t="shared" si="1"/>
        <v>413829.61824189668</v>
      </c>
      <c r="R27" s="554"/>
    </row>
    <row r="28" spans="1:18" ht="12.75">
      <c r="A28" s="543">
        <f t="shared" si="5"/>
        <v>10</v>
      </c>
      <c r="B28" s="255"/>
      <c r="C28" s="551" t="s">
        <v>852</v>
      </c>
      <c r="D28" s="551"/>
      <c r="E28" s="1193">
        <f>'C-2.1.A Oper Rev&amp;Exp by Accts'!F126</f>
        <v>17264.559999999998</v>
      </c>
      <c r="F28" s="1194"/>
      <c r="G28" s="1193">
        <v>0</v>
      </c>
      <c r="H28" s="1194"/>
      <c r="I28" s="1193">
        <f t="shared" si="2"/>
        <v>17264.559999999998</v>
      </c>
      <c r="J28" s="1194"/>
      <c r="K28" s="1193">
        <f>+SUM('D-1.A (BP IS Adj Summary)'!M98:M100)</f>
        <v>-4909.7099999999964</v>
      </c>
      <c r="L28" s="1185"/>
      <c r="M28" s="1193">
        <f>'C-2.1.B Oper Rev&amp;Exp by Accts'!F129</f>
        <v>12354.850000000002</v>
      </c>
      <c r="N28" s="1185"/>
      <c r="O28" s="1185">
        <f>+SUM('D-1.B (FTP IS Adj Summary)'!Q97:Q99)</f>
        <v>-2.0036832362992145</v>
      </c>
      <c r="P28" s="1185"/>
      <c r="Q28" s="1185">
        <f t="shared" si="1"/>
        <v>12352.846316763704</v>
      </c>
      <c r="R28" s="554"/>
    </row>
    <row r="29" spans="1:18" ht="12.75">
      <c r="A29" s="543">
        <f t="shared" si="5"/>
        <v>11</v>
      </c>
      <c r="B29" s="255"/>
      <c r="C29" s="551" t="s">
        <v>1830</v>
      </c>
      <c r="D29" s="551"/>
      <c r="E29" s="1193">
        <f>'C-2.1.A Oper Rev&amp;Exp by Accts'!F139+'C-2.1.A Oper Rev&amp;Exp by Accts'!F144</f>
        <v>30937457.399999995</v>
      </c>
      <c r="F29" s="1194"/>
      <c r="G29" s="1193">
        <v>0</v>
      </c>
      <c r="H29" s="1194"/>
      <c r="I29" s="1193">
        <f t="shared" si="2"/>
        <v>30937457.399999995</v>
      </c>
      <c r="J29" s="1194"/>
      <c r="K29" s="1193">
        <f>+SUM('D-1.A (BP IS Adj Summary)'!N102:N107)+SUM('D-1.A (BP IS Adj Summary)'!M125:M128)+SUM('D-1.A (BP IS Adj Summary)'!M129:M130)</f>
        <v>-2049361.9299999985</v>
      </c>
      <c r="L29" s="1185"/>
      <c r="M29" s="1193">
        <f>'C-2.1.B Oper Rev&amp;Exp by Accts'!F142+'C-2.1.B Oper Rev&amp;Exp by Accts'!F147</f>
        <v>28888095.470000003</v>
      </c>
      <c r="N29" s="1185"/>
      <c r="O29" s="1185">
        <f>+SUM('D-1.B (FTP IS Adj Summary)'!Q124:Q127)+SUM('D-1.B (FTP IS Adj Summary)'!Q101:Q106)+SUM('D-1.B (FTP IS Adj Summary)'!Q128:Q129)</f>
        <v>269714.9262478883</v>
      </c>
      <c r="P29" s="1185"/>
      <c r="Q29" s="1185">
        <f t="shared" si="1"/>
        <v>29157810.39624789</v>
      </c>
      <c r="R29" s="554"/>
    </row>
    <row r="30" spans="1:18" ht="12.75">
      <c r="A30" s="543"/>
      <c r="B30" s="255"/>
      <c r="C30" s="551"/>
      <c r="D30" s="551"/>
      <c r="E30" s="1195"/>
      <c r="F30" s="1195"/>
      <c r="G30" s="1195"/>
      <c r="H30" s="1195"/>
      <c r="I30" s="1195"/>
      <c r="J30" s="1195"/>
      <c r="K30" s="1195"/>
      <c r="L30" s="1185"/>
      <c r="M30" s="1193"/>
      <c r="N30" s="1185"/>
      <c r="O30" s="1185"/>
      <c r="P30" s="1185"/>
      <c r="Q30" s="1185"/>
      <c r="R30" s="554"/>
    </row>
    <row r="31" spans="1:18" ht="12.75">
      <c r="A31" s="543">
        <f>A29+1</f>
        <v>12</v>
      </c>
      <c r="B31" s="255"/>
      <c r="C31" s="551" t="s">
        <v>306</v>
      </c>
      <c r="D31" s="551"/>
      <c r="E31" s="1193">
        <f>'C-2.1.A Oper Rev&amp;Exp by Accts'!F148</f>
        <v>22462921.900000002</v>
      </c>
      <c r="F31" s="1194"/>
      <c r="G31" s="1193">
        <f>+'D-1.A (BP IS Adj Summary)'!G135</f>
        <v>-995225.21638863534</v>
      </c>
      <c r="H31" s="1194"/>
      <c r="I31" s="1193">
        <f t="shared" si="2"/>
        <v>21467696.683611367</v>
      </c>
      <c r="J31" s="1194"/>
      <c r="K31" s="1193">
        <f>+'D-1.A (BP IS Adj Summary)'!M135</f>
        <v>3004469.3463886343</v>
      </c>
      <c r="L31" s="1185"/>
      <c r="M31" s="1193">
        <f>'C-2.1.B Oper Rev&amp;Exp by Accts'!F151</f>
        <v>24472166.030000001</v>
      </c>
      <c r="N31" s="1185"/>
      <c r="O31" s="1185">
        <f>ROUND(+'D-1.B (FTP IS Adj Summary)'!Q134,0)</f>
        <v>2011730</v>
      </c>
      <c r="P31" s="1185"/>
      <c r="Q31" s="1185">
        <f t="shared" si="1"/>
        <v>26483896.030000001</v>
      </c>
      <c r="R31" s="554"/>
    </row>
    <row r="32" spans="1:18" ht="12.75">
      <c r="A32" s="543"/>
      <c r="B32" s="255"/>
      <c r="C32" s="551"/>
      <c r="D32" s="551"/>
      <c r="E32" s="1195"/>
      <c r="F32" s="1195"/>
      <c r="G32" s="1195"/>
      <c r="H32" s="1195"/>
      <c r="I32" s="1195"/>
      <c r="J32" s="1195"/>
      <c r="K32" s="1195"/>
      <c r="L32" s="1185"/>
      <c r="M32" s="1193"/>
      <c r="N32" s="1185"/>
      <c r="O32" s="1185"/>
      <c r="P32" s="1185"/>
      <c r="Q32" s="1185"/>
      <c r="R32" s="554"/>
    </row>
    <row r="33" spans="1:18" ht="12.75">
      <c r="A33" s="543">
        <f>A31+1</f>
        <v>13</v>
      </c>
      <c r="B33" s="255"/>
      <c r="C33" s="551" t="s">
        <v>1247</v>
      </c>
      <c r="D33" s="551"/>
      <c r="E33" s="1195"/>
      <c r="F33" s="1195"/>
      <c r="G33" s="1195"/>
      <c r="H33" s="1195"/>
      <c r="I33" s="1195"/>
      <c r="J33" s="1195"/>
      <c r="K33" s="1195"/>
      <c r="L33" s="1185"/>
      <c r="M33" s="1185"/>
      <c r="N33" s="1185"/>
      <c r="O33" s="1185"/>
      <c r="P33" s="1185"/>
      <c r="Q33" s="1185"/>
      <c r="R33" s="554"/>
    </row>
    <row r="34" spans="1:18" ht="12.75">
      <c r="A34" s="543">
        <f t="shared" si="5"/>
        <v>14</v>
      </c>
      <c r="B34" s="255"/>
      <c r="C34" s="551" t="s">
        <v>747</v>
      </c>
      <c r="D34" s="551"/>
      <c r="E34" s="1185">
        <f>'C-2.2.A Total Co Accts Activ '!P17</f>
        <v>5687907.7400000002</v>
      </c>
      <c r="F34" s="1194"/>
      <c r="G34" s="1185">
        <f>+'D-1.A (BP IS Adj Summary)'!G137</f>
        <v>-679911.150954657</v>
      </c>
      <c r="H34" s="1194"/>
      <c r="I34" s="1193">
        <f>+E34+G34</f>
        <v>5007996.589045343</v>
      </c>
      <c r="J34" s="1194"/>
      <c r="K34" s="1193">
        <f>+'D-1.A (BP IS Adj Summary)'!M137</f>
        <v>4364003.410954657</v>
      </c>
      <c r="L34" s="1185"/>
      <c r="M34" s="1185">
        <f>+'C-2.1.B Oper Rev&amp;Exp by Accts'!F152</f>
        <v>9372000</v>
      </c>
      <c r="N34" s="1185"/>
      <c r="O34" s="1185">
        <f>ROUND(+'D-1.B (FTP IS Adj Summary)'!Q136,0)</f>
        <v>-1920241</v>
      </c>
      <c r="P34" s="1185"/>
      <c r="Q34" s="1185">
        <f>M34+O34</f>
        <v>7451759</v>
      </c>
      <c r="R34" s="554"/>
    </row>
    <row r="35" spans="1:18" ht="12.75">
      <c r="A35" s="543">
        <f t="shared" si="5"/>
        <v>15</v>
      </c>
      <c r="B35" s="255"/>
      <c r="C35" s="551" t="s">
        <v>748</v>
      </c>
      <c r="D35" s="551"/>
      <c r="E35" s="1185">
        <f>'C-2.2.A Total Co Accts Activ '!P18</f>
        <v>879840.944183129</v>
      </c>
      <c r="F35" s="1194"/>
      <c r="G35" s="1185">
        <v>0</v>
      </c>
      <c r="H35" s="1194"/>
      <c r="I35" s="1193">
        <f>+E35+G35</f>
        <v>879840.944183129</v>
      </c>
      <c r="J35" s="1194"/>
      <c r="K35" s="1193">
        <f>+'D-1.A (BP IS Adj Summary)'!M138</f>
        <v>20591.498681466212</v>
      </c>
      <c r="L35" s="1185"/>
      <c r="M35" s="1185">
        <f>+'C-2.1.B Oper Rev&amp;Exp by Accts'!F153</f>
        <v>900432.44286459521</v>
      </c>
      <c r="N35" s="1185"/>
      <c r="O35" s="1185">
        <f>ROUND(+'D-1.B (FTP IS Adj Summary)'!Q137,0)</f>
        <v>0</v>
      </c>
      <c r="P35" s="1185"/>
      <c r="Q35" s="1185">
        <f>M35+O35</f>
        <v>900432.44286459521</v>
      </c>
      <c r="R35" s="554"/>
    </row>
    <row r="36" spans="1:18" ht="12.75">
      <c r="A36" s="543">
        <f t="shared" si="5"/>
        <v>16</v>
      </c>
      <c r="B36" s="255"/>
      <c r="C36" s="286" t="s">
        <v>749</v>
      </c>
      <c r="D36" s="286"/>
      <c r="E36" s="1196">
        <f>'C-2.2.A Total Co Accts Activ '!P19</f>
        <v>117299.97</v>
      </c>
      <c r="F36" s="1194"/>
      <c r="G36" s="1197">
        <v>0</v>
      </c>
      <c r="H36" s="1194"/>
      <c r="I36" s="1198">
        <f>+E36+G36</f>
        <v>117299.97</v>
      </c>
      <c r="J36" s="1194"/>
      <c r="K36" s="1198">
        <f>+'D-1.A (BP IS Adj Summary)'!M139</f>
        <v>108300.03</v>
      </c>
      <c r="L36" s="1185"/>
      <c r="M36" s="1196">
        <f>+'C-2.1.B Oper Rev&amp;Exp by Accts'!F154</f>
        <v>225600</v>
      </c>
      <c r="N36" s="1185"/>
      <c r="O36" s="1196">
        <f>ROUND(+'D-1.B (FTP IS Adj Summary)'!Q138,0)</f>
        <v>0</v>
      </c>
      <c r="P36" s="1185"/>
      <c r="Q36" s="1196">
        <f>M36+O36</f>
        <v>225600</v>
      </c>
      <c r="R36" s="554"/>
    </row>
    <row r="37" spans="1:18" ht="12.75">
      <c r="A37" s="543"/>
      <c r="B37" s="255"/>
      <c r="C37" s="286"/>
      <c r="D37" s="286"/>
      <c r="E37" s="1186"/>
      <c r="F37" s="1186"/>
      <c r="G37" s="1186"/>
      <c r="H37" s="1186"/>
      <c r="I37" s="1186"/>
      <c r="J37" s="1186"/>
      <c r="K37" s="1186"/>
      <c r="L37" s="1185"/>
      <c r="M37" s="1185"/>
      <c r="N37" s="1185"/>
      <c r="O37" s="1185"/>
      <c r="P37" s="1185"/>
      <c r="Q37" s="1185"/>
      <c r="R37" s="554"/>
    </row>
    <row r="38" spans="1:18" ht="12.75">
      <c r="A38" s="543">
        <f>+A36+1</f>
        <v>17</v>
      </c>
      <c r="B38" s="255"/>
      <c r="C38" s="286" t="s">
        <v>733</v>
      </c>
      <c r="D38" s="286"/>
      <c r="E38" s="1185">
        <f>+E18-SUM(E21:E36)</f>
        <v>39442507.828414589</v>
      </c>
      <c r="F38" s="1194"/>
      <c r="G38" s="1185">
        <f>+G18-SUM(G21:G36)</f>
        <v>-1138725.2626567073</v>
      </c>
      <c r="H38" s="1194"/>
      <c r="I38" s="1185">
        <f>+I18-SUM(I21:I36)</f>
        <v>38303782.565757886</v>
      </c>
      <c r="J38" s="1194"/>
      <c r="K38" s="1185">
        <f>+K18-SUM(K21:K36)</f>
        <v>-10957178.331955772</v>
      </c>
      <c r="L38" s="1185"/>
      <c r="M38" s="1185">
        <f>+M18-SUM(M21:M36)</f>
        <v>27346604.453802079</v>
      </c>
      <c r="N38" s="1185"/>
      <c r="O38" s="1185">
        <f>+O18-SUM(O21:O36)</f>
        <v>-330207.93666789122</v>
      </c>
      <c r="P38" s="1185"/>
      <c r="Q38" s="1185">
        <f>+Q18-SUM(Q21:Q36)</f>
        <v>27016396.517134205</v>
      </c>
      <c r="R38" s="554"/>
    </row>
    <row r="39" spans="1:18" ht="12.75">
      <c r="A39" s="543"/>
      <c r="B39" s="255"/>
      <c r="C39" s="286"/>
      <c r="D39" s="286"/>
      <c r="E39" s="1186"/>
      <c r="F39" s="1186"/>
      <c r="G39" s="1186"/>
      <c r="H39" s="1186"/>
      <c r="I39" s="1186"/>
      <c r="J39" s="1186"/>
      <c r="K39" s="1186"/>
      <c r="L39" s="1185"/>
      <c r="M39" s="1185"/>
      <c r="N39" s="1185"/>
      <c r="O39" s="1185"/>
      <c r="P39" s="1185"/>
      <c r="Q39" s="1185"/>
      <c r="R39" s="554"/>
    </row>
    <row r="40" spans="1:18" ht="12.75">
      <c r="A40" s="543">
        <f>+A38+1</f>
        <v>18</v>
      </c>
      <c r="B40" s="255"/>
      <c r="C40" s="551" t="s">
        <v>140</v>
      </c>
      <c r="D40" s="286"/>
      <c r="E40" s="1186"/>
      <c r="F40" s="1186"/>
      <c r="G40" s="1186"/>
      <c r="H40" s="1186"/>
      <c r="I40" s="1186"/>
      <c r="J40" s="1186"/>
      <c r="K40" s="1186"/>
      <c r="L40" s="1185"/>
      <c r="M40" s="1189"/>
      <c r="N40" s="1185"/>
      <c r="O40" s="1189"/>
      <c r="P40" s="1185"/>
      <c r="Q40" s="1199"/>
      <c r="R40" s="554"/>
    </row>
    <row r="41" spans="1:18" ht="12.75">
      <c r="A41" s="543">
        <f t="shared" si="5"/>
        <v>19</v>
      </c>
      <c r="B41" s="255"/>
      <c r="C41" s="551" t="s">
        <v>750</v>
      </c>
      <c r="D41" s="551"/>
      <c r="E41" s="1193">
        <f>+'C-2.1.A Oper Rev&amp;Exp by Accts'!D152+'C-2.1.A Oper Rev&amp;Exp by Accts'!D154</f>
        <v>5435745.6936461935</v>
      </c>
      <c r="F41" s="1194"/>
      <c r="G41" s="1185">
        <f>+I41-E41</f>
        <v>-653584.16538140271</v>
      </c>
      <c r="H41" s="1194"/>
      <c r="I41" s="1185">
        <f>+'E-1.1 Fed &amp; State Inc Tax'!F63+'E-1.2 CWC Fed&amp;State Intrst Sync'!F138</f>
        <v>4782161.5282647908</v>
      </c>
      <c r="J41" s="1194"/>
      <c r="K41" s="1193">
        <f>M41-I41</f>
        <v>-2751944.7721488806</v>
      </c>
      <c r="L41" s="1185"/>
      <c r="M41" s="1193">
        <f>+'C-2.1.B Oper Rev&amp;Exp by Accts'!D155+'C-2.1.B Oper Rev&amp;Exp by Accts'!D157</f>
        <v>2030216.7561159101</v>
      </c>
      <c r="N41" s="1185"/>
      <c r="O41" s="1185">
        <f>+Q41-M41</f>
        <v>457047.24388408987</v>
      </c>
      <c r="P41" s="1185"/>
      <c r="Q41" s="1185">
        <f>ROUND(+'E-1.1 Fed &amp; State Inc Tax'!J63+'E-1.2 CWC Fed&amp;State Intrst Sync'!G138,0)</f>
        <v>2487264</v>
      </c>
      <c r="R41" s="554"/>
    </row>
    <row r="42" spans="1:18" ht="12.75">
      <c r="A42" s="543">
        <f t="shared" si="5"/>
        <v>20</v>
      </c>
      <c r="B42" s="255"/>
      <c r="C42" s="551" t="s">
        <v>751</v>
      </c>
      <c r="D42" s="551"/>
      <c r="E42" s="1200">
        <f>+'C-2.1.A Oper Rev&amp;Exp by Accts'!D153+'C-2.1.A Oper Rev&amp;Exp by Accts'!D155</f>
        <v>1376540.7217272078</v>
      </c>
      <c r="F42" s="1194"/>
      <c r="G42" s="1196">
        <f>+I42-E42</f>
        <v>-76418.093535723165</v>
      </c>
      <c r="H42" s="1194"/>
      <c r="I42" s="1197">
        <f>+'E-1.1 Fed &amp; State Inc Tax'!F65+'E-1.2 CWC Fed&amp;State Intrst Sync'!F137</f>
        <v>1300122.6281914846</v>
      </c>
      <c r="J42" s="1194"/>
      <c r="K42" s="1201">
        <f>M42-I42</f>
        <v>-614632.74910638446</v>
      </c>
      <c r="L42" s="1185"/>
      <c r="M42" s="1200">
        <f>+'C-2.1.B Oper Rev&amp;Exp by Accts'!D156+'C-2.1.B Oper Rev&amp;Exp by Accts'!D158</f>
        <v>685489.87908510014</v>
      </c>
      <c r="N42" s="1185"/>
      <c r="O42" s="1196">
        <f>+Q42-M42</f>
        <v>29600.120914899861</v>
      </c>
      <c r="P42" s="1185"/>
      <c r="Q42" s="1196">
        <f>ROUND(+'E-1.1 Fed &amp; State Inc Tax'!J65+'E-1.2 CWC Fed&amp;State Intrst Sync'!G137,0)</f>
        <v>715090</v>
      </c>
      <c r="R42" s="554"/>
    </row>
    <row r="43" spans="1:18" ht="12.75">
      <c r="A43" s="543"/>
      <c r="B43" s="255"/>
      <c r="C43" s="544"/>
      <c r="D43" s="544"/>
      <c r="E43" s="1185"/>
      <c r="F43" s="1194"/>
      <c r="G43" s="1194"/>
      <c r="H43" s="1194"/>
      <c r="I43" s="1194"/>
      <c r="J43" s="1194"/>
      <c r="K43" s="1185"/>
      <c r="L43" s="1185"/>
      <c r="M43" s="1185"/>
      <c r="N43" s="1185"/>
      <c r="O43" s="1185"/>
      <c r="P43" s="1185"/>
      <c r="Q43" s="1185"/>
      <c r="R43" s="554"/>
    </row>
    <row r="44" spans="1:18" ht="12.75">
      <c r="A44" s="543">
        <f>A42+1</f>
        <v>21</v>
      </c>
      <c r="B44" s="255"/>
      <c r="C44" s="286" t="s">
        <v>752</v>
      </c>
      <c r="D44" s="286"/>
      <c r="E44" s="1185">
        <f>SUM(E21:E42)-E38</f>
        <v>137588290.33955655</v>
      </c>
      <c r="F44" s="1186"/>
      <c r="G44" s="1185">
        <f>SUM(G21:G42)-G38</f>
        <v>-2405148.6562604182</v>
      </c>
      <c r="H44" s="1186"/>
      <c r="I44" s="1185">
        <f>SUM(I21:I42)-I38</f>
        <v>135183141.68329608</v>
      </c>
      <c r="J44" s="1186"/>
      <c r="K44" s="1185">
        <f>SUM(K21:K42)-K38</f>
        <v>-8993353.655230511</v>
      </c>
      <c r="L44" s="1185"/>
      <c r="M44" s="1185">
        <f>SUM(M21:M42)-M38</f>
        <v>126189787.80806562</v>
      </c>
      <c r="N44" s="1185"/>
      <c r="O44" s="1185">
        <f>SUM(O21:O42)-O38</f>
        <v>353847.30146688095</v>
      </c>
      <c r="P44" s="1185"/>
      <c r="Q44" s="1185">
        <f>SUM(Q21:Q42)-Q38</f>
        <v>126543635.10953249</v>
      </c>
      <c r="R44" s="554"/>
    </row>
    <row r="45" spans="1:18" ht="12.75">
      <c r="A45" s="543"/>
      <c r="B45" s="255"/>
      <c r="C45" s="255"/>
      <c r="D45" s="255"/>
      <c r="E45" s="1193"/>
      <c r="F45" s="1185"/>
      <c r="G45" s="1193"/>
      <c r="H45" s="1185"/>
      <c r="I45" s="1193"/>
      <c r="J45" s="1185"/>
      <c r="K45" s="1193"/>
      <c r="L45" s="1185"/>
      <c r="M45" s="1193"/>
      <c r="N45" s="1185"/>
      <c r="O45" s="1193"/>
      <c r="P45" s="1185"/>
      <c r="Q45" s="1193"/>
      <c r="R45" s="552"/>
    </row>
    <row r="46" spans="1:18" ht="12.75">
      <c r="A46" s="543">
        <f>A44+1</f>
        <v>22</v>
      </c>
      <c r="B46" s="255"/>
      <c r="C46" s="286" t="s">
        <v>753</v>
      </c>
      <c r="D46" s="286"/>
      <c r="E46" s="1192">
        <f>E18-E44</f>
        <v>32630221.413041174</v>
      </c>
      <c r="F46" s="1186"/>
      <c r="G46" s="1192">
        <f>G18-G44</f>
        <v>-408723.00373958144</v>
      </c>
      <c r="H46" s="1186"/>
      <c r="I46" s="1192">
        <f>I18-I44</f>
        <v>32221498.409301639</v>
      </c>
      <c r="J46" s="1186"/>
      <c r="K46" s="1192">
        <f>K18-K44</f>
        <v>-7590600.810700506</v>
      </c>
      <c r="L46" s="1185"/>
      <c r="M46" s="1192">
        <f>M18-M44</f>
        <v>24630897.818601072</v>
      </c>
      <c r="N46" s="1185"/>
      <c r="O46" s="1192">
        <f>O18-O44</f>
        <v>-816855.30146688095</v>
      </c>
      <c r="P46" s="1185"/>
      <c r="Q46" s="1192">
        <f>Q18-Q44</f>
        <v>23814042.517134205</v>
      </c>
      <c r="R46" s="554"/>
    </row>
    <row r="47" spans="1:18" ht="12.75">
      <c r="A47" s="545"/>
      <c r="B47" s="255"/>
      <c r="C47" s="255"/>
      <c r="D47" s="255"/>
      <c r="E47" s="255"/>
      <c r="F47" s="255"/>
      <c r="G47" s="255"/>
      <c r="H47" s="255"/>
      <c r="I47" s="255"/>
      <c r="J47" s="255"/>
      <c r="K47" s="255"/>
      <c r="L47" s="255"/>
      <c r="M47" s="554"/>
      <c r="N47" s="255"/>
      <c r="O47" s="578"/>
      <c r="P47" s="554"/>
      <c r="Q47" s="579"/>
      <c r="R47" s="579"/>
    </row>
    <row r="48" spans="1:18">
      <c r="K48" s="577"/>
      <c r="P48" s="580"/>
    </row>
    <row r="49" spans="16:16">
      <c r="P49" s="580"/>
    </row>
    <row r="50" spans="16:16">
      <c r="P50" s="580"/>
    </row>
  </sheetData>
  <printOptions horizontalCentered="1"/>
  <pageMargins left="0.5" right="0.5" top="0.75" bottom="0.5" header="0.3" footer="0.3"/>
  <pageSetup scale="6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164"/>
  <sheetViews>
    <sheetView zoomScaleNormal="100" zoomScaleSheetLayoutView="100" workbookViewId="0">
      <selection activeCell="A3" sqref="A3:G3"/>
    </sheetView>
  </sheetViews>
  <sheetFormatPr defaultColWidth="9.33203125" defaultRowHeight="12.75"/>
  <cols>
    <col min="1" max="1" width="5.5" style="218" customWidth="1"/>
    <col min="2" max="2" width="12.1640625" style="218" bestFit="1" customWidth="1"/>
    <col min="3" max="3" width="87.1640625" style="218" bestFit="1" customWidth="1"/>
    <col min="4" max="4" width="17.6640625" style="218" bestFit="1" customWidth="1"/>
    <col min="5" max="5" width="16.1640625" style="218" bestFit="1" customWidth="1"/>
    <col min="6" max="6" width="18" style="218" bestFit="1" customWidth="1"/>
    <col min="7" max="7" width="18.1640625" style="218" customWidth="1"/>
    <col min="8" max="8" width="10.1640625" style="218" bestFit="1" customWidth="1"/>
    <col min="9" max="16384" width="9.33203125" style="218"/>
  </cols>
  <sheetData>
    <row r="1" spans="1:7">
      <c r="A1" s="1324" t="str">
        <f>'General Headers Index'!B4</f>
        <v>COLUMBIA GAS OF KENTUCKY, INC.</v>
      </c>
      <c r="B1" s="1323"/>
      <c r="C1" s="1323"/>
      <c r="D1" s="1323"/>
      <c r="E1" s="1323"/>
      <c r="F1" s="1323"/>
      <c r="G1" s="1323"/>
    </row>
    <row r="2" spans="1:7">
      <c r="A2" s="1324" t="str">
        <f>'General Headers Index'!B6</f>
        <v>CASE NO. 2024 - 00092</v>
      </c>
      <c r="B2" s="1323"/>
      <c r="C2" s="1323"/>
      <c r="D2" s="1323"/>
      <c r="E2" s="1323"/>
      <c r="F2" s="1323"/>
      <c r="G2" s="1323"/>
    </row>
    <row r="3" spans="1:7">
      <c r="A3" s="1324" t="str">
        <f>'Index C'!$C$23</f>
        <v>BASE PERIOD OPERATING REVENUE AND EXPENSES, BY ACCOUNT - JURISDICTIONAL</v>
      </c>
      <c r="B3" s="1323"/>
      <c r="C3" s="1323"/>
      <c r="D3" s="1323"/>
      <c r="E3" s="1323"/>
      <c r="F3" s="1323"/>
      <c r="G3" s="1323"/>
    </row>
    <row r="4" spans="1:7">
      <c r="A4" s="1324" t="str">
        <f>'General Headers Index'!B8</f>
        <v>FOR THE TWELVE MONTHS ENDED AUGUST 31, 2024</v>
      </c>
      <c r="B4" s="1323"/>
      <c r="C4" s="1323"/>
      <c r="D4" s="1323"/>
      <c r="E4" s="1323"/>
      <c r="F4" s="1323"/>
      <c r="G4" s="1323"/>
    </row>
    <row r="5" spans="1:7">
      <c r="A5" s="254"/>
      <c r="B5" s="544"/>
      <c r="C5" s="255"/>
      <c r="D5" s="255"/>
      <c r="E5" s="288"/>
      <c r="F5" s="255"/>
      <c r="G5" s="545"/>
    </row>
    <row r="6" spans="1:7">
      <c r="A6" s="286" t="s">
        <v>2787</v>
      </c>
      <c r="B6" s="255"/>
      <c r="C6" s="255"/>
      <c r="D6" s="255"/>
      <c r="E6" s="255"/>
      <c r="F6" s="546"/>
      <c r="G6" s="547" t="s">
        <v>2961</v>
      </c>
    </row>
    <row r="7" spans="1:7">
      <c r="A7" s="286" t="str">
        <f>'General Headers Index'!B37</f>
        <v>TYPE OF FILING:___X___ORIGINAL______UPDATED</v>
      </c>
      <c r="B7" s="255"/>
      <c r="C7" s="255"/>
      <c r="D7" s="255"/>
      <c r="E7" s="255"/>
      <c r="F7" s="546"/>
      <c r="G7" s="547" t="s">
        <v>754</v>
      </c>
    </row>
    <row r="8" spans="1:7">
      <c r="A8" s="286" t="s">
        <v>575</v>
      </c>
      <c r="B8" s="255"/>
      <c r="C8" s="255"/>
      <c r="D8" s="255"/>
      <c r="E8" s="255"/>
      <c r="F8" s="546"/>
      <c r="G8" s="545" t="str">
        <f>"WITNESS: "&amp;'General Headers Index'!B45</f>
        <v>WITNESS: SHAEFFER</v>
      </c>
    </row>
    <row r="9" spans="1:7">
      <c r="A9" s="850"/>
      <c r="B9" s="851"/>
      <c r="C9" s="851"/>
      <c r="D9" s="851"/>
      <c r="E9" s="851"/>
      <c r="F9" s="852"/>
      <c r="G9" s="853"/>
    </row>
    <row r="10" spans="1:7">
      <c r="A10" s="254"/>
      <c r="B10" s="254"/>
      <c r="C10" s="254"/>
      <c r="D10" s="543" t="s">
        <v>755</v>
      </c>
      <c r="E10" s="254"/>
      <c r="F10" s="254"/>
      <c r="G10" s="254" t="s">
        <v>350</v>
      </c>
    </row>
    <row r="11" spans="1:7">
      <c r="A11" s="543" t="s">
        <v>313</v>
      </c>
      <c r="B11" s="543" t="s">
        <v>429</v>
      </c>
      <c r="C11" s="543"/>
      <c r="D11" s="543" t="s">
        <v>349</v>
      </c>
      <c r="E11" s="543" t="s">
        <v>756</v>
      </c>
      <c r="F11" s="543" t="s">
        <v>755</v>
      </c>
      <c r="G11" s="254" t="s">
        <v>757</v>
      </c>
    </row>
    <row r="12" spans="1:7">
      <c r="A12" s="1017" t="s">
        <v>316</v>
      </c>
      <c r="B12" s="1017" t="s">
        <v>758</v>
      </c>
      <c r="C12" s="1017" t="s">
        <v>440</v>
      </c>
      <c r="D12" s="1017" t="s">
        <v>759</v>
      </c>
      <c r="E12" s="1017" t="s">
        <v>760</v>
      </c>
      <c r="F12" s="1017" t="s">
        <v>372</v>
      </c>
      <c r="G12" s="1017" t="s">
        <v>451</v>
      </c>
    </row>
    <row r="13" spans="1:7">
      <c r="A13" s="254"/>
      <c r="B13" s="255"/>
      <c r="C13" s="255"/>
      <c r="D13" s="543" t="s">
        <v>532</v>
      </c>
      <c r="E13" s="543" t="s">
        <v>541</v>
      </c>
      <c r="F13" s="543" t="s">
        <v>542</v>
      </c>
      <c r="G13" s="543" t="s">
        <v>668</v>
      </c>
    </row>
    <row r="14" spans="1:7">
      <c r="A14" s="254"/>
      <c r="B14" s="255"/>
      <c r="C14" s="255"/>
      <c r="D14" s="543" t="s">
        <v>320</v>
      </c>
      <c r="E14" s="543" t="s">
        <v>529</v>
      </c>
      <c r="F14" s="543" t="s">
        <v>320</v>
      </c>
      <c r="G14" s="255"/>
    </row>
    <row r="15" spans="1:7">
      <c r="A15" s="543">
        <v>1</v>
      </c>
      <c r="B15" s="544"/>
      <c r="C15" s="550" t="s">
        <v>746</v>
      </c>
      <c r="D15" s="255"/>
      <c r="E15" s="255"/>
      <c r="F15" s="255"/>
      <c r="G15" s="255"/>
    </row>
    <row r="16" spans="1:7">
      <c r="A16" s="543">
        <f t="shared" ref="A16:A22" si="0">1+A15</f>
        <v>2</v>
      </c>
      <c r="B16" s="544"/>
      <c r="C16" s="550" t="s">
        <v>2851</v>
      </c>
      <c r="D16" s="255"/>
      <c r="E16" s="255"/>
      <c r="F16" s="255"/>
      <c r="G16" s="255"/>
    </row>
    <row r="17" spans="1:7">
      <c r="A17" s="543">
        <f t="shared" si="0"/>
        <v>3</v>
      </c>
      <c r="B17" s="543" t="s">
        <v>762</v>
      </c>
      <c r="C17" s="551" t="s">
        <v>763</v>
      </c>
      <c r="D17" s="1193">
        <f>-'C-2.2.A Total Co Accts Activ '!P20</f>
        <v>95651080.959999993</v>
      </c>
      <c r="E17" s="553">
        <v>1</v>
      </c>
      <c r="F17" s="1193">
        <f>D17</f>
        <v>95651080.959999993</v>
      </c>
      <c r="G17" s="543" t="s">
        <v>764</v>
      </c>
    </row>
    <row r="18" spans="1:7">
      <c r="A18" s="543">
        <f t="shared" si="0"/>
        <v>4</v>
      </c>
      <c r="B18" s="543" t="s">
        <v>765</v>
      </c>
      <c r="C18" s="551" t="s">
        <v>766</v>
      </c>
      <c r="D18" s="1193">
        <f>-'C-2.2.A Total Co Accts Activ '!P21</f>
        <v>42081251.470000006</v>
      </c>
      <c r="E18" s="553">
        <v>1</v>
      </c>
      <c r="F18" s="1193">
        <f>D18</f>
        <v>42081251.470000006</v>
      </c>
      <c r="G18" s="544"/>
    </row>
    <row r="19" spans="1:7">
      <c r="A19" s="543">
        <f t="shared" si="0"/>
        <v>5</v>
      </c>
      <c r="B19" s="543" t="s">
        <v>767</v>
      </c>
      <c r="C19" s="551" t="s">
        <v>768</v>
      </c>
      <c r="D19" s="1193">
        <f>-'C-2.2.A Total Co Accts Activ '!P22</f>
        <v>1461528.22</v>
      </c>
      <c r="E19" s="553">
        <v>1</v>
      </c>
      <c r="F19" s="1193">
        <f>D19</f>
        <v>1461528.22</v>
      </c>
      <c r="G19" s="544"/>
    </row>
    <row r="20" spans="1:7">
      <c r="A20" s="543">
        <f t="shared" si="0"/>
        <v>6</v>
      </c>
      <c r="B20" s="543" t="s">
        <v>769</v>
      </c>
      <c r="C20" s="551" t="s">
        <v>770</v>
      </c>
      <c r="D20" s="1193">
        <f>-'C-2.2.A Total Co Accts Activ '!P23</f>
        <v>8154.5900000000011</v>
      </c>
      <c r="E20" s="553">
        <v>1</v>
      </c>
      <c r="F20" s="1193">
        <f>D20</f>
        <v>8154.5900000000011</v>
      </c>
      <c r="G20" s="544"/>
    </row>
    <row r="21" spans="1:7">
      <c r="A21" s="543">
        <f t="shared" si="0"/>
        <v>7</v>
      </c>
      <c r="B21" s="254">
        <v>483</v>
      </c>
      <c r="C21" s="551" t="s">
        <v>2274</v>
      </c>
      <c r="D21" s="1188">
        <f>-'C-2.2.A Total Co Accts Activ '!P24</f>
        <v>67702.240000000005</v>
      </c>
      <c r="E21" s="553">
        <v>1</v>
      </c>
      <c r="F21" s="1188">
        <f>D21</f>
        <v>67702.240000000005</v>
      </c>
      <c r="G21" s="544"/>
    </row>
    <row r="22" spans="1:7">
      <c r="A22" s="543">
        <f t="shared" si="0"/>
        <v>8</v>
      </c>
      <c r="B22" s="543"/>
      <c r="C22" s="551" t="s">
        <v>2847</v>
      </c>
      <c r="D22" s="1185">
        <f>SUM(D17:D21)</f>
        <v>139269717.48000002</v>
      </c>
      <c r="E22" s="553" t="s">
        <v>358</v>
      </c>
      <c r="F22" s="1185">
        <f>SUM(F17:F21)</f>
        <v>139269717.48000002</v>
      </c>
      <c r="G22" s="544"/>
    </row>
    <row r="23" spans="1:7">
      <c r="A23" s="543"/>
      <c r="B23" s="254"/>
      <c r="C23" s="255"/>
      <c r="D23" s="1185"/>
      <c r="E23" s="553"/>
      <c r="F23" s="1185"/>
      <c r="G23" s="544"/>
    </row>
    <row r="24" spans="1:7">
      <c r="A24" s="543">
        <f>1+A22</f>
        <v>9</v>
      </c>
      <c r="B24" s="254"/>
      <c r="C24" s="550" t="s">
        <v>966</v>
      </c>
      <c r="D24" s="1185"/>
      <c r="E24" s="555"/>
      <c r="F24" s="1185"/>
      <c r="G24" s="544"/>
    </row>
    <row r="25" spans="1:7">
      <c r="A25" s="543">
        <f>A21+1</f>
        <v>8</v>
      </c>
      <c r="B25" s="543" t="s">
        <v>771</v>
      </c>
      <c r="C25" s="551" t="s">
        <v>772</v>
      </c>
      <c r="D25" s="1185">
        <f>-'C-2.2.A Total Co Accts Activ '!P25</f>
        <v>592900.87966927944</v>
      </c>
      <c r="E25" s="553">
        <v>1</v>
      </c>
      <c r="F25" s="1185">
        <f t="shared" ref="F25:F31" si="1">D25</f>
        <v>592900.87966927944</v>
      </c>
      <c r="G25" s="544"/>
    </row>
    <row r="26" spans="1:7">
      <c r="A26" s="543">
        <f t="shared" ref="A26:A31" si="2">A25+1</f>
        <v>9</v>
      </c>
      <c r="B26" s="543" t="s">
        <v>773</v>
      </c>
      <c r="C26" s="551" t="s">
        <v>774</v>
      </c>
      <c r="D26" s="1185">
        <f>-'C-2.2.A Total Co Accts Activ '!P26</f>
        <v>104673.74882649933</v>
      </c>
      <c r="E26" s="553">
        <v>1</v>
      </c>
      <c r="F26" s="1185">
        <f t="shared" si="1"/>
        <v>104673.74882649933</v>
      </c>
      <c r="G26" s="544"/>
    </row>
    <row r="27" spans="1:7">
      <c r="A27" s="543">
        <f t="shared" si="2"/>
        <v>10</v>
      </c>
      <c r="B27" s="556">
        <v>489.3</v>
      </c>
      <c r="C27" s="551" t="s">
        <v>2101</v>
      </c>
      <c r="D27" s="1185">
        <f>-'C-2.2.A Total Co Accts Activ '!P27</f>
        <v>7715692.5899999989</v>
      </c>
      <c r="E27" s="553">
        <v>1</v>
      </c>
      <c r="F27" s="1185">
        <f t="shared" si="1"/>
        <v>7715692.5899999989</v>
      </c>
      <c r="G27" s="255"/>
    </row>
    <row r="28" spans="1:7">
      <c r="A28" s="543">
        <f t="shared" si="2"/>
        <v>11</v>
      </c>
      <c r="B28" s="543">
        <v>489.31</v>
      </c>
      <c r="C28" s="551" t="s">
        <v>2102</v>
      </c>
      <c r="D28" s="1185">
        <f>-'C-2.2.A Total Co Accts Activ '!P28</f>
        <v>9096790.9900000002</v>
      </c>
      <c r="E28" s="553">
        <v>1</v>
      </c>
      <c r="F28" s="1185">
        <f t="shared" si="1"/>
        <v>9096790.9900000002</v>
      </c>
      <c r="G28" s="255"/>
    </row>
    <row r="29" spans="1:7">
      <c r="A29" s="543">
        <f t="shared" si="2"/>
        <v>12</v>
      </c>
      <c r="B29" s="543">
        <v>489.32</v>
      </c>
      <c r="C29" s="551" t="s">
        <v>2103</v>
      </c>
      <c r="D29" s="1185">
        <f>-'C-2.2.A Total Co Accts Activ '!P29</f>
        <v>6674011.8300000001</v>
      </c>
      <c r="E29" s="553">
        <v>1</v>
      </c>
      <c r="F29" s="1185">
        <f t="shared" si="1"/>
        <v>6674011.8300000001</v>
      </c>
      <c r="G29" s="255"/>
    </row>
    <row r="30" spans="1:7">
      <c r="A30" s="543">
        <f t="shared" si="2"/>
        <v>13</v>
      </c>
      <c r="B30" s="543">
        <v>493</v>
      </c>
      <c r="C30" s="551" t="s">
        <v>2141</v>
      </c>
      <c r="D30" s="1185">
        <f>-'C-2.2.A Total Co Accts Activ '!P30</f>
        <v>85170.734978536449</v>
      </c>
      <c r="E30" s="553">
        <v>1</v>
      </c>
      <c r="F30" s="1185">
        <f t="shared" si="1"/>
        <v>85170.734978536449</v>
      </c>
      <c r="G30" s="255"/>
    </row>
    <row r="31" spans="1:7">
      <c r="A31" s="543">
        <f t="shared" si="2"/>
        <v>14</v>
      </c>
      <c r="B31" s="543">
        <v>495</v>
      </c>
      <c r="C31" s="551" t="s">
        <v>2104</v>
      </c>
      <c r="D31" s="1202">
        <f>-'C-2.2.A Total Co Accts Activ '!P31</f>
        <v>6679553.4991233917</v>
      </c>
      <c r="E31" s="553">
        <v>1</v>
      </c>
      <c r="F31" s="1202">
        <f t="shared" si="1"/>
        <v>6679553.4991233917</v>
      </c>
      <c r="G31" s="255"/>
    </row>
    <row r="32" spans="1:7">
      <c r="A32" s="543"/>
      <c r="B32" s="254"/>
      <c r="C32" s="551" t="s">
        <v>2848</v>
      </c>
      <c r="D32" s="1185">
        <f>SUM(D25:D31)</f>
        <v>30948794.272597708</v>
      </c>
      <c r="E32" s="553" t="s">
        <v>358</v>
      </c>
      <c r="F32" s="1185">
        <f>SUM(F25:F31)</f>
        <v>30948794.272597708</v>
      </c>
      <c r="G32" s="544"/>
    </row>
    <row r="33" spans="1:10">
      <c r="A33" s="543"/>
      <c r="B33" s="254"/>
      <c r="C33" s="255"/>
      <c r="D33" s="1193"/>
      <c r="E33" s="553" t="s">
        <v>358</v>
      </c>
      <c r="F33" s="1193"/>
      <c r="G33" s="544"/>
    </row>
    <row r="34" spans="1:10">
      <c r="A34" s="543">
        <f>1+A31</f>
        <v>15</v>
      </c>
      <c r="B34" s="543"/>
      <c r="C34" s="551" t="s">
        <v>2846</v>
      </c>
      <c r="D34" s="1192">
        <f>D22+D32</f>
        <v>170218511.75259772</v>
      </c>
      <c r="E34" s="553" t="s">
        <v>358</v>
      </c>
      <c r="F34" s="1192">
        <f>(F22+F32)</f>
        <v>170218511.75259772</v>
      </c>
      <c r="G34" s="544"/>
    </row>
    <row r="35" spans="1:10">
      <c r="A35" s="543"/>
      <c r="B35" s="254"/>
      <c r="C35" s="255"/>
      <c r="D35" s="1193"/>
      <c r="E35" s="555"/>
      <c r="F35" s="1193"/>
      <c r="G35" s="255"/>
    </row>
    <row r="36" spans="1:10">
      <c r="A36" s="543">
        <f>1+A34</f>
        <v>16</v>
      </c>
      <c r="B36" s="254"/>
      <c r="C36" s="550" t="s">
        <v>729</v>
      </c>
      <c r="D36" s="1193"/>
      <c r="E36" s="555"/>
      <c r="F36" s="1193"/>
      <c r="G36" s="255"/>
    </row>
    <row r="37" spans="1:10" s="1018" customFormat="1">
      <c r="A37" s="543">
        <f>+A36+1</f>
        <v>17</v>
      </c>
      <c r="B37" s="254"/>
      <c r="C37" s="550" t="s">
        <v>2843</v>
      </c>
      <c r="D37" s="1193"/>
      <c r="E37" s="555"/>
      <c r="F37" s="1193"/>
      <c r="G37" s="255"/>
    </row>
    <row r="38" spans="1:10" s="1018" customFormat="1">
      <c r="A38" s="543">
        <f>+A37+1</f>
        <v>18</v>
      </c>
      <c r="B38" s="254" t="s">
        <v>2357</v>
      </c>
      <c r="C38" s="551" t="s">
        <v>2359</v>
      </c>
      <c r="D38" s="1202">
        <f>+'C-2.2.A Total Co Accts Activ '!P32</f>
        <v>10.0300000000002</v>
      </c>
      <c r="E38" s="553">
        <v>1</v>
      </c>
      <c r="F38" s="1202">
        <f>+D38</f>
        <v>10.0300000000002</v>
      </c>
      <c r="G38" s="254" t="str">
        <f>G17</f>
        <v>100%</v>
      </c>
    </row>
    <row r="39" spans="1:10" s="1018" customFormat="1">
      <c r="A39" s="543">
        <f>+A38+1</f>
        <v>19</v>
      </c>
      <c r="B39" s="254"/>
      <c r="C39" s="551" t="s">
        <v>2849</v>
      </c>
      <c r="D39" s="1193">
        <f>SUM(D38:D38)</f>
        <v>10.0300000000002</v>
      </c>
      <c r="E39" s="555"/>
      <c r="F39" s="1193">
        <f>SUM(F38:F38)</f>
        <v>10.0300000000002</v>
      </c>
      <c r="G39" s="255"/>
    </row>
    <row r="40" spans="1:10" s="1018" customFormat="1">
      <c r="A40" s="543"/>
      <c r="B40" s="254"/>
      <c r="C40" s="550"/>
      <c r="D40" s="1193"/>
      <c r="E40" s="555"/>
      <c r="F40" s="1193"/>
      <c r="G40" s="255"/>
    </row>
    <row r="41" spans="1:10" s="1018" customFormat="1">
      <c r="A41" s="543">
        <f>A39+1</f>
        <v>20</v>
      </c>
      <c r="B41" s="254"/>
      <c r="C41" s="287" t="s">
        <v>2920</v>
      </c>
      <c r="D41" s="1193"/>
      <c r="E41" s="555"/>
      <c r="F41" s="1193"/>
      <c r="G41" s="255"/>
      <c r="H41" s="285"/>
      <c r="I41" s="546"/>
      <c r="J41" s="558"/>
    </row>
    <row r="42" spans="1:10">
      <c r="A42" s="543">
        <f>A41+1</f>
        <v>21</v>
      </c>
      <c r="B42" s="254">
        <v>852</v>
      </c>
      <c r="C42" s="551" t="s">
        <v>2921</v>
      </c>
      <c r="D42" s="1193">
        <f>'C-2.2.A Total Co Accts Activ '!P47</f>
        <v>3077.6700000000005</v>
      </c>
      <c r="E42" s="553">
        <v>1</v>
      </c>
      <c r="F42" s="1193">
        <f>D42</f>
        <v>3077.6700000000005</v>
      </c>
      <c r="G42" s="255"/>
      <c r="H42" s="285"/>
      <c r="I42" s="546"/>
      <c r="J42" s="528"/>
    </row>
    <row r="43" spans="1:10">
      <c r="A43" s="543">
        <f>A42+1</f>
        <v>22</v>
      </c>
      <c r="B43" s="254">
        <v>859</v>
      </c>
      <c r="C43" s="551" t="s">
        <v>815</v>
      </c>
      <c r="D43" s="1202">
        <f>'C-2.2.A Total Co Accts Activ '!P48</f>
        <v>1186.6799999999998</v>
      </c>
      <c r="E43" s="553">
        <v>1</v>
      </c>
      <c r="F43" s="1202">
        <f>D43</f>
        <v>1186.6799999999998</v>
      </c>
      <c r="G43" s="255"/>
      <c r="H43" s="285"/>
      <c r="I43" s="546"/>
      <c r="J43" s="528"/>
    </row>
    <row r="44" spans="1:10" s="1018" customFormat="1">
      <c r="A44" s="543"/>
      <c r="B44" s="254"/>
      <c r="C44" s="551" t="s">
        <v>2922</v>
      </c>
      <c r="D44" s="1193">
        <f>SUM(D42:D43)</f>
        <v>4264.3500000000004</v>
      </c>
      <c r="E44" s="555"/>
      <c r="F44" s="1193">
        <f>SUM(F42:F43)</f>
        <v>4264.3500000000004</v>
      </c>
      <c r="G44" s="255"/>
      <c r="H44" s="285"/>
      <c r="I44" s="546"/>
      <c r="J44" s="558"/>
    </row>
    <row r="45" spans="1:10" s="1018" customFormat="1">
      <c r="A45" s="543"/>
      <c r="B45" s="254"/>
      <c r="C45" s="551"/>
      <c r="D45" s="1193"/>
      <c r="E45" s="555"/>
      <c r="F45" s="1193"/>
      <c r="G45" s="255"/>
      <c r="H45" s="285"/>
      <c r="I45" s="546"/>
      <c r="J45" s="558"/>
    </row>
    <row r="46" spans="1:10" s="1018" customFormat="1">
      <c r="A46" s="543">
        <f>A43+1</f>
        <v>23</v>
      </c>
      <c r="B46" s="254"/>
      <c r="C46" s="287" t="s">
        <v>2923</v>
      </c>
      <c r="D46" s="1193"/>
      <c r="E46" s="555"/>
      <c r="F46" s="1193"/>
      <c r="G46" s="255"/>
      <c r="H46" s="285"/>
      <c r="I46" s="546"/>
      <c r="J46" s="558"/>
    </row>
    <row r="47" spans="1:10">
      <c r="A47" s="543">
        <f>A46+1</f>
        <v>24</v>
      </c>
      <c r="B47" s="254">
        <v>865</v>
      </c>
      <c r="C47" s="551" t="s">
        <v>1521</v>
      </c>
      <c r="D47" s="1202">
        <f>'C-2.2.A Total Co Accts Activ '!P49</f>
        <v>511.07</v>
      </c>
      <c r="E47" s="553">
        <v>1</v>
      </c>
      <c r="F47" s="1202">
        <f>D47</f>
        <v>511.07</v>
      </c>
      <c r="G47" s="255"/>
      <c r="H47" s="285"/>
      <c r="I47" s="546"/>
      <c r="J47" s="528"/>
    </row>
    <row r="48" spans="1:10" s="1018" customFormat="1">
      <c r="A48" s="543">
        <f>A47+1</f>
        <v>25</v>
      </c>
      <c r="B48" s="254"/>
      <c r="C48" s="551" t="s">
        <v>2924</v>
      </c>
      <c r="D48" s="1193">
        <f>SUM(D47)</f>
        <v>511.07</v>
      </c>
      <c r="E48" s="555"/>
      <c r="F48" s="1193">
        <f>SUM(F47)</f>
        <v>511.07</v>
      </c>
      <c r="G48" s="255"/>
      <c r="H48" s="285"/>
      <c r="I48" s="546"/>
      <c r="J48" s="558"/>
    </row>
    <row r="49" spans="1:10" s="1018" customFormat="1">
      <c r="A49" s="543"/>
      <c r="B49" s="254"/>
      <c r="C49" s="551"/>
      <c r="D49" s="1193"/>
      <c r="E49" s="555"/>
      <c r="F49" s="1193"/>
      <c r="G49" s="255"/>
      <c r="H49" s="285"/>
      <c r="I49" s="546"/>
      <c r="J49" s="558"/>
    </row>
    <row r="50" spans="1:10">
      <c r="A50" s="543">
        <f>1+A39</f>
        <v>20</v>
      </c>
      <c r="B50" s="254"/>
      <c r="C50" s="287" t="s">
        <v>777</v>
      </c>
      <c r="D50" s="1185"/>
      <c r="E50" s="553"/>
      <c r="F50" s="1185"/>
      <c r="G50" s="255"/>
    </row>
    <row r="51" spans="1:10">
      <c r="A51" s="543">
        <f t="shared" ref="A51:A56" si="3">1+A50</f>
        <v>21</v>
      </c>
      <c r="B51" s="254" t="s">
        <v>778</v>
      </c>
      <c r="C51" s="551" t="s">
        <v>545</v>
      </c>
      <c r="D51" s="1185">
        <f>'C-2.2.A Total Co Accts Activ '!P33</f>
        <v>0</v>
      </c>
      <c r="E51" s="553">
        <v>1</v>
      </c>
      <c r="F51" s="1185">
        <f>D51</f>
        <v>0</v>
      </c>
      <c r="G51" s="544"/>
    </row>
    <row r="52" spans="1:10">
      <c r="A52" s="543">
        <f t="shared" si="3"/>
        <v>22</v>
      </c>
      <c r="B52" s="254" t="s">
        <v>779</v>
      </c>
      <c r="C52" s="551" t="s">
        <v>780</v>
      </c>
      <c r="D52" s="1185">
        <f>'C-2.2.A Total Co Accts Activ '!P34</f>
        <v>0</v>
      </c>
      <c r="E52" s="553">
        <v>1</v>
      </c>
      <c r="F52" s="1185">
        <f>D52</f>
        <v>0</v>
      </c>
      <c r="G52" s="544"/>
    </row>
    <row r="53" spans="1:10">
      <c r="A53" s="543">
        <f t="shared" si="3"/>
        <v>23</v>
      </c>
      <c r="B53" s="254" t="s">
        <v>781</v>
      </c>
      <c r="C53" s="551" t="s">
        <v>782</v>
      </c>
      <c r="D53" s="1185">
        <f>'C-2.2.A Total Co Accts Activ '!P35</f>
        <v>0</v>
      </c>
      <c r="E53" s="553">
        <v>1</v>
      </c>
      <c r="F53" s="1185">
        <f>D53</f>
        <v>0</v>
      </c>
      <c r="G53" s="544"/>
    </row>
    <row r="54" spans="1:10">
      <c r="A54" s="543">
        <f t="shared" si="3"/>
        <v>24</v>
      </c>
      <c r="B54" s="254" t="s">
        <v>783</v>
      </c>
      <c r="C54" s="551" t="s">
        <v>784</v>
      </c>
      <c r="D54" s="1185">
        <f>'C-2.2.A Total Co Accts Activ '!P36</f>
        <v>0</v>
      </c>
      <c r="E54" s="553">
        <v>1</v>
      </c>
      <c r="F54" s="1185">
        <f>D54</f>
        <v>0</v>
      </c>
      <c r="G54" s="544"/>
    </row>
    <row r="55" spans="1:10">
      <c r="A55" s="543">
        <f t="shared" si="3"/>
        <v>25</v>
      </c>
      <c r="B55" s="254" t="s">
        <v>785</v>
      </c>
      <c r="C55" s="551" t="s">
        <v>786</v>
      </c>
      <c r="D55" s="1188">
        <f>'C-2.2.A Total Co Accts Activ '!P37</f>
        <v>0</v>
      </c>
      <c r="E55" s="553">
        <v>1</v>
      </c>
      <c r="F55" s="1188">
        <f>D55</f>
        <v>0</v>
      </c>
      <c r="G55" s="544"/>
    </row>
    <row r="56" spans="1:10">
      <c r="A56" s="543">
        <f t="shared" si="3"/>
        <v>26</v>
      </c>
      <c r="B56" s="254"/>
      <c r="C56" s="286" t="s">
        <v>2850</v>
      </c>
      <c r="D56" s="1185">
        <f>SUM(D50:D55)</f>
        <v>0</v>
      </c>
      <c r="E56" s="553" t="s">
        <v>358</v>
      </c>
      <c r="F56" s="1185">
        <f>SUM(F50:F55)</f>
        <v>0</v>
      </c>
      <c r="G56" s="255"/>
    </row>
    <row r="57" spans="1:10">
      <c r="A57" s="254"/>
      <c r="B57" s="255"/>
      <c r="C57" s="255"/>
      <c r="D57" s="1185"/>
      <c r="E57" s="553"/>
      <c r="F57" s="1185"/>
      <c r="G57" s="255"/>
    </row>
    <row r="58" spans="1:10">
      <c r="A58" s="543">
        <f>1+A56</f>
        <v>27</v>
      </c>
      <c r="B58" s="255"/>
      <c r="C58" s="550" t="s">
        <v>2844</v>
      </c>
      <c r="D58" s="1193"/>
      <c r="E58" s="555"/>
      <c r="F58" s="1193"/>
      <c r="G58" s="544"/>
    </row>
    <row r="59" spans="1:10">
      <c r="A59" s="543">
        <f t="shared" ref="A59:A68" si="4">1+A58</f>
        <v>28</v>
      </c>
      <c r="B59" s="255"/>
      <c r="C59" s="550" t="s">
        <v>968</v>
      </c>
      <c r="D59" s="1193"/>
      <c r="E59" s="555"/>
      <c r="F59" s="1193"/>
      <c r="G59" s="255"/>
    </row>
    <row r="60" spans="1:10">
      <c r="A60" s="543">
        <f t="shared" si="4"/>
        <v>29</v>
      </c>
      <c r="B60" s="543" t="s">
        <v>787</v>
      </c>
      <c r="C60" s="551" t="s">
        <v>788</v>
      </c>
      <c r="D60" s="1193">
        <f>'C-2.2.A Total Co Accts Activ '!P38</f>
        <v>19976867.719999999</v>
      </c>
      <c r="E60" s="553">
        <v>1</v>
      </c>
      <c r="F60" s="1193">
        <f t="shared" ref="F60:F67" si="5">D60</f>
        <v>19976867.719999999</v>
      </c>
      <c r="G60" s="543"/>
    </row>
    <row r="61" spans="1:10">
      <c r="A61" s="543">
        <f t="shared" si="4"/>
        <v>30</v>
      </c>
      <c r="B61" s="543" t="s">
        <v>789</v>
      </c>
      <c r="C61" s="551" t="s">
        <v>790</v>
      </c>
      <c r="D61" s="1193">
        <f>'C-2.2.A Total Co Accts Activ '!P39</f>
        <v>2024269.0700000003</v>
      </c>
      <c r="E61" s="553">
        <v>1</v>
      </c>
      <c r="F61" s="1193">
        <f t="shared" si="5"/>
        <v>2024269.0700000003</v>
      </c>
      <c r="G61" s="544"/>
    </row>
    <row r="62" spans="1:10">
      <c r="A62" s="543">
        <f t="shared" si="4"/>
        <v>31</v>
      </c>
      <c r="B62" s="543" t="s">
        <v>791</v>
      </c>
      <c r="C62" s="551" t="s">
        <v>792</v>
      </c>
      <c r="D62" s="1193">
        <f>'C-2.2.A Total Co Accts Activ '!P40</f>
        <v>13411248.760000004</v>
      </c>
      <c r="E62" s="553">
        <v>1</v>
      </c>
      <c r="F62" s="1193">
        <f t="shared" si="5"/>
        <v>13411248.760000004</v>
      </c>
      <c r="G62" s="544"/>
    </row>
    <row r="63" spans="1:10">
      <c r="A63" s="543">
        <f t="shared" si="4"/>
        <v>32</v>
      </c>
      <c r="B63" s="543" t="s">
        <v>793</v>
      </c>
      <c r="C63" s="551" t="s">
        <v>794</v>
      </c>
      <c r="D63" s="1193">
        <f>'C-2.2.A Total Co Accts Activ '!P41</f>
        <v>1697539.09</v>
      </c>
      <c r="E63" s="553">
        <v>1</v>
      </c>
      <c r="F63" s="1193">
        <f t="shared" si="5"/>
        <v>1697539.09</v>
      </c>
      <c r="G63" s="544"/>
    </row>
    <row r="64" spans="1:10">
      <c r="A64" s="543">
        <f t="shared" si="4"/>
        <v>33</v>
      </c>
      <c r="B64" s="543" t="s">
        <v>795</v>
      </c>
      <c r="C64" s="551" t="s">
        <v>544</v>
      </c>
      <c r="D64" s="1193">
        <f>+'C-2.2.A Total Co Accts Activ '!P43+'C-2.2.A Total Co Accts Activ '!P42</f>
        <v>410680.55999999994</v>
      </c>
      <c r="E64" s="553">
        <v>1</v>
      </c>
      <c r="F64" s="1193">
        <f t="shared" si="5"/>
        <v>410680.55999999994</v>
      </c>
      <c r="G64" s="544"/>
    </row>
    <row r="65" spans="1:8">
      <c r="A65" s="543">
        <f t="shared" si="4"/>
        <v>34</v>
      </c>
      <c r="B65" s="543" t="s">
        <v>796</v>
      </c>
      <c r="C65" s="551" t="s">
        <v>2275</v>
      </c>
      <c r="D65" s="1193">
        <f>'C-2.2.A Total Co Accts Activ '!P44</f>
        <v>9272733.4800000004</v>
      </c>
      <c r="E65" s="553">
        <v>1</v>
      </c>
      <c r="F65" s="1193">
        <f t="shared" si="5"/>
        <v>9272733.4800000004</v>
      </c>
      <c r="G65" s="544"/>
    </row>
    <row r="66" spans="1:8">
      <c r="A66" s="543">
        <f t="shared" si="4"/>
        <v>35</v>
      </c>
      <c r="B66" s="543" t="s">
        <v>797</v>
      </c>
      <c r="C66" s="551" t="s">
        <v>798</v>
      </c>
      <c r="D66" s="1193">
        <f>'C-2.2.A Total Co Accts Activ '!P45</f>
        <v>-52668.530000000006</v>
      </c>
      <c r="E66" s="553">
        <v>1</v>
      </c>
      <c r="F66" s="1193">
        <f t="shared" si="5"/>
        <v>-52668.530000000006</v>
      </c>
      <c r="G66" s="544"/>
    </row>
    <row r="67" spans="1:8">
      <c r="A67" s="543">
        <f t="shared" si="4"/>
        <v>36</v>
      </c>
      <c r="B67" s="543">
        <v>813</v>
      </c>
      <c r="C67" s="559" t="s">
        <v>799</v>
      </c>
      <c r="D67" s="1202">
        <f>'C-2.2.A Total Co Accts Activ '!P46</f>
        <v>0</v>
      </c>
      <c r="E67" s="553">
        <v>1</v>
      </c>
      <c r="F67" s="1202">
        <f t="shared" si="5"/>
        <v>0</v>
      </c>
      <c r="G67" s="544"/>
    </row>
    <row r="68" spans="1:8">
      <c r="A68" s="543">
        <f t="shared" si="4"/>
        <v>37</v>
      </c>
      <c r="B68" s="254"/>
      <c r="C68" s="551" t="s">
        <v>969</v>
      </c>
      <c r="D68" s="1185">
        <f>SUM(D60:D67)</f>
        <v>46740670.150000006</v>
      </c>
      <c r="E68" s="553" t="s">
        <v>358</v>
      </c>
      <c r="F68" s="1185">
        <f>SUM(F60:F66)</f>
        <v>46740670.150000006</v>
      </c>
      <c r="G68" s="544"/>
      <c r="H68" s="282"/>
    </row>
    <row r="69" spans="1:8">
      <c r="A69" s="254"/>
      <c r="B69" s="254"/>
      <c r="C69" s="255"/>
      <c r="D69" s="1185"/>
      <c r="E69" s="553" t="s">
        <v>358</v>
      </c>
      <c r="F69" s="1185" t="s">
        <v>358</v>
      </c>
      <c r="G69" s="255"/>
    </row>
    <row r="70" spans="1:8">
      <c r="A70" s="543">
        <f>1+A68</f>
        <v>38</v>
      </c>
      <c r="B70" s="254"/>
      <c r="C70" s="550" t="s">
        <v>2845</v>
      </c>
      <c r="D70" s="1185"/>
      <c r="E70" s="553" t="s">
        <v>358</v>
      </c>
      <c r="F70" s="1185" t="s">
        <v>358</v>
      </c>
      <c r="G70" s="255"/>
    </row>
    <row r="71" spans="1:8">
      <c r="A71" s="543">
        <f>+A70+1</f>
        <v>39</v>
      </c>
      <c r="B71" s="543" t="s">
        <v>800</v>
      </c>
      <c r="C71" s="551" t="s">
        <v>801</v>
      </c>
      <c r="D71" s="1193">
        <f>'C-2.2.A Total Co Accts Activ '!P50</f>
        <v>932367.91000000015</v>
      </c>
      <c r="E71" s="553">
        <v>1</v>
      </c>
      <c r="F71" s="1193">
        <f t="shared" ref="F71:F79" si="6">D71</f>
        <v>932367.91000000015</v>
      </c>
      <c r="G71" s="544"/>
    </row>
    <row r="72" spans="1:8">
      <c r="A72" s="543">
        <f t="shared" ref="A72:A73" si="7">A71+1</f>
        <v>40</v>
      </c>
      <c r="B72" s="543" t="s">
        <v>802</v>
      </c>
      <c r="C72" s="551" t="s">
        <v>803</v>
      </c>
      <c r="D72" s="1193">
        <f>'C-2.2.A Total Co Accts Activ '!P51</f>
        <v>231447.81000000003</v>
      </c>
      <c r="E72" s="553">
        <v>1</v>
      </c>
      <c r="F72" s="1193">
        <f t="shared" si="6"/>
        <v>231447.81000000003</v>
      </c>
      <c r="G72" s="544"/>
    </row>
    <row r="73" spans="1:8">
      <c r="A73" s="543">
        <f t="shared" si="7"/>
        <v>41</v>
      </c>
      <c r="B73" s="543" t="s">
        <v>804</v>
      </c>
      <c r="C73" s="551" t="s">
        <v>805</v>
      </c>
      <c r="D73" s="1193">
        <f>'C-2.2.A Total Co Accts Activ '!P52</f>
        <v>6008318.8499999996</v>
      </c>
      <c r="E73" s="553">
        <v>1</v>
      </c>
      <c r="F73" s="1193">
        <f t="shared" si="6"/>
        <v>6008318.8499999996</v>
      </c>
      <c r="G73" s="544"/>
    </row>
    <row r="74" spans="1:8">
      <c r="A74" s="543">
        <f t="shared" ref="A74:A80" si="8">1+A73</f>
        <v>42</v>
      </c>
      <c r="B74" s="543" t="s">
        <v>806</v>
      </c>
      <c r="C74" s="551" t="s">
        <v>807</v>
      </c>
      <c r="D74" s="1193">
        <f>'C-2.2.A Total Co Accts Activ '!P53</f>
        <v>291816.14</v>
      </c>
      <c r="E74" s="553">
        <v>1</v>
      </c>
      <c r="F74" s="1193">
        <f t="shared" si="6"/>
        <v>291816.14</v>
      </c>
      <c r="G74" s="544"/>
    </row>
    <row r="75" spans="1:8">
      <c r="A75" s="543">
        <f t="shared" si="8"/>
        <v>43</v>
      </c>
      <c r="B75" s="543" t="s">
        <v>808</v>
      </c>
      <c r="C75" s="551" t="s">
        <v>809</v>
      </c>
      <c r="D75" s="1193">
        <f>'C-2.2.A Total Co Accts Activ '!P54</f>
        <v>103480.85</v>
      </c>
      <c r="E75" s="553">
        <v>1</v>
      </c>
      <c r="F75" s="1193">
        <f t="shared" si="6"/>
        <v>103480.85</v>
      </c>
      <c r="G75" s="544"/>
    </row>
    <row r="76" spans="1:8">
      <c r="A76" s="543">
        <f t="shared" si="8"/>
        <v>44</v>
      </c>
      <c r="B76" s="543" t="s">
        <v>810</v>
      </c>
      <c r="C76" s="551" t="s">
        <v>811</v>
      </c>
      <c r="D76" s="1193">
        <f>'C-2.2.A Total Co Accts Activ '!P55</f>
        <v>1736091.2500000002</v>
      </c>
      <c r="E76" s="553">
        <v>1</v>
      </c>
      <c r="F76" s="1193">
        <f t="shared" si="6"/>
        <v>1736091.2500000002</v>
      </c>
      <c r="G76" s="544"/>
    </row>
    <row r="77" spans="1:8">
      <c r="A77" s="543">
        <f t="shared" si="8"/>
        <v>45</v>
      </c>
      <c r="B77" s="543" t="s">
        <v>812</v>
      </c>
      <c r="C77" s="551" t="s">
        <v>813</v>
      </c>
      <c r="D77" s="1193">
        <f>'C-2.2.A Total Co Accts Activ '!P56</f>
        <v>3003416.1500000004</v>
      </c>
      <c r="E77" s="553">
        <v>1</v>
      </c>
      <c r="F77" s="1193">
        <f t="shared" si="6"/>
        <v>3003416.1500000004</v>
      </c>
      <c r="G77" s="544"/>
    </row>
    <row r="78" spans="1:8">
      <c r="A78" s="543">
        <f t="shared" si="8"/>
        <v>46</v>
      </c>
      <c r="B78" s="543" t="s">
        <v>814</v>
      </c>
      <c r="C78" s="551" t="s">
        <v>815</v>
      </c>
      <c r="D78" s="1193">
        <f>'C-2.2.A Total Co Accts Activ '!P57</f>
        <v>1487659.5599999996</v>
      </c>
      <c r="E78" s="553">
        <v>1</v>
      </c>
      <c r="F78" s="1193">
        <f t="shared" si="6"/>
        <v>1487659.5599999996</v>
      </c>
      <c r="G78" s="544"/>
    </row>
    <row r="79" spans="1:8">
      <c r="A79" s="543">
        <f t="shared" si="8"/>
        <v>47</v>
      </c>
      <c r="B79" s="543" t="s">
        <v>816</v>
      </c>
      <c r="C79" s="551" t="s">
        <v>817</v>
      </c>
      <c r="D79" s="1202">
        <f>'C-2.2.A Total Co Accts Activ '!P58</f>
        <v>34404.960000000006</v>
      </c>
      <c r="E79" s="553">
        <v>1</v>
      </c>
      <c r="F79" s="1202">
        <f t="shared" si="6"/>
        <v>34404.960000000006</v>
      </c>
      <c r="G79" s="544"/>
    </row>
    <row r="80" spans="1:8">
      <c r="A80" s="543">
        <f t="shared" si="8"/>
        <v>48</v>
      </c>
      <c r="B80" s="254"/>
      <c r="C80" s="551" t="s">
        <v>2852</v>
      </c>
      <c r="D80" s="1185">
        <f>SUM(D71:D79)</f>
        <v>13829003.48</v>
      </c>
      <c r="E80" s="553" t="s">
        <v>358</v>
      </c>
      <c r="F80" s="1185">
        <f>SUM(F71:F79)</f>
        <v>13829003.48</v>
      </c>
      <c r="G80" s="552"/>
    </row>
    <row r="81" spans="1:7">
      <c r="A81" s="1324" t="str">
        <f>A1</f>
        <v>COLUMBIA GAS OF KENTUCKY, INC.</v>
      </c>
      <c r="B81" s="1325"/>
      <c r="C81" s="1325"/>
      <c r="D81" s="1325"/>
      <c r="E81" s="1325"/>
      <c r="F81" s="1325"/>
      <c r="G81" s="1325"/>
    </row>
    <row r="82" spans="1:7">
      <c r="A82" s="1324" t="str">
        <f>A2</f>
        <v>CASE NO. 2024 - 00092</v>
      </c>
      <c r="B82" s="1325"/>
      <c r="C82" s="1325"/>
      <c r="D82" s="1325"/>
      <c r="E82" s="1325"/>
      <c r="F82" s="1325"/>
      <c r="G82" s="1325"/>
    </row>
    <row r="83" spans="1:7">
      <c r="A83" s="1324" t="str">
        <f>A3</f>
        <v>BASE PERIOD OPERATING REVENUE AND EXPENSES, BY ACCOUNT - JURISDICTIONAL</v>
      </c>
      <c r="B83" s="1325"/>
      <c r="C83" s="1325"/>
      <c r="D83" s="1325"/>
      <c r="E83" s="1325"/>
      <c r="F83" s="1325"/>
      <c r="G83" s="1325"/>
    </row>
    <row r="84" spans="1:7">
      <c r="A84" s="1324" t="str">
        <f>A4</f>
        <v>FOR THE TWELVE MONTHS ENDED AUGUST 31, 2024</v>
      </c>
      <c r="B84" s="1325"/>
      <c r="C84" s="1325"/>
      <c r="D84" s="1325"/>
      <c r="E84" s="1325"/>
      <c r="F84" s="1325"/>
      <c r="G84" s="1325"/>
    </row>
    <row r="85" spans="1:7">
      <c r="A85" s="255"/>
      <c r="B85" s="544"/>
      <c r="C85" s="255"/>
      <c r="D85" s="255"/>
      <c r="E85" s="255"/>
      <c r="F85" s="255"/>
      <c r="G85" s="255"/>
    </row>
    <row r="86" spans="1:7">
      <c r="A86" s="286" t="str">
        <f>A6</f>
        <v>DATA:__X___BASE PERIOD______FORECASTED PERIOD</v>
      </c>
      <c r="B86" s="255"/>
      <c r="C86" s="255"/>
      <c r="D86" s="255"/>
      <c r="E86" s="255"/>
      <c r="F86" s="546"/>
      <c r="G86" s="547" t="str">
        <f>G6</f>
        <v>SCHEDULE C-2.1.A</v>
      </c>
    </row>
    <row r="87" spans="1:7">
      <c r="A87" s="286" t="str">
        <f>A7</f>
        <v>TYPE OF FILING:___X___ORIGINAL______UPDATED</v>
      </c>
      <c r="B87" s="255"/>
      <c r="C87" s="255"/>
      <c r="D87" s="255"/>
      <c r="E87" s="255"/>
      <c r="F87" s="546"/>
      <c r="G87" s="547" t="s">
        <v>832</v>
      </c>
    </row>
    <row r="88" spans="1:7">
      <c r="A88" s="286" t="s">
        <v>575</v>
      </c>
      <c r="B88" s="255"/>
      <c r="C88" s="255"/>
      <c r="D88" s="255"/>
      <c r="E88" s="255"/>
      <c r="F88" s="546"/>
      <c r="G88" s="545" t="str">
        <f>G8</f>
        <v>WITNESS: SHAEFFER</v>
      </c>
    </row>
    <row r="89" spans="1:7">
      <c r="A89" s="850"/>
      <c r="B89" s="851"/>
      <c r="C89" s="851"/>
      <c r="D89" s="851"/>
      <c r="E89" s="851"/>
      <c r="F89" s="852"/>
      <c r="G89" s="853"/>
    </row>
    <row r="90" spans="1:7">
      <c r="A90" s="254"/>
      <c r="B90" s="254"/>
      <c r="C90" s="254"/>
      <c r="D90" s="543" t="s">
        <v>755</v>
      </c>
      <c r="E90" s="254"/>
      <c r="F90" s="254"/>
      <c r="G90" s="254" t="s">
        <v>350</v>
      </c>
    </row>
    <row r="91" spans="1:7">
      <c r="A91" s="543" t="s">
        <v>313</v>
      </c>
      <c r="B91" s="543" t="s">
        <v>429</v>
      </c>
      <c r="C91" s="543"/>
      <c r="D91" s="543" t="s">
        <v>349</v>
      </c>
      <c r="E91" s="543" t="s">
        <v>756</v>
      </c>
      <c r="F91" s="543" t="s">
        <v>755</v>
      </c>
      <c r="G91" s="254" t="s">
        <v>757</v>
      </c>
    </row>
    <row r="92" spans="1:7">
      <c r="A92" s="1017" t="s">
        <v>316</v>
      </c>
      <c r="B92" s="1017" t="s">
        <v>758</v>
      </c>
      <c r="C92" s="1019" t="s">
        <v>440</v>
      </c>
      <c r="D92" s="1017" t="s">
        <v>759</v>
      </c>
      <c r="E92" s="1017" t="s">
        <v>760</v>
      </c>
      <c r="F92" s="1017" t="s">
        <v>372</v>
      </c>
      <c r="G92" s="1017" t="s">
        <v>451</v>
      </c>
    </row>
    <row r="93" spans="1:7">
      <c r="A93" s="254"/>
      <c r="B93" s="255"/>
      <c r="C93" s="255"/>
      <c r="D93" s="543" t="s">
        <v>532</v>
      </c>
      <c r="E93" s="543" t="s">
        <v>541</v>
      </c>
      <c r="F93" s="543" t="s">
        <v>542</v>
      </c>
      <c r="G93" s="543" t="s">
        <v>668</v>
      </c>
    </row>
    <row r="94" spans="1:7">
      <c r="A94" s="254"/>
      <c r="B94" s="255"/>
      <c r="C94" s="255"/>
      <c r="D94" s="543" t="s">
        <v>320</v>
      </c>
      <c r="E94" s="543" t="s">
        <v>529</v>
      </c>
      <c r="F94" s="543" t="s">
        <v>320</v>
      </c>
      <c r="G94" s="255"/>
    </row>
    <row r="95" spans="1:7">
      <c r="A95" s="543">
        <v>1</v>
      </c>
      <c r="B95" s="543"/>
      <c r="C95" s="550" t="s">
        <v>2853</v>
      </c>
      <c r="D95" s="552"/>
      <c r="E95" s="553" t="s">
        <v>358</v>
      </c>
      <c r="F95" s="560" t="s">
        <v>358</v>
      </c>
      <c r="G95" s="544"/>
    </row>
    <row r="96" spans="1:7">
      <c r="A96" s="543">
        <f t="shared" ref="A96:A104" si="9">1+A95</f>
        <v>2</v>
      </c>
      <c r="B96" s="543" t="s">
        <v>818</v>
      </c>
      <c r="C96" s="551" t="s">
        <v>801</v>
      </c>
      <c r="D96" s="1193">
        <f>'C-2.2.A Total Co Accts Activ '!P59</f>
        <v>86576.81</v>
      </c>
      <c r="E96" s="553">
        <v>1</v>
      </c>
      <c r="F96" s="1193">
        <f t="shared" ref="F96:F103" si="10">D96</f>
        <v>86576.81</v>
      </c>
      <c r="G96" s="543" t="str">
        <f>$G$17</f>
        <v>100%</v>
      </c>
    </row>
    <row r="97" spans="1:7">
      <c r="A97" s="543">
        <f t="shared" si="9"/>
        <v>3</v>
      </c>
      <c r="B97" s="543" t="s">
        <v>819</v>
      </c>
      <c r="C97" s="551" t="s">
        <v>820</v>
      </c>
      <c r="D97" s="1193">
        <f>'C-2.2.A Total Co Accts Activ '!P60</f>
        <v>122054.82999999999</v>
      </c>
      <c r="E97" s="553">
        <v>1</v>
      </c>
      <c r="F97" s="1193">
        <f t="shared" si="10"/>
        <v>122054.82999999999</v>
      </c>
      <c r="G97" s="544"/>
    </row>
    <row r="98" spans="1:7">
      <c r="A98" s="543">
        <f t="shared" si="9"/>
        <v>4</v>
      </c>
      <c r="B98" s="543" t="s">
        <v>821</v>
      </c>
      <c r="C98" s="551" t="s">
        <v>822</v>
      </c>
      <c r="D98" s="1193">
        <f>'C-2.2.A Total Co Accts Activ '!P61</f>
        <v>3380468.8000000003</v>
      </c>
      <c r="E98" s="553">
        <v>1</v>
      </c>
      <c r="F98" s="1193">
        <f t="shared" si="10"/>
        <v>3380468.8000000003</v>
      </c>
      <c r="G98" s="544"/>
    </row>
    <row r="99" spans="1:7">
      <c r="A99" s="543">
        <f t="shared" si="9"/>
        <v>5</v>
      </c>
      <c r="B99" s="543" t="s">
        <v>823</v>
      </c>
      <c r="C99" s="551" t="s">
        <v>807</v>
      </c>
      <c r="D99" s="1193">
        <f>'C-2.2.A Total Co Accts Activ '!P62</f>
        <v>604520.71</v>
      </c>
      <c r="E99" s="553">
        <v>1</v>
      </c>
      <c r="F99" s="1193">
        <f t="shared" si="10"/>
        <v>604520.71</v>
      </c>
      <c r="G99" s="544"/>
    </row>
    <row r="100" spans="1:7">
      <c r="A100" s="543">
        <f t="shared" si="9"/>
        <v>6</v>
      </c>
      <c r="B100" s="543" t="s">
        <v>824</v>
      </c>
      <c r="C100" s="551" t="s">
        <v>809</v>
      </c>
      <c r="D100" s="1193">
        <f>'C-2.2.A Total Co Accts Activ '!P63</f>
        <v>78100.709999999992</v>
      </c>
      <c r="E100" s="553">
        <v>1</v>
      </c>
      <c r="F100" s="1193">
        <f t="shared" si="10"/>
        <v>78100.709999999992</v>
      </c>
      <c r="G100" s="544"/>
    </row>
    <row r="101" spans="1:7">
      <c r="A101" s="543">
        <f t="shared" si="9"/>
        <v>7</v>
      </c>
      <c r="B101" s="543" t="s">
        <v>825</v>
      </c>
      <c r="C101" s="551" t="s">
        <v>826</v>
      </c>
      <c r="D101" s="1193">
        <f>'C-2.2.A Total Co Accts Activ '!P79</f>
        <v>581158.67000000004</v>
      </c>
      <c r="E101" s="553">
        <v>1</v>
      </c>
      <c r="F101" s="1193">
        <f t="shared" si="10"/>
        <v>581158.67000000004</v>
      </c>
      <c r="G101" s="544"/>
    </row>
    <row r="102" spans="1:7">
      <c r="A102" s="543">
        <f t="shared" si="9"/>
        <v>8</v>
      </c>
      <c r="B102" s="543" t="s">
        <v>827</v>
      </c>
      <c r="C102" s="551" t="s">
        <v>828</v>
      </c>
      <c r="D102" s="1193">
        <f>'C-2.2.A Total Co Accts Activ '!P80</f>
        <v>193697.76</v>
      </c>
      <c r="E102" s="553">
        <v>1</v>
      </c>
      <c r="F102" s="1193">
        <f t="shared" si="10"/>
        <v>193697.76</v>
      </c>
      <c r="G102" s="544"/>
    </row>
    <row r="103" spans="1:7">
      <c r="A103" s="543">
        <f t="shared" si="9"/>
        <v>9</v>
      </c>
      <c r="B103" s="543" t="s">
        <v>829</v>
      </c>
      <c r="C103" s="551" t="s">
        <v>830</v>
      </c>
      <c r="D103" s="1202">
        <f>'C-2.2.A Total Co Accts Activ '!P81</f>
        <v>281984.74</v>
      </c>
      <c r="E103" s="553">
        <v>1</v>
      </c>
      <c r="F103" s="1202">
        <f t="shared" si="10"/>
        <v>281984.74</v>
      </c>
      <c r="G103" s="544"/>
    </row>
    <row r="104" spans="1:7">
      <c r="A104" s="543">
        <f t="shared" si="9"/>
        <v>10</v>
      </c>
      <c r="B104" s="255"/>
      <c r="C104" s="551" t="s">
        <v>831</v>
      </c>
      <c r="D104" s="1185">
        <f>SUM(D96:D103)</f>
        <v>5328563.03</v>
      </c>
      <c r="E104" s="561" t="s">
        <v>358</v>
      </c>
      <c r="F104" s="1185">
        <f>SUM(F96:F103)</f>
        <v>5328563.03</v>
      </c>
      <c r="G104" s="544"/>
    </row>
    <row r="105" spans="1:7">
      <c r="A105" s="543"/>
      <c r="B105" s="255"/>
      <c r="C105" s="255"/>
      <c r="D105" s="1185"/>
      <c r="E105" s="255"/>
      <c r="F105" s="1185"/>
      <c r="G105" s="255"/>
    </row>
    <row r="106" spans="1:7">
      <c r="A106" s="543">
        <f>A104+1</f>
        <v>11</v>
      </c>
      <c r="B106" s="544"/>
      <c r="C106" s="550" t="s">
        <v>2854</v>
      </c>
      <c r="D106" s="1193"/>
      <c r="E106" s="562"/>
      <c r="F106" s="1193"/>
      <c r="G106" s="255"/>
    </row>
    <row r="107" spans="1:7">
      <c r="A107" s="543">
        <f>A106+1</f>
        <v>12</v>
      </c>
      <c r="B107" s="543" t="s">
        <v>833</v>
      </c>
      <c r="C107" s="551" t="s">
        <v>834</v>
      </c>
      <c r="D107" s="1193">
        <f>'C-2.2.A Total Co Accts Activ '!P82</f>
        <v>-0.96</v>
      </c>
      <c r="E107" s="553">
        <v>1</v>
      </c>
      <c r="F107" s="1193">
        <f>D107</f>
        <v>-0.96</v>
      </c>
      <c r="G107" s="543"/>
    </row>
    <row r="108" spans="1:7">
      <c r="A108" s="543">
        <f>A107+1</f>
        <v>13</v>
      </c>
      <c r="B108" s="543" t="s">
        <v>835</v>
      </c>
      <c r="C108" s="551" t="s">
        <v>836</v>
      </c>
      <c r="D108" s="1193">
        <f>'C-2.2.A Total Co Accts Activ '!P83</f>
        <v>315522.43999999994</v>
      </c>
      <c r="E108" s="553">
        <v>1</v>
      </c>
      <c r="F108" s="1193">
        <f>D108</f>
        <v>315522.43999999994</v>
      </c>
      <c r="G108" s="544"/>
    </row>
    <row r="109" spans="1:7">
      <c r="A109" s="543">
        <f>1+A108</f>
        <v>14</v>
      </c>
      <c r="B109" s="543" t="s">
        <v>837</v>
      </c>
      <c r="C109" s="551" t="s">
        <v>838</v>
      </c>
      <c r="D109" s="1193">
        <f>'C-2.2.A Total Co Accts Activ '!P84</f>
        <v>2702174.0000000005</v>
      </c>
      <c r="E109" s="553">
        <v>1</v>
      </c>
      <c r="F109" s="1193">
        <f>D109</f>
        <v>2702174.0000000005</v>
      </c>
      <c r="G109" s="544"/>
    </row>
    <row r="110" spans="1:7">
      <c r="A110" s="543">
        <f>1+A109</f>
        <v>15</v>
      </c>
      <c r="B110" s="543" t="s">
        <v>839</v>
      </c>
      <c r="C110" s="551" t="s">
        <v>840</v>
      </c>
      <c r="D110" s="1193">
        <f>'C-2.2.A Total Co Accts Activ '!P85</f>
        <v>1356937.6600000001</v>
      </c>
      <c r="E110" s="553">
        <v>1</v>
      </c>
      <c r="F110" s="1193">
        <f>D110</f>
        <v>1356937.6600000001</v>
      </c>
      <c r="G110" s="544"/>
    </row>
    <row r="111" spans="1:7">
      <c r="A111" s="543">
        <f>1+A110</f>
        <v>16</v>
      </c>
      <c r="B111" s="543" t="s">
        <v>841</v>
      </c>
      <c r="C111" s="551" t="s">
        <v>842</v>
      </c>
      <c r="D111" s="1202">
        <f>'C-2.2.A Total Co Accts Activ '!P86</f>
        <v>13139.56</v>
      </c>
      <c r="E111" s="553">
        <v>1</v>
      </c>
      <c r="F111" s="1202">
        <f>D111</f>
        <v>13139.56</v>
      </c>
      <c r="G111" s="544"/>
    </row>
    <row r="112" spans="1:7">
      <c r="A112" s="543">
        <f>1+A111</f>
        <v>17</v>
      </c>
      <c r="B112" s="543"/>
      <c r="C112" s="551" t="s">
        <v>2855</v>
      </c>
      <c r="D112" s="1185">
        <f>SUM(D107:D111)</f>
        <v>4387772.7</v>
      </c>
      <c r="E112" s="553"/>
      <c r="F112" s="1185">
        <f>SUM(F107:F111)</f>
        <v>4387772.7</v>
      </c>
      <c r="G112" s="544"/>
    </row>
    <row r="113" spans="1:7">
      <c r="A113" s="543"/>
      <c r="B113" s="254"/>
      <c r="C113" s="255"/>
      <c r="D113" s="1185"/>
      <c r="E113" s="254"/>
      <c r="F113" s="1185"/>
      <c r="G113" s="255"/>
    </row>
    <row r="114" spans="1:7">
      <c r="A114" s="254">
        <f>1+A112</f>
        <v>18</v>
      </c>
      <c r="B114" s="254"/>
      <c r="C114" s="550" t="s">
        <v>2856</v>
      </c>
      <c r="D114" s="1185"/>
      <c r="E114" s="254"/>
      <c r="F114" s="1185"/>
      <c r="G114" s="255"/>
    </row>
    <row r="115" spans="1:7">
      <c r="A115" s="543">
        <f>1+A114</f>
        <v>19</v>
      </c>
      <c r="B115" s="543" t="s">
        <v>845</v>
      </c>
      <c r="C115" s="551" t="s">
        <v>834</v>
      </c>
      <c r="D115" s="1193">
        <f>'C-2.2.A Total Co Accts Activ '!P87</f>
        <v>0</v>
      </c>
      <c r="E115" s="553">
        <v>1</v>
      </c>
      <c r="F115" s="1193">
        <f>D115</f>
        <v>0</v>
      </c>
      <c r="G115" s="544"/>
    </row>
    <row r="116" spans="1:7">
      <c r="A116" s="543">
        <f>1+A115</f>
        <v>20</v>
      </c>
      <c r="B116" s="543" t="s">
        <v>846</v>
      </c>
      <c r="C116" s="551" t="s">
        <v>847</v>
      </c>
      <c r="D116" s="1193">
        <f>'C-2.2.A Total Co Accts Activ '!P88</f>
        <v>69076.509999999995</v>
      </c>
      <c r="E116" s="553">
        <v>1</v>
      </c>
      <c r="F116" s="1193">
        <f>D116</f>
        <v>69076.509999999995</v>
      </c>
      <c r="G116" s="544"/>
    </row>
    <row r="117" spans="1:7">
      <c r="A117" s="543">
        <f>1+A116</f>
        <v>21</v>
      </c>
      <c r="B117" s="543" t="s">
        <v>848</v>
      </c>
      <c r="C117" s="551" t="s">
        <v>849</v>
      </c>
      <c r="D117" s="1193">
        <f>'C-2.2.A Total Co Accts Activ '!P89</f>
        <v>4372.6500000000005</v>
      </c>
      <c r="E117" s="553">
        <v>1</v>
      </c>
      <c r="F117" s="1193">
        <f>D117</f>
        <v>4372.6500000000005</v>
      </c>
      <c r="G117" s="544"/>
    </row>
    <row r="118" spans="1:7">
      <c r="A118" s="543">
        <f>1+A117</f>
        <v>22</v>
      </c>
      <c r="B118" s="543" t="s">
        <v>850</v>
      </c>
      <c r="C118" s="551" t="s">
        <v>851</v>
      </c>
      <c r="D118" s="1202">
        <f>'C-2.2.A Total Co Accts Activ '!P90</f>
        <v>309067.44</v>
      </c>
      <c r="E118" s="553">
        <v>1</v>
      </c>
      <c r="F118" s="1202">
        <f>D118</f>
        <v>309067.44</v>
      </c>
      <c r="G118" s="544"/>
    </row>
    <row r="119" spans="1:7">
      <c r="A119" s="543">
        <f>1+A118</f>
        <v>23</v>
      </c>
      <c r="B119" s="543"/>
      <c r="C119" s="551" t="s">
        <v>2857</v>
      </c>
      <c r="D119" s="1185">
        <f>SUM(D115:D118)</f>
        <v>382516.6</v>
      </c>
      <c r="E119" s="563" t="s">
        <v>358</v>
      </c>
      <c r="F119" s="1185">
        <f>SUM(F115:F118)</f>
        <v>382516.6</v>
      </c>
      <c r="G119" s="544"/>
    </row>
    <row r="120" spans="1:7">
      <c r="A120" s="254"/>
      <c r="B120" s="543"/>
      <c r="C120" s="544"/>
      <c r="D120" s="1193"/>
      <c r="E120" s="564"/>
      <c r="F120" s="1193"/>
      <c r="G120" s="544"/>
    </row>
    <row r="121" spans="1:7">
      <c r="A121" s="254">
        <f>1+A119</f>
        <v>24</v>
      </c>
      <c r="B121" s="543"/>
      <c r="C121" s="550" t="s">
        <v>2509</v>
      </c>
      <c r="D121" s="1193"/>
      <c r="E121" s="564"/>
      <c r="F121" s="1193"/>
      <c r="G121" s="544"/>
    </row>
    <row r="122" spans="1:7">
      <c r="A122" s="543">
        <f>1+A121</f>
        <v>25</v>
      </c>
      <c r="B122" s="543" t="s">
        <v>853</v>
      </c>
      <c r="C122" s="551" t="s">
        <v>834</v>
      </c>
      <c r="D122" s="1193">
        <f>'C-2.2.A Total Co Accts Activ '!P91</f>
        <v>0</v>
      </c>
      <c r="E122" s="553">
        <v>1</v>
      </c>
      <c r="F122" s="1193">
        <f>D122</f>
        <v>0</v>
      </c>
      <c r="G122" s="544"/>
    </row>
    <row r="123" spans="1:7">
      <c r="A123" s="543">
        <f>1+A122</f>
        <v>26</v>
      </c>
      <c r="B123" s="543" t="s">
        <v>854</v>
      </c>
      <c r="C123" s="551" t="s">
        <v>855</v>
      </c>
      <c r="D123" s="1193">
        <f>'C-2.2.A Total Co Accts Activ '!P92</f>
        <v>5396.7599999999984</v>
      </c>
      <c r="E123" s="553">
        <v>1</v>
      </c>
      <c r="F123" s="1193">
        <f>D123</f>
        <v>5396.7599999999984</v>
      </c>
      <c r="G123" s="544"/>
    </row>
    <row r="124" spans="1:7">
      <c r="A124" s="543">
        <f>1+A123</f>
        <v>27</v>
      </c>
      <c r="B124" s="543" t="s">
        <v>856</v>
      </c>
      <c r="C124" s="551" t="s">
        <v>857</v>
      </c>
      <c r="D124" s="1193">
        <f>'C-2.2.A Total Co Accts Activ '!P93</f>
        <v>11867.8</v>
      </c>
      <c r="E124" s="553">
        <v>1</v>
      </c>
      <c r="F124" s="1193">
        <f>D124</f>
        <v>11867.8</v>
      </c>
      <c r="G124" s="544"/>
    </row>
    <row r="125" spans="1:7">
      <c r="A125" s="543">
        <f>1+A124</f>
        <v>28</v>
      </c>
      <c r="B125" s="543" t="s">
        <v>858</v>
      </c>
      <c r="C125" s="551" t="s">
        <v>859</v>
      </c>
      <c r="D125" s="1203">
        <f>'C-2.2.A Total Co Accts Activ '!P94</f>
        <v>0</v>
      </c>
      <c r="E125" s="553">
        <v>1</v>
      </c>
      <c r="F125" s="1203">
        <f>D125</f>
        <v>0</v>
      </c>
      <c r="G125" s="544"/>
    </row>
    <row r="126" spans="1:7">
      <c r="A126" s="543">
        <f>1+A125</f>
        <v>29</v>
      </c>
      <c r="B126" s="543"/>
      <c r="C126" s="551" t="s">
        <v>2703</v>
      </c>
      <c r="D126" s="1185">
        <f>SUM(D122:D125)</f>
        <v>17264.559999999998</v>
      </c>
      <c r="E126" s="565" t="s">
        <v>358</v>
      </c>
      <c r="F126" s="1185">
        <f>SUM(F122:F125)</f>
        <v>17264.559999999998</v>
      </c>
      <c r="G126" s="544"/>
    </row>
    <row r="127" spans="1:7">
      <c r="A127" s="543"/>
      <c r="B127" s="254"/>
      <c r="C127" s="255"/>
      <c r="D127" s="1193"/>
      <c r="E127" s="564"/>
      <c r="F127" s="1193"/>
      <c r="G127" s="544"/>
    </row>
    <row r="128" spans="1:7">
      <c r="A128" s="254">
        <f>1+A126</f>
        <v>30</v>
      </c>
      <c r="B128" s="543"/>
      <c r="C128" s="550" t="s">
        <v>2858</v>
      </c>
      <c r="D128" s="1193"/>
      <c r="E128" s="564"/>
      <c r="F128" s="1193"/>
      <c r="G128" s="544"/>
    </row>
    <row r="129" spans="1:7">
      <c r="A129" s="543">
        <f t="shared" ref="A129:A139" si="11">1+A128</f>
        <v>31</v>
      </c>
      <c r="B129" s="543" t="s">
        <v>860</v>
      </c>
      <c r="C129" s="551" t="s">
        <v>861</v>
      </c>
      <c r="D129" s="1193">
        <f>'C-2.2.A Total Co Accts Activ '!P95</f>
        <v>11024089.76</v>
      </c>
      <c r="E129" s="553">
        <v>1</v>
      </c>
      <c r="F129" s="1193">
        <f t="shared" ref="F129:F138" si="12">D129</f>
        <v>11024089.76</v>
      </c>
      <c r="G129" s="544"/>
    </row>
    <row r="130" spans="1:7">
      <c r="A130" s="543">
        <f t="shared" si="11"/>
        <v>32</v>
      </c>
      <c r="B130" s="543" t="s">
        <v>862</v>
      </c>
      <c r="C130" s="551" t="s">
        <v>843</v>
      </c>
      <c r="D130" s="1193">
        <f>'C-2.2.A Total Co Accts Activ '!P96</f>
        <v>1813830.3</v>
      </c>
      <c r="E130" s="553">
        <v>1</v>
      </c>
      <c r="F130" s="1193">
        <f t="shared" si="12"/>
        <v>1813830.3</v>
      </c>
      <c r="G130" s="544"/>
    </row>
    <row r="131" spans="1:7">
      <c r="A131" s="543">
        <f t="shared" si="11"/>
        <v>33</v>
      </c>
      <c r="B131" s="543" t="s">
        <v>863</v>
      </c>
      <c r="C131" s="551" t="s">
        <v>864</v>
      </c>
      <c r="D131" s="1193">
        <f>'C-2.2.A Total Co Accts Activ '!P98</f>
        <v>7661206.4899999984</v>
      </c>
      <c r="E131" s="553">
        <v>1</v>
      </c>
      <c r="F131" s="1193">
        <f t="shared" si="12"/>
        <v>7661206.4899999984</v>
      </c>
      <c r="G131" s="544"/>
    </row>
    <row r="132" spans="1:7">
      <c r="A132" s="543">
        <f t="shared" si="11"/>
        <v>34</v>
      </c>
      <c r="B132" s="543" t="s">
        <v>865</v>
      </c>
      <c r="C132" s="551" t="s">
        <v>866</v>
      </c>
      <c r="D132" s="1193">
        <f>'C-2.2.A Total Co Accts Activ '!P99</f>
        <v>80225.180000000008</v>
      </c>
      <c r="E132" s="553">
        <v>1</v>
      </c>
      <c r="F132" s="1193">
        <f t="shared" si="12"/>
        <v>80225.180000000008</v>
      </c>
      <c r="G132" s="544"/>
    </row>
    <row r="133" spans="1:7">
      <c r="A133" s="543">
        <f t="shared" si="11"/>
        <v>35</v>
      </c>
      <c r="B133" s="543" t="s">
        <v>867</v>
      </c>
      <c r="C133" s="551" t="s">
        <v>868</v>
      </c>
      <c r="D133" s="1193">
        <f>'C-2.2.A Total Co Accts Activ '!P100</f>
        <v>1719927.1</v>
      </c>
      <c r="E133" s="553">
        <v>1</v>
      </c>
      <c r="F133" s="1193">
        <f t="shared" si="12"/>
        <v>1719927.1</v>
      </c>
      <c r="G133" s="544"/>
    </row>
    <row r="134" spans="1:7">
      <c r="A134" s="543">
        <f t="shared" si="11"/>
        <v>36</v>
      </c>
      <c r="B134" s="543" t="s">
        <v>869</v>
      </c>
      <c r="C134" s="551" t="s">
        <v>870</v>
      </c>
      <c r="D134" s="1193">
        <f>'C-2.2.A Total Co Accts Activ '!P101</f>
        <v>5509101.9500000002</v>
      </c>
      <c r="E134" s="553">
        <v>1</v>
      </c>
      <c r="F134" s="1193">
        <f t="shared" si="12"/>
        <v>5509101.9500000002</v>
      </c>
      <c r="G134" s="544"/>
    </row>
    <row r="135" spans="1:7">
      <c r="A135" s="543">
        <f t="shared" si="11"/>
        <v>37</v>
      </c>
      <c r="B135" s="543" t="s">
        <v>871</v>
      </c>
      <c r="C135" s="551" t="s">
        <v>872</v>
      </c>
      <c r="D135" s="1193">
        <f>'C-2.2.A Total Co Accts Activ '!P102</f>
        <v>454040.99</v>
      </c>
      <c r="E135" s="553">
        <v>1</v>
      </c>
      <c r="F135" s="1193">
        <f t="shared" si="12"/>
        <v>454040.99</v>
      </c>
      <c r="G135" s="544"/>
    </row>
    <row r="136" spans="1:7">
      <c r="A136" s="543">
        <f t="shared" si="11"/>
        <v>38</v>
      </c>
      <c r="B136" s="543">
        <v>930.1</v>
      </c>
      <c r="C136" s="551" t="s">
        <v>1142</v>
      </c>
      <c r="D136" s="1193">
        <f>'C-2.2.A Total Co Accts Activ '!P103</f>
        <v>30813.47</v>
      </c>
      <c r="E136" s="553">
        <v>1</v>
      </c>
      <c r="F136" s="1193">
        <f>D136</f>
        <v>30813.47</v>
      </c>
      <c r="G136" s="544"/>
    </row>
    <row r="137" spans="1:7">
      <c r="A137" s="543">
        <f t="shared" si="11"/>
        <v>39</v>
      </c>
      <c r="B137" s="543">
        <v>930.2</v>
      </c>
      <c r="C137" s="551" t="s">
        <v>1143</v>
      </c>
      <c r="D137" s="1193">
        <f>'C-2.2.A Total Co Accts Activ '!P104</f>
        <v>126945.37999999999</v>
      </c>
      <c r="E137" s="553">
        <v>1</v>
      </c>
      <c r="F137" s="1193">
        <f>D137</f>
        <v>126945.37999999999</v>
      </c>
      <c r="G137" s="544"/>
    </row>
    <row r="138" spans="1:7">
      <c r="A138" s="543">
        <f t="shared" si="11"/>
        <v>40</v>
      </c>
      <c r="B138" s="543" t="s">
        <v>873</v>
      </c>
      <c r="C138" s="551" t="s">
        <v>874</v>
      </c>
      <c r="D138" s="1203">
        <f>'C-2.2.A Total Co Accts Activ '!P105</f>
        <v>686299.57</v>
      </c>
      <c r="E138" s="553">
        <v>1</v>
      </c>
      <c r="F138" s="1203">
        <f t="shared" si="12"/>
        <v>686299.57</v>
      </c>
      <c r="G138" s="544"/>
    </row>
    <row r="139" spans="1:7">
      <c r="A139" s="543">
        <f t="shared" si="11"/>
        <v>41</v>
      </c>
      <c r="B139" s="544"/>
      <c r="C139" s="551" t="s">
        <v>2859</v>
      </c>
      <c r="D139" s="1185">
        <f>SUM(D129:D138)</f>
        <v>29106480.189999994</v>
      </c>
      <c r="E139" s="565" t="s">
        <v>358</v>
      </c>
      <c r="F139" s="1185">
        <f>SUM(F129:F138)</f>
        <v>29106480.189999994</v>
      </c>
      <c r="G139" s="544"/>
    </row>
    <row r="140" spans="1:7">
      <c r="A140" s="254"/>
      <c r="B140" s="255"/>
      <c r="C140" s="255"/>
      <c r="D140" s="1185"/>
      <c r="E140" s="254"/>
      <c r="F140" s="1185"/>
      <c r="G140" s="255"/>
    </row>
    <row r="141" spans="1:7">
      <c r="A141" s="543">
        <f>1+A139</f>
        <v>42</v>
      </c>
      <c r="B141" s="544"/>
      <c r="C141" s="550" t="s">
        <v>2860</v>
      </c>
      <c r="D141" s="1193"/>
      <c r="E141" s="564"/>
      <c r="F141" s="1193"/>
      <c r="G141" s="544"/>
    </row>
    <row r="142" spans="1:7">
      <c r="A142" s="543">
        <f>A141+1</f>
        <v>43</v>
      </c>
      <c r="B142" s="543">
        <v>932</v>
      </c>
      <c r="C142" s="551" t="s">
        <v>844</v>
      </c>
      <c r="D142" s="1193">
        <f>'C-2.2.A Total Co Accts Activ '!P106</f>
        <v>1830977.2100000002</v>
      </c>
      <c r="E142" s="553">
        <v>1</v>
      </c>
      <c r="F142" s="1193">
        <f>D142</f>
        <v>1830977.2100000002</v>
      </c>
      <c r="G142" s="544"/>
    </row>
    <row r="143" spans="1:7">
      <c r="A143" s="543">
        <f>A142+1</f>
        <v>44</v>
      </c>
      <c r="B143" s="543" t="s">
        <v>875</v>
      </c>
      <c r="C143" s="551" t="s">
        <v>844</v>
      </c>
      <c r="D143" s="1203">
        <f>'C-2.2.A Total Co Accts Activ '!P107</f>
        <v>0</v>
      </c>
      <c r="E143" s="553">
        <v>1</v>
      </c>
      <c r="F143" s="1203">
        <f>D143</f>
        <v>0</v>
      </c>
      <c r="G143" s="543"/>
    </row>
    <row r="144" spans="1:7">
      <c r="A144" s="543">
        <f>1+A143</f>
        <v>45</v>
      </c>
      <c r="B144" s="543"/>
      <c r="C144" s="551" t="s">
        <v>2861</v>
      </c>
      <c r="D144" s="1185">
        <f>SUM(D141:D143)</f>
        <v>1830977.2100000002</v>
      </c>
      <c r="E144" s="553"/>
      <c r="F144" s="1185">
        <f>D144</f>
        <v>1830977.2100000002</v>
      </c>
      <c r="G144" s="544"/>
    </row>
    <row r="145" spans="1:7">
      <c r="A145" s="254"/>
      <c r="B145" s="254"/>
      <c r="C145" s="255"/>
      <c r="D145" s="1185"/>
      <c r="E145" s="254"/>
      <c r="F145" s="1185"/>
      <c r="G145" s="255"/>
    </row>
    <row r="146" spans="1:7">
      <c r="A146" s="543">
        <f>1+A144</f>
        <v>46</v>
      </c>
      <c r="B146" s="543"/>
      <c r="C146" s="551" t="s">
        <v>876</v>
      </c>
      <c r="D146" s="1192">
        <f>D39+D44+D48+D144+D139+D126+D119+D112+D104+D80+D68+D56</f>
        <v>101628033.37</v>
      </c>
      <c r="E146" s="553">
        <v>1</v>
      </c>
      <c r="F146" s="1192">
        <f>F39+F44+F48+F144+F139+F126+F119+F112+F104+F80+F68+F56</f>
        <v>101628033.37</v>
      </c>
    </row>
    <row r="147" spans="1:7">
      <c r="A147" s="254"/>
      <c r="B147" s="254"/>
      <c r="C147" s="255"/>
      <c r="D147" s="1185"/>
      <c r="E147" s="254"/>
      <c r="F147" s="1185"/>
      <c r="G147" s="255"/>
    </row>
    <row r="148" spans="1:7">
      <c r="A148" s="543">
        <f>1+A146</f>
        <v>47</v>
      </c>
      <c r="B148" s="543" t="s">
        <v>877</v>
      </c>
      <c r="C148" s="551" t="s">
        <v>878</v>
      </c>
      <c r="D148" s="1193">
        <f>'C-2.2.A Total Co Accts Activ '!P15</f>
        <v>22462921.900000002</v>
      </c>
      <c r="E148" s="553">
        <v>1</v>
      </c>
      <c r="F148" s="1193">
        <f>D148</f>
        <v>22462921.900000002</v>
      </c>
      <c r="G148" s="543" t="str">
        <f>$G$17</f>
        <v>100%</v>
      </c>
    </row>
    <row r="149" spans="1:7">
      <c r="A149" s="543">
        <f t="shared" ref="A149:A155" si="13">1+A148</f>
        <v>48</v>
      </c>
      <c r="B149" s="543" t="s">
        <v>879</v>
      </c>
      <c r="C149" s="551" t="s">
        <v>1532</v>
      </c>
      <c r="D149" s="1193">
        <f>'C-2.2.A Total Co Accts Activ '!P17</f>
        <v>5687907.7400000002</v>
      </c>
      <c r="E149" s="553">
        <v>1</v>
      </c>
      <c r="F149" s="1193">
        <f t="shared" ref="F149:F155" si="14">D149</f>
        <v>5687907.7400000002</v>
      </c>
      <c r="G149" s="544"/>
    </row>
    <row r="150" spans="1:7">
      <c r="A150" s="543">
        <f t="shared" si="13"/>
        <v>49</v>
      </c>
      <c r="B150" s="543" t="s">
        <v>879</v>
      </c>
      <c r="C150" s="551" t="s">
        <v>1533</v>
      </c>
      <c r="D150" s="1193">
        <f>'C-2.2.A Total Co Accts Activ '!P18</f>
        <v>879840.944183129</v>
      </c>
      <c r="E150" s="553">
        <v>1</v>
      </c>
      <c r="F150" s="1193">
        <f t="shared" si="14"/>
        <v>879840.944183129</v>
      </c>
      <c r="G150" s="544"/>
    </row>
    <row r="151" spans="1:7">
      <c r="A151" s="543">
        <f t="shared" si="13"/>
        <v>50</v>
      </c>
      <c r="B151" s="543" t="s">
        <v>879</v>
      </c>
      <c r="C151" s="551" t="s">
        <v>1534</v>
      </c>
      <c r="D151" s="1193">
        <f>'C-2.2.A Total Co Accts Activ '!P19</f>
        <v>117299.97</v>
      </c>
      <c r="E151" s="553">
        <v>1</v>
      </c>
      <c r="F151" s="1193">
        <f t="shared" si="14"/>
        <v>117299.97</v>
      </c>
      <c r="G151" s="544"/>
    </row>
    <row r="152" spans="1:7">
      <c r="A152" s="543">
        <f t="shared" si="13"/>
        <v>51</v>
      </c>
      <c r="B152" s="543">
        <v>409</v>
      </c>
      <c r="C152" s="551" t="s">
        <v>734</v>
      </c>
      <c r="D152" s="1193">
        <f>+'C-2.2.A Total Co Accts Activ '!P111</f>
        <v>-1130160.5975372186</v>
      </c>
      <c r="E152" s="553">
        <v>1</v>
      </c>
      <c r="F152" s="1193">
        <f t="shared" si="14"/>
        <v>-1130160.5975372186</v>
      </c>
      <c r="G152" s="544"/>
    </row>
    <row r="153" spans="1:7">
      <c r="A153" s="543">
        <f t="shared" si="13"/>
        <v>52</v>
      </c>
      <c r="B153" s="543">
        <v>409</v>
      </c>
      <c r="C153" s="551" t="s">
        <v>735</v>
      </c>
      <c r="D153" s="1193">
        <f>+'C-2.2.A Total Co Accts Activ '!P112</f>
        <v>-1355197.7487691077</v>
      </c>
      <c r="E153" s="553">
        <v>1</v>
      </c>
      <c r="F153" s="1193">
        <f t="shared" si="14"/>
        <v>-1355197.7487691077</v>
      </c>
      <c r="G153" s="544"/>
    </row>
    <row r="154" spans="1:7">
      <c r="A154" s="543">
        <f t="shared" si="13"/>
        <v>53</v>
      </c>
      <c r="B154" s="543" t="s">
        <v>1522</v>
      </c>
      <c r="C154" s="551" t="s">
        <v>2113</v>
      </c>
      <c r="D154" s="1193">
        <f>+'C-2.2.A Total Co Accts Activ '!P113</f>
        <v>6565906.2911834121</v>
      </c>
      <c r="E154" s="553">
        <v>1</v>
      </c>
      <c r="F154" s="1193">
        <f t="shared" si="14"/>
        <v>6565906.2911834121</v>
      </c>
      <c r="G154" s="544"/>
    </row>
    <row r="155" spans="1:7">
      <c r="A155" s="543">
        <f t="shared" si="13"/>
        <v>54</v>
      </c>
      <c r="B155" s="543" t="s">
        <v>1522</v>
      </c>
      <c r="C155" s="551" t="s">
        <v>2925</v>
      </c>
      <c r="D155" s="1191">
        <f>+'C-2.2.A Total Co Accts Activ '!P114</f>
        <v>2731738.4704963155</v>
      </c>
      <c r="E155" s="553">
        <v>1</v>
      </c>
      <c r="F155" s="1191">
        <f t="shared" si="14"/>
        <v>2731738.4704963155</v>
      </c>
      <c r="G155" s="544"/>
    </row>
    <row r="156" spans="1:7">
      <c r="A156" s="254"/>
      <c r="B156" s="255"/>
      <c r="C156" s="255"/>
      <c r="D156" s="1185"/>
      <c r="E156" s="564"/>
      <c r="F156" s="1185"/>
      <c r="G156" s="255"/>
    </row>
    <row r="157" spans="1:7">
      <c r="A157" s="543">
        <f>1+A155</f>
        <v>55</v>
      </c>
      <c r="B157" s="544"/>
      <c r="C157" s="551" t="s">
        <v>752</v>
      </c>
      <c r="D157" s="1192">
        <f>SUM(D146:D155)</f>
        <v>137588290.33955655</v>
      </c>
      <c r="E157" s="553">
        <v>1</v>
      </c>
      <c r="F157" s="1192">
        <f>SUM(F146:F155)</f>
        <v>137588290.33955655</v>
      </c>
      <c r="G157" s="544"/>
    </row>
    <row r="158" spans="1:7">
      <c r="A158" s="254"/>
      <c r="B158" s="255"/>
      <c r="C158" s="255"/>
      <c r="D158" s="1185"/>
      <c r="E158" s="254"/>
      <c r="F158" s="1185"/>
      <c r="G158" s="255"/>
    </row>
    <row r="159" spans="1:7">
      <c r="A159" s="543">
        <f>1+A157</f>
        <v>56</v>
      </c>
      <c r="B159" s="544"/>
      <c r="C159" s="551" t="s">
        <v>753</v>
      </c>
      <c r="D159" s="1192">
        <f>D34-D157</f>
        <v>32630221.413041174</v>
      </c>
      <c r="E159" s="553">
        <v>1</v>
      </c>
      <c r="F159" s="1192">
        <f>D159</f>
        <v>32630221.413041174</v>
      </c>
      <c r="G159" s="544"/>
    </row>
    <row r="160" spans="1:7">
      <c r="A160" s="255"/>
      <c r="B160" s="255"/>
      <c r="C160" s="255"/>
      <c r="D160" s="554"/>
      <c r="E160" s="255"/>
      <c r="F160" s="255"/>
      <c r="G160" s="255"/>
    </row>
    <row r="161" spans="1:7">
      <c r="A161" s="566"/>
      <c r="B161" s="546"/>
      <c r="C161" s="546"/>
      <c r="D161" s="546"/>
      <c r="E161" s="546"/>
      <c r="F161" s="546"/>
      <c r="G161" s="546"/>
    </row>
    <row r="162" spans="1:7">
      <c r="A162" s="566"/>
      <c r="B162" s="546"/>
      <c r="C162" s="546"/>
      <c r="D162" s="546"/>
      <c r="E162" s="546"/>
      <c r="F162" s="546"/>
      <c r="G162" s="546"/>
    </row>
    <row r="163" spans="1:7">
      <c r="A163" s="566"/>
      <c r="B163" s="546"/>
      <c r="C163" s="568"/>
      <c r="D163" s="569"/>
      <c r="E163" s="546"/>
      <c r="F163" s="546"/>
      <c r="G163" s="546"/>
    </row>
    <row r="164" spans="1:7">
      <c r="A164" s="566"/>
      <c r="B164" s="546"/>
      <c r="C164" s="546"/>
      <c r="D164" s="546"/>
      <c r="E164" s="546"/>
      <c r="F164" s="546"/>
      <c r="G164" s="546"/>
    </row>
  </sheetData>
  <mergeCells count="8">
    <mergeCell ref="A83:G83"/>
    <mergeCell ref="A84:G84"/>
    <mergeCell ref="A1:G1"/>
    <mergeCell ref="A2:G2"/>
    <mergeCell ref="A3:G3"/>
    <mergeCell ref="A4:G4"/>
    <mergeCell ref="A81:G81"/>
    <mergeCell ref="A82:G82"/>
  </mergeCells>
  <printOptions horizontalCentered="1"/>
  <pageMargins left="0.5" right="0.5" top="0.75" bottom="0.5" header="0.3" footer="0.3"/>
  <pageSetup scale="69" fitToHeight="2" orientation="portrait" r:id="rId1"/>
  <rowBreaks count="1" manualBreakCount="1">
    <brk id="80" max="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283"/>
  <sheetViews>
    <sheetView zoomScaleNormal="100" zoomScaleSheetLayoutView="100" workbookViewId="0">
      <selection activeCell="A3" sqref="A3:G3"/>
    </sheetView>
  </sheetViews>
  <sheetFormatPr defaultColWidth="9.33203125" defaultRowHeight="10.5"/>
  <cols>
    <col min="1" max="1" width="5.5" style="1010" customWidth="1"/>
    <col min="2" max="2" width="11.6640625" style="528" customWidth="1"/>
    <col min="3" max="3" width="93" style="528" bestFit="1" customWidth="1"/>
    <col min="4" max="4" width="17.6640625" style="528" bestFit="1" customWidth="1"/>
    <col min="5" max="5" width="15.6640625" style="528" customWidth="1"/>
    <col min="6" max="6" width="18" style="528" bestFit="1" customWidth="1"/>
    <col min="7" max="7" width="18.33203125" style="528" customWidth="1"/>
    <col min="8" max="16384" width="9.33203125" style="528"/>
  </cols>
  <sheetData>
    <row r="1" spans="1:7" ht="12.75">
      <c r="A1" s="1324" t="str">
        <f>'General Headers Index'!B4</f>
        <v>COLUMBIA GAS OF KENTUCKY, INC.</v>
      </c>
      <c r="B1" s="1323"/>
      <c r="C1" s="1323"/>
      <c r="D1" s="1323"/>
      <c r="E1" s="1323"/>
      <c r="F1" s="1323"/>
      <c r="G1" s="1323"/>
    </row>
    <row r="2" spans="1:7" ht="12.75">
      <c r="A2" s="1324" t="str">
        <f>'General Headers Index'!B6</f>
        <v>CASE NO. 2024 - 00092</v>
      </c>
      <c r="B2" s="1323"/>
      <c r="C2" s="1323"/>
      <c r="D2" s="1323"/>
      <c r="E2" s="1323"/>
      <c r="F2" s="1323"/>
      <c r="G2" s="1323"/>
    </row>
    <row r="3" spans="1:7" ht="12.75">
      <c r="A3" s="1324" t="str">
        <f>'Index C'!$C$24</f>
        <v>FORECASTED PERIOD OPERATING REVENUE AND EXPENSES, BY ACCOUNT - JURISDICTIONAL</v>
      </c>
      <c r="B3" s="1323"/>
      <c r="C3" s="1323"/>
      <c r="D3" s="1323"/>
      <c r="E3" s="1323"/>
      <c r="F3" s="1323"/>
      <c r="G3" s="1323"/>
    </row>
    <row r="4" spans="1:7" ht="12.75">
      <c r="A4" s="1324" t="str">
        <f>'General Headers Index'!B15</f>
        <v>FOR THE TWELVE MONTHS ENDED DECEMBER 31, 2025</v>
      </c>
      <c r="B4" s="1323"/>
      <c r="C4" s="1323"/>
      <c r="D4" s="1323"/>
      <c r="E4" s="1323"/>
      <c r="F4" s="1323"/>
      <c r="G4" s="1323"/>
    </row>
    <row r="5" spans="1:7" ht="12.75">
      <c r="A5" s="254"/>
      <c r="B5" s="544"/>
      <c r="C5" s="255"/>
      <c r="D5" s="255"/>
      <c r="E5" s="288"/>
      <c r="F5" s="255"/>
      <c r="G5" s="545"/>
    </row>
    <row r="6" spans="1:7" ht="12.75">
      <c r="A6" s="286" t="s">
        <v>2833</v>
      </c>
      <c r="B6" s="255"/>
      <c r="C6" s="255"/>
      <c r="D6" s="255"/>
      <c r="E6" s="255"/>
      <c r="F6" s="546"/>
      <c r="G6" s="547" t="s">
        <v>2962</v>
      </c>
    </row>
    <row r="7" spans="1:7" ht="12.75">
      <c r="A7" s="286" t="str">
        <f>'General Headers Index'!B37</f>
        <v>TYPE OF FILING:___X___ORIGINAL______UPDATED</v>
      </c>
      <c r="B7" s="255"/>
      <c r="C7" s="255"/>
      <c r="D7" s="255"/>
      <c r="E7" s="255"/>
      <c r="F7" s="546"/>
      <c r="G7" s="547" t="s">
        <v>754</v>
      </c>
    </row>
    <row r="8" spans="1:7" ht="12.75">
      <c r="A8" s="286" t="s">
        <v>575</v>
      </c>
      <c r="B8" s="255"/>
      <c r="C8" s="255"/>
      <c r="D8" s="255"/>
      <c r="E8" s="255"/>
      <c r="F8" s="546"/>
      <c r="G8" s="545" t="str">
        <f>"WITNESS: "&amp;'General Headers Index'!B45</f>
        <v>WITNESS: SHAEFFER</v>
      </c>
    </row>
    <row r="9" spans="1:7" ht="12.75">
      <c r="A9" s="850"/>
      <c r="B9" s="851"/>
      <c r="C9" s="851"/>
      <c r="D9" s="851"/>
      <c r="E9" s="851"/>
      <c r="F9" s="852"/>
      <c r="G9" s="853"/>
    </row>
    <row r="10" spans="1:7" s="1010" customFormat="1" ht="12.75">
      <c r="A10" s="254"/>
      <c r="B10" s="254"/>
      <c r="C10" s="254"/>
      <c r="D10" s="543" t="s">
        <v>755</v>
      </c>
      <c r="E10" s="254"/>
      <c r="F10" s="254"/>
      <c r="G10" s="254" t="s">
        <v>350</v>
      </c>
    </row>
    <row r="11" spans="1:7" s="1010" customFormat="1" ht="12.75">
      <c r="A11" s="543" t="s">
        <v>313</v>
      </c>
      <c r="B11" s="543" t="s">
        <v>429</v>
      </c>
      <c r="C11" s="543"/>
      <c r="D11" s="543" t="s">
        <v>349</v>
      </c>
      <c r="E11" s="543" t="s">
        <v>756</v>
      </c>
      <c r="F11" s="543" t="s">
        <v>755</v>
      </c>
      <c r="G11" s="254" t="s">
        <v>757</v>
      </c>
    </row>
    <row r="12" spans="1:7" s="1010" customFormat="1" ht="12.75">
      <c r="A12" s="1017" t="s">
        <v>316</v>
      </c>
      <c r="B12" s="1017" t="s">
        <v>758</v>
      </c>
      <c r="C12" s="1017" t="s">
        <v>440</v>
      </c>
      <c r="D12" s="1017" t="s">
        <v>759</v>
      </c>
      <c r="E12" s="1017" t="s">
        <v>760</v>
      </c>
      <c r="F12" s="1017" t="s">
        <v>372</v>
      </c>
      <c r="G12" s="1017" t="s">
        <v>451</v>
      </c>
    </row>
    <row r="13" spans="1:7" ht="12.75">
      <c r="A13" s="254"/>
      <c r="B13" s="255"/>
      <c r="C13" s="255"/>
      <c r="D13" s="543" t="s">
        <v>532</v>
      </c>
      <c r="E13" s="543" t="s">
        <v>541</v>
      </c>
      <c r="F13" s="543" t="s">
        <v>542</v>
      </c>
      <c r="G13" s="543" t="s">
        <v>668</v>
      </c>
    </row>
    <row r="14" spans="1:7" ht="12.75">
      <c r="A14" s="254"/>
      <c r="B14" s="255"/>
      <c r="C14" s="255"/>
      <c r="D14" s="543" t="s">
        <v>320</v>
      </c>
      <c r="E14" s="543" t="s">
        <v>529</v>
      </c>
      <c r="F14" s="543" t="s">
        <v>320</v>
      </c>
      <c r="G14" s="255"/>
    </row>
    <row r="15" spans="1:7" ht="12.75">
      <c r="A15" s="543">
        <v>1</v>
      </c>
      <c r="B15" s="544"/>
      <c r="C15" s="550" t="s">
        <v>761</v>
      </c>
      <c r="D15" s="255"/>
      <c r="E15" s="255"/>
      <c r="F15" s="255"/>
      <c r="G15" s="255"/>
    </row>
    <row r="16" spans="1:7" ht="12.75">
      <c r="A16" s="543">
        <f t="shared" ref="A16:A27" si="0">1+A15</f>
        <v>2</v>
      </c>
      <c r="B16" s="544"/>
      <c r="C16" s="550" t="s">
        <v>2851</v>
      </c>
      <c r="D16" s="255"/>
      <c r="E16" s="255"/>
      <c r="F16" s="255"/>
      <c r="G16" s="255"/>
    </row>
    <row r="17" spans="1:7" ht="12.75">
      <c r="A17" s="543">
        <f t="shared" si="0"/>
        <v>3</v>
      </c>
      <c r="B17" s="543" t="s">
        <v>762</v>
      </c>
      <c r="C17" s="551" t="s">
        <v>1513</v>
      </c>
      <c r="D17" s="1193">
        <f>-'C-2.2.B Total Co Accts Activ '!P20</f>
        <v>21917977.089999996</v>
      </c>
      <c r="E17" s="553">
        <v>1</v>
      </c>
      <c r="F17" s="1193">
        <f>D17</f>
        <v>21917977.089999996</v>
      </c>
      <c r="G17" s="543" t="s">
        <v>764</v>
      </c>
    </row>
    <row r="18" spans="1:7" ht="12.75">
      <c r="A18" s="543">
        <f t="shared" si="0"/>
        <v>4</v>
      </c>
      <c r="B18" s="543" t="s">
        <v>762</v>
      </c>
      <c r="C18" s="551" t="s">
        <v>1514</v>
      </c>
      <c r="D18" s="1193">
        <f>-'C-2.2.B Total Co Accts Activ '!P21</f>
        <v>66740540.610000014</v>
      </c>
      <c r="E18" s="553">
        <v>1</v>
      </c>
      <c r="F18" s="1193">
        <f t="shared" ref="F18:F26" si="1">D18</f>
        <v>66740540.610000014</v>
      </c>
    </row>
    <row r="19" spans="1:7" ht="12.75">
      <c r="A19" s="543">
        <f t="shared" si="0"/>
        <v>5</v>
      </c>
      <c r="B19" s="543" t="s">
        <v>765</v>
      </c>
      <c r="C19" s="551" t="s">
        <v>1515</v>
      </c>
      <c r="D19" s="1193">
        <f>-'C-2.2.B Total Co Accts Activ '!P22</f>
        <v>12851093.83</v>
      </c>
      <c r="E19" s="553">
        <v>1</v>
      </c>
      <c r="F19" s="1193">
        <f t="shared" si="1"/>
        <v>12851093.83</v>
      </c>
      <c r="G19" s="543"/>
    </row>
    <row r="20" spans="1:7" ht="12.75">
      <c r="A20" s="543">
        <f t="shared" si="0"/>
        <v>6</v>
      </c>
      <c r="B20" s="543" t="s">
        <v>765</v>
      </c>
      <c r="C20" s="551" t="s">
        <v>1516</v>
      </c>
      <c r="D20" s="1193">
        <f>-'C-2.2.B Total Co Accts Activ '!P23</f>
        <v>24519165.150000002</v>
      </c>
      <c r="E20" s="553">
        <v>1</v>
      </c>
      <c r="F20" s="1193">
        <f t="shared" si="1"/>
        <v>24519165.150000002</v>
      </c>
      <c r="G20" s="544"/>
    </row>
    <row r="21" spans="1:7" ht="12.75">
      <c r="A21" s="543">
        <f t="shared" si="0"/>
        <v>7</v>
      </c>
      <c r="B21" s="543" t="s">
        <v>767</v>
      </c>
      <c r="C21" s="551" t="s">
        <v>1517</v>
      </c>
      <c r="D21" s="1193">
        <f>-'C-2.2.B Total Co Accts Activ '!P24</f>
        <v>613309.34999999986</v>
      </c>
      <c r="E21" s="553">
        <v>1</v>
      </c>
      <c r="F21" s="1193">
        <f t="shared" si="1"/>
        <v>613309.34999999986</v>
      </c>
      <c r="G21" s="544"/>
    </row>
    <row r="22" spans="1:7" ht="12.75">
      <c r="A22" s="543">
        <f t="shared" si="0"/>
        <v>8</v>
      </c>
      <c r="B22" s="543" t="s">
        <v>767</v>
      </c>
      <c r="C22" s="551" t="s">
        <v>1518</v>
      </c>
      <c r="D22" s="1193">
        <f>-'C-2.2.B Total Co Accts Activ '!P25</f>
        <v>562050.51</v>
      </c>
      <c r="E22" s="553">
        <v>1</v>
      </c>
      <c r="F22" s="1193">
        <f t="shared" si="1"/>
        <v>562050.51</v>
      </c>
      <c r="G22" s="544"/>
    </row>
    <row r="23" spans="1:7" ht="12.75">
      <c r="A23" s="543">
        <f t="shared" si="0"/>
        <v>9</v>
      </c>
      <c r="B23" s="543" t="s">
        <v>769</v>
      </c>
      <c r="C23" s="551" t="s">
        <v>1519</v>
      </c>
      <c r="D23" s="1193">
        <f>-'C-2.2.B Total Co Accts Activ '!P26</f>
        <v>0</v>
      </c>
      <c r="E23" s="553">
        <v>1</v>
      </c>
      <c r="F23" s="1193">
        <f t="shared" si="1"/>
        <v>0</v>
      </c>
      <c r="G23" s="544"/>
    </row>
    <row r="24" spans="1:7" ht="12.75">
      <c r="A24" s="543">
        <f t="shared" si="0"/>
        <v>10</v>
      </c>
      <c r="B24" s="543" t="s">
        <v>769</v>
      </c>
      <c r="C24" s="551" t="s">
        <v>1520</v>
      </c>
      <c r="D24" s="1193">
        <f>-'C-2.2.B Total Co Accts Activ '!P27</f>
        <v>0</v>
      </c>
      <c r="E24" s="553">
        <v>1</v>
      </c>
      <c r="F24" s="1193">
        <f t="shared" si="1"/>
        <v>0</v>
      </c>
      <c r="G24" s="544"/>
    </row>
    <row r="25" spans="1:7" ht="12.75">
      <c r="A25" s="543">
        <f t="shared" si="0"/>
        <v>11</v>
      </c>
      <c r="B25" s="254">
        <v>483</v>
      </c>
      <c r="C25" s="551" t="s">
        <v>2099</v>
      </c>
      <c r="D25" s="1193">
        <f>-'C-2.2.B Total Co Accts Activ '!P28</f>
        <v>30641.4</v>
      </c>
      <c r="E25" s="553">
        <v>1</v>
      </c>
      <c r="F25" s="1193">
        <f t="shared" si="1"/>
        <v>30641.4</v>
      </c>
      <c r="G25" s="544"/>
    </row>
    <row r="26" spans="1:7" ht="12.75">
      <c r="A26" s="543">
        <f t="shared" si="0"/>
        <v>12</v>
      </c>
      <c r="B26" s="254">
        <v>483</v>
      </c>
      <c r="C26" s="551" t="s">
        <v>2100</v>
      </c>
      <c r="D26" s="1202">
        <f>-'C-2.2.B Total Co Accts Activ '!P29</f>
        <v>35242.9</v>
      </c>
      <c r="E26" s="553">
        <v>1</v>
      </c>
      <c r="F26" s="1202">
        <f t="shared" si="1"/>
        <v>35242.9</v>
      </c>
      <c r="G26" s="544"/>
    </row>
    <row r="27" spans="1:7" ht="12.75">
      <c r="A27" s="543">
        <f t="shared" si="0"/>
        <v>13</v>
      </c>
      <c r="B27" s="543"/>
      <c r="C27" s="551" t="s">
        <v>2847</v>
      </c>
      <c r="D27" s="1185">
        <f>SUM(D17:D26)</f>
        <v>127270020.84000003</v>
      </c>
      <c r="E27" s="553" t="s">
        <v>358</v>
      </c>
      <c r="F27" s="1185">
        <f>SUM(F17:F26)</f>
        <v>127270020.84000003</v>
      </c>
      <c r="G27" s="544"/>
    </row>
    <row r="28" spans="1:7" ht="12.75">
      <c r="A28" s="543"/>
      <c r="B28" s="254"/>
      <c r="C28" s="255"/>
      <c r="D28" s="1185"/>
      <c r="E28" s="553"/>
      <c r="F28" s="1185"/>
      <c r="G28" s="544"/>
    </row>
    <row r="29" spans="1:7" ht="12.75">
      <c r="A29" s="543">
        <f>1+A27</f>
        <v>14</v>
      </c>
      <c r="B29" s="254"/>
      <c r="C29" s="550" t="s">
        <v>966</v>
      </c>
      <c r="D29" s="1185"/>
      <c r="E29" s="555"/>
      <c r="F29" s="1185"/>
      <c r="G29" s="544"/>
    </row>
    <row r="30" spans="1:7" ht="12.75">
      <c r="A30" s="543">
        <f>A29+1</f>
        <v>15</v>
      </c>
      <c r="B30" s="543" t="s">
        <v>771</v>
      </c>
      <c r="C30" s="551" t="s">
        <v>772</v>
      </c>
      <c r="D30" s="1185">
        <f>-'C-2.2.B Total Co Accts Activ '!P30</f>
        <v>590096.80666666676</v>
      </c>
      <c r="E30" s="553">
        <v>1</v>
      </c>
      <c r="F30" s="1185">
        <f t="shared" ref="F30:F36" si="2">D30</f>
        <v>590096.80666666676</v>
      </c>
      <c r="G30" s="544"/>
    </row>
    <row r="31" spans="1:7" ht="12.75">
      <c r="A31" s="543">
        <f>A30+1</f>
        <v>16</v>
      </c>
      <c r="B31" s="543" t="s">
        <v>773</v>
      </c>
      <c r="C31" s="551" t="s">
        <v>774</v>
      </c>
      <c r="D31" s="1185">
        <f>-'C-2.2.B Total Co Accts Activ '!P31</f>
        <v>128280.12333333342</v>
      </c>
      <c r="E31" s="553">
        <v>1</v>
      </c>
      <c r="F31" s="1185">
        <f t="shared" si="2"/>
        <v>128280.12333333342</v>
      </c>
      <c r="G31" s="544"/>
    </row>
    <row r="32" spans="1:7" ht="12.75">
      <c r="A32" s="543">
        <f t="shared" ref="A32:A37" si="3">1+A31</f>
        <v>17</v>
      </c>
      <c r="B32" s="556">
        <v>489.3</v>
      </c>
      <c r="C32" s="551" t="s">
        <v>2101</v>
      </c>
      <c r="D32" s="1185">
        <f>-'C-2.2.B Total Co Accts Activ '!P32</f>
        <v>7174290.5699999984</v>
      </c>
      <c r="E32" s="553">
        <v>1</v>
      </c>
      <c r="F32" s="1185">
        <f t="shared" si="2"/>
        <v>7174290.5699999984</v>
      </c>
      <c r="G32" s="255"/>
    </row>
    <row r="33" spans="1:10" ht="12.75">
      <c r="A33" s="543">
        <f t="shared" si="3"/>
        <v>18</v>
      </c>
      <c r="B33" s="543">
        <v>489.31</v>
      </c>
      <c r="C33" s="551" t="s">
        <v>2102</v>
      </c>
      <c r="D33" s="1185">
        <f>-'C-2.2.B Total Co Accts Activ '!P33</f>
        <v>8854862.3900000006</v>
      </c>
      <c r="E33" s="553">
        <v>1</v>
      </c>
      <c r="F33" s="1185">
        <f t="shared" si="2"/>
        <v>8854862.3900000006</v>
      </c>
      <c r="G33" s="255"/>
    </row>
    <row r="34" spans="1:10" ht="12.75">
      <c r="A34" s="543">
        <f t="shared" si="3"/>
        <v>19</v>
      </c>
      <c r="B34" s="543">
        <v>489.32</v>
      </c>
      <c r="C34" s="551" t="s">
        <v>2103</v>
      </c>
      <c r="D34" s="1185">
        <f>-'C-2.2.B Total Co Accts Activ '!P34</f>
        <v>6555576.7499999991</v>
      </c>
      <c r="E34" s="553">
        <v>1</v>
      </c>
      <c r="F34" s="1185">
        <f t="shared" si="2"/>
        <v>6555576.7499999991</v>
      </c>
      <c r="G34" s="255"/>
    </row>
    <row r="35" spans="1:10" ht="12.75">
      <c r="A35" s="543">
        <f t="shared" si="3"/>
        <v>20</v>
      </c>
      <c r="B35" s="543">
        <v>493</v>
      </c>
      <c r="C35" s="551" t="s">
        <v>2141</v>
      </c>
      <c r="D35" s="1185">
        <f>-'C-2.2.B Total Co Accts Activ '!P35</f>
        <v>99708.809999999983</v>
      </c>
      <c r="E35" s="553">
        <v>1</v>
      </c>
      <c r="F35" s="1185">
        <f t="shared" si="2"/>
        <v>99708.809999999983</v>
      </c>
      <c r="G35" s="255"/>
    </row>
    <row r="36" spans="1:10" ht="12.75">
      <c r="A36" s="543">
        <f t="shared" si="3"/>
        <v>21</v>
      </c>
      <c r="B36" s="543">
        <v>495</v>
      </c>
      <c r="C36" s="551" t="s">
        <v>2104</v>
      </c>
      <c r="D36" s="1202">
        <f>-'C-2.2.B Total Co Accts Activ '!P36</f>
        <v>147849.33666666667</v>
      </c>
      <c r="E36" s="553">
        <v>1</v>
      </c>
      <c r="F36" s="1202">
        <f t="shared" si="2"/>
        <v>147849.33666666667</v>
      </c>
      <c r="G36" s="255"/>
    </row>
    <row r="37" spans="1:10" ht="12.75">
      <c r="A37" s="543">
        <f t="shared" si="3"/>
        <v>22</v>
      </c>
      <c r="B37" s="254"/>
      <c r="C37" s="551" t="s">
        <v>2848</v>
      </c>
      <c r="D37" s="1185">
        <f>SUM(D30:D36)</f>
        <v>23550664.786666662</v>
      </c>
      <c r="E37" s="553" t="s">
        <v>358</v>
      </c>
      <c r="F37" s="1185">
        <f>SUM(F30:F36)</f>
        <v>23550664.786666662</v>
      </c>
      <c r="G37" s="544"/>
    </row>
    <row r="38" spans="1:10" ht="12.75">
      <c r="A38" s="543"/>
      <c r="B38" s="254"/>
      <c r="C38" s="255"/>
      <c r="D38" s="1193"/>
      <c r="E38" s="553" t="s">
        <v>358</v>
      </c>
      <c r="F38" s="1193"/>
      <c r="G38" s="544"/>
    </row>
    <row r="39" spans="1:10" ht="12.75">
      <c r="A39" s="543">
        <f>A37+1</f>
        <v>23</v>
      </c>
      <c r="B39" s="543"/>
      <c r="C39" s="551" t="s">
        <v>2846</v>
      </c>
      <c r="D39" s="1192">
        <f>D27+D37</f>
        <v>150820685.62666669</v>
      </c>
      <c r="E39" s="553" t="s">
        <v>358</v>
      </c>
      <c r="F39" s="1192">
        <f>(F27+F37)</f>
        <v>150820685.62666669</v>
      </c>
      <c r="G39" s="544"/>
    </row>
    <row r="40" spans="1:10" ht="12.75">
      <c r="A40" s="543"/>
      <c r="B40" s="254"/>
      <c r="C40" s="255"/>
      <c r="D40" s="1193"/>
      <c r="E40" s="555"/>
      <c r="F40" s="1193"/>
      <c r="G40" s="255"/>
    </row>
    <row r="41" spans="1:10" ht="12.75">
      <c r="A41" s="543">
        <f>1+A39</f>
        <v>24</v>
      </c>
      <c r="B41" s="254"/>
      <c r="C41" s="550" t="s">
        <v>729</v>
      </c>
      <c r="D41" s="1193"/>
      <c r="E41" s="555"/>
      <c r="F41" s="1193"/>
      <c r="G41" s="255"/>
    </row>
    <row r="42" spans="1:10" s="1018" customFormat="1" ht="12.75">
      <c r="A42" s="543">
        <f>+A41+1</f>
        <v>25</v>
      </c>
      <c r="B42" s="254"/>
      <c r="C42" s="287" t="s">
        <v>2920</v>
      </c>
      <c r="D42" s="1193"/>
      <c r="E42" s="557"/>
      <c r="F42" s="1193"/>
      <c r="G42" s="255"/>
      <c r="H42" s="285"/>
      <c r="I42" s="546"/>
      <c r="J42" s="558"/>
    </row>
    <row r="43" spans="1:10" ht="12.75">
      <c r="A43" s="543">
        <f t="shared" ref="A43:A49" si="4">+A42+1</f>
        <v>26</v>
      </c>
      <c r="B43" s="254">
        <v>852</v>
      </c>
      <c r="C43" s="551" t="s">
        <v>2921</v>
      </c>
      <c r="D43" s="1185">
        <f>'C-2.2.B Total Co Accts Activ '!P51</f>
        <v>2561.7199999999998</v>
      </c>
      <c r="E43" s="553">
        <v>1</v>
      </c>
      <c r="F43" s="1185">
        <f>D43</f>
        <v>2561.7199999999998</v>
      </c>
      <c r="G43" s="543" t="str">
        <f>$G$17</f>
        <v>100%</v>
      </c>
      <c r="H43" s="285"/>
      <c r="I43" s="546"/>
    </row>
    <row r="44" spans="1:10" ht="12.75">
      <c r="A44" s="543">
        <f t="shared" si="4"/>
        <v>27</v>
      </c>
      <c r="B44" s="254">
        <v>859</v>
      </c>
      <c r="C44" s="551" t="s">
        <v>815</v>
      </c>
      <c r="D44" s="1188">
        <f>'C-2.2.B Total Co Accts Activ '!P52</f>
        <v>989.91000000000031</v>
      </c>
      <c r="E44" s="553">
        <v>1</v>
      </c>
      <c r="F44" s="1188">
        <f>D44</f>
        <v>989.91000000000031</v>
      </c>
      <c r="G44" s="255"/>
      <c r="H44" s="285"/>
      <c r="I44" s="546"/>
    </row>
    <row r="45" spans="1:10" s="1018" customFormat="1" ht="12.75">
      <c r="A45" s="543">
        <f t="shared" si="4"/>
        <v>28</v>
      </c>
      <c r="B45" s="254"/>
      <c r="C45" s="551" t="s">
        <v>2922</v>
      </c>
      <c r="D45" s="1193">
        <f>SUM(D43:D44)</f>
        <v>3551.63</v>
      </c>
      <c r="E45" s="555"/>
      <c r="F45" s="1193">
        <f>SUM(F43:F44)</f>
        <v>3551.63</v>
      </c>
      <c r="G45" s="255"/>
      <c r="H45" s="285"/>
      <c r="I45" s="546"/>
      <c r="J45" s="558"/>
    </row>
    <row r="46" spans="1:10" s="1018" customFormat="1" ht="12.75">
      <c r="A46" s="543"/>
      <c r="B46" s="254"/>
      <c r="C46" s="551"/>
      <c r="D46" s="1193"/>
      <c r="E46" s="555"/>
      <c r="F46" s="1193"/>
      <c r="G46" s="255"/>
      <c r="H46" s="285"/>
      <c r="I46" s="546"/>
      <c r="J46" s="558"/>
    </row>
    <row r="47" spans="1:10" s="1018" customFormat="1" ht="12.75">
      <c r="A47" s="543">
        <f>+A45+1</f>
        <v>29</v>
      </c>
      <c r="B47" s="254"/>
      <c r="C47" s="287" t="s">
        <v>2923</v>
      </c>
      <c r="D47" s="1193"/>
      <c r="E47" s="555"/>
      <c r="F47" s="1193"/>
      <c r="G47" s="255"/>
      <c r="H47" s="285"/>
      <c r="I47" s="546"/>
      <c r="J47" s="558"/>
    </row>
    <row r="48" spans="1:10" ht="12.75">
      <c r="A48" s="543">
        <f t="shared" si="4"/>
        <v>30</v>
      </c>
      <c r="B48" s="254">
        <v>865</v>
      </c>
      <c r="C48" s="551" t="s">
        <v>1521</v>
      </c>
      <c r="D48" s="1188">
        <f>'C-2.2.B Total Co Accts Activ '!P53</f>
        <v>831.12999999999988</v>
      </c>
      <c r="E48" s="553">
        <v>1</v>
      </c>
      <c r="F48" s="1188">
        <f>D48</f>
        <v>831.12999999999988</v>
      </c>
      <c r="G48" s="255"/>
      <c r="H48" s="285"/>
      <c r="I48" s="546"/>
    </row>
    <row r="49" spans="1:10" s="1018" customFormat="1" ht="12.75">
      <c r="A49" s="543">
        <f t="shared" si="4"/>
        <v>31</v>
      </c>
      <c r="B49" s="254"/>
      <c r="C49" s="551" t="s">
        <v>2924</v>
      </c>
      <c r="D49" s="1193">
        <f>SUM(D48)</f>
        <v>831.12999999999988</v>
      </c>
      <c r="E49" s="557"/>
      <c r="F49" s="1193">
        <f>SUM(F48)</f>
        <v>831.12999999999988</v>
      </c>
      <c r="G49" s="255"/>
      <c r="H49" s="285"/>
      <c r="I49" s="546"/>
      <c r="J49" s="558"/>
    </row>
    <row r="50" spans="1:10" s="1018" customFormat="1" ht="12.75">
      <c r="A50" s="543"/>
      <c r="B50" s="254"/>
      <c r="C50" s="550"/>
      <c r="D50" s="1193"/>
      <c r="E50" s="557"/>
      <c r="F50" s="1193"/>
      <c r="G50" s="255"/>
      <c r="H50" s="285"/>
      <c r="I50" s="546"/>
      <c r="J50" s="558"/>
    </row>
    <row r="51" spans="1:10" ht="12.75">
      <c r="A51" s="543">
        <f>1+A49</f>
        <v>32</v>
      </c>
      <c r="B51" s="254"/>
      <c r="C51" s="287" t="s">
        <v>777</v>
      </c>
      <c r="D51" s="1185"/>
      <c r="E51" s="553"/>
      <c r="F51" s="1185"/>
      <c r="G51" s="255"/>
    </row>
    <row r="52" spans="1:10" ht="12.75">
      <c r="A52" s="543">
        <f t="shared" ref="A52:A57" si="5">1+A51</f>
        <v>33</v>
      </c>
      <c r="B52" s="254" t="s">
        <v>778</v>
      </c>
      <c r="C52" s="551" t="s">
        <v>545</v>
      </c>
      <c r="D52" s="1185">
        <f>'C-2.2.B Total Co Accts Activ '!P37</f>
        <v>0</v>
      </c>
      <c r="E52" s="553">
        <v>1</v>
      </c>
      <c r="F52" s="1185">
        <f>D52</f>
        <v>0</v>
      </c>
      <c r="G52" s="544"/>
    </row>
    <row r="53" spans="1:10" ht="12.75">
      <c r="A53" s="543">
        <f t="shared" si="5"/>
        <v>34</v>
      </c>
      <c r="B53" s="254" t="s">
        <v>779</v>
      </c>
      <c r="C53" s="551" t="s">
        <v>780</v>
      </c>
      <c r="D53" s="1185">
        <f>'C-2.2.B Total Co Accts Activ '!P38</f>
        <v>0</v>
      </c>
      <c r="E53" s="553">
        <v>1</v>
      </c>
      <c r="F53" s="1185">
        <f>D53</f>
        <v>0</v>
      </c>
      <c r="G53" s="544"/>
    </row>
    <row r="54" spans="1:10" ht="12.75">
      <c r="A54" s="543">
        <f t="shared" si="5"/>
        <v>35</v>
      </c>
      <c r="B54" s="254" t="s">
        <v>781</v>
      </c>
      <c r="C54" s="551" t="s">
        <v>782</v>
      </c>
      <c r="D54" s="1185">
        <f>'C-2.2.B Total Co Accts Activ '!P39</f>
        <v>0</v>
      </c>
      <c r="E54" s="553">
        <v>1</v>
      </c>
      <c r="F54" s="1185">
        <f>D54</f>
        <v>0</v>
      </c>
      <c r="G54" s="544"/>
    </row>
    <row r="55" spans="1:10" ht="12.75">
      <c r="A55" s="543">
        <f t="shared" si="5"/>
        <v>36</v>
      </c>
      <c r="B55" s="254" t="s">
        <v>783</v>
      </c>
      <c r="C55" s="551" t="s">
        <v>784</v>
      </c>
      <c r="D55" s="1185">
        <f>'C-2.2.B Total Co Accts Activ '!P40</f>
        <v>0</v>
      </c>
      <c r="E55" s="553">
        <v>1</v>
      </c>
      <c r="F55" s="1185">
        <f>D55</f>
        <v>0</v>
      </c>
      <c r="G55" s="544"/>
    </row>
    <row r="56" spans="1:10" ht="12.75">
      <c r="A56" s="543">
        <f t="shared" si="5"/>
        <v>37</v>
      </c>
      <c r="B56" s="254" t="s">
        <v>785</v>
      </c>
      <c r="C56" s="551" t="s">
        <v>786</v>
      </c>
      <c r="D56" s="1188">
        <f>'C-2.2.B Total Co Accts Activ '!P41</f>
        <v>0</v>
      </c>
      <c r="E56" s="553">
        <v>1</v>
      </c>
      <c r="F56" s="1188">
        <f>D56</f>
        <v>0</v>
      </c>
      <c r="G56" s="544"/>
    </row>
    <row r="57" spans="1:10" ht="12.75">
      <c r="A57" s="543">
        <f t="shared" si="5"/>
        <v>38</v>
      </c>
      <c r="B57" s="254"/>
      <c r="C57" s="286" t="s">
        <v>2862</v>
      </c>
      <c r="D57" s="1185">
        <f>SUM(D51:D56)</f>
        <v>0</v>
      </c>
      <c r="E57" s="553" t="s">
        <v>358</v>
      </c>
      <c r="F57" s="1185">
        <f>SUM(F51:F56)</f>
        <v>0</v>
      </c>
      <c r="G57" s="255"/>
    </row>
    <row r="58" spans="1:10" ht="12.75">
      <c r="A58" s="254"/>
      <c r="B58" s="255"/>
      <c r="C58" s="255"/>
      <c r="D58" s="1185"/>
      <c r="E58" s="553"/>
      <c r="F58" s="1185"/>
      <c r="G58" s="255"/>
    </row>
    <row r="59" spans="1:10" ht="12.75">
      <c r="A59" s="543">
        <f>1+A57</f>
        <v>39</v>
      </c>
      <c r="B59" s="255"/>
      <c r="C59" s="550" t="s">
        <v>2844</v>
      </c>
      <c r="D59" s="1193"/>
      <c r="E59" s="555"/>
      <c r="F59" s="1193"/>
      <c r="G59" s="544"/>
    </row>
    <row r="60" spans="1:10" ht="12.75">
      <c r="A60" s="543">
        <f t="shared" ref="A60:A69" si="6">1+A59</f>
        <v>40</v>
      </c>
      <c r="B60" s="255"/>
      <c r="C60" s="550" t="s">
        <v>968</v>
      </c>
      <c r="D60" s="1193"/>
      <c r="E60" s="555"/>
      <c r="F60" s="1193"/>
      <c r="G60" s="255"/>
    </row>
    <row r="61" spans="1:10" ht="12.75">
      <c r="A61" s="543">
        <f t="shared" si="6"/>
        <v>41</v>
      </c>
      <c r="B61" s="543" t="s">
        <v>787</v>
      </c>
      <c r="C61" s="551" t="s">
        <v>880</v>
      </c>
      <c r="D61" s="1193">
        <f>'C-2.2.B Total Co Accts Activ '!P42</f>
        <v>17663997.75</v>
      </c>
      <c r="E61" s="553">
        <v>1</v>
      </c>
      <c r="F61" s="1193">
        <f t="shared" ref="F61:F68" si="7">D61</f>
        <v>17663997.75</v>
      </c>
    </row>
    <row r="62" spans="1:10" ht="12.75">
      <c r="A62" s="543">
        <f t="shared" si="6"/>
        <v>42</v>
      </c>
      <c r="B62" s="543" t="s">
        <v>789</v>
      </c>
      <c r="C62" s="551" t="s">
        <v>790</v>
      </c>
      <c r="D62" s="1193">
        <f>'C-2.2.B Total Co Accts Activ '!P43</f>
        <v>1158900.76</v>
      </c>
      <c r="E62" s="553">
        <v>1</v>
      </c>
      <c r="F62" s="1193">
        <f t="shared" si="7"/>
        <v>1158900.76</v>
      </c>
      <c r="G62" s="544"/>
    </row>
    <row r="63" spans="1:10" ht="12.75">
      <c r="A63" s="543">
        <f t="shared" si="6"/>
        <v>43</v>
      </c>
      <c r="B63" s="543" t="s">
        <v>791</v>
      </c>
      <c r="C63" s="551" t="s">
        <v>792</v>
      </c>
      <c r="D63" s="1193">
        <f>'C-2.2.B Total Co Accts Activ '!P44</f>
        <v>15343424.85</v>
      </c>
      <c r="E63" s="553">
        <v>1</v>
      </c>
      <c r="F63" s="1193">
        <f t="shared" si="7"/>
        <v>15343424.85</v>
      </c>
      <c r="G63" s="544"/>
    </row>
    <row r="64" spans="1:10" ht="12.75">
      <c r="A64" s="543">
        <f t="shared" si="6"/>
        <v>44</v>
      </c>
      <c r="B64" s="543" t="s">
        <v>793</v>
      </c>
      <c r="C64" s="551" t="s">
        <v>794</v>
      </c>
      <c r="D64" s="1193">
        <f>'C-2.2.B Total Co Accts Activ '!P45</f>
        <v>1674085.1700000004</v>
      </c>
      <c r="E64" s="553">
        <v>1</v>
      </c>
      <c r="F64" s="1193">
        <f t="shared" si="7"/>
        <v>1674085.1700000004</v>
      </c>
      <c r="G64" s="544"/>
    </row>
    <row r="65" spans="1:7" ht="12.75">
      <c r="A65" s="543">
        <f t="shared" si="6"/>
        <v>45</v>
      </c>
      <c r="B65" s="543" t="s">
        <v>795</v>
      </c>
      <c r="C65" s="551" t="s">
        <v>544</v>
      </c>
      <c r="D65" s="1193">
        <f>'C-2.2.B Total Co Accts Activ '!P46+'C-2.2.B Total Co Accts Activ '!P47</f>
        <v>409337.99999999994</v>
      </c>
      <c r="E65" s="553">
        <v>1</v>
      </c>
      <c r="F65" s="1193">
        <f t="shared" si="7"/>
        <v>409337.99999999994</v>
      </c>
      <c r="G65" s="544"/>
    </row>
    <row r="66" spans="1:7" ht="12.75">
      <c r="A66" s="543">
        <f t="shared" si="6"/>
        <v>46</v>
      </c>
      <c r="B66" s="543" t="s">
        <v>796</v>
      </c>
      <c r="C66" s="551" t="s">
        <v>2275</v>
      </c>
      <c r="D66" s="1193">
        <f>'C-2.2.B Total Co Accts Activ '!P48</f>
        <v>-386972.68999999971</v>
      </c>
      <c r="E66" s="553">
        <v>1</v>
      </c>
      <c r="F66" s="1193">
        <f t="shared" si="7"/>
        <v>-386972.68999999971</v>
      </c>
      <c r="G66" s="544"/>
    </row>
    <row r="67" spans="1:7" ht="12.75">
      <c r="A67" s="543">
        <f t="shared" si="6"/>
        <v>47</v>
      </c>
      <c r="B67" s="543" t="s">
        <v>797</v>
      </c>
      <c r="C67" s="551" t="s">
        <v>798</v>
      </c>
      <c r="D67" s="1193">
        <f>'C-2.2.B Total Co Accts Activ '!P49</f>
        <v>-40414.18</v>
      </c>
      <c r="E67" s="553">
        <v>1</v>
      </c>
      <c r="F67" s="1193">
        <f t="shared" si="7"/>
        <v>-40414.18</v>
      </c>
      <c r="G67" s="544"/>
    </row>
    <row r="68" spans="1:7" ht="12.75">
      <c r="A68" s="543">
        <f t="shared" si="6"/>
        <v>48</v>
      </c>
      <c r="B68" s="543">
        <v>813</v>
      </c>
      <c r="C68" s="559" t="s">
        <v>799</v>
      </c>
      <c r="D68" s="1202">
        <f>'C-2.2.B Total Co Accts Activ '!P50</f>
        <v>0</v>
      </c>
      <c r="E68" s="553">
        <v>1</v>
      </c>
      <c r="F68" s="1202">
        <f t="shared" si="7"/>
        <v>0</v>
      </c>
      <c r="G68" s="544"/>
    </row>
    <row r="69" spans="1:7" ht="12.75">
      <c r="A69" s="543">
        <f t="shared" si="6"/>
        <v>49</v>
      </c>
      <c r="B69" s="254"/>
      <c r="C69" s="551" t="s">
        <v>2863</v>
      </c>
      <c r="D69" s="1185">
        <f>SUM(D61:D68)</f>
        <v>35822359.660000004</v>
      </c>
      <c r="E69" s="553" t="s">
        <v>358</v>
      </c>
      <c r="F69" s="1185">
        <f>SUM(F61:F68)</f>
        <v>35822359.660000004</v>
      </c>
    </row>
    <row r="70" spans="1:7" ht="12.75">
      <c r="A70" s="254"/>
      <c r="B70" s="254"/>
      <c r="C70" s="255"/>
      <c r="D70" s="1185"/>
      <c r="E70" s="553" t="s">
        <v>358</v>
      </c>
      <c r="F70" s="1185" t="s">
        <v>358</v>
      </c>
      <c r="G70" s="255"/>
    </row>
    <row r="71" spans="1:7" ht="12.75">
      <c r="A71" s="528"/>
      <c r="B71" s="254"/>
      <c r="C71" s="550" t="s">
        <v>2845</v>
      </c>
      <c r="D71" s="1185"/>
      <c r="E71" s="553" t="s">
        <v>358</v>
      </c>
      <c r="F71" s="1185" t="s">
        <v>358</v>
      </c>
      <c r="G71" s="255"/>
    </row>
    <row r="72" spans="1:7" ht="12.75">
      <c r="A72" s="543">
        <f>+A69+1</f>
        <v>50</v>
      </c>
      <c r="B72" s="543" t="s">
        <v>800</v>
      </c>
      <c r="C72" s="551" t="s">
        <v>801</v>
      </c>
      <c r="D72" s="1185">
        <f>'C-2.2.B Total Co Accts Activ '!P54</f>
        <v>887854.48999999987</v>
      </c>
      <c r="E72" s="553">
        <v>1</v>
      </c>
      <c r="F72" s="1185">
        <f t="shared" ref="F72:F80" si="8">D72</f>
        <v>887854.48999999987</v>
      </c>
      <c r="G72" s="544"/>
    </row>
    <row r="73" spans="1:7" ht="12.75">
      <c r="A73" s="543">
        <f>+A72+1</f>
        <v>51</v>
      </c>
      <c r="B73" s="543" t="s">
        <v>802</v>
      </c>
      <c r="C73" s="551" t="s">
        <v>803</v>
      </c>
      <c r="D73" s="1193">
        <f>'C-2.2.B Total Co Accts Activ '!P55</f>
        <v>233563.39</v>
      </c>
      <c r="E73" s="553">
        <v>1</v>
      </c>
      <c r="F73" s="1193">
        <f t="shared" si="8"/>
        <v>233563.39</v>
      </c>
      <c r="G73" s="544"/>
    </row>
    <row r="74" spans="1:7" ht="12.75">
      <c r="A74" s="543">
        <f>+A73+1</f>
        <v>52</v>
      </c>
      <c r="B74" s="543" t="s">
        <v>804</v>
      </c>
      <c r="C74" s="551" t="s">
        <v>805</v>
      </c>
      <c r="D74" s="1193">
        <f>'C-2.2.B Total Co Accts Activ '!P56</f>
        <v>5830676.4100000001</v>
      </c>
      <c r="E74" s="553">
        <v>1</v>
      </c>
      <c r="F74" s="1193">
        <f t="shared" si="8"/>
        <v>5830676.4100000001</v>
      </c>
      <c r="G74" s="544"/>
    </row>
    <row r="75" spans="1:7" ht="12.75">
      <c r="A75" s="543">
        <f t="shared" ref="A75:A81" si="9">1+A74</f>
        <v>53</v>
      </c>
      <c r="B75" s="543" t="s">
        <v>806</v>
      </c>
      <c r="C75" s="551" t="s">
        <v>807</v>
      </c>
      <c r="D75" s="1193">
        <f>'C-2.2.B Total Co Accts Activ '!P57</f>
        <v>282380.78999999998</v>
      </c>
      <c r="E75" s="553">
        <v>1</v>
      </c>
      <c r="F75" s="1193">
        <f t="shared" si="8"/>
        <v>282380.78999999998</v>
      </c>
      <c r="G75" s="544"/>
    </row>
    <row r="76" spans="1:7" ht="12.75">
      <c r="A76" s="543">
        <f t="shared" si="9"/>
        <v>54</v>
      </c>
      <c r="B76" s="543" t="s">
        <v>808</v>
      </c>
      <c r="C76" s="551" t="s">
        <v>809</v>
      </c>
      <c r="D76" s="1193">
        <f>'C-2.2.B Total Co Accts Activ '!P58</f>
        <v>112813.40999999999</v>
      </c>
      <c r="E76" s="553">
        <v>1</v>
      </c>
      <c r="F76" s="1193">
        <f t="shared" si="8"/>
        <v>112813.40999999999</v>
      </c>
      <c r="G76" s="544"/>
    </row>
    <row r="77" spans="1:7" ht="12.75">
      <c r="A77" s="543">
        <f t="shared" si="9"/>
        <v>55</v>
      </c>
      <c r="B77" s="543" t="s">
        <v>810</v>
      </c>
      <c r="C77" s="551" t="s">
        <v>811</v>
      </c>
      <c r="D77" s="1193">
        <f>'C-2.2.B Total Co Accts Activ '!P59</f>
        <v>1688257.6400000001</v>
      </c>
      <c r="E77" s="553">
        <v>1</v>
      </c>
      <c r="F77" s="1193">
        <f t="shared" si="8"/>
        <v>1688257.6400000001</v>
      </c>
      <c r="G77" s="544"/>
    </row>
    <row r="78" spans="1:7" ht="12.75">
      <c r="A78" s="543">
        <f t="shared" si="9"/>
        <v>56</v>
      </c>
      <c r="B78" s="543" t="s">
        <v>812</v>
      </c>
      <c r="C78" s="551" t="s">
        <v>813</v>
      </c>
      <c r="D78" s="1193">
        <f>'C-2.2.B Total Co Accts Activ '!P60</f>
        <v>2893659.72</v>
      </c>
      <c r="E78" s="553">
        <v>1</v>
      </c>
      <c r="F78" s="1193">
        <f t="shared" si="8"/>
        <v>2893659.72</v>
      </c>
      <c r="G78" s="544"/>
    </row>
    <row r="79" spans="1:7" ht="12.75">
      <c r="A79" s="543">
        <f t="shared" si="9"/>
        <v>57</v>
      </c>
      <c r="B79" s="543" t="s">
        <v>814</v>
      </c>
      <c r="C79" s="551" t="s">
        <v>815</v>
      </c>
      <c r="D79" s="1193">
        <f>'C-2.2.B Total Co Accts Activ '!P61</f>
        <v>1484825.57</v>
      </c>
      <c r="E79" s="553">
        <v>1</v>
      </c>
      <c r="F79" s="1193">
        <f t="shared" si="8"/>
        <v>1484825.57</v>
      </c>
      <c r="G79" s="544"/>
    </row>
    <row r="80" spans="1:7" ht="12.75">
      <c r="A80" s="543">
        <f t="shared" si="9"/>
        <v>58</v>
      </c>
      <c r="B80" s="543" t="s">
        <v>816</v>
      </c>
      <c r="C80" s="551" t="s">
        <v>817</v>
      </c>
      <c r="D80" s="1202">
        <f>'C-2.2.B Total Co Accts Activ '!P62</f>
        <v>23479.79</v>
      </c>
      <c r="E80" s="553">
        <v>1</v>
      </c>
      <c r="F80" s="1202">
        <f t="shared" si="8"/>
        <v>23479.79</v>
      </c>
      <c r="G80" s="544"/>
    </row>
    <row r="81" spans="1:7" ht="12.75">
      <c r="A81" s="543">
        <f t="shared" si="9"/>
        <v>59</v>
      </c>
      <c r="B81" s="254"/>
      <c r="C81" s="551" t="s">
        <v>2852</v>
      </c>
      <c r="D81" s="1185">
        <f>SUM(D72:D80)</f>
        <v>13437511.210000001</v>
      </c>
      <c r="E81" s="553" t="s">
        <v>358</v>
      </c>
      <c r="F81" s="1185">
        <f>SUM(F72:F80)</f>
        <v>13437511.210000001</v>
      </c>
      <c r="G81" s="544"/>
    </row>
    <row r="82" spans="1:7" ht="12.75">
      <c r="A82" s="254"/>
      <c r="B82" s="254"/>
      <c r="C82" s="255"/>
      <c r="D82" s="255"/>
      <c r="E82" s="553" t="s">
        <v>358</v>
      </c>
      <c r="F82" s="560" t="s">
        <v>358</v>
      </c>
      <c r="G82" s="544"/>
    </row>
    <row r="83" spans="1:7" ht="12.75">
      <c r="A83" s="254"/>
      <c r="B83" s="255"/>
      <c r="C83" s="255"/>
      <c r="D83" s="255"/>
      <c r="E83" s="255"/>
      <c r="F83" s="255"/>
      <c r="G83" s="255"/>
    </row>
    <row r="84" spans="1:7" ht="12.75">
      <c r="A84" s="1324" t="str">
        <f>A1</f>
        <v>COLUMBIA GAS OF KENTUCKY, INC.</v>
      </c>
      <c r="B84" s="1325"/>
      <c r="C84" s="1325"/>
      <c r="D84" s="1325"/>
      <c r="E84" s="1325"/>
      <c r="F84" s="1325"/>
      <c r="G84" s="1325"/>
    </row>
    <row r="85" spans="1:7" ht="12.75">
      <c r="A85" s="1324" t="str">
        <f>A2</f>
        <v>CASE NO. 2024 - 00092</v>
      </c>
      <c r="B85" s="1324"/>
      <c r="C85" s="1324"/>
      <c r="D85" s="1324"/>
      <c r="E85" s="1324"/>
      <c r="F85" s="1324"/>
      <c r="G85" s="1324"/>
    </row>
    <row r="86" spans="1:7" ht="12.75">
      <c r="A86" s="1324" t="str">
        <f>A3</f>
        <v>FORECASTED PERIOD OPERATING REVENUE AND EXPENSES, BY ACCOUNT - JURISDICTIONAL</v>
      </c>
      <c r="B86" s="1324"/>
      <c r="C86" s="1324"/>
      <c r="D86" s="1324"/>
      <c r="E86" s="1324"/>
      <c r="F86" s="1324"/>
      <c r="G86" s="1324"/>
    </row>
    <row r="87" spans="1:7" ht="12.75">
      <c r="A87" s="1324" t="str">
        <f>A4</f>
        <v>FOR THE TWELVE MONTHS ENDED DECEMBER 31, 2025</v>
      </c>
      <c r="B87" s="1324"/>
      <c r="C87" s="1324"/>
      <c r="D87" s="1324"/>
      <c r="E87" s="1324"/>
      <c r="F87" s="1324"/>
      <c r="G87" s="1324"/>
    </row>
    <row r="88" spans="1:7" ht="12.75">
      <c r="A88" s="255"/>
      <c r="B88" s="544"/>
      <c r="C88" s="255"/>
      <c r="D88" s="255"/>
      <c r="E88" s="255"/>
      <c r="F88" s="255"/>
      <c r="G88" s="255"/>
    </row>
    <row r="89" spans="1:7" ht="12.75">
      <c r="A89" s="286" t="str">
        <f>A6</f>
        <v>DATA:______BASE PERIOD___X___FORECASTED PERIOD</v>
      </c>
      <c r="B89" s="255"/>
      <c r="C89" s="255"/>
      <c r="D89" s="255"/>
      <c r="E89" s="255"/>
      <c r="F89" s="546"/>
      <c r="G89" s="547" t="str">
        <f>G6</f>
        <v>SCHEDULE C-2.1.B</v>
      </c>
    </row>
    <row r="90" spans="1:7" ht="12.75">
      <c r="A90" s="286" t="str">
        <f>A7</f>
        <v>TYPE OF FILING:___X___ORIGINAL______UPDATED</v>
      </c>
      <c r="B90" s="255"/>
      <c r="C90" s="255"/>
      <c r="D90" s="255"/>
      <c r="E90" s="255"/>
      <c r="F90" s="546"/>
      <c r="G90" s="547" t="s">
        <v>832</v>
      </c>
    </row>
    <row r="91" spans="1:7" ht="12.75">
      <c r="A91" s="286" t="s">
        <v>575</v>
      </c>
      <c r="B91" s="255"/>
      <c r="C91" s="255"/>
      <c r="D91" s="255"/>
      <c r="E91" s="255"/>
      <c r="F91" s="546"/>
      <c r="G91" s="545" t="str">
        <f>G8</f>
        <v>WITNESS: SHAEFFER</v>
      </c>
    </row>
    <row r="92" spans="1:7" ht="12.75">
      <c r="A92" s="850"/>
      <c r="B92" s="851"/>
      <c r="C92" s="851"/>
      <c r="D92" s="851"/>
      <c r="E92" s="851"/>
      <c r="F92" s="852"/>
      <c r="G92" s="853"/>
    </row>
    <row r="93" spans="1:7" ht="12.75">
      <c r="A93" s="254"/>
      <c r="B93" s="254"/>
      <c r="C93" s="254"/>
      <c r="D93" s="543" t="s">
        <v>755</v>
      </c>
      <c r="E93" s="254"/>
      <c r="F93" s="254"/>
      <c r="G93" s="254" t="s">
        <v>350</v>
      </c>
    </row>
    <row r="94" spans="1:7" ht="12.75">
      <c r="A94" s="543" t="s">
        <v>313</v>
      </c>
      <c r="B94" s="543" t="s">
        <v>429</v>
      </c>
      <c r="C94" s="543"/>
      <c r="D94" s="543" t="s">
        <v>349</v>
      </c>
      <c r="E94" s="543" t="s">
        <v>756</v>
      </c>
      <c r="F94" s="543" t="s">
        <v>755</v>
      </c>
      <c r="G94" s="254" t="s">
        <v>757</v>
      </c>
    </row>
    <row r="95" spans="1:7" ht="12.75">
      <c r="A95" s="1017" t="s">
        <v>316</v>
      </c>
      <c r="B95" s="1017" t="s">
        <v>758</v>
      </c>
      <c r="C95" s="1019" t="s">
        <v>440</v>
      </c>
      <c r="D95" s="1017" t="s">
        <v>759</v>
      </c>
      <c r="E95" s="1017" t="s">
        <v>760</v>
      </c>
      <c r="F95" s="1017" t="s">
        <v>372</v>
      </c>
      <c r="G95" s="1017" t="s">
        <v>451</v>
      </c>
    </row>
    <row r="96" spans="1:7" ht="12.75">
      <c r="A96" s="254"/>
      <c r="B96" s="255"/>
      <c r="C96" s="255"/>
      <c r="D96" s="543" t="s">
        <v>532</v>
      </c>
      <c r="E96" s="543" t="s">
        <v>541</v>
      </c>
      <c r="F96" s="543" t="s">
        <v>542</v>
      </c>
      <c r="G96" s="543" t="s">
        <v>668</v>
      </c>
    </row>
    <row r="97" spans="1:7" ht="12.75">
      <c r="A97" s="254"/>
      <c r="B97" s="255"/>
      <c r="C97" s="255"/>
      <c r="D97" s="543" t="s">
        <v>320</v>
      </c>
      <c r="E97" s="543" t="s">
        <v>529</v>
      </c>
      <c r="F97" s="543" t="s">
        <v>320</v>
      </c>
      <c r="G97" s="255"/>
    </row>
    <row r="98" spans="1:7" ht="12.75">
      <c r="A98" s="543">
        <v>1</v>
      </c>
      <c r="B98" s="543"/>
      <c r="C98" s="550" t="s">
        <v>2853</v>
      </c>
      <c r="D98" s="552"/>
      <c r="E98" s="553" t="s">
        <v>358</v>
      </c>
      <c r="F98" s="560" t="s">
        <v>358</v>
      </c>
      <c r="G98" s="544"/>
    </row>
    <row r="99" spans="1:7" ht="12.75">
      <c r="A99" s="543">
        <f t="shared" ref="A99:A107" si="10">1+A98</f>
        <v>2</v>
      </c>
      <c r="B99" s="543" t="s">
        <v>818</v>
      </c>
      <c r="C99" s="551" t="s">
        <v>801</v>
      </c>
      <c r="D99" s="1193">
        <f>'C-2.2.B Total Co Accts Activ '!P63</f>
        <v>84210.26</v>
      </c>
      <c r="E99" s="553">
        <v>1</v>
      </c>
      <c r="F99" s="1193">
        <f t="shared" ref="F99:F106" si="11">D99</f>
        <v>84210.26</v>
      </c>
      <c r="G99" s="543" t="str">
        <f>$G$17</f>
        <v>100%</v>
      </c>
    </row>
    <row r="100" spans="1:7" ht="12.75">
      <c r="A100" s="543">
        <f t="shared" si="10"/>
        <v>3</v>
      </c>
      <c r="B100" s="543" t="s">
        <v>819</v>
      </c>
      <c r="C100" s="551" t="s">
        <v>820</v>
      </c>
      <c r="D100" s="1193">
        <f>'C-2.2.B Total Co Accts Activ '!P64</f>
        <v>134244.71</v>
      </c>
      <c r="E100" s="553">
        <v>1</v>
      </c>
      <c r="F100" s="1193">
        <f t="shared" si="11"/>
        <v>134244.71</v>
      </c>
      <c r="G100" s="544"/>
    </row>
    <row r="101" spans="1:7" ht="12.75">
      <c r="A101" s="543">
        <f t="shared" si="10"/>
        <v>4</v>
      </c>
      <c r="B101" s="543" t="s">
        <v>821</v>
      </c>
      <c r="C101" s="551" t="s">
        <v>822</v>
      </c>
      <c r="D101" s="1193">
        <f>'C-2.2.B Total Co Accts Activ '!P65</f>
        <v>3433642.0100000007</v>
      </c>
      <c r="E101" s="553">
        <v>1</v>
      </c>
      <c r="F101" s="1193">
        <f t="shared" si="11"/>
        <v>3433642.0100000007</v>
      </c>
      <c r="G101" s="544"/>
    </row>
    <row r="102" spans="1:7" ht="12.75">
      <c r="A102" s="543">
        <f t="shared" si="10"/>
        <v>5</v>
      </c>
      <c r="B102" s="543" t="s">
        <v>823</v>
      </c>
      <c r="C102" s="551" t="s">
        <v>807</v>
      </c>
      <c r="D102" s="1193">
        <f>'C-2.2.B Total Co Accts Activ '!P66</f>
        <v>734892.91000000015</v>
      </c>
      <c r="E102" s="553">
        <v>1</v>
      </c>
      <c r="F102" s="1193">
        <f t="shared" si="11"/>
        <v>734892.91000000015</v>
      </c>
      <c r="G102" s="544"/>
    </row>
    <row r="103" spans="1:7" ht="12.75">
      <c r="A103" s="543">
        <f t="shared" si="10"/>
        <v>6</v>
      </c>
      <c r="B103" s="543" t="s">
        <v>824</v>
      </c>
      <c r="C103" s="551" t="s">
        <v>809</v>
      </c>
      <c r="D103" s="1193">
        <f>'C-2.2.B Total Co Accts Activ '!P67</f>
        <v>85199.460000000021</v>
      </c>
      <c r="E103" s="553">
        <v>1</v>
      </c>
      <c r="F103" s="1193">
        <f t="shared" si="11"/>
        <v>85199.460000000021</v>
      </c>
      <c r="G103" s="544"/>
    </row>
    <row r="104" spans="1:7" ht="12.75">
      <c r="A104" s="543">
        <f t="shared" si="10"/>
        <v>7</v>
      </c>
      <c r="B104" s="543" t="s">
        <v>825</v>
      </c>
      <c r="C104" s="551" t="s">
        <v>826</v>
      </c>
      <c r="D104" s="1193">
        <f>'C-2.2.B Total Co Accts Activ '!P83</f>
        <v>642453.10999999987</v>
      </c>
      <c r="E104" s="553">
        <v>1</v>
      </c>
      <c r="F104" s="1193">
        <f t="shared" si="11"/>
        <v>642453.10999999987</v>
      </c>
      <c r="G104" s="544"/>
    </row>
    <row r="105" spans="1:7" ht="12.75">
      <c r="A105" s="543">
        <f t="shared" si="10"/>
        <v>8</v>
      </c>
      <c r="B105" s="543" t="s">
        <v>827</v>
      </c>
      <c r="C105" s="551" t="s">
        <v>828</v>
      </c>
      <c r="D105" s="1193">
        <f>'C-2.2.B Total Co Accts Activ '!P84</f>
        <v>252495.12999999998</v>
      </c>
      <c r="E105" s="553">
        <v>1</v>
      </c>
      <c r="F105" s="1193">
        <f t="shared" si="11"/>
        <v>252495.12999999998</v>
      </c>
      <c r="G105" s="544"/>
    </row>
    <row r="106" spans="1:7" ht="12.75">
      <c r="A106" s="543">
        <f t="shared" si="10"/>
        <v>9</v>
      </c>
      <c r="B106" s="543" t="s">
        <v>829</v>
      </c>
      <c r="C106" s="551" t="s">
        <v>830</v>
      </c>
      <c r="D106" s="1202">
        <f>'C-2.2.B Total Co Accts Activ '!P85</f>
        <v>269614.43</v>
      </c>
      <c r="E106" s="553">
        <v>1</v>
      </c>
      <c r="F106" s="1203">
        <f t="shared" si="11"/>
        <v>269614.43</v>
      </c>
      <c r="G106" s="544"/>
    </row>
    <row r="107" spans="1:7" ht="12.75">
      <c r="A107" s="543">
        <f t="shared" si="10"/>
        <v>10</v>
      </c>
      <c r="B107" s="255"/>
      <c r="C107" s="551" t="s">
        <v>831</v>
      </c>
      <c r="D107" s="1185">
        <f>SUM(D99:D106)</f>
        <v>5636752.0200000005</v>
      </c>
      <c r="E107" s="561" t="s">
        <v>358</v>
      </c>
      <c r="F107" s="1185">
        <f>SUM(F99:F106)</f>
        <v>5636752.0200000005</v>
      </c>
      <c r="G107" s="544"/>
    </row>
    <row r="108" spans="1:7" ht="12.75">
      <c r="A108" s="543"/>
      <c r="B108" s="255"/>
      <c r="C108" s="255"/>
      <c r="D108" s="1185"/>
      <c r="E108" s="255"/>
      <c r="F108" s="1185"/>
      <c r="G108" s="255"/>
    </row>
    <row r="109" spans="1:7" ht="12.75">
      <c r="A109" s="543">
        <f>A107+1</f>
        <v>11</v>
      </c>
      <c r="B109" s="544"/>
      <c r="C109" s="550" t="s">
        <v>2854</v>
      </c>
      <c r="D109" s="1193"/>
      <c r="E109" s="562"/>
      <c r="F109" s="1193"/>
      <c r="G109" s="255"/>
    </row>
    <row r="110" spans="1:7" ht="12.75">
      <c r="A110" s="543">
        <f>A109+1</f>
        <v>12</v>
      </c>
      <c r="B110" s="543" t="s">
        <v>833</v>
      </c>
      <c r="C110" s="551" t="s">
        <v>834</v>
      </c>
      <c r="D110" s="1193">
        <f>'C-2.2.B Total Co Accts Activ '!P86</f>
        <v>0</v>
      </c>
      <c r="E110" s="553">
        <v>1</v>
      </c>
      <c r="F110" s="1193">
        <f>D110</f>
        <v>0</v>
      </c>
      <c r="G110" s="543"/>
    </row>
    <row r="111" spans="1:7" ht="12.75">
      <c r="A111" s="543">
        <f>1+A110</f>
        <v>13</v>
      </c>
      <c r="B111" s="543" t="s">
        <v>835</v>
      </c>
      <c r="C111" s="551" t="s">
        <v>836</v>
      </c>
      <c r="D111" s="1193">
        <f>'C-2.2.B Total Co Accts Activ '!P87</f>
        <v>284462.28000000003</v>
      </c>
      <c r="E111" s="553">
        <v>1</v>
      </c>
      <c r="F111" s="1193">
        <f>D111</f>
        <v>284462.28000000003</v>
      </c>
      <c r="G111" s="544"/>
    </row>
    <row r="112" spans="1:7" ht="12.75">
      <c r="A112" s="543">
        <f>1+A111</f>
        <v>14</v>
      </c>
      <c r="B112" s="543" t="s">
        <v>837</v>
      </c>
      <c r="C112" s="551" t="s">
        <v>881</v>
      </c>
      <c r="D112" s="1193">
        <f>'C-2.2.B Total Co Accts Activ '!P88</f>
        <v>2497618.61</v>
      </c>
      <c r="E112" s="553">
        <v>1</v>
      </c>
      <c r="F112" s="1193">
        <f>D112</f>
        <v>2497618.61</v>
      </c>
      <c r="G112" s="544"/>
    </row>
    <row r="113" spans="1:7" ht="12.75">
      <c r="A113" s="543">
        <f>1+A112</f>
        <v>15</v>
      </c>
      <c r="B113" s="543" t="s">
        <v>839</v>
      </c>
      <c r="C113" s="551" t="s">
        <v>840</v>
      </c>
      <c r="D113" s="1193">
        <f>'C-2.2.B Total Co Accts Activ '!P89</f>
        <v>1503656.3599999999</v>
      </c>
      <c r="E113" s="553">
        <v>1</v>
      </c>
      <c r="F113" s="1193">
        <f>D113</f>
        <v>1503656.3599999999</v>
      </c>
      <c r="G113" s="544"/>
    </row>
    <row r="114" spans="1:7" ht="12.75">
      <c r="A114" s="543">
        <f>1+A113</f>
        <v>16</v>
      </c>
      <c r="B114" s="543" t="s">
        <v>841</v>
      </c>
      <c r="C114" s="551" t="s">
        <v>842</v>
      </c>
      <c r="D114" s="1202">
        <f>'C-2.2.B Total Co Accts Activ '!P90</f>
        <v>15830.210000000003</v>
      </c>
      <c r="E114" s="553">
        <v>1</v>
      </c>
      <c r="F114" s="1202">
        <f>D114</f>
        <v>15830.210000000003</v>
      </c>
      <c r="G114" s="544"/>
    </row>
    <row r="115" spans="1:7" ht="12.75">
      <c r="A115" s="543">
        <f>1+A114</f>
        <v>17</v>
      </c>
      <c r="B115" s="543"/>
      <c r="C115" s="551" t="s">
        <v>2864</v>
      </c>
      <c r="D115" s="1185">
        <f>SUM(D110:D114)</f>
        <v>4301567.46</v>
      </c>
      <c r="E115" s="553"/>
      <c r="F115" s="1185">
        <f>SUM(F110:F114)</f>
        <v>4301567.46</v>
      </c>
      <c r="G115" s="544"/>
    </row>
    <row r="116" spans="1:7" ht="12.75">
      <c r="A116" s="543"/>
      <c r="B116" s="254"/>
      <c r="C116" s="255"/>
      <c r="D116" s="1185"/>
      <c r="E116" s="254"/>
      <c r="F116" s="1185"/>
      <c r="G116" s="255"/>
    </row>
    <row r="117" spans="1:7" ht="12.75">
      <c r="A117" s="254">
        <f>1+A115</f>
        <v>18</v>
      </c>
      <c r="B117" s="254"/>
      <c r="C117" s="550" t="s">
        <v>2856</v>
      </c>
      <c r="D117" s="1185"/>
      <c r="E117" s="254"/>
      <c r="F117" s="1185"/>
      <c r="G117" s="255"/>
    </row>
    <row r="118" spans="1:7" ht="12.75">
      <c r="A118" s="543">
        <f>1+A117</f>
        <v>19</v>
      </c>
      <c r="B118" s="543" t="s">
        <v>845</v>
      </c>
      <c r="C118" s="551" t="s">
        <v>834</v>
      </c>
      <c r="D118" s="1193">
        <f>'C-2.2.B Total Co Accts Activ '!P91</f>
        <v>0</v>
      </c>
      <c r="E118" s="553">
        <v>1</v>
      </c>
      <c r="F118" s="1193">
        <f>D118</f>
        <v>0</v>
      </c>
      <c r="G118" s="544"/>
    </row>
    <row r="119" spans="1:7" ht="12.75">
      <c r="A119" s="543">
        <f>1+A118</f>
        <v>20</v>
      </c>
      <c r="B119" s="543" t="s">
        <v>846</v>
      </c>
      <c r="C119" s="551" t="s">
        <v>847</v>
      </c>
      <c r="D119" s="1193">
        <f>'C-2.2.B Total Co Accts Activ '!P92</f>
        <v>106212.56</v>
      </c>
      <c r="E119" s="553">
        <v>1</v>
      </c>
      <c r="F119" s="1193">
        <f>D119</f>
        <v>106212.56</v>
      </c>
      <c r="G119" s="544"/>
    </row>
    <row r="120" spans="1:7" ht="12.75">
      <c r="A120" s="543">
        <f>1+A119</f>
        <v>21</v>
      </c>
      <c r="B120" s="543" t="s">
        <v>848</v>
      </c>
      <c r="C120" s="551" t="s">
        <v>849</v>
      </c>
      <c r="D120" s="1193">
        <f>'C-2.2.B Total Co Accts Activ '!P93</f>
        <v>2539.0900000000006</v>
      </c>
      <c r="E120" s="553">
        <v>1</v>
      </c>
      <c r="F120" s="1193">
        <f>D120</f>
        <v>2539.0900000000006</v>
      </c>
      <c r="G120" s="544"/>
    </row>
    <row r="121" spans="1:7" ht="12.75">
      <c r="A121" s="543">
        <f>1+A120</f>
        <v>22</v>
      </c>
      <c r="B121" s="543" t="s">
        <v>850</v>
      </c>
      <c r="C121" s="551" t="s">
        <v>851</v>
      </c>
      <c r="D121" s="1202">
        <f>'C-2.2.B Total Co Accts Activ '!P94</f>
        <v>292107.62000000005</v>
      </c>
      <c r="E121" s="553">
        <v>1</v>
      </c>
      <c r="F121" s="1202">
        <f>D121</f>
        <v>292107.62000000005</v>
      </c>
      <c r="G121" s="544"/>
    </row>
    <row r="122" spans="1:7" ht="12.75">
      <c r="A122" s="543">
        <f>1+A121</f>
        <v>23</v>
      </c>
      <c r="B122" s="543"/>
      <c r="C122" s="551" t="s">
        <v>2865</v>
      </c>
      <c r="D122" s="1185">
        <f>SUM(D118:D121)</f>
        <v>400859.27</v>
      </c>
      <c r="E122" s="563" t="s">
        <v>358</v>
      </c>
      <c r="F122" s="1185">
        <f>SUM(F118:F121)</f>
        <v>400859.27</v>
      </c>
      <c r="G122" s="544"/>
    </row>
    <row r="123" spans="1:7" ht="12.75">
      <c r="A123" s="254"/>
      <c r="B123" s="543"/>
      <c r="C123" s="544"/>
      <c r="D123" s="1193"/>
      <c r="E123" s="564"/>
      <c r="F123" s="1193"/>
      <c r="G123" s="544"/>
    </row>
    <row r="124" spans="1:7" ht="12.75">
      <c r="A124" s="254">
        <f>1+A122</f>
        <v>24</v>
      </c>
      <c r="B124" s="543"/>
      <c r="C124" s="550" t="s">
        <v>2509</v>
      </c>
      <c r="D124" s="1193"/>
      <c r="E124" s="564"/>
      <c r="F124" s="1193"/>
      <c r="G124" s="544"/>
    </row>
    <row r="125" spans="1:7" ht="12.75">
      <c r="A125" s="543">
        <f>1+A124</f>
        <v>25</v>
      </c>
      <c r="B125" s="543" t="s">
        <v>853</v>
      </c>
      <c r="C125" s="551" t="s">
        <v>834</v>
      </c>
      <c r="D125" s="1193">
        <f>'C-2.2.B Total Co Accts Activ '!P95</f>
        <v>0</v>
      </c>
      <c r="E125" s="553">
        <v>1</v>
      </c>
      <c r="F125" s="1193">
        <f>D125</f>
        <v>0</v>
      </c>
      <c r="G125" s="544"/>
    </row>
    <row r="126" spans="1:7" ht="12.75">
      <c r="A126" s="543">
        <f>1+A125</f>
        <v>26</v>
      </c>
      <c r="B126" s="543" t="s">
        <v>854</v>
      </c>
      <c r="C126" s="551" t="s">
        <v>855</v>
      </c>
      <c r="D126" s="1193">
        <f>'C-2.2.B Total Co Accts Activ '!P96</f>
        <v>4679.1900000000005</v>
      </c>
      <c r="E126" s="553">
        <v>1</v>
      </c>
      <c r="F126" s="1193">
        <f>D126</f>
        <v>4679.1900000000005</v>
      </c>
      <c r="G126" s="544"/>
    </row>
    <row r="127" spans="1:7" ht="12.75">
      <c r="A127" s="543">
        <f>1+A126</f>
        <v>27</v>
      </c>
      <c r="B127" s="543" t="s">
        <v>856</v>
      </c>
      <c r="C127" s="551" t="s">
        <v>857</v>
      </c>
      <c r="D127" s="1193">
        <f>'C-2.2.B Total Co Accts Activ '!P97</f>
        <v>7675.6600000000008</v>
      </c>
      <c r="E127" s="553">
        <v>1</v>
      </c>
      <c r="F127" s="1193">
        <f>D127</f>
        <v>7675.6600000000008</v>
      </c>
      <c r="G127" s="544"/>
    </row>
    <row r="128" spans="1:7" ht="12.75">
      <c r="A128" s="543">
        <f>1+A127</f>
        <v>28</v>
      </c>
      <c r="B128" s="543" t="s">
        <v>858</v>
      </c>
      <c r="C128" s="551" t="s">
        <v>859</v>
      </c>
      <c r="D128" s="1203">
        <f>'C-2.2.B Total Co Accts Activ '!P98</f>
        <v>0</v>
      </c>
      <c r="E128" s="553">
        <v>1</v>
      </c>
      <c r="F128" s="1203">
        <f>D128</f>
        <v>0</v>
      </c>
      <c r="G128" s="544"/>
    </row>
    <row r="129" spans="1:7" ht="12.75">
      <c r="A129" s="543">
        <f>1+A128</f>
        <v>29</v>
      </c>
      <c r="B129" s="543"/>
      <c r="C129" s="551" t="s">
        <v>2703</v>
      </c>
      <c r="D129" s="1185">
        <f>SUM(D125:D128)</f>
        <v>12354.850000000002</v>
      </c>
      <c r="E129" s="565" t="s">
        <v>358</v>
      </c>
      <c r="F129" s="1185">
        <f>SUM(F125:F128)</f>
        <v>12354.850000000002</v>
      </c>
      <c r="G129" s="544"/>
    </row>
    <row r="130" spans="1:7" ht="12.75">
      <c r="A130" s="543"/>
      <c r="B130" s="254"/>
      <c r="C130" s="255"/>
      <c r="D130" s="1193"/>
      <c r="E130" s="564"/>
      <c r="F130" s="1193"/>
      <c r="G130" s="544"/>
    </row>
    <row r="131" spans="1:7" ht="12.75">
      <c r="A131" s="254">
        <f>1+A129</f>
        <v>30</v>
      </c>
      <c r="B131" s="543"/>
      <c r="C131" s="550" t="s">
        <v>2858</v>
      </c>
      <c r="D131" s="1193"/>
      <c r="E131" s="564"/>
      <c r="F131" s="1193"/>
      <c r="G131" s="544"/>
    </row>
    <row r="132" spans="1:7" ht="12.75">
      <c r="A132" s="543">
        <f t="shared" ref="A132:A142" si="12">1+A131</f>
        <v>31</v>
      </c>
      <c r="B132" s="543" t="s">
        <v>860</v>
      </c>
      <c r="C132" s="551" t="s">
        <v>861</v>
      </c>
      <c r="D132" s="1193">
        <f>'C-2.2.B Total Co Accts Activ '!P99</f>
        <v>9810389.4399999995</v>
      </c>
      <c r="E132" s="553">
        <v>1</v>
      </c>
      <c r="F132" s="1193">
        <f t="shared" ref="F132:F141" si="13">D132</f>
        <v>9810389.4399999995</v>
      </c>
      <c r="G132" s="544"/>
    </row>
    <row r="133" spans="1:7" ht="12.75">
      <c r="A133" s="543">
        <f t="shared" si="12"/>
        <v>32</v>
      </c>
      <c r="B133" s="543" t="s">
        <v>862</v>
      </c>
      <c r="C133" s="551" t="s">
        <v>843</v>
      </c>
      <c r="D133" s="1193">
        <f>'C-2.2.B Total Co Accts Activ '!P100</f>
        <v>2189361.2100000004</v>
      </c>
      <c r="E133" s="553">
        <v>1</v>
      </c>
      <c r="F133" s="1193">
        <f t="shared" si="13"/>
        <v>2189361.2100000004</v>
      </c>
      <c r="G133" s="544"/>
    </row>
    <row r="134" spans="1:7" ht="12.75">
      <c r="A134" s="543">
        <f t="shared" si="12"/>
        <v>33</v>
      </c>
      <c r="B134" s="543" t="s">
        <v>863</v>
      </c>
      <c r="C134" s="551" t="s">
        <v>864</v>
      </c>
      <c r="D134" s="1193">
        <f>'C-2.2.B Total Co Accts Activ '!P102</f>
        <v>6734943.9500000002</v>
      </c>
      <c r="E134" s="553">
        <v>1</v>
      </c>
      <c r="F134" s="1193">
        <f t="shared" si="13"/>
        <v>6734943.9500000002</v>
      </c>
      <c r="G134" s="544"/>
    </row>
    <row r="135" spans="1:7" ht="12.75">
      <c r="A135" s="543">
        <f t="shared" si="12"/>
        <v>34</v>
      </c>
      <c r="B135" s="543" t="s">
        <v>865</v>
      </c>
      <c r="C135" s="551" t="s">
        <v>866</v>
      </c>
      <c r="D135" s="1193">
        <f>'C-2.2.B Total Co Accts Activ '!P103</f>
        <v>86133.810000000012</v>
      </c>
      <c r="E135" s="553">
        <v>1</v>
      </c>
      <c r="F135" s="1193">
        <f t="shared" si="13"/>
        <v>86133.810000000012</v>
      </c>
      <c r="G135" s="544"/>
    </row>
    <row r="136" spans="1:7" ht="12.75">
      <c r="A136" s="543">
        <f t="shared" si="12"/>
        <v>35</v>
      </c>
      <c r="B136" s="543" t="s">
        <v>867</v>
      </c>
      <c r="C136" s="551" t="s">
        <v>868</v>
      </c>
      <c r="D136" s="1193">
        <f>'C-2.2.B Total Co Accts Activ '!P104</f>
        <v>1781959.4799999995</v>
      </c>
      <c r="E136" s="553">
        <v>1</v>
      </c>
      <c r="F136" s="1193">
        <f t="shared" si="13"/>
        <v>1781959.4799999995</v>
      </c>
      <c r="G136" s="544"/>
    </row>
    <row r="137" spans="1:7" ht="12.75">
      <c r="A137" s="543">
        <f t="shared" si="12"/>
        <v>36</v>
      </c>
      <c r="B137" s="543" t="s">
        <v>869</v>
      </c>
      <c r="C137" s="551" t="s">
        <v>870</v>
      </c>
      <c r="D137" s="1193">
        <f>'C-2.2.B Total Co Accts Activ '!P105</f>
        <v>5312242.9300000006</v>
      </c>
      <c r="E137" s="553">
        <v>1</v>
      </c>
      <c r="F137" s="1193">
        <f t="shared" si="13"/>
        <v>5312242.9300000006</v>
      </c>
      <c r="G137" s="544"/>
    </row>
    <row r="138" spans="1:7" ht="12.75">
      <c r="A138" s="543">
        <f t="shared" si="12"/>
        <v>37</v>
      </c>
      <c r="B138" s="543" t="s">
        <v>871</v>
      </c>
      <c r="C138" s="551" t="s">
        <v>872</v>
      </c>
      <c r="D138" s="1193">
        <f>'C-2.2.B Total Co Accts Activ '!P106</f>
        <v>454047.51000000007</v>
      </c>
      <c r="E138" s="553">
        <v>1</v>
      </c>
      <c r="F138" s="1193">
        <f t="shared" si="13"/>
        <v>454047.51000000007</v>
      </c>
      <c r="G138" s="544"/>
    </row>
    <row r="139" spans="1:7" ht="12.75">
      <c r="A139" s="543">
        <f t="shared" si="12"/>
        <v>38</v>
      </c>
      <c r="B139" s="543">
        <v>930.1</v>
      </c>
      <c r="C139" s="551" t="s">
        <v>1142</v>
      </c>
      <c r="D139" s="1193">
        <f>'C-2.2.B Total Co Accts Activ '!P107</f>
        <v>23226.35</v>
      </c>
      <c r="E139" s="553">
        <v>1</v>
      </c>
      <c r="F139" s="1193">
        <f t="shared" si="13"/>
        <v>23226.35</v>
      </c>
      <c r="G139" s="544"/>
    </row>
    <row r="140" spans="1:7" ht="12.75">
      <c r="A140" s="543">
        <f t="shared" si="12"/>
        <v>39</v>
      </c>
      <c r="B140" s="543">
        <v>930.2</v>
      </c>
      <c r="C140" s="551" t="s">
        <v>1143</v>
      </c>
      <c r="D140" s="1193">
        <f>'C-2.2.B Total Co Accts Activ '!P108</f>
        <v>124788.08999999998</v>
      </c>
      <c r="E140" s="553">
        <v>1</v>
      </c>
      <c r="F140" s="1193">
        <f>D140</f>
        <v>124788.08999999998</v>
      </c>
      <c r="G140" s="544"/>
    </row>
    <row r="141" spans="1:7" ht="12.75">
      <c r="A141" s="543">
        <f t="shared" si="12"/>
        <v>40</v>
      </c>
      <c r="B141" s="543" t="s">
        <v>873</v>
      </c>
      <c r="C141" s="551" t="s">
        <v>874</v>
      </c>
      <c r="D141" s="1202">
        <f>'C-2.2.B Total Co Accts Activ '!P109</f>
        <v>670466.30000000005</v>
      </c>
      <c r="E141" s="553">
        <v>1</v>
      </c>
      <c r="F141" s="1203">
        <f t="shared" si="13"/>
        <v>670466.30000000005</v>
      </c>
      <c r="G141" s="544"/>
    </row>
    <row r="142" spans="1:7" ht="12.75">
      <c r="A142" s="543">
        <f t="shared" si="12"/>
        <v>41</v>
      </c>
      <c r="B142" s="544"/>
      <c r="C142" s="551" t="s">
        <v>2866</v>
      </c>
      <c r="D142" s="1185">
        <f>SUM(D132:D141)</f>
        <v>27187559.070000004</v>
      </c>
      <c r="E142" s="565" t="s">
        <v>358</v>
      </c>
      <c r="F142" s="1185">
        <f>SUM(F132:F141)</f>
        <v>27187559.070000004</v>
      </c>
      <c r="G142" s="544"/>
    </row>
    <row r="143" spans="1:7" ht="12.75">
      <c r="A143" s="254"/>
      <c r="B143" s="255"/>
      <c r="C143" s="255"/>
      <c r="D143" s="1185"/>
      <c r="E143" s="254"/>
      <c r="F143" s="1185"/>
      <c r="G143" s="255"/>
    </row>
    <row r="144" spans="1:7" ht="12.75">
      <c r="A144" s="543">
        <f>1+A142</f>
        <v>42</v>
      </c>
      <c r="B144" s="544"/>
      <c r="C144" s="550" t="s">
        <v>2860</v>
      </c>
      <c r="D144" s="1193"/>
      <c r="E144" s="564"/>
      <c r="F144" s="1193"/>
      <c r="G144" s="544"/>
    </row>
    <row r="145" spans="1:7" ht="12.75">
      <c r="A145" s="543">
        <f>A144+1</f>
        <v>43</v>
      </c>
      <c r="B145" s="543">
        <v>932</v>
      </c>
      <c r="C145" s="551" t="s">
        <v>844</v>
      </c>
      <c r="D145" s="1193">
        <f>'C-2.2.B Total Co Accts Activ '!P110</f>
        <v>1700536.4000000001</v>
      </c>
      <c r="E145" s="553">
        <v>1</v>
      </c>
      <c r="F145" s="1193">
        <f>D145</f>
        <v>1700536.4000000001</v>
      </c>
      <c r="G145" s="544"/>
    </row>
    <row r="146" spans="1:7" ht="12.75">
      <c r="A146" s="543">
        <f>A145+1</f>
        <v>44</v>
      </c>
      <c r="B146" s="543" t="s">
        <v>875</v>
      </c>
      <c r="C146" s="551" t="s">
        <v>844</v>
      </c>
      <c r="D146" s="1203">
        <f>'C-2.2.B Total Co Accts Activ '!P111</f>
        <v>0</v>
      </c>
      <c r="E146" s="553">
        <v>1</v>
      </c>
      <c r="F146" s="1203">
        <f>D146</f>
        <v>0</v>
      </c>
      <c r="G146" s="543"/>
    </row>
    <row r="147" spans="1:7" ht="12.75">
      <c r="A147" s="543">
        <f>1+A146</f>
        <v>45</v>
      </c>
      <c r="B147" s="543"/>
      <c r="C147" s="551" t="s">
        <v>2867</v>
      </c>
      <c r="D147" s="1185">
        <f>SUM(D144:D146)</f>
        <v>1700536.4000000001</v>
      </c>
      <c r="E147" s="553"/>
      <c r="F147" s="1193">
        <f>D147</f>
        <v>1700536.4000000001</v>
      </c>
      <c r="G147" s="544"/>
    </row>
    <row r="148" spans="1:7" ht="12.75">
      <c r="A148" s="254"/>
      <c r="B148" s="254"/>
      <c r="C148" s="255"/>
      <c r="D148" s="1185"/>
      <c r="E148" s="254"/>
      <c r="F148" s="1185"/>
      <c r="G148" s="255"/>
    </row>
    <row r="149" spans="1:7" ht="12.75">
      <c r="A149" s="543">
        <f>1+A147</f>
        <v>46</v>
      </c>
      <c r="B149" s="543"/>
      <c r="C149" s="551" t="s">
        <v>882</v>
      </c>
      <c r="D149" s="1192">
        <f>D147+D142+D129+D122+D115+D107+D81+D69+D57+D49+D45</f>
        <v>88503882.700000003</v>
      </c>
      <c r="E149" s="553">
        <v>1</v>
      </c>
      <c r="F149" s="1204">
        <f>D149</f>
        <v>88503882.700000003</v>
      </c>
    </row>
    <row r="150" spans="1:7" ht="12.75">
      <c r="A150" s="254"/>
      <c r="B150" s="254"/>
      <c r="C150" s="255"/>
      <c r="D150" s="1185"/>
      <c r="E150" s="254"/>
      <c r="F150" s="1185"/>
      <c r="G150" s="255"/>
    </row>
    <row r="151" spans="1:7" ht="12.75">
      <c r="A151" s="543">
        <f>1+A149</f>
        <v>47</v>
      </c>
      <c r="B151" s="543" t="s">
        <v>877</v>
      </c>
      <c r="C151" s="551" t="s">
        <v>2868</v>
      </c>
      <c r="D151" s="1193">
        <f>'C-2.2.B Total Co Accts Activ '!P15</f>
        <v>24472166.030000001</v>
      </c>
      <c r="E151" s="553">
        <v>1</v>
      </c>
      <c r="F151" s="1193">
        <f t="shared" ref="F151:F158" si="14">D151</f>
        <v>24472166.030000001</v>
      </c>
      <c r="G151" s="543" t="str">
        <f>$G$17</f>
        <v>100%</v>
      </c>
    </row>
    <row r="152" spans="1:7" ht="12.75">
      <c r="A152" s="543">
        <f t="shared" ref="A152:A158" si="15">1+A151</f>
        <v>48</v>
      </c>
      <c r="B152" s="543">
        <v>408</v>
      </c>
      <c r="C152" s="551" t="s">
        <v>2869</v>
      </c>
      <c r="D152" s="1193">
        <f>+'C-2.2.B Total Co Accts Activ '!P17</f>
        <v>9372000</v>
      </c>
      <c r="E152" s="553">
        <v>1</v>
      </c>
      <c r="F152" s="1193">
        <f t="shared" si="14"/>
        <v>9372000</v>
      </c>
      <c r="G152" s="551"/>
    </row>
    <row r="153" spans="1:7" ht="12.75">
      <c r="A153" s="543">
        <f t="shared" si="15"/>
        <v>49</v>
      </c>
      <c r="B153" s="543">
        <v>408</v>
      </c>
      <c r="C153" s="551" t="s">
        <v>2870</v>
      </c>
      <c r="D153" s="1193">
        <f>+'C-2.2.B Total Co Accts Activ '!P18</f>
        <v>900432.44286459521</v>
      </c>
      <c r="E153" s="553">
        <v>1</v>
      </c>
      <c r="F153" s="1193">
        <f t="shared" si="14"/>
        <v>900432.44286459521</v>
      </c>
      <c r="G153" s="551"/>
    </row>
    <row r="154" spans="1:7" ht="12.75">
      <c r="A154" s="543">
        <f t="shared" si="15"/>
        <v>50</v>
      </c>
      <c r="B154" s="543" t="s">
        <v>879</v>
      </c>
      <c r="C154" s="551" t="s">
        <v>2871</v>
      </c>
      <c r="D154" s="1193">
        <f>+'C-2.2.B Total Co Accts Activ '!P19</f>
        <v>225600</v>
      </c>
      <c r="E154" s="553">
        <v>1</v>
      </c>
      <c r="F154" s="1193">
        <f t="shared" si="14"/>
        <v>225600</v>
      </c>
      <c r="G154" s="544"/>
    </row>
    <row r="155" spans="1:7" ht="12.75">
      <c r="A155" s="543">
        <f t="shared" si="15"/>
        <v>51</v>
      </c>
      <c r="B155" s="543">
        <v>409</v>
      </c>
      <c r="C155" s="551" t="s">
        <v>2872</v>
      </c>
      <c r="D155" s="1193">
        <f>+'C-2.2.B Total Co Accts Activ '!P115</f>
        <v>-1556397.2598091187</v>
      </c>
      <c r="E155" s="553">
        <v>1</v>
      </c>
      <c r="F155" s="1193">
        <f t="shared" si="14"/>
        <v>-1556397.2598091187</v>
      </c>
      <c r="G155" s="544"/>
    </row>
    <row r="156" spans="1:7" ht="12.75">
      <c r="A156" s="543">
        <f t="shared" si="15"/>
        <v>52</v>
      </c>
      <c r="B156" s="543">
        <v>409</v>
      </c>
      <c r="C156" s="551" t="s">
        <v>2873</v>
      </c>
      <c r="D156" s="1193">
        <f>+'C-2.2.B Total Co Accts Activ '!P116</f>
        <v>-448471.00444890128</v>
      </c>
      <c r="E156" s="553">
        <v>1</v>
      </c>
      <c r="F156" s="1193">
        <f t="shared" si="14"/>
        <v>-448471.00444890128</v>
      </c>
      <c r="G156" s="544"/>
    </row>
    <row r="157" spans="1:7" ht="12.75">
      <c r="A157" s="543">
        <f t="shared" si="15"/>
        <v>53</v>
      </c>
      <c r="B157" s="543" t="s">
        <v>1522</v>
      </c>
      <c r="C157" s="551" t="s">
        <v>2874</v>
      </c>
      <c r="D157" s="1193">
        <f>+'C-2.2.B Total Co Accts Activ '!P117</f>
        <v>3586614.0159250288</v>
      </c>
      <c r="E157" s="553">
        <v>1</v>
      </c>
      <c r="F157" s="1193">
        <f t="shared" si="14"/>
        <v>3586614.0159250288</v>
      </c>
      <c r="G157" s="544"/>
    </row>
    <row r="158" spans="1:7" ht="12.75">
      <c r="A158" s="543">
        <f t="shared" si="15"/>
        <v>54</v>
      </c>
      <c r="B158" s="543" t="s">
        <v>1522</v>
      </c>
      <c r="C158" s="551" t="s">
        <v>2875</v>
      </c>
      <c r="D158" s="1202">
        <f>+'C-2.2.B Total Co Accts Activ '!P118</f>
        <v>1133960.8835340014</v>
      </c>
      <c r="E158" s="553">
        <v>1</v>
      </c>
      <c r="F158" s="1202">
        <f t="shared" si="14"/>
        <v>1133960.8835340014</v>
      </c>
      <c r="G158" s="552"/>
    </row>
    <row r="159" spans="1:7" ht="12.75">
      <c r="A159" s="543"/>
      <c r="B159" s="255"/>
      <c r="C159" s="255"/>
      <c r="D159" s="1185"/>
      <c r="E159" s="564"/>
      <c r="F159" s="1185"/>
      <c r="G159" s="255"/>
    </row>
    <row r="160" spans="1:7" ht="12.75">
      <c r="A160" s="543">
        <f>1+A158</f>
        <v>55</v>
      </c>
      <c r="B160" s="544"/>
      <c r="C160" s="551" t="s">
        <v>752</v>
      </c>
      <c r="D160" s="1192">
        <f>SUM(D149:D158)</f>
        <v>126189787.80806561</v>
      </c>
      <c r="E160" s="553">
        <v>1</v>
      </c>
      <c r="F160" s="1192">
        <f>SUM(F149:F158)</f>
        <v>126189787.80806561</v>
      </c>
      <c r="G160" s="544"/>
    </row>
    <row r="161" spans="1:7" ht="12.75">
      <c r="A161" s="254"/>
      <c r="B161" s="255"/>
      <c r="C161" s="255"/>
      <c r="D161" s="1185"/>
      <c r="E161" s="254"/>
      <c r="F161" s="1185"/>
      <c r="G161" s="255"/>
    </row>
    <row r="162" spans="1:7" ht="12.75">
      <c r="A162" s="543">
        <f>1+A160</f>
        <v>56</v>
      </c>
      <c r="B162" s="544"/>
      <c r="C162" s="551" t="s">
        <v>753</v>
      </c>
      <c r="D162" s="1192">
        <f>D39-D160</f>
        <v>24630897.818601087</v>
      </c>
      <c r="E162" s="553">
        <v>1</v>
      </c>
      <c r="F162" s="1192">
        <f>D162</f>
        <v>24630897.818601087</v>
      </c>
      <c r="G162" s="544"/>
    </row>
    <row r="163" spans="1:7" ht="12.75">
      <c r="A163" s="255"/>
      <c r="B163" s="255"/>
      <c r="C163" s="255"/>
      <c r="D163" s="554"/>
      <c r="E163" s="255"/>
      <c r="F163" s="255"/>
      <c r="G163" s="255"/>
    </row>
    <row r="164" spans="1:7" ht="11.25">
      <c r="A164" s="566"/>
      <c r="B164" s="546"/>
      <c r="C164" s="546"/>
      <c r="D164" s="546"/>
      <c r="E164" s="546"/>
      <c r="F164" s="546"/>
      <c r="G164" s="546"/>
    </row>
    <row r="165" spans="1:7" ht="11.25">
      <c r="A165" s="566"/>
      <c r="B165" s="546"/>
      <c r="G165" s="546"/>
    </row>
    <row r="166" spans="1:7" ht="11.25">
      <c r="A166" s="566"/>
      <c r="B166" s="546"/>
      <c r="C166" s="546"/>
      <c r="D166" s="546"/>
      <c r="E166" s="546"/>
      <c r="F166" s="546"/>
      <c r="G166" s="546"/>
    </row>
    <row r="167" spans="1:7" ht="11.25">
      <c r="A167" s="566"/>
      <c r="B167" s="546"/>
      <c r="C167" s="546"/>
      <c r="D167" s="546"/>
      <c r="E167" s="546"/>
      <c r="F167" s="567"/>
      <c r="G167" s="546"/>
    </row>
    <row r="168" spans="1:7" ht="11.25">
      <c r="A168" s="566"/>
      <c r="B168" s="546"/>
      <c r="C168" s="546"/>
      <c r="D168" s="546"/>
      <c r="E168" s="546"/>
      <c r="F168" s="546"/>
      <c r="G168" s="546"/>
    </row>
    <row r="169" spans="1:7" ht="11.25">
      <c r="A169" s="566"/>
      <c r="B169" s="546"/>
      <c r="C169" s="546"/>
      <c r="D169" s="546"/>
      <c r="E169" s="546"/>
      <c r="F169" s="546"/>
      <c r="G169" s="546"/>
    </row>
    <row r="170" spans="1:7" ht="11.25">
      <c r="A170" s="566"/>
      <c r="B170" s="546"/>
      <c r="C170" s="546"/>
      <c r="D170" s="546"/>
      <c r="E170" s="546"/>
      <c r="F170" s="546"/>
      <c r="G170" s="546"/>
    </row>
    <row r="171" spans="1:7" ht="11.25">
      <c r="A171" s="566"/>
      <c r="B171" s="546"/>
      <c r="C171" s="546"/>
      <c r="D171" s="546"/>
      <c r="E171" s="546"/>
      <c r="F171" s="546"/>
      <c r="G171" s="546"/>
    </row>
    <row r="172" spans="1:7" ht="11.25">
      <c r="A172" s="566"/>
      <c r="B172" s="546"/>
      <c r="C172" s="546"/>
      <c r="D172" s="546"/>
      <c r="E172" s="546"/>
      <c r="F172" s="546"/>
      <c r="G172" s="546"/>
    </row>
    <row r="173" spans="1:7" ht="11.25">
      <c r="A173" s="566"/>
      <c r="B173" s="546"/>
      <c r="C173" s="546"/>
      <c r="D173" s="546"/>
      <c r="E173" s="546"/>
      <c r="F173" s="546"/>
      <c r="G173" s="546"/>
    </row>
    <row r="174" spans="1:7" ht="11.25">
      <c r="A174" s="566"/>
      <c r="B174" s="546"/>
      <c r="C174" s="546"/>
      <c r="D174" s="546"/>
      <c r="E174" s="546"/>
      <c r="F174" s="546"/>
      <c r="G174" s="546"/>
    </row>
    <row r="175" spans="1:7" ht="11.25">
      <c r="A175" s="566"/>
      <c r="B175" s="546"/>
      <c r="C175" s="546"/>
      <c r="D175" s="546"/>
      <c r="E175" s="546"/>
      <c r="F175" s="546"/>
      <c r="G175" s="546"/>
    </row>
    <row r="176" spans="1:7" ht="11.25">
      <c r="A176" s="566"/>
      <c r="B176" s="546"/>
      <c r="C176" s="546"/>
      <c r="D176" s="546"/>
      <c r="E176" s="546"/>
      <c r="F176" s="546"/>
      <c r="G176" s="546"/>
    </row>
    <row r="177" spans="1:7" ht="11.25">
      <c r="A177" s="566"/>
      <c r="B177" s="546"/>
      <c r="C177" s="546"/>
      <c r="D177" s="546"/>
      <c r="E177" s="546"/>
      <c r="F177" s="546"/>
      <c r="G177" s="546"/>
    </row>
    <row r="178" spans="1:7" ht="11.25">
      <c r="A178" s="566"/>
      <c r="B178" s="546"/>
      <c r="C178" s="546"/>
      <c r="D178" s="546"/>
      <c r="E178" s="546"/>
      <c r="F178" s="546"/>
      <c r="G178" s="546"/>
    </row>
    <row r="179" spans="1:7" ht="11.25">
      <c r="A179" s="566"/>
      <c r="B179" s="546"/>
      <c r="C179" s="546"/>
      <c r="D179" s="546"/>
      <c r="E179" s="546"/>
      <c r="F179" s="546"/>
      <c r="G179" s="546"/>
    </row>
    <row r="180" spans="1:7" ht="11.25">
      <c r="A180" s="566"/>
      <c r="B180" s="546"/>
      <c r="C180" s="546"/>
      <c r="D180" s="546"/>
      <c r="E180" s="546"/>
      <c r="F180" s="546"/>
      <c r="G180" s="546"/>
    </row>
    <row r="181" spans="1:7" ht="11.25">
      <c r="A181" s="566"/>
      <c r="B181" s="546"/>
      <c r="C181" s="546"/>
      <c r="D181" s="546"/>
      <c r="E181" s="546"/>
      <c r="F181" s="546"/>
      <c r="G181" s="546"/>
    </row>
    <row r="182" spans="1:7" ht="11.25">
      <c r="A182" s="566"/>
      <c r="B182" s="546"/>
      <c r="C182" s="546"/>
      <c r="D182" s="546"/>
      <c r="E182" s="546"/>
      <c r="F182" s="546"/>
      <c r="G182" s="546"/>
    </row>
    <row r="183" spans="1:7" ht="11.25">
      <c r="A183" s="566"/>
      <c r="B183" s="546"/>
      <c r="C183" s="546"/>
      <c r="D183" s="546"/>
      <c r="E183" s="546"/>
      <c r="F183" s="546"/>
      <c r="G183" s="546"/>
    </row>
    <row r="184" spans="1:7" ht="11.25">
      <c r="A184" s="566"/>
      <c r="B184" s="546"/>
      <c r="C184" s="546"/>
      <c r="D184" s="546"/>
      <c r="E184" s="546"/>
      <c r="F184" s="546"/>
      <c r="G184" s="546"/>
    </row>
    <row r="185" spans="1:7" ht="11.25">
      <c r="A185" s="566"/>
      <c r="B185" s="546"/>
      <c r="C185" s="546"/>
      <c r="D185" s="546"/>
      <c r="E185" s="546"/>
      <c r="F185" s="546"/>
      <c r="G185" s="546"/>
    </row>
    <row r="186" spans="1:7" ht="11.25">
      <c r="A186" s="566"/>
      <c r="B186" s="546"/>
      <c r="C186" s="546"/>
      <c r="D186" s="546"/>
      <c r="E186" s="546"/>
      <c r="F186" s="546"/>
      <c r="G186" s="546"/>
    </row>
    <row r="187" spans="1:7" ht="11.25">
      <c r="A187" s="566"/>
      <c r="B187" s="546"/>
      <c r="C187" s="546"/>
      <c r="D187" s="546"/>
      <c r="E187" s="546"/>
      <c r="F187" s="546"/>
      <c r="G187" s="546"/>
    </row>
    <row r="188" spans="1:7" ht="11.25">
      <c r="A188" s="566"/>
      <c r="B188" s="546"/>
      <c r="C188" s="546"/>
      <c r="D188" s="546"/>
      <c r="E188" s="546"/>
      <c r="F188" s="546"/>
      <c r="G188" s="546"/>
    </row>
    <row r="189" spans="1:7" ht="11.25">
      <c r="A189" s="566"/>
      <c r="B189" s="546"/>
      <c r="C189" s="546"/>
      <c r="D189" s="546"/>
      <c r="E189" s="546"/>
      <c r="F189" s="546"/>
      <c r="G189" s="546"/>
    </row>
    <row r="190" spans="1:7" ht="11.25">
      <c r="A190" s="566"/>
      <c r="B190" s="546"/>
      <c r="C190" s="546"/>
      <c r="D190" s="546"/>
      <c r="E190" s="546"/>
      <c r="F190" s="546"/>
      <c r="G190" s="546"/>
    </row>
    <row r="191" spans="1:7" ht="11.25">
      <c r="A191" s="566"/>
      <c r="B191" s="546"/>
      <c r="C191" s="546"/>
      <c r="D191" s="546"/>
      <c r="E191" s="546"/>
      <c r="F191" s="546"/>
      <c r="G191" s="546"/>
    </row>
    <row r="192" spans="1:7" ht="11.25">
      <c r="A192" s="566"/>
      <c r="B192" s="546"/>
      <c r="C192" s="546"/>
      <c r="D192" s="546"/>
      <c r="E192" s="546"/>
      <c r="F192" s="546"/>
      <c r="G192" s="546"/>
    </row>
    <row r="193" spans="1:7" ht="11.25">
      <c r="A193" s="566"/>
      <c r="B193" s="546"/>
      <c r="C193" s="546"/>
      <c r="D193" s="546"/>
      <c r="E193" s="546"/>
      <c r="F193" s="546"/>
      <c r="G193" s="546"/>
    </row>
    <row r="194" spans="1:7" ht="11.25">
      <c r="A194" s="566"/>
      <c r="B194" s="546"/>
      <c r="C194" s="546"/>
      <c r="D194" s="546"/>
      <c r="E194" s="546"/>
      <c r="F194" s="546"/>
      <c r="G194" s="546"/>
    </row>
    <row r="195" spans="1:7" ht="11.25">
      <c r="A195" s="566"/>
      <c r="B195" s="546"/>
      <c r="C195" s="546"/>
      <c r="D195" s="546"/>
      <c r="E195" s="546"/>
      <c r="F195" s="546"/>
      <c r="G195" s="546"/>
    </row>
    <row r="196" spans="1:7" ht="11.25">
      <c r="A196" s="566"/>
      <c r="B196" s="546"/>
      <c r="C196" s="546"/>
      <c r="D196" s="546"/>
      <c r="E196" s="546"/>
      <c r="F196" s="546"/>
      <c r="G196" s="546"/>
    </row>
    <row r="197" spans="1:7" ht="11.25">
      <c r="A197" s="566"/>
      <c r="B197" s="546"/>
      <c r="C197" s="546"/>
      <c r="D197" s="546"/>
      <c r="E197" s="546"/>
      <c r="F197" s="546"/>
      <c r="G197" s="546"/>
    </row>
    <row r="198" spans="1:7" ht="11.25">
      <c r="A198" s="566"/>
      <c r="B198" s="546"/>
      <c r="C198" s="546"/>
      <c r="D198" s="546"/>
      <c r="E198" s="546"/>
      <c r="F198" s="546"/>
      <c r="G198" s="546"/>
    </row>
    <row r="199" spans="1:7" ht="11.25">
      <c r="A199" s="566"/>
      <c r="B199" s="546"/>
      <c r="C199" s="546"/>
      <c r="D199" s="546"/>
      <c r="E199" s="546"/>
      <c r="F199" s="546"/>
      <c r="G199" s="546"/>
    </row>
    <row r="200" spans="1:7" ht="11.25">
      <c r="A200" s="566"/>
      <c r="B200" s="546"/>
      <c r="C200" s="546"/>
      <c r="D200" s="546"/>
      <c r="E200" s="546"/>
      <c r="F200" s="546"/>
      <c r="G200" s="546"/>
    </row>
    <row r="201" spans="1:7" ht="11.25">
      <c r="A201" s="566"/>
      <c r="B201" s="546"/>
      <c r="C201" s="546"/>
      <c r="D201" s="546"/>
      <c r="E201" s="546"/>
      <c r="F201" s="546"/>
      <c r="G201" s="546"/>
    </row>
    <row r="202" spans="1:7" ht="11.25">
      <c r="A202" s="566"/>
      <c r="B202" s="546"/>
      <c r="C202" s="546"/>
      <c r="D202" s="546"/>
      <c r="E202" s="546"/>
      <c r="F202" s="546"/>
      <c r="G202" s="546"/>
    </row>
    <row r="203" spans="1:7" ht="11.25">
      <c r="A203" s="566"/>
      <c r="B203" s="546"/>
      <c r="C203" s="546"/>
      <c r="D203" s="546"/>
      <c r="E203" s="546"/>
      <c r="F203" s="546"/>
      <c r="G203" s="546"/>
    </row>
    <row r="204" spans="1:7" ht="11.25">
      <c r="A204" s="566"/>
      <c r="B204" s="546"/>
      <c r="C204" s="546"/>
      <c r="D204" s="546"/>
      <c r="E204" s="546"/>
      <c r="F204" s="546"/>
      <c r="G204" s="546"/>
    </row>
    <row r="205" spans="1:7" ht="11.25">
      <c r="A205" s="566"/>
      <c r="B205" s="546"/>
      <c r="C205" s="546"/>
      <c r="D205" s="546"/>
      <c r="E205" s="546"/>
      <c r="F205" s="546"/>
      <c r="G205" s="546"/>
    </row>
    <row r="206" spans="1:7" ht="11.25">
      <c r="A206" s="566"/>
      <c r="B206" s="546"/>
      <c r="C206" s="546"/>
      <c r="D206" s="546"/>
      <c r="E206" s="546"/>
      <c r="F206" s="546"/>
      <c r="G206" s="546"/>
    </row>
    <row r="207" spans="1:7" ht="11.25">
      <c r="A207" s="566"/>
      <c r="B207" s="546"/>
      <c r="C207" s="546"/>
      <c r="D207" s="546"/>
      <c r="E207" s="546"/>
      <c r="F207" s="546"/>
      <c r="G207" s="546"/>
    </row>
    <row r="208" spans="1:7" ht="11.25">
      <c r="A208" s="566"/>
      <c r="B208" s="546"/>
      <c r="C208" s="546"/>
      <c r="D208" s="546"/>
      <c r="E208" s="546"/>
      <c r="F208" s="546"/>
      <c r="G208" s="546"/>
    </row>
    <row r="209" spans="1:7" ht="11.25">
      <c r="A209" s="566"/>
      <c r="B209" s="546"/>
      <c r="C209" s="546"/>
      <c r="D209" s="546"/>
      <c r="E209" s="546"/>
      <c r="F209" s="546"/>
      <c r="G209" s="546"/>
    </row>
    <row r="210" spans="1:7" ht="11.25">
      <c r="A210" s="566"/>
      <c r="B210" s="546"/>
      <c r="C210" s="546"/>
      <c r="D210" s="546"/>
      <c r="E210" s="546"/>
      <c r="F210" s="546"/>
      <c r="G210" s="546"/>
    </row>
    <row r="211" spans="1:7" ht="11.25">
      <c r="A211" s="566"/>
      <c r="B211" s="546"/>
      <c r="C211" s="546"/>
      <c r="D211" s="546"/>
      <c r="E211" s="546"/>
      <c r="F211" s="546"/>
      <c r="G211" s="546"/>
    </row>
    <row r="212" spans="1:7" ht="11.25">
      <c r="A212" s="566"/>
      <c r="B212" s="546"/>
      <c r="C212" s="546"/>
      <c r="D212" s="546"/>
      <c r="E212" s="546"/>
      <c r="F212" s="546"/>
      <c r="G212" s="546"/>
    </row>
    <row r="213" spans="1:7" ht="11.25">
      <c r="A213" s="566"/>
      <c r="B213" s="546"/>
      <c r="C213" s="546"/>
      <c r="D213" s="546"/>
      <c r="E213" s="546"/>
      <c r="F213" s="546"/>
      <c r="G213" s="546"/>
    </row>
    <row r="214" spans="1:7" ht="11.25">
      <c r="A214" s="566"/>
      <c r="B214" s="546"/>
      <c r="C214" s="546"/>
      <c r="D214" s="546"/>
      <c r="E214" s="546"/>
      <c r="F214" s="546"/>
      <c r="G214" s="546"/>
    </row>
    <row r="215" spans="1:7" ht="11.25">
      <c r="A215" s="566"/>
      <c r="B215" s="546"/>
      <c r="C215" s="546"/>
      <c r="D215" s="546"/>
      <c r="E215" s="546"/>
      <c r="F215" s="546"/>
      <c r="G215" s="546"/>
    </row>
    <row r="216" spans="1:7" ht="11.25">
      <c r="A216" s="566"/>
      <c r="B216" s="546"/>
      <c r="C216" s="546"/>
      <c r="D216" s="546"/>
      <c r="E216" s="546"/>
      <c r="F216" s="546"/>
      <c r="G216" s="546"/>
    </row>
    <row r="217" spans="1:7" ht="11.25">
      <c r="A217" s="566"/>
      <c r="B217" s="546"/>
      <c r="C217" s="546"/>
      <c r="D217" s="546"/>
      <c r="E217" s="546"/>
      <c r="F217" s="546"/>
      <c r="G217" s="546"/>
    </row>
    <row r="218" spans="1:7" ht="11.25">
      <c r="A218" s="566"/>
      <c r="B218" s="546"/>
      <c r="C218" s="546"/>
      <c r="D218" s="546"/>
      <c r="E218" s="546"/>
      <c r="F218" s="546"/>
      <c r="G218" s="546"/>
    </row>
    <row r="219" spans="1:7" ht="11.25">
      <c r="A219" s="566"/>
      <c r="B219" s="546"/>
      <c r="C219" s="546"/>
      <c r="D219" s="546"/>
      <c r="E219" s="546"/>
      <c r="F219" s="546"/>
      <c r="G219" s="546"/>
    </row>
    <row r="220" spans="1:7" ht="11.25">
      <c r="A220" s="566"/>
      <c r="B220" s="546"/>
      <c r="C220" s="546"/>
      <c r="D220" s="546"/>
      <c r="E220" s="546"/>
      <c r="F220" s="546"/>
      <c r="G220" s="546"/>
    </row>
    <row r="221" spans="1:7" ht="11.25">
      <c r="A221" s="566"/>
      <c r="B221" s="546"/>
      <c r="C221" s="546"/>
      <c r="D221" s="546"/>
      <c r="E221" s="546"/>
      <c r="F221" s="546"/>
      <c r="G221" s="546"/>
    </row>
    <row r="222" spans="1:7" ht="11.25">
      <c r="A222" s="566"/>
      <c r="B222" s="546"/>
      <c r="C222" s="546"/>
      <c r="D222" s="546"/>
      <c r="E222" s="546"/>
      <c r="F222" s="546"/>
      <c r="G222" s="546"/>
    </row>
    <row r="223" spans="1:7" ht="11.25">
      <c r="A223" s="566"/>
      <c r="B223" s="546"/>
      <c r="C223" s="546"/>
      <c r="D223" s="546"/>
      <c r="E223" s="546"/>
      <c r="F223" s="546"/>
      <c r="G223" s="546"/>
    </row>
    <row r="224" spans="1:7" ht="11.25">
      <c r="A224" s="566"/>
      <c r="B224" s="546"/>
      <c r="C224" s="546"/>
      <c r="D224" s="546"/>
      <c r="E224" s="546"/>
      <c r="F224" s="546"/>
      <c r="G224" s="546"/>
    </row>
    <row r="225" spans="1:7" ht="11.25">
      <c r="A225" s="566"/>
      <c r="B225" s="546"/>
      <c r="C225" s="546"/>
      <c r="D225" s="546"/>
      <c r="E225" s="546"/>
      <c r="F225" s="546"/>
      <c r="G225" s="546"/>
    </row>
    <row r="226" spans="1:7" ht="11.25">
      <c r="A226" s="566"/>
      <c r="B226" s="546"/>
      <c r="C226" s="546"/>
      <c r="D226" s="546"/>
      <c r="E226" s="546"/>
      <c r="F226" s="546"/>
      <c r="G226" s="546"/>
    </row>
    <row r="227" spans="1:7" ht="11.25">
      <c r="A227" s="566"/>
      <c r="B227" s="546"/>
      <c r="C227" s="546"/>
      <c r="D227" s="546"/>
      <c r="E227" s="546"/>
      <c r="F227" s="546"/>
      <c r="G227" s="546"/>
    </row>
    <row r="228" spans="1:7" ht="11.25">
      <c r="A228" s="566"/>
      <c r="B228" s="546"/>
      <c r="C228" s="546"/>
      <c r="D228" s="546"/>
      <c r="E228" s="546"/>
      <c r="F228" s="546"/>
      <c r="G228" s="546"/>
    </row>
    <row r="229" spans="1:7" ht="11.25">
      <c r="A229" s="566"/>
      <c r="B229" s="546"/>
      <c r="C229" s="546"/>
      <c r="D229" s="546"/>
      <c r="E229" s="546"/>
      <c r="F229" s="546"/>
      <c r="G229" s="546"/>
    </row>
    <row r="230" spans="1:7" ht="11.25">
      <c r="A230" s="566"/>
      <c r="B230" s="546"/>
      <c r="C230" s="546"/>
      <c r="D230" s="546"/>
      <c r="E230" s="546"/>
      <c r="F230" s="546"/>
      <c r="G230" s="546"/>
    </row>
    <row r="231" spans="1:7" ht="11.25">
      <c r="A231" s="566"/>
      <c r="B231" s="546"/>
      <c r="C231" s="546"/>
      <c r="D231" s="546"/>
      <c r="E231" s="546"/>
      <c r="F231" s="546"/>
      <c r="G231" s="546"/>
    </row>
    <row r="232" spans="1:7" ht="11.25">
      <c r="A232" s="566"/>
      <c r="B232" s="546"/>
      <c r="C232" s="546"/>
      <c r="D232" s="546"/>
      <c r="E232" s="546"/>
      <c r="F232" s="546"/>
      <c r="G232" s="546"/>
    </row>
    <row r="233" spans="1:7" ht="11.25">
      <c r="A233" s="566"/>
      <c r="B233" s="546"/>
      <c r="C233" s="546"/>
      <c r="D233" s="546"/>
      <c r="E233" s="546"/>
      <c r="F233" s="546"/>
      <c r="G233" s="546"/>
    </row>
    <row r="234" spans="1:7" ht="11.25">
      <c r="A234" s="566"/>
      <c r="B234" s="546"/>
      <c r="C234" s="546"/>
      <c r="D234" s="546"/>
      <c r="E234" s="546"/>
      <c r="F234" s="546"/>
      <c r="G234" s="546"/>
    </row>
    <row r="235" spans="1:7" ht="11.25">
      <c r="A235" s="566"/>
      <c r="B235" s="546"/>
      <c r="C235" s="546"/>
      <c r="D235" s="546"/>
      <c r="E235" s="546"/>
      <c r="F235" s="546"/>
      <c r="G235" s="546"/>
    </row>
    <row r="236" spans="1:7" ht="11.25">
      <c r="A236" s="566"/>
      <c r="B236" s="546"/>
      <c r="C236" s="546"/>
      <c r="D236" s="546"/>
      <c r="E236" s="546"/>
      <c r="F236" s="546"/>
      <c r="G236" s="546"/>
    </row>
    <row r="237" spans="1:7" ht="11.25">
      <c r="A237" s="566"/>
      <c r="B237" s="546"/>
      <c r="C237" s="546"/>
      <c r="D237" s="546"/>
      <c r="E237" s="546"/>
      <c r="F237" s="546"/>
      <c r="G237" s="546"/>
    </row>
    <row r="238" spans="1:7" ht="11.25">
      <c r="A238" s="566"/>
      <c r="B238" s="546"/>
      <c r="C238" s="546"/>
      <c r="D238" s="546"/>
      <c r="E238" s="546"/>
      <c r="F238" s="546"/>
      <c r="G238" s="546"/>
    </row>
    <row r="239" spans="1:7" ht="11.25">
      <c r="A239" s="566"/>
      <c r="B239" s="546"/>
      <c r="C239" s="546"/>
      <c r="D239" s="546"/>
      <c r="E239" s="546"/>
      <c r="F239" s="546"/>
      <c r="G239" s="546"/>
    </row>
    <row r="240" spans="1:7" ht="11.25">
      <c r="A240" s="566"/>
      <c r="B240" s="546"/>
      <c r="C240" s="546"/>
      <c r="D240" s="546"/>
      <c r="E240" s="546"/>
      <c r="F240" s="546"/>
      <c r="G240" s="546"/>
    </row>
    <row r="241" spans="1:7" ht="11.25">
      <c r="A241" s="566"/>
      <c r="B241" s="546"/>
      <c r="C241" s="546"/>
      <c r="D241" s="546"/>
      <c r="E241" s="546"/>
      <c r="F241" s="546"/>
      <c r="G241" s="546"/>
    </row>
    <row r="242" spans="1:7" ht="11.25">
      <c r="A242" s="566"/>
      <c r="B242" s="546"/>
      <c r="C242" s="546"/>
      <c r="D242" s="546"/>
      <c r="E242" s="546"/>
      <c r="F242" s="546"/>
      <c r="G242" s="546"/>
    </row>
    <row r="243" spans="1:7" ht="11.25">
      <c r="A243" s="566"/>
      <c r="B243" s="546"/>
      <c r="C243" s="546"/>
      <c r="D243" s="546"/>
      <c r="E243" s="546"/>
      <c r="F243" s="546"/>
      <c r="G243" s="546"/>
    </row>
    <row r="244" spans="1:7" ht="11.25">
      <c r="A244" s="566"/>
      <c r="B244" s="546"/>
      <c r="C244" s="546"/>
      <c r="D244" s="546"/>
      <c r="E244" s="546"/>
      <c r="F244" s="546"/>
      <c r="G244" s="546"/>
    </row>
    <row r="245" spans="1:7" ht="11.25">
      <c r="A245" s="566"/>
      <c r="B245" s="546"/>
      <c r="C245" s="546"/>
      <c r="D245" s="546"/>
      <c r="E245" s="546"/>
      <c r="F245" s="546"/>
      <c r="G245" s="546"/>
    </row>
    <row r="246" spans="1:7" ht="11.25">
      <c r="A246" s="566"/>
      <c r="B246" s="546"/>
      <c r="C246" s="546"/>
      <c r="D246" s="546"/>
      <c r="E246" s="546"/>
      <c r="F246" s="546"/>
      <c r="G246" s="546"/>
    </row>
    <row r="247" spans="1:7" ht="11.25">
      <c r="A247" s="566"/>
      <c r="B247" s="546"/>
      <c r="C247" s="546"/>
      <c r="D247" s="546"/>
      <c r="E247" s="546"/>
      <c r="F247" s="546"/>
      <c r="G247" s="546"/>
    </row>
    <row r="248" spans="1:7" ht="11.25">
      <c r="A248" s="566"/>
      <c r="B248" s="546"/>
      <c r="C248" s="546"/>
      <c r="D248" s="546"/>
      <c r="E248" s="546"/>
      <c r="F248" s="546"/>
      <c r="G248" s="546"/>
    </row>
    <row r="249" spans="1:7" ht="11.25">
      <c r="A249" s="566"/>
      <c r="B249" s="546"/>
      <c r="C249" s="546"/>
      <c r="D249" s="546"/>
      <c r="E249" s="546"/>
      <c r="F249" s="546"/>
      <c r="G249" s="546"/>
    </row>
    <row r="250" spans="1:7" ht="11.25">
      <c r="A250" s="566"/>
      <c r="B250" s="546"/>
      <c r="C250" s="546"/>
      <c r="D250" s="546"/>
      <c r="E250" s="546"/>
      <c r="F250" s="546"/>
      <c r="G250" s="546"/>
    </row>
    <row r="251" spans="1:7" ht="11.25">
      <c r="A251" s="566"/>
      <c r="B251" s="546"/>
      <c r="C251" s="546"/>
      <c r="D251" s="546"/>
      <c r="E251" s="546"/>
      <c r="F251" s="546"/>
      <c r="G251" s="546"/>
    </row>
    <row r="252" spans="1:7" ht="11.25">
      <c r="A252" s="566"/>
      <c r="B252" s="546"/>
      <c r="C252" s="546"/>
      <c r="D252" s="546"/>
      <c r="E252" s="546"/>
      <c r="F252" s="546"/>
      <c r="G252" s="546"/>
    </row>
    <row r="253" spans="1:7" ht="11.25">
      <c r="A253" s="566"/>
      <c r="B253" s="546"/>
      <c r="C253" s="546"/>
      <c r="D253" s="546"/>
      <c r="E253" s="546"/>
      <c r="F253" s="546"/>
      <c r="G253" s="546"/>
    </row>
    <row r="254" spans="1:7" ht="11.25">
      <c r="A254" s="566"/>
      <c r="B254" s="546"/>
      <c r="C254" s="546"/>
      <c r="D254" s="546"/>
      <c r="E254" s="546"/>
      <c r="F254" s="546"/>
      <c r="G254" s="546"/>
    </row>
    <row r="255" spans="1:7" ht="11.25">
      <c r="A255" s="566"/>
      <c r="B255" s="546"/>
      <c r="C255" s="546"/>
      <c r="D255" s="546"/>
      <c r="E255" s="546"/>
      <c r="F255" s="546"/>
      <c r="G255" s="546"/>
    </row>
    <row r="256" spans="1:7" ht="11.25">
      <c r="A256" s="566"/>
      <c r="B256" s="546"/>
      <c r="C256" s="546"/>
      <c r="D256" s="546"/>
      <c r="E256" s="546"/>
      <c r="F256" s="546"/>
      <c r="G256" s="546"/>
    </row>
    <row r="257" spans="1:7" ht="11.25">
      <c r="A257" s="566"/>
      <c r="B257" s="546"/>
      <c r="C257" s="546"/>
      <c r="D257" s="546"/>
      <c r="E257" s="546"/>
      <c r="F257" s="546"/>
      <c r="G257" s="546"/>
    </row>
    <row r="258" spans="1:7" ht="11.25">
      <c r="A258" s="566"/>
      <c r="B258" s="546"/>
      <c r="C258" s="546"/>
      <c r="D258" s="546"/>
      <c r="E258" s="546"/>
      <c r="F258" s="546"/>
      <c r="G258" s="546"/>
    </row>
    <row r="259" spans="1:7" ht="11.25">
      <c r="A259" s="566"/>
      <c r="B259" s="546"/>
      <c r="C259" s="546"/>
      <c r="D259" s="546"/>
      <c r="E259" s="546"/>
      <c r="F259" s="546"/>
      <c r="G259" s="546"/>
    </row>
    <row r="260" spans="1:7" ht="11.25">
      <c r="A260" s="566"/>
      <c r="B260" s="546"/>
      <c r="C260" s="546"/>
      <c r="D260" s="546"/>
      <c r="E260" s="546"/>
      <c r="F260" s="546"/>
      <c r="G260" s="546"/>
    </row>
    <row r="261" spans="1:7" ht="11.25">
      <c r="A261" s="566"/>
      <c r="B261" s="546"/>
      <c r="C261" s="546"/>
      <c r="D261" s="546"/>
      <c r="E261" s="546"/>
      <c r="F261" s="546"/>
      <c r="G261" s="546"/>
    </row>
    <row r="262" spans="1:7" ht="11.25">
      <c r="A262" s="566"/>
      <c r="B262" s="546"/>
      <c r="C262" s="546"/>
      <c r="D262" s="546"/>
      <c r="E262" s="546"/>
      <c r="F262" s="546"/>
      <c r="G262" s="546"/>
    </row>
    <row r="263" spans="1:7" ht="11.25">
      <c r="A263" s="566"/>
      <c r="B263" s="546"/>
      <c r="C263" s="546"/>
      <c r="D263" s="546"/>
      <c r="E263" s="546"/>
      <c r="F263" s="546"/>
      <c r="G263" s="546"/>
    </row>
    <row r="264" spans="1:7" ht="11.25">
      <c r="A264" s="566"/>
      <c r="B264" s="546"/>
      <c r="C264" s="546"/>
      <c r="D264" s="546"/>
      <c r="E264" s="546"/>
      <c r="F264" s="546"/>
      <c r="G264" s="546"/>
    </row>
    <row r="265" spans="1:7" ht="11.25">
      <c r="A265" s="566"/>
      <c r="B265" s="546"/>
      <c r="C265" s="546"/>
      <c r="D265" s="546"/>
      <c r="E265" s="546"/>
      <c r="F265" s="546"/>
      <c r="G265" s="546"/>
    </row>
    <row r="266" spans="1:7" ht="11.25">
      <c r="A266" s="566"/>
      <c r="B266" s="546"/>
      <c r="C266" s="546"/>
      <c r="D266" s="546"/>
      <c r="E266" s="546"/>
      <c r="F266" s="546"/>
      <c r="G266" s="546"/>
    </row>
    <row r="267" spans="1:7" ht="11.25">
      <c r="A267" s="566"/>
      <c r="B267" s="546"/>
      <c r="C267" s="546"/>
      <c r="D267" s="546"/>
      <c r="E267" s="546"/>
      <c r="F267" s="546"/>
      <c r="G267" s="546"/>
    </row>
    <row r="268" spans="1:7" ht="11.25">
      <c r="A268" s="566"/>
      <c r="B268" s="546"/>
      <c r="C268" s="546"/>
      <c r="D268" s="546"/>
      <c r="E268" s="546"/>
      <c r="F268" s="546"/>
      <c r="G268" s="546"/>
    </row>
    <row r="269" spans="1:7" ht="11.25">
      <c r="A269" s="566"/>
      <c r="B269" s="546"/>
      <c r="C269" s="546"/>
      <c r="D269" s="546"/>
      <c r="E269" s="546"/>
      <c r="F269" s="546"/>
      <c r="G269" s="546"/>
    </row>
    <row r="270" spans="1:7" ht="11.25">
      <c r="A270" s="566"/>
      <c r="B270" s="546"/>
      <c r="C270" s="546"/>
      <c r="D270" s="546"/>
      <c r="E270" s="546"/>
      <c r="F270" s="546"/>
      <c r="G270" s="546"/>
    </row>
    <row r="271" spans="1:7" ht="11.25">
      <c r="A271" s="566"/>
      <c r="B271" s="546"/>
      <c r="C271" s="546"/>
      <c r="D271" s="546"/>
      <c r="E271" s="546"/>
      <c r="F271" s="546"/>
      <c r="G271" s="546"/>
    </row>
    <row r="272" spans="1:7" ht="11.25">
      <c r="A272" s="566"/>
      <c r="B272" s="546"/>
      <c r="C272" s="546"/>
      <c r="D272" s="546"/>
      <c r="E272" s="546"/>
      <c r="F272" s="546"/>
      <c r="G272" s="546"/>
    </row>
    <row r="273" spans="1:7" ht="11.25">
      <c r="A273" s="566"/>
      <c r="B273" s="546"/>
      <c r="C273" s="546"/>
      <c r="D273" s="546"/>
      <c r="E273" s="546"/>
      <c r="F273" s="546"/>
      <c r="G273" s="546"/>
    </row>
    <row r="274" spans="1:7" ht="11.25">
      <c r="A274" s="566"/>
      <c r="B274" s="546"/>
      <c r="C274" s="546"/>
      <c r="D274" s="546"/>
      <c r="E274" s="546"/>
      <c r="F274" s="546"/>
      <c r="G274" s="546"/>
    </row>
    <row r="275" spans="1:7" ht="11.25">
      <c r="A275" s="566"/>
      <c r="B275" s="546"/>
      <c r="C275" s="546"/>
      <c r="D275" s="546"/>
      <c r="E275" s="546"/>
      <c r="F275" s="546"/>
      <c r="G275" s="546"/>
    </row>
    <row r="276" spans="1:7" ht="11.25">
      <c r="A276" s="566"/>
      <c r="B276" s="546"/>
      <c r="C276" s="546"/>
      <c r="D276" s="546"/>
      <c r="E276" s="546"/>
      <c r="F276" s="546"/>
      <c r="G276" s="546"/>
    </row>
    <row r="277" spans="1:7" ht="11.25">
      <c r="A277" s="566"/>
      <c r="B277" s="546"/>
      <c r="C277" s="546"/>
      <c r="D277" s="546"/>
      <c r="E277" s="546"/>
      <c r="F277" s="546"/>
      <c r="G277" s="546"/>
    </row>
    <row r="278" spans="1:7" ht="11.25">
      <c r="A278" s="566"/>
      <c r="B278" s="546"/>
      <c r="C278" s="546"/>
      <c r="D278" s="546"/>
      <c r="E278" s="546"/>
      <c r="F278" s="546"/>
      <c r="G278" s="546"/>
    </row>
    <row r="279" spans="1:7" ht="11.25">
      <c r="A279" s="566"/>
      <c r="B279" s="546"/>
      <c r="C279" s="546"/>
      <c r="D279" s="546"/>
      <c r="E279" s="546"/>
      <c r="F279" s="546"/>
      <c r="G279" s="546"/>
    </row>
    <row r="280" spans="1:7" ht="11.25">
      <c r="A280" s="566"/>
      <c r="B280" s="546"/>
      <c r="C280" s="546"/>
      <c r="D280" s="546"/>
      <c r="E280" s="546"/>
      <c r="F280" s="546"/>
      <c r="G280" s="546"/>
    </row>
    <row r="281" spans="1:7" ht="11.25">
      <c r="A281" s="566"/>
      <c r="B281" s="546"/>
      <c r="C281" s="546"/>
      <c r="D281" s="546"/>
      <c r="E281" s="546"/>
      <c r="F281" s="546"/>
      <c r="G281" s="546"/>
    </row>
    <row r="282" spans="1:7" ht="11.25">
      <c r="A282" s="566"/>
      <c r="B282" s="546"/>
      <c r="C282" s="546"/>
      <c r="D282" s="546"/>
      <c r="E282" s="546"/>
      <c r="F282" s="546"/>
      <c r="G282" s="546"/>
    </row>
    <row r="283" spans="1:7" ht="11.25">
      <c r="A283" s="566"/>
      <c r="B283" s="546"/>
      <c r="C283" s="546"/>
      <c r="D283" s="546"/>
      <c r="E283" s="546"/>
      <c r="F283" s="546"/>
      <c r="G283" s="546"/>
    </row>
  </sheetData>
  <mergeCells count="8">
    <mergeCell ref="A86:G86"/>
    <mergeCell ref="A87:G87"/>
    <mergeCell ref="A1:G1"/>
    <mergeCell ref="A2:G2"/>
    <mergeCell ref="A3:G3"/>
    <mergeCell ref="A4:G4"/>
    <mergeCell ref="A84:G84"/>
    <mergeCell ref="A85:G85"/>
  </mergeCells>
  <printOptions horizontalCentered="1"/>
  <pageMargins left="0.5" right="0.5" top="0.75" bottom="0.5" header="0.3" footer="0.3"/>
  <pageSetup scale="67" fitToHeight="2" orientation="portrait" r:id="rId1"/>
  <rowBreaks count="1" manualBreakCount="1">
    <brk id="83" max="6"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130"/>
  <sheetViews>
    <sheetView topLeftCell="D93" zoomScaleNormal="100" zoomScaleSheetLayoutView="100" workbookViewId="0">
      <selection activeCell="R117" sqref="R117"/>
    </sheetView>
  </sheetViews>
  <sheetFormatPr defaultColWidth="9.33203125" defaultRowHeight="12"/>
  <cols>
    <col min="1" max="1" width="4.1640625" style="285" customWidth="1"/>
    <col min="2" max="2" width="14" style="285" bestFit="1" customWidth="1"/>
    <col min="3" max="3" width="63.5" style="285" customWidth="1"/>
    <col min="4" max="4" width="14.33203125" style="285" customWidth="1"/>
    <col min="5" max="5" width="12.5" style="285" customWidth="1"/>
    <col min="6" max="6" width="13" style="285" customWidth="1"/>
    <col min="7" max="10" width="13.6640625" style="285" bestFit="1" customWidth="1"/>
    <col min="11" max="11" width="12.6640625" style="285" customWidth="1"/>
    <col min="12" max="12" width="12.83203125" style="285" bestFit="1" customWidth="1"/>
    <col min="13" max="15" width="12.6640625" style="285" customWidth="1"/>
    <col min="16" max="16" width="21.33203125" style="285" customWidth="1"/>
    <col min="17" max="16384" width="9.33203125" style="285"/>
  </cols>
  <sheetData>
    <row r="1" spans="1:16">
      <c r="A1" s="1326" t="str">
        <f>'General Headers Index'!B4</f>
        <v>COLUMBIA GAS OF KENTUCKY, INC.</v>
      </c>
      <c r="B1" s="1326"/>
      <c r="C1" s="1327"/>
      <c r="D1" s="1327"/>
      <c r="E1" s="1327"/>
      <c r="F1" s="1327"/>
      <c r="G1" s="1327"/>
      <c r="H1" s="1327"/>
      <c r="I1" s="1327"/>
      <c r="J1" s="1327"/>
      <c r="K1" s="1327"/>
      <c r="L1" s="1327"/>
      <c r="M1" s="1327"/>
      <c r="N1" s="1327"/>
      <c r="O1" s="1327"/>
      <c r="P1" s="1327"/>
    </row>
    <row r="2" spans="1:16">
      <c r="A2" s="1326" t="str">
        <f>'General Headers Index'!B6</f>
        <v>CASE NO. 2024 - 00092</v>
      </c>
      <c r="B2" s="1326"/>
      <c r="C2" s="1327"/>
      <c r="D2" s="1327"/>
      <c r="E2" s="1327"/>
      <c r="F2" s="1327"/>
      <c r="G2" s="1327"/>
      <c r="H2" s="1327"/>
      <c r="I2" s="1327"/>
      <c r="J2" s="1327"/>
      <c r="K2" s="1327"/>
      <c r="L2" s="1327"/>
      <c r="M2" s="1327"/>
      <c r="N2" s="1327"/>
      <c r="O2" s="1327"/>
      <c r="P2" s="1327"/>
    </row>
    <row r="3" spans="1:16">
      <c r="A3" s="1326" t="str">
        <f>'Index C'!$C$25</f>
        <v>BASE PERIOD COMPARISON OF TOTAL COMPANY ACCOUNT ACTIVITY</v>
      </c>
      <c r="B3" s="1326"/>
      <c r="C3" s="1327"/>
      <c r="D3" s="1327"/>
      <c r="E3" s="1327"/>
      <c r="F3" s="1327"/>
      <c r="G3" s="1327"/>
      <c r="H3" s="1327"/>
      <c r="I3" s="1327"/>
      <c r="J3" s="1327"/>
      <c r="K3" s="1327"/>
      <c r="L3" s="1327"/>
      <c r="M3" s="1327"/>
      <c r="N3" s="1327"/>
      <c r="O3" s="1327"/>
      <c r="P3" s="1327"/>
    </row>
    <row r="4" spans="1:16">
      <c r="A4" s="1326" t="str">
        <f>'General Headers Index'!B8</f>
        <v>FOR THE TWELVE MONTHS ENDED AUGUST 31, 2024</v>
      </c>
      <c r="B4" s="1326"/>
      <c r="C4" s="1327"/>
      <c r="D4" s="1327"/>
      <c r="E4" s="1327"/>
      <c r="F4" s="1327"/>
      <c r="G4" s="1327"/>
      <c r="H4" s="1327"/>
      <c r="I4" s="1327"/>
      <c r="J4" s="1327"/>
      <c r="K4" s="1327"/>
      <c r="L4" s="1327"/>
      <c r="M4" s="1327"/>
      <c r="N4" s="1327"/>
      <c r="O4" s="1327"/>
      <c r="P4" s="1327"/>
    </row>
    <row r="5" spans="1:16">
      <c r="A5" s="529"/>
      <c r="B5" s="529"/>
      <c r="C5" s="529"/>
      <c r="D5" s="530"/>
      <c r="E5" s="529"/>
      <c r="F5" s="529"/>
      <c r="G5" s="529"/>
      <c r="H5" s="531"/>
      <c r="I5" s="529"/>
      <c r="J5" s="529"/>
      <c r="K5" s="529"/>
      <c r="L5" s="529"/>
      <c r="M5" s="529"/>
      <c r="N5" s="529"/>
      <c r="O5" s="529"/>
      <c r="P5" s="529"/>
    </row>
    <row r="6" spans="1:16" ht="12" customHeight="1">
      <c r="A6" s="532" t="s">
        <v>2787</v>
      </c>
      <c r="B6" s="532"/>
      <c r="C6" s="529"/>
      <c r="D6" s="541"/>
      <c r="E6" s="529"/>
      <c r="F6" s="529"/>
      <c r="G6" s="529"/>
      <c r="H6" s="529"/>
      <c r="I6" s="529"/>
      <c r="J6" s="529"/>
      <c r="K6" s="529"/>
      <c r="L6" s="529"/>
      <c r="M6" s="529"/>
      <c r="N6" s="533"/>
      <c r="O6" s="529"/>
      <c r="P6" s="534" t="s">
        <v>2963</v>
      </c>
    </row>
    <row r="7" spans="1:16">
      <c r="A7" s="532" t="str">
        <f>'General Headers Index'!B37</f>
        <v>TYPE OF FILING:___X___ORIGINAL______UPDATED</v>
      </c>
      <c r="B7" s="532"/>
      <c r="C7" s="529"/>
      <c r="D7" s="529"/>
      <c r="E7" s="529"/>
      <c r="F7" s="529"/>
      <c r="G7" s="529"/>
      <c r="H7" s="529"/>
      <c r="I7" s="529"/>
      <c r="J7" s="529"/>
      <c r="K7" s="529"/>
      <c r="L7" s="529"/>
      <c r="M7" s="529"/>
      <c r="N7" s="533"/>
      <c r="O7" s="529"/>
      <c r="P7" s="534" t="s">
        <v>883</v>
      </c>
    </row>
    <row r="8" spans="1:16">
      <c r="A8" s="532" t="s">
        <v>575</v>
      </c>
      <c r="B8" s="532"/>
      <c r="C8" s="529"/>
      <c r="D8" s="529"/>
      <c r="E8" s="529"/>
      <c r="F8" s="529"/>
      <c r="G8" s="529"/>
      <c r="H8" s="529"/>
      <c r="I8" s="529"/>
      <c r="J8" s="529"/>
      <c r="K8" s="529"/>
      <c r="L8" s="529"/>
      <c r="M8" s="529"/>
      <c r="N8" s="533"/>
      <c r="O8" s="529"/>
      <c r="P8" s="534" t="str">
        <f>"WITNESS: "&amp;'General Headers Index'!B45</f>
        <v>WITNESS: SHAEFFER</v>
      </c>
    </row>
    <row r="9" spans="1:16">
      <c r="A9" s="855"/>
      <c r="B9" s="855"/>
      <c r="C9" s="856"/>
      <c r="D9" s="856"/>
      <c r="E9" s="856"/>
      <c r="F9" s="856"/>
      <c r="G9" s="856"/>
      <c r="H9" s="856"/>
      <c r="I9" s="856"/>
      <c r="J9" s="856"/>
      <c r="K9" s="856"/>
      <c r="L9" s="856"/>
      <c r="M9" s="856"/>
      <c r="N9" s="857"/>
      <c r="O9" s="856"/>
      <c r="P9" s="858"/>
    </row>
    <row r="10" spans="1:16">
      <c r="A10" s="266" t="s">
        <v>641</v>
      </c>
      <c r="B10" s="530"/>
      <c r="C10" s="530"/>
      <c r="D10" s="266" t="s">
        <v>648</v>
      </c>
      <c r="E10" s="266" t="s">
        <v>648</v>
      </c>
      <c r="F10" s="266" t="s">
        <v>648</v>
      </c>
      <c r="G10" s="266" t="s">
        <v>648</v>
      </c>
      <c r="H10" s="266" t="s">
        <v>648</v>
      </c>
      <c r="I10" s="266" t="s">
        <v>648</v>
      </c>
      <c r="J10" s="537" t="s">
        <v>955</v>
      </c>
      <c r="K10" s="537" t="s">
        <v>955</v>
      </c>
      <c r="L10" s="537" t="s">
        <v>955</v>
      </c>
      <c r="M10" s="537" t="s">
        <v>955</v>
      </c>
      <c r="N10" s="537" t="s">
        <v>955</v>
      </c>
      <c r="O10" s="537" t="s">
        <v>955</v>
      </c>
      <c r="P10" s="529"/>
    </row>
    <row r="11" spans="1:16">
      <c r="A11" s="1020" t="s">
        <v>642</v>
      </c>
      <c r="B11" s="1020" t="s">
        <v>884</v>
      </c>
      <c r="C11" s="1020" t="s">
        <v>885</v>
      </c>
      <c r="D11" s="1021" t="s">
        <v>886</v>
      </c>
      <c r="E11" s="1021" t="s">
        <v>887</v>
      </c>
      <c r="F11" s="1021" t="s">
        <v>888</v>
      </c>
      <c r="G11" s="1021" t="s">
        <v>889</v>
      </c>
      <c r="H11" s="1021" t="s">
        <v>890</v>
      </c>
      <c r="I11" s="1021" t="s">
        <v>891</v>
      </c>
      <c r="J11" s="1021" t="s">
        <v>892</v>
      </c>
      <c r="K11" s="1021" t="s">
        <v>893</v>
      </c>
      <c r="L11" s="1021" t="s">
        <v>894</v>
      </c>
      <c r="M11" s="1021" t="s">
        <v>895</v>
      </c>
      <c r="N11" s="1021" t="s">
        <v>896</v>
      </c>
      <c r="O11" s="1022" t="s">
        <v>956</v>
      </c>
      <c r="P11" s="1023" t="s">
        <v>349</v>
      </c>
    </row>
    <row r="12" spans="1:16" ht="12.75">
      <c r="A12" s="266"/>
      <c r="B12" s="266"/>
      <c r="C12" s="266"/>
      <c r="D12" s="300" t="s">
        <v>532</v>
      </c>
      <c r="E12" s="300" t="s">
        <v>541</v>
      </c>
      <c r="F12" s="300" t="s">
        <v>542</v>
      </c>
      <c r="G12" s="300" t="s">
        <v>668</v>
      </c>
      <c r="H12" s="300" t="s">
        <v>669</v>
      </c>
      <c r="I12" s="300" t="s">
        <v>670</v>
      </c>
      <c r="J12" s="300" t="s">
        <v>984</v>
      </c>
      <c r="K12" s="300" t="s">
        <v>985</v>
      </c>
      <c r="L12" s="300" t="s">
        <v>986</v>
      </c>
      <c r="M12" s="300" t="s">
        <v>987</v>
      </c>
      <c r="N12" s="300" t="s">
        <v>988</v>
      </c>
      <c r="O12" s="300" t="s">
        <v>989</v>
      </c>
      <c r="P12" s="334" t="str">
        <f>"(13=1 through 12)"</f>
        <v>(13=1 through 12)</v>
      </c>
    </row>
    <row r="13" spans="1:16">
      <c r="A13" s="537"/>
      <c r="B13" s="529"/>
      <c r="C13" s="529"/>
      <c r="D13" s="537" t="s">
        <v>320</v>
      </c>
      <c r="E13" s="537" t="s">
        <v>320</v>
      </c>
      <c r="F13" s="537" t="s">
        <v>320</v>
      </c>
      <c r="G13" s="537" t="s">
        <v>320</v>
      </c>
      <c r="H13" s="537" t="s">
        <v>320</v>
      </c>
      <c r="I13" s="537" t="s">
        <v>320</v>
      </c>
      <c r="J13" s="537" t="s">
        <v>320</v>
      </c>
      <c r="K13" s="537" t="s">
        <v>320</v>
      </c>
      <c r="L13" s="537" t="s">
        <v>320</v>
      </c>
      <c r="M13" s="537" t="s">
        <v>320</v>
      </c>
      <c r="N13" s="537" t="s">
        <v>320</v>
      </c>
      <c r="O13" s="537" t="s">
        <v>320</v>
      </c>
      <c r="P13" s="537" t="s">
        <v>320</v>
      </c>
    </row>
    <row r="14" spans="1:16">
      <c r="A14" s="537"/>
      <c r="B14" s="529"/>
      <c r="C14" s="529"/>
      <c r="D14" s="537"/>
      <c r="E14" s="537"/>
      <c r="F14" s="537"/>
      <c r="G14" s="537"/>
      <c r="H14" s="537"/>
      <c r="I14" s="537"/>
      <c r="J14" s="537"/>
      <c r="K14" s="537"/>
      <c r="L14" s="537"/>
      <c r="M14" s="537"/>
      <c r="N14" s="537"/>
      <c r="O14" s="537"/>
      <c r="P14" s="537"/>
    </row>
    <row r="15" spans="1:16">
      <c r="A15" s="1024">
        <v>1</v>
      </c>
      <c r="B15" s="266" t="s">
        <v>1071</v>
      </c>
      <c r="C15" s="533" t="s">
        <v>306</v>
      </c>
      <c r="D15" s="1205">
        <v>1811234.57</v>
      </c>
      <c r="E15" s="1205">
        <v>1827077.18</v>
      </c>
      <c r="F15" s="1205">
        <v>1843539.6300000001</v>
      </c>
      <c r="G15" s="1205">
        <v>1859055.1300000001</v>
      </c>
      <c r="H15" s="1205">
        <v>1870906.39</v>
      </c>
      <c r="I15" s="1205">
        <v>1879318.4</v>
      </c>
      <c r="J15" s="1205">
        <v>1873201.55</v>
      </c>
      <c r="K15" s="1205">
        <v>1874655</v>
      </c>
      <c r="L15" s="1205">
        <v>1881736.0100000005</v>
      </c>
      <c r="M15" s="1205">
        <v>1894498.7200000002</v>
      </c>
      <c r="N15" s="1205">
        <v>1917377.3</v>
      </c>
      <c r="O15" s="1205">
        <v>1930322.02</v>
      </c>
      <c r="P15" s="1205">
        <f>SUM(D15:O15)</f>
        <v>22462921.900000002</v>
      </c>
    </row>
    <row r="16" spans="1:16">
      <c r="A16" s="1024">
        <f>A15+1</f>
        <v>2</v>
      </c>
      <c r="B16" s="266">
        <v>406</v>
      </c>
      <c r="C16" s="533" t="s">
        <v>897</v>
      </c>
      <c r="D16" s="1205">
        <v>0</v>
      </c>
      <c r="E16" s="1205">
        <v>0</v>
      </c>
      <c r="F16" s="1205">
        <v>0</v>
      </c>
      <c r="G16" s="1205">
        <v>0</v>
      </c>
      <c r="H16" s="1205">
        <v>0</v>
      </c>
      <c r="I16" s="1205">
        <v>0</v>
      </c>
      <c r="J16" s="1205">
        <v>0</v>
      </c>
      <c r="K16" s="1205">
        <v>0</v>
      </c>
      <c r="L16" s="1205">
        <v>0</v>
      </c>
      <c r="M16" s="1205">
        <v>0</v>
      </c>
      <c r="N16" s="1205">
        <v>0</v>
      </c>
      <c r="O16" s="1205">
        <v>0</v>
      </c>
      <c r="P16" s="1205">
        <f t="shared" ref="P16:P63" si="0">SUM(D16:O16)</f>
        <v>0</v>
      </c>
    </row>
    <row r="17" spans="1:16">
      <c r="A17" s="1024">
        <f t="shared" ref="A17:A63" si="1">A16+1</f>
        <v>3</v>
      </c>
      <c r="B17" s="537">
        <v>408</v>
      </c>
      <c r="C17" s="532" t="s">
        <v>898</v>
      </c>
      <c r="D17" s="1205">
        <v>559906</v>
      </c>
      <c r="E17" s="1205">
        <v>559906</v>
      </c>
      <c r="F17" s="1205">
        <v>-1340094</v>
      </c>
      <c r="G17" s="1205">
        <v>124189.74</v>
      </c>
      <c r="H17" s="1205">
        <v>723000</v>
      </c>
      <c r="I17" s="1205">
        <v>723000</v>
      </c>
      <c r="J17" s="1205">
        <v>723000</v>
      </c>
      <c r="K17" s="1205">
        <v>723000</v>
      </c>
      <c r="L17" s="1205">
        <v>723000</v>
      </c>
      <c r="M17" s="1205">
        <v>723000</v>
      </c>
      <c r="N17" s="1205">
        <v>723000</v>
      </c>
      <c r="O17" s="1205">
        <v>723000</v>
      </c>
      <c r="P17" s="1205">
        <f t="shared" si="0"/>
        <v>5687907.7400000002</v>
      </c>
    </row>
    <row r="18" spans="1:16">
      <c r="A18" s="1024">
        <f t="shared" si="1"/>
        <v>4</v>
      </c>
      <c r="B18" s="537">
        <v>408</v>
      </c>
      <c r="C18" s="532" t="s">
        <v>899</v>
      </c>
      <c r="D18" s="1205">
        <v>75212.75</v>
      </c>
      <c r="E18" s="1205">
        <v>65527.210000000006</v>
      </c>
      <c r="F18" s="1205">
        <v>70909.600000000006</v>
      </c>
      <c r="G18" s="1205">
        <v>92403.340000000011</v>
      </c>
      <c r="H18" s="1205">
        <v>84609.059999999983</v>
      </c>
      <c r="I18" s="1205">
        <v>71114.310000000012</v>
      </c>
      <c r="J18" s="1205">
        <v>70501.611486473732</v>
      </c>
      <c r="K18" s="1205">
        <v>69902.818934398936</v>
      </c>
      <c r="L18" s="1205">
        <v>69902.818934398936</v>
      </c>
      <c r="M18" s="1205">
        <v>69902.818934398936</v>
      </c>
      <c r="N18" s="1205">
        <v>69927.302946729207</v>
      </c>
      <c r="O18" s="1205">
        <v>69927.302946729207</v>
      </c>
      <c r="P18" s="1205">
        <f t="shared" si="0"/>
        <v>879840.944183129</v>
      </c>
    </row>
    <row r="19" spans="1:16">
      <c r="A19" s="1024">
        <f t="shared" si="1"/>
        <v>5</v>
      </c>
      <c r="B19" s="537">
        <v>408</v>
      </c>
      <c r="C19" s="532" t="s">
        <v>900</v>
      </c>
      <c r="D19" s="1205">
        <v>0.02</v>
      </c>
      <c r="E19" s="1205">
        <v>0.01</v>
      </c>
      <c r="F19" s="1205">
        <v>-0.02</v>
      </c>
      <c r="G19" s="1205">
        <v>-0.01</v>
      </c>
      <c r="H19" s="1205">
        <v>-0.01</v>
      </c>
      <c r="I19" s="1205">
        <v>4499.9799999999996</v>
      </c>
      <c r="J19" s="1205">
        <v>18800</v>
      </c>
      <c r="K19" s="1205">
        <v>18800</v>
      </c>
      <c r="L19" s="1205">
        <v>18800</v>
      </c>
      <c r="M19" s="1205">
        <v>18800</v>
      </c>
      <c r="N19" s="1205">
        <v>18800</v>
      </c>
      <c r="O19" s="1205">
        <v>18800</v>
      </c>
      <c r="P19" s="1205">
        <f t="shared" si="0"/>
        <v>117299.97</v>
      </c>
    </row>
    <row r="20" spans="1:16">
      <c r="A20" s="1024">
        <f>A19+1</f>
        <v>6</v>
      </c>
      <c r="B20" s="537">
        <v>480</v>
      </c>
      <c r="C20" s="532" t="s">
        <v>901</v>
      </c>
      <c r="D20" s="1205">
        <v>-3143779.14</v>
      </c>
      <c r="E20" s="1205">
        <v>-3588618.28</v>
      </c>
      <c r="F20" s="1205">
        <v>-6001164.1200000001</v>
      </c>
      <c r="G20" s="1205">
        <v>-13016080.82</v>
      </c>
      <c r="H20" s="1205">
        <v>-18266971.300000001</v>
      </c>
      <c r="I20" s="1205">
        <v>-17135666.239999998</v>
      </c>
      <c r="J20" s="1205">
        <v>-11939994.01</v>
      </c>
      <c r="K20" s="1205">
        <v>-8126166.0000000009</v>
      </c>
      <c r="L20" s="1205">
        <v>-4825321.5999999996</v>
      </c>
      <c r="M20" s="1205">
        <v>-3458795.9800000009</v>
      </c>
      <c r="N20" s="1205">
        <v>-3079235.09</v>
      </c>
      <c r="O20" s="1205">
        <v>-3069288.3800000004</v>
      </c>
      <c r="P20" s="1205">
        <f t="shared" si="0"/>
        <v>-95651080.959999993</v>
      </c>
    </row>
    <row r="21" spans="1:16">
      <c r="A21" s="1024">
        <f t="shared" si="1"/>
        <v>7</v>
      </c>
      <c r="B21" s="537">
        <v>481.1</v>
      </c>
      <c r="C21" s="532" t="s">
        <v>902</v>
      </c>
      <c r="D21" s="1205">
        <v>-1803486.57</v>
      </c>
      <c r="E21" s="1205">
        <v>-1955227.0500000003</v>
      </c>
      <c r="F21" s="1205">
        <v>-2788119.07</v>
      </c>
      <c r="G21" s="1205">
        <v>-5568381.1000000006</v>
      </c>
      <c r="H21" s="1205">
        <v>-7714169.7000000002</v>
      </c>
      <c r="I21" s="1205">
        <v>-7001335.8199999994</v>
      </c>
      <c r="J21" s="1205">
        <v>-4260378.16</v>
      </c>
      <c r="K21" s="1205">
        <v>-3349730.88</v>
      </c>
      <c r="L21" s="1205">
        <v>-2286095.98</v>
      </c>
      <c r="M21" s="1205">
        <v>-1895787.09</v>
      </c>
      <c r="N21" s="1205">
        <v>-1757934.8099999998</v>
      </c>
      <c r="O21" s="1205">
        <v>-1700605.24</v>
      </c>
      <c r="P21" s="1205">
        <f t="shared" si="0"/>
        <v>-42081251.470000006</v>
      </c>
    </row>
    <row r="22" spans="1:16">
      <c r="A22" s="1024">
        <f t="shared" si="1"/>
        <v>8</v>
      </c>
      <c r="B22" s="537">
        <v>481.2</v>
      </c>
      <c r="C22" s="532" t="s">
        <v>903</v>
      </c>
      <c r="D22" s="1205">
        <v>-67317.94</v>
      </c>
      <c r="E22" s="1205">
        <v>-144200.84</v>
      </c>
      <c r="F22" s="1205">
        <v>-225361.9</v>
      </c>
      <c r="G22" s="1205">
        <v>-18533.759999999998</v>
      </c>
      <c r="H22" s="1205">
        <v>-260041.47</v>
      </c>
      <c r="I22" s="1205">
        <v>-245713.03</v>
      </c>
      <c r="J22" s="1205">
        <v>-142210.56</v>
      </c>
      <c r="K22" s="1205">
        <v>-109056.12999999999</v>
      </c>
      <c r="L22" s="1205">
        <v>-83138.009999999995</v>
      </c>
      <c r="M22" s="1205">
        <v>-68430.76999999999</v>
      </c>
      <c r="N22" s="1205">
        <v>-49710.46</v>
      </c>
      <c r="O22" s="1205">
        <v>-47813.35</v>
      </c>
      <c r="P22" s="1205">
        <f t="shared" si="0"/>
        <v>-1461528.22</v>
      </c>
    </row>
    <row r="23" spans="1:16">
      <c r="A23" s="1024">
        <f t="shared" si="1"/>
        <v>9</v>
      </c>
      <c r="B23" s="537">
        <v>481.3</v>
      </c>
      <c r="C23" s="532" t="s">
        <v>2143</v>
      </c>
      <c r="D23" s="1205">
        <v>1443.6100000000001</v>
      </c>
      <c r="E23" s="1205">
        <v>-542.57000000000005</v>
      </c>
      <c r="F23" s="1205">
        <v>-2695.7400000000002</v>
      </c>
      <c r="G23" s="1205">
        <v>-4347.41</v>
      </c>
      <c r="H23" s="1205">
        <v>-3117.35</v>
      </c>
      <c r="I23" s="1205">
        <v>1104.8700000000001</v>
      </c>
      <c r="J23" s="1205">
        <v>0</v>
      </c>
      <c r="K23" s="1205">
        <v>0</v>
      </c>
      <c r="L23" s="1205">
        <v>0</v>
      </c>
      <c r="M23" s="1205">
        <v>0</v>
      </c>
      <c r="N23" s="1205">
        <v>0</v>
      </c>
      <c r="O23" s="1205">
        <v>0</v>
      </c>
      <c r="P23" s="1205">
        <f t="shared" si="0"/>
        <v>-8154.5900000000011</v>
      </c>
    </row>
    <row r="24" spans="1:16">
      <c r="A24" s="1024">
        <f t="shared" si="1"/>
        <v>10</v>
      </c>
      <c r="B24" s="537">
        <v>483</v>
      </c>
      <c r="C24" s="532" t="s">
        <v>904</v>
      </c>
      <c r="D24" s="1205">
        <v>-10633.43</v>
      </c>
      <c r="E24" s="1205">
        <v>3988.64</v>
      </c>
      <c r="F24" s="1205">
        <v>-3634.37</v>
      </c>
      <c r="G24" s="1205">
        <v>-6407.1</v>
      </c>
      <c r="H24" s="1205">
        <v>-12319.4</v>
      </c>
      <c r="I24" s="1205">
        <v>-13152.02</v>
      </c>
      <c r="J24" s="1205">
        <v>-5496.4000000000005</v>
      </c>
      <c r="K24" s="1205">
        <v>-7820.12</v>
      </c>
      <c r="L24" s="1205">
        <v>-2853.1699999999996</v>
      </c>
      <c r="M24" s="1205">
        <v>-2510.83</v>
      </c>
      <c r="N24" s="1205">
        <v>-3977.68</v>
      </c>
      <c r="O24" s="1205">
        <v>-2886.3599999999997</v>
      </c>
      <c r="P24" s="1205">
        <f t="shared" si="0"/>
        <v>-67702.240000000005</v>
      </c>
    </row>
    <row r="25" spans="1:16">
      <c r="A25" s="1024">
        <f t="shared" si="1"/>
        <v>11</v>
      </c>
      <c r="B25" s="537">
        <v>487</v>
      </c>
      <c r="C25" s="532" t="s">
        <v>905</v>
      </c>
      <c r="D25" s="1205">
        <v>-23016.46</v>
      </c>
      <c r="E25" s="1205">
        <v>-27229.61</v>
      </c>
      <c r="F25" s="1205">
        <v>-26347.47</v>
      </c>
      <c r="G25" s="1205">
        <v>-32779.08</v>
      </c>
      <c r="H25" s="1205">
        <v>-68513.119999999995</v>
      </c>
      <c r="I25" s="1205">
        <v>-100219.12</v>
      </c>
      <c r="J25" s="1205">
        <v>-102037.32746628365</v>
      </c>
      <c r="K25" s="1205">
        <v>-68398.169834640852</v>
      </c>
      <c r="L25" s="1205">
        <v>-47509.012229421402</v>
      </c>
      <c r="M25" s="1205">
        <v>-41943.998542022578</v>
      </c>
      <c r="N25" s="1205">
        <v>-30402.199791001611</v>
      </c>
      <c r="O25" s="1205">
        <v>-24505.311805909379</v>
      </c>
      <c r="P25" s="1205">
        <f t="shared" si="0"/>
        <v>-592900.87966927944</v>
      </c>
    </row>
    <row r="26" spans="1:16">
      <c r="A26" s="1024">
        <f t="shared" si="1"/>
        <v>12</v>
      </c>
      <c r="B26" s="537">
        <v>488</v>
      </c>
      <c r="C26" s="532" t="s">
        <v>906</v>
      </c>
      <c r="D26" s="1205">
        <v>-4229.92</v>
      </c>
      <c r="E26" s="1205">
        <v>-16519.900000000001</v>
      </c>
      <c r="F26" s="1205">
        <v>-25870.12</v>
      </c>
      <c r="G26" s="1205">
        <v>-4377.28</v>
      </c>
      <c r="H26" s="1205">
        <v>10510.79</v>
      </c>
      <c r="I26" s="1205">
        <v>-4995.63</v>
      </c>
      <c r="J26" s="1205">
        <v>-9994.5161211327213</v>
      </c>
      <c r="K26" s="1205">
        <v>-13598.968573674867</v>
      </c>
      <c r="L26" s="1205">
        <v>-5802.8149023813303</v>
      </c>
      <c r="M26" s="1205">
        <v>-4680.7182750986458</v>
      </c>
      <c r="N26" s="1205">
        <v>-6948.6445776570772</v>
      </c>
      <c r="O26" s="1205">
        <v>-18166.026376554706</v>
      </c>
      <c r="P26" s="1205">
        <f t="shared" si="0"/>
        <v>-104673.74882649933</v>
      </c>
    </row>
    <row r="27" spans="1:16">
      <c r="A27" s="1024">
        <f t="shared" si="1"/>
        <v>13</v>
      </c>
      <c r="B27" s="538">
        <v>489.3</v>
      </c>
      <c r="C27" s="532" t="s">
        <v>2096</v>
      </c>
      <c r="D27" s="1205">
        <v>-289124.39</v>
      </c>
      <c r="E27" s="1205">
        <v>-422868.57</v>
      </c>
      <c r="F27" s="1205">
        <v>-719440.5</v>
      </c>
      <c r="G27" s="1205">
        <v>-1059083.3899999999</v>
      </c>
      <c r="H27" s="1205">
        <v>-1294077.29</v>
      </c>
      <c r="I27" s="1205">
        <v>-1046786.0900000001</v>
      </c>
      <c r="J27" s="1205">
        <v>-931139.14</v>
      </c>
      <c r="K27" s="1205">
        <v>-654366.87000000011</v>
      </c>
      <c r="L27" s="1205">
        <v>-418433.98</v>
      </c>
      <c r="M27" s="1205">
        <v>-313318.7</v>
      </c>
      <c r="N27" s="1205">
        <v>-282602.54000000004</v>
      </c>
      <c r="O27" s="1205">
        <v>-284451.13</v>
      </c>
      <c r="P27" s="1205">
        <f t="shared" si="0"/>
        <v>-7715692.5899999989</v>
      </c>
    </row>
    <row r="28" spans="1:16">
      <c r="A28" s="1024">
        <f t="shared" si="1"/>
        <v>14</v>
      </c>
      <c r="B28" s="537">
        <v>489.31</v>
      </c>
      <c r="C28" s="532" t="s">
        <v>2097</v>
      </c>
      <c r="D28" s="1205">
        <v>-470338.82999999996</v>
      </c>
      <c r="E28" s="1205">
        <v>-595713.04</v>
      </c>
      <c r="F28" s="1205">
        <v>-788712.00999999989</v>
      </c>
      <c r="G28" s="1205">
        <v>-946769.3</v>
      </c>
      <c r="H28" s="1205">
        <v>-1347175.0199999998</v>
      </c>
      <c r="I28" s="1205">
        <v>-1046094.5200000001</v>
      </c>
      <c r="J28" s="1205">
        <v>-1034367.65</v>
      </c>
      <c r="K28" s="1205">
        <v>-728538.37999999989</v>
      </c>
      <c r="L28" s="1205">
        <v>-592447.27000000014</v>
      </c>
      <c r="M28" s="1205">
        <v>-532595.07000000007</v>
      </c>
      <c r="N28" s="1205">
        <v>-503549.05000000005</v>
      </c>
      <c r="O28" s="1205">
        <v>-510490.85000000003</v>
      </c>
      <c r="P28" s="1205">
        <f t="shared" si="0"/>
        <v>-9096790.9900000002</v>
      </c>
    </row>
    <row r="29" spans="1:16">
      <c r="A29" s="1024">
        <f t="shared" si="1"/>
        <v>15</v>
      </c>
      <c r="B29" s="537">
        <v>489.32</v>
      </c>
      <c r="C29" s="532" t="s">
        <v>2098</v>
      </c>
      <c r="D29" s="1205">
        <v>-539452.01</v>
      </c>
      <c r="E29" s="1205">
        <v>-575259.67000000004</v>
      </c>
      <c r="F29" s="1205">
        <v>-584061.62000000011</v>
      </c>
      <c r="G29" s="1205">
        <v>-574566.2699999999</v>
      </c>
      <c r="H29" s="1205">
        <v>-728777.46000000008</v>
      </c>
      <c r="I29" s="1205">
        <v>-635404.68000000005</v>
      </c>
      <c r="J29" s="1205">
        <v>-591785.53999999992</v>
      </c>
      <c r="K29" s="1205">
        <v>-551409.30000000005</v>
      </c>
      <c r="L29" s="1205">
        <v>-517565.07</v>
      </c>
      <c r="M29" s="1205">
        <v>-480758.17999999993</v>
      </c>
      <c r="N29" s="1205">
        <v>-403441.50000000006</v>
      </c>
      <c r="O29" s="1205">
        <v>-491530.53</v>
      </c>
      <c r="P29" s="1205">
        <f t="shared" si="0"/>
        <v>-6674011.8300000001</v>
      </c>
    </row>
    <row r="30" spans="1:16">
      <c r="A30" s="1024">
        <f t="shared" si="1"/>
        <v>16</v>
      </c>
      <c r="B30" s="537">
        <v>493</v>
      </c>
      <c r="C30" s="532" t="s">
        <v>907</v>
      </c>
      <c r="D30" s="1205">
        <v>-4995</v>
      </c>
      <c r="E30" s="1205">
        <v>-4995</v>
      </c>
      <c r="F30" s="1205">
        <v>-4995</v>
      </c>
      <c r="G30" s="1205">
        <v>-4995</v>
      </c>
      <c r="H30" s="1205">
        <v>-4995</v>
      </c>
      <c r="I30" s="1205">
        <v>-7344</v>
      </c>
      <c r="J30" s="1205">
        <v>-8529.8761085115002</v>
      </c>
      <c r="K30" s="1205">
        <v>-9700.1717035415204</v>
      </c>
      <c r="L30" s="1205">
        <v>-9700.1717035415204</v>
      </c>
      <c r="M30" s="1205">
        <v>-9700.1717035415204</v>
      </c>
      <c r="N30" s="1205">
        <v>-7610.6718797001995</v>
      </c>
      <c r="O30" s="1205">
        <v>-7610.6718797001995</v>
      </c>
      <c r="P30" s="1205">
        <f t="shared" si="0"/>
        <v>-85170.734978536449</v>
      </c>
    </row>
    <row r="31" spans="1:16">
      <c r="A31" s="1024">
        <f t="shared" si="1"/>
        <v>17</v>
      </c>
      <c r="B31" s="537">
        <v>495</v>
      </c>
      <c r="C31" s="532" t="s">
        <v>908</v>
      </c>
      <c r="D31" s="1205">
        <v>-480134.97000000003</v>
      </c>
      <c r="E31" s="1205">
        <v>-2341622.79</v>
      </c>
      <c r="F31" s="1205">
        <v>-6696783.1899999995</v>
      </c>
      <c r="G31" s="1205">
        <v>-2761554.3400000003</v>
      </c>
      <c r="H31" s="1205">
        <v>-240260.97999999998</v>
      </c>
      <c r="I31" s="1205">
        <v>5816247.0099999998</v>
      </c>
      <c r="J31" s="1205">
        <v>-33603.128949678481</v>
      </c>
      <c r="K31" s="1205">
        <v>4421.8662418327158</v>
      </c>
      <c r="L31" s="1205">
        <v>-3913.913384241604</v>
      </c>
      <c r="M31" s="1205">
        <v>37866.592590427914</v>
      </c>
      <c r="N31" s="1205">
        <v>28910.866860564231</v>
      </c>
      <c r="O31" s="1205">
        <v>-9126.5224822955461</v>
      </c>
      <c r="P31" s="1205">
        <f t="shared" si="0"/>
        <v>-6679553.4991233917</v>
      </c>
    </row>
    <row r="32" spans="1:16">
      <c r="A32" s="1024">
        <f t="shared" si="1"/>
        <v>18</v>
      </c>
      <c r="B32" s="537" t="s">
        <v>2357</v>
      </c>
      <c r="C32" s="532" t="s">
        <v>2358</v>
      </c>
      <c r="D32" s="1205">
        <v>0</v>
      </c>
      <c r="E32" s="1205">
        <v>-4.41</v>
      </c>
      <c r="F32" s="1205">
        <v>0</v>
      </c>
      <c r="G32" s="1205">
        <v>4.3899999999999997</v>
      </c>
      <c r="H32" s="1205">
        <f>3.39+519.3+1440.12</f>
        <v>1962.81</v>
      </c>
      <c r="I32" s="1205">
        <v>-1952.7599999999998</v>
      </c>
      <c r="J32" s="1205">
        <v>0</v>
      </c>
      <c r="K32" s="1205">
        <v>0</v>
      </c>
      <c r="L32" s="1205">
        <v>0</v>
      </c>
      <c r="M32" s="1205">
        <v>0</v>
      </c>
      <c r="N32" s="1205">
        <v>0</v>
      </c>
      <c r="O32" s="1205">
        <v>0</v>
      </c>
      <c r="P32" s="1205">
        <f t="shared" si="0"/>
        <v>10.0300000000002</v>
      </c>
    </row>
    <row r="33" spans="1:16">
      <c r="A33" s="1024">
        <f t="shared" si="1"/>
        <v>19</v>
      </c>
      <c r="B33" s="266">
        <v>717</v>
      </c>
      <c r="C33" s="533" t="s">
        <v>909</v>
      </c>
      <c r="D33" s="1205">
        <v>0</v>
      </c>
      <c r="E33" s="1205">
        <v>0</v>
      </c>
      <c r="F33" s="1205">
        <v>0</v>
      </c>
      <c r="G33" s="1205">
        <v>0</v>
      </c>
      <c r="H33" s="1205">
        <v>0</v>
      </c>
      <c r="I33" s="1205">
        <v>0</v>
      </c>
      <c r="J33" s="1205">
        <v>0</v>
      </c>
      <c r="K33" s="1205">
        <v>0</v>
      </c>
      <c r="L33" s="1205">
        <v>0</v>
      </c>
      <c r="M33" s="1205">
        <v>0</v>
      </c>
      <c r="N33" s="1205">
        <v>0</v>
      </c>
      <c r="O33" s="1205">
        <v>0</v>
      </c>
      <c r="P33" s="1205">
        <f>SUM(D33:O33)</f>
        <v>0</v>
      </c>
    </row>
    <row r="34" spans="1:16">
      <c r="A34" s="1024">
        <f t="shared" si="1"/>
        <v>20</v>
      </c>
      <c r="B34" s="266">
        <v>723</v>
      </c>
      <c r="C34" s="533" t="s">
        <v>910</v>
      </c>
      <c r="D34" s="1205">
        <v>0</v>
      </c>
      <c r="E34" s="1205">
        <v>0</v>
      </c>
      <c r="F34" s="1205">
        <v>0</v>
      </c>
      <c r="G34" s="1205">
        <v>0</v>
      </c>
      <c r="H34" s="1205">
        <v>0</v>
      </c>
      <c r="I34" s="1205">
        <v>0</v>
      </c>
      <c r="J34" s="1205">
        <v>0</v>
      </c>
      <c r="K34" s="1205">
        <v>0</v>
      </c>
      <c r="L34" s="1205">
        <v>0</v>
      </c>
      <c r="M34" s="1205">
        <v>0</v>
      </c>
      <c r="N34" s="1205">
        <v>0</v>
      </c>
      <c r="O34" s="1205">
        <v>0</v>
      </c>
      <c r="P34" s="1205">
        <f t="shared" si="0"/>
        <v>0</v>
      </c>
    </row>
    <row r="35" spans="1:16">
      <c r="A35" s="1024">
        <f t="shared" si="1"/>
        <v>21</v>
      </c>
      <c r="B35" s="266">
        <v>728</v>
      </c>
      <c r="C35" s="533" t="s">
        <v>911</v>
      </c>
      <c r="D35" s="1205">
        <v>0</v>
      </c>
      <c r="E35" s="1205">
        <v>0</v>
      </c>
      <c r="F35" s="1205">
        <v>0</v>
      </c>
      <c r="G35" s="1205">
        <v>0</v>
      </c>
      <c r="H35" s="1205">
        <v>0</v>
      </c>
      <c r="I35" s="1205">
        <v>0</v>
      </c>
      <c r="J35" s="1205">
        <v>0</v>
      </c>
      <c r="K35" s="1205">
        <v>0</v>
      </c>
      <c r="L35" s="1205">
        <v>0</v>
      </c>
      <c r="M35" s="1205">
        <v>0</v>
      </c>
      <c r="N35" s="1205">
        <v>0</v>
      </c>
      <c r="O35" s="1205">
        <v>0</v>
      </c>
      <c r="P35" s="1205">
        <f t="shared" si="0"/>
        <v>0</v>
      </c>
    </row>
    <row r="36" spans="1:16">
      <c r="A36" s="1024">
        <f t="shared" si="1"/>
        <v>22</v>
      </c>
      <c r="B36" s="266">
        <v>741</v>
      </c>
      <c r="C36" s="533" t="s">
        <v>912</v>
      </c>
      <c r="D36" s="1205">
        <v>0</v>
      </c>
      <c r="E36" s="1205">
        <v>0</v>
      </c>
      <c r="F36" s="1205">
        <v>0</v>
      </c>
      <c r="G36" s="1205">
        <v>0</v>
      </c>
      <c r="H36" s="1205">
        <v>0</v>
      </c>
      <c r="I36" s="1205">
        <v>0</v>
      </c>
      <c r="J36" s="1205">
        <v>0</v>
      </c>
      <c r="K36" s="1205">
        <v>0</v>
      </c>
      <c r="L36" s="1205">
        <v>0</v>
      </c>
      <c r="M36" s="1205">
        <v>0</v>
      </c>
      <c r="N36" s="1205">
        <v>0</v>
      </c>
      <c r="O36" s="1205">
        <v>0</v>
      </c>
      <c r="P36" s="1205">
        <f t="shared" si="0"/>
        <v>0</v>
      </c>
    </row>
    <row r="37" spans="1:16">
      <c r="A37" s="1024">
        <f t="shared" si="1"/>
        <v>23</v>
      </c>
      <c r="B37" s="266">
        <v>742</v>
      </c>
      <c r="C37" s="533" t="s">
        <v>913</v>
      </c>
      <c r="D37" s="1205">
        <v>0</v>
      </c>
      <c r="E37" s="1205">
        <v>0</v>
      </c>
      <c r="F37" s="1205">
        <v>0</v>
      </c>
      <c r="G37" s="1205">
        <v>0</v>
      </c>
      <c r="H37" s="1205">
        <v>0</v>
      </c>
      <c r="I37" s="1205">
        <v>0</v>
      </c>
      <c r="J37" s="1205">
        <v>0</v>
      </c>
      <c r="K37" s="1205">
        <v>0</v>
      </c>
      <c r="L37" s="1205">
        <v>0</v>
      </c>
      <c r="M37" s="1205">
        <v>0</v>
      </c>
      <c r="N37" s="1205">
        <v>0</v>
      </c>
      <c r="O37" s="1205">
        <v>0</v>
      </c>
      <c r="P37" s="1205">
        <f t="shared" si="0"/>
        <v>0</v>
      </c>
    </row>
    <row r="38" spans="1:16">
      <c r="A38" s="1024">
        <f t="shared" si="1"/>
        <v>24</v>
      </c>
      <c r="B38" s="266" t="s">
        <v>914</v>
      </c>
      <c r="C38" s="267" t="s">
        <v>915</v>
      </c>
      <c r="D38" s="1205">
        <v>2675107.5699999989</v>
      </c>
      <c r="E38" s="1205">
        <v>2945250.33</v>
      </c>
      <c r="F38" s="1205">
        <v>2420607.42</v>
      </c>
      <c r="G38" s="1205">
        <v>1955951.78</v>
      </c>
      <c r="H38" s="1205">
        <v>3193170.7100000004</v>
      </c>
      <c r="I38" s="1205">
        <v>1594420.5000000002</v>
      </c>
      <c r="J38" s="1205">
        <v>1752415.72</v>
      </c>
      <c r="K38" s="1205">
        <v>1092450.8699999999</v>
      </c>
      <c r="L38" s="1205">
        <v>803393.48</v>
      </c>
      <c r="M38" s="1205">
        <v>542098.33000000007</v>
      </c>
      <c r="N38" s="1205">
        <v>608394.43000000005</v>
      </c>
      <c r="O38" s="1205">
        <v>393606.57999999996</v>
      </c>
      <c r="P38" s="1205">
        <f t="shared" si="0"/>
        <v>19976867.719999999</v>
      </c>
    </row>
    <row r="39" spans="1:16">
      <c r="A39" s="1024">
        <f t="shared" si="1"/>
        <v>25</v>
      </c>
      <c r="B39" s="266">
        <v>804</v>
      </c>
      <c r="C39" s="533" t="s">
        <v>916</v>
      </c>
      <c r="D39" s="1205">
        <v>55653.779999999984</v>
      </c>
      <c r="E39" s="1205">
        <v>78737.650000000009</v>
      </c>
      <c r="F39" s="1205">
        <v>224498.78</v>
      </c>
      <c r="G39" s="1205">
        <v>379519.2</v>
      </c>
      <c r="H39" s="1205">
        <v>675108.2</v>
      </c>
      <c r="I39" s="1205">
        <v>270090.8</v>
      </c>
      <c r="J39" s="1205">
        <v>114972.61</v>
      </c>
      <c r="K39" s="1205">
        <v>71673.59</v>
      </c>
      <c r="L39" s="1205">
        <v>52709.09</v>
      </c>
      <c r="M39" s="1205">
        <v>35566.019999999997</v>
      </c>
      <c r="N39" s="1205">
        <v>39915.58</v>
      </c>
      <c r="O39" s="1205">
        <v>25823.77</v>
      </c>
      <c r="P39" s="1205">
        <f t="shared" si="0"/>
        <v>2024269.0700000003</v>
      </c>
    </row>
    <row r="40" spans="1:16">
      <c r="A40" s="1024">
        <f t="shared" si="1"/>
        <v>26</v>
      </c>
      <c r="B40" s="266">
        <v>805</v>
      </c>
      <c r="C40" s="533" t="s">
        <v>917</v>
      </c>
      <c r="D40" s="1205">
        <v>-909585.92999999993</v>
      </c>
      <c r="E40" s="1205">
        <v>-1031021.6</v>
      </c>
      <c r="F40" s="1205">
        <v>1431603.03</v>
      </c>
      <c r="G40" s="1205">
        <v>3805830.81</v>
      </c>
      <c r="H40" s="1205">
        <v>4368484.28</v>
      </c>
      <c r="I40" s="1205">
        <v>1235714.7400000007</v>
      </c>
      <c r="J40" s="1205">
        <v>1522195.56</v>
      </c>
      <c r="K40" s="1205">
        <v>948932.29</v>
      </c>
      <c r="L40" s="1205">
        <v>697849.25</v>
      </c>
      <c r="M40" s="1205">
        <v>470881.23</v>
      </c>
      <c r="N40" s="1205">
        <v>528467.81000000006</v>
      </c>
      <c r="O40" s="1205">
        <v>341897.29</v>
      </c>
      <c r="P40" s="1205">
        <f t="shared" si="0"/>
        <v>13411248.760000004</v>
      </c>
    </row>
    <row r="41" spans="1:16">
      <c r="A41" s="1024">
        <f t="shared" si="1"/>
        <v>27</v>
      </c>
      <c r="B41" s="266">
        <v>806</v>
      </c>
      <c r="C41" s="533" t="s">
        <v>918</v>
      </c>
      <c r="D41" s="1205">
        <v>1479575.9500000002</v>
      </c>
      <c r="E41" s="1205">
        <v>1165632.3</v>
      </c>
      <c r="F41" s="1205">
        <v>586924.61</v>
      </c>
      <c r="G41" s="1205">
        <v>-668559.28</v>
      </c>
      <c r="H41" s="1205">
        <v>-947398.46</v>
      </c>
      <c r="I41" s="1205">
        <v>-410735.95</v>
      </c>
      <c r="J41" s="1205">
        <v>166083.19</v>
      </c>
      <c r="K41" s="1205">
        <v>103535.78</v>
      </c>
      <c r="L41" s="1205">
        <v>76140.7</v>
      </c>
      <c r="M41" s="1205">
        <v>51376.75</v>
      </c>
      <c r="N41" s="1205">
        <v>57659.89</v>
      </c>
      <c r="O41" s="1205">
        <v>37303.61</v>
      </c>
      <c r="P41" s="1205">
        <f t="shared" si="0"/>
        <v>1697539.09</v>
      </c>
    </row>
    <row r="42" spans="1:16">
      <c r="A42" s="1024">
        <f t="shared" si="1"/>
        <v>28</v>
      </c>
      <c r="B42" s="266">
        <v>807</v>
      </c>
      <c r="C42" s="533" t="s">
        <v>919</v>
      </c>
      <c r="D42" s="1205">
        <v>0</v>
      </c>
      <c r="E42" s="1205">
        <v>0</v>
      </c>
      <c r="F42" s="1205">
        <v>0</v>
      </c>
      <c r="G42" s="1205">
        <v>0</v>
      </c>
      <c r="H42" s="1205">
        <v>0</v>
      </c>
      <c r="I42" s="1205">
        <v>0</v>
      </c>
      <c r="J42" s="1205">
        <v>0</v>
      </c>
      <c r="K42" s="1205">
        <v>0</v>
      </c>
      <c r="L42" s="1205">
        <v>0</v>
      </c>
      <c r="M42" s="1205">
        <v>0</v>
      </c>
      <c r="N42" s="1205">
        <v>0</v>
      </c>
      <c r="O42" s="1205">
        <v>0</v>
      </c>
      <c r="P42" s="1205">
        <f t="shared" si="0"/>
        <v>0</v>
      </c>
    </row>
    <row r="43" spans="1:16">
      <c r="A43" s="1024">
        <f t="shared" si="1"/>
        <v>29</v>
      </c>
      <c r="B43" s="266">
        <v>807</v>
      </c>
      <c r="C43" s="533" t="s">
        <v>920</v>
      </c>
      <c r="D43" s="1205">
        <v>32072.16</v>
      </c>
      <c r="E43" s="1205">
        <v>30798.71999999999</v>
      </c>
      <c r="F43" s="1205">
        <v>32403.530000000002</v>
      </c>
      <c r="G43" s="1205">
        <v>31678.07</v>
      </c>
      <c r="H43" s="1205">
        <v>35419.949999999997</v>
      </c>
      <c r="I43" s="1205">
        <v>35653.06</v>
      </c>
      <c r="J43" s="1205">
        <v>36756.050000000003</v>
      </c>
      <c r="K43" s="1205">
        <v>35779.519999999997</v>
      </c>
      <c r="L43" s="1205">
        <v>35795.85</v>
      </c>
      <c r="M43" s="1205">
        <v>36165.379999999997</v>
      </c>
      <c r="N43" s="1205">
        <v>34027.86</v>
      </c>
      <c r="O43" s="1205">
        <v>34130.410000000003</v>
      </c>
      <c r="P43" s="1205">
        <f t="shared" si="0"/>
        <v>410680.55999999994</v>
      </c>
    </row>
    <row r="44" spans="1:16">
      <c r="A44" s="1024">
        <f t="shared" si="1"/>
        <v>30</v>
      </c>
      <c r="B44" s="266">
        <v>808</v>
      </c>
      <c r="C44" s="533" t="s">
        <v>2140</v>
      </c>
      <c r="D44" s="1205">
        <v>-2003503.69</v>
      </c>
      <c r="E44" s="1205">
        <v>-980360.69000000006</v>
      </c>
      <c r="F44" s="1205">
        <v>1776305.75</v>
      </c>
      <c r="G44" s="1205">
        <v>2737398.1</v>
      </c>
      <c r="H44" s="1205">
        <v>4632729.7799999993</v>
      </c>
      <c r="I44" s="1205">
        <v>3223915.46</v>
      </c>
      <c r="J44" s="1205">
        <v>-38390.920000000042</v>
      </c>
      <c r="K44" s="1205">
        <v>-23932.790000000037</v>
      </c>
      <c r="L44" s="1205">
        <v>-17600.27999999997</v>
      </c>
      <c r="M44" s="1205">
        <v>-11875.979999999981</v>
      </c>
      <c r="N44" s="1205">
        <v>-13328.349999999977</v>
      </c>
      <c r="O44" s="1205">
        <v>-8622.9100000000035</v>
      </c>
      <c r="P44" s="1205">
        <f t="shared" si="0"/>
        <v>9272733.4800000004</v>
      </c>
    </row>
    <row r="45" spans="1:16" ht="12.6" customHeight="1">
      <c r="A45" s="1024">
        <f t="shared" si="1"/>
        <v>31</v>
      </c>
      <c r="B45" s="537">
        <v>812</v>
      </c>
      <c r="C45" s="529" t="s">
        <v>2144</v>
      </c>
      <c r="D45" s="1205">
        <v>-1691</v>
      </c>
      <c r="E45" s="1205">
        <v>-2852.7200000000003</v>
      </c>
      <c r="F45" s="1205">
        <v>-6597.85</v>
      </c>
      <c r="G45" s="1205">
        <v>-10941.34</v>
      </c>
      <c r="H45" s="1205">
        <v>-11256.14</v>
      </c>
      <c r="I45" s="1205">
        <v>-7449.67</v>
      </c>
      <c r="J45" s="1205">
        <v>-4009.42</v>
      </c>
      <c r="K45" s="1205">
        <v>-2499.46</v>
      </c>
      <c r="L45" s="1205">
        <v>-1838.12</v>
      </c>
      <c r="M45" s="1205">
        <v>-1240.29</v>
      </c>
      <c r="N45" s="1205">
        <v>-1391.97</v>
      </c>
      <c r="O45" s="1205">
        <v>-900.55</v>
      </c>
      <c r="P45" s="1205">
        <f t="shared" si="0"/>
        <v>-52668.530000000006</v>
      </c>
    </row>
    <row r="46" spans="1:16" ht="12.6" customHeight="1">
      <c r="A46" s="1024">
        <f t="shared" si="1"/>
        <v>32</v>
      </c>
      <c r="B46" s="266">
        <v>813</v>
      </c>
      <c r="C46" s="533" t="s">
        <v>923</v>
      </c>
      <c r="D46" s="1205">
        <v>0</v>
      </c>
      <c r="E46" s="1205">
        <v>0</v>
      </c>
      <c r="F46" s="1205">
        <v>0</v>
      </c>
      <c r="G46" s="1205">
        <v>0</v>
      </c>
      <c r="H46" s="1205">
        <v>0</v>
      </c>
      <c r="I46" s="1205">
        <v>0</v>
      </c>
      <c r="J46" s="1205">
        <v>0</v>
      </c>
      <c r="K46" s="1205">
        <v>0</v>
      </c>
      <c r="L46" s="1205">
        <v>0</v>
      </c>
      <c r="M46" s="1205">
        <v>0</v>
      </c>
      <c r="N46" s="1205">
        <v>0</v>
      </c>
      <c r="O46" s="1205">
        <v>0</v>
      </c>
      <c r="P46" s="1205">
        <f t="shared" si="0"/>
        <v>0</v>
      </c>
    </row>
    <row r="47" spans="1:16" ht="12.6" customHeight="1">
      <c r="A47" s="1024">
        <f t="shared" si="1"/>
        <v>33</v>
      </c>
      <c r="B47" s="266">
        <v>852</v>
      </c>
      <c r="C47" s="533" t="s">
        <v>2842</v>
      </c>
      <c r="D47" s="1205">
        <v>436.47</v>
      </c>
      <c r="E47" s="1205">
        <v>797.9</v>
      </c>
      <c r="F47" s="1205">
        <v>325.10000000000002</v>
      </c>
      <c r="G47" s="1205">
        <v>1.98</v>
      </c>
      <c r="H47" s="1205">
        <v>42.72</v>
      </c>
      <c r="I47" s="1205">
        <v>9.39</v>
      </c>
      <c r="J47" s="1205">
        <v>172.94</v>
      </c>
      <c r="K47" s="1205">
        <v>176.95999999999998</v>
      </c>
      <c r="L47" s="1205">
        <v>229.69</v>
      </c>
      <c r="M47" s="1205">
        <v>411.51000000000005</v>
      </c>
      <c r="N47" s="1205">
        <v>268.74</v>
      </c>
      <c r="O47" s="1205">
        <v>204.27</v>
      </c>
      <c r="P47" s="1205">
        <f t="shared" si="0"/>
        <v>3077.6700000000005</v>
      </c>
    </row>
    <row r="48" spans="1:16" ht="12.6" customHeight="1">
      <c r="A48" s="1024">
        <f t="shared" si="1"/>
        <v>34</v>
      </c>
      <c r="B48" s="266">
        <v>859</v>
      </c>
      <c r="C48" s="533" t="s">
        <v>931</v>
      </c>
      <c r="D48" s="1205">
        <v>0</v>
      </c>
      <c r="E48" s="1205">
        <v>0</v>
      </c>
      <c r="F48" s="1205">
        <v>0</v>
      </c>
      <c r="G48" s="1205">
        <v>0</v>
      </c>
      <c r="H48" s="1205">
        <v>0</v>
      </c>
      <c r="I48" s="1205">
        <v>0</v>
      </c>
      <c r="J48" s="1205">
        <v>303.64999999999998</v>
      </c>
      <c r="K48" s="1205">
        <v>181.05</v>
      </c>
      <c r="L48" s="1205">
        <v>193.12</v>
      </c>
      <c r="M48" s="1205">
        <v>168.67</v>
      </c>
      <c r="N48" s="1205">
        <v>170.52</v>
      </c>
      <c r="O48" s="1205">
        <v>169.67</v>
      </c>
      <c r="P48" s="1205">
        <f t="shared" si="0"/>
        <v>1186.6799999999998</v>
      </c>
    </row>
    <row r="49" spans="1:16">
      <c r="A49" s="1024">
        <f t="shared" si="1"/>
        <v>35</v>
      </c>
      <c r="B49" s="266">
        <v>865</v>
      </c>
      <c r="C49" s="533" t="s">
        <v>1495</v>
      </c>
      <c r="D49" s="1205">
        <v>0</v>
      </c>
      <c r="E49" s="1205">
        <v>0</v>
      </c>
      <c r="F49" s="1205">
        <v>0</v>
      </c>
      <c r="G49" s="1205">
        <v>0</v>
      </c>
      <c r="H49" s="1205">
        <v>0</v>
      </c>
      <c r="I49" s="1205">
        <v>0</v>
      </c>
      <c r="J49" s="1205">
        <v>85.56</v>
      </c>
      <c r="K49" s="1205">
        <v>83.51</v>
      </c>
      <c r="L49" s="1205">
        <v>86.88</v>
      </c>
      <c r="M49" s="1205">
        <v>89.62</v>
      </c>
      <c r="N49" s="1205">
        <v>78.63</v>
      </c>
      <c r="O49" s="1205">
        <v>86.87</v>
      </c>
      <c r="P49" s="1205">
        <f>SUM(D49:O49)</f>
        <v>511.07</v>
      </c>
    </row>
    <row r="50" spans="1:16">
      <c r="A50" s="1024">
        <f t="shared" si="1"/>
        <v>36</v>
      </c>
      <c r="B50" s="266">
        <v>870</v>
      </c>
      <c r="C50" s="533" t="s">
        <v>924</v>
      </c>
      <c r="D50" s="1205">
        <v>70584.47</v>
      </c>
      <c r="E50" s="1205">
        <v>73198.630000000019</v>
      </c>
      <c r="F50" s="1205">
        <v>80236.160000000003</v>
      </c>
      <c r="G50" s="1205">
        <v>79663.05</v>
      </c>
      <c r="H50" s="1205">
        <v>73250.58</v>
      </c>
      <c r="I50" s="1205">
        <v>87059.33</v>
      </c>
      <c r="J50" s="1205">
        <v>81408.849999999991</v>
      </c>
      <c r="K50" s="1205">
        <v>80014.51999999999</v>
      </c>
      <c r="L50" s="1205">
        <v>77108.830000000016</v>
      </c>
      <c r="M50" s="1205">
        <v>78603.970000000016</v>
      </c>
      <c r="N50" s="1205">
        <v>77612.240000000005</v>
      </c>
      <c r="O50" s="1205">
        <v>73627.279999999984</v>
      </c>
      <c r="P50" s="1205">
        <f t="shared" si="0"/>
        <v>932367.91000000015</v>
      </c>
    </row>
    <row r="51" spans="1:16">
      <c r="A51" s="1024">
        <f t="shared" si="1"/>
        <v>37</v>
      </c>
      <c r="B51" s="266">
        <v>871</v>
      </c>
      <c r="C51" s="533" t="s">
        <v>925</v>
      </c>
      <c r="D51" s="1205">
        <v>15933.220000000001</v>
      </c>
      <c r="E51" s="1205">
        <v>6859.9000000000005</v>
      </c>
      <c r="F51" s="1205">
        <v>17268.97</v>
      </c>
      <c r="G51" s="1205">
        <v>13345.349999999999</v>
      </c>
      <c r="H51" s="1205">
        <v>37076.82</v>
      </c>
      <c r="I51" s="1205">
        <v>16530.66</v>
      </c>
      <c r="J51" s="1205">
        <v>21140.12</v>
      </c>
      <c r="K51" s="1205">
        <v>21512.07</v>
      </c>
      <c r="L51" s="1205">
        <v>20326.120000000003</v>
      </c>
      <c r="M51" s="1205">
        <v>20738.86</v>
      </c>
      <c r="N51" s="1205">
        <v>20879.95</v>
      </c>
      <c r="O51" s="1205">
        <v>19835.77</v>
      </c>
      <c r="P51" s="1205">
        <f t="shared" si="0"/>
        <v>231447.81000000003</v>
      </c>
    </row>
    <row r="52" spans="1:16">
      <c r="A52" s="1024">
        <f t="shared" si="1"/>
        <v>38</v>
      </c>
      <c r="B52" s="266">
        <v>874</v>
      </c>
      <c r="C52" s="533" t="s">
        <v>926</v>
      </c>
      <c r="D52" s="1205">
        <v>441569.4599999999</v>
      </c>
      <c r="E52" s="1205">
        <v>395684.80000000005</v>
      </c>
      <c r="F52" s="1205">
        <v>420205.13</v>
      </c>
      <c r="G52" s="1205">
        <v>429937.42</v>
      </c>
      <c r="H52" s="1205">
        <v>358796.22</v>
      </c>
      <c r="I52" s="1205">
        <v>672156.13</v>
      </c>
      <c r="J52" s="1205">
        <v>547448.06999999995</v>
      </c>
      <c r="K52" s="1205">
        <v>547608.5</v>
      </c>
      <c r="L52" s="1205">
        <v>545996.44999999995</v>
      </c>
      <c r="M52" s="1205">
        <v>578295.91999999993</v>
      </c>
      <c r="N52" s="1205">
        <v>534891.50999999989</v>
      </c>
      <c r="O52" s="1205">
        <v>535729.23999999987</v>
      </c>
      <c r="P52" s="1205">
        <f t="shared" si="0"/>
        <v>6008318.8499999996</v>
      </c>
    </row>
    <row r="53" spans="1:16">
      <c r="A53" s="1024">
        <f t="shared" si="1"/>
        <v>39</v>
      </c>
      <c r="B53" s="266">
        <v>875</v>
      </c>
      <c r="C53" s="533" t="s">
        <v>927</v>
      </c>
      <c r="D53" s="1205">
        <v>27462.52</v>
      </c>
      <c r="E53" s="1205">
        <v>23517.969999999998</v>
      </c>
      <c r="F53" s="1205">
        <v>29572.219999999998</v>
      </c>
      <c r="G53" s="1205">
        <v>19155.659999999996</v>
      </c>
      <c r="H53" s="1205">
        <v>23870.41</v>
      </c>
      <c r="I53" s="1205">
        <v>17753.2</v>
      </c>
      <c r="J53" s="1205">
        <v>25460.41</v>
      </c>
      <c r="K53" s="1205">
        <v>25810.22</v>
      </c>
      <c r="L53" s="1205">
        <v>24670.58</v>
      </c>
      <c r="M53" s="1205">
        <v>25415.42</v>
      </c>
      <c r="N53" s="1205">
        <v>25141.879999999997</v>
      </c>
      <c r="O53" s="1205">
        <v>23985.649999999998</v>
      </c>
      <c r="P53" s="1205">
        <f t="shared" si="0"/>
        <v>291816.14</v>
      </c>
    </row>
    <row r="54" spans="1:16">
      <c r="A54" s="1024">
        <f t="shared" si="1"/>
        <v>40</v>
      </c>
      <c r="B54" s="266">
        <v>876</v>
      </c>
      <c r="C54" s="533" t="s">
        <v>928</v>
      </c>
      <c r="D54" s="1205">
        <v>6950.45</v>
      </c>
      <c r="E54" s="1205">
        <v>7401.2800000000007</v>
      </c>
      <c r="F54" s="1205">
        <v>5951.35</v>
      </c>
      <c r="G54" s="1205">
        <v>9161.8200000000015</v>
      </c>
      <c r="H54" s="1205">
        <v>5051.6399999999994</v>
      </c>
      <c r="I54" s="1205">
        <v>10683.289999999999</v>
      </c>
      <c r="J54" s="1205">
        <v>9918.5999999999985</v>
      </c>
      <c r="K54" s="1205">
        <v>10134.77</v>
      </c>
      <c r="L54" s="1205">
        <v>9460.840000000002</v>
      </c>
      <c r="M54" s="1205">
        <v>9698.18</v>
      </c>
      <c r="N54" s="1205">
        <v>9920.5300000000007</v>
      </c>
      <c r="O54" s="1205">
        <v>9148.1</v>
      </c>
      <c r="P54" s="1205">
        <f t="shared" si="0"/>
        <v>103480.85</v>
      </c>
    </row>
    <row r="55" spans="1:16">
      <c r="A55" s="1024">
        <f t="shared" si="1"/>
        <v>41</v>
      </c>
      <c r="B55" s="266">
        <v>878</v>
      </c>
      <c r="C55" s="533" t="s">
        <v>929</v>
      </c>
      <c r="D55" s="1205">
        <v>127950.01999999995</v>
      </c>
      <c r="E55" s="1205">
        <v>151590.19999999998</v>
      </c>
      <c r="F55" s="1205">
        <v>144214.74</v>
      </c>
      <c r="G55" s="1205">
        <v>137056.02000000002</v>
      </c>
      <c r="H55" s="1205">
        <v>143297.74</v>
      </c>
      <c r="I55" s="1205">
        <v>184053.74</v>
      </c>
      <c r="J55" s="1205">
        <v>140675.75</v>
      </c>
      <c r="K55" s="1205">
        <v>149070.46</v>
      </c>
      <c r="L55" s="1205">
        <v>136663.84</v>
      </c>
      <c r="M55" s="1205">
        <v>142131.32</v>
      </c>
      <c r="N55" s="1205">
        <v>146869.79999999999</v>
      </c>
      <c r="O55" s="1205">
        <v>132517.62000000002</v>
      </c>
      <c r="P55" s="1205">
        <f t="shared" si="0"/>
        <v>1736091.2500000002</v>
      </c>
    </row>
    <row r="56" spans="1:16">
      <c r="A56" s="1024">
        <f t="shared" si="1"/>
        <v>42</v>
      </c>
      <c r="B56" s="266">
        <v>879</v>
      </c>
      <c r="C56" s="533" t="s">
        <v>930</v>
      </c>
      <c r="D56" s="1205">
        <v>209463.08999999985</v>
      </c>
      <c r="E56" s="1205">
        <v>230073.68000000005</v>
      </c>
      <c r="F56" s="1205">
        <v>239486.62999999998</v>
      </c>
      <c r="G56" s="1205">
        <v>224466.03999999998</v>
      </c>
      <c r="H56" s="1205">
        <v>331824.84000000003</v>
      </c>
      <c r="I56" s="1205">
        <v>265975.21999999997</v>
      </c>
      <c r="J56" s="1205">
        <v>253200.46</v>
      </c>
      <c r="K56" s="1205">
        <v>260794.77</v>
      </c>
      <c r="L56" s="1205">
        <v>242459.94999999998</v>
      </c>
      <c r="M56" s="1205">
        <v>253282.72000000003</v>
      </c>
      <c r="N56" s="1205">
        <v>258499.72</v>
      </c>
      <c r="O56" s="1205">
        <v>233889.03000000003</v>
      </c>
      <c r="P56" s="1205">
        <f t="shared" si="0"/>
        <v>3003416.1500000004</v>
      </c>
    </row>
    <row r="57" spans="1:16">
      <c r="A57" s="1024">
        <f t="shared" si="1"/>
        <v>43</v>
      </c>
      <c r="B57" s="266">
        <v>880</v>
      </c>
      <c r="C57" s="533" t="s">
        <v>931</v>
      </c>
      <c r="D57" s="1205">
        <v>91285.739999999962</v>
      </c>
      <c r="E57" s="1205">
        <v>89700.18</v>
      </c>
      <c r="F57" s="1205">
        <v>98715.790000000008</v>
      </c>
      <c r="G57" s="1205">
        <v>183938.97</v>
      </c>
      <c r="H57" s="1205">
        <v>112233.48999999999</v>
      </c>
      <c r="I57" s="1205">
        <v>122402.31</v>
      </c>
      <c r="J57" s="1205">
        <v>128613.27</v>
      </c>
      <c r="K57" s="1205">
        <v>130276.49000000002</v>
      </c>
      <c r="L57" s="1205">
        <v>131450.39000000001</v>
      </c>
      <c r="M57" s="1205">
        <v>144231.13</v>
      </c>
      <c r="N57" s="1205">
        <v>131025.65</v>
      </c>
      <c r="O57" s="1205">
        <v>123786.15</v>
      </c>
      <c r="P57" s="1205">
        <f t="shared" si="0"/>
        <v>1487659.5599999996</v>
      </c>
    </row>
    <row r="58" spans="1:16">
      <c r="A58" s="1024">
        <f t="shared" si="1"/>
        <v>44</v>
      </c>
      <c r="B58" s="266">
        <v>881</v>
      </c>
      <c r="C58" s="533" t="s">
        <v>1080</v>
      </c>
      <c r="D58" s="1205">
        <v>4023.13</v>
      </c>
      <c r="E58" s="1205">
        <v>4119.37</v>
      </c>
      <c r="F58" s="1205">
        <v>5142.2</v>
      </c>
      <c r="G58" s="1205">
        <v>3709.55</v>
      </c>
      <c r="H58" s="1205">
        <v>1775.97</v>
      </c>
      <c r="I58" s="1205">
        <v>3002.2700000000004</v>
      </c>
      <c r="J58" s="1205">
        <v>1668.95</v>
      </c>
      <c r="K58" s="1205">
        <v>2138.62</v>
      </c>
      <c r="L58" s="1205">
        <v>2616.3900000000003</v>
      </c>
      <c r="M58" s="1205">
        <v>2640.2200000000003</v>
      </c>
      <c r="N58" s="1205">
        <v>1910.67</v>
      </c>
      <c r="O58" s="1205">
        <v>1657.62</v>
      </c>
      <c r="P58" s="1205">
        <f t="shared" si="0"/>
        <v>34404.960000000006</v>
      </c>
    </row>
    <row r="59" spans="1:16">
      <c r="A59" s="1024">
        <f t="shared" si="1"/>
        <v>45</v>
      </c>
      <c r="B59" s="266">
        <v>885</v>
      </c>
      <c r="C59" s="533" t="s">
        <v>924</v>
      </c>
      <c r="D59" s="1205">
        <v>7345.2800000000007</v>
      </c>
      <c r="E59" s="1205">
        <v>5976.4800000000005</v>
      </c>
      <c r="F59" s="1205">
        <v>7383.9899999999989</v>
      </c>
      <c r="G59" s="1205">
        <v>7098.77</v>
      </c>
      <c r="H59" s="1205">
        <v>6830.2600000000011</v>
      </c>
      <c r="I59" s="1205">
        <v>8627.76</v>
      </c>
      <c r="J59" s="1205">
        <v>7304.6399999999994</v>
      </c>
      <c r="K59" s="1205">
        <v>7602.66</v>
      </c>
      <c r="L59" s="1205">
        <v>6929.3499999999985</v>
      </c>
      <c r="M59" s="1205">
        <v>7236.1499999999987</v>
      </c>
      <c r="N59" s="1205">
        <v>7571.2400000000007</v>
      </c>
      <c r="O59" s="1205">
        <v>6670.2300000000005</v>
      </c>
      <c r="P59" s="1205">
        <f t="shared" si="0"/>
        <v>86576.81</v>
      </c>
    </row>
    <row r="60" spans="1:16">
      <c r="A60" s="1024">
        <f t="shared" si="1"/>
        <v>46</v>
      </c>
      <c r="B60" s="266">
        <v>886</v>
      </c>
      <c r="C60" s="533" t="s">
        <v>933</v>
      </c>
      <c r="D60" s="1205">
        <v>10254.33</v>
      </c>
      <c r="E60" s="1205">
        <v>18690.43</v>
      </c>
      <c r="F60" s="1205">
        <v>11659.64</v>
      </c>
      <c r="G60" s="1205">
        <v>185.61</v>
      </c>
      <c r="H60" s="1205">
        <v>115.89</v>
      </c>
      <c r="I60" s="1205">
        <v>924.36</v>
      </c>
      <c r="J60" s="1205">
        <v>13355.77</v>
      </c>
      <c r="K60" s="1205">
        <v>13112.44</v>
      </c>
      <c r="L60" s="1205">
        <v>13637.93</v>
      </c>
      <c r="M60" s="1205">
        <v>14190.81</v>
      </c>
      <c r="N60" s="1205">
        <v>12460.310000000001</v>
      </c>
      <c r="O60" s="1205">
        <v>13467.31</v>
      </c>
      <c r="P60" s="1205">
        <f t="shared" si="0"/>
        <v>122054.82999999999</v>
      </c>
    </row>
    <row r="61" spans="1:16">
      <c r="A61" s="1024">
        <f t="shared" si="1"/>
        <v>47</v>
      </c>
      <c r="B61" s="266">
        <v>887</v>
      </c>
      <c r="C61" s="533" t="s">
        <v>393</v>
      </c>
      <c r="D61" s="1205">
        <v>240043.74000000008</v>
      </c>
      <c r="E61" s="1205">
        <v>254092.75999999989</v>
      </c>
      <c r="F61" s="1205">
        <v>159923.15</v>
      </c>
      <c r="G61" s="1205">
        <v>139810.96000000002</v>
      </c>
      <c r="H61" s="1205">
        <v>249953.61000000002</v>
      </c>
      <c r="I61" s="1205">
        <v>388355.37</v>
      </c>
      <c r="J61" s="1205">
        <v>324918.46999999997</v>
      </c>
      <c r="K61" s="1205">
        <v>324595.32999999996</v>
      </c>
      <c r="L61" s="1205">
        <v>323163.81</v>
      </c>
      <c r="M61" s="1205">
        <v>342007.47999999992</v>
      </c>
      <c r="N61" s="1205">
        <v>316684.76</v>
      </c>
      <c r="O61" s="1205">
        <v>316919.36000000004</v>
      </c>
      <c r="P61" s="1205">
        <f t="shared" si="0"/>
        <v>3380468.8000000003</v>
      </c>
    </row>
    <row r="62" spans="1:16">
      <c r="A62" s="1024">
        <f t="shared" si="1"/>
        <v>48</v>
      </c>
      <c r="B62" s="266">
        <v>889</v>
      </c>
      <c r="C62" s="533" t="s">
        <v>927</v>
      </c>
      <c r="D62" s="1205">
        <v>92211.610000000015</v>
      </c>
      <c r="E62" s="1205">
        <v>38096.299999999996</v>
      </c>
      <c r="F62" s="1205">
        <v>39328.25</v>
      </c>
      <c r="G62" s="1205">
        <v>10137.789999999999</v>
      </c>
      <c r="H62" s="1205">
        <v>10760.23</v>
      </c>
      <c r="I62" s="1205">
        <v>22490.639999999999</v>
      </c>
      <c r="J62" s="1205">
        <v>63103.5</v>
      </c>
      <c r="K62" s="1205">
        <v>64365.479999999996</v>
      </c>
      <c r="L62" s="1205">
        <v>63331.410000000011</v>
      </c>
      <c r="M62" s="1205">
        <v>72813.179999999993</v>
      </c>
      <c r="N62" s="1205">
        <v>67118.97</v>
      </c>
      <c r="O62" s="1205">
        <v>60763.350000000006</v>
      </c>
      <c r="P62" s="1205">
        <f t="shared" si="0"/>
        <v>604520.71</v>
      </c>
    </row>
    <row r="63" spans="1:16">
      <c r="A63" s="1024">
        <f t="shared" si="1"/>
        <v>49</v>
      </c>
      <c r="B63" s="266">
        <v>890</v>
      </c>
      <c r="C63" s="533" t="s">
        <v>928</v>
      </c>
      <c r="D63" s="1205">
        <v>7217.9400000000005</v>
      </c>
      <c r="E63" s="1205">
        <v>2660.4900000000002</v>
      </c>
      <c r="F63" s="1205">
        <v>5250.71</v>
      </c>
      <c r="G63" s="1205">
        <v>5228.7699999999995</v>
      </c>
      <c r="H63" s="1205">
        <v>3330.96</v>
      </c>
      <c r="I63" s="1205">
        <v>10200.74</v>
      </c>
      <c r="J63" s="1205">
        <v>7515.1200000000008</v>
      </c>
      <c r="K63" s="1205">
        <v>7667.7500000000009</v>
      </c>
      <c r="L63" s="1205">
        <v>7188.6900000000005</v>
      </c>
      <c r="M63" s="1205">
        <v>7387.52</v>
      </c>
      <c r="N63" s="1205">
        <v>7506.4000000000005</v>
      </c>
      <c r="O63" s="1205">
        <v>6945.6200000000008</v>
      </c>
      <c r="P63" s="1205">
        <f t="shared" si="0"/>
        <v>78100.709999999992</v>
      </c>
    </row>
    <row r="64" spans="1:16">
      <c r="A64" s="1024"/>
      <c r="B64" s="266"/>
      <c r="C64" s="533"/>
      <c r="D64" s="268"/>
      <c r="E64" s="268"/>
      <c r="F64" s="268"/>
      <c r="G64" s="268"/>
      <c r="H64" s="268"/>
      <c r="I64" s="268"/>
      <c r="J64" s="268"/>
      <c r="K64" s="268"/>
      <c r="L64" s="268"/>
      <c r="M64" s="268"/>
      <c r="N64" s="268"/>
      <c r="O64" s="268"/>
      <c r="P64" s="268"/>
    </row>
    <row r="65" spans="1:16">
      <c r="A65" s="1326" t="str">
        <f>A1</f>
        <v>COLUMBIA GAS OF KENTUCKY, INC.</v>
      </c>
      <c r="B65" s="1326"/>
      <c r="C65" s="1327"/>
      <c r="D65" s="1327"/>
      <c r="E65" s="1327"/>
      <c r="F65" s="1327"/>
      <c r="G65" s="1327"/>
      <c r="H65" s="1327"/>
      <c r="I65" s="1327"/>
      <c r="J65" s="1327"/>
      <c r="K65" s="1327"/>
      <c r="L65" s="1327"/>
      <c r="M65" s="1327"/>
      <c r="N65" s="1327"/>
      <c r="O65" s="1327"/>
      <c r="P65" s="1327"/>
    </row>
    <row r="66" spans="1:16">
      <c r="A66" s="1326" t="str">
        <f>A2</f>
        <v>CASE NO. 2024 - 00092</v>
      </c>
      <c r="B66" s="1326"/>
      <c r="C66" s="1327"/>
      <c r="D66" s="1327"/>
      <c r="E66" s="1327"/>
      <c r="F66" s="1327"/>
      <c r="G66" s="1327"/>
      <c r="H66" s="1327"/>
      <c r="I66" s="1327"/>
      <c r="J66" s="1327"/>
      <c r="K66" s="1327"/>
      <c r="L66" s="1327"/>
      <c r="M66" s="1327"/>
      <c r="N66" s="1327"/>
      <c r="O66" s="1327"/>
      <c r="P66" s="1327"/>
    </row>
    <row r="67" spans="1:16">
      <c r="A67" s="1326" t="str">
        <f>A3</f>
        <v>BASE PERIOD COMPARISON OF TOTAL COMPANY ACCOUNT ACTIVITY</v>
      </c>
      <c r="B67" s="1326"/>
      <c r="C67" s="1327"/>
      <c r="D67" s="1327"/>
      <c r="E67" s="1327"/>
      <c r="F67" s="1327"/>
      <c r="G67" s="1327"/>
      <c r="H67" s="1327"/>
      <c r="I67" s="1327"/>
      <c r="J67" s="1327"/>
      <c r="K67" s="1327"/>
      <c r="L67" s="1327"/>
      <c r="M67" s="1327"/>
      <c r="N67" s="1327"/>
      <c r="O67" s="1327"/>
      <c r="P67" s="1327"/>
    </row>
    <row r="68" spans="1:16">
      <c r="A68" s="1326" t="str">
        <f>A4</f>
        <v>FOR THE TWELVE MONTHS ENDED AUGUST 31, 2024</v>
      </c>
      <c r="B68" s="1326"/>
      <c r="C68" s="1327"/>
      <c r="D68" s="1327"/>
      <c r="E68" s="1327"/>
      <c r="F68" s="1327"/>
      <c r="G68" s="1327"/>
      <c r="H68" s="1327"/>
      <c r="I68" s="1327"/>
      <c r="J68" s="1327"/>
      <c r="K68" s="1327"/>
      <c r="L68" s="1327"/>
      <c r="M68" s="1327"/>
      <c r="N68" s="1327"/>
      <c r="O68" s="1327"/>
      <c r="P68" s="1327"/>
    </row>
    <row r="69" spans="1:16">
      <c r="A69" s="266"/>
      <c r="B69" s="266"/>
      <c r="C69" s="529"/>
      <c r="D69" s="529"/>
      <c r="E69" s="529"/>
      <c r="F69" s="529"/>
      <c r="G69" s="529"/>
      <c r="H69" s="529"/>
      <c r="I69" s="529"/>
      <c r="J69" s="529"/>
      <c r="K69" s="529"/>
      <c r="L69" s="529"/>
      <c r="M69" s="529"/>
      <c r="N69" s="529"/>
      <c r="O69" s="529"/>
      <c r="P69" s="529"/>
    </row>
    <row r="70" spans="1:16">
      <c r="A70" s="532" t="str">
        <f>A6</f>
        <v>DATA:__X___BASE PERIOD______FORECASTED PERIOD</v>
      </c>
      <c r="B70" s="532"/>
      <c r="C70" s="529"/>
      <c r="D70" s="529"/>
      <c r="E70" s="529"/>
      <c r="F70" s="529"/>
      <c r="G70" s="529"/>
      <c r="H70" s="529"/>
      <c r="I70" s="529"/>
      <c r="J70" s="529"/>
      <c r="K70" s="529"/>
      <c r="L70" s="529"/>
      <c r="M70" s="529"/>
      <c r="N70" s="533"/>
      <c r="O70" s="529"/>
      <c r="P70" s="534" t="str">
        <f>P6</f>
        <v>SCHEDULE C-2.2.A</v>
      </c>
    </row>
    <row r="71" spans="1:16">
      <c r="A71" s="532" t="str">
        <f>A7</f>
        <v>TYPE OF FILING:___X___ORIGINAL______UPDATED</v>
      </c>
      <c r="B71" s="532"/>
      <c r="C71" s="529"/>
      <c r="D71" s="529"/>
      <c r="E71" s="529"/>
      <c r="F71" s="529"/>
      <c r="G71" s="529"/>
      <c r="H71" s="529"/>
      <c r="I71" s="529"/>
      <c r="J71" s="529"/>
      <c r="K71" s="529"/>
      <c r="L71" s="529"/>
      <c r="M71" s="529"/>
      <c r="N71" s="533"/>
      <c r="O71" s="529"/>
      <c r="P71" s="534" t="s">
        <v>832</v>
      </c>
    </row>
    <row r="72" spans="1:16">
      <c r="A72" s="532" t="s">
        <v>575</v>
      </c>
      <c r="B72" s="532"/>
      <c r="C72" s="529"/>
      <c r="D72" s="529"/>
      <c r="E72" s="529"/>
      <c r="F72" s="529"/>
      <c r="G72" s="529"/>
      <c r="H72" s="529"/>
      <c r="I72" s="529"/>
      <c r="J72" s="529"/>
      <c r="K72" s="529"/>
      <c r="L72" s="529"/>
      <c r="M72" s="529"/>
      <c r="N72" s="533"/>
      <c r="O72" s="529"/>
      <c r="P72" s="534" t="str">
        <f>P8</f>
        <v>WITNESS: SHAEFFER</v>
      </c>
    </row>
    <row r="73" spans="1:16">
      <c r="A73" s="855"/>
      <c r="B73" s="855"/>
      <c r="C73" s="856"/>
      <c r="D73" s="856"/>
      <c r="E73" s="856"/>
      <c r="F73" s="856"/>
      <c r="G73" s="856"/>
      <c r="H73" s="856"/>
      <c r="I73" s="856"/>
      <c r="J73" s="856"/>
      <c r="K73" s="856"/>
      <c r="L73" s="856"/>
      <c r="M73" s="856"/>
      <c r="N73" s="857"/>
      <c r="O73" s="856"/>
      <c r="P73" s="858"/>
    </row>
    <row r="74" spans="1:16">
      <c r="A74" s="535" t="s">
        <v>641</v>
      </c>
      <c r="B74" s="536"/>
      <c r="C74" s="536"/>
      <c r="D74" s="266" t="str">
        <f t="shared" ref="D74:O74" si="2">D10</f>
        <v>Actual</v>
      </c>
      <c r="E74" s="266" t="str">
        <f t="shared" si="2"/>
        <v>Actual</v>
      </c>
      <c r="F74" s="266" t="str">
        <f t="shared" si="2"/>
        <v>Actual</v>
      </c>
      <c r="G74" s="266" t="str">
        <f t="shared" si="2"/>
        <v>Actual</v>
      </c>
      <c r="H74" s="266" t="str">
        <f t="shared" si="2"/>
        <v>Actual</v>
      </c>
      <c r="I74" s="266" t="str">
        <f t="shared" si="2"/>
        <v>Actual</v>
      </c>
      <c r="J74" s="266" t="str">
        <f t="shared" si="2"/>
        <v>Forecasted</v>
      </c>
      <c r="K74" s="266" t="str">
        <f t="shared" si="2"/>
        <v>Forecasted</v>
      </c>
      <c r="L74" s="266" t="str">
        <f t="shared" si="2"/>
        <v>Forecasted</v>
      </c>
      <c r="M74" s="266" t="str">
        <f t="shared" si="2"/>
        <v>Forecasted</v>
      </c>
      <c r="N74" s="266" t="str">
        <f t="shared" si="2"/>
        <v>Forecasted</v>
      </c>
      <c r="O74" s="266" t="str">
        <f t="shared" si="2"/>
        <v>Forecasted</v>
      </c>
      <c r="P74" s="529"/>
    </row>
    <row r="75" spans="1:16">
      <c r="A75" s="1020" t="s">
        <v>642</v>
      </c>
      <c r="B75" s="1020" t="s">
        <v>884</v>
      </c>
      <c r="C75" s="1020" t="s">
        <v>885</v>
      </c>
      <c r="D75" s="1021" t="str">
        <f t="shared" ref="D75:O75" si="3">D11</f>
        <v>SEP</v>
      </c>
      <c r="E75" s="1021" t="str">
        <f t="shared" si="3"/>
        <v>OCT</v>
      </c>
      <c r="F75" s="1021" t="str">
        <f t="shared" si="3"/>
        <v>NOV</v>
      </c>
      <c r="G75" s="1021" t="str">
        <f t="shared" si="3"/>
        <v>DEC</v>
      </c>
      <c r="H75" s="1021" t="str">
        <f t="shared" si="3"/>
        <v>JAN</v>
      </c>
      <c r="I75" s="1021" t="str">
        <f t="shared" si="3"/>
        <v>FEB</v>
      </c>
      <c r="J75" s="1021" t="str">
        <f t="shared" si="3"/>
        <v>MAR</v>
      </c>
      <c r="K75" s="1021" t="str">
        <f t="shared" si="3"/>
        <v>APR</v>
      </c>
      <c r="L75" s="1021" t="str">
        <f t="shared" si="3"/>
        <v>MAY</v>
      </c>
      <c r="M75" s="1021" t="str">
        <f t="shared" si="3"/>
        <v>JUN</v>
      </c>
      <c r="N75" s="1021" t="str">
        <f t="shared" si="3"/>
        <v>JUL</v>
      </c>
      <c r="O75" s="1021" t="str">
        <f t="shared" si="3"/>
        <v>AUG</v>
      </c>
      <c r="P75" s="1023" t="s">
        <v>349</v>
      </c>
    </row>
    <row r="76" spans="1:16" ht="12.75">
      <c r="A76" s="266"/>
      <c r="B76" s="266"/>
      <c r="C76" s="266"/>
      <c r="D76" s="300" t="s">
        <v>532</v>
      </c>
      <c r="E76" s="300" t="s">
        <v>541</v>
      </c>
      <c r="F76" s="300" t="s">
        <v>542</v>
      </c>
      <c r="G76" s="300" t="s">
        <v>668</v>
      </c>
      <c r="H76" s="300" t="s">
        <v>669</v>
      </c>
      <c r="I76" s="300" t="s">
        <v>670</v>
      </c>
      <c r="J76" s="300" t="s">
        <v>984</v>
      </c>
      <c r="K76" s="300" t="s">
        <v>985</v>
      </c>
      <c r="L76" s="300" t="s">
        <v>986</v>
      </c>
      <c r="M76" s="300" t="s">
        <v>987</v>
      </c>
      <c r="N76" s="300" t="s">
        <v>988</v>
      </c>
      <c r="O76" s="300" t="s">
        <v>989</v>
      </c>
      <c r="P76" s="334" t="str">
        <f>"(13=1 through 12)"</f>
        <v>(13=1 through 12)</v>
      </c>
    </row>
    <row r="77" spans="1:16">
      <c r="A77" s="529"/>
      <c r="B77" s="529"/>
      <c r="C77" s="529"/>
      <c r="D77" s="537" t="s">
        <v>320</v>
      </c>
      <c r="E77" s="537" t="s">
        <v>320</v>
      </c>
      <c r="F77" s="537" t="s">
        <v>320</v>
      </c>
      <c r="G77" s="537" t="s">
        <v>320</v>
      </c>
      <c r="H77" s="537" t="s">
        <v>320</v>
      </c>
      <c r="I77" s="537" t="s">
        <v>320</v>
      </c>
      <c r="J77" s="537" t="s">
        <v>320</v>
      </c>
      <c r="K77" s="537" t="s">
        <v>320</v>
      </c>
      <c r="L77" s="537" t="s">
        <v>320</v>
      </c>
      <c r="M77" s="537" t="s">
        <v>320</v>
      </c>
      <c r="N77" s="537" t="s">
        <v>320</v>
      </c>
      <c r="O77" s="537" t="s">
        <v>320</v>
      </c>
      <c r="P77" s="537" t="s">
        <v>320</v>
      </c>
    </row>
    <row r="78" spans="1:16">
      <c r="A78" s="529"/>
      <c r="B78" s="529"/>
      <c r="C78" s="529"/>
      <c r="D78" s="537"/>
      <c r="E78" s="537"/>
      <c r="F78" s="537"/>
      <c r="G78" s="537"/>
      <c r="H78" s="537"/>
      <c r="I78" s="537"/>
      <c r="J78" s="537"/>
      <c r="K78" s="537"/>
      <c r="L78" s="537"/>
      <c r="M78" s="537"/>
      <c r="N78" s="537"/>
      <c r="O78" s="537"/>
      <c r="P78" s="537"/>
    </row>
    <row r="79" spans="1:16">
      <c r="A79" s="1024">
        <v>1</v>
      </c>
      <c r="B79" s="266" t="s">
        <v>825</v>
      </c>
      <c r="C79" s="533" t="s">
        <v>398</v>
      </c>
      <c r="D79" s="1205">
        <v>61086.280000000021</v>
      </c>
      <c r="E79" s="1205">
        <v>43829.68</v>
      </c>
      <c r="F79" s="1205">
        <v>41762.629999999997</v>
      </c>
      <c r="G79" s="1205">
        <v>-16065.26</v>
      </c>
      <c r="H79" s="1205">
        <v>46233.929999999993</v>
      </c>
      <c r="I79" s="1205">
        <v>52855.240000000005</v>
      </c>
      <c r="J79" s="1205">
        <v>58985.53</v>
      </c>
      <c r="K79" s="1205">
        <v>59783.460000000006</v>
      </c>
      <c r="L79" s="1205">
        <v>56781.289999999994</v>
      </c>
      <c r="M79" s="1205">
        <v>61667.520000000004</v>
      </c>
      <c r="N79" s="1205">
        <v>59228.12999999999</v>
      </c>
      <c r="O79" s="1205">
        <v>55010.239999999998</v>
      </c>
      <c r="P79" s="1205">
        <f>SUM(D79:O79)</f>
        <v>581158.67000000004</v>
      </c>
    </row>
    <row r="80" spans="1:16">
      <c r="A80" s="1024">
        <f>A79+1</f>
        <v>2</v>
      </c>
      <c r="B80" s="266" t="s">
        <v>827</v>
      </c>
      <c r="C80" s="533" t="s">
        <v>934</v>
      </c>
      <c r="D80" s="1205">
        <v>-251.42999999999836</v>
      </c>
      <c r="E80" s="1205">
        <v>15294.95</v>
      </c>
      <c r="F80" s="1205">
        <v>15468.81</v>
      </c>
      <c r="G80" s="1205">
        <v>12835.49</v>
      </c>
      <c r="H80" s="1205">
        <v>8682.5500000000011</v>
      </c>
      <c r="I80" s="1205">
        <v>9212.98</v>
      </c>
      <c r="J80" s="1205">
        <v>21377.1</v>
      </c>
      <c r="K80" s="1205">
        <v>22024.489999999998</v>
      </c>
      <c r="L80" s="1205">
        <v>21262.67</v>
      </c>
      <c r="M80" s="1205">
        <v>24436.410000000003</v>
      </c>
      <c r="N80" s="1205">
        <v>23060.41</v>
      </c>
      <c r="O80" s="1205">
        <v>20293.330000000002</v>
      </c>
      <c r="P80" s="1205">
        <f t="shared" ref="P80:P105" si="4">SUM(D80:O80)</f>
        <v>193697.76</v>
      </c>
    </row>
    <row r="81" spans="1:16">
      <c r="A81" s="1024">
        <f t="shared" ref="A81:A107" si="5">A80+1</f>
        <v>3</v>
      </c>
      <c r="B81" s="266" t="s">
        <v>829</v>
      </c>
      <c r="C81" s="533" t="s">
        <v>935</v>
      </c>
      <c r="D81" s="1205">
        <v>8577.1299999999974</v>
      </c>
      <c r="E81" s="1205">
        <v>17056.909999999996</v>
      </c>
      <c r="F81" s="1205">
        <v>19685.350000000002</v>
      </c>
      <c r="G81" s="1205">
        <v>49304.130000000005</v>
      </c>
      <c r="H81" s="1205">
        <v>20669.21</v>
      </c>
      <c r="I81" s="1205">
        <v>22779.3</v>
      </c>
      <c r="J81" s="1205">
        <v>22094.11</v>
      </c>
      <c r="K81" s="1205">
        <v>22650.83</v>
      </c>
      <c r="L81" s="1205">
        <v>23097.42</v>
      </c>
      <c r="M81" s="1205">
        <v>29121.3</v>
      </c>
      <c r="N81" s="1205">
        <v>25118.44</v>
      </c>
      <c r="O81" s="1205">
        <v>21830.61</v>
      </c>
      <c r="P81" s="1205">
        <f t="shared" si="4"/>
        <v>281984.74</v>
      </c>
    </row>
    <row r="82" spans="1:16">
      <c r="A82" s="1024">
        <f t="shared" si="5"/>
        <v>4</v>
      </c>
      <c r="B82" s="266" t="s">
        <v>833</v>
      </c>
      <c r="C82" s="533" t="s">
        <v>936</v>
      </c>
      <c r="D82" s="1205">
        <v>-0.28000000000000003</v>
      </c>
      <c r="E82" s="1205">
        <v>0</v>
      </c>
      <c r="F82" s="1205">
        <v>0</v>
      </c>
      <c r="G82" s="1205">
        <v>-0.8</v>
      </c>
      <c r="H82" s="1205">
        <v>0</v>
      </c>
      <c r="I82" s="1205">
        <v>0</v>
      </c>
      <c r="J82" s="1205">
        <v>0.02</v>
      </c>
      <c r="K82" s="1205">
        <v>0.02</v>
      </c>
      <c r="L82" s="1205">
        <v>0.02</v>
      </c>
      <c r="M82" s="1205">
        <v>0.02</v>
      </c>
      <c r="N82" s="1205">
        <v>0.02</v>
      </c>
      <c r="O82" s="1205">
        <v>0.02</v>
      </c>
      <c r="P82" s="1205">
        <f t="shared" si="4"/>
        <v>-0.96</v>
      </c>
    </row>
    <row r="83" spans="1:16">
      <c r="A83" s="1024">
        <f t="shared" si="5"/>
        <v>5</v>
      </c>
      <c r="B83" s="266" t="s">
        <v>835</v>
      </c>
      <c r="C83" s="533" t="s">
        <v>937</v>
      </c>
      <c r="D83" s="1205">
        <v>22159.699999999997</v>
      </c>
      <c r="E83" s="1205">
        <v>23799.29</v>
      </c>
      <c r="F83" s="1205">
        <v>27023.510000000002</v>
      </c>
      <c r="G83" s="1205">
        <v>27067.489999999998</v>
      </c>
      <c r="H83" s="1205">
        <v>26905.75</v>
      </c>
      <c r="I83" s="1205">
        <v>28065.32</v>
      </c>
      <c r="J83" s="1205">
        <v>27093.9</v>
      </c>
      <c r="K83" s="1205">
        <v>27115.15</v>
      </c>
      <c r="L83" s="1205">
        <v>26657.800000000003</v>
      </c>
      <c r="M83" s="1205">
        <v>27340.489999999998</v>
      </c>
      <c r="N83" s="1205">
        <v>26011.120000000003</v>
      </c>
      <c r="O83" s="1205">
        <v>26282.92</v>
      </c>
      <c r="P83" s="1205">
        <f t="shared" si="4"/>
        <v>315522.43999999994</v>
      </c>
    </row>
    <row r="84" spans="1:16">
      <c r="A84" s="1024">
        <f t="shared" si="5"/>
        <v>6</v>
      </c>
      <c r="B84" s="266" t="s">
        <v>837</v>
      </c>
      <c r="C84" s="267" t="s">
        <v>1081</v>
      </c>
      <c r="D84" s="1205">
        <v>201660.85</v>
      </c>
      <c r="E84" s="1205">
        <v>210128.86000000002</v>
      </c>
      <c r="F84" s="1205">
        <v>234730.41999999998</v>
      </c>
      <c r="G84" s="1205">
        <v>236705.81000000003</v>
      </c>
      <c r="H84" s="1205">
        <v>227858.69999999995</v>
      </c>
      <c r="I84" s="1205">
        <v>266079.82</v>
      </c>
      <c r="J84" s="1205">
        <v>211579.63</v>
      </c>
      <c r="K84" s="1205">
        <v>212244.59</v>
      </c>
      <c r="L84" s="1205">
        <v>216456.56000000003</v>
      </c>
      <c r="M84" s="1205">
        <v>255784.96999999997</v>
      </c>
      <c r="N84" s="1205">
        <v>224422.39</v>
      </c>
      <c r="O84" s="1205">
        <v>204521.4</v>
      </c>
      <c r="P84" s="1205">
        <f t="shared" si="4"/>
        <v>2702174.0000000005</v>
      </c>
    </row>
    <row r="85" spans="1:16">
      <c r="A85" s="1024">
        <f t="shared" si="5"/>
        <v>7</v>
      </c>
      <c r="B85" s="266" t="s">
        <v>839</v>
      </c>
      <c r="C85" s="533" t="s">
        <v>939</v>
      </c>
      <c r="D85" s="1205">
        <v>144824.79000000004</v>
      </c>
      <c r="E85" s="1205">
        <v>87139.9</v>
      </c>
      <c r="F85" s="1205">
        <v>30445.160000000011</v>
      </c>
      <c r="G85" s="1205">
        <v>68677.69</v>
      </c>
      <c r="H85" s="1205">
        <v>255619.65</v>
      </c>
      <c r="I85" s="1205">
        <v>204909.4</v>
      </c>
      <c r="J85" s="1205">
        <v>141988.49</v>
      </c>
      <c r="K85" s="1205">
        <v>102760.45999999999</v>
      </c>
      <c r="L85" s="1205">
        <v>84874.55</v>
      </c>
      <c r="M85" s="1205">
        <v>75208.81</v>
      </c>
      <c r="N85" s="1205">
        <v>82983.429999999993</v>
      </c>
      <c r="O85" s="1205">
        <v>77505.33</v>
      </c>
      <c r="P85" s="1205">
        <f t="shared" si="4"/>
        <v>1356937.6600000001</v>
      </c>
    </row>
    <row r="86" spans="1:16">
      <c r="A86" s="1024">
        <f t="shared" si="5"/>
        <v>8</v>
      </c>
      <c r="B86" s="266" t="s">
        <v>841</v>
      </c>
      <c r="C86" s="533" t="s">
        <v>940</v>
      </c>
      <c r="D86" s="1205">
        <v>851.22</v>
      </c>
      <c r="E86" s="1205">
        <v>696.54000000000019</v>
      </c>
      <c r="F86" s="1205">
        <v>710.64</v>
      </c>
      <c r="G86" s="1205">
        <v>824.47</v>
      </c>
      <c r="H86" s="1205">
        <v>1033.56</v>
      </c>
      <c r="I86" s="1205">
        <v>975.73</v>
      </c>
      <c r="J86" s="1205">
        <v>1427.13</v>
      </c>
      <c r="K86" s="1205">
        <v>1346.49</v>
      </c>
      <c r="L86" s="1205">
        <v>1406.51</v>
      </c>
      <c r="M86" s="1205">
        <v>1348.44</v>
      </c>
      <c r="N86" s="1205">
        <v>1258.3</v>
      </c>
      <c r="O86" s="1205">
        <v>1260.53</v>
      </c>
      <c r="P86" s="1205">
        <f t="shared" si="4"/>
        <v>13139.56</v>
      </c>
    </row>
    <row r="87" spans="1:16">
      <c r="A87" s="1024">
        <f t="shared" si="5"/>
        <v>9</v>
      </c>
      <c r="B87" s="266" t="s">
        <v>845</v>
      </c>
      <c r="C87" s="533" t="s">
        <v>936</v>
      </c>
      <c r="D87" s="1205">
        <v>0</v>
      </c>
      <c r="E87" s="1205">
        <v>0</v>
      </c>
      <c r="F87" s="1205">
        <v>0</v>
      </c>
      <c r="G87" s="1205">
        <v>0</v>
      </c>
      <c r="H87" s="1205">
        <v>0</v>
      </c>
      <c r="I87" s="1205">
        <v>0</v>
      </c>
      <c r="J87" s="1205">
        <v>0</v>
      </c>
      <c r="K87" s="1205">
        <v>0</v>
      </c>
      <c r="L87" s="1205">
        <v>0</v>
      </c>
      <c r="M87" s="1205">
        <v>0</v>
      </c>
      <c r="N87" s="1205">
        <v>0</v>
      </c>
      <c r="O87" s="1205">
        <v>0</v>
      </c>
      <c r="P87" s="1205">
        <f t="shared" si="4"/>
        <v>0</v>
      </c>
    </row>
    <row r="88" spans="1:16">
      <c r="A88" s="1024">
        <f t="shared" si="5"/>
        <v>10</v>
      </c>
      <c r="B88" s="266" t="s">
        <v>846</v>
      </c>
      <c r="C88" s="533" t="s">
        <v>941</v>
      </c>
      <c r="D88" s="1205">
        <v>0</v>
      </c>
      <c r="E88" s="1205">
        <v>0</v>
      </c>
      <c r="F88" s="1205">
        <v>13180</v>
      </c>
      <c r="G88" s="1205">
        <v>3295</v>
      </c>
      <c r="H88" s="1205">
        <v>16475</v>
      </c>
      <c r="I88" s="1205">
        <v>0</v>
      </c>
      <c r="J88" s="1205">
        <v>11775.68</v>
      </c>
      <c r="K88" s="1205">
        <v>11776.01</v>
      </c>
      <c r="L88" s="1205">
        <v>2708.36</v>
      </c>
      <c r="M88" s="1205">
        <v>894.71</v>
      </c>
      <c r="N88" s="1205">
        <v>7931.63</v>
      </c>
      <c r="O88" s="1205">
        <v>1040.1200000000001</v>
      </c>
      <c r="P88" s="1205">
        <f t="shared" si="4"/>
        <v>69076.509999999995</v>
      </c>
    </row>
    <row r="89" spans="1:16">
      <c r="A89" s="1024">
        <f t="shared" si="5"/>
        <v>11</v>
      </c>
      <c r="B89" s="266" t="s">
        <v>848</v>
      </c>
      <c r="C89" s="533" t="s">
        <v>942</v>
      </c>
      <c r="D89" s="1205">
        <v>199.98</v>
      </c>
      <c r="E89" s="1205">
        <v>2531.4299999999998</v>
      </c>
      <c r="F89" s="1205">
        <v>50.38</v>
      </c>
      <c r="G89" s="1205">
        <v>35.67</v>
      </c>
      <c r="H89" s="1205">
        <v>0</v>
      </c>
      <c r="I89" s="1205">
        <v>0</v>
      </c>
      <c r="J89" s="1205">
        <v>257.94</v>
      </c>
      <c r="K89" s="1205">
        <v>252.10999999999999</v>
      </c>
      <c r="L89" s="1205">
        <v>263.7</v>
      </c>
      <c r="M89" s="1205">
        <v>277.73</v>
      </c>
      <c r="N89" s="1205">
        <v>240.86</v>
      </c>
      <c r="O89" s="1205">
        <v>262.84999999999997</v>
      </c>
      <c r="P89" s="1205">
        <f t="shared" si="4"/>
        <v>4372.6500000000005</v>
      </c>
    </row>
    <row r="90" spans="1:16">
      <c r="A90" s="1024">
        <f t="shared" si="5"/>
        <v>12</v>
      </c>
      <c r="B90" s="266" t="s">
        <v>850</v>
      </c>
      <c r="C90" s="533" t="s">
        <v>943</v>
      </c>
      <c r="D90" s="1205">
        <v>25591.420000000002</v>
      </c>
      <c r="E90" s="1205">
        <v>37083.909999999996</v>
      </c>
      <c r="F90" s="1205">
        <v>25040.63</v>
      </c>
      <c r="G90" s="1205">
        <v>23337.8</v>
      </c>
      <c r="H90" s="1205">
        <v>22167.97</v>
      </c>
      <c r="I90" s="1205">
        <v>24092.98</v>
      </c>
      <c r="J90" s="1205">
        <v>26229.47</v>
      </c>
      <c r="K90" s="1205">
        <v>25532.62</v>
      </c>
      <c r="L90" s="1205">
        <v>25544.27</v>
      </c>
      <c r="M90" s="1205">
        <v>25807.97</v>
      </c>
      <c r="N90" s="1205">
        <v>24282.61</v>
      </c>
      <c r="O90" s="1205">
        <v>24355.79</v>
      </c>
      <c r="P90" s="1205">
        <f t="shared" si="4"/>
        <v>309067.44</v>
      </c>
    </row>
    <row r="91" spans="1:16">
      <c r="A91" s="1024">
        <f t="shared" si="5"/>
        <v>13</v>
      </c>
      <c r="B91" s="266" t="s">
        <v>853</v>
      </c>
      <c r="C91" s="533" t="s">
        <v>936</v>
      </c>
      <c r="D91" s="1205">
        <v>0</v>
      </c>
      <c r="E91" s="1205">
        <v>0</v>
      </c>
      <c r="F91" s="1205">
        <v>0</v>
      </c>
      <c r="G91" s="1205">
        <v>0</v>
      </c>
      <c r="H91" s="1205">
        <v>0</v>
      </c>
      <c r="I91" s="1205">
        <v>0</v>
      </c>
      <c r="J91" s="1205">
        <v>0</v>
      </c>
      <c r="K91" s="1205">
        <v>0</v>
      </c>
      <c r="L91" s="1205">
        <v>0</v>
      </c>
      <c r="M91" s="1205">
        <v>0</v>
      </c>
      <c r="N91" s="1205">
        <v>0</v>
      </c>
      <c r="O91" s="1205">
        <v>0</v>
      </c>
      <c r="P91" s="1205">
        <f t="shared" si="4"/>
        <v>0</v>
      </c>
    </row>
    <row r="92" spans="1:16">
      <c r="A92" s="1024">
        <f t="shared" si="5"/>
        <v>14</v>
      </c>
      <c r="B92" s="266" t="s">
        <v>854</v>
      </c>
      <c r="C92" s="533" t="s">
        <v>944</v>
      </c>
      <c r="D92" s="1205">
        <v>567.32000000000005</v>
      </c>
      <c r="E92" s="1205">
        <v>29.4</v>
      </c>
      <c r="F92" s="1205">
        <v>677.68</v>
      </c>
      <c r="G92" s="1205">
        <v>583.72</v>
      </c>
      <c r="H92" s="1205">
        <v>426.8</v>
      </c>
      <c r="I92" s="1205">
        <v>680.95</v>
      </c>
      <c r="J92" s="1205">
        <v>420.16</v>
      </c>
      <c r="K92" s="1205">
        <v>409</v>
      </c>
      <c r="L92" s="1205">
        <v>409.19</v>
      </c>
      <c r="M92" s="1205">
        <v>413.41</v>
      </c>
      <c r="N92" s="1205">
        <v>388.98</v>
      </c>
      <c r="O92" s="1205">
        <v>390.15</v>
      </c>
      <c r="P92" s="1205">
        <f t="shared" si="4"/>
        <v>5396.7599999999984</v>
      </c>
    </row>
    <row r="93" spans="1:16">
      <c r="A93" s="1024">
        <f t="shared" si="5"/>
        <v>15</v>
      </c>
      <c r="B93" s="266" t="s">
        <v>856</v>
      </c>
      <c r="C93" s="533" t="s">
        <v>945</v>
      </c>
      <c r="D93" s="1205">
        <v>7880.22</v>
      </c>
      <c r="E93" s="1205">
        <v>0</v>
      </c>
      <c r="F93" s="1205">
        <v>0</v>
      </c>
      <c r="G93" s="1205">
        <v>0</v>
      </c>
      <c r="H93" s="1205">
        <v>0</v>
      </c>
      <c r="I93" s="1205">
        <v>0</v>
      </c>
      <c r="J93" s="1205">
        <v>689.23</v>
      </c>
      <c r="K93" s="1205">
        <v>670.92</v>
      </c>
      <c r="L93" s="1205">
        <v>671.22</v>
      </c>
      <c r="M93" s="1205">
        <v>678.15</v>
      </c>
      <c r="N93" s="1205">
        <v>638.07000000000005</v>
      </c>
      <c r="O93" s="1205">
        <v>639.99</v>
      </c>
      <c r="P93" s="1205">
        <f t="shared" si="4"/>
        <v>11867.8</v>
      </c>
    </row>
    <row r="94" spans="1:16">
      <c r="A94" s="1024">
        <f t="shared" si="5"/>
        <v>16</v>
      </c>
      <c r="B94" s="266">
        <v>916</v>
      </c>
      <c r="C94" s="533" t="s">
        <v>67</v>
      </c>
      <c r="D94" s="1205">
        <v>0</v>
      </c>
      <c r="E94" s="1205">
        <v>0</v>
      </c>
      <c r="F94" s="1205">
        <v>0</v>
      </c>
      <c r="G94" s="1205">
        <v>0</v>
      </c>
      <c r="H94" s="1205">
        <v>0</v>
      </c>
      <c r="I94" s="1205">
        <v>0</v>
      </c>
      <c r="J94" s="1205">
        <v>0</v>
      </c>
      <c r="K94" s="1205">
        <v>0</v>
      </c>
      <c r="L94" s="1205">
        <v>0</v>
      </c>
      <c r="M94" s="1205">
        <v>0</v>
      </c>
      <c r="N94" s="1205">
        <v>0</v>
      </c>
      <c r="O94" s="1205">
        <v>0</v>
      </c>
      <c r="P94" s="1205">
        <f t="shared" si="4"/>
        <v>0</v>
      </c>
    </row>
    <row r="95" spans="1:16">
      <c r="A95" s="1024">
        <f t="shared" si="5"/>
        <v>17</v>
      </c>
      <c r="B95" s="266" t="s">
        <v>860</v>
      </c>
      <c r="C95" s="533" t="s">
        <v>947</v>
      </c>
      <c r="D95" s="1205">
        <v>941052.43000000017</v>
      </c>
      <c r="E95" s="1205">
        <v>819357.84000000078</v>
      </c>
      <c r="F95" s="1205">
        <v>849221.48</v>
      </c>
      <c r="G95" s="1205">
        <v>1504243.81</v>
      </c>
      <c r="H95" s="1205">
        <v>913423.09</v>
      </c>
      <c r="I95" s="1205">
        <v>920868.76000000013</v>
      </c>
      <c r="J95" s="1205">
        <v>877172.0900000002</v>
      </c>
      <c r="K95" s="1205">
        <v>858538.23000000021</v>
      </c>
      <c r="L95" s="1205">
        <v>846639.99</v>
      </c>
      <c r="M95" s="1205">
        <v>854678.86</v>
      </c>
      <c r="N95" s="1205">
        <v>828172.1100000001</v>
      </c>
      <c r="O95" s="1205">
        <v>810721.07</v>
      </c>
      <c r="P95" s="1205">
        <f t="shared" si="4"/>
        <v>11024089.76</v>
      </c>
    </row>
    <row r="96" spans="1:16">
      <c r="A96" s="1024">
        <f t="shared" si="5"/>
        <v>18</v>
      </c>
      <c r="B96" s="266" t="s">
        <v>862</v>
      </c>
      <c r="C96" s="533" t="s">
        <v>946</v>
      </c>
      <c r="D96" s="1205">
        <v>126352.32000000001</v>
      </c>
      <c r="E96" s="1205">
        <v>97180.01999999999</v>
      </c>
      <c r="F96" s="1205">
        <v>121598.65</v>
      </c>
      <c r="G96" s="1205">
        <v>181143.49</v>
      </c>
      <c r="H96" s="1205">
        <v>72556.89</v>
      </c>
      <c r="I96" s="1205">
        <v>117557.75</v>
      </c>
      <c r="J96" s="1205">
        <v>185215.16999999998</v>
      </c>
      <c r="K96" s="1205">
        <v>181841.89</v>
      </c>
      <c r="L96" s="1205">
        <v>188188.69</v>
      </c>
      <c r="M96" s="1205">
        <v>193108.54</v>
      </c>
      <c r="N96" s="1205">
        <v>176037.94</v>
      </c>
      <c r="O96" s="1205">
        <v>173048.95</v>
      </c>
      <c r="P96" s="1205">
        <f t="shared" ref="P96:P101" si="6">SUM(D96:O96)</f>
        <v>1813830.3</v>
      </c>
    </row>
    <row r="97" spans="1:16">
      <c r="A97" s="1024">
        <f t="shared" si="5"/>
        <v>19</v>
      </c>
      <c r="B97" s="266">
        <v>922</v>
      </c>
      <c r="C97" s="533" t="s">
        <v>1078</v>
      </c>
      <c r="D97" s="1205">
        <v>0</v>
      </c>
      <c r="E97" s="1205">
        <v>0</v>
      </c>
      <c r="F97" s="1205">
        <v>0</v>
      </c>
      <c r="G97" s="1205">
        <v>0</v>
      </c>
      <c r="H97" s="1205">
        <v>0</v>
      </c>
      <c r="I97" s="1205">
        <v>0</v>
      </c>
      <c r="J97" s="1205">
        <v>0</v>
      </c>
      <c r="K97" s="1205">
        <v>0</v>
      </c>
      <c r="L97" s="1205">
        <v>0</v>
      </c>
      <c r="M97" s="1205">
        <v>0</v>
      </c>
      <c r="N97" s="1205">
        <v>0</v>
      </c>
      <c r="O97" s="1205">
        <v>0</v>
      </c>
      <c r="P97" s="1205">
        <f t="shared" si="6"/>
        <v>0</v>
      </c>
    </row>
    <row r="98" spans="1:16">
      <c r="A98" s="1024">
        <f t="shared" si="5"/>
        <v>20</v>
      </c>
      <c r="B98" s="266" t="s">
        <v>863</v>
      </c>
      <c r="C98" s="533" t="s">
        <v>949</v>
      </c>
      <c r="D98" s="1205">
        <v>623248.52999999991</v>
      </c>
      <c r="E98" s="1205">
        <v>477573.49999999965</v>
      </c>
      <c r="F98" s="1205">
        <v>739027.07000000007</v>
      </c>
      <c r="G98" s="1205">
        <v>704172.47</v>
      </c>
      <c r="H98" s="1205">
        <v>507273.07999999996</v>
      </c>
      <c r="I98" s="1205">
        <v>1020313.11</v>
      </c>
      <c r="J98" s="1205">
        <v>620081.91</v>
      </c>
      <c r="K98" s="1205">
        <v>599020.23</v>
      </c>
      <c r="L98" s="1205">
        <v>604450.99999999988</v>
      </c>
      <c r="M98" s="1205">
        <v>616142.18000000017</v>
      </c>
      <c r="N98" s="1205">
        <v>572648.16</v>
      </c>
      <c r="O98" s="1205">
        <v>577255.25</v>
      </c>
      <c r="P98" s="1205">
        <f t="shared" si="6"/>
        <v>7661206.4899999984</v>
      </c>
    </row>
    <row r="99" spans="1:16">
      <c r="A99" s="1024">
        <f t="shared" si="5"/>
        <v>21</v>
      </c>
      <c r="B99" s="266" t="s">
        <v>865</v>
      </c>
      <c r="C99" s="533" t="s">
        <v>950</v>
      </c>
      <c r="D99" s="1205">
        <v>6918.9699999999993</v>
      </c>
      <c r="E99" s="1205">
        <v>8340.16</v>
      </c>
      <c r="F99" s="1205">
        <v>5716.71</v>
      </c>
      <c r="G99" s="1205">
        <v>6419.69</v>
      </c>
      <c r="H99" s="1205">
        <v>6068.19</v>
      </c>
      <c r="I99" s="1205">
        <v>6064.24</v>
      </c>
      <c r="J99" s="1205">
        <v>6676.0999999999995</v>
      </c>
      <c r="K99" s="1205">
        <v>6673.05</v>
      </c>
      <c r="L99" s="1205">
        <v>6674.3600000000006</v>
      </c>
      <c r="M99" s="1205">
        <v>6674.07</v>
      </c>
      <c r="N99" s="1205">
        <v>6999.59</v>
      </c>
      <c r="O99" s="1205">
        <v>7000.05</v>
      </c>
      <c r="P99" s="1205">
        <f t="shared" si="6"/>
        <v>80225.180000000008</v>
      </c>
    </row>
    <row r="100" spans="1:16">
      <c r="A100" s="1024">
        <f t="shared" si="5"/>
        <v>22</v>
      </c>
      <c r="B100" s="266" t="s">
        <v>867</v>
      </c>
      <c r="C100" s="533" t="s">
        <v>951</v>
      </c>
      <c r="D100" s="1205">
        <v>165686.19000000003</v>
      </c>
      <c r="E100" s="1205">
        <v>179532.46999999997</v>
      </c>
      <c r="F100" s="1205">
        <v>133015.59000000003</v>
      </c>
      <c r="G100" s="1205">
        <v>142332.55000000002</v>
      </c>
      <c r="H100" s="1205">
        <v>115227.53000000001</v>
      </c>
      <c r="I100" s="1205">
        <v>137322</v>
      </c>
      <c r="J100" s="1205">
        <v>139188.73000000001</v>
      </c>
      <c r="K100" s="1205">
        <v>139086.56999999998</v>
      </c>
      <c r="L100" s="1205">
        <v>139112.00999999998</v>
      </c>
      <c r="M100" s="1205">
        <v>139123.49</v>
      </c>
      <c r="N100" s="1205">
        <v>145143.31</v>
      </c>
      <c r="O100" s="1205">
        <v>145156.66</v>
      </c>
      <c r="P100" s="1205">
        <f t="shared" si="6"/>
        <v>1719927.1</v>
      </c>
    </row>
    <row r="101" spans="1:16">
      <c r="A101" s="1024">
        <f t="shared" si="5"/>
        <v>23</v>
      </c>
      <c r="B101" s="266" t="s">
        <v>869</v>
      </c>
      <c r="C101" s="533" t="s">
        <v>952</v>
      </c>
      <c r="D101" s="1205">
        <v>848376.29000000027</v>
      </c>
      <c r="E101" s="1205">
        <v>217579.99000000008</v>
      </c>
      <c r="F101" s="1205">
        <v>461725.35</v>
      </c>
      <c r="G101" s="1205">
        <v>663685.84</v>
      </c>
      <c r="H101" s="1205">
        <v>368597.72</v>
      </c>
      <c r="I101" s="1205">
        <v>455174.99999999988</v>
      </c>
      <c r="J101" s="1205">
        <v>421695.08000000007</v>
      </c>
      <c r="K101" s="1205">
        <v>396004.04000000004</v>
      </c>
      <c r="L101" s="1205">
        <v>424056.30000000016</v>
      </c>
      <c r="M101" s="1205">
        <v>430595.04</v>
      </c>
      <c r="N101" s="1205">
        <v>383970.68</v>
      </c>
      <c r="O101" s="1205">
        <v>437640.62000000005</v>
      </c>
      <c r="P101" s="1205">
        <f t="shared" si="6"/>
        <v>5509101.9500000002</v>
      </c>
    </row>
    <row r="102" spans="1:16">
      <c r="A102" s="1024">
        <f t="shared" si="5"/>
        <v>24</v>
      </c>
      <c r="B102" s="266" t="s">
        <v>871</v>
      </c>
      <c r="C102" s="533" t="s">
        <v>953</v>
      </c>
      <c r="D102" s="1205">
        <v>37834.79</v>
      </c>
      <c r="E102" s="1205">
        <v>37836.46</v>
      </c>
      <c r="F102" s="1205">
        <v>37841.01</v>
      </c>
      <c r="G102" s="1205">
        <v>37834.79</v>
      </c>
      <c r="H102" s="1205">
        <v>37834.79</v>
      </c>
      <c r="I102" s="1205">
        <v>37834.79</v>
      </c>
      <c r="J102" s="1205">
        <v>37837.49</v>
      </c>
      <c r="K102" s="1205">
        <v>37837.42</v>
      </c>
      <c r="L102" s="1205">
        <v>37837.42</v>
      </c>
      <c r="M102" s="1205">
        <v>37837.449999999997</v>
      </c>
      <c r="N102" s="1205">
        <v>37837.29</v>
      </c>
      <c r="O102" s="1205">
        <v>37837.29</v>
      </c>
      <c r="P102" s="1205">
        <f t="shared" si="4"/>
        <v>454040.99</v>
      </c>
    </row>
    <row r="103" spans="1:16">
      <c r="A103" s="1024">
        <f t="shared" si="5"/>
        <v>25</v>
      </c>
      <c r="B103" s="266">
        <v>930.1</v>
      </c>
      <c r="C103" s="533" t="s">
        <v>1146</v>
      </c>
      <c r="D103" s="1205">
        <v>2549.7999999999997</v>
      </c>
      <c r="E103" s="1205">
        <v>1883.5300000000002</v>
      </c>
      <c r="F103" s="1205">
        <v>1630.79</v>
      </c>
      <c r="G103" s="1205">
        <v>7417.56</v>
      </c>
      <c r="H103" s="1205">
        <v>2053.1999999999998</v>
      </c>
      <c r="I103" s="1205">
        <v>3212.39</v>
      </c>
      <c r="J103" s="1205">
        <v>2085.5499999999997</v>
      </c>
      <c r="K103" s="1205">
        <v>2030.15</v>
      </c>
      <c r="L103" s="1205">
        <v>2031.08</v>
      </c>
      <c r="M103" s="1205">
        <v>2052.04</v>
      </c>
      <c r="N103" s="1205">
        <v>1930.78</v>
      </c>
      <c r="O103" s="1205">
        <v>1936.6000000000001</v>
      </c>
      <c r="P103" s="1205">
        <f t="shared" si="4"/>
        <v>30813.47</v>
      </c>
    </row>
    <row r="104" spans="1:16">
      <c r="A104" s="1024">
        <f t="shared" si="5"/>
        <v>26</v>
      </c>
      <c r="B104" s="266">
        <v>930.2</v>
      </c>
      <c r="C104" s="533" t="s">
        <v>1147</v>
      </c>
      <c r="D104" s="1205">
        <v>4882.3399999999983</v>
      </c>
      <c r="E104" s="1205">
        <v>17600.909999999996</v>
      </c>
      <c r="F104" s="1205">
        <v>4929.2700000000004</v>
      </c>
      <c r="G104" s="1205">
        <v>15611.359999999999</v>
      </c>
      <c r="H104" s="1205">
        <v>13856.8</v>
      </c>
      <c r="I104" s="1205">
        <v>6679.2900000000009</v>
      </c>
      <c r="J104" s="1205">
        <v>10554.13</v>
      </c>
      <c r="K104" s="1205">
        <v>10489.499999999998</v>
      </c>
      <c r="L104" s="1205">
        <v>10570.89</v>
      </c>
      <c r="M104" s="1205">
        <v>10857.14</v>
      </c>
      <c r="N104" s="1205">
        <v>10490.509999999998</v>
      </c>
      <c r="O104" s="1205">
        <v>10423.24</v>
      </c>
      <c r="P104" s="1205">
        <f>SUM(D104:O104)</f>
        <v>126945.37999999999</v>
      </c>
    </row>
    <row r="105" spans="1:16">
      <c r="A105" s="1024">
        <f t="shared" si="5"/>
        <v>27</v>
      </c>
      <c r="B105" s="266" t="s">
        <v>873</v>
      </c>
      <c r="C105" s="533" t="s">
        <v>954</v>
      </c>
      <c r="D105" s="1205">
        <v>51825.139999999985</v>
      </c>
      <c r="E105" s="1205">
        <v>53013.289999999964</v>
      </c>
      <c r="F105" s="1205">
        <v>54096</v>
      </c>
      <c r="G105" s="1205">
        <v>56862.039999999994</v>
      </c>
      <c r="H105" s="1205">
        <v>58804.819999999992</v>
      </c>
      <c r="I105" s="1205">
        <v>65961.62</v>
      </c>
      <c r="J105" s="1205">
        <v>59952.04</v>
      </c>
      <c r="K105" s="1205">
        <v>58468.840000000004</v>
      </c>
      <c r="L105" s="1205">
        <v>58485.31</v>
      </c>
      <c r="M105" s="1205">
        <v>57141.61</v>
      </c>
      <c r="N105" s="1205">
        <v>55770.400000000001</v>
      </c>
      <c r="O105" s="1205">
        <v>55918.460000000006</v>
      </c>
      <c r="P105" s="1205">
        <f t="shared" si="4"/>
        <v>686299.57</v>
      </c>
    </row>
    <row r="106" spans="1:16">
      <c r="A106" s="1024">
        <f t="shared" si="5"/>
        <v>28</v>
      </c>
      <c r="B106" s="266">
        <v>932</v>
      </c>
      <c r="C106" s="533" t="s">
        <v>1032</v>
      </c>
      <c r="D106" s="1205">
        <v>125972.39000000004</v>
      </c>
      <c r="E106" s="1205">
        <v>184888.89000000004</v>
      </c>
      <c r="F106" s="1205">
        <v>151078.62</v>
      </c>
      <c r="G106" s="1205">
        <v>200173.21</v>
      </c>
      <c r="H106" s="1205">
        <v>170839.66</v>
      </c>
      <c r="I106" s="1205">
        <v>114579.28</v>
      </c>
      <c r="J106" s="1205">
        <v>152697.75</v>
      </c>
      <c r="K106" s="1205">
        <v>148640.93</v>
      </c>
      <c r="L106" s="1205">
        <v>148708.75</v>
      </c>
      <c r="M106" s="1205">
        <v>150243.93</v>
      </c>
      <c r="N106" s="1205">
        <v>141363.89000000001</v>
      </c>
      <c r="O106" s="1205">
        <v>141789.91</v>
      </c>
      <c r="P106" s="1205">
        <f>SUM(D106:O106)</f>
        <v>1830977.2100000002</v>
      </c>
    </row>
    <row r="107" spans="1:16">
      <c r="A107" s="1024">
        <f t="shared" si="5"/>
        <v>29</v>
      </c>
      <c r="B107" s="266" t="s">
        <v>875</v>
      </c>
      <c r="C107" s="267" t="s">
        <v>1079</v>
      </c>
      <c r="D107" s="1205">
        <v>0</v>
      </c>
      <c r="E107" s="1205">
        <v>0</v>
      </c>
      <c r="F107" s="1205">
        <v>0</v>
      </c>
      <c r="G107" s="1205">
        <v>0</v>
      </c>
      <c r="H107" s="1205">
        <v>0</v>
      </c>
      <c r="I107" s="1205">
        <v>0</v>
      </c>
      <c r="J107" s="1205">
        <v>0</v>
      </c>
      <c r="K107" s="1205">
        <v>0</v>
      </c>
      <c r="L107" s="1205">
        <v>0</v>
      </c>
      <c r="M107" s="1205">
        <v>0</v>
      </c>
      <c r="N107" s="1205">
        <v>0</v>
      </c>
      <c r="O107" s="1205">
        <v>0</v>
      </c>
      <c r="P107" s="1205">
        <f>SUM(D107:O107)</f>
        <v>0</v>
      </c>
    </row>
    <row r="108" spans="1:16">
      <c r="A108" s="1024"/>
      <c r="B108" s="266"/>
      <c r="C108" s="267"/>
      <c r="D108" s="1205"/>
      <c r="E108" s="1205"/>
      <c r="F108" s="1205"/>
      <c r="G108" s="1205"/>
      <c r="H108" s="1205"/>
      <c r="I108" s="1205"/>
      <c r="J108" s="1205"/>
      <c r="K108" s="1205"/>
      <c r="L108" s="1205"/>
      <c r="M108" s="1205"/>
      <c r="N108" s="1205"/>
      <c r="O108" s="1205"/>
      <c r="P108" s="1205"/>
    </row>
    <row r="109" spans="1:16">
      <c r="A109" s="1024">
        <f>A107+1</f>
        <v>30</v>
      </c>
      <c r="B109" s="266"/>
      <c r="C109" s="267" t="s">
        <v>2878</v>
      </c>
      <c r="D109" s="1206">
        <f t="shared" ref="D109:P109" si="7">SUM(D15:D63)+SUM(D79:D107)</f>
        <v>1699494.9900000002</v>
      </c>
      <c r="E109" s="1206">
        <f t="shared" si="7"/>
        <v>-1175280.3999999985</v>
      </c>
      <c r="F109" s="1206">
        <f t="shared" si="7"/>
        <v>-6593764.8499999978</v>
      </c>
      <c r="G109" s="1206">
        <f t="shared" si="7"/>
        <v>-8501949.1400000006</v>
      </c>
      <c r="H109" s="1206">
        <f t="shared" si="7"/>
        <v>-11052350.460000003</v>
      </c>
      <c r="I109" s="1206">
        <f t="shared" si="7"/>
        <v>-7496326.0399999963</v>
      </c>
      <c r="J109" s="1206">
        <f t="shared" si="7"/>
        <v>-8160641.7971591335</v>
      </c>
      <c r="K109" s="1206">
        <f t="shared" si="7"/>
        <v>-4131722.9049356286</v>
      </c>
      <c r="L109" s="1206">
        <f t="shared" si="7"/>
        <v>79511.436714812648</v>
      </c>
      <c r="M109" s="1206">
        <f t="shared" si="7"/>
        <v>1759295.023004164</v>
      </c>
      <c r="N109" s="1206">
        <f t="shared" si="7"/>
        <v>2340888.6435589343</v>
      </c>
      <c r="O109" s="1206">
        <f t="shared" si="7"/>
        <v>1790337.6704022693</v>
      </c>
      <c r="P109" s="1206">
        <f t="shared" si="7"/>
        <v>-39442507.828414604</v>
      </c>
    </row>
    <row r="110" spans="1:16">
      <c r="A110" s="1024"/>
      <c r="B110" s="266"/>
      <c r="C110" s="267"/>
      <c r="D110" s="1205"/>
      <c r="E110" s="1205"/>
      <c r="F110" s="1205"/>
      <c r="G110" s="1205"/>
      <c r="H110" s="1205"/>
      <c r="I110" s="1205"/>
      <c r="J110" s="1205"/>
      <c r="K110" s="1205"/>
      <c r="L110" s="1205"/>
      <c r="M110" s="1205"/>
      <c r="N110" s="1205"/>
      <c r="O110" s="1205"/>
      <c r="P110" s="1205"/>
    </row>
    <row r="111" spans="1:16">
      <c r="A111" s="542">
        <f>A109+1</f>
        <v>31</v>
      </c>
      <c r="B111" s="266">
        <v>409</v>
      </c>
      <c r="C111" s="267" t="s">
        <v>2145</v>
      </c>
      <c r="D111" s="1205">
        <v>-559352</v>
      </c>
      <c r="E111" s="1205">
        <v>-220272</v>
      </c>
      <c r="F111" s="1205">
        <v>738804</v>
      </c>
      <c r="G111" s="1205">
        <v>-1610400</v>
      </c>
      <c r="H111" s="1205">
        <v>2079374.36</v>
      </c>
      <c r="I111" s="1205">
        <v>1012510.64</v>
      </c>
      <c r="J111" s="1205">
        <v>1136040.1844639257</v>
      </c>
      <c r="K111" s="1205">
        <v>245004.56242335128</v>
      </c>
      <c r="L111" s="1205">
        <v>-660207.26581213728</v>
      </c>
      <c r="M111" s="1205">
        <v>-1003576.5324390766</v>
      </c>
      <c r="N111" s="1205">
        <v>-1177504.7100363392</v>
      </c>
      <c r="O111" s="1205">
        <v>-1110581.8361369425</v>
      </c>
      <c r="P111" s="1205">
        <f>SUM(D111:O111)</f>
        <v>-1130160.5975372186</v>
      </c>
    </row>
    <row r="112" spans="1:16">
      <c r="A112" s="542">
        <f>+A111+1</f>
        <v>32</v>
      </c>
      <c r="B112" s="266">
        <v>409</v>
      </c>
      <c r="C112" s="267" t="s">
        <v>2146</v>
      </c>
      <c r="D112" s="1205">
        <v>-19215</v>
      </c>
      <c r="E112" s="1205">
        <v>235896</v>
      </c>
      <c r="F112" s="1205">
        <v>-28569</v>
      </c>
      <c r="G112" s="1205">
        <v>-1071732</v>
      </c>
      <c r="H112" s="1205">
        <v>-49527.96</v>
      </c>
      <c r="I112" s="1205">
        <v>26772.959999999999</v>
      </c>
      <c r="J112" s="1205">
        <v>254018.18169808688</v>
      </c>
      <c r="K112" s="1205">
        <v>31046.188981876126</v>
      </c>
      <c r="L112" s="1205">
        <v>-183795.44797778566</v>
      </c>
      <c r="M112" s="1205">
        <v>-266812.24798714824</v>
      </c>
      <c r="N112" s="1205">
        <v>-254777.94202415738</v>
      </c>
      <c r="O112" s="1205">
        <v>-28501.481459979339</v>
      </c>
      <c r="P112" s="1205">
        <f>SUM(D112:O112)</f>
        <v>-1355197.7487691077</v>
      </c>
    </row>
    <row r="113" spans="1:16">
      <c r="A113" s="542">
        <f>+A112+1</f>
        <v>33</v>
      </c>
      <c r="B113" s="266" t="s">
        <v>1522</v>
      </c>
      <c r="C113" s="267" t="s">
        <v>2147</v>
      </c>
      <c r="D113" s="1205">
        <v>-61407</v>
      </c>
      <c r="E113" s="1205">
        <v>145410</v>
      </c>
      <c r="F113" s="1205">
        <v>320657</v>
      </c>
      <c r="G113" s="1205">
        <v>3420365</v>
      </c>
      <c r="H113" s="1205">
        <v>-116608</v>
      </c>
      <c r="I113" s="1205">
        <v>267089</v>
      </c>
      <c r="J113" s="1205">
        <v>421260.73337733769</v>
      </c>
      <c r="K113" s="1205">
        <v>421260.73337733769</v>
      </c>
      <c r="L113" s="1205">
        <v>421260.73337733769</v>
      </c>
      <c r="M113" s="1205">
        <v>421260.73337733769</v>
      </c>
      <c r="N113" s="1205">
        <v>431576.56460680231</v>
      </c>
      <c r="O113" s="1205">
        <v>473780.79306725942</v>
      </c>
      <c r="P113" s="1205">
        <f>SUM(D113:O113)</f>
        <v>6565906.2911834121</v>
      </c>
    </row>
    <row r="114" spans="1:16">
      <c r="A114" s="542">
        <f>+A113+1</f>
        <v>34</v>
      </c>
      <c r="B114" s="266" t="s">
        <v>1522</v>
      </c>
      <c r="C114" s="267" t="s">
        <v>2148</v>
      </c>
      <c r="D114" s="1207">
        <v>-110241</v>
      </c>
      <c r="E114" s="1207">
        <v>-224255</v>
      </c>
      <c r="F114" s="1207">
        <v>605001</v>
      </c>
      <c r="G114" s="1207">
        <v>1131740</v>
      </c>
      <c r="H114" s="1207">
        <v>550848</v>
      </c>
      <c r="I114" s="1207">
        <v>303328</v>
      </c>
      <c r="J114" s="1207">
        <v>129089.3331139783</v>
      </c>
      <c r="K114" s="1207">
        <v>129089.3331139783</v>
      </c>
      <c r="L114" s="1207">
        <v>129089.3331139783</v>
      </c>
      <c r="M114" s="1207">
        <v>129089.3331139783</v>
      </c>
      <c r="N114" s="1207">
        <v>79966.327259385027</v>
      </c>
      <c r="O114" s="1207">
        <v>-121006.18921898201</v>
      </c>
      <c r="P114" s="1207">
        <f>SUM(D114:O114)</f>
        <v>2731738.4704963155</v>
      </c>
    </row>
    <row r="115" spans="1:16">
      <c r="A115" s="542">
        <f>+A114+1</f>
        <v>35</v>
      </c>
      <c r="B115" s="266"/>
      <c r="C115" s="540" t="s">
        <v>736</v>
      </c>
      <c r="D115" s="1205">
        <f t="shared" ref="D115:O115" si="8">SUM(D111:D114)</f>
        <v>-750215</v>
      </c>
      <c r="E115" s="1205">
        <f t="shared" si="8"/>
        <v>-63221</v>
      </c>
      <c r="F115" s="1205">
        <f t="shared" si="8"/>
        <v>1635893</v>
      </c>
      <c r="G115" s="1205">
        <f t="shared" si="8"/>
        <v>1869973</v>
      </c>
      <c r="H115" s="1205">
        <f t="shared" si="8"/>
        <v>2464086.4000000004</v>
      </c>
      <c r="I115" s="1205">
        <f t="shared" si="8"/>
        <v>1609700.6</v>
      </c>
      <c r="J115" s="1205">
        <f t="shared" si="8"/>
        <v>1940408.4326533286</v>
      </c>
      <c r="K115" s="1205">
        <f t="shared" si="8"/>
        <v>826400.81789654342</v>
      </c>
      <c r="L115" s="1205">
        <f t="shared" si="8"/>
        <v>-293652.64729860693</v>
      </c>
      <c r="M115" s="1205">
        <f t="shared" si="8"/>
        <v>-720038.71393490874</v>
      </c>
      <c r="N115" s="1205">
        <f t="shared" si="8"/>
        <v>-920739.76019430929</v>
      </c>
      <c r="O115" s="1205">
        <f t="shared" si="8"/>
        <v>-786308.71374864446</v>
      </c>
      <c r="P115" s="1205">
        <f>SUM(D115:O115)</f>
        <v>6812286.4153734026</v>
      </c>
    </row>
    <row r="116" spans="1:16">
      <c r="A116" s="542"/>
      <c r="B116" s="266"/>
      <c r="C116" s="539"/>
      <c r="D116" s="1205"/>
      <c r="E116" s="1205"/>
      <c r="F116" s="1205"/>
      <c r="G116" s="1205"/>
      <c r="H116" s="1205"/>
      <c r="I116" s="1205"/>
      <c r="J116" s="1205"/>
      <c r="K116" s="1205"/>
      <c r="L116" s="1205"/>
      <c r="M116" s="1205"/>
      <c r="N116" s="1205"/>
      <c r="O116" s="1205"/>
      <c r="P116" s="1205"/>
    </row>
    <row r="117" spans="1:16">
      <c r="A117" s="542">
        <f>+A115+1</f>
        <v>36</v>
      </c>
      <c r="B117" s="266"/>
      <c r="C117" s="539" t="s">
        <v>3068</v>
      </c>
      <c r="D117" s="1206">
        <f>+D109+D115</f>
        <v>949279.99000000022</v>
      </c>
      <c r="E117" s="1206">
        <f t="shared" ref="E117:O117" si="9">+E109+E115</f>
        <v>-1238501.3999999985</v>
      </c>
      <c r="F117" s="1206">
        <f t="shared" si="9"/>
        <v>-4957871.8499999978</v>
      </c>
      <c r="G117" s="1206">
        <f t="shared" si="9"/>
        <v>-6631976.1400000006</v>
      </c>
      <c r="H117" s="1206">
        <f t="shared" si="9"/>
        <v>-8588264.0600000024</v>
      </c>
      <c r="I117" s="1206">
        <f t="shared" si="9"/>
        <v>-5886625.4399999958</v>
      </c>
      <c r="J117" s="1206">
        <f t="shared" si="9"/>
        <v>-6220233.3645058051</v>
      </c>
      <c r="K117" s="1206">
        <f t="shared" si="9"/>
        <v>-3305322.0870390851</v>
      </c>
      <c r="L117" s="1206">
        <f t="shared" si="9"/>
        <v>-214141.21058379428</v>
      </c>
      <c r="M117" s="1206">
        <f t="shared" si="9"/>
        <v>1039256.3090692553</v>
      </c>
      <c r="N117" s="1206">
        <f t="shared" si="9"/>
        <v>1420148.883364625</v>
      </c>
      <c r="O117" s="1206">
        <f t="shared" si="9"/>
        <v>1004028.9566536249</v>
      </c>
      <c r="P117" s="1206">
        <f>SUM(D117:O117)</f>
        <v>-32630221.413041174</v>
      </c>
    </row>
    <row r="118" spans="1:16">
      <c r="A118" s="542"/>
      <c r="B118" s="266"/>
      <c r="C118" s="539"/>
      <c r="D118" s="1208"/>
      <c r="E118" s="1208"/>
      <c r="F118" s="1208"/>
      <c r="G118" s="1208"/>
      <c r="H118" s="1208"/>
      <c r="I118" s="1208"/>
      <c r="J118" s="1208"/>
      <c r="K118" s="1208"/>
      <c r="L118" s="1208"/>
      <c r="M118" s="1208"/>
      <c r="N118" s="1208"/>
      <c r="O118" s="1208"/>
      <c r="P118" s="1209"/>
    </row>
    <row r="119" spans="1:16">
      <c r="A119" s="542">
        <f>+A117+1</f>
        <v>37</v>
      </c>
      <c r="B119" s="266">
        <v>430</v>
      </c>
      <c r="C119" s="267" t="s">
        <v>1523</v>
      </c>
      <c r="D119" s="1205">
        <v>1000342.7200000001</v>
      </c>
      <c r="E119" s="1205">
        <v>1054189.49</v>
      </c>
      <c r="F119" s="1205">
        <v>1012823.4099999999</v>
      </c>
      <c r="G119" s="1205">
        <v>1085499.1700000002</v>
      </c>
      <c r="H119" s="1205">
        <v>1047692.7000000001</v>
      </c>
      <c r="I119" s="1205">
        <v>937710.76</v>
      </c>
      <c r="J119" s="1205">
        <v>999346.06599999999</v>
      </c>
      <c r="K119" s="1205">
        <v>967109.09600000002</v>
      </c>
      <c r="L119" s="1205">
        <v>999346.06599999999</v>
      </c>
      <c r="M119" s="1205">
        <v>967109.09600000002</v>
      </c>
      <c r="N119" s="1205">
        <v>1096804.97</v>
      </c>
      <c r="O119" s="1205">
        <v>1096804.97</v>
      </c>
      <c r="P119" s="1205">
        <f>SUM(D119:O119)</f>
        <v>12264778.514000002</v>
      </c>
    </row>
    <row r="120" spans="1:16">
      <c r="A120" s="542">
        <f t="shared" ref="A120:A128" si="10">A119+1</f>
        <v>38</v>
      </c>
      <c r="B120" s="266">
        <v>431</v>
      </c>
      <c r="C120" s="267" t="s">
        <v>1524</v>
      </c>
      <c r="D120" s="1205">
        <v>6892.4400000000005</v>
      </c>
      <c r="E120" s="1205">
        <v>7066.47</v>
      </c>
      <c r="F120" s="1205">
        <v>6886.13</v>
      </c>
      <c r="G120" s="1205">
        <v>7302.68</v>
      </c>
      <c r="H120" s="1205">
        <v>23172.03</v>
      </c>
      <c r="I120" s="1205">
        <v>8715.2000000000007</v>
      </c>
      <c r="J120" s="1205">
        <v>82232.280991763211</v>
      </c>
      <c r="K120" s="1205">
        <v>65551.776407952915</v>
      </c>
      <c r="L120" s="1205">
        <v>74110.338318760958</v>
      </c>
      <c r="M120" s="1205">
        <v>70029.315137989019</v>
      </c>
      <c r="N120" s="1205">
        <v>97527.271936963298</v>
      </c>
      <c r="O120" s="1205">
        <v>149972.37869367391</v>
      </c>
      <c r="P120" s="1205">
        <f>SUM(D120:O120)</f>
        <v>599458.31148710335</v>
      </c>
    </row>
    <row r="121" spans="1:16">
      <c r="A121" s="542">
        <f t="shared" si="10"/>
        <v>39</v>
      </c>
      <c r="B121" s="266">
        <v>432</v>
      </c>
      <c r="C121" s="267" t="s">
        <v>1525</v>
      </c>
      <c r="D121" s="1207">
        <v>-47564.43</v>
      </c>
      <c r="E121" s="1207">
        <v>-48660.47</v>
      </c>
      <c r="F121" s="1207">
        <v>-472744.98</v>
      </c>
      <c r="G121" s="1207">
        <v>200275.21</v>
      </c>
      <c r="H121" s="1207">
        <v>-57222.520000000004</v>
      </c>
      <c r="I121" s="1207">
        <v>-66373.02</v>
      </c>
      <c r="J121" s="1207">
        <v>-114974.3218812218</v>
      </c>
      <c r="K121" s="1207">
        <v>-88366.563380908236</v>
      </c>
      <c r="L121" s="1207">
        <v>-70401.799892732102</v>
      </c>
      <c r="M121" s="1207">
        <v>-65247.685056904447</v>
      </c>
      <c r="N121" s="1207">
        <v>-63542.691376482129</v>
      </c>
      <c r="O121" s="1207">
        <v>-68695.236794484503</v>
      </c>
      <c r="P121" s="1207">
        <f>SUM(D121:O121)</f>
        <v>-963518.50838273333</v>
      </c>
    </row>
    <row r="122" spans="1:16">
      <c r="A122" s="542">
        <f t="shared" si="10"/>
        <v>40</v>
      </c>
      <c r="B122" s="266"/>
      <c r="C122" s="267" t="s">
        <v>2876</v>
      </c>
      <c r="D122" s="1205">
        <f>SUM(D119:D121)</f>
        <v>959670.73</v>
      </c>
      <c r="E122" s="1205">
        <f t="shared" ref="E122:O122" si="11">SUM(E119:E121)</f>
        <v>1012595.49</v>
      </c>
      <c r="F122" s="1205">
        <f t="shared" si="11"/>
        <v>546964.55999999994</v>
      </c>
      <c r="G122" s="1205">
        <f t="shared" si="11"/>
        <v>1293077.06</v>
      </c>
      <c r="H122" s="1205">
        <f t="shared" si="11"/>
        <v>1013642.21</v>
      </c>
      <c r="I122" s="1205">
        <f t="shared" si="11"/>
        <v>880052.94</v>
      </c>
      <c r="J122" s="1205">
        <f t="shared" si="11"/>
        <v>966604.02511054138</v>
      </c>
      <c r="K122" s="1205">
        <f t="shared" si="11"/>
        <v>944294.30902704468</v>
      </c>
      <c r="L122" s="1205">
        <f t="shared" si="11"/>
        <v>1003054.6044260288</v>
      </c>
      <c r="M122" s="1205">
        <f t="shared" si="11"/>
        <v>971890.72608108458</v>
      </c>
      <c r="N122" s="1205">
        <f t="shared" si="11"/>
        <v>1130789.5505604811</v>
      </c>
      <c r="O122" s="1205">
        <f t="shared" si="11"/>
        <v>1178082.1118991894</v>
      </c>
      <c r="P122" s="1205">
        <f>SUM(D122:O122)</f>
        <v>11900718.317104371</v>
      </c>
    </row>
    <row r="123" spans="1:16">
      <c r="A123" s="542"/>
      <c r="B123" s="266"/>
      <c r="C123" s="267"/>
      <c r="D123" s="1209"/>
      <c r="E123" s="1209"/>
      <c r="F123" s="1209"/>
      <c r="G123" s="1209"/>
      <c r="H123" s="1209"/>
      <c r="I123" s="1209"/>
      <c r="J123" s="1209"/>
      <c r="K123" s="1209"/>
      <c r="L123" s="1209"/>
      <c r="M123" s="1209"/>
      <c r="N123" s="1209"/>
      <c r="O123" s="1209"/>
      <c r="P123" s="1209"/>
    </row>
    <row r="124" spans="1:16">
      <c r="A124" s="542">
        <f>+A122+1</f>
        <v>41</v>
      </c>
      <c r="B124" s="1288" t="s">
        <v>3121</v>
      </c>
      <c r="C124" s="1289" t="s">
        <v>1247</v>
      </c>
      <c r="D124" s="1209">
        <v>95790.77</v>
      </c>
      <c r="E124" s="1209">
        <v>148108.22999999998</v>
      </c>
      <c r="F124" s="1209">
        <v>142569</v>
      </c>
      <c r="G124" s="1209">
        <v>218129</v>
      </c>
      <c r="H124" s="1209">
        <v>240557</v>
      </c>
      <c r="I124" s="1209">
        <v>158766</v>
      </c>
      <c r="J124" s="1209">
        <v>0</v>
      </c>
      <c r="K124" s="1209">
        <v>0</v>
      </c>
      <c r="L124" s="1209">
        <v>0</v>
      </c>
      <c r="M124" s="1209">
        <v>0</v>
      </c>
      <c r="N124" s="1209">
        <v>0</v>
      </c>
      <c r="O124" s="1209">
        <v>0</v>
      </c>
      <c r="P124" s="1205">
        <f>SUM(D124:O124)</f>
        <v>1003920</v>
      </c>
    </row>
    <row r="125" spans="1:16">
      <c r="A125" s="542">
        <f>+A124+1</f>
        <v>42</v>
      </c>
      <c r="B125" s="266" t="s">
        <v>1526</v>
      </c>
      <c r="C125" s="267" t="s">
        <v>1527</v>
      </c>
      <c r="D125" s="1205">
        <v>-376069.48000000004</v>
      </c>
      <c r="E125" s="1205">
        <v>-575021.15000000014</v>
      </c>
      <c r="F125" s="1205">
        <v>-562397.9</v>
      </c>
      <c r="G125" s="1205">
        <v>-896082.61</v>
      </c>
      <c r="H125" s="1205">
        <v>-954329.14</v>
      </c>
      <c r="I125" s="1205">
        <v>-630645.29999999993</v>
      </c>
      <c r="J125" s="1205">
        <v>-465527.42343395308</v>
      </c>
      <c r="K125" s="1205">
        <v>-28307.417290415084</v>
      </c>
      <c r="L125" s="1205">
        <v>-12009.103019580825</v>
      </c>
      <c r="M125" s="1205">
        <v>-3316.7752928867717</v>
      </c>
      <c r="N125" s="1205">
        <v>-3035.5523735596771</v>
      </c>
      <c r="O125" s="1205">
        <v>-2833.0948377909144</v>
      </c>
      <c r="P125" s="1205">
        <f>SUM(D125:O125)</f>
        <v>-4509574.9462481858</v>
      </c>
    </row>
    <row r="126" spans="1:16">
      <c r="A126" s="542">
        <f>A125+1</f>
        <v>43</v>
      </c>
      <c r="B126" s="266">
        <v>419</v>
      </c>
      <c r="C126" s="267" t="s">
        <v>2841</v>
      </c>
      <c r="D126" s="1205">
        <v>-27901.920000000002</v>
      </c>
      <c r="E126" s="1205">
        <v>-28499.08</v>
      </c>
      <c r="F126" s="1205">
        <v>206202.05000000002</v>
      </c>
      <c r="G126" s="1205">
        <v>-110089.8</v>
      </c>
      <c r="H126" s="1205">
        <v>-10856.66</v>
      </c>
      <c r="I126" s="1205">
        <v>-12804.4</v>
      </c>
      <c r="J126" s="1205">
        <v>-67454.938980364503</v>
      </c>
      <c r="K126" s="1205">
        <v>-51844.281777296739</v>
      </c>
      <c r="L126" s="1205">
        <v>-41304.432486917758</v>
      </c>
      <c r="M126" s="1205">
        <v>-38280.535532711583</v>
      </c>
      <c r="N126" s="1205">
        <v>-37280.223090829037</v>
      </c>
      <c r="O126" s="1205">
        <v>-40303.199274363047</v>
      </c>
      <c r="P126" s="1205">
        <f>SUM(D126:O126)</f>
        <v>-260417.42114248266</v>
      </c>
    </row>
    <row r="127" spans="1:16">
      <c r="A127" s="542">
        <f>A126+1</f>
        <v>44</v>
      </c>
      <c r="B127" s="266" t="s">
        <v>1528</v>
      </c>
      <c r="C127" s="267" t="s">
        <v>1529</v>
      </c>
      <c r="D127" s="1207">
        <v>-13035.31</v>
      </c>
      <c r="E127" s="1207">
        <v>54045</v>
      </c>
      <c r="F127" s="1207">
        <v>22164.800000000003</v>
      </c>
      <c r="G127" s="1207">
        <v>35127.86</v>
      </c>
      <c r="H127" s="1207">
        <v>-3109.69</v>
      </c>
      <c r="I127" s="1207">
        <v>38987.279999999999</v>
      </c>
      <c r="J127" s="1207">
        <v>2144.17</v>
      </c>
      <c r="K127" s="1207">
        <v>2144.17</v>
      </c>
      <c r="L127" s="1207">
        <v>2144.17</v>
      </c>
      <c r="M127" s="1207">
        <v>2144.17</v>
      </c>
      <c r="N127" s="1207">
        <v>2144.17</v>
      </c>
      <c r="O127" s="1207">
        <v>2144.17</v>
      </c>
      <c r="P127" s="1207">
        <f>SUM(D127:O127)</f>
        <v>147044.96000000008</v>
      </c>
    </row>
    <row r="128" spans="1:16">
      <c r="A128" s="542">
        <f t="shared" si="10"/>
        <v>45</v>
      </c>
      <c r="B128" s="266"/>
      <c r="C128" s="267" t="s">
        <v>2877</v>
      </c>
      <c r="D128" s="1205">
        <f>SUM(D124:D127)</f>
        <v>-321215.94</v>
      </c>
      <c r="E128" s="1205">
        <f t="shared" ref="E128:O128" si="12">SUM(E124:E127)</f>
        <v>-401367.00000000017</v>
      </c>
      <c r="F128" s="1205">
        <f t="shared" si="12"/>
        <v>-191462.05</v>
      </c>
      <c r="G128" s="1205">
        <f t="shared" si="12"/>
        <v>-752915.55</v>
      </c>
      <c r="H128" s="1205">
        <f t="shared" si="12"/>
        <v>-727738.49</v>
      </c>
      <c r="I128" s="1205">
        <f t="shared" si="12"/>
        <v>-445696.41999999993</v>
      </c>
      <c r="J128" s="1205">
        <f t="shared" si="12"/>
        <v>-530838.19241431751</v>
      </c>
      <c r="K128" s="1205">
        <f t="shared" si="12"/>
        <v>-78007.529067711832</v>
      </c>
      <c r="L128" s="1205">
        <f t="shared" si="12"/>
        <v>-51169.365506498587</v>
      </c>
      <c r="M128" s="1205">
        <f t="shared" si="12"/>
        <v>-39453.140825598355</v>
      </c>
      <c r="N128" s="1205">
        <f t="shared" si="12"/>
        <v>-38171.605464388718</v>
      </c>
      <c r="O128" s="1205">
        <f t="shared" si="12"/>
        <v>-40992.124112153964</v>
      </c>
      <c r="P128" s="1205">
        <f>SUM(D128:O128)</f>
        <v>-3619027.407390669</v>
      </c>
    </row>
    <row r="129" spans="1:16">
      <c r="A129" s="542"/>
      <c r="B129" s="266"/>
      <c r="C129" s="267"/>
      <c r="D129" s="1209"/>
      <c r="E129" s="1209"/>
      <c r="F129" s="1209"/>
      <c r="G129" s="1209"/>
      <c r="H129" s="1209"/>
      <c r="I129" s="1209"/>
      <c r="J129" s="1209"/>
      <c r="K129" s="1209"/>
      <c r="L129" s="1209"/>
      <c r="M129" s="1209"/>
      <c r="N129" s="1209"/>
      <c r="O129" s="1209"/>
      <c r="P129" s="1209"/>
    </row>
    <row r="130" spans="1:16">
      <c r="A130" s="542">
        <f>+A128+1</f>
        <v>46</v>
      </c>
      <c r="B130" s="266"/>
      <c r="C130" s="539" t="s">
        <v>3069</v>
      </c>
      <c r="D130" s="1206">
        <f>+D109+D122+D128+D115</f>
        <v>1587734.7800000003</v>
      </c>
      <c r="E130" s="1206">
        <f t="shared" ref="E130:O130" si="13">+E109+E122+E128+E115</f>
        <v>-627272.90999999875</v>
      </c>
      <c r="F130" s="1206">
        <f t="shared" si="13"/>
        <v>-4602369.339999998</v>
      </c>
      <c r="G130" s="1206">
        <f t="shared" si="13"/>
        <v>-6091814.6299999999</v>
      </c>
      <c r="H130" s="1206">
        <f t="shared" si="13"/>
        <v>-8302360.3400000036</v>
      </c>
      <c r="I130" s="1206">
        <f t="shared" si="13"/>
        <v>-5452268.9199999962</v>
      </c>
      <c r="J130" s="1206">
        <f t="shared" si="13"/>
        <v>-5784467.5318095814</v>
      </c>
      <c r="K130" s="1206">
        <f t="shared" si="13"/>
        <v>-2439035.3070797524</v>
      </c>
      <c r="L130" s="1206">
        <f t="shared" si="13"/>
        <v>737744.02833573578</v>
      </c>
      <c r="M130" s="1206">
        <f t="shared" si="13"/>
        <v>1971693.8943247413</v>
      </c>
      <c r="N130" s="1206">
        <f t="shared" si="13"/>
        <v>2512766.8284607176</v>
      </c>
      <c r="O130" s="1206">
        <f t="shared" si="13"/>
        <v>2141118.9444406601</v>
      </c>
      <c r="P130" s="1206">
        <f>SUM(D130:O130)</f>
        <v>-24348530.50332747</v>
      </c>
    </row>
  </sheetData>
  <mergeCells count="8">
    <mergeCell ref="A67:P67"/>
    <mergeCell ref="A68:P68"/>
    <mergeCell ref="A1:P1"/>
    <mergeCell ref="A2:P2"/>
    <mergeCell ref="A3:P3"/>
    <mergeCell ref="A4:P4"/>
    <mergeCell ref="A65:P65"/>
    <mergeCell ref="A66:P66"/>
  </mergeCells>
  <printOptions horizontalCentered="1"/>
  <pageMargins left="0.5" right="0.5" top="0.75" bottom="0.5" header="0.3" footer="0.3"/>
  <pageSetup scale="61" fitToHeight="2" orientation="landscape" r:id="rId1"/>
  <rowBreaks count="1" manualBreakCount="1">
    <brk id="64"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F134"/>
  <sheetViews>
    <sheetView topLeftCell="A96" zoomScaleNormal="100" zoomScaleSheetLayoutView="100" workbookViewId="0">
      <selection activeCell="C126" sqref="C126"/>
    </sheetView>
  </sheetViews>
  <sheetFormatPr defaultColWidth="9.33203125" defaultRowHeight="12"/>
  <cols>
    <col min="1" max="1" width="4.1640625" style="285" customWidth="1"/>
    <col min="2" max="2" width="14" style="285" bestFit="1" customWidth="1"/>
    <col min="3" max="3" width="63.1640625" style="285" customWidth="1"/>
    <col min="4" max="4" width="14.33203125" style="285" customWidth="1"/>
    <col min="5" max="6" width="13.5" style="285" bestFit="1" customWidth="1"/>
    <col min="7" max="7" width="12.6640625" style="285" customWidth="1"/>
    <col min="8" max="9" width="12.5" style="285" customWidth="1"/>
    <col min="10" max="11" width="12.6640625" style="285" customWidth="1"/>
    <col min="12" max="12" width="12.6640625" style="285" bestFit="1" customWidth="1"/>
    <col min="13" max="14" width="12.6640625" style="285" customWidth="1"/>
    <col min="15" max="15" width="13.5" style="285" bestFit="1" customWidth="1"/>
    <col min="16" max="16" width="20.6640625" style="285" customWidth="1"/>
    <col min="17" max="27" width="11.6640625" style="285" bestFit="1" customWidth="1"/>
    <col min="28" max="28" width="12.6640625" style="285" bestFit="1" customWidth="1"/>
    <col min="29" max="16384" width="9.33203125" style="285"/>
  </cols>
  <sheetData>
    <row r="1" spans="1:32">
      <c r="A1" s="1326" t="str">
        <f>'General Headers Index'!B4</f>
        <v>COLUMBIA GAS OF KENTUCKY, INC.</v>
      </c>
      <c r="B1" s="1326"/>
      <c r="C1" s="1327"/>
      <c r="D1" s="1327"/>
      <c r="E1" s="1327"/>
      <c r="F1" s="1327"/>
      <c r="G1" s="1327"/>
      <c r="H1" s="1327"/>
      <c r="I1" s="1327"/>
      <c r="J1" s="1327"/>
      <c r="K1" s="1327"/>
      <c r="L1" s="1327"/>
      <c r="M1" s="1327"/>
      <c r="N1" s="1327"/>
      <c r="O1" s="1327"/>
      <c r="P1" s="1327"/>
    </row>
    <row r="2" spans="1:32">
      <c r="A2" s="1326" t="str">
        <f>'General Headers Index'!B6</f>
        <v>CASE NO. 2024 - 00092</v>
      </c>
      <c r="B2" s="1326"/>
      <c r="C2" s="1327"/>
      <c r="D2" s="1327"/>
      <c r="E2" s="1327"/>
      <c r="F2" s="1327"/>
      <c r="G2" s="1327"/>
      <c r="H2" s="1327"/>
      <c r="I2" s="1327"/>
      <c r="J2" s="1327"/>
      <c r="K2" s="1327"/>
      <c r="L2" s="1327"/>
      <c r="M2" s="1327"/>
      <c r="N2" s="1327"/>
      <c r="O2" s="1327"/>
      <c r="P2" s="1327"/>
    </row>
    <row r="3" spans="1:32">
      <c r="A3" s="1326" t="str">
        <f>'Index C'!$C$26</f>
        <v>FORECASTED PERIOD COMPARISON OF TOTAL COMPANY ACCOUNT ACTIVITY</v>
      </c>
      <c r="B3" s="1326"/>
      <c r="C3" s="1327"/>
      <c r="D3" s="1327"/>
      <c r="E3" s="1327"/>
      <c r="F3" s="1327"/>
      <c r="G3" s="1327"/>
      <c r="H3" s="1327"/>
      <c r="I3" s="1327"/>
      <c r="J3" s="1327"/>
      <c r="K3" s="1327"/>
      <c r="L3" s="1327"/>
      <c r="M3" s="1327"/>
      <c r="N3" s="1327"/>
      <c r="O3" s="1327"/>
      <c r="P3" s="1327"/>
    </row>
    <row r="4" spans="1:32">
      <c r="A4" s="1326" t="str">
        <f>'General Headers Index'!B15</f>
        <v>FOR THE TWELVE MONTHS ENDED DECEMBER 31, 2025</v>
      </c>
      <c r="B4" s="1326"/>
      <c r="C4" s="1327"/>
      <c r="D4" s="1327"/>
      <c r="E4" s="1327"/>
      <c r="F4" s="1327"/>
      <c r="G4" s="1327"/>
      <c r="H4" s="1327"/>
      <c r="I4" s="1327"/>
      <c r="J4" s="1327"/>
      <c r="K4" s="1327"/>
      <c r="L4" s="1327"/>
      <c r="M4" s="1327"/>
      <c r="N4" s="1327"/>
      <c r="O4" s="1327"/>
      <c r="P4" s="1327"/>
    </row>
    <row r="5" spans="1:32">
      <c r="A5" s="529"/>
      <c r="B5" s="529"/>
      <c r="C5" s="529"/>
      <c r="D5" s="530"/>
      <c r="E5" s="529"/>
      <c r="F5" s="529"/>
      <c r="G5" s="529"/>
      <c r="H5" s="531"/>
      <c r="I5" s="529"/>
      <c r="J5" s="529"/>
      <c r="K5" s="529"/>
      <c r="L5" s="529"/>
      <c r="M5" s="529"/>
      <c r="N5" s="529"/>
      <c r="O5" s="529"/>
      <c r="P5" s="529"/>
    </row>
    <row r="6" spans="1:32" ht="12" customHeight="1">
      <c r="A6" s="532" t="s">
        <v>2789</v>
      </c>
      <c r="B6" s="532"/>
      <c r="C6" s="529"/>
      <c r="D6" s="529"/>
      <c r="E6" s="529"/>
      <c r="F6" s="529"/>
      <c r="G6" s="529"/>
      <c r="H6" s="529"/>
      <c r="I6" s="529"/>
      <c r="J6" s="529"/>
      <c r="K6" s="529"/>
      <c r="L6" s="529"/>
      <c r="M6" s="529"/>
      <c r="N6" s="533"/>
      <c r="O6" s="529"/>
      <c r="P6" s="534" t="s">
        <v>2964</v>
      </c>
      <c r="Q6" s="1026"/>
    </row>
    <row r="7" spans="1:32">
      <c r="A7" s="532" t="str">
        <f>'General Headers Index'!B37</f>
        <v>TYPE OF FILING:___X___ORIGINAL______UPDATED</v>
      </c>
      <c r="B7" s="532"/>
      <c r="C7" s="529"/>
      <c r="D7" s="529"/>
      <c r="E7" s="529"/>
      <c r="F7" s="529"/>
      <c r="G7" s="529"/>
      <c r="H7" s="529"/>
      <c r="I7" s="529"/>
      <c r="J7" s="529"/>
      <c r="K7" s="529"/>
      <c r="L7" s="529"/>
      <c r="M7" s="529"/>
      <c r="N7" s="533"/>
      <c r="O7" s="529"/>
      <c r="P7" s="534" t="s">
        <v>883</v>
      </c>
      <c r="Q7" s="1026"/>
    </row>
    <row r="8" spans="1:32">
      <c r="A8" s="532" t="s">
        <v>575</v>
      </c>
      <c r="B8" s="532"/>
      <c r="C8" s="529"/>
      <c r="D8" s="529"/>
      <c r="E8" s="529"/>
      <c r="F8" s="529"/>
      <c r="G8" s="529"/>
      <c r="H8" s="529"/>
      <c r="I8" s="529"/>
      <c r="J8" s="529"/>
      <c r="K8" s="529"/>
      <c r="L8" s="529"/>
      <c r="M8" s="529"/>
      <c r="N8" s="533"/>
      <c r="O8" s="529"/>
      <c r="P8" s="859" t="str">
        <f>"WITNESS: "&amp;'General Headers Index'!$B$45</f>
        <v>WITNESS: SHAEFFER</v>
      </c>
      <c r="Q8" s="1026"/>
    </row>
    <row r="9" spans="1:32">
      <c r="A9" s="532"/>
      <c r="B9" s="532"/>
      <c r="C9" s="856"/>
      <c r="D9" s="856"/>
      <c r="E9" s="856"/>
      <c r="F9" s="856"/>
      <c r="G9" s="856"/>
      <c r="H9" s="856"/>
      <c r="I9" s="856"/>
      <c r="J9" s="856"/>
      <c r="K9" s="856"/>
      <c r="L9" s="856"/>
      <c r="M9" s="856"/>
      <c r="N9" s="857"/>
      <c r="O9" s="856"/>
      <c r="P9" s="860"/>
      <c r="Q9" s="1026"/>
    </row>
    <row r="10" spans="1:32">
      <c r="A10" s="535" t="s">
        <v>641</v>
      </c>
      <c r="B10" s="536"/>
      <c r="C10" s="530"/>
      <c r="D10" s="266" t="s">
        <v>955</v>
      </c>
      <c r="E10" s="266" t="s">
        <v>955</v>
      </c>
      <c r="F10" s="266" t="s">
        <v>955</v>
      </c>
      <c r="G10" s="266" t="s">
        <v>955</v>
      </c>
      <c r="H10" s="266" t="s">
        <v>955</v>
      </c>
      <c r="I10" s="266" t="s">
        <v>955</v>
      </c>
      <c r="J10" s="266" t="s">
        <v>955</v>
      </c>
      <c r="K10" s="266" t="s">
        <v>955</v>
      </c>
      <c r="L10" s="266" t="s">
        <v>955</v>
      </c>
      <c r="M10" s="266" t="s">
        <v>955</v>
      </c>
      <c r="N10" s="266" t="s">
        <v>955</v>
      </c>
      <c r="O10" s="266" t="s">
        <v>955</v>
      </c>
      <c r="P10" s="529"/>
      <c r="Q10" s="1026"/>
    </row>
    <row r="11" spans="1:32">
      <c r="A11" s="1020" t="s">
        <v>642</v>
      </c>
      <c r="B11" s="1020" t="s">
        <v>884</v>
      </c>
      <c r="C11" s="1020" t="s">
        <v>885</v>
      </c>
      <c r="D11" s="1021" t="s">
        <v>890</v>
      </c>
      <c r="E11" s="1021" t="s">
        <v>891</v>
      </c>
      <c r="F11" s="1021" t="s">
        <v>892</v>
      </c>
      <c r="G11" s="1021" t="s">
        <v>893</v>
      </c>
      <c r="H11" s="1021" t="s">
        <v>894</v>
      </c>
      <c r="I11" s="1021" t="s">
        <v>895</v>
      </c>
      <c r="J11" s="1021" t="s">
        <v>896</v>
      </c>
      <c r="K11" s="1021" t="s">
        <v>956</v>
      </c>
      <c r="L11" s="1021" t="s">
        <v>886</v>
      </c>
      <c r="M11" s="1021" t="s">
        <v>887</v>
      </c>
      <c r="N11" s="1021" t="s">
        <v>888</v>
      </c>
      <c r="O11" s="1027" t="s">
        <v>889</v>
      </c>
      <c r="P11" s="1023" t="s">
        <v>349</v>
      </c>
      <c r="Q11" s="1026"/>
    </row>
    <row r="12" spans="1:32" ht="12.75">
      <c r="A12" s="266"/>
      <c r="B12" s="266"/>
      <c r="C12" s="266"/>
      <c r="D12" s="300" t="s">
        <v>532</v>
      </c>
      <c r="E12" s="300" t="s">
        <v>541</v>
      </c>
      <c r="F12" s="300" t="s">
        <v>542</v>
      </c>
      <c r="G12" s="300" t="s">
        <v>668</v>
      </c>
      <c r="H12" s="300" t="s">
        <v>669</v>
      </c>
      <c r="I12" s="300" t="s">
        <v>670</v>
      </c>
      <c r="J12" s="300" t="s">
        <v>984</v>
      </c>
      <c r="K12" s="300" t="s">
        <v>985</v>
      </c>
      <c r="L12" s="300" t="s">
        <v>986</v>
      </c>
      <c r="M12" s="300" t="s">
        <v>987</v>
      </c>
      <c r="N12" s="300" t="s">
        <v>988</v>
      </c>
      <c r="O12" s="300" t="s">
        <v>989</v>
      </c>
      <c r="P12" s="334" t="str">
        <f>"(13=1 through 12)"</f>
        <v>(13=1 through 12)</v>
      </c>
      <c r="Q12" s="1026"/>
    </row>
    <row r="13" spans="1:32">
      <c r="A13" s="537"/>
      <c r="B13" s="529"/>
      <c r="C13" s="529"/>
      <c r="D13" s="537" t="s">
        <v>320</v>
      </c>
      <c r="E13" s="537" t="s">
        <v>320</v>
      </c>
      <c r="F13" s="537" t="s">
        <v>320</v>
      </c>
      <c r="G13" s="537" t="s">
        <v>320</v>
      </c>
      <c r="H13" s="537" t="s">
        <v>320</v>
      </c>
      <c r="I13" s="537" t="s">
        <v>320</v>
      </c>
      <c r="J13" s="537" t="s">
        <v>320</v>
      </c>
      <c r="K13" s="537" t="s">
        <v>320</v>
      </c>
      <c r="L13" s="537" t="s">
        <v>320</v>
      </c>
      <c r="M13" s="537" t="s">
        <v>320</v>
      </c>
      <c r="N13" s="537" t="s">
        <v>320</v>
      </c>
      <c r="O13" s="537" t="s">
        <v>320</v>
      </c>
      <c r="P13" s="537" t="s">
        <v>320</v>
      </c>
      <c r="Q13" s="1026"/>
    </row>
    <row r="14" spans="1:32">
      <c r="A14" s="537"/>
      <c r="B14" s="529"/>
      <c r="C14" s="529"/>
      <c r="D14" s="537"/>
      <c r="E14" s="537"/>
      <c r="F14" s="537"/>
      <c r="G14" s="537"/>
      <c r="H14" s="537"/>
      <c r="I14" s="537"/>
      <c r="J14" s="537"/>
      <c r="K14" s="537"/>
      <c r="L14" s="537"/>
      <c r="M14" s="537"/>
      <c r="N14" s="537"/>
      <c r="O14" s="537"/>
      <c r="P14" s="537"/>
      <c r="Q14" s="1026"/>
    </row>
    <row r="15" spans="1:32" ht="12.75">
      <c r="A15" s="1024">
        <v>1</v>
      </c>
      <c r="B15" s="266" t="s">
        <v>305</v>
      </c>
      <c r="C15" s="533" t="s">
        <v>306</v>
      </c>
      <c r="D15" s="1205">
        <v>1970955.8000000005</v>
      </c>
      <c r="E15" s="1205">
        <v>1975781.6800000002</v>
      </c>
      <c r="F15" s="1205">
        <v>1982865.0400000003</v>
      </c>
      <c r="G15" s="1205">
        <v>2019356.7900000003</v>
      </c>
      <c r="H15" s="1205">
        <v>2037704.01</v>
      </c>
      <c r="I15" s="1205">
        <v>2044773.98</v>
      </c>
      <c r="J15" s="1205">
        <v>2051285.0100000002</v>
      </c>
      <c r="K15" s="1205">
        <v>2057885.5100000005</v>
      </c>
      <c r="L15" s="1205">
        <v>2065787.6300000004</v>
      </c>
      <c r="M15" s="1205">
        <v>2075041.8400000003</v>
      </c>
      <c r="N15" s="1205">
        <v>2085174.0900000003</v>
      </c>
      <c r="O15" s="1205">
        <v>2105554.6500000004</v>
      </c>
      <c r="P15" s="1205">
        <f>SUM(D15:O15)</f>
        <v>24472166.030000001</v>
      </c>
      <c r="Q15" s="1026"/>
      <c r="AE15" s="220"/>
      <c r="AF15" s="220"/>
    </row>
    <row r="16" spans="1:32" ht="12.75">
      <c r="A16" s="1024">
        <f>A15+1</f>
        <v>2</v>
      </c>
      <c r="B16" s="266">
        <v>406</v>
      </c>
      <c r="C16" s="533" t="s">
        <v>897</v>
      </c>
      <c r="D16" s="1205">
        <v>0</v>
      </c>
      <c r="E16" s="1205">
        <v>0</v>
      </c>
      <c r="F16" s="1205">
        <v>0</v>
      </c>
      <c r="G16" s="1205">
        <v>0</v>
      </c>
      <c r="H16" s="1205">
        <v>0</v>
      </c>
      <c r="I16" s="1205">
        <v>0</v>
      </c>
      <c r="J16" s="1205">
        <v>0</v>
      </c>
      <c r="K16" s="1205">
        <v>0</v>
      </c>
      <c r="L16" s="1205">
        <v>0</v>
      </c>
      <c r="M16" s="1205">
        <v>0</v>
      </c>
      <c r="N16" s="1205">
        <v>0</v>
      </c>
      <c r="O16" s="1205">
        <v>0</v>
      </c>
      <c r="P16" s="1205">
        <f t="shared" ref="P16:P67" si="0">SUM(D16:O16)</f>
        <v>0</v>
      </c>
      <c r="Q16" s="1026"/>
      <c r="AE16" s="220"/>
      <c r="AF16" s="220"/>
    </row>
    <row r="17" spans="1:32" ht="12.75">
      <c r="A17" s="1024">
        <f t="shared" ref="A17:A67" si="1">A16+1</f>
        <v>3</v>
      </c>
      <c r="B17" s="537">
        <v>408</v>
      </c>
      <c r="C17" s="532" t="s">
        <v>898</v>
      </c>
      <c r="D17" s="1205">
        <v>781000</v>
      </c>
      <c r="E17" s="1205">
        <v>781000</v>
      </c>
      <c r="F17" s="1205">
        <v>781000</v>
      </c>
      <c r="G17" s="1205">
        <v>781000</v>
      </c>
      <c r="H17" s="1205">
        <v>781000</v>
      </c>
      <c r="I17" s="1205">
        <v>781000</v>
      </c>
      <c r="J17" s="1205">
        <v>781000</v>
      </c>
      <c r="K17" s="1205">
        <v>781000</v>
      </c>
      <c r="L17" s="1205">
        <v>781000</v>
      </c>
      <c r="M17" s="1205">
        <v>781000</v>
      </c>
      <c r="N17" s="1205">
        <v>781000</v>
      </c>
      <c r="O17" s="1205">
        <v>781000</v>
      </c>
      <c r="P17" s="1205">
        <f t="shared" si="0"/>
        <v>9372000</v>
      </c>
      <c r="Q17" s="1026"/>
      <c r="AE17" s="220"/>
      <c r="AF17" s="220"/>
    </row>
    <row r="18" spans="1:32" ht="12.75">
      <c r="A18" s="1024">
        <f t="shared" si="1"/>
        <v>4</v>
      </c>
      <c r="B18" s="537">
        <v>408</v>
      </c>
      <c r="C18" s="532" t="s">
        <v>899</v>
      </c>
      <c r="D18" s="1205">
        <v>73599.002613341072</v>
      </c>
      <c r="E18" s="1205">
        <v>73599.002613341072</v>
      </c>
      <c r="F18" s="1205">
        <v>75806.972691741277</v>
      </c>
      <c r="G18" s="1205">
        <v>73993.739211928885</v>
      </c>
      <c r="H18" s="1205">
        <v>73993.739211928885</v>
      </c>
      <c r="I18" s="1205">
        <v>73993.739211928885</v>
      </c>
      <c r="J18" s="1205">
        <v>76612.85423832458</v>
      </c>
      <c r="K18" s="1205">
        <v>76612.85423832458</v>
      </c>
      <c r="L18" s="1205">
        <v>76612.85423832458</v>
      </c>
      <c r="M18" s="1205">
        <v>75202.561531803818</v>
      </c>
      <c r="N18" s="1205">
        <v>75202.561531803818</v>
      </c>
      <c r="O18" s="1205">
        <v>75202.561531803818</v>
      </c>
      <c r="P18" s="1205">
        <f t="shared" si="0"/>
        <v>900432.44286459521</v>
      </c>
      <c r="Q18" s="1026"/>
      <c r="AE18" s="220"/>
      <c r="AF18" s="220"/>
    </row>
    <row r="19" spans="1:32" ht="12.75">
      <c r="A19" s="1024">
        <f t="shared" si="1"/>
        <v>5</v>
      </c>
      <c r="B19" s="537">
        <v>408</v>
      </c>
      <c r="C19" s="532" t="s">
        <v>900</v>
      </c>
      <c r="D19" s="1205">
        <v>18800</v>
      </c>
      <c r="E19" s="1205">
        <v>18800</v>
      </c>
      <c r="F19" s="1205">
        <v>18800</v>
      </c>
      <c r="G19" s="1205">
        <v>18800</v>
      </c>
      <c r="H19" s="1205">
        <v>18800</v>
      </c>
      <c r="I19" s="1205">
        <v>18800</v>
      </c>
      <c r="J19" s="1205">
        <v>18800</v>
      </c>
      <c r="K19" s="1205">
        <v>18800</v>
      </c>
      <c r="L19" s="1205">
        <v>18800</v>
      </c>
      <c r="M19" s="1205">
        <v>18800</v>
      </c>
      <c r="N19" s="1205">
        <v>18800</v>
      </c>
      <c r="O19" s="1205">
        <v>18800</v>
      </c>
      <c r="P19" s="1205">
        <f t="shared" si="0"/>
        <v>225600</v>
      </c>
      <c r="Q19" s="1026"/>
      <c r="AE19" s="220"/>
      <c r="AF19" s="220"/>
    </row>
    <row r="20" spans="1:32">
      <c r="A20" s="1024">
        <f t="shared" si="1"/>
        <v>6</v>
      </c>
      <c r="B20" s="537">
        <v>480</v>
      </c>
      <c r="C20" s="532" t="s">
        <v>1487</v>
      </c>
      <c r="D20" s="1205">
        <v>-4456859.8</v>
      </c>
      <c r="E20" s="1205">
        <v>-4569022.5</v>
      </c>
      <c r="F20" s="1205">
        <v>-3458949.69</v>
      </c>
      <c r="G20" s="1205">
        <v>-2090561.4400000002</v>
      </c>
      <c r="H20" s="1205">
        <v>-908582.82</v>
      </c>
      <c r="I20" s="1205">
        <v>-421360.12</v>
      </c>
      <c r="J20" s="1205">
        <v>-288251.01</v>
      </c>
      <c r="K20" s="1205">
        <v>-286327.53999999998</v>
      </c>
      <c r="L20" s="1205">
        <v>-312178.7</v>
      </c>
      <c r="M20" s="1205">
        <v>-465072.77</v>
      </c>
      <c r="N20" s="1205">
        <v>-1345072.47</v>
      </c>
      <c r="O20" s="1205">
        <v>-3315738.23</v>
      </c>
      <c r="P20" s="1205">
        <f t="shared" si="0"/>
        <v>-21917977.089999996</v>
      </c>
      <c r="Q20" s="1026"/>
    </row>
    <row r="21" spans="1:32">
      <c r="A21" s="1024">
        <f t="shared" si="1"/>
        <v>7</v>
      </c>
      <c r="B21" s="537">
        <v>480</v>
      </c>
      <c r="C21" s="532" t="s">
        <v>1488</v>
      </c>
      <c r="D21" s="1205">
        <v>-10284746.150000002</v>
      </c>
      <c r="E21" s="1205">
        <v>-10491344.08</v>
      </c>
      <c r="F21" s="1205">
        <v>-8504133.620000001</v>
      </c>
      <c r="G21" s="1205">
        <v>-6053033.8999999994</v>
      </c>
      <c r="H21" s="1205">
        <v>-3927167.4899999998</v>
      </c>
      <c r="I21" s="1205">
        <v>-3045015.9800000004</v>
      </c>
      <c r="J21" s="1205">
        <v>-2797769.0600000005</v>
      </c>
      <c r="K21" s="1205">
        <v>-2789720.3200000003</v>
      </c>
      <c r="L21" s="1205">
        <v>-2824795.33</v>
      </c>
      <c r="M21" s="1205">
        <v>-3093148.05</v>
      </c>
      <c r="N21" s="1205">
        <v>-4692043.4400000013</v>
      </c>
      <c r="O21" s="1205">
        <v>-8237623.1899999995</v>
      </c>
      <c r="P21" s="1205">
        <f t="shared" si="0"/>
        <v>-66740540.610000014</v>
      </c>
      <c r="Q21" s="1026"/>
    </row>
    <row r="22" spans="1:32">
      <c r="A22" s="1024">
        <f t="shared" si="1"/>
        <v>8</v>
      </c>
      <c r="B22" s="537">
        <v>481.1</v>
      </c>
      <c r="C22" s="532" t="s">
        <v>1489</v>
      </c>
      <c r="D22" s="1205">
        <v>-2387711.5699999998</v>
      </c>
      <c r="E22" s="1205">
        <v>-2272635.56</v>
      </c>
      <c r="F22" s="1205">
        <v>-1641560.94</v>
      </c>
      <c r="G22" s="1205">
        <v>-1173240.21</v>
      </c>
      <c r="H22" s="1205">
        <v>-637012.47</v>
      </c>
      <c r="I22" s="1205">
        <v>-447640.99</v>
      </c>
      <c r="J22" s="1205">
        <v>-380688.5</v>
      </c>
      <c r="K22" s="1205">
        <v>-353581.73</v>
      </c>
      <c r="L22" s="1205">
        <v>-425149.35</v>
      </c>
      <c r="M22" s="1205">
        <v>-465581.09</v>
      </c>
      <c r="N22" s="1205">
        <v>-883891.34</v>
      </c>
      <c r="O22" s="1205">
        <v>-1782400.08</v>
      </c>
      <c r="P22" s="1205">
        <f t="shared" si="0"/>
        <v>-12851093.83</v>
      </c>
    </row>
    <row r="23" spans="1:32">
      <c r="A23" s="1024">
        <f t="shared" si="1"/>
        <v>9</v>
      </c>
      <c r="B23" s="537">
        <v>481.1</v>
      </c>
      <c r="C23" s="532" t="s">
        <v>1490</v>
      </c>
      <c r="D23" s="1205">
        <v>-3289343.5500000003</v>
      </c>
      <c r="E23" s="1205">
        <v>-3184780.89</v>
      </c>
      <c r="F23" s="1205">
        <v>-2611238.1600000006</v>
      </c>
      <c r="G23" s="1205">
        <v>-2171693.0100000002</v>
      </c>
      <c r="H23" s="1205">
        <v>-1647159.0799999998</v>
      </c>
      <c r="I23" s="1205">
        <v>-1447828.4100000001</v>
      </c>
      <c r="J23" s="1205">
        <v>-1377338.05</v>
      </c>
      <c r="K23" s="1205">
        <v>-1347781.9200000002</v>
      </c>
      <c r="L23" s="1205">
        <v>-1392772.27</v>
      </c>
      <c r="M23" s="1205">
        <v>-1451227.5599999998</v>
      </c>
      <c r="N23" s="1205">
        <v>-1870626.7300000004</v>
      </c>
      <c r="O23" s="1205">
        <v>-2727375.5199999996</v>
      </c>
      <c r="P23" s="1205">
        <f t="shared" si="0"/>
        <v>-24519165.150000002</v>
      </c>
    </row>
    <row r="24" spans="1:32">
      <c r="A24" s="1024">
        <f t="shared" si="1"/>
        <v>10</v>
      </c>
      <c r="B24" s="537">
        <v>481.2</v>
      </c>
      <c r="C24" s="532" t="s">
        <v>1491</v>
      </c>
      <c r="D24" s="1205">
        <v>-102620.77</v>
      </c>
      <c r="E24" s="1205">
        <v>-83074.210000000006</v>
      </c>
      <c r="F24" s="1205">
        <v>-76851.75</v>
      </c>
      <c r="G24" s="1205">
        <v>-58090.76</v>
      </c>
      <c r="H24" s="1205">
        <v>-43812.73</v>
      </c>
      <c r="I24" s="1205">
        <v>-35719.49</v>
      </c>
      <c r="J24" s="1205">
        <v>-24661.16</v>
      </c>
      <c r="K24" s="1205">
        <v>-24166.68</v>
      </c>
      <c r="L24" s="1205">
        <v>-26023.33</v>
      </c>
      <c r="M24" s="1205">
        <v>-30209.61</v>
      </c>
      <c r="N24" s="1205">
        <v>-38841.18</v>
      </c>
      <c r="O24" s="1205">
        <v>-69237.679999999993</v>
      </c>
      <c r="P24" s="1205">
        <f t="shared" si="0"/>
        <v>-613309.34999999986</v>
      </c>
    </row>
    <row r="25" spans="1:32">
      <c r="A25" s="1024">
        <f t="shared" si="1"/>
        <v>11</v>
      </c>
      <c r="B25" s="537">
        <v>481.2</v>
      </c>
      <c r="C25" s="532" t="s">
        <v>1492</v>
      </c>
      <c r="D25" s="1205">
        <v>-88247.62000000001</v>
      </c>
      <c r="E25" s="1205">
        <v>-72916.800000000003</v>
      </c>
      <c r="F25" s="1205">
        <v>-67898.640000000014</v>
      </c>
      <c r="G25" s="1205">
        <v>-53144.01</v>
      </c>
      <c r="H25" s="1205">
        <v>-41158.890000000007</v>
      </c>
      <c r="I25" s="1205">
        <v>-34274.959999999999</v>
      </c>
      <c r="J25" s="1205">
        <v>-25005.190000000006</v>
      </c>
      <c r="K25" s="1205">
        <v>-24734.559999999998</v>
      </c>
      <c r="L25" s="1205">
        <v>-25879.620000000003</v>
      </c>
      <c r="M25" s="1205">
        <v>-29027.340000000004</v>
      </c>
      <c r="N25" s="1205">
        <v>-37278.810000000005</v>
      </c>
      <c r="O25" s="1205">
        <v>-62484.070000000007</v>
      </c>
      <c r="P25" s="1205">
        <f t="shared" si="0"/>
        <v>-562050.51</v>
      </c>
    </row>
    <row r="26" spans="1:32">
      <c r="A26" s="1024">
        <f t="shared" si="1"/>
        <v>12</v>
      </c>
      <c r="B26" s="537">
        <v>481.9</v>
      </c>
      <c r="C26" s="532" t="s">
        <v>1493</v>
      </c>
      <c r="D26" s="1205">
        <v>0</v>
      </c>
      <c r="E26" s="1205">
        <v>0</v>
      </c>
      <c r="F26" s="1205">
        <v>0</v>
      </c>
      <c r="G26" s="1205">
        <v>0</v>
      </c>
      <c r="H26" s="1205">
        <v>0</v>
      </c>
      <c r="I26" s="1205">
        <v>0</v>
      </c>
      <c r="J26" s="1205">
        <v>0</v>
      </c>
      <c r="K26" s="1205">
        <v>0</v>
      </c>
      <c r="L26" s="1205">
        <v>0</v>
      </c>
      <c r="M26" s="1205">
        <v>0</v>
      </c>
      <c r="N26" s="1205">
        <v>0</v>
      </c>
      <c r="O26" s="1205">
        <v>0</v>
      </c>
      <c r="P26" s="1205">
        <f t="shared" si="0"/>
        <v>0</v>
      </c>
    </row>
    <row r="27" spans="1:32">
      <c r="A27" s="1024">
        <f t="shared" si="1"/>
        <v>13</v>
      </c>
      <c r="B27" s="537">
        <v>481.9</v>
      </c>
      <c r="C27" s="532" t="s">
        <v>1494</v>
      </c>
      <c r="D27" s="1205">
        <v>0</v>
      </c>
      <c r="E27" s="1205">
        <v>0</v>
      </c>
      <c r="F27" s="1205">
        <v>0</v>
      </c>
      <c r="G27" s="1205">
        <v>0</v>
      </c>
      <c r="H27" s="1205">
        <v>0</v>
      </c>
      <c r="I27" s="1205">
        <v>0</v>
      </c>
      <c r="J27" s="1205">
        <v>0</v>
      </c>
      <c r="K27" s="1205">
        <v>0</v>
      </c>
      <c r="L27" s="1205">
        <v>0</v>
      </c>
      <c r="M27" s="1205">
        <v>0</v>
      </c>
      <c r="N27" s="1205">
        <v>0</v>
      </c>
      <c r="O27" s="1205">
        <v>0</v>
      </c>
      <c r="P27" s="1205">
        <f t="shared" si="0"/>
        <v>0</v>
      </c>
    </row>
    <row r="28" spans="1:32">
      <c r="A28" s="1024">
        <f t="shared" si="1"/>
        <v>14</v>
      </c>
      <c r="B28" s="537">
        <v>483</v>
      </c>
      <c r="C28" s="532" t="s">
        <v>2094</v>
      </c>
      <c r="D28" s="1205">
        <v>-5487.81</v>
      </c>
      <c r="E28" s="1205">
        <v>-4987.45</v>
      </c>
      <c r="F28" s="1205">
        <v>-2557.7399999999998</v>
      </c>
      <c r="G28" s="1205">
        <v>-4206</v>
      </c>
      <c r="H28" s="1205">
        <v>-682.85</v>
      </c>
      <c r="I28" s="1205">
        <v>-440.03</v>
      </c>
      <c r="J28" s="1205">
        <v>-1480.49</v>
      </c>
      <c r="K28" s="1205">
        <v>-706.4</v>
      </c>
      <c r="L28" s="1205">
        <v>-706.4</v>
      </c>
      <c r="M28" s="1205">
        <v>-1209.7</v>
      </c>
      <c r="N28" s="1205">
        <v>-3131.69</v>
      </c>
      <c r="O28" s="1205">
        <v>-5044.84</v>
      </c>
      <c r="P28" s="1205">
        <f t="shared" si="0"/>
        <v>-30641.4</v>
      </c>
    </row>
    <row r="29" spans="1:32">
      <c r="A29" s="1024">
        <f t="shared" si="1"/>
        <v>15</v>
      </c>
      <c r="B29" s="537">
        <v>483</v>
      </c>
      <c r="C29" s="532" t="s">
        <v>2095</v>
      </c>
      <c r="D29" s="1205">
        <v>-4139.4399999999996</v>
      </c>
      <c r="E29" s="1205">
        <v>-3934.3800000000019</v>
      </c>
      <c r="F29" s="1205">
        <v>-2938.67</v>
      </c>
      <c r="G29" s="1205">
        <v>-3614.1400000000003</v>
      </c>
      <c r="H29" s="1205">
        <v>-2170.3199999999997</v>
      </c>
      <c r="I29" s="1205">
        <v>-2070.8100000000004</v>
      </c>
      <c r="J29" s="1205">
        <v>-2497.1999999999998</v>
      </c>
      <c r="K29" s="1205">
        <v>-2179.9699999999998</v>
      </c>
      <c r="L29" s="1205">
        <v>-2179.9699999999998</v>
      </c>
      <c r="M29" s="1205">
        <v>-2386.2199999999993</v>
      </c>
      <c r="N29" s="1205">
        <v>-3173.8800000000006</v>
      </c>
      <c r="O29" s="1205">
        <v>-3957.8999999999996</v>
      </c>
      <c r="P29" s="1205">
        <f t="shared" si="0"/>
        <v>-35242.9</v>
      </c>
    </row>
    <row r="30" spans="1:32">
      <c r="A30" s="1024">
        <f t="shared" si="1"/>
        <v>16</v>
      </c>
      <c r="B30" s="537">
        <v>487</v>
      </c>
      <c r="C30" s="532" t="s">
        <v>905</v>
      </c>
      <c r="D30" s="1205">
        <v>-63291.348201103734</v>
      </c>
      <c r="E30" s="1205">
        <v>-88060.522898336319</v>
      </c>
      <c r="F30" s="1205">
        <v>-102037.32746628365</v>
      </c>
      <c r="G30" s="1205">
        <v>-68398.169834640852</v>
      </c>
      <c r="H30" s="1205">
        <v>-47509.012229421402</v>
      </c>
      <c r="I30" s="1205">
        <v>-41943.998542022578</v>
      </c>
      <c r="J30" s="1205">
        <v>-30402.199791001611</v>
      </c>
      <c r="K30" s="1205">
        <v>-24505.311805909379</v>
      </c>
      <c r="L30" s="1205">
        <v>-25190.622345885426</v>
      </c>
      <c r="M30" s="1205">
        <v>-27147.378563775361</v>
      </c>
      <c r="N30" s="1205">
        <v>-27886.494086634415</v>
      </c>
      <c r="O30" s="1205">
        <v>-43724.420901651945</v>
      </c>
      <c r="P30" s="1205">
        <f t="shared" si="0"/>
        <v>-590096.80666666676</v>
      </c>
    </row>
    <row r="31" spans="1:32">
      <c r="A31" s="1024">
        <f t="shared" si="1"/>
        <v>17</v>
      </c>
      <c r="B31" s="537">
        <v>488</v>
      </c>
      <c r="C31" s="532" t="s">
        <v>906</v>
      </c>
      <c r="D31" s="1205">
        <v>-2182.8951600004398</v>
      </c>
      <c r="E31" s="1205">
        <v>-5882.4070574957996</v>
      </c>
      <c r="F31" s="1205">
        <v>-9994.5161211327195</v>
      </c>
      <c r="G31" s="1205">
        <v>-13598.9685736749</v>
      </c>
      <c r="H31" s="1205">
        <v>-5802.8149023813303</v>
      </c>
      <c r="I31" s="1205">
        <v>-4680.7182750986503</v>
      </c>
      <c r="J31" s="1205">
        <v>-6948.6445776570799</v>
      </c>
      <c r="K31" s="1205">
        <v>-18166.026376554699</v>
      </c>
      <c r="L31" s="1205">
        <v>-4859.7642187258398</v>
      </c>
      <c r="M31" s="1205">
        <v>-28679.071940627</v>
      </c>
      <c r="N31" s="1205">
        <v>-18411.857481177401</v>
      </c>
      <c r="O31" s="1205">
        <v>-9072.4386488075706</v>
      </c>
      <c r="P31" s="1205">
        <f t="shared" si="0"/>
        <v>-128280.12333333342</v>
      </c>
    </row>
    <row r="32" spans="1:32">
      <c r="A32" s="1024">
        <f t="shared" si="1"/>
        <v>18</v>
      </c>
      <c r="B32" s="538">
        <v>489.3</v>
      </c>
      <c r="C32" s="532" t="s">
        <v>2096</v>
      </c>
      <c r="D32" s="1205">
        <v>-1120042.52</v>
      </c>
      <c r="E32" s="1205">
        <v>-1138254.6900000002</v>
      </c>
      <c r="F32" s="1205">
        <v>-930514.58</v>
      </c>
      <c r="G32" s="1205">
        <v>-654147.82999999996</v>
      </c>
      <c r="H32" s="1205">
        <v>-418356.24</v>
      </c>
      <c r="I32" s="1205">
        <v>-313292.96000000002</v>
      </c>
      <c r="J32" s="1205">
        <v>-282594.14</v>
      </c>
      <c r="K32" s="1205">
        <v>-284448.51</v>
      </c>
      <c r="L32" s="1205">
        <v>-288023.85000000003</v>
      </c>
      <c r="M32" s="1205">
        <v>-324543.39</v>
      </c>
      <c r="N32" s="1205">
        <v>-521544.26</v>
      </c>
      <c r="O32" s="1205">
        <v>-898527.6</v>
      </c>
      <c r="P32" s="1205">
        <f t="shared" si="0"/>
        <v>-7174290.5699999984</v>
      </c>
    </row>
    <row r="33" spans="1:17">
      <c r="A33" s="1024">
        <f t="shared" si="1"/>
        <v>19</v>
      </c>
      <c r="B33" s="537">
        <v>489.31</v>
      </c>
      <c r="C33" s="532" t="s">
        <v>2097</v>
      </c>
      <c r="D33" s="1205">
        <v>-1104208.1400000001</v>
      </c>
      <c r="E33" s="1205">
        <v>-1137340.3500000001</v>
      </c>
      <c r="F33" s="1205">
        <v>-1036058.94</v>
      </c>
      <c r="G33" s="1205">
        <v>-731296.3</v>
      </c>
      <c r="H33" s="1205">
        <v>-595292.69999999995</v>
      </c>
      <c r="I33" s="1205">
        <v>-534930.90999999992</v>
      </c>
      <c r="J33" s="1205">
        <v>-505712.13</v>
      </c>
      <c r="K33" s="1205">
        <v>-512365.3</v>
      </c>
      <c r="L33" s="1205">
        <v>-474390.55000000005</v>
      </c>
      <c r="M33" s="1205">
        <v>-557803.67000000004</v>
      </c>
      <c r="N33" s="1205">
        <v>-706826.71</v>
      </c>
      <c r="O33" s="1205">
        <v>-958636.69000000006</v>
      </c>
      <c r="P33" s="1205">
        <f t="shared" si="0"/>
        <v>-8854862.3900000006</v>
      </c>
    </row>
    <row r="34" spans="1:17">
      <c r="A34" s="1024">
        <f t="shared" si="1"/>
        <v>20</v>
      </c>
      <c r="B34" s="537">
        <v>489.32</v>
      </c>
      <c r="C34" s="532" t="s">
        <v>2098</v>
      </c>
      <c r="D34" s="1205">
        <v>-647271.47</v>
      </c>
      <c r="E34" s="1205">
        <v>-603206.51</v>
      </c>
      <c r="F34" s="1205">
        <v>-598212.65</v>
      </c>
      <c r="G34" s="1205">
        <v>-558211.43999999994</v>
      </c>
      <c r="H34" s="1205">
        <v>-523973.18000000005</v>
      </c>
      <c r="I34" s="1205">
        <v>-486916.14</v>
      </c>
      <c r="J34" s="1205">
        <v>-403323.3</v>
      </c>
      <c r="K34" s="1205">
        <v>-499580.25</v>
      </c>
      <c r="L34" s="1205">
        <v>-485083.62</v>
      </c>
      <c r="M34" s="1205">
        <v>-550641.06000000006</v>
      </c>
      <c r="N34" s="1205">
        <v>-583795.09</v>
      </c>
      <c r="O34" s="1205">
        <v>-615362.03999999992</v>
      </c>
      <c r="P34" s="1205">
        <f t="shared" si="0"/>
        <v>-6555576.7499999991</v>
      </c>
    </row>
    <row r="35" spans="1:17">
      <c r="A35" s="1024">
        <f t="shared" si="1"/>
        <v>21</v>
      </c>
      <c r="B35" s="537">
        <v>493</v>
      </c>
      <c r="C35" s="532" t="s">
        <v>907</v>
      </c>
      <c r="D35" s="1205">
        <v>-7610.6718797001995</v>
      </c>
      <c r="E35" s="1205">
        <v>-8803.7156229625507</v>
      </c>
      <c r="F35" s="1205">
        <v>-8529.8761085115002</v>
      </c>
      <c r="G35" s="1205">
        <v>-9700.1717035415204</v>
      </c>
      <c r="H35" s="1205">
        <v>-9700.1717035415204</v>
      </c>
      <c r="I35" s="1205">
        <v>-9700.1717035415204</v>
      </c>
      <c r="J35" s="1205">
        <v>-7610.6718797001995</v>
      </c>
      <c r="K35" s="1205">
        <v>-7610.6718797001995</v>
      </c>
      <c r="L35" s="1205">
        <v>-7610.6718797001995</v>
      </c>
      <c r="M35" s="1205">
        <v>-7610.6718797001995</v>
      </c>
      <c r="N35" s="1205">
        <v>-7610.6718797001995</v>
      </c>
      <c r="O35" s="1205">
        <v>-7610.6718797001995</v>
      </c>
      <c r="P35" s="1205">
        <f t="shared" si="0"/>
        <v>-99708.809999999983</v>
      </c>
    </row>
    <row r="36" spans="1:17">
      <c r="A36" s="1024">
        <f t="shared" si="1"/>
        <v>22</v>
      </c>
      <c r="B36" s="537">
        <v>495</v>
      </c>
      <c r="C36" s="532" t="s">
        <v>2142</v>
      </c>
      <c r="D36" s="1205">
        <v>-24483.8</v>
      </c>
      <c r="E36" s="1205">
        <v>-24535.833333333299</v>
      </c>
      <c r="F36" s="1205">
        <v>-17327.0366666667</v>
      </c>
      <c r="G36" s="1205">
        <v>-15259.926666666699</v>
      </c>
      <c r="H36" s="1205">
        <v>-11184.649999999998</v>
      </c>
      <c r="I36" s="1205">
        <v>-5460.8849999999993</v>
      </c>
      <c r="J36" s="1205">
        <v>-4134.1400000000003</v>
      </c>
      <c r="K36" s="1205">
        <v>-4902.4049999999997</v>
      </c>
      <c r="L36" s="1205">
        <v>-6211.4000000000005</v>
      </c>
      <c r="M36" s="1205">
        <v>-5474.4949999999999</v>
      </c>
      <c r="N36" s="1205">
        <v>-10289.009999999998</v>
      </c>
      <c r="O36" s="1205">
        <v>-18585.754999999997</v>
      </c>
      <c r="P36" s="1205">
        <f t="shared" si="0"/>
        <v>-147849.33666666667</v>
      </c>
      <c r="Q36" s="1025"/>
    </row>
    <row r="37" spans="1:17">
      <c r="A37" s="1024">
        <f t="shared" si="1"/>
        <v>23</v>
      </c>
      <c r="B37" s="266">
        <v>717</v>
      </c>
      <c r="C37" s="533" t="s">
        <v>909</v>
      </c>
      <c r="D37" s="1205">
        <v>0</v>
      </c>
      <c r="E37" s="1205">
        <v>0</v>
      </c>
      <c r="F37" s="1205">
        <v>0</v>
      </c>
      <c r="G37" s="1205">
        <v>0</v>
      </c>
      <c r="H37" s="1205">
        <v>0</v>
      </c>
      <c r="I37" s="1205">
        <v>0</v>
      </c>
      <c r="J37" s="1205">
        <v>0</v>
      </c>
      <c r="K37" s="1205">
        <v>0</v>
      </c>
      <c r="L37" s="1205">
        <v>0</v>
      </c>
      <c r="M37" s="1205">
        <v>0</v>
      </c>
      <c r="N37" s="1205">
        <v>0</v>
      </c>
      <c r="O37" s="1205">
        <v>0</v>
      </c>
      <c r="P37" s="1205">
        <f t="shared" si="0"/>
        <v>0</v>
      </c>
    </row>
    <row r="38" spans="1:17">
      <c r="A38" s="1024">
        <f t="shared" si="1"/>
        <v>24</v>
      </c>
      <c r="B38" s="266">
        <v>723</v>
      </c>
      <c r="C38" s="533" t="s">
        <v>910</v>
      </c>
      <c r="D38" s="1205">
        <v>0</v>
      </c>
      <c r="E38" s="1205">
        <v>0</v>
      </c>
      <c r="F38" s="1205">
        <v>0</v>
      </c>
      <c r="G38" s="1205">
        <v>0</v>
      </c>
      <c r="H38" s="1205">
        <v>0</v>
      </c>
      <c r="I38" s="1205">
        <v>0</v>
      </c>
      <c r="J38" s="1205">
        <v>0</v>
      </c>
      <c r="K38" s="1205">
        <v>0</v>
      </c>
      <c r="L38" s="1205">
        <v>0</v>
      </c>
      <c r="M38" s="1205">
        <v>0</v>
      </c>
      <c r="N38" s="1205">
        <v>0</v>
      </c>
      <c r="O38" s="1205">
        <v>0</v>
      </c>
      <c r="P38" s="1205">
        <f t="shared" si="0"/>
        <v>0</v>
      </c>
    </row>
    <row r="39" spans="1:17">
      <c r="A39" s="1024">
        <f t="shared" si="1"/>
        <v>25</v>
      </c>
      <c r="B39" s="266">
        <v>728</v>
      </c>
      <c r="C39" s="533" t="s">
        <v>911</v>
      </c>
      <c r="D39" s="1205">
        <v>0</v>
      </c>
      <c r="E39" s="1205">
        <v>0</v>
      </c>
      <c r="F39" s="1205">
        <v>0</v>
      </c>
      <c r="G39" s="1205">
        <v>0</v>
      </c>
      <c r="H39" s="1205">
        <v>0</v>
      </c>
      <c r="I39" s="1205">
        <v>0</v>
      </c>
      <c r="J39" s="1205">
        <v>0</v>
      </c>
      <c r="K39" s="1205">
        <v>0</v>
      </c>
      <c r="L39" s="1205">
        <v>0</v>
      </c>
      <c r="M39" s="1205">
        <v>0</v>
      </c>
      <c r="N39" s="1205">
        <v>0</v>
      </c>
      <c r="O39" s="1205">
        <v>0</v>
      </c>
      <c r="P39" s="1205">
        <f t="shared" si="0"/>
        <v>0</v>
      </c>
    </row>
    <row r="40" spans="1:17">
      <c r="A40" s="1024">
        <f t="shared" si="1"/>
        <v>26</v>
      </c>
      <c r="B40" s="266">
        <v>741</v>
      </c>
      <c r="C40" s="533" t="s">
        <v>912</v>
      </c>
      <c r="D40" s="1205">
        <v>0</v>
      </c>
      <c r="E40" s="1205">
        <v>0</v>
      </c>
      <c r="F40" s="1205">
        <v>0</v>
      </c>
      <c r="G40" s="1205">
        <v>0</v>
      </c>
      <c r="H40" s="1205">
        <v>0</v>
      </c>
      <c r="I40" s="1205">
        <v>0</v>
      </c>
      <c r="J40" s="1205">
        <v>0</v>
      </c>
      <c r="K40" s="1205">
        <v>0</v>
      </c>
      <c r="L40" s="1205">
        <v>0</v>
      </c>
      <c r="M40" s="1205">
        <v>0</v>
      </c>
      <c r="N40" s="1205">
        <v>0</v>
      </c>
      <c r="O40" s="1205">
        <v>0</v>
      </c>
      <c r="P40" s="1205">
        <f t="shared" si="0"/>
        <v>0</v>
      </c>
    </row>
    <row r="41" spans="1:17">
      <c r="A41" s="1024">
        <f t="shared" si="1"/>
        <v>27</v>
      </c>
      <c r="B41" s="266">
        <v>742</v>
      </c>
      <c r="C41" s="533" t="s">
        <v>913</v>
      </c>
      <c r="D41" s="1205">
        <v>0</v>
      </c>
      <c r="E41" s="1205">
        <v>0</v>
      </c>
      <c r="F41" s="1205">
        <v>0</v>
      </c>
      <c r="G41" s="1205">
        <v>0</v>
      </c>
      <c r="H41" s="1205">
        <v>0</v>
      </c>
      <c r="I41" s="1205">
        <v>0</v>
      </c>
      <c r="J41" s="1205">
        <v>0</v>
      </c>
      <c r="K41" s="1205">
        <v>0</v>
      </c>
      <c r="L41" s="1205">
        <v>0</v>
      </c>
      <c r="M41" s="1205">
        <v>0</v>
      </c>
      <c r="N41" s="1205">
        <v>0</v>
      </c>
      <c r="O41" s="1205">
        <v>0</v>
      </c>
      <c r="P41" s="1205">
        <f t="shared" si="0"/>
        <v>0</v>
      </c>
    </row>
    <row r="42" spans="1:17">
      <c r="A42" s="1024">
        <f t="shared" si="1"/>
        <v>28</v>
      </c>
      <c r="B42" s="266" t="s">
        <v>914</v>
      </c>
      <c r="C42" s="267" t="s">
        <v>915</v>
      </c>
      <c r="D42" s="1205">
        <v>3467993.33</v>
      </c>
      <c r="E42" s="1205">
        <v>3456540.7800000003</v>
      </c>
      <c r="F42" s="1205">
        <v>2583741.6</v>
      </c>
      <c r="G42" s="1205">
        <v>1659056.25</v>
      </c>
      <c r="H42" s="1205">
        <v>793136.54</v>
      </c>
      <c r="I42" s="1205">
        <v>451493.67</v>
      </c>
      <c r="J42" s="1205">
        <v>346706.13999999996</v>
      </c>
      <c r="K42" s="1205">
        <v>331593.11</v>
      </c>
      <c r="L42" s="1205">
        <v>381111.64</v>
      </c>
      <c r="M42" s="1205">
        <v>479881.62</v>
      </c>
      <c r="N42" s="1205">
        <v>1132742.0999999999</v>
      </c>
      <c r="O42" s="1205">
        <v>2580000.9700000002</v>
      </c>
      <c r="P42" s="1205">
        <f t="shared" si="0"/>
        <v>17663997.75</v>
      </c>
    </row>
    <row r="43" spans="1:17">
      <c r="A43" s="1024">
        <f t="shared" si="1"/>
        <v>29</v>
      </c>
      <c r="B43" s="266">
        <v>804</v>
      </c>
      <c r="C43" s="533" t="s">
        <v>916</v>
      </c>
      <c r="D43" s="1205">
        <v>227528.34</v>
      </c>
      <c r="E43" s="1205">
        <v>226776.95999999999</v>
      </c>
      <c r="F43" s="1205">
        <v>169514.29</v>
      </c>
      <c r="G43" s="1205">
        <v>108847.47</v>
      </c>
      <c r="H43" s="1205">
        <v>52036.160000000003</v>
      </c>
      <c r="I43" s="1205">
        <v>29621.63</v>
      </c>
      <c r="J43" s="1205">
        <v>22746.720000000001</v>
      </c>
      <c r="K43" s="1205">
        <v>21755.18</v>
      </c>
      <c r="L43" s="1205">
        <v>25004</v>
      </c>
      <c r="M43" s="1205">
        <v>31484.11</v>
      </c>
      <c r="N43" s="1205">
        <v>74317.02</v>
      </c>
      <c r="O43" s="1205">
        <v>169268.88</v>
      </c>
      <c r="P43" s="1205">
        <f t="shared" si="0"/>
        <v>1158900.76</v>
      </c>
    </row>
    <row r="44" spans="1:17">
      <c r="A44" s="1024">
        <f t="shared" si="1"/>
        <v>30</v>
      </c>
      <c r="B44" s="266">
        <v>805</v>
      </c>
      <c r="C44" s="533" t="s">
        <v>917</v>
      </c>
      <c r="D44" s="1205">
        <v>3012392.54</v>
      </c>
      <c r="E44" s="1205">
        <v>3002444.55</v>
      </c>
      <c r="F44" s="1205">
        <v>2244307.64</v>
      </c>
      <c r="G44" s="1205">
        <v>1441101</v>
      </c>
      <c r="H44" s="1205">
        <v>688939.79</v>
      </c>
      <c r="I44" s="1205">
        <v>392179.58</v>
      </c>
      <c r="J44" s="1205">
        <v>301158.3</v>
      </c>
      <c r="K44" s="1205">
        <v>288030.71999999997</v>
      </c>
      <c r="L44" s="1205">
        <v>331043.84999999998</v>
      </c>
      <c r="M44" s="1205">
        <v>416838.12</v>
      </c>
      <c r="N44" s="1205">
        <v>983930.34</v>
      </c>
      <c r="O44" s="1205">
        <v>2241058.42</v>
      </c>
      <c r="P44" s="1205">
        <f t="shared" si="0"/>
        <v>15343424.85</v>
      </c>
    </row>
    <row r="45" spans="1:17">
      <c r="A45" s="1024">
        <f t="shared" si="1"/>
        <v>31</v>
      </c>
      <c r="B45" s="266">
        <v>806</v>
      </c>
      <c r="C45" s="533" t="s">
        <v>918</v>
      </c>
      <c r="D45" s="1205">
        <v>328675.09999999998</v>
      </c>
      <c r="E45" s="1205">
        <v>327589.69</v>
      </c>
      <c r="F45" s="1205">
        <v>244871.15</v>
      </c>
      <c r="G45" s="1205">
        <v>157235.16</v>
      </c>
      <c r="H45" s="1205">
        <v>75168.61</v>
      </c>
      <c r="I45" s="1205">
        <v>42789.8</v>
      </c>
      <c r="J45" s="1205">
        <v>32858.68</v>
      </c>
      <c r="K45" s="1205">
        <v>31426.36</v>
      </c>
      <c r="L45" s="1205">
        <v>36119.42</v>
      </c>
      <c r="M45" s="1205">
        <v>45480.23</v>
      </c>
      <c r="N45" s="1205">
        <v>107354.33</v>
      </c>
      <c r="O45" s="1205">
        <v>244516.64</v>
      </c>
      <c r="P45" s="1205">
        <f t="shared" si="0"/>
        <v>1674085.1700000004</v>
      </c>
    </row>
    <row r="46" spans="1:17">
      <c r="A46" s="1024">
        <f t="shared" si="1"/>
        <v>32</v>
      </c>
      <c r="B46" s="266">
        <v>807</v>
      </c>
      <c r="C46" s="533" t="s">
        <v>919</v>
      </c>
      <c r="D46" s="1205">
        <v>0</v>
      </c>
      <c r="E46" s="1205">
        <v>0</v>
      </c>
      <c r="F46" s="1205">
        <v>0</v>
      </c>
      <c r="G46" s="1205">
        <v>0</v>
      </c>
      <c r="H46" s="1205">
        <v>0</v>
      </c>
      <c r="I46" s="1205">
        <v>0</v>
      </c>
      <c r="J46" s="1205">
        <v>0</v>
      </c>
      <c r="K46" s="1205">
        <v>0</v>
      </c>
      <c r="L46" s="1205">
        <v>0</v>
      </c>
      <c r="M46" s="1205">
        <v>0</v>
      </c>
      <c r="N46" s="1205">
        <v>0</v>
      </c>
      <c r="O46" s="1205">
        <v>0</v>
      </c>
      <c r="P46" s="1205">
        <f t="shared" si="0"/>
        <v>0</v>
      </c>
    </row>
    <row r="47" spans="1:17">
      <c r="A47" s="1024">
        <f t="shared" si="1"/>
        <v>33</v>
      </c>
      <c r="B47" s="266">
        <v>807</v>
      </c>
      <c r="C47" s="533" t="s">
        <v>920</v>
      </c>
      <c r="D47" s="1205">
        <v>36901.18</v>
      </c>
      <c r="E47" s="1205">
        <v>37058.400000000001</v>
      </c>
      <c r="F47" s="1205">
        <v>37387.14</v>
      </c>
      <c r="G47" s="1205">
        <v>36917.9</v>
      </c>
      <c r="H47" s="1205">
        <v>37191.72</v>
      </c>
      <c r="I47" s="1205">
        <v>37053.699999999997</v>
      </c>
      <c r="J47" s="1205">
        <v>35615.72</v>
      </c>
      <c r="K47" s="1205">
        <v>35597.53</v>
      </c>
      <c r="L47" s="1205">
        <v>37839.19</v>
      </c>
      <c r="M47" s="1205">
        <v>34731.620000000003</v>
      </c>
      <c r="N47" s="1205">
        <v>37102.339999999997</v>
      </c>
      <c r="O47" s="1205">
        <v>5941.56</v>
      </c>
      <c r="P47" s="1205">
        <f t="shared" si="0"/>
        <v>409337.99999999994</v>
      </c>
    </row>
    <row r="48" spans="1:17">
      <c r="A48" s="1024">
        <f t="shared" si="1"/>
        <v>34</v>
      </c>
      <c r="B48" s="266">
        <v>808</v>
      </c>
      <c r="C48" s="533" t="s">
        <v>2140</v>
      </c>
      <c r="D48" s="1205">
        <v>-75974.799999999814</v>
      </c>
      <c r="E48" s="1205">
        <v>-75723.899999999907</v>
      </c>
      <c r="F48" s="1205">
        <v>-56603.120000000112</v>
      </c>
      <c r="G48" s="1205">
        <v>-36345.650000000023</v>
      </c>
      <c r="H48" s="1205">
        <v>-17375.580000000016</v>
      </c>
      <c r="I48" s="1205">
        <v>-9891.0599999999977</v>
      </c>
      <c r="J48" s="1205">
        <v>-7595.4400000000023</v>
      </c>
      <c r="K48" s="1205">
        <v>-7264.3499999999767</v>
      </c>
      <c r="L48" s="1205">
        <v>-8349.179999999993</v>
      </c>
      <c r="M48" s="1205">
        <v>-10512.970000000001</v>
      </c>
      <c r="N48" s="1205">
        <v>-24815.469999999972</v>
      </c>
      <c r="O48" s="1205">
        <v>-56521.169999999925</v>
      </c>
      <c r="P48" s="1205">
        <f t="shared" si="0"/>
        <v>-386972.68999999971</v>
      </c>
    </row>
    <row r="49" spans="1:18">
      <c r="A49" s="1024">
        <f t="shared" si="1"/>
        <v>35</v>
      </c>
      <c r="B49" s="537">
        <v>812</v>
      </c>
      <c r="C49" s="529" t="s">
        <v>922</v>
      </c>
      <c r="D49" s="1205">
        <v>-7934.56</v>
      </c>
      <c r="E49" s="1205">
        <v>-7908.36</v>
      </c>
      <c r="F49" s="1205">
        <v>-5911.45</v>
      </c>
      <c r="G49" s="1205">
        <v>-3795.82</v>
      </c>
      <c r="H49" s="1205">
        <v>-1814.65</v>
      </c>
      <c r="I49" s="1205">
        <v>-1032.99</v>
      </c>
      <c r="J49" s="1205">
        <v>-793.24</v>
      </c>
      <c r="K49" s="1205">
        <v>-758.67</v>
      </c>
      <c r="L49" s="1205">
        <v>-871.96</v>
      </c>
      <c r="M49" s="1205">
        <v>-1097.94</v>
      </c>
      <c r="N49" s="1205">
        <v>-2591.65</v>
      </c>
      <c r="O49" s="1205">
        <v>-5902.89</v>
      </c>
      <c r="P49" s="1205">
        <f t="shared" si="0"/>
        <v>-40414.18</v>
      </c>
      <c r="Q49" s="1025"/>
      <c r="R49" s="1025"/>
    </row>
    <row r="50" spans="1:18">
      <c r="A50" s="1024">
        <f t="shared" si="1"/>
        <v>36</v>
      </c>
      <c r="B50" s="266">
        <v>813</v>
      </c>
      <c r="C50" s="533" t="s">
        <v>923</v>
      </c>
      <c r="D50" s="1205">
        <v>0</v>
      </c>
      <c r="E50" s="1205">
        <v>0</v>
      </c>
      <c r="F50" s="1205">
        <v>0</v>
      </c>
      <c r="G50" s="1205">
        <v>0</v>
      </c>
      <c r="H50" s="1205">
        <v>0</v>
      </c>
      <c r="I50" s="1205">
        <v>0</v>
      </c>
      <c r="J50" s="1205">
        <v>0</v>
      </c>
      <c r="K50" s="1205">
        <v>0</v>
      </c>
      <c r="L50" s="1205">
        <v>0</v>
      </c>
      <c r="M50" s="1205">
        <v>0</v>
      </c>
      <c r="N50" s="1205">
        <v>0</v>
      </c>
      <c r="O50" s="1205">
        <v>0</v>
      </c>
      <c r="P50" s="1205">
        <f t="shared" si="0"/>
        <v>0</v>
      </c>
    </row>
    <row r="51" spans="1:18">
      <c r="A51" s="1024">
        <f t="shared" si="1"/>
        <v>37</v>
      </c>
      <c r="B51" s="266">
        <v>852</v>
      </c>
      <c r="C51" s="533" t="s">
        <v>2842</v>
      </c>
      <c r="D51" s="1205">
        <v>249.99</v>
      </c>
      <c r="E51" s="1205">
        <v>177.26</v>
      </c>
      <c r="F51" s="1205">
        <v>173.06</v>
      </c>
      <c r="G51" s="1205">
        <v>177.08999999999997</v>
      </c>
      <c r="H51" s="1205">
        <v>229.81</v>
      </c>
      <c r="I51" s="1205">
        <v>411.64000000000004</v>
      </c>
      <c r="J51" s="1205">
        <v>268.85000000000002</v>
      </c>
      <c r="K51" s="1205">
        <v>204.39000000000001</v>
      </c>
      <c r="L51" s="1205">
        <v>231.71</v>
      </c>
      <c r="M51" s="1205">
        <v>166.56</v>
      </c>
      <c r="N51" s="1205">
        <v>128.01000000000002</v>
      </c>
      <c r="O51" s="1205">
        <v>143.35</v>
      </c>
      <c r="P51" s="1205">
        <f t="shared" si="0"/>
        <v>2561.7199999999998</v>
      </c>
    </row>
    <row r="52" spans="1:18">
      <c r="A52" s="1024">
        <f t="shared" si="1"/>
        <v>38</v>
      </c>
      <c r="B52" s="266">
        <v>859</v>
      </c>
      <c r="C52" s="533" t="s">
        <v>931</v>
      </c>
      <c r="D52" s="1205">
        <v>410.95</v>
      </c>
      <c r="E52" s="1205">
        <v>536.12</v>
      </c>
      <c r="F52" s="1205">
        <v>625.14</v>
      </c>
      <c r="G52" s="1205">
        <v>330.5</v>
      </c>
      <c r="H52" s="1205">
        <v>343.21</v>
      </c>
      <c r="I52" s="1205">
        <v>321.06</v>
      </c>
      <c r="J52" s="1205">
        <v>563.35</v>
      </c>
      <c r="K52" s="1205">
        <v>562.47</v>
      </c>
      <c r="L52" s="1205">
        <v>541.11</v>
      </c>
      <c r="M52" s="1205">
        <v>418.89</v>
      </c>
      <c r="N52" s="1205">
        <v>429.22</v>
      </c>
      <c r="O52" s="1205">
        <v>-4092.11</v>
      </c>
      <c r="P52" s="1205">
        <f t="shared" si="0"/>
        <v>989.91000000000031</v>
      </c>
    </row>
    <row r="53" spans="1:18">
      <c r="A53" s="1024">
        <f t="shared" si="1"/>
        <v>39</v>
      </c>
      <c r="B53" s="266">
        <v>865</v>
      </c>
      <c r="C53" s="533" t="s">
        <v>1495</v>
      </c>
      <c r="D53" s="1205">
        <v>61.22</v>
      </c>
      <c r="E53" s="1205">
        <v>61.18</v>
      </c>
      <c r="F53" s="1205">
        <v>83.07</v>
      </c>
      <c r="G53" s="1205">
        <v>81.03</v>
      </c>
      <c r="H53" s="1205">
        <v>84.4</v>
      </c>
      <c r="I53" s="1205">
        <v>87.13</v>
      </c>
      <c r="J53" s="1205">
        <v>76.17</v>
      </c>
      <c r="K53" s="1205">
        <v>84.41</v>
      </c>
      <c r="L53" s="1205">
        <v>66.209999999999994</v>
      </c>
      <c r="M53" s="1205">
        <v>56.91</v>
      </c>
      <c r="N53" s="1205">
        <v>44.99</v>
      </c>
      <c r="O53" s="1205">
        <v>44.41</v>
      </c>
      <c r="P53" s="1205">
        <f t="shared" si="0"/>
        <v>831.12999999999988</v>
      </c>
    </row>
    <row r="54" spans="1:18">
      <c r="A54" s="1024">
        <f t="shared" si="1"/>
        <v>40</v>
      </c>
      <c r="B54" s="266">
        <v>870</v>
      </c>
      <c r="C54" s="533" t="s">
        <v>924</v>
      </c>
      <c r="D54" s="1205">
        <v>83999.95</v>
      </c>
      <c r="E54" s="1205">
        <v>80830.400000000009</v>
      </c>
      <c r="F54" s="1205">
        <v>86551.02</v>
      </c>
      <c r="G54" s="1205">
        <v>83678.179999999993</v>
      </c>
      <c r="H54" s="1205">
        <v>81081.990000000005</v>
      </c>
      <c r="I54" s="1205">
        <v>82005.790000000008</v>
      </c>
      <c r="J54" s="1205">
        <v>85061.750000000015</v>
      </c>
      <c r="K54" s="1205">
        <v>80938.149999999994</v>
      </c>
      <c r="L54" s="1205">
        <v>85777.599999999991</v>
      </c>
      <c r="M54" s="1205">
        <v>78205.31</v>
      </c>
      <c r="N54" s="1205">
        <v>76648.34</v>
      </c>
      <c r="O54" s="1205">
        <v>-16923.989999999994</v>
      </c>
      <c r="P54" s="1205">
        <f t="shared" si="0"/>
        <v>887854.48999999987</v>
      </c>
    </row>
    <row r="55" spans="1:18">
      <c r="A55" s="1024">
        <f t="shared" si="1"/>
        <v>41</v>
      </c>
      <c r="B55" s="266">
        <v>871</v>
      </c>
      <c r="C55" s="533" t="s">
        <v>925</v>
      </c>
      <c r="D55" s="1205">
        <v>20251.53</v>
      </c>
      <c r="E55" s="1205">
        <v>17059.71</v>
      </c>
      <c r="F55" s="1205">
        <v>21252.66</v>
      </c>
      <c r="G55" s="1205">
        <v>21710.809999999998</v>
      </c>
      <c r="H55" s="1205">
        <v>20518.32</v>
      </c>
      <c r="I55" s="1205">
        <v>20918.93</v>
      </c>
      <c r="J55" s="1205">
        <v>21075.03</v>
      </c>
      <c r="K55" s="1205">
        <v>20041.939999999999</v>
      </c>
      <c r="L55" s="1205">
        <v>19149.88</v>
      </c>
      <c r="M55" s="1205">
        <v>18116.89</v>
      </c>
      <c r="N55" s="1205">
        <v>16227.41</v>
      </c>
      <c r="O55" s="1205">
        <v>17240.280000000002</v>
      </c>
      <c r="P55" s="1205">
        <f t="shared" si="0"/>
        <v>233563.39</v>
      </c>
    </row>
    <row r="56" spans="1:18">
      <c r="A56" s="1024">
        <f t="shared" si="1"/>
        <v>42</v>
      </c>
      <c r="B56" s="266">
        <v>874</v>
      </c>
      <c r="C56" s="533" t="s">
        <v>926</v>
      </c>
      <c r="D56" s="1205">
        <v>478602.53</v>
      </c>
      <c r="E56" s="1205">
        <v>432096.62</v>
      </c>
      <c r="F56" s="1205">
        <v>541236.39</v>
      </c>
      <c r="G56" s="1205">
        <v>543171.71000000008</v>
      </c>
      <c r="H56" s="1205">
        <v>541613.19000000006</v>
      </c>
      <c r="I56" s="1205">
        <v>573542.93000000005</v>
      </c>
      <c r="J56" s="1205">
        <v>530295.55000000005</v>
      </c>
      <c r="K56" s="1205">
        <v>531190.78999999992</v>
      </c>
      <c r="L56" s="1205">
        <v>479931.43000000005</v>
      </c>
      <c r="M56" s="1205">
        <v>431130.11</v>
      </c>
      <c r="N56" s="1205">
        <v>368441.64999999997</v>
      </c>
      <c r="O56" s="1205">
        <v>379423.51</v>
      </c>
      <c r="P56" s="1205">
        <f t="shared" si="0"/>
        <v>5830676.4100000001</v>
      </c>
    </row>
    <row r="57" spans="1:18">
      <c r="A57" s="1024">
        <f t="shared" si="1"/>
        <v>43</v>
      </c>
      <c r="B57" s="266">
        <v>875</v>
      </c>
      <c r="C57" s="533" t="s">
        <v>927</v>
      </c>
      <c r="D57" s="1205">
        <v>24488.660000000003</v>
      </c>
      <c r="E57" s="1205">
        <v>20980.689999999995</v>
      </c>
      <c r="F57" s="1205">
        <v>25596.51</v>
      </c>
      <c r="G57" s="1205">
        <v>26056.989999999998</v>
      </c>
      <c r="H57" s="1205">
        <v>24920.44</v>
      </c>
      <c r="I57" s="1205">
        <v>25632.820000000003</v>
      </c>
      <c r="J57" s="1205">
        <v>25403.64</v>
      </c>
      <c r="K57" s="1205">
        <v>24254.489999999998</v>
      </c>
      <c r="L57" s="1205">
        <v>23572.53</v>
      </c>
      <c r="M57" s="1205">
        <v>21922.420000000002</v>
      </c>
      <c r="N57" s="1205">
        <v>19809.5</v>
      </c>
      <c r="O57" s="1205">
        <v>19742.099999999999</v>
      </c>
      <c r="P57" s="1205">
        <f t="shared" si="0"/>
        <v>282380.78999999998</v>
      </c>
    </row>
    <row r="58" spans="1:18">
      <c r="A58" s="1024">
        <f t="shared" si="1"/>
        <v>44</v>
      </c>
      <c r="B58" s="266">
        <v>876</v>
      </c>
      <c r="C58" s="533" t="s">
        <v>928</v>
      </c>
      <c r="D58" s="1205">
        <v>10101.460000000001</v>
      </c>
      <c r="E58" s="1205">
        <v>8481.25</v>
      </c>
      <c r="F58" s="1205">
        <v>10050.52</v>
      </c>
      <c r="G58" s="1205">
        <v>10326.89</v>
      </c>
      <c r="H58" s="1205">
        <v>9657.9700000000012</v>
      </c>
      <c r="I58" s="1205">
        <v>9873.4599999999991</v>
      </c>
      <c r="J58" s="1205">
        <v>10125.820000000002</v>
      </c>
      <c r="K58" s="1205">
        <v>9354.869999999999</v>
      </c>
      <c r="L58" s="1205">
        <v>9468.2899999999991</v>
      </c>
      <c r="M58" s="1205">
        <v>9032.36</v>
      </c>
      <c r="N58" s="1205">
        <v>8388.9700000000012</v>
      </c>
      <c r="O58" s="1205">
        <v>7951.55</v>
      </c>
      <c r="P58" s="1205">
        <f t="shared" si="0"/>
        <v>112813.40999999999</v>
      </c>
    </row>
    <row r="59" spans="1:18">
      <c r="A59" s="1024">
        <f t="shared" si="1"/>
        <v>45</v>
      </c>
      <c r="B59" s="266">
        <v>878</v>
      </c>
      <c r="C59" s="533" t="s">
        <v>929</v>
      </c>
      <c r="D59" s="1205">
        <v>140291.21000000002</v>
      </c>
      <c r="E59" s="1205">
        <v>111866.26000000002</v>
      </c>
      <c r="F59" s="1205">
        <v>131318.56</v>
      </c>
      <c r="G59" s="1205">
        <v>146462.01999999999</v>
      </c>
      <c r="H59" s="1205">
        <v>134078.81999999998</v>
      </c>
      <c r="I59" s="1205">
        <v>139247.03</v>
      </c>
      <c r="J59" s="1205">
        <v>136197.6</v>
      </c>
      <c r="K59" s="1205">
        <v>121868.02000000002</v>
      </c>
      <c r="L59" s="1205">
        <v>128044.93000000001</v>
      </c>
      <c r="M59" s="1205">
        <v>124415.06999999999</v>
      </c>
      <c r="N59" s="1205">
        <v>110283.51</v>
      </c>
      <c r="O59" s="1205">
        <v>264184.61</v>
      </c>
      <c r="P59" s="1205">
        <f t="shared" si="0"/>
        <v>1688257.6400000001</v>
      </c>
    </row>
    <row r="60" spans="1:18">
      <c r="A60" s="1024">
        <f t="shared" si="1"/>
        <v>46</v>
      </c>
      <c r="B60" s="266">
        <v>879</v>
      </c>
      <c r="C60" s="533" t="s">
        <v>930</v>
      </c>
      <c r="D60" s="1205">
        <v>258218.69999999998</v>
      </c>
      <c r="E60" s="1205">
        <v>217740.05000000002</v>
      </c>
      <c r="F60" s="1205">
        <v>255254.81000000003</v>
      </c>
      <c r="G60" s="1205">
        <v>264301.09999999998</v>
      </c>
      <c r="H60" s="1205">
        <v>245991.14</v>
      </c>
      <c r="I60" s="1205">
        <v>256564.78</v>
      </c>
      <c r="J60" s="1205">
        <v>262180.07999999996</v>
      </c>
      <c r="K60" s="1205">
        <v>237622.57</v>
      </c>
      <c r="L60" s="1205">
        <v>245779.47</v>
      </c>
      <c r="M60" s="1205">
        <v>230722.96</v>
      </c>
      <c r="N60" s="1205">
        <v>205354.19999999998</v>
      </c>
      <c r="O60" s="1205">
        <v>213929.86</v>
      </c>
      <c r="P60" s="1205">
        <f t="shared" si="0"/>
        <v>2893659.72</v>
      </c>
    </row>
    <row r="61" spans="1:18">
      <c r="A61" s="1024">
        <f t="shared" si="1"/>
        <v>47</v>
      </c>
      <c r="B61" s="266">
        <v>880</v>
      </c>
      <c r="C61" s="533" t="s">
        <v>931</v>
      </c>
      <c r="D61" s="1205">
        <v>128450.40000000001</v>
      </c>
      <c r="E61" s="1205">
        <v>114790.17</v>
      </c>
      <c r="F61" s="1205">
        <v>130027.22000000002</v>
      </c>
      <c r="G61" s="1205">
        <v>131496.66000000003</v>
      </c>
      <c r="H61" s="1205">
        <v>132674.47</v>
      </c>
      <c r="I61" s="1205">
        <v>145399.36000000002</v>
      </c>
      <c r="J61" s="1205">
        <v>133002.79</v>
      </c>
      <c r="K61" s="1205">
        <v>125786.25000000001</v>
      </c>
      <c r="L61" s="1205">
        <v>136659.89000000001</v>
      </c>
      <c r="M61" s="1205">
        <v>113912.37000000001</v>
      </c>
      <c r="N61" s="1205">
        <v>100548.16</v>
      </c>
      <c r="O61" s="1205">
        <v>92077.83</v>
      </c>
      <c r="P61" s="1205">
        <f t="shared" si="0"/>
        <v>1484825.57</v>
      </c>
    </row>
    <row r="62" spans="1:18">
      <c r="A62" s="1024">
        <f t="shared" si="1"/>
        <v>48</v>
      </c>
      <c r="B62" s="266">
        <v>881</v>
      </c>
      <c r="C62" s="533" t="s">
        <v>1080</v>
      </c>
      <c r="D62" s="1205">
        <v>1964</v>
      </c>
      <c r="E62" s="1205">
        <v>2674.91</v>
      </c>
      <c r="F62" s="1205">
        <v>2020.17</v>
      </c>
      <c r="G62" s="1205">
        <v>2291.91</v>
      </c>
      <c r="H62" s="1205">
        <v>2770.41</v>
      </c>
      <c r="I62" s="1205">
        <v>2796.8900000000003</v>
      </c>
      <c r="J62" s="1205">
        <v>2343.9499999999998</v>
      </c>
      <c r="K62" s="1205">
        <v>2090.86</v>
      </c>
      <c r="L62" s="1205">
        <v>2236.0299999999997</v>
      </c>
      <c r="M62" s="1205">
        <v>2575.0700000000002</v>
      </c>
      <c r="N62" s="1205">
        <v>2276.0299999999997</v>
      </c>
      <c r="O62" s="1205">
        <v>-2560.44</v>
      </c>
      <c r="P62" s="1205">
        <f t="shared" si="0"/>
        <v>23479.79</v>
      </c>
    </row>
    <row r="63" spans="1:18">
      <c r="A63" s="1024">
        <f t="shared" si="1"/>
        <v>49</v>
      </c>
      <c r="B63" s="266">
        <v>885</v>
      </c>
      <c r="C63" s="533" t="s">
        <v>924</v>
      </c>
      <c r="D63" s="1205">
        <v>7545.8499999999995</v>
      </c>
      <c r="E63" s="1205">
        <v>6490.81</v>
      </c>
      <c r="F63" s="1205">
        <v>7340.85</v>
      </c>
      <c r="G63" s="1205">
        <v>7677.62</v>
      </c>
      <c r="H63" s="1205">
        <v>7004.0300000000007</v>
      </c>
      <c r="I63" s="1205">
        <v>7310.33</v>
      </c>
      <c r="J63" s="1205">
        <v>7661.6799999999994</v>
      </c>
      <c r="K63" s="1205">
        <v>6761.24</v>
      </c>
      <c r="L63" s="1205">
        <v>7341.72</v>
      </c>
      <c r="M63" s="1205">
        <v>6837.72</v>
      </c>
      <c r="N63" s="1205">
        <v>5854.4</v>
      </c>
      <c r="O63" s="1205">
        <v>6384.01</v>
      </c>
      <c r="P63" s="1205">
        <f t="shared" si="0"/>
        <v>84210.26</v>
      </c>
    </row>
    <row r="64" spans="1:18">
      <c r="A64" s="1024">
        <f t="shared" si="1"/>
        <v>50</v>
      </c>
      <c r="B64" s="266">
        <v>886</v>
      </c>
      <c r="C64" s="533" t="s">
        <v>933</v>
      </c>
      <c r="D64" s="1205">
        <v>10164.75</v>
      </c>
      <c r="E64" s="1205">
        <v>9972.66</v>
      </c>
      <c r="F64" s="1205">
        <v>13044.52</v>
      </c>
      <c r="G64" s="1205">
        <v>12803.71</v>
      </c>
      <c r="H64" s="1205">
        <v>13328.88</v>
      </c>
      <c r="I64" s="1205">
        <v>13881.169999999998</v>
      </c>
      <c r="J64" s="1205">
        <v>12153.569999999998</v>
      </c>
      <c r="K64" s="1205">
        <v>13161.210000000001</v>
      </c>
      <c r="L64" s="1205">
        <v>11106.740000000002</v>
      </c>
      <c r="M64" s="1205">
        <v>9361.59</v>
      </c>
      <c r="N64" s="1205">
        <v>7608.39</v>
      </c>
      <c r="O64" s="1205">
        <v>7657.5199999999995</v>
      </c>
      <c r="P64" s="1205">
        <f t="shared" si="0"/>
        <v>134244.71</v>
      </c>
    </row>
    <row r="65" spans="1:16">
      <c r="A65" s="1024">
        <f t="shared" si="1"/>
        <v>51</v>
      </c>
      <c r="B65" s="266">
        <v>887</v>
      </c>
      <c r="C65" s="533" t="s">
        <v>393</v>
      </c>
      <c r="D65" s="1205">
        <v>282154.61</v>
      </c>
      <c r="E65" s="1205">
        <v>255912.86</v>
      </c>
      <c r="F65" s="1205">
        <v>322284.82999999996</v>
      </c>
      <c r="G65" s="1205">
        <v>322223.28000000003</v>
      </c>
      <c r="H65" s="1205">
        <v>320801.15000000002</v>
      </c>
      <c r="I65" s="1205">
        <v>339508.33</v>
      </c>
      <c r="J65" s="1205">
        <v>315211.27</v>
      </c>
      <c r="K65" s="1205">
        <v>315484.49</v>
      </c>
      <c r="L65" s="1205">
        <v>285789.91000000003</v>
      </c>
      <c r="M65" s="1205">
        <v>254379.36</v>
      </c>
      <c r="N65" s="1205">
        <v>214702.97</v>
      </c>
      <c r="O65" s="1205">
        <v>205188.94999999998</v>
      </c>
      <c r="P65" s="1205">
        <f t="shared" si="0"/>
        <v>3433642.0100000007</v>
      </c>
    </row>
    <row r="66" spans="1:16">
      <c r="A66" s="1024">
        <f t="shared" si="1"/>
        <v>52</v>
      </c>
      <c r="B66" s="266">
        <v>889</v>
      </c>
      <c r="C66" s="533" t="s">
        <v>927</v>
      </c>
      <c r="D66" s="1205">
        <v>65875.09</v>
      </c>
      <c r="E66" s="1205">
        <v>53179.24</v>
      </c>
      <c r="F66" s="1205">
        <v>63686.15</v>
      </c>
      <c r="G66" s="1205">
        <v>65199.72</v>
      </c>
      <c r="H66" s="1205">
        <v>64155.310000000005</v>
      </c>
      <c r="I66" s="1205">
        <v>73579.59</v>
      </c>
      <c r="J66" s="1205">
        <v>67960.710000000006</v>
      </c>
      <c r="K66" s="1205">
        <v>61634.99</v>
      </c>
      <c r="L66" s="1205">
        <v>61149.360000000008</v>
      </c>
      <c r="M66" s="1205">
        <v>56056.54</v>
      </c>
      <c r="N66" s="1205">
        <v>50166.289999999994</v>
      </c>
      <c r="O66" s="1205">
        <v>52249.919999999991</v>
      </c>
      <c r="P66" s="1205">
        <f t="shared" si="0"/>
        <v>734892.91000000015</v>
      </c>
    </row>
    <row r="67" spans="1:16">
      <c r="A67" s="1024">
        <f t="shared" si="1"/>
        <v>53</v>
      </c>
      <c r="B67" s="266">
        <v>890</v>
      </c>
      <c r="C67" s="533" t="s">
        <v>928</v>
      </c>
      <c r="D67" s="1205">
        <v>7599.4699999999993</v>
      </c>
      <c r="E67" s="1205">
        <v>6497.3600000000015</v>
      </c>
      <c r="F67" s="1205">
        <v>7597.7900000000009</v>
      </c>
      <c r="G67" s="1205">
        <v>7799.0099999999993</v>
      </c>
      <c r="H67" s="1205">
        <v>7326.13</v>
      </c>
      <c r="I67" s="1205">
        <v>7505.54</v>
      </c>
      <c r="J67" s="1205">
        <v>7651.1900000000005</v>
      </c>
      <c r="K67" s="1205">
        <v>7089.86</v>
      </c>
      <c r="L67" s="1205">
        <v>7221.47</v>
      </c>
      <c r="M67" s="1205">
        <v>6829.6</v>
      </c>
      <c r="N67" s="1205">
        <v>6315.5</v>
      </c>
      <c r="O67" s="1205">
        <v>5766.5400000000009</v>
      </c>
      <c r="P67" s="1205">
        <f t="shared" si="0"/>
        <v>85199.460000000021</v>
      </c>
    </row>
    <row r="68" spans="1:16" ht="9.6" customHeight="1">
      <c r="A68" s="1024"/>
      <c r="B68" s="266"/>
      <c r="C68" s="533"/>
      <c r="D68" s="268"/>
      <c r="E68" s="268"/>
      <c r="F68" s="268"/>
      <c r="G68" s="268"/>
      <c r="H68" s="268"/>
      <c r="I68" s="268"/>
      <c r="J68" s="268"/>
      <c r="K68" s="268"/>
      <c r="L68" s="268"/>
      <c r="M68" s="268"/>
      <c r="N68" s="268"/>
      <c r="O68" s="268"/>
      <c r="P68" s="268"/>
    </row>
    <row r="69" spans="1:16">
      <c r="A69" s="1326" t="str">
        <f>A1</f>
        <v>COLUMBIA GAS OF KENTUCKY, INC.</v>
      </c>
      <c r="B69" s="1326"/>
      <c r="C69" s="1327"/>
      <c r="D69" s="1327"/>
      <c r="E69" s="1327"/>
      <c r="F69" s="1327"/>
      <c r="G69" s="1327"/>
      <c r="H69" s="1327"/>
      <c r="I69" s="1327"/>
      <c r="J69" s="1327"/>
      <c r="K69" s="1327"/>
      <c r="L69" s="1327"/>
      <c r="M69" s="1327"/>
      <c r="N69" s="1327"/>
      <c r="O69" s="1327"/>
      <c r="P69" s="1327"/>
    </row>
    <row r="70" spans="1:16">
      <c r="A70" s="1326" t="str">
        <f>A2</f>
        <v>CASE NO. 2024 - 00092</v>
      </c>
      <c r="B70" s="1326"/>
      <c r="C70" s="1327"/>
      <c r="D70" s="1327"/>
      <c r="E70" s="1327"/>
      <c r="F70" s="1327"/>
      <c r="G70" s="1327"/>
      <c r="H70" s="1327"/>
      <c r="I70" s="1327"/>
      <c r="J70" s="1327"/>
      <c r="K70" s="1327"/>
      <c r="L70" s="1327"/>
      <c r="M70" s="1327"/>
      <c r="N70" s="1327"/>
      <c r="O70" s="1327"/>
      <c r="P70" s="1327"/>
    </row>
    <row r="71" spans="1:16">
      <c r="A71" s="1326" t="str">
        <f>A3</f>
        <v>FORECASTED PERIOD COMPARISON OF TOTAL COMPANY ACCOUNT ACTIVITY</v>
      </c>
      <c r="B71" s="1326"/>
      <c r="C71" s="1327"/>
      <c r="D71" s="1327"/>
      <c r="E71" s="1327"/>
      <c r="F71" s="1327"/>
      <c r="G71" s="1327"/>
      <c r="H71" s="1327"/>
      <c r="I71" s="1327"/>
      <c r="J71" s="1327"/>
      <c r="K71" s="1327"/>
      <c r="L71" s="1327"/>
      <c r="M71" s="1327"/>
      <c r="N71" s="1327"/>
      <c r="O71" s="1327"/>
      <c r="P71" s="1327"/>
    </row>
    <row r="72" spans="1:16">
      <c r="A72" s="1326" t="str">
        <f>A4</f>
        <v>FOR THE TWELVE MONTHS ENDED DECEMBER 31, 2025</v>
      </c>
      <c r="B72" s="1326"/>
      <c r="C72" s="1327"/>
      <c r="D72" s="1327"/>
      <c r="E72" s="1327"/>
      <c r="F72" s="1327"/>
      <c r="G72" s="1327"/>
      <c r="H72" s="1327"/>
      <c r="I72" s="1327"/>
      <c r="J72" s="1327"/>
      <c r="K72" s="1327"/>
      <c r="L72" s="1327"/>
      <c r="M72" s="1327"/>
      <c r="N72" s="1327"/>
      <c r="O72" s="1327"/>
      <c r="P72" s="1327"/>
    </row>
    <row r="73" spans="1:16">
      <c r="A73" s="266"/>
      <c r="B73" s="266"/>
      <c r="C73" s="529"/>
      <c r="D73" s="529"/>
      <c r="E73" s="529"/>
      <c r="F73" s="529"/>
      <c r="G73" s="529"/>
      <c r="H73" s="529"/>
      <c r="I73" s="529"/>
      <c r="J73" s="529"/>
      <c r="K73" s="529"/>
      <c r="L73" s="529"/>
      <c r="M73" s="529"/>
      <c r="N73" s="529"/>
      <c r="O73" s="529"/>
      <c r="P73" s="529"/>
    </row>
    <row r="74" spans="1:16">
      <c r="A74" s="532" t="str">
        <f>A6</f>
        <v>DATA:_____BASE PERIOD__X___FORECASTED PERIOD</v>
      </c>
      <c r="B74" s="532"/>
      <c r="C74" s="529"/>
      <c r="D74" s="529"/>
      <c r="E74" s="529"/>
      <c r="F74" s="529"/>
      <c r="G74" s="529"/>
      <c r="H74" s="529"/>
      <c r="I74" s="529"/>
      <c r="J74" s="529"/>
      <c r="K74" s="529"/>
      <c r="L74" s="529"/>
      <c r="M74" s="529"/>
      <c r="N74" s="533"/>
      <c r="O74" s="529"/>
      <c r="P74" s="534" t="str">
        <f>P6</f>
        <v>SCHEDULE C-2.2.B</v>
      </c>
    </row>
    <row r="75" spans="1:16">
      <c r="A75" s="532" t="str">
        <f>A7</f>
        <v>TYPE OF FILING:___X___ORIGINAL______UPDATED</v>
      </c>
      <c r="B75" s="532"/>
      <c r="C75" s="529"/>
      <c r="D75" s="529"/>
      <c r="E75" s="529"/>
      <c r="F75" s="529"/>
      <c r="G75" s="529"/>
      <c r="H75" s="529"/>
      <c r="I75" s="529"/>
      <c r="J75" s="529"/>
      <c r="K75" s="529"/>
      <c r="L75" s="529"/>
      <c r="M75" s="529"/>
      <c r="N75" s="533"/>
      <c r="O75" s="529"/>
      <c r="P75" s="534" t="s">
        <v>832</v>
      </c>
    </row>
    <row r="76" spans="1:16">
      <c r="A76" s="532" t="s">
        <v>575</v>
      </c>
      <c r="B76" s="532"/>
      <c r="C76" s="529"/>
      <c r="D76" s="529"/>
      <c r="E76" s="529"/>
      <c r="F76" s="529"/>
      <c r="G76" s="529"/>
      <c r="H76" s="529"/>
      <c r="I76" s="529"/>
      <c r="J76" s="529"/>
      <c r="K76" s="529"/>
      <c r="L76" s="529"/>
      <c r="M76" s="529"/>
      <c r="N76" s="533"/>
      <c r="O76" s="529"/>
      <c r="P76" s="859" t="str">
        <f>"WITNESS: "&amp;'General Headers Index'!$B$45</f>
        <v>WITNESS: SHAEFFER</v>
      </c>
    </row>
    <row r="77" spans="1:16">
      <c r="A77" s="532"/>
      <c r="B77" s="532"/>
      <c r="C77" s="856"/>
      <c r="D77" s="856"/>
      <c r="E77" s="856"/>
      <c r="F77" s="856"/>
      <c r="G77" s="856"/>
      <c r="H77" s="856"/>
      <c r="I77" s="856"/>
      <c r="J77" s="856"/>
      <c r="K77" s="856"/>
      <c r="L77" s="856"/>
      <c r="M77" s="856"/>
      <c r="N77" s="857"/>
      <c r="O77" s="856"/>
      <c r="P77" s="860"/>
    </row>
    <row r="78" spans="1:16">
      <c r="A78" s="535" t="s">
        <v>641</v>
      </c>
      <c r="B78" s="536"/>
      <c r="C78" s="536"/>
      <c r="D78" s="266" t="str">
        <f t="shared" ref="D78:O78" si="2">D10</f>
        <v>Forecasted</v>
      </c>
      <c r="E78" s="266" t="str">
        <f t="shared" si="2"/>
        <v>Forecasted</v>
      </c>
      <c r="F78" s="266" t="str">
        <f t="shared" si="2"/>
        <v>Forecasted</v>
      </c>
      <c r="G78" s="266" t="str">
        <f t="shared" si="2"/>
        <v>Forecasted</v>
      </c>
      <c r="H78" s="266" t="str">
        <f t="shared" si="2"/>
        <v>Forecasted</v>
      </c>
      <c r="I78" s="266" t="str">
        <f t="shared" si="2"/>
        <v>Forecasted</v>
      </c>
      <c r="J78" s="266" t="str">
        <f t="shared" si="2"/>
        <v>Forecasted</v>
      </c>
      <c r="K78" s="266" t="str">
        <f t="shared" si="2"/>
        <v>Forecasted</v>
      </c>
      <c r="L78" s="266" t="str">
        <f t="shared" si="2"/>
        <v>Forecasted</v>
      </c>
      <c r="M78" s="266" t="str">
        <f t="shared" si="2"/>
        <v>Forecasted</v>
      </c>
      <c r="N78" s="266" t="str">
        <f t="shared" si="2"/>
        <v>Forecasted</v>
      </c>
      <c r="O78" s="266" t="str">
        <f t="shared" si="2"/>
        <v>Forecasted</v>
      </c>
      <c r="P78" s="529"/>
    </row>
    <row r="79" spans="1:16">
      <c r="A79" s="1020" t="s">
        <v>642</v>
      </c>
      <c r="B79" s="1020" t="s">
        <v>884</v>
      </c>
      <c r="C79" s="1020" t="s">
        <v>885</v>
      </c>
      <c r="D79" s="1021" t="str">
        <f t="shared" ref="D79:O79" si="3">D11</f>
        <v>JAN</v>
      </c>
      <c r="E79" s="1021" t="str">
        <f t="shared" si="3"/>
        <v>FEB</v>
      </c>
      <c r="F79" s="1021" t="str">
        <f t="shared" si="3"/>
        <v>MAR</v>
      </c>
      <c r="G79" s="1021" t="str">
        <f t="shared" si="3"/>
        <v>APR</v>
      </c>
      <c r="H79" s="1021" t="str">
        <f t="shared" si="3"/>
        <v>MAY</v>
      </c>
      <c r="I79" s="1021" t="str">
        <f t="shared" si="3"/>
        <v>JUN</v>
      </c>
      <c r="J79" s="1021" t="str">
        <f t="shared" si="3"/>
        <v>JUL</v>
      </c>
      <c r="K79" s="1021" t="str">
        <f t="shared" si="3"/>
        <v>AUG</v>
      </c>
      <c r="L79" s="1021" t="str">
        <f t="shared" si="3"/>
        <v>SEP</v>
      </c>
      <c r="M79" s="1021" t="str">
        <f t="shared" si="3"/>
        <v>OCT</v>
      </c>
      <c r="N79" s="1021" t="str">
        <f t="shared" si="3"/>
        <v>NOV</v>
      </c>
      <c r="O79" s="1021" t="str">
        <f t="shared" si="3"/>
        <v>DEC</v>
      </c>
      <c r="P79" s="1023" t="s">
        <v>349</v>
      </c>
    </row>
    <row r="80" spans="1:16" ht="12.75">
      <c r="A80" s="266"/>
      <c r="B80" s="266"/>
      <c r="C80" s="266"/>
      <c r="D80" s="300" t="s">
        <v>532</v>
      </c>
      <c r="E80" s="300" t="s">
        <v>541</v>
      </c>
      <c r="F80" s="300" t="s">
        <v>542</v>
      </c>
      <c r="G80" s="300" t="s">
        <v>668</v>
      </c>
      <c r="H80" s="300" t="s">
        <v>669</v>
      </c>
      <c r="I80" s="300" t="s">
        <v>670</v>
      </c>
      <c r="J80" s="300" t="s">
        <v>984</v>
      </c>
      <c r="K80" s="300" t="s">
        <v>985</v>
      </c>
      <c r="L80" s="300" t="s">
        <v>986</v>
      </c>
      <c r="M80" s="300" t="s">
        <v>987</v>
      </c>
      <c r="N80" s="300" t="s">
        <v>988</v>
      </c>
      <c r="O80" s="300" t="s">
        <v>989</v>
      </c>
      <c r="P80" s="334" t="str">
        <f>"(13=1 through 12)"</f>
        <v>(13=1 through 12)</v>
      </c>
    </row>
    <row r="81" spans="1:16">
      <c r="A81" s="529"/>
      <c r="B81" s="529"/>
      <c r="C81" s="529"/>
      <c r="D81" s="537" t="s">
        <v>320</v>
      </c>
      <c r="E81" s="537" t="s">
        <v>320</v>
      </c>
      <c r="F81" s="537" t="s">
        <v>320</v>
      </c>
      <c r="G81" s="537" t="s">
        <v>320</v>
      </c>
      <c r="H81" s="537" t="s">
        <v>320</v>
      </c>
      <c r="I81" s="537" t="s">
        <v>320</v>
      </c>
      <c r="J81" s="537" t="s">
        <v>320</v>
      </c>
      <c r="K81" s="537" t="s">
        <v>320</v>
      </c>
      <c r="L81" s="537" t="s">
        <v>320</v>
      </c>
      <c r="M81" s="537" t="s">
        <v>320</v>
      </c>
      <c r="N81" s="537" t="s">
        <v>320</v>
      </c>
      <c r="O81" s="537" t="s">
        <v>320</v>
      </c>
      <c r="P81" s="537" t="s">
        <v>320</v>
      </c>
    </row>
    <row r="82" spans="1:16">
      <c r="A82" s="529"/>
      <c r="B82" s="529"/>
      <c r="C82" s="529"/>
      <c r="D82" s="537"/>
      <c r="E82" s="537"/>
      <c r="F82" s="537"/>
      <c r="G82" s="537"/>
      <c r="H82" s="537"/>
      <c r="I82" s="537"/>
      <c r="J82" s="537"/>
      <c r="K82" s="537"/>
      <c r="L82" s="537"/>
      <c r="M82" s="537"/>
      <c r="N82" s="537"/>
      <c r="O82" s="537"/>
      <c r="P82" s="537"/>
    </row>
    <row r="83" spans="1:16">
      <c r="A83" s="1024">
        <v>1</v>
      </c>
      <c r="B83" s="266" t="s">
        <v>825</v>
      </c>
      <c r="C83" s="533" t="s">
        <v>398</v>
      </c>
      <c r="D83" s="1205">
        <v>55347.039999999994</v>
      </c>
      <c r="E83" s="1205">
        <v>47862.149999999994</v>
      </c>
      <c r="F83" s="1205">
        <v>58869.87</v>
      </c>
      <c r="G83" s="1205">
        <v>59877.25</v>
      </c>
      <c r="H83" s="1205">
        <v>56887.520000000004</v>
      </c>
      <c r="I83" s="1205">
        <v>61729.81</v>
      </c>
      <c r="J83" s="1205">
        <v>59466.36</v>
      </c>
      <c r="K83" s="1205">
        <v>55249.549999999996</v>
      </c>
      <c r="L83" s="1205">
        <v>55103.080000000009</v>
      </c>
      <c r="M83" s="1205">
        <v>49802.55999999999</v>
      </c>
      <c r="N83" s="1205">
        <v>41285.359999999993</v>
      </c>
      <c r="O83" s="1205">
        <v>40972.559999999998</v>
      </c>
      <c r="P83" s="1205">
        <f>SUM(D83:O83)</f>
        <v>642453.10999999987</v>
      </c>
    </row>
    <row r="84" spans="1:16">
      <c r="A84" s="1024">
        <f>A83+1</f>
        <v>2</v>
      </c>
      <c r="B84" s="266" t="s">
        <v>827</v>
      </c>
      <c r="C84" s="533" t="s">
        <v>934</v>
      </c>
      <c r="D84" s="1205">
        <v>22894.929999999997</v>
      </c>
      <c r="E84" s="1205">
        <v>18634.629999999997</v>
      </c>
      <c r="F84" s="1205">
        <v>21575.3</v>
      </c>
      <c r="G84" s="1205">
        <v>22326.660000000003</v>
      </c>
      <c r="H84" s="1205">
        <v>21563.11</v>
      </c>
      <c r="I84" s="1205">
        <v>24721.61</v>
      </c>
      <c r="J84" s="1205">
        <v>23373.16</v>
      </c>
      <c r="K84" s="1205">
        <v>20612.93</v>
      </c>
      <c r="L84" s="1205">
        <v>21481.55</v>
      </c>
      <c r="M84" s="1205">
        <v>19641.78</v>
      </c>
      <c r="N84" s="1205">
        <v>17292.57</v>
      </c>
      <c r="O84" s="1205">
        <v>18376.900000000001</v>
      </c>
      <c r="P84" s="1205">
        <f t="shared" ref="P84:P111" si="4">SUM(D84:O84)</f>
        <v>252495.12999999998</v>
      </c>
    </row>
    <row r="85" spans="1:16">
      <c r="A85" s="1024">
        <f t="shared" ref="A85:A111" si="5">A84+1</f>
        <v>3</v>
      </c>
      <c r="B85" s="266" t="s">
        <v>829</v>
      </c>
      <c r="C85" s="533" t="s">
        <v>935</v>
      </c>
      <c r="D85" s="1205">
        <v>24719.48</v>
      </c>
      <c r="E85" s="1205">
        <v>19073.380000000005</v>
      </c>
      <c r="F85" s="1205">
        <v>22343.67</v>
      </c>
      <c r="G85" s="1205">
        <v>22987.89</v>
      </c>
      <c r="H85" s="1205">
        <v>23425.47</v>
      </c>
      <c r="I85" s="1205">
        <v>29436.11</v>
      </c>
      <c r="J85" s="1205">
        <v>25429.94</v>
      </c>
      <c r="K85" s="1205">
        <v>22156.16</v>
      </c>
      <c r="L85" s="1205">
        <v>22484.35</v>
      </c>
      <c r="M85" s="1205">
        <v>20134.41</v>
      </c>
      <c r="N85" s="1205">
        <v>17852.05</v>
      </c>
      <c r="O85" s="1205">
        <v>19571.519999999993</v>
      </c>
      <c r="P85" s="1205">
        <f t="shared" si="4"/>
        <v>269614.43</v>
      </c>
    </row>
    <row r="86" spans="1:16">
      <c r="A86" s="1024">
        <f t="shared" si="5"/>
        <v>4</v>
      </c>
      <c r="B86" s="266" t="s">
        <v>833</v>
      </c>
      <c r="C86" s="533" t="s">
        <v>936</v>
      </c>
      <c r="D86" s="1205">
        <v>0</v>
      </c>
      <c r="E86" s="1205">
        <v>0</v>
      </c>
      <c r="F86" s="1205">
        <v>0</v>
      </c>
      <c r="G86" s="1205">
        <v>0</v>
      </c>
      <c r="H86" s="1205">
        <v>0</v>
      </c>
      <c r="I86" s="1205">
        <v>0</v>
      </c>
      <c r="J86" s="1205">
        <v>0</v>
      </c>
      <c r="K86" s="1205">
        <v>0</v>
      </c>
      <c r="L86" s="1205">
        <v>0</v>
      </c>
      <c r="M86" s="1205">
        <v>0</v>
      </c>
      <c r="N86" s="1205">
        <v>0</v>
      </c>
      <c r="O86" s="1205">
        <v>0</v>
      </c>
      <c r="P86" s="1205">
        <f t="shared" si="4"/>
        <v>0</v>
      </c>
    </row>
    <row r="87" spans="1:16">
      <c r="A87" s="1024">
        <f t="shared" si="5"/>
        <v>5</v>
      </c>
      <c r="B87" s="266" t="s">
        <v>835</v>
      </c>
      <c r="C87" s="533" t="s">
        <v>937</v>
      </c>
      <c r="D87" s="1205">
        <v>23240.809999999998</v>
      </c>
      <c r="E87" s="1205">
        <v>20866.93</v>
      </c>
      <c r="F87" s="1205">
        <v>26844.61</v>
      </c>
      <c r="G87" s="1205">
        <v>26931.78</v>
      </c>
      <c r="H87" s="1205">
        <v>26469.739999999998</v>
      </c>
      <c r="I87" s="1205">
        <v>27143.72</v>
      </c>
      <c r="J87" s="1205">
        <v>25828.79</v>
      </c>
      <c r="K87" s="1205">
        <v>26108.55</v>
      </c>
      <c r="L87" s="1205">
        <v>23102.480000000003</v>
      </c>
      <c r="M87" s="1205">
        <v>21082.82</v>
      </c>
      <c r="N87" s="1205">
        <v>18062.810000000001</v>
      </c>
      <c r="O87" s="1205">
        <v>18779.239999999998</v>
      </c>
      <c r="P87" s="1205">
        <f t="shared" si="4"/>
        <v>284462.28000000003</v>
      </c>
    </row>
    <row r="88" spans="1:16">
      <c r="A88" s="1024">
        <f t="shared" si="5"/>
        <v>6</v>
      </c>
      <c r="B88" s="266" t="s">
        <v>837</v>
      </c>
      <c r="C88" s="267" t="s">
        <v>1081</v>
      </c>
      <c r="D88" s="1205">
        <v>227570.09000000003</v>
      </c>
      <c r="E88" s="1205">
        <v>202160.49</v>
      </c>
      <c r="F88" s="1205">
        <v>213602.00999999998</v>
      </c>
      <c r="G88" s="1205">
        <v>216167.94</v>
      </c>
      <c r="H88" s="1205">
        <v>221088.69999999998</v>
      </c>
      <c r="I88" s="1205">
        <v>258974.26</v>
      </c>
      <c r="J88" s="1205">
        <v>229541.99</v>
      </c>
      <c r="K88" s="1205">
        <v>209323.06999999998</v>
      </c>
      <c r="L88" s="1205">
        <v>223030.97</v>
      </c>
      <c r="M88" s="1205">
        <v>197541.19</v>
      </c>
      <c r="N88" s="1205">
        <v>187725.46000000002</v>
      </c>
      <c r="O88" s="1205">
        <v>110892.44</v>
      </c>
      <c r="P88" s="1205">
        <f t="shared" si="4"/>
        <v>2497618.61</v>
      </c>
    </row>
    <row r="89" spans="1:16">
      <c r="A89" s="1024">
        <f t="shared" si="5"/>
        <v>7</v>
      </c>
      <c r="B89" s="266" t="s">
        <v>839</v>
      </c>
      <c r="C89" s="533" t="s">
        <v>939</v>
      </c>
      <c r="D89" s="1205">
        <v>199448.84999999998</v>
      </c>
      <c r="E89" s="1205">
        <v>173667.36</v>
      </c>
      <c r="F89" s="1205">
        <v>144324.21</v>
      </c>
      <c r="G89" s="1205">
        <v>104210.87</v>
      </c>
      <c r="H89" s="1205">
        <v>85922.55</v>
      </c>
      <c r="I89" s="1205">
        <v>76041.709999999992</v>
      </c>
      <c r="J89" s="1205">
        <v>83993.74</v>
      </c>
      <c r="K89" s="1205">
        <v>78392.990000000005</v>
      </c>
      <c r="L89" s="1205">
        <v>78137.469999999987</v>
      </c>
      <c r="M89" s="1205">
        <v>100101.04999999999</v>
      </c>
      <c r="N89" s="1205">
        <v>167405.91999999998</v>
      </c>
      <c r="O89" s="1205">
        <v>212009.64</v>
      </c>
      <c r="P89" s="1205">
        <f t="shared" si="4"/>
        <v>1503656.3599999999</v>
      </c>
    </row>
    <row r="90" spans="1:16">
      <c r="A90" s="1024">
        <f t="shared" si="5"/>
        <v>8</v>
      </c>
      <c r="B90" s="266" t="s">
        <v>841</v>
      </c>
      <c r="C90" s="533" t="s">
        <v>940</v>
      </c>
      <c r="D90" s="1205">
        <v>1534.8500000000001</v>
      </c>
      <c r="E90" s="1205">
        <v>1613.35</v>
      </c>
      <c r="F90" s="1205">
        <v>1650.37</v>
      </c>
      <c r="G90" s="1205">
        <v>1461.49</v>
      </c>
      <c r="H90" s="1205">
        <v>1521.95</v>
      </c>
      <c r="I90" s="1205">
        <v>1465.4</v>
      </c>
      <c r="J90" s="1205">
        <v>1524.1100000000001</v>
      </c>
      <c r="K90" s="1205">
        <v>1526.37</v>
      </c>
      <c r="L90" s="1205">
        <v>2086.2800000000002</v>
      </c>
      <c r="M90" s="1205">
        <v>1433.17</v>
      </c>
      <c r="N90" s="1205">
        <v>1367.67</v>
      </c>
      <c r="O90" s="1205">
        <v>-1354.8</v>
      </c>
      <c r="P90" s="1205">
        <f t="shared" si="4"/>
        <v>15830.210000000003</v>
      </c>
    </row>
    <row r="91" spans="1:16">
      <c r="A91" s="1024">
        <f t="shared" si="5"/>
        <v>9</v>
      </c>
      <c r="B91" s="266" t="s">
        <v>845</v>
      </c>
      <c r="C91" s="533" t="s">
        <v>936</v>
      </c>
      <c r="D91" s="1205">
        <v>0</v>
      </c>
      <c r="E91" s="1205">
        <v>0</v>
      </c>
      <c r="F91" s="1205">
        <v>0</v>
      </c>
      <c r="G91" s="1205">
        <v>0</v>
      </c>
      <c r="H91" s="1205">
        <v>0</v>
      </c>
      <c r="I91" s="1205">
        <v>0</v>
      </c>
      <c r="J91" s="1205">
        <v>0</v>
      </c>
      <c r="K91" s="1205">
        <v>0</v>
      </c>
      <c r="L91" s="1205">
        <v>0</v>
      </c>
      <c r="M91" s="1205">
        <v>0</v>
      </c>
      <c r="N91" s="1205">
        <v>0</v>
      </c>
      <c r="O91" s="1205">
        <v>0</v>
      </c>
      <c r="P91" s="1205">
        <f t="shared" si="4"/>
        <v>0</v>
      </c>
    </row>
    <row r="92" spans="1:16">
      <c r="A92" s="1024">
        <f t="shared" si="5"/>
        <v>10</v>
      </c>
      <c r="B92" s="266" t="s">
        <v>846</v>
      </c>
      <c r="C92" s="533" t="s">
        <v>941</v>
      </c>
      <c r="D92" s="1205">
        <v>13589.150000000001</v>
      </c>
      <c r="E92" s="1205">
        <v>6334.99</v>
      </c>
      <c r="F92" s="1205">
        <v>11775.470000000001</v>
      </c>
      <c r="G92" s="1205">
        <v>11775.630000000001</v>
      </c>
      <c r="H92" s="1205">
        <v>2707.9</v>
      </c>
      <c r="I92" s="1205">
        <v>894.41</v>
      </c>
      <c r="J92" s="1205">
        <v>7931.1</v>
      </c>
      <c r="K92" s="1205">
        <v>1039.6300000000001</v>
      </c>
      <c r="L92" s="1205">
        <v>11075.609999999999</v>
      </c>
      <c r="M92" s="1205">
        <v>9767.1200000000008</v>
      </c>
      <c r="N92" s="1205">
        <v>13906.84</v>
      </c>
      <c r="O92" s="1205">
        <v>15414.710000000001</v>
      </c>
      <c r="P92" s="1205">
        <f t="shared" si="4"/>
        <v>106212.56</v>
      </c>
    </row>
    <row r="93" spans="1:16">
      <c r="A93" s="1024">
        <f t="shared" si="5"/>
        <v>11</v>
      </c>
      <c r="B93" s="266" t="s">
        <v>848</v>
      </c>
      <c r="C93" s="533" t="s">
        <v>942</v>
      </c>
      <c r="D93" s="1205">
        <v>189.26</v>
      </c>
      <c r="E93" s="1205">
        <v>186.73999999999998</v>
      </c>
      <c r="F93" s="1205">
        <v>250.66</v>
      </c>
      <c r="G93" s="1205">
        <v>244.82999999999998</v>
      </c>
      <c r="H93" s="1205">
        <v>256.42</v>
      </c>
      <c r="I93" s="1205">
        <v>270.45</v>
      </c>
      <c r="J93" s="1205">
        <v>233.67</v>
      </c>
      <c r="K93" s="1205">
        <v>255.66</v>
      </c>
      <c r="L93" s="1205">
        <v>203.17</v>
      </c>
      <c r="M93" s="1205">
        <v>173.9</v>
      </c>
      <c r="N93" s="1205">
        <v>137.78</v>
      </c>
      <c r="O93" s="1205">
        <v>136.55000000000001</v>
      </c>
      <c r="P93" s="1205">
        <f t="shared" si="4"/>
        <v>2539.0900000000006</v>
      </c>
    </row>
    <row r="94" spans="1:16">
      <c r="A94" s="1024">
        <f t="shared" si="5"/>
        <v>12</v>
      </c>
      <c r="B94" s="266" t="s">
        <v>850</v>
      </c>
      <c r="C94" s="533" t="s">
        <v>943</v>
      </c>
      <c r="D94" s="1205">
        <v>26333.040000000001</v>
      </c>
      <c r="E94" s="1205">
        <v>26445.24</v>
      </c>
      <c r="F94" s="1205">
        <v>26679.83</v>
      </c>
      <c r="G94" s="1205">
        <v>26344.98</v>
      </c>
      <c r="H94" s="1205">
        <v>26540.38</v>
      </c>
      <c r="I94" s="1205">
        <v>26441.89</v>
      </c>
      <c r="J94" s="1205">
        <v>25415.73</v>
      </c>
      <c r="K94" s="1205">
        <v>25402.74</v>
      </c>
      <c r="L94" s="1205">
        <v>27002.41</v>
      </c>
      <c r="M94" s="1205">
        <v>24784.83</v>
      </c>
      <c r="N94" s="1205">
        <v>26476.59</v>
      </c>
      <c r="O94" s="1205">
        <v>4239.96</v>
      </c>
      <c r="P94" s="1205">
        <f t="shared" si="4"/>
        <v>292107.62000000005</v>
      </c>
    </row>
    <row r="95" spans="1:16">
      <c r="A95" s="1024">
        <f t="shared" si="5"/>
        <v>13</v>
      </c>
      <c r="B95" s="266" t="s">
        <v>853</v>
      </c>
      <c r="C95" s="533" t="s">
        <v>936</v>
      </c>
      <c r="D95" s="1205">
        <v>0</v>
      </c>
      <c r="E95" s="1205">
        <v>0</v>
      </c>
      <c r="F95" s="1205">
        <v>0</v>
      </c>
      <c r="G95" s="1205">
        <v>0</v>
      </c>
      <c r="H95" s="1205">
        <v>0</v>
      </c>
      <c r="I95" s="1205">
        <v>0</v>
      </c>
      <c r="J95" s="1205">
        <v>0</v>
      </c>
      <c r="K95" s="1205">
        <v>0</v>
      </c>
      <c r="L95" s="1205">
        <v>0</v>
      </c>
      <c r="M95" s="1205">
        <v>0</v>
      </c>
      <c r="N95" s="1205">
        <v>0</v>
      </c>
      <c r="O95" s="1205">
        <v>0</v>
      </c>
      <c r="P95" s="1205">
        <f t="shared" si="4"/>
        <v>0</v>
      </c>
    </row>
    <row r="96" spans="1:16" ht="12" customHeight="1">
      <c r="A96" s="1024">
        <f t="shared" si="5"/>
        <v>14</v>
      </c>
      <c r="B96" s="266" t="s">
        <v>854</v>
      </c>
      <c r="C96" s="533" t="s">
        <v>944</v>
      </c>
      <c r="D96" s="1205">
        <v>421.82</v>
      </c>
      <c r="E96" s="1205">
        <v>423.62</v>
      </c>
      <c r="F96" s="1205">
        <v>427.38</v>
      </c>
      <c r="G96" s="1205">
        <v>422.01</v>
      </c>
      <c r="H96" s="1205">
        <v>425.14</v>
      </c>
      <c r="I96" s="1205">
        <v>423.57</v>
      </c>
      <c r="J96" s="1205">
        <v>407.13</v>
      </c>
      <c r="K96" s="1205">
        <v>406.92</v>
      </c>
      <c r="L96" s="1205">
        <v>432.54</v>
      </c>
      <c r="M96" s="1205">
        <v>397.02</v>
      </c>
      <c r="N96" s="1205">
        <v>424.12</v>
      </c>
      <c r="O96" s="1205">
        <v>67.92</v>
      </c>
      <c r="P96" s="1205">
        <f t="shared" si="4"/>
        <v>4679.1900000000005</v>
      </c>
    </row>
    <row r="97" spans="1:16" ht="12" customHeight="1">
      <c r="A97" s="1024">
        <f t="shared" si="5"/>
        <v>15</v>
      </c>
      <c r="B97" s="266" t="s">
        <v>856</v>
      </c>
      <c r="C97" s="533" t="s">
        <v>945</v>
      </c>
      <c r="D97" s="1205">
        <v>691.95</v>
      </c>
      <c r="E97" s="1205">
        <v>694.9</v>
      </c>
      <c r="F97" s="1205">
        <v>701.06</v>
      </c>
      <c r="G97" s="1205">
        <v>692.26</v>
      </c>
      <c r="H97" s="1205">
        <v>697.4</v>
      </c>
      <c r="I97" s="1205">
        <v>694.81</v>
      </c>
      <c r="J97" s="1205">
        <v>667.84</v>
      </c>
      <c r="K97" s="1205">
        <v>667.5</v>
      </c>
      <c r="L97" s="1205">
        <v>709.54</v>
      </c>
      <c r="M97" s="1205">
        <v>651.27</v>
      </c>
      <c r="N97" s="1205">
        <v>695.72</v>
      </c>
      <c r="O97" s="1205">
        <v>111.41</v>
      </c>
      <c r="P97" s="1205">
        <f t="shared" si="4"/>
        <v>7675.6600000000008</v>
      </c>
    </row>
    <row r="98" spans="1:16" ht="12" customHeight="1">
      <c r="A98" s="1024">
        <f t="shared" si="5"/>
        <v>16</v>
      </c>
      <c r="B98" s="266">
        <v>916</v>
      </c>
      <c r="C98" s="533" t="s">
        <v>67</v>
      </c>
      <c r="D98" s="1205">
        <v>0</v>
      </c>
      <c r="E98" s="1205">
        <v>0</v>
      </c>
      <c r="F98" s="1205">
        <v>0</v>
      </c>
      <c r="G98" s="1205">
        <v>0</v>
      </c>
      <c r="H98" s="1205">
        <v>0</v>
      </c>
      <c r="I98" s="1205">
        <v>0</v>
      </c>
      <c r="J98" s="1205">
        <v>0</v>
      </c>
      <c r="K98" s="1205">
        <v>0</v>
      </c>
      <c r="L98" s="1205">
        <v>0</v>
      </c>
      <c r="M98" s="1205">
        <v>0</v>
      </c>
      <c r="N98" s="1205">
        <v>0</v>
      </c>
      <c r="O98" s="1205">
        <v>0</v>
      </c>
      <c r="P98" s="1205">
        <f t="shared" si="4"/>
        <v>0</v>
      </c>
    </row>
    <row r="99" spans="1:16" ht="12" customHeight="1">
      <c r="A99" s="1024">
        <f t="shared" si="5"/>
        <v>17</v>
      </c>
      <c r="B99" s="266" t="s">
        <v>860</v>
      </c>
      <c r="C99" s="533" t="s">
        <v>947</v>
      </c>
      <c r="D99" s="1205">
        <v>889770.94</v>
      </c>
      <c r="E99" s="1205">
        <v>899161.99</v>
      </c>
      <c r="F99" s="1205">
        <v>915012.12999999989</v>
      </c>
      <c r="G99" s="1205">
        <v>893006.69000000006</v>
      </c>
      <c r="H99" s="1205">
        <v>884514.08</v>
      </c>
      <c r="I99" s="1205">
        <v>885400.62</v>
      </c>
      <c r="J99" s="1205">
        <v>889625.69999999984</v>
      </c>
      <c r="K99" s="1205">
        <v>870436.25999999989</v>
      </c>
      <c r="L99" s="1205">
        <v>915239.74999999977</v>
      </c>
      <c r="M99" s="1205">
        <v>849138.29</v>
      </c>
      <c r="N99" s="1205">
        <v>866512.78</v>
      </c>
      <c r="O99" s="1205">
        <v>52570.210000000036</v>
      </c>
      <c r="P99" s="1205">
        <f t="shared" si="4"/>
        <v>9810389.4399999995</v>
      </c>
    </row>
    <row r="100" spans="1:16" ht="12" customHeight="1">
      <c r="A100" s="1024">
        <f t="shared" si="5"/>
        <v>18</v>
      </c>
      <c r="B100" s="266" t="s">
        <v>862</v>
      </c>
      <c r="C100" s="533" t="s">
        <v>946</v>
      </c>
      <c r="D100" s="1205">
        <v>194836.3</v>
      </c>
      <c r="E100" s="1205">
        <v>192721.81000000003</v>
      </c>
      <c r="F100" s="1205">
        <v>193940</v>
      </c>
      <c r="G100" s="1205">
        <v>187713.5</v>
      </c>
      <c r="H100" s="1205">
        <v>194331.71999999997</v>
      </c>
      <c r="I100" s="1205">
        <v>198800.24000000002</v>
      </c>
      <c r="J100" s="1205">
        <v>187087.31</v>
      </c>
      <c r="K100" s="1205">
        <v>183984.28999999998</v>
      </c>
      <c r="L100" s="1205">
        <v>239673.74</v>
      </c>
      <c r="M100" s="1205">
        <v>179028.34999999998</v>
      </c>
      <c r="N100" s="1205">
        <v>171563.25</v>
      </c>
      <c r="O100" s="1205">
        <v>65680.7</v>
      </c>
      <c r="P100" s="1205">
        <f t="shared" si="4"/>
        <v>2189361.2100000004</v>
      </c>
    </row>
    <row r="101" spans="1:16" ht="12" customHeight="1">
      <c r="A101" s="1024">
        <f t="shared" si="5"/>
        <v>19</v>
      </c>
      <c r="B101" s="266">
        <v>922</v>
      </c>
      <c r="C101" s="533" t="s">
        <v>1078</v>
      </c>
      <c r="D101" s="1205">
        <v>0</v>
      </c>
      <c r="E101" s="1205">
        <v>0</v>
      </c>
      <c r="F101" s="1205">
        <v>0</v>
      </c>
      <c r="G101" s="1205">
        <v>0</v>
      </c>
      <c r="H101" s="1205">
        <v>0</v>
      </c>
      <c r="I101" s="1205">
        <v>0</v>
      </c>
      <c r="J101" s="1205">
        <v>0</v>
      </c>
      <c r="K101" s="1205">
        <v>0</v>
      </c>
      <c r="L101" s="1205">
        <v>0</v>
      </c>
      <c r="M101" s="1205">
        <v>0</v>
      </c>
      <c r="N101" s="1205">
        <v>0</v>
      </c>
      <c r="O101" s="1205">
        <v>0</v>
      </c>
      <c r="P101" s="1205">
        <f t="shared" si="4"/>
        <v>0</v>
      </c>
    </row>
    <row r="102" spans="1:16" ht="12" customHeight="1">
      <c r="A102" s="1024">
        <f t="shared" si="5"/>
        <v>20</v>
      </c>
      <c r="B102" s="266" t="s">
        <v>863</v>
      </c>
      <c r="C102" s="533" t="s">
        <v>949</v>
      </c>
      <c r="D102" s="1205">
        <v>614374.28000000014</v>
      </c>
      <c r="E102" s="1205">
        <v>622377.02</v>
      </c>
      <c r="F102" s="1205">
        <v>645469.95000000007</v>
      </c>
      <c r="G102" s="1205">
        <v>621952.71000000008</v>
      </c>
      <c r="H102" s="1205">
        <v>631081.05999999994</v>
      </c>
      <c r="I102" s="1205">
        <v>635683.94000000006</v>
      </c>
      <c r="J102" s="1205">
        <v>615670.8600000001</v>
      </c>
      <c r="K102" s="1205">
        <v>618559.46</v>
      </c>
      <c r="L102" s="1205">
        <v>638106.73999999987</v>
      </c>
      <c r="M102" s="1205">
        <v>579769.22000000009</v>
      </c>
      <c r="N102" s="1205">
        <v>604518.16999999993</v>
      </c>
      <c r="O102" s="1205">
        <v>-92619.46</v>
      </c>
      <c r="P102" s="1205">
        <f t="shared" si="4"/>
        <v>6734943.9500000002</v>
      </c>
    </row>
    <row r="103" spans="1:16" ht="12" customHeight="1">
      <c r="A103" s="1024">
        <f t="shared" si="5"/>
        <v>21</v>
      </c>
      <c r="B103" s="266" t="s">
        <v>865</v>
      </c>
      <c r="C103" s="533" t="s">
        <v>950</v>
      </c>
      <c r="D103" s="1205">
        <v>7091.46</v>
      </c>
      <c r="E103" s="1205">
        <v>7090.9500000000007</v>
      </c>
      <c r="F103" s="1205">
        <v>7092.34</v>
      </c>
      <c r="G103" s="1205">
        <v>7091.79</v>
      </c>
      <c r="H103" s="1205">
        <v>7094.4</v>
      </c>
      <c r="I103" s="1205">
        <v>7091.58</v>
      </c>
      <c r="J103" s="1205">
        <v>7288.7900000000009</v>
      </c>
      <c r="K103" s="1205">
        <v>7288.6799999999994</v>
      </c>
      <c r="L103" s="1205">
        <v>7298.13</v>
      </c>
      <c r="M103" s="1205">
        <v>7283.64</v>
      </c>
      <c r="N103" s="1205">
        <v>7285.8600000000006</v>
      </c>
      <c r="O103" s="1205">
        <v>7136.19</v>
      </c>
      <c r="P103" s="1205">
        <f t="shared" si="4"/>
        <v>86133.810000000012</v>
      </c>
    </row>
    <row r="104" spans="1:16" ht="12" customHeight="1">
      <c r="A104" s="1024">
        <f t="shared" si="5"/>
        <v>22</v>
      </c>
      <c r="B104" s="266" t="s">
        <v>867</v>
      </c>
      <c r="C104" s="533" t="s">
        <v>951</v>
      </c>
      <c r="D104" s="1205">
        <v>147001.41999999998</v>
      </c>
      <c r="E104" s="1205">
        <v>146999.19999999998</v>
      </c>
      <c r="F104" s="1205">
        <v>147040.18999999997</v>
      </c>
      <c r="G104" s="1205">
        <v>147008.46</v>
      </c>
      <c r="H104" s="1205">
        <v>147070.01999999999</v>
      </c>
      <c r="I104" s="1205">
        <v>147010.63999999998</v>
      </c>
      <c r="J104" s="1205">
        <v>150651.21999999997</v>
      </c>
      <c r="K104" s="1205">
        <v>150648.13999999998</v>
      </c>
      <c r="L104" s="1205">
        <v>150928.59999999998</v>
      </c>
      <c r="M104" s="1205">
        <v>150513.85999999999</v>
      </c>
      <c r="N104" s="1205">
        <v>150664.31</v>
      </c>
      <c r="O104" s="1205">
        <v>146423.41999999998</v>
      </c>
      <c r="P104" s="1205">
        <f t="shared" si="4"/>
        <v>1781959.4799999995</v>
      </c>
    </row>
    <row r="105" spans="1:16" ht="12" customHeight="1">
      <c r="A105" s="1024">
        <f t="shared" si="5"/>
        <v>23</v>
      </c>
      <c r="B105" s="266" t="s">
        <v>869</v>
      </c>
      <c r="C105" s="533" t="s">
        <v>952</v>
      </c>
      <c r="D105" s="1205">
        <v>375124.55</v>
      </c>
      <c r="E105" s="1205">
        <v>511777.79000000004</v>
      </c>
      <c r="F105" s="1205">
        <v>430781.42000000004</v>
      </c>
      <c r="G105" s="1205">
        <v>405093.25999999995</v>
      </c>
      <c r="H105" s="1205">
        <v>436694.42</v>
      </c>
      <c r="I105" s="1205">
        <v>441332.57000000007</v>
      </c>
      <c r="J105" s="1205">
        <v>396346.23000000004</v>
      </c>
      <c r="K105" s="1205">
        <v>452556</v>
      </c>
      <c r="L105" s="1205">
        <v>740482.15</v>
      </c>
      <c r="M105" s="1205">
        <v>361471.95</v>
      </c>
      <c r="N105" s="1205">
        <v>428759.91000000003</v>
      </c>
      <c r="O105" s="1205">
        <v>331822.68000000011</v>
      </c>
      <c r="P105" s="1205">
        <f t="shared" si="4"/>
        <v>5312242.9300000006</v>
      </c>
    </row>
    <row r="106" spans="1:16" ht="12" customHeight="1">
      <c r="A106" s="1024">
        <f t="shared" si="5"/>
        <v>24</v>
      </c>
      <c r="B106" s="266" t="s">
        <v>871</v>
      </c>
      <c r="C106" s="533" t="s">
        <v>953</v>
      </c>
      <c r="D106" s="1205">
        <v>37837.5</v>
      </c>
      <c r="E106" s="1205">
        <v>37837.51</v>
      </c>
      <c r="F106" s="1205">
        <v>37837.54</v>
      </c>
      <c r="G106" s="1205">
        <v>37837.5</v>
      </c>
      <c r="H106" s="1205">
        <v>37837.519999999997</v>
      </c>
      <c r="I106" s="1205">
        <v>37837.51</v>
      </c>
      <c r="J106" s="1205">
        <v>37837.410000000003</v>
      </c>
      <c r="K106" s="1205">
        <v>37837.4</v>
      </c>
      <c r="L106" s="1205">
        <v>37837.57</v>
      </c>
      <c r="M106" s="1205">
        <v>37837.339999999997</v>
      </c>
      <c r="N106" s="1205">
        <v>37837.519999999997</v>
      </c>
      <c r="O106" s="1205">
        <v>37835.19</v>
      </c>
      <c r="P106" s="1205">
        <f t="shared" si="4"/>
        <v>454047.51000000007</v>
      </c>
    </row>
    <row r="107" spans="1:16" ht="12" customHeight="1">
      <c r="A107" s="1024">
        <f t="shared" si="5"/>
        <v>25</v>
      </c>
      <c r="B107" s="266">
        <v>930.1</v>
      </c>
      <c r="C107" s="533" t="s">
        <v>1146</v>
      </c>
      <c r="D107" s="1205">
        <v>2093.7799999999997</v>
      </c>
      <c r="E107" s="1205">
        <v>2102.6999999999998</v>
      </c>
      <c r="F107" s="1205">
        <v>2121.35</v>
      </c>
      <c r="G107" s="1205">
        <v>2094.73</v>
      </c>
      <c r="H107" s="1205">
        <v>2110.2599999999998</v>
      </c>
      <c r="I107" s="1205">
        <v>2102.4299999999998</v>
      </c>
      <c r="J107" s="1205">
        <v>2020.8600000000001</v>
      </c>
      <c r="K107" s="1205">
        <v>2019.83</v>
      </c>
      <c r="L107" s="1205">
        <v>2146.9899999999998</v>
      </c>
      <c r="M107" s="1205">
        <v>1970.71</v>
      </c>
      <c r="N107" s="1205">
        <v>2105.1899999999996</v>
      </c>
      <c r="O107" s="1205">
        <v>337.52000000000004</v>
      </c>
      <c r="P107" s="1205">
        <f t="shared" si="4"/>
        <v>23226.35</v>
      </c>
    </row>
    <row r="108" spans="1:16" ht="12" customHeight="1">
      <c r="A108" s="1024">
        <f t="shared" si="5"/>
        <v>26</v>
      </c>
      <c r="B108" s="266">
        <v>930.2</v>
      </c>
      <c r="C108" s="533" t="s">
        <v>1147</v>
      </c>
      <c r="D108" s="1205">
        <v>10623.609999999999</v>
      </c>
      <c r="E108" s="1205">
        <v>10532.05</v>
      </c>
      <c r="F108" s="1205">
        <v>10592.03</v>
      </c>
      <c r="G108" s="1205">
        <v>10561.819999999998</v>
      </c>
      <c r="H108" s="1205">
        <v>10660.699999999999</v>
      </c>
      <c r="I108" s="1205">
        <v>10912.49</v>
      </c>
      <c r="J108" s="1205">
        <v>10593.41</v>
      </c>
      <c r="K108" s="1205">
        <v>10517.949999999999</v>
      </c>
      <c r="L108" s="1205">
        <v>10667.45</v>
      </c>
      <c r="M108" s="1205">
        <v>10351.549999999999</v>
      </c>
      <c r="N108" s="1205">
        <v>10435.299999999999</v>
      </c>
      <c r="O108" s="1205">
        <v>8339.73</v>
      </c>
      <c r="P108" s="1205">
        <f>SUM(D108:O108)</f>
        <v>124788.08999999998</v>
      </c>
    </row>
    <row r="109" spans="1:16" ht="12" customHeight="1">
      <c r="A109" s="1024">
        <f t="shared" si="5"/>
        <v>27</v>
      </c>
      <c r="B109" s="266" t="s">
        <v>873</v>
      </c>
      <c r="C109" s="533" t="s">
        <v>954</v>
      </c>
      <c r="D109" s="1205">
        <v>60607.39</v>
      </c>
      <c r="E109" s="1205">
        <v>60818.8</v>
      </c>
      <c r="F109" s="1205">
        <v>60813.75</v>
      </c>
      <c r="G109" s="1205">
        <v>60104.68</v>
      </c>
      <c r="H109" s="1205">
        <v>60514.1</v>
      </c>
      <c r="I109" s="1205">
        <v>58395.859999999993</v>
      </c>
      <c r="J109" s="1205">
        <v>58092.19</v>
      </c>
      <c r="K109" s="1205">
        <v>58055.97</v>
      </c>
      <c r="L109" s="1205">
        <v>61468.36</v>
      </c>
      <c r="M109" s="1205">
        <v>56717.679999999993</v>
      </c>
      <c r="N109" s="1205">
        <v>60327.02</v>
      </c>
      <c r="O109" s="1205">
        <v>14550.5</v>
      </c>
      <c r="P109" s="1205">
        <f t="shared" si="4"/>
        <v>670466.30000000005</v>
      </c>
    </row>
    <row r="110" spans="1:16" ht="12" customHeight="1">
      <c r="A110" s="1024">
        <f t="shared" si="5"/>
        <v>28</v>
      </c>
      <c r="B110" s="266">
        <v>932</v>
      </c>
      <c r="C110" s="267" t="s">
        <v>130</v>
      </c>
      <c r="D110" s="1205">
        <v>153300.67000000001</v>
      </c>
      <c r="E110" s="1205">
        <v>153953.84</v>
      </c>
      <c r="F110" s="1205">
        <v>155319.53</v>
      </c>
      <c r="G110" s="1205">
        <v>153370.17000000001</v>
      </c>
      <c r="H110" s="1205">
        <v>154507.71</v>
      </c>
      <c r="I110" s="1205">
        <v>153934.32999999999</v>
      </c>
      <c r="J110" s="1205">
        <v>147960.45000000001</v>
      </c>
      <c r="K110" s="1205">
        <v>147884.85999999999</v>
      </c>
      <c r="L110" s="1205">
        <v>157197.51</v>
      </c>
      <c r="M110" s="1205">
        <v>144287.57999999999</v>
      </c>
      <c r="N110" s="1205">
        <v>154136.39000000001</v>
      </c>
      <c r="O110" s="1205">
        <v>24683.360000000001</v>
      </c>
      <c r="P110" s="1205">
        <f t="shared" si="4"/>
        <v>1700536.4000000001</v>
      </c>
    </row>
    <row r="111" spans="1:16" ht="12" customHeight="1">
      <c r="A111" s="1024">
        <f t="shared" si="5"/>
        <v>29</v>
      </c>
      <c r="B111" s="266" t="s">
        <v>875</v>
      </c>
      <c r="C111" s="267" t="s">
        <v>1079</v>
      </c>
      <c r="D111" s="1205">
        <v>0</v>
      </c>
      <c r="E111" s="1205">
        <v>0</v>
      </c>
      <c r="F111" s="1205">
        <v>0</v>
      </c>
      <c r="G111" s="1205">
        <v>0</v>
      </c>
      <c r="H111" s="1205">
        <v>0</v>
      </c>
      <c r="I111" s="1205">
        <v>0</v>
      </c>
      <c r="J111" s="1205">
        <v>0</v>
      </c>
      <c r="K111" s="1205">
        <v>0</v>
      </c>
      <c r="L111" s="1205">
        <v>0</v>
      </c>
      <c r="M111" s="1205">
        <v>0</v>
      </c>
      <c r="N111" s="1205">
        <v>0</v>
      </c>
      <c r="O111" s="1205">
        <v>0</v>
      </c>
      <c r="P111" s="1205">
        <f t="shared" si="4"/>
        <v>0</v>
      </c>
    </row>
    <row r="112" spans="1:16" ht="12" customHeight="1">
      <c r="A112" s="1024"/>
      <c r="B112" s="266"/>
      <c r="C112" s="267"/>
      <c r="D112" s="1205"/>
      <c r="E112" s="1205"/>
      <c r="F112" s="1205"/>
      <c r="G112" s="1205"/>
      <c r="H112" s="1205"/>
      <c r="I112" s="1205"/>
      <c r="J112" s="1205"/>
      <c r="K112" s="1205"/>
      <c r="L112" s="1205"/>
      <c r="M112" s="1205"/>
      <c r="N112" s="1205"/>
      <c r="O112" s="1205"/>
      <c r="P112" s="1205"/>
    </row>
    <row r="113" spans="1:16">
      <c r="A113" s="1024">
        <f>A111+1</f>
        <v>30</v>
      </c>
      <c r="B113" s="266"/>
      <c r="C113" s="267" t="s">
        <v>2878</v>
      </c>
      <c r="D113" s="1206">
        <f t="shared" ref="D113:P113" si="6">SUM(D15:D67)+SUM(D83:D111)</f>
        <v>-9145238.0826274659</v>
      </c>
      <c r="E113" s="1206">
        <f t="shared" si="6"/>
        <v>-9370136.1062987875</v>
      </c>
      <c r="F113" s="1206">
        <f t="shared" si="6"/>
        <v>-6239816.9336708523</v>
      </c>
      <c r="G113" s="1206">
        <f t="shared" si="6"/>
        <v>-2736962.3075665967</v>
      </c>
      <c r="H113" s="1206">
        <f t="shared" si="6"/>
        <v>359716.86037658434</v>
      </c>
      <c r="I113" s="1206">
        <f t="shared" si="6"/>
        <v>1814832.2156912666</v>
      </c>
      <c r="J113" s="1206">
        <f t="shared" si="6"/>
        <v>2124199.8479899652</v>
      </c>
      <c r="K113" s="1206">
        <f t="shared" si="6"/>
        <v>1992962.5591761624</v>
      </c>
      <c r="L113" s="1206">
        <f t="shared" si="6"/>
        <v>2373006.715794012</v>
      </c>
      <c r="M113" s="1206">
        <f t="shared" si="6"/>
        <v>1095108.1341477027</v>
      </c>
      <c r="N113" s="1206">
        <f t="shared" si="6"/>
        <v>-1302201.841915709</v>
      </c>
      <c r="O113" s="1206">
        <f t="shared" si="6"/>
        <v>-8312075.5148983542</v>
      </c>
      <c r="P113" s="1206">
        <f t="shared" si="6"/>
        <v>-27346604.453802116</v>
      </c>
    </row>
    <row r="114" spans="1:16" ht="12" customHeight="1">
      <c r="A114" s="1024"/>
      <c r="B114" s="266"/>
      <c r="C114" s="267"/>
      <c r="D114" s="1205"/>
      <c r="E114" s="1205"/>
      <c r="F114" s="1205"/>
      <c r="G114" s="1205"/>
      <c r="H114" s="1205"/>
      <c r="I114" s="1205"/>
      <c r="J114" s="1205"/>
      <c r="K114" s="1205"/>
      <c r="L114" s="1205"/>
      <c r="M114" s="1205"/>
      <c r="N114" s="1205"/>
      <c r="O114" s="1205"/>
      <c r="P114" s="1205"/>
    </row>
    <row r="115" spans="1:16" s="539" customFormat="1" ht="12" customHeight="1">
      <c r="A115" s="1024">
        <f>A113+1</f>
        <v>31</v>
      </c>
      <c r="B115" s="266">
        <v>409</v>
      </c>
      <c r="C115" s="267" t="s">
        <v>2145</v>
      </c>
      <c r="D115" s="1205">
        <v>1251682.3676276095</v>
      </c>
      <c r="E115" s="1205">
        <v>1353497.2386139913</v>
      </c>
      <c r="F115" s="1205">
        <v>712275.33969720418</v>
      </c>
      <c r="G115" s="1205">
        <v>35126.837851655044</v>
      </c>
      <c r="H115" s="1205">
        <v>-618813.49704491219</v>
      </c>
      <c r="I115" s="1205">
        <v>-909646.55695648259</v>
      </c>
      <c r="J115" s="1205">
        <v>-1009007.7512633826</v>
      </c>
      <c r="K115" s="1205">
        <v>-989172.0368353948</v>
      </c>
      <c r="L115" s="1205">
        <v>-1072406.2626564847</v>
      </c>
      <c r="M115" s="1205">
        <v>-866275.64160940493</v>
      </c>
      <c r="N115" s="1205">
        <v>-370378.85115730879</v>
      </c>
      <c r="O115" s="1205">
        <v>926721.55392379209</v>
      </c>
      <c r="P115" s="1205">
        <f>SUM(D115:O115)</f>
        <v>-1556397.2598091187</v>
      </c>
    </row>
    <row r="116" spans="1:16" s="539" customFormat="1" ht="12" customHeight="1">
      <c r="A116" s="1024">
        <f>+A115+1</f>
        <v>32</v>
      </c>
      <c r="B116" s="266">
        <v>409</v>
      </c>
      <c r="C116" s="267" t="s">
        <v>2146</v>
      </c>
      <c r="D116" s="1205">
        <v>309173.32348203321</v>
      </c>
      <c r="E116" s="1205">
        <v>328317.38706441212</v>
      </c>
      <c r="F116" s="1205">
        <v>165715.24707937418</v>
      </c>
      <c r="G116" s="1205">
        <v>-8390.1929680648209</v>
      </c>
      <c r="H116" s="1205">
        <v>-167087.8858108678</v>
      </c>
      <c r="I116" s="1205">
        <v>-238412.71031312976</v>
      </c>
      <c r="J116" s="1205">
        <v>-261190.60699672275</v>
      </c>
      <c r="K116" s="1205">
        <v>-255971.38556036717</v>
      </c>
      <c r="L116" s="1205">
        <v>-249380.50909326586</v>
      </c>
      <c r="M116" s="1205">
        <v>-133732.65035955352</v>
      </c>
      <c r="N116" s="1205">
        <v>-195953.2328705414</v>
      </c>
      <c r="O116" s="1205">
        <v>258442.21189779232</v>
      </c>
      <c r="P116" s="1205">
        <f>SUM(D116:O116)</f>
        <v>-448471.00444890128</v>
      </c>
    </row>
    <row r="117" spans="1:16" s="539" customFormat="1" ht="12" customHeight="1">
      <c r="A117" s="1024">
        <f>+A116+1</f>
        <v>33</v>
      </c>
      <c r="B117" s="266" t="s">
        <v>1522</v>
      </c>
      <c r="C117" s="267" t="s">
        <v>2147</v>
      </c>
      <c r="D117" s="1205">
        <v>291663.19202928641</v>
      </c>
      <c r="E117" s="1205">
        <v>291663.19202928641</v>
      </c>
      <c r="F117" s="1205">
        <v>291663.19202928641</v>
      </c>
      <c r="G117" s="1205">
        <v>291663.19202928641</v>
      </c>
      <c r="H117" s="1205">
        <v>291663.19202928641</v>
      </c>
      <c r="I117" s="1205">
        <v>291663.19202928641</v>
      </c>
      <c r="J117" s="1205">
        <v>291663.19202928641</v>
      </c>
      <c r="K117" s="1205">
        <v>291663.19202928641</v>
      </c>
      <c r="L117" s="1205">
        <v>296966.37227288622</v>
      </c>
      <c r="M117" s="1205">
        <v>308395.43483297498</v>
      </c>
      <c r="N117" s="1205">
        <v>269627.76898199791</v>
      </c>
      <c r="O117" s="1205">
        <v>378318.90360287868</v>
      </c>
      <c r="P117" s="1205">
        <f>SUM(D117:O117)</f>
        <v>3586614.0159250288</v>
      </c>
    </row>
    <row r="118" spans="1:16" s="539" customFormat="1" ht="12" customHeight="1">
      <c r="A118" s="1024">
        <f>+A117+1</f>
        <v>34</v>
      </c>
      <c r="B118" s="266" t="s">
        <v>1522</v>
      </c>
      <c r="C118" s="267" t="s">
        <v>2148</v>
      </c>
      <c r="D118" s="1207">
        <v>94496.740294500123</v>
      </c>
      <c r="E118" s="1207">
        <v>94496.740294500123</v>
      </c>
      <c r="F118" s="1207">
        <v>94496.740294500123</v>
      </c>
      <c r="G118" s="1207">
        <v>94496.740294500123</v>
      </c>
      <c r="H118" s="1207">
        <v>94496.740294500123</v>
      </c>
      <c r="I118" s="1207">
        <v>94496.740294500123</v>
      </c>
      <c r="J118" s="1207">
        <v>94496.740294500123</v>
      </c>
      <c r="K118" s="1207">
        <v>94496.740294500123</v>
      </c>
      <c r="L118" s="1207">
        <v>69243.501039262919</v>
      </c>
      <c r="M118" s="1207">
        <v>14819.393610268229</v>
      </c>
      <c r="N118" s="1207">
        <v>199427.32623396919</v>
      </c>
      <c r="O118" s="1207">
        <v>94496.740294500123</v>
      </c>
      <c r="P118" s="1207">
        <f>SUM(D118:O118)</f>
        <v>1133960.8835340014</v>
      </c>
    </row>
    <row r="119" spans="1:16" s="539" customFormat="1" ht="12" customHeight="1">
      <c r="A119" s="1024">
        <f>+A118+1</f>
        <v>35</v>
      </c>
      <c r="B119" s="266"/>
      <c r="C119" s="540" t="s">
        <v>1530</v>
      </c>
      <c r="D119" s="1205">
        <f t="shared" ref="D119:O119" si="7">SUM(D115:D118)</f>
        <v>1947015.6234334293</v>
      </c>
      <c r="E119" s="1205">
        <f t="shared" si="7"/>
        <v>2067974.5580021897</v>
      </c>
      <c r="F119" s="1205">
        <f t="shared" si="7"/>
        <v>1264150.5191003648</v>
      </c>
      <c r="G119" s="1205">
        <f t="shared" si="7"/>
        <v>412896.57720737677</v>
      </c>
      <c r="H119" s="1205">
        <f t="shared" si="7"/>
        <v>-399741.45053199341</v>
      </c>
      <c r="I119" s="1205">
        <f t="shared" si="7"/>
        <v>-761899.33494582574</v>
      </c>
      <c r="J119" s="1205">
        <f t="shared" si="7"/>
        <v>-884038.42593631882</v>
      </c>
      <c r="K119" s="1205">
        <f t="shared" si="7"/>
        <v>-858983.49007197551</v>
      </c>
      <c r="L119" s="1205">
        <f t="shared" si="7"/>
        <v>-955576.89843760151</v>
      </c>
      <c r="M119" s="1205">
        <f t="shared" si="7"/>
        <v>-676793.46352571517</v>
      </c>
      <c r="N119" s="1205">
        <f t="shared" si="7"/>
        <v>-97276.988811883086</v>
      </c>
      <c r="O119" s="1205">
        <f t="shared" si="7"/>
        <v>1657979.4097189631</v>
      </c>
      <c r="P119" s="1205">
        <f>SUM(D119:O119)</f>
        <v>2715706.6352010109</v>
      </c>
    </row>
    <row r="120" spans="1:16" s="539" customFormat="1" ht="12" customHeight="1">
      <c r="A120" s="1024"/>
      <c r="B120" s="266"/>
      <c r="D120" s="1205"/>
      <c r="E120" s="1205"/>
      <c r="F120" s="1205"/>
      <c r="G120" s="1205"/>
      <c r="H120" s="1205"/>
      <c r="I120" s="1205"/>
      <c r="J120" s="1205"/>
      <c r="K120" s="1205"/>
      <c r="L120" s="1205"/>
      <c r="M120" s="1205"/>
      <c r="N120" s="1205"/>
      <c r="O120" s="1205"/>
      <c r="P120" s="1205"/>
    </row>
    <row r="121" spans="1:16" s="539" customFormat="1" ht="12" customHeight="1">
      <c r="A121" s="1024">
        <f>+A119+1</f>
        <v>36</v>
      </c>
      <c r="B121" s="266"/>
      <c r="C121" s="539" t="s">
        <v>3068</v>
      </c>
      <c r="D121" s="1206">
        <f t="shared" ref="D121:O121" si="8">+D113+D119</f>
        <v>-7198222.4591940362</v>
      </c>
      <c r="E121" s="1206">
        <f t="shared" si="8"/>
        <v>-7302161.5482965978</v>
      </c>
      <c r="F121" s="1206">
        <f t="shared" si="8"/>
        <v>-4975666.414570488</v>
      </c>
      <c r="G121" s="1206">
        <f t="shared" si="8"/>
        <v>-2324065.7303592199</v>
      </c>
      <c r="H121" s="1206">
        <f t="shared" si="8"/>
        <v>-40024.590155409067</v>
      </c>
      <c r="I121" s="1206">
        <f t="shared" si="8"/>
        <v>1052932.8807454407</v>
      </c>
      <c r="J121" s="1206">
        <f t="shared" si="8"/>
        <v>1240161.4220536463</v>
      </c>
      <c r="K121" s="1206">
        <f t="shared" si="8"/>
        <v>1133979.0691041867</v>
      </c>
      <c r="L121" s="1206">
        <f t="shared" si="8"/>
        <v>1417429.8173564104</v>
      </c>
      <c r="M121" s="1206">
        <f t="shared" si="8"/>
        <v>418314.67062198755</v>
      </c>
      <c r="N121" s="1206">
        <f t="shared" si="8"/>
        <v>-1399478.8307275921</v>
      </c>
      <c r="O121" s="1206">
        <f t="shared" si="8"/>
        <v>-6654096.1051793909</v>
      </c>
      <c r="P121" s="1206">
        <f>SUM(D121:O121)</f>
        <v>-24630897.818601061</v>
      </c>
    </row>
    <row r="122" spans="1:16" s="539" customFormat="1" ht="12" customHeight="1">
      <c r="A122" s="1024"/>
      <c r="B122" s="266"/>
      <c r="D122" s="1205"/>
      <c r="E122" s="1205"/>
      <c r="F122" s="1205"/>
      <c r="G122" s="1205"/>
      <c r="H122" s="1205"/>
      <c r="I122" s="1205"/>
      <c r="J122" s="1205"/>
      <c r="K122" s="1205"/>
      <c r="L122" s="1205"/>
      <c r="M122" s="1205"/>
      <c r="N122" s="1205"/>
      <c r="O122" s="1205"/>
      <c r="P122" s="1205"/>
    </row>
    <row r="123" spans="1:16" s="539" customFormat="1" ht="12" customHeight="1">
      <c r="A123" s="1024">
        <f>+A121+1</f>
        <v>37</v>
      </c>
      <c r="B123" s="266">
        <v>430</v>
      </c>
      <c r="C123" s="267" t="s">
        <v>1523</v>
      </c>
      <c r="D123" s="1205">
        <v>1096804.97</v>
      </c>
      <c r="E123" s="1205">
        <v>990662.55300000007</v>
      </c>
      <c r="F123" s="1205">
        <v>1096804.97</v>
      </c>
      <c r="G123" s="1205">
        <v>1061424.1640000001</v>
      </c>
      <c r="H123" s="1205">
        <v>1096804.97</v>
      </c>
      <c r="I123" s="1205">
        <v>1061424.1640000001</v>
      </c>
      <c r="J123" s="1205">
        <v>1196174.8330000001</v>
      </c>
      <c r="K123" s="1205">
        <v>1196174.8330000001</v>
      </c>
      <c r="L123" s="1205">
        <v>1157588.548</v>
      </c>
      <c r="M123" s="1205">
        <v>1196174.8330000001</v>
      </c>
      <c r="N123" s="1205">
        <v>1157588.548</v>
      </c>
      <c r="O123" s="1205">
        <v>1196174.8330000001</v>
      </c>
      <c r="P123" s="1205">
        <f>SUM(D123:O123)</f>
        <v>13503802.219000002</v>
      </c>
    </row>
    <row r="124" spans="1:16" s="539" customFormat="1" ht="12" customHeight="1">
      <c r="A124" s="1024">
        <f t="shared" ref="A124:A132" si="9">A123+1</f>
        <v>38</v>
      </c>
      <c r="B124" s="266">
        <v>431</v>
      </c>
      <c r="C124" s="267" t="s">
        <v>1524</v>
      </c>
      <c r="D124" s="1205">
        <v>193759.69412188086</v>
      </c>
      <c r="E124" s="1205">
        <v>135718.16663994585</v>
      </c>
      <c r="F124" s="1205">
        <v>90828.211078427368</v>
      </c>
      <c r="G124" s="1205">
        <v>47552.150436506003</v>
      </c>
      <c r="H124" s="1205">
        <v>46788.891141188789</v>
      </c>
      <c r="I124" s="1205">
        <v>37235.431814111762</v>
      </c>
      <c r="J124" s="1205">
        <v>45897.533573083245</v>
      </c>
      <c r="K124" s="1205">
        <v>80293.30977931188</v>
      </c>
      <c r="L124" s="1205">
        <v>109876.84677296593</v>
      </c>
      <c r="M124" s="1205">
        <v>139371.40774409298</v>
      </c>
      <c r="N124" s="1205">
        <v>151308.03301871484</v>
      </c>
      <c r="O124" s="1205">
        <v>169070.74639464947</v>
      </c>
      <c r="P124" s="1205">
        <f>SUM(D124:O124)</f>
        <v>1247700.4225148789</v>
      </c>
    </row>
    <row r="125" spans="1:16" s="539" customFormat="1" ht="12" customHeight="1">
      <c r="A125" s="1024">
        <f t="shared" si="9"/>
        <v>39</v>
      </c>
      <c r="B125" s="266">
        <v>432</v>
      </c>
      <c r="C125" s="267" t="s">
        <v>1525</v>
      </c>
      <c r="D125" s="1207">
        <v>-134817.8411842623</v>
      </c>
      <c r="E125" s="1207">
        <v>-132308.25391625299</v>
      </c>
      <c r="F125" s="1207">
        <v>-109962.71797592691</v>
      </c>
      <c r="G125" s="1207">
        <v>-86418.191122366843</v>
      </c>
      <c r="H125" s="1207">
        <v>-69805.81114560437</v>
      </c>
      <c r="I125" s="1207">
        <v>-65001.45615938933</v>
      </c>
      <c r="J125" s="1207">
        <v>-63428.191974057772</v>
      </c>
      <c r="K125" s="1207">
        <v>-68309.638341982296</v>
      </c>
      <c r="L125" s="1207">
        <v>-67303.873041754763</v>
      </c>
      <c r="M125" s="1207">
        <v>-73503.548863196935</v>
      </c>
      <c r="N125" s="1207">
        <v>-76786.073038087285</v>
      </c>
      <c r="O125" s="1207">
        <v>-73661.195042054169</v>
      </c>
      <c r="P125" s="1207">
        <f>SUM(D125:O125)</f>
        <v>-1021306.791804936</v>
      </c>
    </row>
    <row r="126" spans="1:16" s="539" customFormat="1" ht="12" customHeight="1">
      <c r="A126" s="1024">
        <f t="shared" si="9"/>
        <v>40</v>
      </c>
      <c r="B126" s="266"/>
      <c r="C126" s="267" t="s">
        <v>2876</v>
      </c>
      <c r="D126" s="1205">
        <f>SUM(D123:D125)</f>
        <v>1155746.8229376185</v>
      </c>
      <c r="E126" s="1205">
        <f t="shared" ref="E126:O126" si="10">SUM(E123:E125)</f>
        <v>994072.46572369302</v>
      </c>
      <c r="F126" s="1205">
        <f t="shared" si="10"/>
        <v>1077670.4631025004</v>
      </c>
      <c r="G126" s="1205">
        <f t="shared" si="10"/>
        <v>1022558.1233141392</v>
      </c>
      <c r="H126" s="1205">
        <f t="shared" si="10"/>
        <v>1073788.0499955844</v>
      </c>
      <c r="I126" s="1205">
        <f t="shared" si="10"/>
        <v>1033658.1396547225</v>
      </c>
      <c r="J126" s="1205">
        <f t="shared" si="10"/>
        <v>1178644.1745990256</v>
      </c>
      <c r="K126" s="1205">
        <f t="shared" si="10"/>
        <v>1208158.5044373297</v>
      </c>
      <c r="L126" s="1205">
        <f t="shared" si="10"/>
        <v>1200161.5217312111</v>
      </c>
      <c r="M126" s="1205">
        <f t="shared" si="10"/>
        <v>1262042.691880896</v>
      </c>
      <c r="N126" s="1205">
        <f t="shared" si="10"/>
        <v>1232110.5079806275</v>
      </c>
      <c r="O126" s="1205">
        <f t="shared" si="10"/>
        <v>1291584.3843525953</v>
      </c>
      <c r="P126" s="1205">
        <f>SUM(D126:O126)</f>
        <v>13730195.849709943</v>
      </c>
    </row>
    <row r="127" spans="1:16" s="539" customFormat="1" ht="12" customHeight="1">
      <c r="A127" s="1024"/>
      <c r="B127" s="266"/>
      <c r="C127" s="267"/>
      <c r="D127" s="1205"/>
      <c r="E127" s="1205"/>
      <c r="F127" s="1205"/>
      <c r="G127" s="1205"/>
      <c r="H127" s="1205"/>
      <c r="I127" s="1205"/>
      <c r="J127" s="1205"/>
      <c r="K127" s="1205"/>
      <c r="L127" s="1205"/>
      <c r="M127" s="1205"/>
      <c r="N127" s="1205"/>
      <c r="O127" s="1205"/>
      <c r="P127" s="1205"/>
    </row>
    <row r="128" spans="1:16" s="539" customFormat="1" ht="12" customHeight="1">
      <c r="A128" s="1024">
        <f>+A126+1</f>
        <v>41</v>
      </c>
      <c r="B128" s="1288" t="s">
        <v>3121</v>
      </c>
      <c r="C128" s="1289" t="s">
        <v>1247</v>
      </c>
      <c r="D128" s="1205">
        <v>0</v>
      </c>
      <c r="E128" s="1205">
        <v>0</v>
      </c>
      <c r="F128" s="1205">
        <v>0</v>
      </c>
      <c r="G128" s="1205">
        <v>0</v>
      </c>
      <c r="H128" s="1205">
        <v>0</v>
      </c>
      <c r="I128" s="1205">
        <v>0</v>
      </c>
      <c r="J128" s="1205">
        <v>0</v>
      </c>
      <c r="K128" s="1205">
        <v>0</v>
      </c>
      <c r="L128" s="1205">
        <v>0</v>
      </c>
      <c r="M128" s="1205">
        <v>0</v>
      </c>
      <c r="N128" s="1205">
        <v>0</v>
      </c>
      <c r="O128" s="1205">
        <v>0</v>
      </c>
      <c r="P128" s="1205">
        <f t="shared" ref="P128:P130" si="11">SUM(D128:O128)</f>
        <v>0</v>
      </c>
    </row>
    <row r="129" spans="1:16" s="539" customFormat="1" ht="12" customHeight="1">
      <c r="A129" s="1024">
        <f>+A128+1</f>
        <v>42</v>
      </c>
      <c r="B129" s="266" t="s">
        <v>1526</v>
      </c>
      <c r="C129" s="267" t="s">
        <v>1527</v>
      </c>
      <c r="D129" s="1205">
        <v>-76094.832969052877</v>
      </c>
      <c r="E129" s="1205">
        <v>-73876.066599033948</v>
      </c>
      <c r="F129" s="1205">
        <v>-48860.423433953103</v>
      </c>
      <c r="G129" s="1205">
        <v>-28307.417290415084</v>
      </c>
      <c r="H129" s="1205">
        <v>-12009.103019580825</v>
      </c>
      <c r="I129" s="1205">
        <v>-3316.7752928867717</v>
      </c>
      <c r="J129" s="1205">
        <v>-3035.5523735596771</v>
      </c>
      <c r="K129" s="1205">
        <v>-2833.0948377909144</v>
      </c>
      <c r="L129" s="1205">
        <v>-2223.0087568945314</v>
      </c>
      <c r="M129" s="1205">
        <v>-7043.3020654467118</v>
      </c>
      <c r="N129" s="1205">
        <v>-25622.322149891406</v>
      </c>
      <c r="O129" s="1205">
        <v>-66353.041211494114</v>
      </c>
      <c r="P129" s="1205">
        <f t="shared" si="11"/>
        <v>-349574.94</v>
      </c>
    </row>
    <row r="130" spans="1:16" s="539" customFormat="1" ht="12" customHeight="1">
      <c r="A130" s="1024">
        <f>A129+1</f>
        <v>43</v>
      </c>
      <c r="B130" s="266">
        <v>419</v>
      </c>
      <c r="C130" s="267" t="s">
        <v>2841</v>
      </c>
      <c r="D130" s="1205">
        <v>-79097.04620779492</v>
      </c>
      <c r="E130" s="1205">
        <v>-77624.682176769318</v>
      </c>
      <c r="F130" s="1205">
        <v>-64514.652574721084</v>
      </c>
      <c r="G130" s="1205">
        <v>-50701.180172864399</v>
      </c>
      <c r="H130" s="1205">
        <v>-40954.768458353043</v>
      </c>
      <c r="I130" s="1205">
        <v>-38136.074100060177</v>
      </c>
      <c r="J130" s="1205">
        <v>-37213.046785046587</v>
      </c>
      <c r="K130" s="1205">
        <v>-40076.970324638693</v>
      </c>
      <c r="L130" s="1205">
        <v>-39486.892158963543</v>
      </c>
      <c r="M130" s="1205">
        <v>-43124.215235897682</v>
      </c>
      <c r="N130" s="1205">
        <v>-45050.058017971649</v>
      </c>
      <c r="O130" s="1205">
        <v>-43216.705569402649</v>
      </c>
      <c r="P130" s="1205">
        <f t="shared" si="11"/>
        <v>-599196.29178248381</v>
      </c>
    </row>
    <row r="131" spans="1:16" s="539" customFormat="1" ht="12" customHeight="1">
      <c r="A131" s="1024">
        <f>A130+1</f>
        <v>44</v>
      </c>
      <c r="B131" s="266" t="s">
        <v>1528</v>
      </c>
      <c r="C131" s="267" t="s">
        <v>1529</v>
      </c>
      <c r="D131" s="1207">
        <v>2144.17</v>
      </c>
      <c r="E131" s="1207">
        <v>2144.17</v>
      </c>
      <c r="F131" s="1207">
        <v>2144.17</v>
      </c>
      <c r="G131" s="1207">
        <v>2144.17</v>
      </c>
      <c r="H131" s="1207">
        <v>2144.17</v>
      </c>
      <c r="I131" s="1207">
        <v>2144.17</v>
      </c>
      <c r="J131" s="1207">
        <v>2144.17</v>
      </c>
      <c r="K131" s="1207">
        <v>2144.17</v>
      </c>
      <c r="L131" s="1207">
        <v>2144.17</v>
      </c>
      <c r="M131" s="1207">
        <v>2144.17</v>
      </c>
      <c r="N131" s="1207">
        <v>2144.17</v>
      </c>
      <c r="O131" s="1207">
        <v>2144.17</v>
      </c>
      <c r="P131" s="1207">
        <f>SUM(D131:O131)</f>
        <v>25730.039999999994</v>
      </c>
    </row>
    <row r="132" spans="1:16" s="539" customFormat="1" ht="12" customHeight="1">
      <c r="A132" s="1024">
        <f t="shared" si="9"/>
        <v>45</v>
      </c>
      <c r="B132" s="266"/>
      <c r="C132" s="267" t="s">
        <v>2877</v>
      </c>
      <c r="D132" s="1205">
        <f>SUM(D128:D131)</f>
        <v>-153047.7091768478</v>
      </c>
      <c r="E132" s="1205">
        <f t="shared" ref="E132:O132" si="12">SUM(E128:E131)</f>
        <v>-149356.57877580324</v>
      </c>
      <c r="F132" s="1205">
        <f t="shared" si="12"/>
        <v>-111230.9060086742</v>
      </c>
      <c r="G132" s="1205">
        <f t="shared" si="12"/>
        <v>-76864.427463279484</v>
      </c>
      <c r="H132" s="1205">
        <f t="shared" si="12"/>
        <v>-50819.701477933872</v>
      </c>
      <c r="I132" s="1205">
        <f t="shared" si="12"/>
        <v>-39308.67939294695</v>
      </c>
      <c r="J132" s="1205">
        <f t="shared" si="12"/>
        <v>-38104.429158606268</v>
      </c>
      <c r="K132" s="1205">
        <f t="shared" si="12"/>
        <v>-40765.89516242961</v>
      </c>
      <c r="L132" s="1205">
        <f t="shared" si="12"/>
        <v>-39565.730915858076</v>
      </c>
      <c r="M132" s="1205">
        <f t="shared" si="12"/>
        <v>-48023.347301344395</v>
      </c>
      <c r="N132" s="1205">
        <f t="shared" si="12"/>
        <v>-68528.210167863057</v>
      </c>
      <c r="O132" s="1205">
        <f t="shared" si="12"/>
        <v>-107425.57678089676</v>
      </c>
      <c r="P132" s="1205">
        <f>SUM(D132:O132)</f>
        <v>-923041.19178248371</v>
      </c>
    </row>
    <row r="133" spans="1:16" s="539" customFormat="1" ht="12" customHeight="1">
      <c r="A133" s="1024"/>
      <c r="B133" s="266"/>
      <c r="C133" s="267"/>
      <c r="D133" s="1205"/>
      <c r="E133" s="1205"/>
      <c r="F133" s="1205"/>
      <c r="G133" s="1205"/>
      <c r="H133" s="1205"/>
      <c r="I133" s="1205"/>
      <c r="J133" s="1205"/>
      <c r="K133" s="1205"/>
      <c r="L133" s="1205"/>
      <c r="M133" s="1205"/>
      <c r="N133" s="1205"/>
      <c r="O133" s="1205"/>
      <c r="P133" s="1205"/>
    </row>
    <row r="134" spans="1:16" s="539" customFormat="1" ht="12" customHeight="1">
      <c r="A134" s="1024">
        <f>+A132+1</f>
        <v>46</v>
      </c>
      <c r="B134" s="266"/>
      <c r="C134" s="539" t="s">
        <v>3069</v>
      </c>
      <c r="D134" s="1206">
        <f t="shared" ref="D134:O134" si="13">+D113+D126+D132+D119</f>
        <v>-6195523.345433265</v>
      </c>
      <c r="E134" s="1206">
        <f t="shared" si="13"/>
        <v>-6457445.661348707</v>
      </c>
      <c r="F134" s="1206">
        <f t="shared" si="13"/>
        <v>-4009226.8574766605</v>
      </c>
      <c r="G134" s="1206">
        <f t="shared" si="13"/>
        <v>-1378372.0345083603</v>
      </c>
      <c r="H134" s="1206">
        <f t="shared" si="13"/>
        <v>982943.75836224144</v>
      </c>
      <c r="I134" s="1206">
        <f t="shared" si="13"/>
        <v>2047282.3410072164</v>
      </c>
      <c r="J134" s="1206">
        <f t="shared" si="13"/>
        <v>2380701.1674940656</v>
      </c>
      <c r="K134" s="1206">
        <f t="shared" si="13"/>
        <v>2301371.6783790868</v>
      </c>
      <c r="L134" s="1206">
        <f t="shared" si="13"/>
        <v>2578025.6081717634</v>
      </c>
      <c r="M134" s="1206">
        <f t="shared" si="13"/>
        <v>1632334.0152015388</v>
      </c>
      <c r="N134" s="1206">
        <f t="shared" si="13"/>
        <v>-235896.53291482764</v>
      </c>
      <c r="O134" s="1206">
        <f t="shared" si="13"/>
        <v>-5469937.297607692</v>
      </c>
      <c r="P134" s="1206">
        <f>SUM(D134:O134)</f>
        <v>-11823743.160673603</v>
      </c>
    </row>
  </sheetData>
  <mergeCells count="8">
    <mergeCell ref="A71:P71"/>
    <mergeCell ref="A72:P72"/>
    <mergeCell ref="A1:P1"/>
    <mergeCell ref="A2:P2"/>
    <mergeCell ref="A3:P3"/>
    <mergeCell ref="A4:P4"/>
    <mergeCell ref="A69:P69"/>
    <mergeCell ref="A70:P70"/>
  </mergeCells>
  <printOptions horizontalCentered="1"/>
  <pageMargins left="0.5" right="0.5" top="0.75" bottom="0.5" header="0.3" footer="0.3"/>
  <pageSetup scale="63" fitToHeight="2" orientation="landscape" r:id="rId1"/>
  <rowBreaks count="1" manualBreakCount="1">
    <brk id="6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C44"/>
  <sheetViews>
    <sheetView topLeftCell="A5" zoomScaleNormal="100" zoomScaleSheetLayoutView="100" workbookViewId="0">
      <selection activeCell="C33" sqref="C33"/>
    </sheetView>
  </sheetViews>
  <sheetFormatPr defaultRowHeight="10.5"/>
  <cols>
    <col min="1" max="1" width="25.1640625" customWidth="1"/>
    <col min="2" max="2" width="1.83203125" customWidth="1"/>
    <col min="3" max="3" width="62.83203125" bestFit="1" customWidth="1"/>
  </cols>
  <sheetData>
    <row r="1" spans="1:3" ht="12.75">
      <c r="A1" s="337"/>
      <c r="B1" s="255"/>
      <c r="C1" s="255"/>
    </row>
    <row r="2" spans="1:3" ht="12.75">
      <c r="A2" s="255"/>
      <c r="B2" s="255"/>
      <c r="C2" s="255"/>
    </row>
    <row r="3" spans="1:3" ht="12.75">
      <c r="A3" s="883" t="s">
        <v>713</v>
      </c>
      <c r="B3" s="883"/>
      <c r="C3" s="883"/>
    </row>
    <row r="4" spans="1:3" ht="12.75">
      <c r="A4" s="255"/>
      <c r="B4" s="255"/>
      <c r="C4" s="255"/>
    </row>
    <row r="5" spans="1:3" ht="12.75">
      <c r="A5" s="883" t="s">
        <v>714</v>
      </c>
      <c r="B5" s="883"/>
      <c r="C5" s="883"/>
    </row>
    <row r="6" spans="1:3" ht="12.75">
      <c r="A6" s="255"/>
      <c r="B6" s="255"/>
      <c r="C6" s="255"/>
    </row>
    <row r="7" spans="1:3" ht="12.75">
      <c r="A7" s="883" t="str">
        <f>'General Headers Index'!B4</f>
        <v>COLUMBIA GAS OF KENTUCKY, INC.</v>
      </c>
      <c r="B7" s="883"/>
      <c r="C7" s="883"/>
    </row>
    <row r="8" spans="1:3" ht="12.75">
      <c r="A8" s="255"/>
      <c r="B8" s="255"/>
      <c r="C8" s="255"/>
    </row>
    <row r="9" spans="1:3" ht="12.75">
      <c r="A9" s="883" t="str">
        <f>'General Headers Index'!B6</f>
        <v>CASE NO. 2024 - 00092</v>
      </c>
      <c r="B9" s="883"/>
      <c r="C9" s="883"/>
    </row>
    <row r="10" spans="1:3" ht="12.75">
      <c r="A10" s="255"/>
      <c r="B10" s="255"/>
      <c r="C10" s="255"/>
    </row>
    <row r="11" spans="1:3" ht="12.75">
      <c r="A11" s="255"/>
      <c r="B11" s="255"/>
      <c r="C11" s="255"/>
    </row>
    <row r="12" spans="1:3" ht="12.75">
      <c r="A12" s="255"/>
      <c r="B12" s="255"/>
      <c r="C12" s="255"/>
    </row>
    <row r="13" spans="1:3" ht="12.75">
      <c r="A13" s="286" t="s">
        <v>97</v>
      </c>
      <c r="B13" s="255"/>
      <c r="C13" s="286" t="str">
        <f>'General Headers Index'!B8</f>
        <v>FOR THE TWELVE MONTHS ENDED AUGUST 31, 2024</v>
      </c>
    </row>
    <row r="14" spans="1:3" ht="12.75">
      <c r="A14" s="255"/>
      <c r="B14" s="255"/>
      <c r="C14" s="255"/>
    </row>
    <row r="15" spans="1:3" ht="12.75">
      <c r="A15" s="286" t="s">
        <v>684</v>
      </c>
      <c r="B15" s="255"/>
      <c r="C15" s="286" t="str">
        <f>'General Headers Index'!B15</f>
        <v>FOR THE TWELVE MONTHS ENDED DECEMBER 31, 2025</v>
      </c>
    </row>
    <row r="16" spans="1:3" ht="12.75">
      <c r="A16" s="255"/>
      <c r="B16" s="255"/>
      <c r="C16" s="255"/>
    </row>
    <row r="17" spans="1:3" ht="12.75">
      <c r="A17" s="255"/>
      <c r="B17" s="255"/>
      <c r="C17" s="255"/>
    </row>
    <row r="18" spans="1:3" ht="12.75">
      <c r="A18" s="287" t="s">
        <v>314</v>
      </c>
      <c r="B18" s="288"/>
      <c r="C18" s="287" t="s">
        <v>451</v>
      </c>
    </row>
    <row r="19" spans="1:3" ht="12.75">
      <c r="A19" s="255"/>
      <c r="B19" s="255"/>
      <c r="C19" s="255"/>
    </row>
    <row r="20" spans="1:3" ht="12.75">
      <c r="A20" s="255"/>
      <c r="B20" s="255"/>
      <c r="C20" s="255"/>
    </row>
    <row r="21" spans="1:3" ht="12.75">
      <c r="A21" s="286" t="s">
        <v>2965</v>
      </c>
      <c r="B21" s="255"/>
      <c r="C21" s="286" t="s">
        <v>715</v>
      </c>
    </row>
    <row r="22" spans="1:3" ht="12.75">
      <c r="A22" s="286" t="s">
        <v>2966</v>
      </c>
      <c r="B22" s="255"/>
      <c r="C22" s="286" t="s">
        <v>715</v>
      </c>
    </row>
    <row r="23" spans="1:3" ht="12.75">
      <c r="A23" s="286" t="s">
        <v>716</v>
      </c>
      <c r="B23" s="255"/>
      <c r="C23" s="286" t="s">
        <v>717</v>
      </c>
    </row>
    <row r="24" spans="1:3" ht="12.75">
      <c r="A24" s="286" t="s">
        <v>2967</v>
      </c>
      <c r="B24" s="255"/>
      <c r="C24" s="286" t="s">
        <v>717</v>
      </c>
    </row>
    <row r="25" spans="1:3" ht="12.75">
      <c r="A25" s="286" t="s">
        <v>718</v>
      </c>
      <c r="B25" s="255"/>
      <c r="C25" s="286" t="s">
        <v>717</v>
      </c>
    </row>
    <row r="26" spans="1:3" ht="12.75">
      <c r="A26" s="286" t="s">
        <v>2968</v>
      </c>
      <c r="B26" s="255"/>
      <c r="C26" s="286" t="s">
        <v>2747</v>
      </c>
    </row>
    <row r="27" spans="1:3" ht="12.75">
      <c r="A27" s="286" t="s">
        <v>719</v>
      </c>
      <c r="B27" s="255"/>
      <c r="C27" s="286" t="s">
        <v>717</v>
      </c>
    </row>
    <row r="28" spans="1:3" ht="12.75">
      <c r="A28" s="286" t="s">
        <v>720</v>
      </c>
      <c r="B28" s="255"/>
      <c r="C28" s="286" t="s">
        <v>717</v>
      </c>
    </row>
    <row r="29" spans="1:3" ht="12.75">
      <c r="A29" s="255" t="s">
        <v>2969</v>
      </c>
      <c r="B29" s="255"/>
      <c r="C29" s="286" t="s">
        <v>717</v>
      </c>
    </row>
    <row r="30" spans="1:3" ht="12.75">
      <c r="A30" s="255" t="s">
        <v>2970</v>
      </c>
      <c r="C30" s="286" t="s">
        <v>717</v>
      </c>
    </row>
    <row r="31" spans="1:3" ht="12.75">
      <c r="A31" s="255" t="s">
        <v>2285</v>
      </c>
      <c r="C31" s="286" t="s">
        <v>717</v>
      </c>
    </row>
    <row r="32" spans="1:3" ht="12.75">
      <c r="A32" s="255" t="s">
        <v>2286</v>
      </c>
      <c r="C32" s="286" t="s">
        <v>717</v>
      </c>
    </row>
    <row r="33" spans="1:3" ht="12.75">
      <c r="A33" s="255" t="s">
        <v>2971</v>
      </c>
      <c r="C33" s="255" t="s">
        <v>3065</v>
      </c>
    </row>
    <row r="34" spans="1:3" ht="12.75">
      <c r="A34" s="255" t="s">
        <v>2972</v>
      </c>
      <c r="C34" s="255" t="s">
        <v>1483</v>
      </c>
    </row>
    <row r="35" spans="1:3" ht="12.75">
      <c r="A35" s="255" t="s">
        <v>2973</v>
      </c>
      <c r="C35" s="255" t="s">
        <v>2746</v>
      </c>
    </row>
    <row r="36" spans="1:3" ht="12.75">
      <c r="A36" s="255" t="s">
        <v>2974</v>
      </c>
      <c r="C36" s="255" t="s">
        <v>1241</v>
      </c>
    </row>
    <row r="37" spans="1:3" ht="12.75">
      <c r="A37" s="255" t="s">
        <v>2975</v>
      </c>
      <c r="C37" s="255" t="s">
        <v>2745</v>
      </c>
    </row>
    <row r="38" spans="1:3" ht="12.75">
      <c r="A38" s="255" t="s">
        <v>2976</v>
      </c>
      <c r="C38" s="255" t="s">
        <v>2744</v>
      </c>
    </row>
    <row r="39" spans="1:3" ht="12.75">
      <c r="A39" s="255" t="s">
        <v>2978</v>
      </c>
      <c r="C39" s="255" t="s">
        <v>2743</v>
      </c>
    </row>
    <row r="40" spans="1:3" ht="12.75">
      <c r="A40" s="255" t="s">
        <v>2979</v>
      </c>
      <c r="C40" s="255" t="s">
        <v>2742</v>
      </c>
    </row>
    <row r="41" spans="1:3" ht="12.75">
      <c r="A41" s="255" t="s">
        <v>2980</v>
      </c>
      <c r="C41" s="255" t="s">
        <v>2741</v>
      </c>
    </row>
    <row r="42" spans="1:3" ht="12.75">
      <c r="A42" s="255" t="s">
        <v>2981</v>
      </c>
      <c r="C42" s="255" t="s">
        <v>2740</v>
      </c>
    </row>
    <row r="43" spans="1:3" ht="12.75">
      <c r="A43" s="255" t="s">
        <v>2982</v>
      </c>
      <c r="C43" s="255" t="s">
        <v>306</v>
      </c>
    </row>
    <row r="44" spans="1:3" ht="12.75">
      <c r="A44" s="255" t="s">
        <v>2977</v>
      </c>
      <c r="C44" s="255" t="s">
        <v>1484</v>
      </c>
    </row>
  </sheetData>
  <printOptions horizontalCentered="1"/>
  <pageMargins left="0.5" right="0.5" top="0.75" bottom="0.5" header="0.3" footer="0.3"/>
  <pageSetup scale="9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156"/>
  <sheetViews>
    <sheetView zoomScaleNormal="100" zoomScaleSheetLayoutView="100" workbookViewId="0">
      <selection activeCell="A3" sqref="A3:P3"/>
    </sheetView>
  </sheetViews>
  <sheetFormatPr defaultColWidth="8.33203125" defaultRowHeight="12"/>
  <cols>
    <col min="1" max="1" width="5" style="133" customWidth="1"/>
    <col min="2" max="2" width="10.6640625" style="660" customWidth="1"/>
    <col min="3" max="3" width="64.1640625" style="133" customWidth="1"/>
    <col min="4" max="4" width="14.6640625" style="133" bestFit="1" customWidth="1"/>
    <col min="5" max="6" width="14.33203125" style="133" bestFit="1" customWidth="1"/>
    <col min="7" max="7" width="15.33203125" style="133" customWidth="1"/>
    <col min="8" max="8" width="14.6640625" style="133" bestFit="1" customWidth="1"/>
    <col min="9" max="9" width="3.5" style="133" customWidth="1"/>
    <col min="10" max="10" width="13.5" style="133" customWidth="1"/>
    <col min="11" max="11" width="14.6640625" style="133" customWidth="1"/>
    <col min="12" max="12" width="14.33203125" style="133" bestFit="1" customWidth="1"/>
    <col min="13" max="13" width="22.6640625" style="133" bestFit="1" customWidth="1"/>
    <col min="14" max="14" width="14.6640625" style="133" bestFit="1" customWidth="1"/>
    <col min="15" max="15" width="3.5" style="133" customWidth="1"/>
    <col min="16" max="16" width="22.1640625" style="133" bestFit="1" customWidth="1"/>
    <col min="17" max="16384" width="8.33203125" style="133"/>
  </cols>
  <sheetData>
    <row r="1" spans="1:16">
      <c r="A1" s="1328" t="str">
        <f>'General Headers Index'!B4</f>
        <v>COLUMBIA GAS OF KENTUCKY, INC.</v>
      </c>
      <c r="B1" s="1328"/>
      <c r="C1" s="1328"/>
      <c r="D1" s="1328"/>
      <c r="E1" s="1328"/>
      <c r="F1" s="1328"/>
      <c r="G1" s="1328"/>
      <c r="H1" s="1328"/>
      <c r="I1" s="1328"/>
      <c r="J1" s="1328"/>
      <c r="K1" s="1328"/>
      <c r="L1" s="1328"/>
      <c r="M1" s="1328"/>
      <c r="N1" s="1328"/>
      <c r="O1" s="1328"/>
      <c r="P1" s="1328"/>
    </row>
    <row r="2" spans="1:16">
      <c r="A2" s="1328" t="str">
        <f>'General Headers Index'!B6</f>
        <v>CASE NO. 2024 - 00092</v>
      </c>
      <c r="B2" s="1328"/>
      <c r="C2" s="1328"/>
      <c r="D2" s="1328"/>
      <c r="E2" s="1328"/>
      <c r="F2" s="1328"/>
      <c r="G2" s="1328"/>
      <c r="H2" s="1328"/>
      <c r="I2" s="1328"/>
      <c r="J2" s="1328"/>
      <c r="K2" s="1328"/>
      <c r="L2" s="1328"/>
      <c r="M2" s="1328"/>
      <c r="N2" s="1328"/>
      <c r="O2" s="1328"/>
      <c r="P2" s="1328"/>
    </row>
    <row r="3" spans="1:16">
      <c r="A3" s="1328" t="str">
        <f>'Index D'!C21</f>
        <v>SUMMARY OF ADJUSTMENTS TO OPERATING INCOME</v>
      </c>
      <c r="B3" s="1328"/>
      <c r="C3" s="1328"/>
      <c r="D3" s="1328"/>
      <c r="E3" s="1328"/>
      <c r="F3" s="1328"/>
      <c r="G3" s="1328"/>
      <c r="H3" s="1328"/>
      <c r="I3" s="1328"/>
      <c r="J3" s="1328"/>
      <c r="K3" s="1328"/>
      <c r="L3" s="1328"/>
      <c r="M3" s="1328"/>
      <c r="N3" s="1328"/>
      <c r="O3" s="1328"/>
      <c r="P3" s="1328"/>
    </row>
    <row r="4" spans="1:16">
      <c r="A4" s="1328" t="s">
        <v>957</v>
      </c>
      <c r="B4" s="1328"/>
      <c r="C4" s="1328"/>
      <c r="D4" s="1328"/>
      <c r="E4" s="1328"/>
      <c r="F4" s="1328"/>
      <c r="G4" s="1328"/>
      <c r="H4" s="1328"/>
      <c r="I4" s="1328"/>
      <c r="J4" s="1328"/>
      <c r="K4" s="1328"/>
      <c r="L4" s="1328"/>
      <c r="M4" s="1328"/>
      <c r="N4" s="1328"/>
      <c r="O4" s="1328"/>
      <c r="P4" s="1328"/>
    </row>
    <row r="5" spans="1:16" ht="12.75" customHeight="1">
      <c r="A5" s="1328" t="str">
        <f>'General Headers Index'!B22</f>
        <v>FOR THE TWELVE MONTHS ENDED AUGUST 31, 2024 AND THE TWELVE MONTHS ENDED DECEMBER 31, 2025</v>
      </c>
      <c r="B5" s="1328"/>
      <c r="C5" s="1328"/>
      <c r="D5" s="1328"/>
      <c r="E5" s="1328"/>
      <c r="F5" s="1328"/>
      <c r="G5" s="1328"/>
      <c r="H5" s="1328"/>
      <c r="I5" s="1328"/>
      <c r="J5" s="1328"/>
      <c r="K5" s="1328"/>
      <c r="L5" s="1328"/>
      <c r="M5" s="1328"/>
      <c r="N5" s="1328"/>
      <c r="O5" s="1328"/>
      <c r="P5" s="1328"/>
    </row>
    <row r="6" spans="1:16" ht="12.75" customHeight="1">
      <c r="A6" s="622"/>
      <c r="B6" s="622"/>
      <c r="C6" s="622"/>
      <c r="D6" s="622"/>
      <c r="E6" s="622"/>
      <c r="F6" s="622"/>
      <c r="G6" s="622"/>
      <c r="H6" s="622"/>
      <c r="I6" s="622"/>
      <c r="J6" s="622"/>
      <c r="K6" s="622"/>
      <c r="L6" s="622"/>
      <c r="M6" s="622"/>
      <c r="N6" s="622"/>
      <c r="O6" s="622"/>
      <c r="P6" s="622"/>
    </row>
    <row r="7" spans="1:16">
      <c r="A7" s="285" t="s">
        <v>2834</v>
      </c>
      <c r="P7" s="661" t="s">
        <v>2983</v>
      </c>
    </row>
    <row r="8" spans="1:16">
      <c r="A8" s="625" t="str">
        <f>'General Headers Index'!B37</f>
        <v>TYPE OF FILING:___X___ORIGINAL______UPDATED</v>
      </c>
      <c r="P8" s="661" t="s">
        <v>1822</v>
      </c>
    </row>
    <row r="9" spans="1:16">
      <c r="A9" s="285" t="s">
        <v>58</v>
      </c>
      <c r="P9" s="661" t="str">
        <f>"WITNESS: "&amp;'General Headers Index'!$B$46</f>
        <v>WITNESS: SHAEFFER</v>
      </c>
    </row>
    <row r="10" spans="1:16">
      <c r="A10" s="1028"/>
      <c r="B10" s="861"/>
      <c r="C10" s="862"/>
      <c r="D10" s="862"/>
      <c r="E10" s="862"/>
      <c r="F10" s="862"/>
      <c r="G10" s="862"/>
      <c r="H10" s="862"/>
      <c r="I10" s="862"/>
      <c r="J10" s="862"/>
      <c r="K10" s="862"/>
      <c r="L10" s="862"/>
      <c r="M10" s="862"/>
      <c r="N10" s="862"/>
      <c r="O10" s="862"/>
      <c r="P10" s="863"/>
    </row>
    <row r="11" spans="1:16">
      <c r="D11" s="205" t="s">
        <v>755</v>
      </c>
      <c r="G11" s="205" t="s">
        <v>3073</v>
      </c>
      <c r="H11" s="205"/>
      <c r="M11" s="205" t="s">
        <v>2342</v>
      </c>
      <c r="N11" s="205" t="s">
        <v>349</v>
      </c>
      <c r="P11" s="205" t="s">
        <v>755</v>
      </c>
    </row>
    <row r="12" spans="1:16">
      <c r="A12" s="205" t="s">
        <v>313</v>
      </c>
      <c r="B12" s="206" t="s">
        <v>958</v>
      </c>
      <c r="D12" s="205" t="s">
        <v>315</v>
      </c>
      <c r="E12" s="205" t="s">
        <v>716</v>
      </c>
      <c r="F12" s="205" t="s">
        <v>718</v>
      </c>
      <c r="G12" s="205" t="s">
        <v>315</v>
      </c>
      <c r="H12" s="205" t="s">
        <v>351</v>
      </c>
      <c r="J12" s="205" t="s">
        <v>719</v>
      </c>
      <c r="K12" s="205" t="s">
        <v>720</v>
      </c>
      <c r="L12" s="205" t="s">
        <v>2285</v>
      </c>
      <c r="M12" s="205" t="s">
        <v>2277</v>
      </c>
      <c r="N12" s="205" t="s">
        <v>502</v>
      </c>
      <c r="P12" s="205" t="s">
        <v>651</v>
      </c>
    </row>
    <row r="13" spans="1:16">
      <c r="A13" s="1029" t="s">
        <v>316</v>
      </c>
      <c r="B13" s="1030" t="s">
        <v>959</v>
      </c>
      <c r="C13" s="1031"/>
      <c r="D13" s="1029" t="s">
        <v>319</v>
      </c>
      <c r="E13" s="1029" t="str">
        <f>_xlfn.CONCAT('D-2.1'!A13," &amp; ",'D-2.1'!A39)</f>
        <v>ADJ 1 &amp; ADJ 2</v>
      </c>
      <c r="F13" s="1029" t="str">
        <f>_xlfn.CONCAT('D-2.2'!A13," - ",'D-2.2'!A25)</f>
        <v>ADJ 1 - ADJ 3</v>
      </c>
      <c r="G13" s="1029" t="s">
        <v>2343</v>
      </c>
      <c r="H13" s="1029" t="s">
        <v>502</v>
      </c>
      <c r="I13" s="1036"/>
      <c r="J13" s="1029" t="str">
        <f>_xlfn.CONCAT('D-2.6'!A13," - ",'D-2.3'!A86)</f>
        <v>ADJ 1 - ADJ 3</v>
      </c>
      <c r="K13" s="1029" t="str">
        <f>_xlfn.CONCAT('D-2.4'!A13," - ",'D-2.4'!A131)</f>
        <v>ADJ 1 - ADJ 17</v>
      </c>
      <c r="L13" s="1029" t="str">
        <f>_xlfn.CONCAT('D-2.5'!A13," &amp; ",'D-2.5'!A19)</f>
        <v>ADJ 1 &amp; ADJ 2</v>
      </c>
      <c r="M13" s="1029" t="s">
        <v>2278</v>
      </c>
      <c r="N13" s="1029" t="s">
        <v>963</v>
      </c>
      <c r="O13" s="1036"/>
      <c r="P13" s="1029" t="s">
        <v>319</v>
      </c>
    </row>
    <row r="14" spans="1:16">
      <c r="D14" s="207" t="s">
        <v>532</v>
      </c>
      <c r="E14" s="207" t="s">
        <v>541</v>
      </c>
      <c r="F14" s="207" t="s">
        <v>542</v>
      </c>
      <c r="G14" s="207" t="s">
        <v>2344</v>
      </c>
      <c r="H14" s="207" t="s">
        <v>2345</v>
      </c>
      <c r="J14" s="207" t="s">
        <v>670</v>
      </c>
      <c r="K14" s="207" t="s">
        <v>984</v>
      </c>
      <c r="L14" s="207" t="s">
        <v>985</v>
      </c>
      <c r="M14" s="207" t="s">
        <v>2346</v>
      </c>
      <c r="N14" s="207" t="s">
        <v>2348</v>
      </c>
      <c r="P14" s="207" t="s">
        <v>2349</v>
      </c>
    </row>
    <row r="15" spans="1:16">
      <c r="D15" s="537" t="s">
        <v>320</v>
      </c>
      <c r="E15" s="537" t="s">
        <v>320</v>
      </c>
      <c r="F15" s="537" t="s">
        <v>320</v>
      </c>
      <c r="G15" s="537" t="s">
        <v>320</v>
      </c>
      <c r="H15" s="537" t="s">
        <v>320</v>
      </c>
      <c r="J15" s="537" t="s">
        <v>320</v>
      </c>
      <c r="K15" s="537" t="s">
        <v>320</v>
      </c>
      <c r="L15" s="537" t="s">
        <v>320</v>
      </c>
      <c r="M15" s="537" t="s">
        <v>320</v>
      </c>
      <c r="N15" s="537" t="s">
        <v>320</v>
      </c>
      <c r="P15" s="537" t="s">
        <v>320</v>
      </c>
    </row>
    <row r="16" spans="1:16">
      <c r="A16" s="205">
        <v>1</v>
      </c>
      <c r="B16" s="659" t="s">
        <v>761</v>
      </c>
    </row>
    <row r="17" spans="1:16">
      <c r="A17" s="205">
        <f t="shared" ref="A17:A23" si="0">A16+1</f>
        <v>2</v>
      </c>
      <c r="B17" s="214" t="s">
        <v>964</v>
      </c>
    </row>
    <row r="18" spans="1:16">
      <c r="A18" s="205">
        <f t="shared" si="0"/>
        <v>3</v>
      </c>
      <c r="B18" s="214" t="s">
        <v>1802</v>
      </c>
      <c r="C18" s="133" t="s">
        <v>142</v>
      </c>
      <c r="D18" s="1210">
        <f>'C-2.1.A Oper Rev&amp;Exp by Accts'!F17</f>
        <v>95651080.959999993</v>
      </c>
      <c r="E18" s="1210">
        <f>'D-2.1'!S16</f>
        <v>-1856509.8399999999</v>
      </c>
      <c r="F18" s="1210">
        <v>0</v>
      </c>
      <c r="G18" s="1210">
        <f>SUM(E18:F18)</f>
        <v>-1856509.8399999999</v>
      </c>
      <c r="H18" s="1210">
        <f>D18+G18</f>
        <v>93794571.11999999</v>
      </c>
      <c r="I18" s="1210"/>
      <c r="J18" s="1210">
        <f>'D-2.3'!T16</f>
        <v>-5136053.419999972</v>
      </c>
      <c r="K18" s="1210">
        <v>0</v>
      </c>
      <c r="L18" s="1210">
        <v>0</v>
      </c>
      <c r="M18" s="1210">
        <f>SUM(J18:L18)</f>
        <v>-5136053.419999972</v>
      </c>
      <c r="N18" s="1210">
        <f>G18+M18</f>
        <v>-6992563.2599999718</v>
      </c>
      <c r="O18" s="1210"/>
      <c r="P18" s="1210">
        <f>D18+G18+M18</f>
        <v>88658517.700000018</v>
      </c>
    </row>
    <row r="19" spans="1:16">
      <c r="A19" s="205">
        <f t="shared" si="0"/>
        <v>4</v>
      </c>
      <c r="B19" s="214" t="s">
        <v>1803</v>
      </c>
      <c r="C19" s="133" t="s">
        <v>143</v>
      </c>
      <c r="D19" s="1210">
        <f>'C-2.1.A Oper Rev&amp;Exp by Accts'!F18</f>
        <v>42081251.470000006</v>
      </c>
      <c r="E19" s="1210">
        <f>'D-2.1'!S21</f>
        <v>-761430.48</v>
      </c>
      <c r="F19" s="1210">
        <v>0</v>
      </c>
      <c r="G19" s="1210">
        <f>SUM(E19:F19)</f>
        <v>-761430.48</v>
      </c>
      <c r="H19" s="1210">
        <f>D19+G19</f>
        <v>41319820.99000001</v>
      </c>
      <c r="I19" s="1210"/>
      <c r="J19" s="1210">
        <f>'D-2.3'!T22</f>
        <v>-3949562.0100000054</v>
      </c>
      <c r="K19" s="1210">
        <v>0</v>
      </c>
      <c r="L19" s="1210">
        <v>0</v>
      </c>
      <c r="M19" s="1210">
        <f>SUM(J19:L19)</f>
        <v>-3949562.0100000054</v>
      </c>
      <c r="N19" s="1210">
        <f>G19+M19</f>
        <v>-4710992.4900000058</v>
      </c>
      <c r="O19" s="1210"/>
      <c r="P19" s="1210">
        <f>D19+G19+M19</f>
        <v>37370258.980000004</v>
      </c>
    </row>
    <row r="20" spans="1:16">
      <c r="A20" s="205">
        <f t="shared" si="0"/>
        <v>5</v>
      </c>
      <c r="B20" s="214" t="s">
        <v>1804</v>
      </c>
      <c r="C20" s="133" t="s">
        <v>144</v>
      </c>
      <c r="D20" s="1210">
        <f>'C-2.1.A Oper Rev&amp;Exp by Accts'!F19</f>
        <v>1461528.22</v>
      </c>
      <c r="E20" s="1210">
        <f>'D-2.1'!S26</f>
        <v>-2693.8099999999995</v>
      </c>
      <c r="F20" s="1210">
        <v>0</v>
      </c>
      <c r="G20" s="1210">
        <f>SUM(E20:F20)</f>
        <v>-2693.8099999999995</v>
      </c>
      <c r="H20" s="1210">
        <f>D20+G20</f>
        <v>1458834.41</v>
      </c>
      <c r="I20" s="1210"/>
      <c r="J20" s="1210">
        <f>'D-2.3'!T28</f>
        <v>-283474.55000000005</v>
      </c>
      <c r="K20" s="1210">
        <v>0</v>
      </c>
      <c r="L20" s="1210">
        <v>0</v>
      </c>
      <c r="M20" s="1210">
        <f>SUM(J20:L20)</f>
        <v>-283474.55000000005</v>
      </c>
      <c r="N20" s="1210">
        <f>G20+M20</f>
        <v>-286168.36000000004</v>
      </c>
      <c r="O20" s="1210"/>
      <c r="P20" s="1210">
        <f>D20+G20+M20</f>
        <v>1175359.8599999999</v>
      </c>
    </row>
    <row r="21" spans="1:16">
      <c r="A21" s="205">
        <f t="shared" si="0"/>
        <v>6</v>
      </c>
      <c r="B21" s="214" t="s">
        <v>1805</v>
      </c>
      <c r="C21" s="133" t="s">
        <v>364</v>
      </c>
      <c r="D21" s="1210">
        <f>'C-2.1.A Oper Rev&amp;Exp by Accts'!F20</f>
        <v>8154.5900000000011</v>
      </c>
      <c r="E21" s="1210">
        <f>'D-2.1'!S31</f>
        <v>0</v>
      </c>
      <c r="F21" s="1210">
        <v>0</v>
      </c>
      <c r="G21" s="1210">
        <f>SUM(E21:F21)</f>
        <v>0</v>
      </c>
      <c r="H21" s="1210">
        <f>D21+G21</f>
        <v>8154.5900000000011</v>
      </c>
      <c r="I21" s="1210"/>
      <c r="J21" s="1210">
        <f>'D-2.3'!T34</f>
        <v>-8154.5900000000011</v>
      </c>
      <c r="K21" s="1210">
        <v>0</v>
      </c>
      <c r="L21" s="1210">
        <v>0</v>
      </c>
      <c r="M21" s="1210">
        <f>SUM(J21:L21)</f>
        <v>-8154.5900000000011</v>
      </c>
      <c r="N21" s="1210">
        <f>G21+M21</f>
        <v>-8154.5900000000011</v>
      </c>
      <c r="O21" s="1210"/>
      <c r="P21" s="1210">
        <f>D21+G21+M21</f>
        <v>0</v>
      </c>
    </row>
    <row r="22" spans="1:16">
      <c r="A22" s="205">
        <f t="shared" si="0"/>
        <v>7</v>
      </c>
      <c r="B22" s="214" t="s">
        <v>1806</v>
      </c>
      <c r="C22" s="133" t="s">
        <v>904</v>
      </c>
      <c r="D22" s="1211">
        <f>'C-2.1.A Oper Rev&amp;Exp by Accts'!F21</f>
        <v>67702.240000000005</v>
      </c>
      <c r="E22" s="1211">
        <f>'D-2.1'!S36</f>
        <v>-326.3</v>
      </c>
      <c r="F22" s="1211">
        <v>0</v>
      </c>
      <c r="G22" s="1211">
        <f>SUM(E22:F22)</f>
        <v>-326.3</v>
      </c>
      <c r="H22" s="1211">
        <f>D22+G22</f>
        <v>67375.94</v>
      </c>
      <c r="I22" s="1210"/>
      <c r="J22" s="1211">
        <f>'D-2.3'!T40</f>
        <v>-1491.6399999999994</v>
      </c>
      <c r="K22" s="1211">
        <v>0</v>
      </c>
      <c r="L22" s="1211">
        <v>0</v>
      </c>
      <c r="M22" s="1211">
        <f>SUM(J22:L22)</f>
        <v>-1491.6399999999994</v>
      </c>
      <c r="N22" s="1211">
        <f>G22+M22</f>
        <v>-1817.9399999999994</v>
      </c>
      <c r="O22" s="1210"/>
      <c r="P22" s="1211">
        <f>D22+G22+M22</f>
        <v>65884.3</v>
      </c>
    </row>
    <row r="23" spans="1:16">
      <c r="A23" s="205">
        <f t="shared" si="0"/>
        <v>8</v>
      </c>
      <c r="B23" s="214" t="s">
        <v>965</v>
      </c>
      <c r="D23" s="1210">
        <f>SUM(D18:D22)</f>
        <v>139269717.48000002</v>
      </c>
      <c r="E23" s="1210">
        <f>SUM(E18:E22)</f>
        <v>-2620960.4299999997</v>
      </c>
      <c r="F23" s="1210">
        <f>SUM(F18:F22)</f>
        <v>0</v>
      </c>
      <c r="G23" s="1210">
        <f>SUM(G18:G22)</f>
        <v>-2620960.4299999997</v>
      </c>
      <c r="H23" s="1210">
        <f>SUM(H18:H22)</f>
        <v>136648757.05000001</v>
      </c>
      <c r="I23" s="1210"/>
      <c r="J23" s="1210">
        <f>SUM(J18:J22)</f>
        <v>-9378736.2099999785</v>
      </c>
      <c r="K23" s="1210">
        <f>SUM(K18:K22)</f>
        <v>0</v>
      </c>
      <c r="L23" s="1210">
        <f>SUM(L18:L22)</f>
        <v>0</v>
      </c>
      <c r="M23" s="1210">
        <f>SUM(M18:M22)</f>
        <v>-9378736.2099999785</v>
      </c>
      <c r="N23" s="1210">
        <f>SUM(N18:N22)</f>
        <v>-11999696.639999976</v>
      </c>
      <c r="O23" s="1210"/>
      <c r="P23" s="1210">
        <f>SUM(P18:P22)</f>
        <v>127270020.84000002</v>
      </c>
    </row>
    <row r="24" spans="1:16">
      <c r="A24" s="205"/>
      <c r="D24" s="1210"/>
      <c r="E24" s="1210"/>
      <c r="F24" s="1210"/>
      <c r="G24" s="1210"/>
      <c r="H24" s="1210"/>
      <c r="I24" s="1210"/>
      <c r="J24" s="1210"/>
      <c r="K24" s="1210"/>
      <c r="L24" s="1210"/>
      <c r="M24" s="1210"/>
      <c r="N24" s="1210"/>
      <c r="O24" s="1210"/>
      <c r="P24" s="1210"/>
    </row>
    <row r="25" spans="1:16">
      <c r="A25" s="205">
        <f>A23+1</f>
        <v>9</v>
      </c>
      <c r="B25" s="214" t="s">
        <v>966</v>
      </c>
      <c r="D25" s="1210"/>
      <c r="E25" s="1210"/>
      <c r="F25" s="1210"/>
      <c r="G25" s="1210"/>
      <c r="H25" s="1210"/>
      <c r="I25" s="1210"/>
      <c r="J25" s="1210"/>
      <c r="K25" s="1210"/>
      <c r="L25" s="1210"/>
      <c r="M25" s="1210"/>
      <c r="N25" s="1210"/>
      <c r="O25" s="1210"/>
      <c r="P25" s="1210"/>
    </row>
    <row r="26" spans="1:16">
      <c r="A26" s="205">
        <f t="shared" ref="A26:A31" si="1">A25+1</f>
        <v>10</v>
      </c>
      <c r="B26" s="214" t="s">
        <v>1807</v>
      </c>
      <c r="C26" s="133" t="s">
        <v>905</v>
      </c>
      <c r="D26" s="1210">
        <f>'C-2.1.A Oper Rev&amp;Exp by Accts'!F25</f>
        <v>592900.87966927944</v>
      </c>
      <c r="E26" s="1210">
        <v>0</v>
      </c>
      <c r="F26" s="1210">
        <v>0</v>
      </c>
      <c r="G26" s="1210">
        <f>SUM(E26:F26)</f>
        <v>0</v>
      </c>
      <c r="H26" s="1210">
        <f>D26+G26</f>
        <v>592900.87966927944</v>
      </c>
      <c r="I26" s="1210"/>
      <c r="J26" s="1210">
        <f>'D-2.3'!T47</f>
        <v>-2804.0730026126839</v>
      </c>
      <c r="K26" s="1210">
        <v>0</v>
      </c>
      <c r="L26" s="1210">
        <v>0</v>
      </c>
      <c r="M26" s="1210">
        <f>SUM(J26:L26)</f>
        <v>-2804.0730026126839</v>
      </c>
      <c r="N26" s="1210">
        <f>G26+M26</f>
        <v>-2804.0730026126839</v>
      </c>
      <c r="O26" s="1210"/>
      <c r="P26" s="1210">
        <f>D26+G26+M26</f>
        <v>590096.80666666676</v>
      </c>
    </row>
    <row r="27" spans="1:16">
      <c r="A27" s="205">
        <f t="shared" si="1"/>
        <v>11</v>
      </c>
      <c r="B27" s="214" t="s">
        <v>1808</v>
      </c>
      <c r="C27" s="133" t="s">
        <v>1809</v>
      </c>
      <c r="D27" s="1210">
        <f>'C-2.1.A Oper Rev&amp;Exp by Accts'!F26</f>
        <v>104673.74882649933</v>
      </c>
      <c r="E27" s="1210">
        <v>0</v>
      </c>
      <c r="F27" s="1210">
        <v>0</v>
      </c>
      <c r="G27" s="1210">
        <f>SUM(E27:F27)</f>
        <v>0</v>
      </c>
      <c r="H27" s="1210">
        <f>D27+G27</f>
        <v>104673.74882649933</v>
      </c>
      <c r="I27" s="1210"/>
      <c r="J27" s="1210">
        <f>'D-2.3'!T52</f>
        <v>23606.374506834094</v>
      </c>
      <c r="K27" s="1210">
        <v>0</v>
      </c>
      <c r="L27" s="1210">
        <v>0</v>
      </c>
      <c r="M27" s="1210">
        <f>SUM(J27:L27)</f>
        <v>23606.374506834094</v>
      </c>
      <c r="N27" s="1210">
        <f>G27+M27</f>
        <v>23606.374506834094</v>
      </c>
      <c r="O27" s="1210"/>
      <c r="P27" s="1210">
        <f>D27+G27+M27</f>
        <v>128280.12333333342</v>
      </c>
    </row>
    <row r="28" spans="1:16">
      <c r="A28" s="205">
        <f t="shared" si="1"/>
        <v>12</v>
      </c>
      <c r="B28" s="214" t="s">
        <v>1810</v>
      </c>
      <c r="C28" s="133" t="s">
        <v>1811</v>
      </c>
      <c r="D28" s="1210">
        <f>'C-2.1.A Oper Rev&amp;Exp by Accts'!F27+'C-2.1.A Oper Rev&amp;Exp by Accts'!F28+'C-2.1.A Oper Rev&amp;Exp by Accts'!F29</f>
        <v>23486495.409999996</v>
      </c>
      <c r="E28" s="1210">
        <f>'D-2.1'!S42</f>
        <v>-192911.23</v>
      </c>
      <c r="F28" s="1210">
        <v>0</v>
      </c>
      <c r="G28" s="1210">
        <f>SUM(E28:F28)</f>
        <v>-192911.23</v>
      </c>
      <c r="H28" s="1210">
        <f>D28+G28</f>
        <v>23293584.179999996</v>
      </c>
      <c r="I28" s="1210"/>
      <c r="J28" s="1210">
        <f>'D-2.3'!T58</f>
        <v>-708854.46999999881</v>
      </c>
      <c r="K28" s="1210">
        <v>0</v>
      </c>
      <c r="L28" s="1210">
        <v>0</v>
      </c>
      <c r="M28" s="1210">
        <f>SUM(J28:L28)</f>
        <v>-708854.46999999881</v>
      </c>
      <c r="N28" s="1210">
        <f>G28+M28</f>
        <v>-901765.69999999879</v>
      </c>
      <c r="O28" s="1210"/>
      <c r="P28" s="1210">
        <f>D28+G28+M28</f>
        <v>22584729.709999997</v>
      </c>
    </row>
    <row r="29" spans="1:16">
      <c r="A29" s="205">
        <f t="shared" si="1"/>
        <v>13</v>
      </c>
      <c r="B29" s="214" t="s">
        <v>1812</v>
      </c>
      <c r="C29" s="133" t="s">
        <v>907</v>
      </c>
      <c r="D29" s="1210">
        <f>'C-2.1.A Oper Rev&amp;Exp by Accts'!F30</f>
        <v>85170.734978536449</v>
      </c>
      <c r="E29" s="1210">
        <v>0</v>
      </c>
      <c r="F29" s="1210">
        <v>0</v>
      </c>
      <c r="G29" s="1210">
        <f>SUM(E29:F29)</f>
        <v>0</v>
      </c>
      <c r="H29" s="1210">
        <f>D29+G29</f>
        <v>85170.734978536449</v>
      </c>
      <c r="I29" s="1210"/>
      <c r="J29" s="1210">
        <f>'D-2.3'!T64</f>
        <v>14538.075021463534</v>
      </c>
      <c r="K29" s="1210">
        <v>0</v>
      </c>
      <c r="L29" s="1210">
        <v>0</v>
      </c>
      <c r="M29" s="1210">
        <f>SUM(J29:L29)</f>
        <v>14538.075021463534</v>
      </c>
      <c r="N29" s="1210">
        <f>G29+M29</f>
        <v>14538.075021463534</v>
      </c>
      <c r="O29" s="1210"/>
      <c r="P29" s="1210">
        <f>D29+G29+M29</f>
        <v>99708.809999999983</v>
      </c>
    </row>
    <row r="30" spans="1:16">
      <c r="A30" s="205">
        <f t="shared" si="1"/>
        <v>14</v>
      </c>
      <c r="B30" s="214" t="s">
        <v>1813</v>
      </c>
      <c r="C30" s="133" t="s">
        <v>908</v>
      </c>
      <c r="D30" s="1211">
        <f>'C-2.1.A Oper Rev&amp;Exp by Accts'!F31</f>
        <v>6679553.4991233917</v>
      </c>
      <c r="E30" s="1211">
        <v>0</v>
      </c>
      <c r="F30" s="1211">
        <v>0</v>
      </c>
      <c r="G30" s="1211">
        <f>SUM(E30:F30)</f>
        <v>0</v>
      </c>
      <c r="H30" s="1211">
        <f>D30+G30</f>
        <v>6679553.4991233917</v>
      </c>
      <c r="I30" s="1210"/>
      <c r="J30" s="1211">
        <f>'D-2.3'!T70</f>
        <v>-6531704.1624567248</v>
      </c>
      <c r="K30" s="1211">
        <v>0</v>
      </c>
      <c r="L30" s="1211">
        <v>0</v>
      </c>
      <c r="M30" s="1211">
        <f>SUM(J30:L30)</f>
        <v>-6531704.1624567248</v>
      </c>
      <c r="N30" s="1211">
        <f>G30+M30</f>
        <v>-6531704.1624567248</v>
      </c>
      <c r="O30" s="1210"/>
      <c r="P30" s="1211">
        <f>D30+G30+M30</f>
        <v>147849.3366666669</v>
      </c>
    </row>
    <row r="31" spans="1:16">
      <c r="A31" s="205">
        <f t="shared" si="1"/>
        <v>15</v>
      </c>
      <c r="B31" s="214" t="s">
        <v>775</v>
      </c>
      <c r="D31" s="1212">
        <f>SUM(D26:D30)</f>
        <v>30948794.272597704</v>
      </c>
      <c r="E31" s="1212">
        <f>SUM(E26:E30)</f>
        <v>-192911.23</v>
      </c>
      <c r="F31" s="1212">
        <f>SUM(F26:F30)</f>
        <v>0</v>
      </c>
      <c r="G31" s="1212">
        <f>SUM(G26:G30)</f>
        <v>-192911.23</v>
      </c>
      <c r="H31" s="1212">
        <f>SUM(H26:H30)</f>
        <v>30755883.042597704</v>
      </c>
      <c r="I31" s="1210"/>
      <c r="J31" s="1212">
        <f>SUM(J26:J30)</f>
        <v>-7205218.2559310384</v>
      </c>
      <c r="K31" s="1212">
        <f>SUM(K26:K30)</f>
        <v>0</v>
      </c>
      <c r="L31" s="1212">
        <f>SUM(L26:L30)</f>
        <v>0</v>
      </c>
      <c r="M31" s="1212">
        <f>SUM(M26:M30)</f>
        <v>-7205218.2559310384</v>
      </c>
      <c r="N31" s="1212">
        <f>SUM(N26:N30)</f>
        <v>-7398129.4859310389</v>
      </c>
      <c r="O31" s="1210"/>
      <c r="P31" s="1212">
        <f>SUM(P26:P30)</f>
        <v>23550664.786666662</v>
      </c>
    </row>
    <row r="32" spans="1:16">
      <c r="A32" s="205"/>
      <c r="D32" s="1210"/>
      <c r="E32" s="1210"/>
      <c r="F32" s="1210"/>
      <c r="G32" s="1210"/>
      <c r="H32" s="1210"/>
      <c r="I32" s="1210"/>
      <c r="J32" s="1210"/>
      <c r="K32" s="1210"/>
      <c r="L32" s="1210"/>
      <c r="M32" s="1210"/>
      <c r="N32" s="1210"/>
      <c r="O32" s="1210"/>
      <c r="P32" s="1210"/>
    </row>
    <row r="33" spans="1:16">
      <c r="A33" s="205">
        <f>A31+1</f>
        <v>16</v>
      </c>
      <c r="B33" s="214" t="s">
        <v>967</v>
      </c>
      <c r="D33" s="1210">
        <f>D23+D31</f>
        <v>170218511.75259772</v>
      </c>
      <c r="E33" s="1210">
        <f>E23+E31</f>
        <v>-2813871.6599999997</v>
      </c>
      <c r="F33" s="1210">
        <f>F23+F31</f>
        <v>0</v>
      </c>
      <c r="G33" s="1210">
        <f>G23+G31</f>
        <v>-2813871.6599999997</v>
      </c>
      <c r="H33" s="1210">
        <f>H23+H31</f>
        <v>167404640.09259772</v>
      </c>
      <c r="I33" s="1210"/>
      <c r="J33" s="1210">
        <f>J23+J31</f>
        <v>-16583954.465931017</v>
      </c>
      <c r="K33" s="1210">
        <f>K23+K31</f>
        <v>0</v>
      </c>
      <c r="L33" s="1210">
        <f>L23+L31</f>
        <v>0</v>
      </c>
      <c r="M33" s="1210">
        <f>M23+M31</f>
        <v>-16583954.465931017</v>
      </c>
      <c r="N33" s="1210">
        <f>N23+N31</f>
        <v>-19397826.125931017</v>
      </c>
      <c r="O33" s="1210"/>
      <c r="P33" s="1210">
        <f>P23+P31</f>
        <v>150820685.62666667</v>
      </c>
    </row>
    <row r="34" spans="1:16">
      <c r="A34" s="205"/>
      <c r="B34" s="214"/>
      <c r="D34" s="1213"/>
      <c r="E34" s="1213"/>
      <c r="F34" s="1213"/>
      <c r="G34" s="1213"/>
      <c r="H34" s="1213"/>
      <c r="I34" s="1210"/>
      <c r="J34" s="1213"/>
      <c r="K34" s="1213"/>
      <c r="L34" s="1213"/>
      <c r="M34" s="1213"/>
      <c r="N34" s="1213"/>
      <c r="O34" s="1210"/>
      <c r="P34" s="1213"/>
    </row>
    <row r="35" spans="1:16">
      <c r="A35" s="205">
        <f>A33+1</f>
        <v>17</v>
      </c>
      <c r="B35" s="659" t="s">
        <v>776</v>
      </c>
      <c r="D35" s="1210"/>
      <c r="E35" s="1210"/>
      <c r="F35" s="1210"/>
      <c r="G35" s="1210"/>
      <c r="H35" s="1210"/>
      <c r="I35" s="1210"/>
      <c r="J35" s="1210"/>
      <c r="K35" s="1210"/>
      <c r="L35" s="1210"/>
      <c r="M35" s="1210"/>
      <c r="N35" s="1210"/>
      <c r="O35" s="1210"/>
      <c r="P35" s="1210"/>
    </row>
    <row r="36" spans="1:16">
      <c r="A36" s="205">
        <f>A35+1</f>
        <v>18</v>
      </c>
      <c r="B36" s="214" t="s">
        <v>968</v>
      </c>
      <c r="D36" s="1210"/>
      <c r="E36" s="1210"/>
      <c r="F36" s="1210"/>
      <c r="G36" s="1210"/>
      <c r="H36" s="1210"/>
      <c r="I36" s="1210"/>
      <c r="J36" s="1210"/>
      <c r="K36" s="1210"/>
      <c r="L36" s="1210"/>
      <c r="M36" s="1210"/>
      <c r="N36" s="1210"/>
      <c r="O36" s="1210"/>
      <c r="P36" s="1210"/>
    </row>
    <row r="37" spans="1:16">
      <c r="A37" s="205">
        <f t="shared" ref="A37:A43" si="2">A36+1</f>
        <v>19</v>
      </c>
      <c r="B37" s="214" t="s">
        <v>1814</v>
      </c>
      <c r="C37" s="133" t="s">
        <v>915</v>
      </c>
      <c r="D37" s="1210">
        <f>'C-2.1.A Oper Rev&amp;Exp by Accts'!F60</f>
        <v>19976867.719999999</v>
      </c>
      <c r="E37" s="1210">
        <v>0</v>
      </c>
      <c r="F37" s="1210">
        <v>0</v>
      </c>
      <c r="G37" s="1210">
        <f t="shared" ref="G37:G43" si="3">SUM(E37:F37)</f>
        <v>0</v>
      </c>
      <c r="H37" s="1210">
        <f>D37+G37</f>
        <v>19976867.719999999</v>
      </c>
      <c r="I37" s="1210"/>
      <c r="J37" s="1210">
        <f>'D-2.3'!T89</f>
        <v>-2312869.9699999988</v>
      </c>
      <c r="K37" s="1210">
        <v>0</v>
      </c>
      <c r="L37" s="1210">
        <v>0</v>
      </c>
      <c r="M37" s="1210">
        <f>SUM(J37:L37)</f>
        <v>-2312869.9699999988</v>
      </c>
      <c r="N37" s="1210">
        <f>G37+M37</f>
        <v>-2312869.9699999988</v>
      </c>
      <c r="O37" s="1210"/>
      <c r="P37" s="1210">
        <f>D37+G37+M37</f>
        <v>17663997.75</v>
      </c>
    </row>
    <row r="38" spans="1:16">
      <c r="A38" s="205">
        <f t="shared" si="2"/>
        <v>20</v>
      </c>
      <c r="B38" s="214" t="s">
        <v>1815</v>
      </c>
      <c r="C38" s="133" t="s">
        <v>916</v>
      </c>
      <c r="D38" s="1210">
        <f>'C-2.1.A Oper Rev&amp;Exp by Accts'!F61</f>
        <v>2024269.0700000003</v>
      </c>
      <c r="E38" s="1210">
        <v>0</v>
      </c>
      <c r="F38" s="1210">
        <v>0</v>
      </c>
      <c r="G38" s="1210">
        <f t="shared" si="3"/>
        <v>0</v>
      </c>
      <c r="H38" s="1210">
        <f t="shared" ref="H38:H43" si="4">D38+G38</f>
        <v>2024269.0700000003</v>
      </c>
      <c r="I38" s="1210"/>
      <c r="J38" s="1210">
        <f>'D-2.3'!T94</f>
        <v>-865368.31000000029</v>
      </c>
      <c r="K38" s="1210">
        <v>0</v>
      </c>
      <c r="L38" s="1210">
        <v>0</v>
      </c>
      <c r="M38" s="1210">
        <f t="shared" ref="M38:M43" si="5">SUM(J38:L38)</f>
        <v>-865368.31000000029</v>
      </c>
      <c r="N38" s="1210">
        <f t="shared" ref="N38:N43" si="6">G38+M38</f>
        <v>-865368.31000000029</v>
      </c>
      <c r="O38" s="1210"/>
      <c r="P38" s="1210">
        <f t="shared" ref="P38:P43" si="7">D38+G38+M38</f>
        <v>1158900.76</v>
      </c>
    </row>
    <row r="39" spans="1:16">
      <c r="A39" s="205">
        <f t="shared" si="2"/>
        <v>21</v>
      </c>
      <c r="B39" s="214" t="s">
        <v>1816</v>
      </c>
      <c r="C39" s="133" t="s">
        <v>917</v>
      </c>
      <c r="D39" s="1210">
        <f>'C-2.1.A Oper Rev&amp;Exp by Accts'!F62</f>
        <v>13411248.760000004</v>
      </c>
      <c r="E39" s="1210">
        <v>0</v>
      </c>
      <c r="F39" s="1210">
        <v>0</v>
      </c>
      <c r="G39" s="1210">
        <f t="shared" si="3"/>
        <v>0</v>
      </c>
      <c r="H39" s="1210">
        <f t="shared" si="4"/>
        <v>13411248.760000004</v>
      </c>
      <c r="I39" s="1210"/>
      <c r="J39" s="1210">
        <f>'D-2.3'!T99</f>
        <v>1932176.0899999961</v>
      </c>
      <c r="K39" s="1210">
        <v>0</v>
      </c>
      <c r="L39" s="1210">
        <v>0</v>
      </c>
      <c r="M39" s="1210">
        <f t="shared" si="5"/>
        <v>1932176.0899999961</v>
      </c>
      <c r="N39" s="1210">
        <f t="shared" si="6"/>
        <v>1932176.0899999961</v>
      </c>
      <c r="O39" s="1210"/>
      <c r="P39" s="1210">
        <f t="shared" si="7"/>
        <v>15343424.85</v>
      </c>
    </row>
    <row r="40" spans="1:16">
      <c r="A40" s="205">
        <f t="shared" si="2"/>
        <v>22</v>
      </c>
      <c r="B40" s="214" t="s">
        <v>1817</v>
      </c>
      <c r="C40" s="133" t="s">
        <v>918</v>
      </c>
      <c r="D40" s="1210">
        <f>'C-2.1.A Oper Rev&amp;Exp by Accts'!F63</f>
        <v>1697539.09</v>
      </c>
      <c r="E40" s="1210">
        <v>0</v>
      </c>
      <c r="F40" s="1210">
        <v>0</v>
      </c>
      <c r="G40" s="1210">
        <f t="shared" si="3"/>
        <v>0</v>
      </c>
      <c r="H40" s="1210">
        <f t="shared" si="4"/>
        <v>1697539.09</v>
      </c>
      <c r="I40" s="1210"/>
      <c r="J40" s="1210">
        <f>'D-2.3'!T104</f>
        <v>-23453.919999999693</v>
      </c>
      <c r="K40" s="1210">
        <v>0</v>
      </c>
      <c r="L40" s="1210">
        <v>0</v>
      </c>
      <c r="M40" s="1210">
        <f t="shared" si="5"/>
        <v>-23453.919999999693</v>
      </c>
      <c r="N40" s="1210">
        <f t="shared" si="6"/>
        <v>-23453.919999999693</v>
      </c>
      <c r="O40" s="1210"/>
      <c r="P40" s="1210">
        <f t="shared" si="7"/>
        <v>1674085.1700000004</v>
      </c>
    </row>
    <row r="41" spans="1:16">
      <c r="A41" s="205">
        <f t="shared" si="2"/>
        <v>23</v>
      </c>
      <c r="B41" s="214" t="s">
        <v>1818</v>
      </c>
      <c r="C41" s="133" t="s">
        <v>2140</v>
      </c>
      <c r="D41" s="1210">
        <f>'C-2.1.A Oper Rev&amp;Exp by Accts'!F65</f>
        <v>9272733.4800000004</v>
      </c>
      <c r="E41" s="1210">
        <v>0</v>
      </c>
      <c r="F41" s="1210">
        <v>0</v>
      </c>
      <c r="G41" s="1210">
        <f t="shared" si="3"/>
        <v>0</v>
      </c>
      <c r="H41" s="1210">
        <f t="shared" si="4"/>
        <v>9272733.4800000004</v>
      </c>
      <c r="I41" s="1210"/>
      <c r="J41" s="1210">
        <f>'D-2.3'!T109</f>
        <v>-9659706.1699999999</v>
      </c>
      <c r="K41" s="1210">
        <v>0</v>
      </c>
      <c r="L41" s="1210">
        <v>0</v>
      </c>
      <c r="M41" s="1210">
        <f t="shared" si="5"/>
        <v>-9659706.1699999999</v>
      </c>
      <c r="N41" s="1210">
        <f t="shared" si="6"/>
        <v>-9659706.1699999999</v>
      </c>
      <c r="O41" s="1210"/>
      <c r="P41" s="1210">
        <f t="shared" si="7"/>
        <v>-386972.68999999948</v>
      </c>
    </row>
    <row r="42" spans="1:16">
      <c r="A42" s="205">
        <f t="shared" si="2"/>
        <v>24</v>
      </c>
      <c r="B42" s="206" t="s">
        <v>1819</v>
      </c>
      <c r="C42" s="133" t="s">
        <v>1108</v>
      </c>
      <c r="D42" s="1210">
        <f>'C-2.1.A Oper Rev&amp;Exp by Accts'!F66</f>
        <v>-52668.530000000006</v>
      </c>
      <c r="E42" s="1210">
        <v>0</v>
      </c>
      <c r="F42" s="1210">
        <v>0</v>
      </c>
      <c r="G42" s="1210">
        <f t="shared" si="3"/>
        <v>0</v>
      </c>
      <c r="H42" s="1210">
        <f t="shared" si="4"/>
        <v>-52668.530000000006</v>
      </c>
      <c r="I42" s="1210"/>
      <c r="J42" s="1210">
        <f>'D-2.3'!T114</f>
        <v>12254.350000000006</v>
      </c>
      <c r="K42" s="1210">
        <v>0</v>
      </c>
      <c r="L42" s="1210">
        <v>0</v>
      </c>
      <c r="M42" s="1210">
        <f t="shared" si="5"/>
        <v>12254.350000000006</v>
      </c>
      <c r="N42" s="1210">
        <f t="shared" si="6"/>
        <v>12254.350000000006</v>
      </c>
      <c r="O42" s="1210"/>
      <c r="P42" s="1210">
        <f t="shared" si="7"/>
        <v>-40414.18</v>
      </c>
    </row>
    <row r="43" spans="1:16">
      <c r="A43" s="205">
        <f t="shared" si="2"/>
        <v>25</v>
      </c>
      <c r="B43" s="214" t="s">
        <v>1820</v>
      </c>
      <c r="C43" s="133" t="s">
        <v>923</v>
      </c>
      <c r="D43" s="1211">
        <f>'C-2.1.A Oper Rev&amp;Exp by Accts'!F67</f>
        <v>0</v>
      </c>
      <c r="E43" s="1211">
        <v>0</v>
      </c>
      <c r="F43" s="1211">
        <v>0</v>
      </c>
      <c r="G43" s="1211">
        <f t="shared" si="3"/>
        <v>0</v>
      </c>
      <c r="H43" s="1211">
        <f t="shared" si="4"/>
        <v>0</v>
      </c>
      <c r="I43" s="1210"/>
      <c r="J43" s="1211">
        <f>'D-2.3'!T119</f>
        <v>0</v>
      </c>
      <c r="K43" s="1211">
        <v>0</v>
      </c>
      <c r="L43" s="1211">
        <v>0</v>
      </c>
      <c r="M43" s="1211">
        <f t="shared" si="5"/>
        <v>0</v>
      </c>
      <c r="N43" s="1211">
        <f t="shared" si="6"/>
        <v>0</v>
      </c>
      <c r="O43" s="1210"/>
      <c r="P43" s="1211">
        <f t="shared" si="7"/>
        <v>0</v>
      </c>
    </row>
    <row r="44" spans="1:16">
      <c r="A44" s="205">
        <f>A43+1</f>
        <v>26</v>
      </c>
      <c r="B44" s="214" t="s">
        <v>969</v>
      </c>
      <c r="D44" s="1212">
        <f>SUM(D37:D43)</f>
        <v>46329989.590000004</v>
      </c>
      <c r="E44" s="1212">
        <f>SUM(E37:E43)</f>
        <v>0</v>
      </c>
      <c r="F44" s="1212">
        <f>SUM(F37:F43)</f>
        <v>0</v>
      </c>
      <c r="G44" s="1212">
        <f>SUM(G37:G43)</f>
        <v>0</v>
      </c>
      <c r="H44" s="1212">
        <f>SUM(H37:H43)</f>
        <v>46329989.590000004</v>
      </c>
      <c r="I44" s="1210"/>
      <c r="J44" s="1212">
        <f>SUM(J37:J43)</f>
        <v>-10916967.930000003</v>
      </c>
      <c r="K44" s="1212">
        <f>SUM(K37:K43)</f>
        <v>0</v>
      </c>
      <c r="L44" s="1212">
        <f>SUM(L37:L43)</f>
        <v>0</v>
      </c>
      <c r="M44" s="1212">
        <f>SUM(M37:M43)</f>
        <v>-10916967.930000003</v>
      </c>
      <c r="N44" s="1212">
        <f>SUM(N37:N43)</f>
        <v>-10916967.930000003</v>
      </c>
      <c r="O44" s="1210"/>
      <c r="P44" s="1212">
        <f>SUM(P37:P43)</f>
        <v>35413021.660000004</v>
      </c>
    </row>
    <row r="45" spans="1:16">
      <c r="A45" s="205"/>
      <c r="D45" s="1210"/>
      <c r="E45" s="1210"/>
      <c r="F45" s="1210"/>
      <c r="G45" s="1210"/>
      <c r="H45" s="1210"/>
      <c r="I45" s="1210"/>
      <c r="J45" s="1210"/>
      <c r="K45" s="1210"/>
      <c r="L45" s="1210"/>
      <c r="M45" s="1210"/>
      <c r="N45" s="1210"/>
      <c r="O45" s="1210"/>
      <c r="P45" s="1210"/>
    </row>
    <row r="46" spans="1:16">
      <c r="A46" s="205">
        <f>A44+1</f>
        <v>27</v>
      </c>
      <c r="B46" s="214" t="s">
        <v>970</v>
      </c>
      <c r="D46" s="1210">
        <f>D33-D44</f>
        <v>123888522.16259772</v>
      </c>
      <c r="E46" s="1210">
        <f>E33-E44</f>
        <v>-2813871.6599999997</v>
      </c>
      <c r="F46" s="1210">
        <f>F33-F44</f>
        <v>0</v>
      </c>
      <c r="G46" s="1210">
        <f>G33-G44</f>
        <v>-2813871.6599999997</v>
      </c>
      <c r="H46" s="1210">
        <f>H33-H44</f>
        <v>121074650.50259772</v>
      </c>
      <c r="I46" s="1210"/>
      <c r="J46" s="1210">
        <f>J33-J44</f>
        <v>-5666986.5359310135</v>
      </c>
      <c r="K46" s="1210">
        <f>K33-K44</f>
        <v>0</v>
      </c>
      <c r="L46" s="1210">
        <f>L33-L44</f>
        <v>0</v>
      </c>
      <c r="M46" s="1210">
        <f>M33-M44</f>
        <v>-5666986.5359310135</v>
      </c>
      <c r="N46" s="1210">
        <f>N33-N44</f>
        <v>-8480858.1959310137</v>
      </c>
      <c r="O46" s="1210"/>
      <c r="P46" s="1210">
        <f>P33-P44</f>
        <v>115407663.96666667</v>
      </c>
    </row>
    <row r="47" spans="1:16">
      <c r="A47" s="205"/>
      <c r="D47" s="631"/>
      <c r="E47" s="631"/>
      <c r="F47" s="631"/>
      <c r="G47" s="631"/>
      <c r="H47" s="631"/>
      <c r="J47" s="631"/>
      <c r="K47" s="631"/>
      <c r="L47" s="631"/>
      <c r="M47" s="631"/>
      <c r="N47" s="631"/>
      <c r="P47" s="631"/>
    </row>
    <row r="48" spans="1:16">
      <c r="A48" s="205"/>
      <c r="D48" s="631"/>
      <c r="E48" s="631"/>
      <c r="F48" s="631"/>
      <c r="G48" s="631"/>
      <c r="H48" s="631"/>
      <c r="J48" s="631"/>
      <c r="K48" s="631"/>
      <c r="L48" s="631"/>
      <c r="M48" s="631"/>
      <c r="N48" s="631"/>
      <c r="P48" s="631"/>
    </row>
    <row r="49" spans="1:16">
      <c r="A49" s="205"/>
      <c r="D49" s="631"/>
      <c r="E49" s="631"/>
      <c r="F49" s="631"/>
      <c r="G49" s="631"/>
      <c r="H49" s="631"/>
      <c r="I49" s="631"/>
      <c r="J49" s="631"/>
      <c r="K49" s="631"/>
      <c r="L49" s="631"/>
      <c r="M49" s="631"/>
      <c r="N49" s="631"/>
      <c r="O49" s="631"/>
      <c r="P49" s="631"/>
    </row>
    <row r="50" spans="1:16" ht="12.75" customHeight="1">
      <c r="A50" s="1328" t="str">
        <f>A1</f>
        <v>COLUMBIA GAS OF KENTUCKY, INC.</v>
      </c>
      <c r="B50" s="1328"/>
      <c r="C50" s="1328"/>
      <c r="D50" s="1328"/>
      <c r="E50" s="1328"/>
      <c r="F50" s="1328"/>
      <c r="G50" s="1328"/>
      <c r="H50" s="1328"/>
      <c r="I50" s="1328"/>
      <c r="J50" s="1328"/>
      <c r="K50" s="1328"/>
      <c r="L50" s="1328"/>
      <c r="M50" s="1328"/>
      <c r="N50" s="1328"/>
      <c r="O50" s="1328"/>
      <c r="P50" s="1328"/>
    </row>
    <row r="51" spans="1:16" ht="12.75" customHeight="1">
      <c r="A51" s="1328" t="str">
        <f>A2</f>
        <v>CASE NO. 2024 - 00092</v>
      </c>
      <c r="B51" s="1328"/>
      <c r="C51" s="1328"/>
      <c r="D51" s="1328"/>
      <c r="E51" s="1328"/>
      <c r="F51" s="1328"/>
      <c r="G51" s="1328"/>
      <c r="H51" s="1328"/>
      <c r="I51" s="1328"/>
      <c r="J51" s="1328"/>
      <c r="K51" s="1328"/>
      <c r="L51" s="1328"/>
      <c r="M51" s="1328"/>
      <c r="N51" s="1328"/>
      <c r="O51" s="1328"/>
      <c r="P51" s="1328"/>
    </row>
    <row r="52" spans="1:16" ht="12.75" customHeight="1">
      <c r="A52" s="1328" t="str">
        <f>A3</f>
        <v>SUMMARY OF ADJUSTMENTS TO OPERATING INCOME</v>
      </c>
      <c r="B52" s="1328"/>
      <c r="C52" s="1328"/>
      <c r="D52" s="1328"/>
      <c r="E52" s="1328"/>
      <c r="F52" s="1328"/>
      <c r="G52" s="1328"/>
      <c r="H52" s="1328"/>
      <c r="I52" s="1328"/>
      <c r="J52" s="1328"/>
      <c r="K52" s="1328"/>
      <c r="L52" s="1328"/>
      <c r="M52" s="1328"/>
      <c r="N52" s="1328"/>
      <c r="O52" s="1328"/>
      <c r="P52" s="1328"/>
    </row>
    <row r="53" spans="1:16" ht="12.75" customHeight="1">
      <c r="A53" s="1328" t="str">
        <f>A4</f>
        <v>OPERATING INCOME BY MAJOR ACCOUNTS</v>
      </c>
      <c r="B53" s="1328"/>
      <c r="C53" s="1328"/>
      <c r="D53" s="1328"/>
      <c r="E53" s="1328"/>
      <c r="F53" s="1328"/>
      <c r="G53" s="1328"/>
      <c r="H53" s="1328"/>
      <c r="I53" s="1328"/>
      <c r="J53" s="1328"/>
      <c r="K53" s="1328"/>
      <c r="L53" s="1328"/>
      <c r="M53" s="1328"/>
      <c r="N53" s="1328"/>
      <c r="O53" s="1328"/>
      <c r="P53" s="1328"/>
    </row>
    <row r="54" spans="1:16" ht="12.75" customHeight="1">
      <c r="A54" s="1328" t="str">
        <f>A5</f>
        <v>FOR THE TWELVE MONTHS ENDED AUGUST 31, 2024 AND THE TWELVE MONTHS ENDED DECEMBER 31, 2025</v>
      </c>
      <c r="B54" s="1328"/>
      <c r="C54" s="1328"/>
      <c r="D54" s="1328"/>
      <c r="E54" s="1328"/>
      <c r="F54" s="1328"/>
      <c r="G54" s="1328"/>
      <c r="H54" s="1328"/>
      <c r="I54" s="1328"/>
      <c r="J54" s="1328"/>
      <c r="K54" s="1328"/>
      <c r="L54" s="1328"/>
      <c r="M54" s="1328"/>
      <c r="N54" s="1328"/>
      <c r="O54" s="1328"/>
      <c r="P54" s="1328"/>
    </row>
    <row r="55" spans="1:16" ht="12.75" customHeight="1">
      <c r="A55" s="622"/>
      <c r="B55" s="622"/>
      <c r="C55" s="622"/>
      <c r="D55" s="622"/>
      <c r="E55" s="622"/>
      <c r="F55" s="622"/>
      <c r="G55" s="622"/>
      <c r="H55" s="622"/>
      <c r="I55" s="622"/>
      <c r="J55" s="622"/>
      <c r="K55" s="622"/>
      <c r="L55" s="622"/>
      <c r="M55" s="622"/>
      <c r="N55" s="622"/>
      <c r="O55" s="622"/>
      <c r="P55" s="622"/>
    </row>
    <row r="56" spans="1:16">
      <c r="A56" s="625" t="str">
        <f>A7</f>
        <v>DATA:___X___BASE PERIOD_______FORECASTED PERIOD</v>
      </c>
      <c r="P56" s="661" t="str">
        <f>P7</f>
        <v>SCHEDULE D-1.A</v>
      </c>
    </row>
    <row r="57" spans="1:16">
      <c r="A57" s="625" t="str">
        <f>A8</f>
        <v>TYPE OF FILING:___X___ORIGINAL______UPDATED</v>
      </c>
      <c r="P57" s="661" t="s">
        <v>1823</v>
      </c>
    </row>
    <row r="58" spans="1:16">
      <c r="A58" s="285" t="s">
        <v>58</v>
      </c>
      <c r="P58" s="661" t="str">
        <f>"WITNESS: "&amp;'General Headers Index'!$B$46</f>
        <v>WITNESS: SHAEFFER</v>
      </c>
    </row>
    <row r="59" spans="1:16">
      <c r="A59" s="1028"/>
      <c r="B59" s="861"/>
      <c r="C59" s="862"/>
      <c r="D59" s="862"/>
      <c r="E59" s="862"/>
      <c r="F59" s="862"/>
      <c r="G59" s="862"/>
      <c r="H59" s="862"/>
      <c r="I59" s="862"/>
      <c r="J59" s="862"/>
      <c r="K59" s="862"/>
      <c r="L59" s="862"/>
      <c r="M59" s="862"/>
      <c r="N59" s="862"/>
      <c r="O59" s="862"/>
      <c r="P59" s="863"/>
    </row>
    <row r="60" spans="1:16">
      <c r="D60" s="205" t="s">
        <v>755</v>
      </c>
      <c r="E60" s="626"/>
      <c r="F60" s="626"/>
      <c r="G60" s="205" t="s">
        <v>349</v>
      </c>
      <c r="H60" s="205"/>
      <c r="J60" s="626"/>
      <c r="K60" s="626"/>
      <c r="L60" s="626"/>
      <c r="M60" s="627" t="s">
        <v>2342</v>
      </c>
      <c r="N60" s="627" t="s">
        <v>349</v>
      </c>
      <c r="P60" s="205" t="s">
        <v>755</v>
      </c>
    </row>
    <row r="61" spans="1:16">
      <c r="A61" s="205" t="s">
        <v>313</v>
      </c>
      <c r="B61" s="206" t="s">
        <v>958</v>
      </c>
      <c r="D61" s="205" t="s">
        <v>315</v>
      </c>
      <c r="E61" s="205" t="str">
        <f>E12</f>
        <v>D-2.1</v>
      </c>
      <c r="F61" s="205" t="str">
        <f>F12</f>
        <v>D-2.2</v>
      </c>
      <c r="G61" s="205" t="s">
        <v>315</v>
      </c>
      <c r="H61" s="205" t="s">
        <v>351</v>
      </c>
      <c r="J61" s="205" t="str">
        <f>J12</f>
        <v>D-2.3</v>
      </c>
      <c r="K61" s="205" t="str">
        <f>K12</f>
        <v>D-2.4</v>
      </c>
      <c r="L61" s="205" t="str">
        <f>L12</f>
        <v>D-2.5</v>
      </c>
      <c r="M61" s="205" t="s">
        <v>2277</v>
      </c>
      <c r="N61" s="205" t="s">
        <v>502</v>
      </c>
      <c r="P61" s="205" t="s">
        <v>651</v>
      </c>
    </row>
    <row r="62" spans="1:16">
      <c r="A62" s="1029" t="s">
        <v>316</v>
      </c>
      <c r="B62" s="1030" t="s">
        <v>959</v>
      </c>
      <c r="C62" s="1031"/>
      <c r="D62" s="1029" t="s">
        <v>319</v>
      </c>
      <c r="E62" s="1029" t="str">
        <f>_xlfn.IFNA(E13," ")</f>
        <v>ADJ 1 &amp; ADJ 2</v>
      </c>
      <c r="F62" s="1029" t="str">
        <f>_xlfn.IFNA(F13," ")</f>
        <v>ADJ 1 - ADJ 3</v>
      </c>
      <c r="G62" s="1029" t="s">
        <v>2343</v>
      </c>
      <c r="H62" s="1029" t="s">
        <v>502</v>
      </c>
      <c r="J62" s="1029" t="str">
        <f>IFERROR(J13," ")</f>
        <v>ADJ 1 - ADJ 3</v>
      </c>
      <c r="K62" s="1029" t="str">
        <f>IFERROR(K13," ")</f>
        <v>ADJ 1 - ADJ 17</v>
      </c>
      <c r="L62" s="1029" t="str">
        <f>IFERROR(L13," ")</f>
        <v>ADJ 1 &amp; ADJ 2</v>
      </c>
      <c r="M62" s="1029" t="s">
        <v>2278</v>
      </c>
      <c r="N62" s="1029" t="s">
        <v>963</v>
      </c>
      <c r="P62" s="1029" t="s">
        <v>319</v>
      </c>
    </row>
    <row r="63" spans="1:16">
      <c r="D63" s="207" t="s">
        <v>532</v>
      </c>
      <c r="E63" s="207" t="s">
        <v>541</v>
      </c>
      <c r="F63" s="207" t="s">
        <v>542</v>
      </c>
      <c r="G63" s="207" t="s">
        <v>2344</v>
      </c>
      <c r="H63" s="207" t="s">
        <v>2345</v>
      </c>
      <c r="J63" s="207" t="s">
        <v>670</v>
      </c>
      <c r="K63" s="207" t="s">
        <v>984</v>
      </c>
      <c r="L63" s="207" t="s">
        <v>985</v>
      </c>
      <c r="M63" s="207" t="s">
        <v>2346</v>
      </c>
      <c r="N63" s="207" t="s">
        <v>2348</v>
      </c>
      <c r="P63" s="207" t="s">
        <v>2349</v>
      </c>
    </row>
    <row r="64" spans="1:16">
      <c r="D64" s="537" t="s">
        <v>320</v>
      </c>
      <c r="E64" s="537" t="s">
        <v>320</v>
      </c>
      <c r="F64" s="537" t="s">
        <v>320</v>
      </c>
      <c r="G64" s="537" t="s">
        <v>320</v>
      </c>
      <c r="H64" s="537" t="s">
        <v>320</v>
      </c>
      <c r="J64" s="537" t="s">
        <v>320</v>
      </c>
      <c r="K64" s="537" t="s">
        <v>320</v>
      </c>
      <c r="L64" s="537" t="s">
        <v>320</v>
      </c>
      <c r="M64" s="537" t="s">
        <v>320</v>
      </c>
      <c r="N64" s="537" t="s">
        <v>320</v>
      </c>
      <c r="P64" s="537" t="s">
        <v>320</v>
      </c>
    </row>
    <row r="65" spans="1:16">
      <c r="D65" s="537"/>
      <c r="E65" s="537"/>
      <c r="F65" s="537"/>
      <c r="G65" s="537"/>
      <c r="H65" s="537"/>
      <c r="J65" s="537"/>
      <c r="K65" s="537"/>
      <c r="L65" s="537"/>
      <c r="M65" s="537"/>
      <c r="N65" s="537"/>
      <c r="P65" s="537"/>
    </row>
    <row r="66" spans="1:16">
      <c r="A66" s="205">
        <v>1</v>
      </c>
      <c r="B66" s="666" t="s">
        <v>2357</v>
      </c>
      <c r="C66" s="133" t="s">
        <v>2276</v>
      </c>
      <c r="D66" s="1210">
        <f>'C-2.1.A Oper Rev&amp;Exp by Accts'!F39</f>
        <v>10.0300000000002</v>
      </c>
      <c r="E66" s="1210">
        <v>0</v>
      </c>
      <c r="F66" s="1210">
        <f>'D-2.2'!U16</f>
        <v>-10.0300000000002</v>
      </c>
      <c r="G66" s="1210">
        <f t="shared" ref="G66:G107" si="8">SUM(E66:F66)</f>
        <v>-10.0300000000002</v>
      </c>
      <c r="H66" s="1210">
        <f>D66+G66</f>
        <v>0</v>
      </c>
      <c r="I66" s="1210"/>
      <c r="J66" s="1210">
        <v>0</v>
      </c>
      <c r="K66" s="1210">
        <v>0</v>
      </c>
      <c r="L66" s="1210">
        <v>0</v>
      </c>
      <c r="M66" s="1210">
        <f>SUM(J66:L66)</f>
        <v>0</v>
      </c>
      <c r="N66" s="1210">
        <f>G66+M66</f>
        <v>-10.0300000000002</v>
      </c>
      <c r="O66" s="1210"/>
      <c r="P66" s="1210">
        <f>D66+G66+M66</f>
        <v>0</v>
      </c>
    </row>
    <row r="67" spans="1:16">
      <c r="A67" s="205">
        <f>A66+1</f>
        <v>2</v>
      </c>
      <c r="B67" s="660" t="s">
        <v>1796</v>
      </c>
      <c r="C67" s="133" t="s">
        <v>1797</v>
      </c>
      <c r="D67" s="1210">
        <f>'C-2.1.A Oper Rev&amp;Exp by Accts'!F56</f>
        <v>0</v>
      </c>
      <c r="E67" s="1210">
        <v>0</v>
      </c>
      <c r="F67" s="1210">
        <v>0</v>
      </c>
      <c r="G67" s="1210">
        <f t="shared" si="8"/>
        <v>0</v>
      </c>
      <c r="H67" s="1210">
        <f t="shared" ref="H67:H107" si="9">D67+G67</f>
        <v>0</v>
      </c>
      <c r="I67" s="1210"/>
      <c r="J67" s="1210">
        <v>0</v>
      </c>
      <c r="K67" s="1210">
        <v>0</v>
      </c>
      <c r="L67" s="1210">
        <v>0</v>
      </c>
      <c r="M67" s="1210">
        <f t="shared" ref="M67:M107" si="10">SUM(J67:L67)</f>
        <v>0</v>
      </c>
      <c r="N67" s="1210">
        <f t="shared" ref="N67:N107" si="11">G67+M67</f>
        <v>0</v>
      </c>
      <c r="O67" s="1210"/>
      <c r="P67" s="1210">
        <f t="shared" ref="P67:P73" si="12">D67+G67+M67</f>
        <v>0</v>
      </c>
    </row>
    <row r="68" spans="1:16">
      <c r="A68" s="205">
        <f>A67+1</f>
        <v>3</v>
      </c>
      <c r="B68" s="206">
        <v>807</v>
      </c>
      <c r="C68" s="133" t="s">
        <v>920</v>
      </c>
      <c r="D68" s="1210">
        <f>'C-2.1.A Oper Rev&amp;Exp by Accts'!F64</f>
        <v>410680.55999999994</v>
      </c>
      <c r="E68" s="1210">
        <v>0</v>
      </c>
      <c r="F68" s="1210">
        <v>0</v>
      </c>
      <c r="G68" s="1210">
        <f t="shared" si="8"/>
        <v>0</v>
      </c>
      <c r="H68" s="1210">
        <f t="shared" si="9"/>
        <v>410680.55999999994</v>
      </c>
      <c r="I68" s="1210"/>
      <c r="J68" s="1210">
        <v>0</v>
      </c>
      <c r="K68" s="1210">
        <f>GETPIVOTDATA("Adjustments",'INPUT - BPtoFTP O&amp;M Alloc Pivot'!$B$11,"Acct",807)</f>
        <v>-1342.5599999999977</v>
      </c>
      <c r="L68" s="1210">
        <v>0</v>
      </c>
      <c r="M68" s="1210">
        <f t="shared" si="10"/>
        <v>-1342.5599999999977</v>
      </c>
      <c r="N68" s="1210">
        <f t="shared" si="11"/>
        <v>-1342.5599999999977</v>
      </c>
      <c r="O68" s="1210"/>
      <c r="P68" s="1210">
        <f>D68+G68+M68</f>
        <v>409337.99999999994</v>
      </c>
    </row>
    <row r="69" spans="1:16">
      <c r="A69" s="205">
        <f>A68+1</f>
        <v>4</v>
      </c>
      <c r="B69" s="206" t="s">
        <v>1106</v>
      </c>
      <c r="C69" s="133" t="s">
        <v>1077</v>
      </c>
      <c r="D69" s="1210">
        <f>'C-2.1.A Oper Rev&amp;Exp by Accts'!F42</f>
        <v>3077.6700000000005</v>
      </c>
      <c r="E69" s="1210">
        <v>0</v>
      </c>
      <c r="F69" s="1210">
        <v>0</v>
      </c>
      <c r="G69" s="1210">
        <f t="shared" si="8"/>
        <v>0</v>
      </c>
      <c r="H69" s="1210">
        <f t="shared" si="9"/>
        <v>3077.6700000000005</v>
      </c>
      <c r="I69" s="1210"/>
      <c r="J69" s="1210">
        <v>0</v>
      </c>
      <c r="K69" s="1210">
        <f>GETPIVOTDATA("Adjustments",'INPUT - BPtoFTP O&amp;M Alloc Pivot'!$B$11,"Acct",852)</f>
        <v>-515.94999999999993</v>
      </c>
      <c r="L69" s="1210">
        <v>0</v>
      </c>
      <c r="M69" s="1210">
        <f t="shared" si="10"/>
        <v>-515.94999999999993</v>
      </c>
      <c r="N69" s="1210">
        <f t="shared" si="11"/>
        <v>-515.94999999999993</v>
      </c>
      <c r="O69" s="1210"/>
      <c r="P69" s="1210">
        <f t="shared" si="12"/>
        <v>2561.7200000000007</v>
      </c>
    </row>
    <row r="70" spans="1:16">
      <c r="A70" s="205">
        <f t="shared" ref="A70:A107" si="13">A69+1</f>
        <v>5</v>
      </c>
      <c r="B70" s="206" t="s">
        <v>1798</v>
      </c>
      <c r="C70" s="133" t="s">
        <v>931</v>
      </c>
      <c r="D70" s="1210">
        <f>'C-2.1.A Oper Rev&amp;Exp by Accts'!F43</f>
        <v>1186.6799999999998</v>
      </c>
      <c r="E70" s="1210">
        <v>0</v>
      </c>
      <c r="F70" s="1210">
        <v>0</v>
      </c>
      <c r="G70" s="1210">
        <f t="shared" si="8"/>
        <v>0</v>
      </c>
      <c r="H70" s="1210">
        <f t="shared" si="9"/>
        <v>1186.6799999999998</v>
      </c>
      <c r="I70" s="1210"/>
      <c r="J70" s="1210">
        <v>0</v>
      </c>
      <c r="K70" s="1210">
        <f>GETPIVOTDATA("Adjustments",'INPUT - BPtoFTP O&amp;M Alloc Pivot'!$B$11,"Acct",859)</f>
        <v>-196.76999999999953</v>
      </c>
      <c r="L70" s="1210">
        <v>0</v>
      </c>
      <c r="M70" s="1210">
        <f t="shared" si="10"/>
        <v>-196.76999999999953</v>
      </c>
      <c r="N70" s="1210">
        <f t="shared" si="11"/>
        <v>-196.76999999999953</v>
      </c>
      <c r="O70" s="1210"/>
      <c r="P70" s="1210">
        <f t="shared" si="12"/>
        <v>989.91000000000031</v>
      </c>
    </row>
    <row r="71" spans="1:16">
      <c r="A71" s="205">
        <f t="shared" si="13"/>
        <v>6</v>
      </c>
      <c r="B71" s="206" t="s">
        <v>1799</v>
      </c>
      <c r="C71" s="133" t="s">
        <v>1495</v>
      </c>
      <c r="D71" s="1210">
        <f>'C-2.1.A Oper Rev&amp;Exp by Accts'!F48</f>
        <v>511.07</v>
      </c>
      <c r="E71" s="1210">
        <v>0</v>
      </c>
      <c r="F71" s="1210">
        <v>0</v>
      </c>
      <c r="G71" s="1210">
        <f t="shared" si="8"/>
        <v>0</v>
      </c>
      <c r="H71" s="1210">
        <f t="shared" si="9"/>
        <v>511.07</v>
      </c>
      <c r="I71" s="1210"/>
      <c r="J71" s="1210">
        <v>0</v>
      </c>
      <c r="K71" s="1210">
        <f>GETPIVOTDATA("Adjustments",'INPUT - BPtoFTP O&amp;M Alloc Pivot'!$B$11,"Acct",865)</f>
        <v>320.05999999999989</v>
      </c>
      <c r="L71" s="1210">
        <v>0</v>
      </c>
      <c r="M71" s="1210">
        <f t="shared" si="10"/>
        <v>320.05999999999989</v>
      </c>
      <c r="N71" s="1210">
        <f t="shared" si="11"/>
        <v>320.05999999999989</v>
      </c>
      <c r="O71" s="1210"/>
      <c r="P71" s="1210">
        <f t="shared" si="12"/>
        <v>831.12999999999988</v>
      </c>
    </row>
    <row r="72" spans="1:16">
      <c r="A72" s="205">
        <f t="shared" si="13"/>
        <v>7</v>
      </c>
      <c r="B72" s="206">
        <v>870</v>
      </c>
      <c r="C72" s="133" t="s">
        <v>924</v>
      </c>
      <c r="D72" s="1210">
        <f>'C-2.1.A Oper Rev&amp;Exp by Accts'!F71</f>
        <v>932367.91000000015</v>
      </c>
      <c r="E72" s="1210">
        <v>0</v>
      </c>
      <c r="F72" s="1210">
        <v>0</v>
      </c>
      <c r="G72" s="1210">
        <f t="shared" si="8"/>
        <v>0</v>
      </c>
      <c r="H72" s="1210">
        <f t="shared" si="9"/>
        <v>932367.91000000015</v>
      </c>
      <c r="I72" s="1210"/>
      <c r="J72" s="1210">
        <v>0</v>
      </c>
      <c r="K72" s="1210">
        <f>GETPIVOTDATA("Adjustments",'INPUT - BPtoFTP O&amp;M Alloc Pivot'!$B$11,"Acct",870)</f>
        <v>-44513.419999999969</v>
      </c>
      <c r="L72" s="1210">
        <v>0</v>
      </c>
      <c r="M72" s="1210">
        <f t="shared" si="10"/>
        <v>-44513.419999999969</v>
      </c>
      <c r="N72" s="1210">
        <f t="shared" si="11"/>
        <v>-44513.419999999969</v>
      </c>
      <c r="O72" s="1210"/>
      <c r="P72" s="1210">
        <f t="shared" si="12"/>
        <v>887854.49000000022</v>
      </c>
    </row>
    <row r="73" spans="1:16">
      <c r="A73" s="205">
        <f t="shared" si="13"/>
        <v>8</v>
      </c>
      <c r="B73" s="206">
        <v>871</v>
      </c>
      <c r="C73" s="133" t="s">
        <v>925</v>
      </c>
      <c r="D73" s="1210">
        <f>'C-2.1.A Oper Rev&amp;Exp by Accts'!F72</f>
        <v>231447.81000000003</v>
      </c>
      <c r="E73" s="1210">
        <v>0</v>
      </c>
      <c r="F73" s="1210">
        <v>0</v>
      </c>
      <c r="G73" s="1210">
        <f t="shared" si="8"/>
        <v>0</v>
      </c>
      <c r="H73" s="1210">
        <f t="shared" si="9"/>
        <v>231447.81000000003</v>
      </c>
      <c r="I73" s="1210"/>
      <c r="J73" s="1210">
        <v>0</v>
      </c>
      <c r="K73" s="1210">
        <f>GETPIVOTDATA("Adjustments",'INPUT - BPtoFTP O&amp;M Alloc Pivot'!$B$11,"Acct",871)</f>
        <v>2115.5799999999581</v>
      </c>
      <c r="L73" s="1210">
        <v>0</v>
      </c>
      <c r="M73" s="1210">
        <f t="shared" si="10"/>
        <v>2115.5799999999581</v>
      </c>
      <c r="N73" s="1210">
        <f t="shared" si="11"/>
        <v>2115.5799999999581</v>
      </c>
      <c r="O73" s="1210"/>
      <c r="P73" s="1210">
        <f t="shared" si="12"/>
        <v>233563.38999999998</v>
      </c>
    </row>
    <row r="74" spans="1:16">
      <c r="A74" s="205">
        <f t="shared" si="13"/>
        <v>9</v>
      </c>
      <c r="B74" s="206">
        <v>874</v>
      </c>
      <c r="C74" s="133" t="s">
        <v>926</v>
      </c>
      <c r="D74" s="1210">
        <f>'C-2.1.A Oper Rev&amp;Exp by Accts'!F73</f>
        <v>6008318.8499999996</v>
      </c>
      <c r="E74" s="1210">
        <v>0</v>
      </c>
      <c r="F74" s="1210">
        <v>0</v>
      </c>
      <c r="G74" s="1210">
        <f t="shared" si="8"/>
        <v>0</v>
      </c>
      <c r="H74" s="1210">
        <f t="shared" si="9"/>
        <v>6008318.8499999996</v>
      </c>
      <c r="I74" s="1210"/>
      <c r="J74" s="1210">
        <v>0</v>
      </c>
      <c r="K74" s="1210">
        <f>GETPIVOTDATA("Adjustments",'INPUT - BPtoFTP O&amp;M Alloc Pivot'!$B$11,"Acct",874)</f>
        <v>-177642.43999999945</v>
      </c>
      <c r="L74" s="1210">
        <v>0</v>
      </c>
      <c r="M74" s="1210">
        <f t="shared" si="10"/>
        <v>-177642.43999999945</v>
      </c>
      <c r="N74" s="1210">
        <f t="shared" si="11"/>
        <v>-177642.43999999945</v>
      </c>
      <c r="O74" s="1210"/>
      <c r="P74" s="1210">
        <f t="shared" ref="P74:P107" si="14">D74+G74+M74</f>
        <v>5830676.4100000001</v>
      </c>
    </row>
    <row r="75" spans="1:16">
      <c r="A75" s="205">
        <f t="shared" si="13"/>
        <v>10</v>
      </c>
      <c r="B75" s="206">
        <v>875</v>
      </c>
      <c r="C75" s="133" t="s">
        <v>927</v>
      </c>
      <c r="D75" s="1210">
        <f>'C-2.1.A Oper Rev&amp;Exp by Accts'!F74</f>
        <v>291816.14</v>
      </c>
      <c r="E75" s="1210">
        <v>0</v>
      </c>
      <c r="F75" s="1210">
        <v>0</v>
      </c>
      <c r="G75" s="1210">
        <f t="shared" si="8"/>
        <v>0</v>
      </c>
      <c r="H75" s="1210">
        <f t="shared" si="9"/>
        <v>291816.14</v>
      </c>
      <c r="I75" s="1210"/>
      <c r="J75" s="1210">
        <v>0</v>
      </c>
      <c r="K75" s="1210">
        <f>GETPIVOTDATA("Adjustments",'INPUT - BPtoFTP O&amp;M Alloc Pivot'!$B$11,"Acct",875)</f>
        <v>-9435.3499999999767</v>
      </c>
      <c r="L75" s="1210">
        <v>0</v>
      </c>
      <c r="M75" s="1210">
        <f t="shared" si="10"/>
        <v>-9435.3499999999767</v>
      </c>
      <c r="N75" s="1210">
        <f t="shared" si="11"/>
        <v>-9435.3499999999767</v>
      </c>
      <c r="O75" s="1210"/>
      <c r="P75" s="1210">
        <f t="shared" si="14"/>
        <v>282380.79000000004</v>
      </c>
    </row>
    <row r="76" spans="1:16">
      <c r="A76" s="205">
        <f t="shared" si="13"/>
        <v>11</v>
      </c>
      <c r="B76" s="206">
        <v>876</v>
      </c>
      <c r="C76" s="133" t="s">
        <v>928</v>
      </c>
      <c r="D76" s="1210">
        <f>'C-2.1.A Oper Rev&amp;Exp by Accts'!F75</f>
        <v>103480.85</v>
      </c>
      <c r="E76" s="1210">
        <v>0</v>
      </c>
      <c r="F76" s="1210">
        <v>0</v>
      </c>
      <c r="G76" s="1210">
        <f t="shared" si="8"/>
        <v>0</v>
      </c>
      <c r="H76" s="1210">
        <f t="shared" si="9"/>
        <v>103480.85</v>
      </c>
      <c r="I76" s="1210"/>
      <c r="J76" s="1210">
        <v>0</v>
      </c>
      <c r="K76" s="1210">
        <f>GETPIVOTDATA("Adjustments",'INPUT - BPtoFTP O&amp;M Alloc Pivot'!$B$11,"Acct",876)</f>
        <v>9332.5600000000013</v>
      </c>
      <c r="L76" s="1210">
        <v>0</v>
      </c>
      <c r="M76" s="1210">
        <f t="shared" si="10"/>
        <v>9332.5600000000013</v>
      </c>
      <c r="N76" s="1210">
        <f t="shared" si="11"/>
        <v>9332.5600000000013</v>
      </c>
      <c r="O76" s="1210"/>
      <c r="P76" s="1210">
        <f t="shared" si="14"/>
        <v>112813.41</v>
      </c>
    </row>
    <row r="77" spans="1:16">
      <c r="A77" s="205">
        <f t="shared" si="13"/>
        <v>12</v>
      </c>
      <c r="B77" s="206">
        <v>878</v>
      </c>
      <c r="C77" s="133" t="s">
        <v>929</v>
      </c>
      <c r="D77" s="1210">
        <f>'C-2.1.A Oper Rev&amp;Exp by Accts'!F76</f>
        <v>1736091.2500000002</v>
      </c>
      <c r="E77" s="1210">
        <v>0</v>
      </c>
      <c r="F77" s="1210">
        <v>0</v>
      </c>
      <c r="G77" s="1210">
        <f t="shared" si="8"/>
        <v>0</v>
      </c>
      <c r="H77" s="1210">
        <f t="shared" si="9"/>
        <v>1736091.2500000002</v>
      </c>
      <c r="I77" s="1210"/>
      <c r="J77" s="1210">
        <v>0</v>
      </c>
      <c r="K77" s="1210">
        <f>GETPIVOTDATA("Adjustments",'INPUT - BPtoFTP O&amp;M Alloc Pivot'!$B$11,"Acct",878)</f>
        <v>-47833.609999999928</v>
      </c>
      <c r="L77" s="1210">
        <v>0</v>
      </c>
      <c r="M77" s="1210">
        <f t="shared" si="10"/>
        <v>-47833.609999999928</v>
      </c>
      <c r="N77" s="1210">
        <f t="shared" si="11"/>
        <v>-47833.609999999928</v>
      </c>
      <c r="O77" s="1210"/>
      <c r="P77" s="1210">
        <f t="shared" si="14"/>
        <v>1688257.6400000004</v>
      </c>
    </row>
    <row r="78" spans="1:16">
      <c r="A78" s="205">
        <f t="shared" si="13"/>
        <v>13</v>
      </c>
      <c r="B78" s="206">
        <v>879</v>
      </c>
      <c r="C78" s="133" t="s">
        <v>930</v>
      </c>
      <c r="D78" s="1210">
        <f>'C-2.1.A Oper Rev&amp;Exp by Accts'!F77</f>
        <v>3003416.1500000004</v>
      </c>
      <c r="E78" s="1210">
        <v>0</v>
      </c>
      <c r="F78" s="1210">
        <v>0</v>
      </c>
      <c r="G78" s="1210">
        <f t="shared" si="8"/>
        <v>0</v>
      </c>
      <c r="H78" s="1210">
        <f t="shared" si="9"/>
        <v>3003416.1500000004</v>
      </c>
      <c r="I78" s="1210"/>
      <c r="J78" s="1210">
        <v>0</v>
      </c>
      <c r="K78" s="1210">
        <f>GETPIVOTDATA("Adjustments",'INPUT - BPtoFTP O&amp;M Alloc Pivot'!$B$11,"Acct",879)</f>
        <v>-109756.43000000055</v>
      </c>
      <c r="L78" s="1210">
        <v>0</v>
      </c>
      <c r="M78" s="1210">
        <f t="shared" si="10"/>
        <v>-109756.43000000055</v>
      </c>
      <c r="N78" s="1210">
        <f t="shared" si="11"/>
        <v>-109756.43000000055</v>
      </c>
      <c r="O78" s="1210"/>
      <c r="P78" s="1210">
        <f t="shared" si="14"/>
        <v>2893659.7199999997</v>
      </c>
    </row>
    <row r="79" spans="1:16">
      <c r="A79" s="205">
        <f t="shared" si="13"/>
        <v>14</v>
      </c>
      <c r="B79" s="206">
        <v>880</v>
      </c>
      <c r="C79" s="133" t="s">
        <v>931</v>
      </c>
      <c r="D79" s="1210">
        <f>'C-2.1.A Oper Rev&amp;Exp by Accts'!F78</f>
        <v>1487659.5599999996</v>
      </c>
      <c r="E79" s="1210">
        <v>0</v>
      </c>
      <c r="F79" s="1210">
        <v>0</v>
      </c>
      <c r="G79" s="1210">
        <f t="shared" si="8"/>
        <v>0</v>
      </c>
      <c r="H79" s="1210">
        <f t="shared" si="9"/>
        <v>1487659.5599999996</v>
      </c>
      <c r="I79" s="1210"/>
      <c r="J79" s="1210">
        <v>0</v>
      </c>
      <c r="K79" s="1210">
        <f>GETPIVOTDATA("Adjustments",'INPUT - BPtoFTP O&amp;M Alloc Pivot'!$B$11,"Acct",880)</f>
        <v>-2833.9900000000375</v>
      </c>
      <c r="L79" s="1210">
        <v>0</v>
      </c>
      <c r="M79" s="1210">
        <f t="shared" si="10"/>
        <v>-2833.9900000000375</v>
      </c>
      <c r="N79" s="1210">
        <f t="shared" si="11"/>
        <v>-2833.9900000000375</v>
      </c>
      <c r="O79" s="1210"/>
      <c r="P79" s="1210">
        <f t="shared" si="14"/>
        <v>1484825.5699999996</v>
      </c>
    </row>
    <row r="80" spans="1:16">
      <c r="A80" s="205">
        <f t="shared" si="13"/>
        <v>15</v>
      </c>
      <c r="B80" s="662">
        <v>881</v>
      </c>
      <c r="C80" s="133" t="s">
        <v>932</v>
      </c>
      <c r="D80" s="1210">
        <f>'C-2.1.A Oper Rev&amp;Exp by Accts'!F79</f>
        <v>34404.960000000006</v>
      </c>
      <c r="E80" s="1210">
        <v>0</v>
      </c>
      <c r="F80" s="1210">
        <v>0</v>
      </c>
      <c r="G80" s="1210">
        <f t="shared" si="8"/>
        <v>0</v>
      </c>
      <c r="H80" s="1210">
        <f t="shared" si="9"/>
        <v>34404.960000000006</v>
      </c>
      <c r="I80" s="1210"/>
      <c r="J80" s="1210">
        <v>0</v>
      </c>
      <c r="K80" s="1210">
        <f>GETPIVOTDATA("Adjustments",'INPUT - BPtoFTP O&amp;M Alloc Pivot'!$B$11,"Acct",881)</f>
        <v>-10925.170000000006</v>
      </c>
      <c r="L80" s="1210">
        <v>0</v>
      </c>
      <c r="M80" s="1210">
        <f t="shared" si="10"/>
        <v>-10925.170000000006</v>
      </c>
      <c r="N80" s="1210">
        <f t="shared" si="11"/>
        <v>-10925.170000000006</v>
      </c>
      <c r="O80" s="1210"/>
      <c r="P80" s="1210">
        <f t="shared" si="14"/>
        <v>23479.79</v>
      </c>
    </row>
    <row r="81" spans="1:16">
      <c r="A81" s="205">
        <f t="shared" si="13"/>
        <v>16</v>
      </c>
      <c r="B81" s="206">
        <v>885</v>
      </c>
      <c r="C81" s="133" t="s">
        <v>924</v>
      </c>
      <c r="D81" s="1210">
        <f>'C-2.1.A Oper Rev&amp;Exp by Accts'!F96</f>
        <v>86576.81</v>
      </c>
      <c r="E81" s="1210">
        <v>0</v>
      </c>
      <c r="F81" s="1210">
        <v>0</v>
      </c>
      <c r="G81" s="1210">
        <f t="shared" si="8"/>
        <v>0</v>
      </c>
      <c r="H81" s="1210">
        <f t="shared" si="9"/>
        <v>86576.81</v>
      </c>
      <c r="I81" s="1210"/>
      <c r="J81" s="1210">
        <v>0</v>
      </c>
      <c r="K81" s="1210">
        <f>GETPIVOTDATA("Adjustments",'INPUT - BPtoFTP O&amp;M Alloc Pivot'!$B$11,"Acct",885)</f>
        <v>-2366.5500000000093</v>
      </c>
      <c r="L81" s="1210">
        <v>0</v>
      </c>
      <c r="M81" s="1210">
        <f t="shared" si="10"/>
        <v>-2366.5500000000093</v>
      </c>
      <c r="N81" s="1210">
        <f t="shared" si="11"/>
        <v>-2366.5500000000093</v>
      </c>
      <c r="O81" s="1210"/>
      <c r="P81" s="1210">
        <f t="shared" si="14"/>
        <v>84210.26</v>
      </c>
    </row>
    <row r="82" spans="1:16">
      <c r="A82" s="205">
        <f t="shared" si="13"/>
        <v>17</v>
      </c>
      <c r="B82" s="206">
        <v>886</v>
      </c>
      <c r="C82" s="133" t="s">
        <v>933</v>
      </c>
      <c r="D82" s="1210">
        <f>'C-2.1.A Oper Rev&amp;Exp by Accts'!F97</f>
        <v>122054.82999999999</v>
      </c>
      <c r="E82" s="1210">
        <v>0</v>
      </c>
      <c r="F82" s="1210">
        <v>0</v>
      </c>
      <c r="G82" s="1210">
        <f t="shared" si="8"/>
        <v>0</v>
      </c>
      <c r="H82" s="1210">
        <f t="shared" si="9"/>
        <v>122054.82999999999</v>
      </c>
      <c r="I82" s="1210"/>
      <c r="J82" s="1210">
        <v>0</v>
      </c>
      <c r="K82" s="1210">
        <f>GETPIVOTDATA("Adjustments",'INPUT - BPtoFTP O&amp;M Alloc Pivot'!$B$11,"Acct",886)</f>
        <v>12189.880000000008</v>
      </c>
      <c r="L82" s="1210">
        <v>0</v>
      </c>
      <c r="M82" s="1210">
        <f t="shared" si="10"/>
        <v>12189.880000000008</v>
      </c>
      <c r="N82" s="1210">
        <f t="shared" si="11"/>
        <v>12189.880000000008</v>
      </c>
      <c r="O82" s="1210"/>
      <c r="P82" s="1210">
        <f t="shared" si="14"/>
        <v>134244.71</v>
      </c>
    </row>
    <row r="83" spans="1:16">
      <c r="A83" s="205">
        <f t="shared" si="13"/>
        <v>18</v>
      </c>
      <c r="B83" s="206">
        <v>887</v>
      </c>
      <c r="C83" s="133" t="s">
        <v>393</v>
      </c>
      <c r="D83" s="1210">
        <f>'C-2.1.A Oper Rev&amp;Exp by Accts'!F98</f>
        <v>3380468.8000000003</v>
      </c>
      <c r="E83" s="1210">
        <v>0</v>
      </c>
      <c r="F83" s="1210">
        <v>0</v>
      </c>
      <c r="G83" s="1210">
        <f t="shared" si="8"/>
        <v>0</v>
      </c>
      <c r="H83" s="1210">
        <f t="shared" si="9"/>
        <v>3380468.8000000003</v>
      </c>
      <c r="I83" s="1210"/>
      <c r="J83" s="1210">
        <v>0</v>
      </c>
      <c r="K83" s="1210">
        <f>GETPIVOTDATA("Adjustments",'INPUT - BPtoFTP O&amp;M Alloc Pivot'!$B$11,"Acct",887)</f>
        <v>53173.209999999461</v>
      </c>
      <c r="L83" s="1210">
        <v>0</v>
      </c>
      <c r="M83" s="1210">
        <f t="shared" si="10"/>
        <v>53173.209999999461</v>
      </c>
      <c r="N83" s="1210">
        <f t="shared" si="11"/>
        <v>53173.209999999461</v>
      </c>
      <c r="O83" s="1210"/>
      <c r="P83" s="1210">
        <f t="shared" si="14"/>
        <v>3433642.01</v>
      </c>
    </row>
    <row r="84" spans="1:16">
      <c r="A84" s="205">
        <f t="shared" si="13"/>
        <v>19</v>
      </c>
      <c r="B84" s="206">
        <v>889</v>
      </c>
      <c r="C84" s="133" t="s">
        <v>927</v>
      </c>
      <c r="D84" s="1210">
        <f>'C-2.1.A Oper Rev&amp;Exp by Accts'!F99</f>
        <v>604520.71</v>
      </c>
      <c r="E84" s="1210">
        <v>0</v>
      </c>
      <c r="F84" s="1210">
        <v>0</v>
      </c>
      <c r="G84" s="1210">
        <f t="shared" si="8"/>
        <v>0</v>
      </c>
      <c r="H84" s="1210">
        <f t="shared" si="9"/>
        <v>604520.71</v>
      </c>
      <c r="I84" s="1210"/>
      <c r="J84" s="1210">
        <v>0</v>
      </c>
      <c r="K84" s="1210">
        <f>GETPIVOTDATA("Adjustments",'INPUT - BPtoFTP O&amp;M Alloc Pivot'!$B$11,"Acct",889)</f>
        <v>130372.1999999999</v>
      </c>
      <c r="L84" s="1210">
        <v>0</v>
      </c>
      <c r="M84" s="1210">
        <f t="shared" si="10"/>
        <v>130372.1999999999</v>
      </c>
      <c r="N84" s="1210">
        <f t="shared" si="11"/>
        <v>130372.1999999999</v>
      </c>
      <c r="O84" s="1210"/>
      <c r="P84" s="1210">
        <f t="shared" si="14"/>
        <v>734892.90999999992</v>
      </c>
    </row>
    <row r="85" spans="1:16">
      <c r="A85" s="205">
        <f t="shared" si="13"/>
        <v>20</v>
      </c>
      <c r="B85" s="206">
        <v>890</v>
      </c>
      <c r="C85" s="133" t="s">
        <v>928</v>
      </c>
      <c r="D85" s="1210">
        <f>'C-2.1.A Oper Rev&amp;Exp by Accts'!F100</f>
        <v>78100.709999999992</v>
      </c>
      <c r="E85" s="1210">
        <v>0</v>
      </c>
      <c r="F85" s="1210">
        <v>0</v>
      </c>
      <c r="G85" s="1210">
        <f t="shared" si="8"/>
        <v>0</v>
      </c>
      <c r="H85" s="1210">
        <f t="shared" si="9"/>
        <v>78100.709999999992</v>
      </c>
      <c r="I85" s="1210"/>
      <c r="J85" s="1210">
        <v>0</v>
      </c>
      <c r="K85" s="1210">
        <f>GETPIVOTDATA("Adjustments",'INPUT - BPtoFTP O&amp;M Alloc Pivot'!$B$11,"Acct",890)</f>
        <v>7098.7500000000009</v>
      </c>
      <c r="L85" s="1210">
        <v>0</v>
      </c>
      <c r="M85" s="1210">
        <f t="shared" si="10"/>
        <v>7098.7500000000009</v>
      </c>
      <c r="N85" s="1210">
        <f t="shared" si="11"/>
        <v>7098.7500000000009</v>
      </c>
      <c r="O85" s="1210"/>
      <c r="P85" s="1210">
        <f t="shared" si="14"/>
        <v>85199.459999999992</v>
      </c>
    </row>
    <row r="86" spans="1:16">
      <c r="A86" s="205">
        <f t="shared" si="13"/>
        <v>21</v>
      </c>
      <c r="B86" s="648">
        <v>892</v>
      </c>
      <c r="C86" s="133" t="s">
        <v>398</v>
      </c>
      <c r="D86" s="1210">
        <f>'C-2.1.A Oper Rev&amp;Exp by Accts'!F101</f>
        <v>581158.67000000004</v>
      </c>
      <c r="E86" s="1210">
        <v>0</v>
      </c>
      <c r="F86" s="1210">
        <v>0</v>
      </c>
      <c r="G86" s="1210">
        <f t="shared" si="8"/>
        <v>0</v>
      </c>
      <c r="H86" s="1210">
        <f t="shared" si="9"/>
        <v>581158.67000000004</v>
      </c>
      <c r="I86" s="1210"/>
      <c r="J86" s="1210">
        <v>0</v>
      </c>
      <c r="K86" s="1210">
        <f>GETPIVOTDATA("Adjustments",'INPUT - BPtoFTP O&amp;M Alloc Pivot'!$B$11,"Acct",892)</f>
        <v>61294.440000000039</v>
      </c>
      <c r="L86" s="1210">
        <v>0</v>
      </c>
      <c r="M86" s="1210">
        <f t="shared" si="10"/>
        <v>61294.440000000039</v>
      </c>
      <c r="N86" s="1210">
        <f t="shared" si="11"/>
        <v>61294.440000000039</v>
      </c>
      <c r="O86" s="1210"/>
      <c r="P86" s="1210">
        <f t="shared" si="14"/>
        <v>642453.1100000001</v>
      </c>
    </row>
    <row r="87" spans="1:16">
      <c r="A87" s="205">
        <f t="shared" si="13"/>
        <v>22</v>
      </c>
      <c r="B87" s="648">
        <v>893</v>
      </c>
      <c r="C87" s="133" t="s">
        <v>934</v>
      </c>
      <c r="D87" s="1210">
        <f>'C-2.1.A Oper Rev&amp;Exp by Accts'!F102</f>
        <v>193697.76</v>
      </c>
      <c r="E87" s="1210">
        <v>0</v>
      </c>
      <c r="F87" s="1210">
        <v>0</v>
      </c>
      <c r="G87" s="1210">
        <f t="shared" si="8"/>
        <v>0</v>
      </c>
      <c r="H87" s="1210">
        <f t="shared" si="9"/>
        <v>193697.76</v>
      </c>
      <c r="I87" s="1210"/>
      <c r="J87" s="1210">
        <v>0</v>
      </c>
      <c r="K87" s="1210">
        <f>GETPIVOTDATA("Adjustments",'INPUT - BPtoFTP O&amp;M Alloc Pivot'!$B$11,"Acct",893)</f>
        <v>58797.37000000001</v>
      </c>
      <c r="L87" s="1210">
        <v>0</v>
      </c>
      <c r="M87" s="1210">
        <f t="shared" si="10"/>
        <v>58797.37000000001</v>
      </c>
      <c r="N87" s="1210">
        <f t="shared" si="11"/>
        <v>58797.37000000001</v>
      </c>
      <c r="O87" s="1210"/>
      <c r="P87" s="1210">
        <f t="shared" si="14"/>
        <v>252495.13</v>
      </c>
    </row>
    <row r="88" spans="1:16">
      <c r="A88" s="205">
        <f t="shared" si="13"/>
        <v>23</v>
      </c>
      <c r="B88" s="648">
        <v>894</v>
      </c>
      <c r="C88" s="133" t="s">
        <v>935</v>
      </c>
      <c r="D88" s="1210">
        <f>'C-2.1.A Oper Rev&amp;Exp by Accts'!F103</f>
        <v>281984.74</v>
      </c>
      <c r="E88" s="1210">
        <v>0</v>
      </c>
      <c r="F88" s="1210">
        <v>0</v>
      </c>
      <c r="G88" s="1210">
        <f t="shared" si="8"/>
        <v>0</v>
      </c>
      <c r="H88" s="1210">
        <f t="shared" si="9"/>
        <v>281984.74</v>
      </c>
      <c r="I88" s="1210"/>
      <c r="J88" s="1210">
        <v>0</v>
      </c>
      <c r="K88" s="1210">
        <f>GETPIVOTDATA("Adjustments",'INPUT - BPtoFTP O&amp;M Alloc Pivot'!$B$11,"Acct",894)</f>
        <v>-12370.309999999965</v>
      </c>
      <c r="L88" s="1210">
        <v>0</v>
      </c>
      <c r="M88" s="1210">
        <f t="shared" si="10"/>
        <v>-12370.309999999965</v>
      </c>
      <c r="N88" s="1210">
        <f t="shared" si="11"/>
        <v>-12370.309999999965</v>
      </c>
      <c r="O88" s="1210"/>
      <c r="P88" s="1210">
        <f t="shared" si="14"/>
        <v>269614.43000000005</v>
      </c>
    </row>
    <row r="89" spans="1:16">
      <c r="A89" s="205">
        <f t="shared" si="13"/>
        <v>24</v>
      </c>
      <c r="B89" s="648">
        <v>901</v>
      </c>
      <c r="C89" s="133" t="s">
        <v>936</v>
      </c>
      <c r="D89" s="1210">
        <f>'C-2.1.A Oper Rev&amp;Exp by Accts'!F107</f>
        <v>-0.96</v>
      </c>
      <c r="E89" s="1210">
        <v>0</v>
      </c>
      <c r="F89" s="1210">
        <v>0</v>
      </c>
      <c r="G89" s="1210">
        <f t="shared" si="8"/>
        <v>0</v>
      </c>
      <c r="H89" s="1210">
        <f t="shared" si="9"/>
        <v>-0.96</v>
      </c>
      <c r="I89" s="1210"/>
      <c r="J89" s="1210">
        <v>0</v>
      </c>
      <c r="K89" s="1210">
        <f>GETPIVOTDATA("Adjustments",'INPUT - BPtoFTP O&amp;M Alloc Pivot'!$B$11,"Acct",901)</f>
        <v>1.18</v>
      </c>
      <c r="L89" s="1210">
        <v>0</v>
      </c>
      <c r="M89" s="1210">
        <f t="shared" si="10"/>
        <v>1.18</v>
      </c>
      <c r="N89" s="1210">
        <f t="shared" si="11"/>
        <v>1.18</v>
      </c>
      <c r="O89" s="1210"/>
      <c r="P89" s="1210">
        <f t="shared" si="14"/>
        <v>0.21999999999999997</v>
      </c>
    </row>
    <row r="90" spans="1:16">
      <c r="A90" s="205">
        <f t="shared" si="13"/>
        <v>25</v>
      </c>
      <c r="B90" s="648">
        <v>902</v>
      </c>
      <c r="C90" s="133" t="s">
        <v>937</v>
      </c>
      <c r="D90" s="1210">
        <f>'C-2.1.A Oper Rev&amp;Exp by Accts'!F108</f>
        <v>315522.43999999994</v>
      </c>
      <c r="E90" s="1210">
        <v>0</v>
      </c>
      <c r="F90" s="1210">
        <v>0</v>
      </c>
      <c r="G90" s="1210">
        <f t="shared" si="8"/>
        <v>0</v>
      </c>
      <c r="H90" s="1210">
        <f t="shared" si="9"/>
        <v>315522.43999999994</v>
      </c>
      <c r="I90" s="1210"/>
      <c r="J90" s="1210">
        <v>0</v>
      </c>
      <c r="K90" s="1210">
        <f>GETPIVOTDATA("Adjustments",'INPUT - BPtoFTP O&amp;M Alloc Pivot'!$B$11,"Acct",902)</f>
        <v>-31060.160000000025</v>
      </c>
      <c r="L90" s="1210">
        <v>0</v>
      </c>
      <c r="M90" s="1210">
        <f t="shared" si="10"/>
        <v>-31060.160000000025</v>
      </c>
      <c r="N90" s="1210">
        <f t="shared" si="11"/>
        <v>-31060.160000000025</v>
      </c>
      <c r="O90" s="1210"/>
      <c r="P90" s="1210">
        <f t="shared" si="14"/>
        <v>284462.27999999991</v>
      </c>
    </row>
    <row r="91" spans="1:16">
      <c r="A91" s="205">
        <f t="shared" si="13"/>
        <v>26</v>
      </c>
      <c r="B91" s="648">
        <v>903</v>
      </c>
      <c r="C91" s="133" t="s">
        <v>938</v>
      </c>
      <c r="D91" s="1210">
        <f>'C-2.1.A Oper Rev&amp;Exp by Accts'!F109</f>
        <v>2702174.0000000005</v>
      </c>
      <c r="E91" s="1210">
        <v>0</v>
      </c>
      <c r="F91" s="1210">
        <v>0</v>
      </c>
      <c r="G91" s="1210">
        <f t="shared" si="8"/>
        <v>0</v>
      </c>
      <c r="H91" s="1210">
        <f t="shared" si="9"/>
        <v>2702174.0000000005</v>
      </c>
      <c r="I91" s="1210"/>
      <c r="J91" s="1210">
        <v>0</v>
      </c>
      <c r="K91" s="1210">
        <f>GETPIVOTDATA("Adjustments",'INPUT - BPtoFTP O&amp;M Alloc Pivot'!$B$11,"Acct",903)</f>
        <v>-204555.39000000013</v>
      </c>
      <c r="L91" s="1210">
        <v>0</v>
      </c>
      <c r="M91" s="1210">
        <f t="shared" si="10"/>
        <v>-204555.39000000013</v>
      </c>
      <c r="N91" s="1210">
        <f t="shared" si="11"/>
        <v>-204555.39000000013</v>
      </c>
      <c r="O91" s="1210"/>
      <c r="P91" s="1210">
        <f t="shared" si="14"/>
        <v>2497618.6100000003</v>
      </c>
    </row>
    <row r="92" spans="1:16">
      <c r="A92" s="205">
        <f t="shared" si="13"/>
        <v>27</v>
      </c>
      <c r="B92" s="648">
        <v>904</v>
      </c>
      <c r="C92" s="133" t="s">
        <v>939</v>
      </c>
      <c r="D92" s="1210">
        <f>'C-2.1.A Oper Rev&amp;Exp by Accts'!F110</f>
        <v>1356937.6600000001</v>
      </c>
      <c r="E92" s="1210">
        <v>0</v>
      </c>
      <c r="F92" s="1210">
        <v>0</v>
      </c>
      <c r="G92" s="1210">
        <f t="shared" si="8"/>
        <v>0</v>
      </c>
      <c r="H92" s="1210">
        <f t="shared" si="9"/>
        <v>1356937.6600000001</v>
      </c>
      <c r="I92" s="1210"/>
      <c r="J92" s="1210">
        <v>0</v>
      </c>
      <c r="K92" s="1210">
        <f>GETPIVOTDATA("Adjustments",'INPUT - BPtoFTP O&amp;M Alloc Pivot'!$B$11,"Acct",904)</f>
        <v>146718.7000000001</v>
      </c>
      <c r="L92" s="1210">
        <v>0</v>
      </c>
      <c r="M92" s="1210">
        <f t="shared" si="10"/>
        <v>146718.7000000001</v>
      </c>
      <c r="N92" s="1210">
        <f t="shared" si="11"/>
        <v>146718.7000000001</v>
      </c>
      <c r="O92" s="1210"/>
      <c r="P92" s="1210">
        <f t="shared" si="14"/>
        <v>1503656.3600000003</v>
      </c>
    </row>
    <row r="93" spans="1:16">
      <c r="A93" s="205">
        <f t="shared" si="13"/>
        <v>28</v>
      </c>
      <c r="B93" s="648">
        <v>905</v>
      </c>
      <c r="C93" s="133" t="s">
        <v>940</v>
      </c>
      <c r="D93" s="1210">
        <f>'C-2.1.A Oper Rev&amp;Exp by Accts'!F111</f>
        <v>13139.56</v>
      </c>
      <c r="E93" s="1210">
        <v>0</v>
      </c>
      <c r="F93" s="1210">
        <v>0</v>
      </c>
      <c r="G93" s="1210">
        <f t="shared" si="8"/>
        <v>0</v>
      </c>
      <c r="H93" s="1210">
        <f t="shared" si="9"/>
        <v>13139.56</v>
      </c>
      <c r="I93" s="1210"/>
      <c r="J93" s="1210">
        <v>0</v>
      </c>
      <c r="K93" s="1210">
        <f>GETPIVOTDATA("Adjustments",'INPUT - BPtoFTP O&amp;M Alloc Pivot'!$B$11,"Acct",905)</f>
        <v>2690.6499999999965</v>
      </c>
      <c r="L93" s="1210">
        <v>0</v>
      </c>
      <c r="M93" s="1210">
        <f t="shared" si="10"/>
        <v>2690.6499999999965</v>
      </c>
      <c r="N93" s="1210">
        <f t="shared" si="11"/>
        <v>2690.6499999999965</v>
      </c>
      <c r="O93" s="1210"/>
      <c r="P93" s="1210">
        <f t="shared" si="14"/>
        <v>15830.209999999995</v>
      </c>
    </row>
    <row r="94" spans="1:16">
      <c r="A94" s="205">
        <f t="shared" si="13"/>
        <v>29</v>
      </c>
      <c r="B94" s="648">
        <v>907</v>
      </c>
      <c r="C94" s="133" t="s">
        <v>936</v>
      </c>
      <c r="D94" s="1210">
        <f>'C-2.1.A Oper Rev&amp;Exp by Accts'!F115</f>
        <v>0</v>
      </c>
      <c r="E94" s="1210">
        <v>0</v>
      </c>
      <c r="F94" s="1210">
        <v>0</v>
      </c>
      <c r="G94" s="1210">
        <f t="shared" si="8"/>
        <v>0</v>
      </c>
      <c r="H94" s="1210">
        <f t="shared" si="9"/>
        <v>0</v>
      </c>
      <c r="I94" s="1210"/>
      <c r="J94" s="1210">
        <v>0</v>
      </c>
      <c r="K94" s="1210">
        <f>GETPIVOTDATA("Adjustments",'INPUT - BPtoFTP O&amp;M Alloc Pivot'!$B$11,"Acct",907)</f>
        <v>0</v>
      </c>
      <c r="L94" s="1210">
        <v>0</v>
      </c>
      <c r="M94" s="1210">
        <f t="shared" si="10"/>
        <v>0</v>
      </c>
      <c r="N94" s="1210">
        <f t="shared" si="11"/>
        <v>0</v>
      </c>
      <c r="O94" s="1210"/>
      <c r="P94" s="1210">
        <f t="shared" si="14"/>
        <v>0</v>
      </c>
    </row>
    <row r="95" spans="1:16">
      <c r="A95" s="205">
        <f t="shared" si="13"/>
        <v>30</v>
      </c>
      <c r="B95" s="648">
        <v>908</v>
      </c>
      <c r="C95" s="133" t="s">
        <v>941</v>
      </c>
      <c r="D95" s="1210">
        <f>'C-2.1.A Oper Rev&amp;Exp by Accts'!F116</f>
        <v>69076.509999999995</v>
      </c>
      <c r="E95" s="1210">
        <v>0</v>
      </c>
      <c r="F95" s="1210">
        <v>0</v>
      </c>
      <c r="G95" s="1210">
        <f t="shared" si="8"/>
        <v>0</v>
      </c>
      <c r="H95" s="1210">
        <f t="shared" si="9"/>
        <v>69076.509999999995</v>
      </c>
      <c r="I95" s="1210"/>
      <c r="J95" s="1210">
        <v>0</v>
      </c>
      <c r="K95" s="1210">
        <f>GETPIVOTDATA("Adjustments",'INPUT - BPtoFTP O&amp;M Alloc Pivot'!$B$11,"Acct",908)</f>
        <v>37136.049999999996</v>
      </c>
      <c r="L95" s="1210">
        <v>0</v>
      </c>
      <c r="M95" s="1210">
        <f t="shared" si="10"/>
        <v>37136.049999999996</v>
      </c>
      <c r="N95" s="1210">
        <f t="shared" si="11"/>
        <v>37136.049999999996</v>
      </c>
      <c r="O95" s="1210"/>
      <c r="P95" s="1210">
        <f t="shared" si="14"/>
        <v>106212.56</v>
      </c>
    </row>
    <row r="96" spans="1:16">
      <c r="A96" s="205">
        <f t="shared" si="13"/>
        <v>31</v>
      </c>
      <c r="B96" s="648">
        <v>909</v>
      </c>
      <c r="C96" s="133" t="s">
        <v>942</v>
      </c>
      <c r="D96" s="1210">
        <f>'C-2.1.A Oper Rev&amp;Exp by Accts'!F117</f>
        <v>4372.6500000000005</v>
      </c>
      <c r="E96" s="1210">
        <v>0</v>
      </c>
      <c r="F96" s="1210">
        <v>0</v>
      </c>
      <c r="G96" s="1210">
        <f t="shared" si="8"/>
        <v>0</v>
      </c>
      <c r="H96" s="1210">
        <f t="shared" si="9"/>
        <v>4372.6500000000005</v>
      </c>
      <c r="I96" s="1210"/>
      <c r="J96" s="1210">
        <v>0</v>
      </c>
      <c r="K96" s="1210">
        <f>GETPIVOTDATA("Adjustments",'INPUT - BPtoFTP O&amp;M Alloc Pivot'!$B$11,"Acct",909)</f>
        <v>-1833.5600000000004</v>
      </c>
      <c r="L96" s="1210">
        <v>0</v>
      </c>
      <c r="M96" s="1210">
        <f t="shared" si="10"/>
        <v>-1833.5600000000004</v>
      </c>
      <c r="N96" s="1210">
        <f t="shared" si="11"/>
        <v>-1833.5600000000004</v>
      </c>
      <c r="O96" s="1210"/>
      <c r="P96" s="1210">
        <f t="shared" si="14"/>
        <v>2539.09</v>
      </c>
    </row>
    <row r="97" spans="1:16">
      <c r="A97" s="205">
        <f t="shared" si="13"/>
        <v>32</v>
      </c>
      <c r="B97" s="648">
        <v>910</v>
      </c>
      <c r="C97" s="133" t="s">
        <v>943</v>
      </c>
      <c r="D97" s="1210">
        <f>'C-2.1.A Oper Rev&amp;Exp by Accts'!F118</f>
        <v>309067.44</v>
      </c>
      <c r="E97" s="1210">
        <v>0</v>
      </c>
      <c r="F97" s="1210">
        <v>0</v>
      </c>
      <c r="G97" s="1210">
        <f t="shared" si="8"/>
        <v>0</v>
      </c>
      <c r="H97" s="1210">
        <f t="shared" si="9"/>
        <v>309067.44</v>
      </c>
      <c r="I97" s="1210"/>
      <c r="J97" s="1210">
        <v>0</v>
      </c>
      <c r="K97" s="1210">
        <f>GETPIVOTDATA("Adjustments",'INPUT - BPtoFTP O&amp;M Alloc Pivot'!$B$11,"Acct",910)</f>
        <v>-16959.819999999949</v>
      </c>
      <c r="L97" s="1210">
        <v>0</v>
      </c>
      <c r="M97" s="1210">
        <f t="shared" si="10"/>
        <v>-16959.819999999949</v>
      </c>
      <c r="N97" s="1210">
        <f t="shared" si="11"/>
        <v>-16959.819999999949</v>
      </c>
      <c r="O97" s="1210"/>
      <c r="P97" s="1210">
        <f t="shared" si="14"/>
        <v>292107.62000000005</v>
      </c>
    </row>
    <row r="98" spans="1:16">
      <c r="A98" s="205">
        <f t="shared" si="13"/>
        <v>33</v>
      </c>
      <c r="B98" s="648">
        <v>911</v>
      </c>
      <c r="C98" s="133" t="s">
        <v>936</v>
      </c>
      <c r="D98" s="1210">
        <f>'C-2.1.A Oper Rev&amp;Exp by Accts'!F122</f>
        <v>0</v>
      </c>
      <c r="E98" s="1210">
        <v>0</v>
      </c>
      <c r="F98" s="1210">
        <v>0</v>
      </c>
      <c r="G98" s="1210">
        <f t="shared" si="8"/>
        <v>0</v>
      </c>
      <c r="H98" s="1210">
        <f t="shared" si="9"/>
        <v>0</v>
      </c>
      <c r="I98" s="1210"/>
      <c r="J98" s="1210">
        <v>0</v>
      </c>
      <c r="K98" s="1210"/>
      <c r="L98" s="1210">
        <v>0</v>
      </c>
      <c r="M98" s="1210">
        <f t="shared" si="10"/>
        <v>0</v>
      </c>
      <c r="N98" s="1210">
        <f t="shared" si="11"/>
        <v>0</v>
      </c>
      <c r="O98" s="1210"/>
      <c r="P98" s="1210">
        <f t="shared" si="14"/>
        <v>0</v>
      </c>
    </row>
    <row r="99" spans="1:16">
      <c r="A99" s="205">
        <f t="shared" si="13"/>
        <v>34</v>
      </c>
      <c r="B99" s="648">
        <v>912</v>
      </c>
      <c r="C99" s="133" t="s">
        <v>944</v>
      </c>
      <c r="D99" s="1210">
        <f>'C-2.1.A Oper Rev&amp;Exp by Accts'!F123</f>
        <v>5396.7599999999984</v>
      </c>
      <c r="E99" s="1210">
        <v>0</v>
      </c>
      <c r="F99" s="1210">
        <v>0</v>
      </c>
      <c r="G99" s="1210">
        <f t="shared" si="8"/>
        <v>0</v>
      </c>
      <c r="H99" s="1210">
        <f t="shared" si="9"/>
        <v>5396.7599999999984</v>
      </c>
      <c r="I99" s="1210"/>
      <c r="J99" s="1210">
        <v>0</v>
      </c>
      <c r="K99" s="1210">
        <f>GETPIVOTDATA("Adjustments",'INPUT - BPtoFTP O&amp;M Alloc Pivot'!$B$11,"Acct",912)</f>
        <v>-717.56999999999789</v>
      </c>
      <c r="L99" s="1210">
        <v>0</v>
      </c>
      <c r="M99" s="1210">
        <f t="shared" si="10"/>
        <v>-717.56999999999789</v>
      </c>
      <c r="N99" s="1210">
        <f t="shared" si="11"/>
        <v>-717.56999999999789</v>
      </c>
      <c r="O99" s="1210"/>
      <c r="P99" s="1210">
        <f t="shared" si="14"/>
        <v>4679.1900000000005</v>
      </c>
    </row>
    <row r="100" spans="1:16">
      <c r="A100" s="205">
        <f t="shared" si="13"/>
        <v>35</v>
      </c>
      <c r="B100" s="648">
        <v>913</v>
      </c>
      <c r="C100" s="133" t="s">
        <v>945</v>
      </c>
      <c r="D100" s="1210">
        <f>'C-2.1.A Oper Rev&amp;Exp by Accts'!F124</f>
        <v>11867.8</v>
      </c>
      <c r="E100" s="1210">
        <v>0</v>
      </c>
      <c r="F100" s="1210">
        <v>0</v>
      </c>
      <c r="G100" s="1210">
        <f t="shared" si="8"/>
        <v>0</v>
      </c>
      <c r="H100" s="1210">
        <f t="shared" si="9"/>
        <v>11867.8</v>
      </c>
      <c r="I100" s="1210"/>
      <c r="J100" s="1210">
        <v>0</v>
      </c>
      <c r="K100" s="1210">
        <f>GETPIVOTDATA("Adjustments",'INPUT - BPtoFTP O&amp;M Alloc Pivot'!$B$11,"Acct",913)</f>
        <v>-4192.1399999999985</v>
      </c>
      <c r="L100" s="1210">
        <v>0</v>
      </c>
      <c r="M100" s="1210">
        <f t="shared" si="10"/>
        <v>-4192.1399999999985</v>
      </c>
      <c r="N100" s="1210">
        <f t="shared" si="11"/>
        <v>-4192.1399999999985</v>
      </c>
      <c r="O100" s="1210"/>
      <c r="P100" s="1210">
        <f t="shared" si="14"/>
        <v>7675.6600000000008</v>
      </c>
    </row>
    <row r="101" spans="1:16">
      <c r="A101" s="205">
        <f t="shared" si="13"/>
        <v>36</v>
      </c>
      <c r="B101" s="648">
        <v>916</v>
      </c>
      <c r="C101" s="133" t="s">
        <v>69</v>
      </c>
      <c r="D101" s="1210">
        <f>'C-2.1.A Oper Rev&amp;Exp by Accts'!F125</f>
        <v>0</v>
      </c>
      <c r="E101" s="1210">
        <v>0</v>
      </c>
      <c r="F101" s="1210">
        <v>0</v>
      </c>
      <c r="G101" s="1210">
        <f t="shared" si="8"/>
        <v>0</v>
      </c>
      <c r="H101" s="1210">
        <f t="shared" si="9"/>
        <v>0</v>
      </c>
      <c r="I101" s="1210"/>
      <c r="J101" s="1210">
        <v>0</v>
      </c>
      <c r="K101" s="1210"/>
      <c r="L101" s="1210">
        <v>0</v>
      </c>
      <c r="M101" s="1210">
        <f t="shared" si="10"/>
        <v>0</v>
      </c>
      <c r="N101" s="1210">
        <f t="shared" si="11"/>
        <v>0</v>
      </c>
      <c r="O101" s="1210"/>
      <c r="P101" s="1210">
        <f t="shared" si="14"/>
        <v>0</v>
      </c>
    </row>
    <row r="102" spans="1:16">
      <c r="A102" s="205">
        <f t="shared" si="13"/>
        <v>37</v>
      </c>
      <c r="B102" s="648">
        <v>920</v>
      </c>
      <c r="C102" s="133" t="s">
        <v>947</v>
      </c>
      <c r="D102" s="1210">
        <f>'C-2.1.A Oper Rev&amp;Exp by Accts'!F129</f>
        <v>11024089.76</v>
      </c>
      <c r="E102" s="1210">
        <v>0</v>
      </c>
      <c r="F102" s="1210">
        <v>0</v>
      </c>
      <c r="G102" s="1210">
        <f t="shared" si="8"/>
        <v>0</v>
      </c>
      <c r="H102" s="1210">
        <f t="shared" si="9"/>
        <v>11024089.76</v>
      </c>
      <c r="I102" s="1210"/>
      <c r="J102" s="1210">
        <v>0</v>
      </c>
      <c r="K102" s="1210">
        <f>GETPIVOTDATA("Adjustments",'INPUT - BPtoFTP O&amp;M Alloc Pivot'!$B$11,"Acct",920)</f>
        <v>-1213700.3199999994</v>
      </c>
      <c r="L102" s="1210">
        <v>0</v>
      </c>
      <c r="M102" s="1210">
        <f t="shared" si="10"/>
        <v>-1213700.3199999994</v>
      </c>
      <c r="N102" s="1210">
        <f t="shared" si="11"/>
        <v>-1213700.3199999994</v>
      </c>
      <c r="O102" s="1210"/>
      <c r="P102" s="1210">
        <f t="shared" si="14"/>
        <v>9810389.4400000013</v>
      </c>
    </row>
    <row r="103" spans="1:16">
      <c r="A103" s="205">
        <f t="shared" si="13"/>
        <v>38</v>
      </c>
      <c r="B103" s="648">
        <v>921</v>
      </c>
      <c r="C103" s="133" t="s">
        <v>948</v>
      </c>
      <c r="D103" s="1210">
        <f>'C-2.1.A Oper Rev&amp;Exp by Accts'!F130</f>
        <v>1813830.3</v>
      </c>
      <c r="E103" s="1210">
        <v>0</v>
      </c>
      <c r="F103" s="1210">
        <v>0</v>
      </c>
      <c r="G103" s="1210">
        <f t="shared" si="8"/>
        <v>0</v>
      </c>
      <c r="H103" s="1210">
        <f t="shared" si="9"/>
        <v>1813830.3</v>
      </c>
      <c r="I103" s="1210"/>
      <c r="J103" s="1210">
        <v>0</v>
      </c>
      <c r="K103" s="1210">
        <f>GETPIVOTDATA("Adjustments",'INPUT - BPtoFTP O&amp;M Alloc Pivot'!$B$11,"Acct",921)</f>
        <v>375530.91000000003</v>
      </c>
      <c r="L103" s="1210">
        <v>0</v>
      </c>
      <c r="M103" s="1210">
        <f t="shared" si="10"/>
        <v>375530.91000000003</v>
      </c>
      <c r="N103" s="1210">
        <f t="shared" si="11"/>
        <v>375530.91000000003</v>
      </c>
      <c r="O103" s="1210"/>
      <c r="P103" s="1210">
        <f t="shared" si="14"/>
        <v>2189361.21</v>
      </c>
    </row>
    <row r="104" spans="1:16">
      <c r="A104" s="205">
        <f t="shared" si="13"/>
        <v>39</v>
      </c>
      <c r="B104" s="648">
        <v>923</v>
      </c>
      <c r="C104" s="133" t="s">
        <v>949</v>
      </c>
      <c r="D104" s="1210">
        <f>'C-2.1.A Oper Rev&amp;Exp by Accts'!F131</f>
        <v>7661206.4899999984</v>
      </c>
      <c r="E104" s="1210">
        <v>0</v>
      </c>
      <c r="F104" s="1210">
        <v>0</v>
      </c>
      <c r="G104" s="1210">
        <f t="shared" si="8"/>
        <v>0</v>
      </c>
      <c r="H104" s="1210">
        <f t="shared" si="9"/>
        <v>7661206.4899999984</v>
      </c>
      <c r="I104" s="1210"/>
      <c r="J104" s="1210">
        <v>0</v>
      </c>
      <c r="K104" s="1210">
        <f>GETPIVOTDATA("Adjustments",'INPUT - BPtoFTP O&amp;M Alloc Pivot'!$B$11,"Acct",923)</f>
        <v>-926262.5399999998</v>
      </c>
      <c r="L104" s="1210">
        <v>0</v>
      </c>
      <c r="M104" s="1210">
        <f t="shared" si="10"/>
        <v>-926262.5399999998</v>
      </c>
      <c r="N104" s="1210">
        <f t="shared" si="11"/>
        <v>-926262.5399999998</v>
      </c>
      <c r="O104" s="1210"/>
      <c r="P104" s="1210">
        <f t="shared" si="14"/>
        <v>6734943.9499999983</v>
      </c>
    </row>
    <row r="105" spans="1:16">
      <c r="A105" s="205">
        <f t="shared" si="13"/>
        <v>40</v>
      </c>
      <c r="B105" s="648">
        <v>924</v>
      </c>
      <c r="C105" s="133" t="s">
        <v>950</v>
      </c>
      <c r="D105" s="1210">
        <f>'C-2.1.A Oper Rev&amp;Exp by Accts'!F132</f>
        <v>80225.180000000008</v>
      </c>
      <c r="E105" s="1210">
        <v>0</v>
      </c>
      <c r="F105" s="1210">
        <v>0</v>
      </c>
      <c r="G105" s="1210">
        <f t="shared" si="8"/>
        <v>0</v>
      </c>
      <c r="H105" s="1210">
        <f t="shared" si="9"/>
        <v>80225.180000000008</v>
      </c>
      <c r="I105" s="1210"/>
      <c r="J105" s="1210">
        <v>0</v>
      </c>
      <c r="K105" s="1210">
        <f>GETPIVOTDATA("Adjustments",'INPUT - BPtoFTP O&amp;M Alloc Pivot'!$B$11,"Acct",924)</f>
        <v>5908.6300000000065</v>
      </c>
      <c r="L105" s="1210">
        <v>0</v>
      </c>
      <c r="M105" s="1210">
        <f t="shared" si="10"/>
        <v>5908.6300000000065</v>
      </c>
      <c r="N105" s="1210">
        <f t="shared" si="11"/>
        <v>5908.6300000000065</v>
      </c>
      <c r="O105" s="1210"/>
      <c r="P105" s="1210">
        <f t="shared" si="14"/>
        <v>86133.810000000012</v>
      </c>
    </row>
    <row r="106" spans="1:16">
      <c r="A106" s="205">
        <f t="shared" si="13"/>
        <v>41</v>
      </c>
      <c r="B106" s="648">
        <v>925</v>
      </c>
      <c r="C106" s="133" t="s">
        <v>951</v>
      </c>
      <c r="D106" s="1210">
        <f>'C-2.1.A Oper Rev&amp;Exp by Accts'!F133</f>
        <v>1719927.1</v>
      </c>
      <c r="E106" s="1210">
        <v>0</v>
      </c>
      <c r="F106" s="1210">
        <v>0</v>
      </c>
      <c r="G106" s="1210">
        <f t="shared" si="8"/>
        <v>0</v>
      </c>
      <c r="H106" s="1210">
        <f t="shared" si="9"/>
        <v>1719927.1</v>
      </c>
      <c r="I106" s="1210"/>
      <c r="J106" s="1210">
        <v>0</v>
      </c>
      <c r="K106" s="1210">
        <f>GETPIVOTDATA("Adjustments",'INPUT - BPtoFTP O&amp;M Alloc Pivot'!$B$11,"Acct",925)</f>
        <v>62032.380000000005</v>
      </c>
      <c r="L106" s="1210">
        <v>0</v>
      </c>
      <c r="M106" s="1210">
        <f t="shared" si="10"/>
        <v>62032.380000000005</v>
      </c>
      <c r="N106" s="1210">
        <f t="shared" si="11"/>
        <v>62032.380000000005</v>
      </c>
      <c r="O106" s="1210"/>
      <c r="P106" s="1210">
        <f t="shared" si="14"/>
        <v>1781959.48</v>
      </c>
    </row>
    <row r="107" spans="1:16">
      <c r="A107" s="205">
        <f t="shared" si="13"/>
        <v>42</v>
      </c>
      <c r="B107" s="648">
        <v>926</v>
      </c>
      <c r="C107" s="133" t="s">
        <v>952</v>
      </c>
      <c r="D107" s="1210">
        <f>'C-2.1.A Oper Rev&amp;Exp by Accts'!F134</f>
        <v>5509101.9500000002</v>
      </c>
      <c r="E107" s="1210">
        <v>0</v>
      </c>
      <c r="F107" s="1210">
        <v>0</v>
      </c>
      <c r="G107" s="1210">
        <f t="shared" si="8"/>
        <v>0</v>
      </c>
      <c r="H107" s="1210">
        <f t="shared" si="9"/>
        <v>5509101.9500000002</v>
      </c>
      <c r="I107" s="1210"/>
      <c r="J107" s="1210">
        <v>0</v>
      </c>
      <c r="K107" s="1210">
        <f>GETPIVOTDATA("Adjustments",'INPUT - BPtoFTP O&amp;M Alloc Pivot'!$B$11,"Acct",926)</f>
        <v>-196859.01999999941</v>
      </c>
      <c r="L107" s="1210">
        <v>0</v>
      </c>
      <c r="M107" s="1210">
        <f t="shared" si="10"/>
        <v>-196859.01999999941</v>
      </c>
      <c r="N107" s="1210">
        <f t="shared" si="11"/>
        <v>-196859.01999999941</v>
      </c>
      <c r="O107" s="1210"/>
      <c r="P107" s="1210">
        <f t="shared" si="14"/>
        <v>5312242.9300000006</v>
      </c>
    </row>
    <row r="108" spans="1:16">
      <c r="A108" s="205"/>
      <c r="B108" s="206"/>
      <c r="D108" s="631"/>
      <c r="E108" s="631"/>
      <c r="F108" s="631"/>
      <c r="G108" s="631"/>
      <c r="H108" s="631"/>
      <c r="I108" s="631"/>
      <c r="J108" s="631"/>
      <c r="K108" s="631"/>
      <c r="M108" s="631"/>
      <c r="N108" s="631"/>
      <c r="O108" s="631"/>
      <c r="P108" s="631"/>
    </row>
    <row r="109" spans="1:16" ht="12.75" customHeight="1">
      <c r="A109" s="1328" t="str">
        <f>A1</f>
        <v>COLUMBIA GAS OF KENTUCKY, INC.</v>
      </c>
      <c r="B109" s="1328"/>
      <c r="C109" s="1328"/>
      <c r="D109" s="1328"/>
      <c r="E109" s="1328"/>
      <c r="F109" s="1328"/>
      <c r="G109" s="1328"/>
      <c r="H109" s="1328"/>
      <c r="I109" s="1328"/>
      <c r="J109" s="1328"/>
      <c r="K109" s="1328"/>
      <c r="L109" s="1328"/>
      <c r="M109" s="1328"/>
      <c r="N109" s="1328"/>
      <c r="O109" s="1328"/>
      <c r="P109" s="1328"/>
    </row>
    <row r="110" spans="1:16" ht="12.75" customHeight="1">
      <c r="A110" s="1328" t="str">
        <f>A2</f>
        <v>CASE NO. 2024 - 00092</v>
      </c>
      <c r="B110" s="1328"/>
      <c r="C110" s="1328"/>
      <c r="D110" s="1328"/>
      <c r="E110" s="1328"/>
      <c r="F110" s="1328"/>
      <c r="G110" s="1328"/>
      <c r="H110" s="1328"/>
      <c r="I110" s="1328"/>
      <c r="J110" s="1328"/>
      <c r="K110" s="1328"/>
      <c r="L110" s="1328"/>
      <c r="M110" s="1328"/>
      <c r="N110" s="1328"/>
      <c r="O110" s="1328"/>
      <c r="P110" s="1328"/>
    </row>
    <row r="111" spans="1:16" ht="12.75" customHeight="1">
      <c r="A111" s="1328" t="str">
        <f>A3</f>
        <v>SUMMARY OF ADJUSTMENTS TO OPERATING INCOME</v>
      </c>
      <c r="B111" s="1328"/>
      <c r="C111" s="1328"/>
      <c r="D111" s="1328"/>
      <c r="E111" s="1328"/>
      <c r="F111" s="1328"/>
      <c r="G111" s="1328"/>
      <c r="H111" s="1328"/>
      <c r="I111" s="1328"/>
      <c r="J111" s="1328"/>
      <c r="K111" s="1328"/>
      <c r="L111" s="1328"/>
      <c r="M111" s="1328"/>
      <c r="N111" s="1328"/>
      <c r="O111" s="1328"/>
      <c r="P111" s="1328"/>
    </row>
    <row r="112" spans="1:16" ht="12.75" customHeight="1">
      <c r="A112" s="1328" t="str">
        <f>A4</f>
        <v>OPERATING INCOME BY MAJOR ACCOUNTS</v>
      </c>
      <c r="B112" s="1328"/>
      <c r="C112" s="1328"/>
      <c r="D112" s="1328"/>
      <c r="E112" s="1328"/>
      <c r="F112" s="1328"/>
      <c r="G112" s="1328"/>
      <c r="H112" s="1328"/>
      <c r="I112" s="1328"/>
      <c r="J112" s="1328"/>
      <c r="K112" s="1328"/>
      <c r="L112" s="1328"/>
      <c r="M112" s="1328"/>
      <c r="N112" s="1328"/>
      <c r="O112" s="1328"/>
      <c r="P112" s="1328"/>
    </row>
    <row r="113" spans="1:16" ht="12.75" customHeight="1">
      <c r="A113" s="1328" t="str">
        <f>A5</f>
        <v>FOR THE TWELVE MONTHS ENDED AUGUST 31, 2024 AND THE TWELVE MONTHS ENDED DECEMBER 31, 2025</v>
      </c>
      <c r="B113" s="1328"/>
      <c r="C113" s="1328"/>
      <c r="D113" s="1328"/>
      <c r="E113" s="1328"/>
      <c r="F113" s="1328"/>
      <c r="G113" s="1328"/>
      <c r="H113" s="1328"/>
      <c r="I113" s="1328"/>
      <c r="J113" s="1328"/>
      <c r="K113" s="1328"/>
      <c r="L113" s="1328"/>
      <c r="M113" s="1328"/>
      <c r="N113" s="1328"/>
      <c r="O113" s="1328"/>
      <c r="P113" s="1328"/>
    </row>
    <row r="114" spans="1:16" ht="12.75" customHeight="1">
      <c r="A114" s="622"/>
      <c r="B114" s="622"/>
      <c r="C114" s="622"/>
      <c r="D114" s="622"/>
      <c r="E114" s="622"/>
      <c r="F114" s="622"/>
      <c r="G114" s="622"/>
      <c r="H114" s="622"/>
      <c r="I114" s="622"/>
      <c r="J114" s="622"/>
      <c r="K114" s="622"/>
      <c r="L114" s="622"/>
      <c r="M114" s="622"/>
      <c r="N114" s="622"/>
      <c r="O114" s="622"/>
      <c r="P114" s="622"/>
    </row>
    <row r="115" spans="1:16">
      <c r="A115" s="625" t="str">
        <f>A7</f>
        <v>DATA:___X___BASE PERIOD_______FORECASTED PERIOD</v>
      </c>
      <c r="P115" s="661" t="str">
        <f>P7</f>
        <v>SCHEDULE D-1.A</v>
      </c>
    </row>
    <row r="116" spans="1:16">
      <c r="A116" s="625" t="str">
        <f>A8</f>
        <v>TYPE OF FILING:___X___ORIGINAL______UPDATED</v>
      </c>
      <c r="P116" s="661" t="s">
        <v>1824</v>
      </c>
    </row>
    <row r="117" spans="1:16">
      <c r="A117" s="285" t="s">
        <v>58</v>
      </c>
      <c r="P117" s="661" t="str">
        <f>"WITNESS: "&amp;'General Headers Index'!$B$46</f>
        <v>WITNESS: SHAEFFER</v>
      </c>
    </row>
    <row r="118" spans="1:16">
      <c r="A118" s="1028"/>
      <c r="B118" s="861"/>
      <c r="C118" s="862"/>
      <c r="D118" s="862"/>
      <c r="E118" s="862"/>
      <c r="F118" s="862"/>
      <c r="G118" s="862"/>
      <c r="H118" s="862"/>
      <c r="I118" s="862"/>
      <c r="J118" s="862"/>
      <c r="K118" s="862"/>
      <c r="L118" s="862"/>
      <c r="M118" s="862"/>
      <c r="N118" s="862"/>
      <c r="O118" s="862"/>
      <c r="P118" s="863"/>
    </row>
    <row r="119" spans="1:16">
      <c r="D119" s="205" t="s">
        <v>755</v>
      </c>
      <c r="E119" s="626"/>
      <c r="F119" s="626"/>
      <c r="G119" s="205" t="s">
        <v>349</v>
      </c>
      <c r="H119" s="205"/>
      <c r="J119" s="626"/>
      <c r="K119" s="626"/>
      <c r="L119" s="626"/>
      <c r="M119" s="627" t="s">
        <v>2342</v>
      </c>
      <c r="N119" s="627" t="s">
        <v>349</v>
      </c>
      <c r="P119" s="205" t="s">
        <v>755</v>
      </c>
    </row>
    <row r="120" spans="1:16">
      <c r="A120" s="205" t="s">
        <v>313</v>
      </c>
      <c r="B120" s="206" t="s">
        <v>958</v>
      </c>
      <c r="D120" s="205" t="s">
        <v>315</v>
      </c>
      <c r="E120" s="205" t="str">
        <f>E61</f>
        <v>D-2.1</v>
      </c>
      <c r="F120" s="205" t="str">
        <f>F61</f>
        <v>D-2.2</v>
      </c>
      <c r="G120" s="205" t="s">
        <v>315</v>
      </c>
      <c r="H120" s="205" t="s">
        <v>351</v>
      </c>
      <c r="J120" s="205" t="str">
        <f t="shared" ref="J120:L121" si="15">J61</f>
        <v>D-2.3</v>
      </c>
      <c r="K120" s="205" t="str">
        <f t="shared" si="15"/>
        <v>D-2.4</v>
      </c>
      <c r="L120" s="205" t="str">
        <f t="shared" si="15"/>
        <v>D-2.5</v>
      </c>
      <c r="M120" s="205" t="s">
        <v>2277</v>
      </c>
      <c r="N120" s="205" t="s">
        <v>502</v>
      </c>
      <c r="P120" s="205" t="s">
        <v>651</v>
      </c>
    </row>
    <row r="121" spans="1:16">
      <c r="A121" s="1029" t="s">
        <v>316</v>
      </c>
      <c r="B121" s="1030" t="s">
        <v>959</v>
      </c>
      <c r="C121" s="1031"/>
      <c r="D121" s="1029" t="s">
        <v>319</v>
      </c>
      <c r="E121" s="1029" t="str">
        <f>E62</f>
        <v>ADJ 1 &amp; ADJ 2</v>
      </c>
      <c r="F121" s="1029" t="str">
        <f>F62</f>
        <v>ADJ 1 - ADJ 3</v>
      </c>
      <c r="G121" s="1029" t="s">
        <v>2343</v>
      </c>
      <c r="H121" s="1029" t="s">
        <v>502</v>
      </c>
      <c r="J121" s="1029" t="str">
        <f t="shared" si="15"/>
        <v>ADJ 1 - ADJ 3</v>
      </c>
      <c r="K121" s="1029" t="str">
        <f t="shared" si="15"/>
        <v>ADJ 1 - ADJ 17</v>
      </c>
      <c r="L121" s="1029" t="str">
        <f t="shared" si="15"/>
        <v>ADJ 1 &amp; ADJ 2</v>
      </c>
      <c r="M121" s="1029" t="s">
        <v>2278</v>
      </c>
      <c r="N121" s="1029" t="s">
        <v>963</v>
      </c>
      <c r="P121" s="1029" t="s">
        <v>319</v>
      </c>
    </row>
    <row r="122" spans="1:16">
      <c r="D122" s="207" t="s">
        <v>532</v>
      </c>
      <c r="E122" s="207" t="s">
        <v>541</v>
      </c>
      <c r="F122" s="207" t="s">
        <v>542</v>
      </c>
      <c r="G122" s="207" t="s">
        <v>2344</v>
      </c>
      <c r="H122" s="207" t="s">
        <v>2345</v>
      </c>
      <c r="J122" s="207" t="s">
        <v>670</v>
      </c>
      <c r="K122" s="207" t="s">
        <v>984</v>
      </c>
      <c r="L122" s="207" t="s">
        <v>985</v>
      </c>
      <c r="M122" s="207" t="s">
        <v>2346</v>
      </c>
      <c r="N122" s="207" t="s">
        <v>2348</v>
      </c>
      <c r="P122" s="207" t="s">
        <v>2349</v>
      </c>
    </row>
    <row r="123" spans="1:16">
      <c r="D123" s="537" t="s">
        <v>320</v>
      </c>
      <c r="E123" s="537" t="s">
        <v>320</v>
      </c>
      <c r="F123" s="537" t="s">
        <v>320</v>
      </c>
      <c r="G123" s="537" t="s">
        <v>320</v>
      </c>
      <c r="H123" s="537" t="s">
        <v>320</v>
      </c>
      <c r="J123" s="537" t="s">
        <v>320</v>
      </c>
      <c r="K123" s="537" t="s">
        <v>320</v>
      </c>
      <c r="L123" s="537" t="s">
        <v>320</v>
      </c>
      <c r="M123" s="537" t="s">
        <v>320</v>
      </c>
      <c r="N123" s="537" t="s">
        <v>320</v>
      </c>
      <c r="P123" s="537" t="s">
        <v>320</v>
      </c>
    </row>
    <row r="125" spans="1:16">
      <c r="A125" s="205">
        <v>1</v>
      </c>
      <c r="B125" s="648">
        <v>928</v>
      </c>
      <c r="C125" s="133" t="s">
        <v>953</v>
      </c>
      <c r="D125" s="1210">
        <f>'C-2.1.A Oper Rev&amp;Exp by Accts'!F135</f>
        <v>454040.99</v>
      </c>
      <c r="E125" s="1210">
        <v>0</v>
      </c>
      <c r="F125" s="1210">
        <v>0</v>
      </c>
      <c r="G125" s="1210">
        <f t="shared" ref="G125:G130" si="16">SUM(E125:F125)</f>
        <v>0</v>
      </c>
      <c r="H125" s="1210">
        <f t="shared" ref="H125:H130" si="17">D125+G125</f>
        <v>454040.99</v>
      </c>
      <c r="I125" s="1210"/>
      <c r="J125" s="1210">
        <v>0</v>
      </c>
      <c r="K125" s="1210">
        <f>GETPIVOTDATA("Adjustments",'INPUT - BPtoFTP O&amp;M Alloc Pivot'!$B$11,"Acct",928)</f>
        <v>6.5200000000093148</v>
      </c>
      <c r="L125" s="1210">
        <v>0</v>
      </c>
      <c r="M125" s="1210">
        <f t="shared" ref="M125:M130" si="18">SUM(J125:L125)</f>
        <v>6.5200000000093148</v>
      </c>
      <c r="N125" s="1210">
        <f t="shared" ref="N125:N130" si="19">G125+M125</f>
        <v>6.5200000000093148</v>
      </c>
      <c r="O125" s="1210"/>
      <c r="P125" s="1210">
        <f t="shared" ref="P125:P130" si="20">D125+G125+M125</f>
        <v>454047.51</v>
      </c>
    </row>
    <row r="126" spans="1:16">
      <c r="A126" s="205">
        <f>A125+1</f>
        <v>2</v>
      </c>
      <c r="B126" s="663">
        <v>930.1</v>
      </c>
      <c r="C126" s="133" t="s">
        <v>1146</v>
      </c>
      <c r="D126" s="1210">
        <f>'C-2.1.A Oper Rev&amp;Exp by Accts'!F136</f>
        <v>30813.47</v>
      </c>
      <c r="E126" s="1210">
        <v>0</v>
      </c>
      <c r="F126" s="1210">
        <v>0</v>
      </c>
      <c r="G126" s="1210">
        <f t="shared" si="16"/>
        <v>0</v>
      </c>
      <c r="H126" s="1210">
        <f t="shared" si="17"/>
        <v>30813.47</v>
      </c>
      <c r="I126" s="1210"/>
      <c r="J126" s="1210">
        <v>0</v>
      </c>
      <c r="K126" s="1210">
        <f>GETPIVOTDATA("Adjustments",'INPUT - BPtoFTP O&amp;M Alloc Pivot'!$B$11,"Acct",9301)</f>
        <v>-7587.119999999999</v>
      </c>
      <c r="L126" s="1210">
        <v>0</v>
      </c>
      <c r="M126" s="1210">
        <f t="shared" si="18"/>
        <v>-7587.119999999999</v>
      </c>
      <c r="N126" s="1210">
        <f t="shared" si="19"/>
        <v>-7587.119999999999</v>
      </c>
      <c r="O126" s="1210"/>
      <c r="P126" s="1210">
        <f t="shared" si="20"/>
        <v>23226.350000000002</v>
      </c>
    </row>
    <row r="127" spans="1:16">
      <c r="A127" s="205">
        <f>A126+1</f>
        <v>3</v>
      </c>
      <c r="B127" s="663">
        <v>930.2</v>
      </c>
      <c r="C127" s="133" t="s">
        <v>1147</v>
      </c>
      <c r="D127" s="1210">
        <f>'C-2.1.A Oper Rev&amp;Exp by Accts'!F137</f>
        <v>126945.37999999999</v>
      </c>
      <c r="E127" s="1210">
        <v>0</v>
      </c>
      <c r="F127" s="1210">
        <v>0</v>
      </c>
      <c r="G127" s="1210">
        <f t="shared" si="16"/>
        <v>0</v>
      </c>
      <c r="H127" s="1210">
        <f t="shared" si="17"/>
        <v>126945.37999999999</v>
      </c>
      <c r="I127" s="1210"/>
      <c r="J127" s="1210">
        <v>0</v>
      </c>
      <c r="K127" s="1210">
        <f>GETPIVOTDATA("Adjustments",'INPUT - BPtoFTP O&amp;M Alloc Pivot'!$B$11,"Acct",9302)</f>
        <v>-2157.2900000000045</v>
      </c>
      <c r="L127" s="1210">
        <v>0</v>
      </c>
      <c r="M127" s="1210">
        <f t="shared" si="18"/>
        <v>-2157.2900000000045</v>
      </c>
      <c r="N127" s="1210">
        <f t="shared" si="19"/>
        <v>-2157.2900000000045</v>
      </c>
      <c r="O127" s="1210"/>
      <c r="P127" s="1210">
        <f t="shared" si="20"/>
        <v>124788.08999999998</v>
      </c>
    </row>
    <row r="128" spans="1:16">
      <c r="A128" s="205">
        <f>A127+1</f>
        <v>4</v>
      </c>
      <c r="B128" s="648">
        <v>931</v>
      </c>
      <c r="C128" s="133" t="s">
        <v>954</v>
      </c>
      <c r="D128" s="1210">
        <f>'C-2.1.A Oper Rev&amp;Exp by Accts'!F138</f>
        <v>686299.57</v>
      </c>
      <c r="E128" s="1210">
        <v>0</v>
      </c>
      <c r="F128" s="1210">
        <v>0</v>
      </c>
      <c r="G128" s="1210">
        <f t="shared" si="16"/>
        <v>0</v>
      </c>
      <c r="H128" s="1210">
        <f t="shared" si="17"/>
        <v>686299.57</v>
      </c>
      <c r="I128" s="1210"/>
      <c r="J128" s="1210">
        <v>0</v>
      </c>
      <c r="K128" s="1210">
        <f>GETPIVOTDATA("Adjustments",'INPUT - BPtoFTP O&amp;M Alloc Pivot'!$B$11,"Acct",931)</f>
        <v>-15833.270000000044</v>
      </c>
      <c r="L128" s="1210">
        <v>0</v>
      </c>
      <c r="M128" s="1210">
        <f t="shared" si="18"/>
        <v>-15833.270000000044</v>
      </c>
      <c r="N128" s="1210">
        <f t="shared" si="19"/>
        <v>-15833.270000000044</v>
      </c>
      <c r="O128" s="1210"/>
      <c r="P128" s="1210">
        <f t="shared" si="20"/>
        <v>670466.29999999993</v>
      </c>
    </row>
    <row r="129" spans="1:16">
      <c r="A129" s="205">
        <f>A128+1</f>
        <v>5</v>
      </c>
      <c r="B129" s="648">
        <v>932</v>
      </c>
      <c r="C129" s="133" t="s">
        <v>1032</v>
      </c>
      <c r="D129" s="1210">
        <f>'C-2.1.A Oper Rev&amp;Exp by Accts'!F142</f>
        <v>1830977.2100000002</v>
      </c>
      <c r="E129" s="1210">
        <v>0</v>
      </c>
      <c r="F129" s="1210">
        <v>0</v>
      </c>
      <c r="G129" s="1210">
        <f t="shared" si="16"/>
        <v>0</v>
      </c>
      <c r="H129" s="1210">
        <f t="shared" si="17"/>
        <v>1830977.2100000002</v>
      </c>
      <c r="I129" s="1210"/>
      <c r="J129" s="1210">
        <v>0</v>
      </c>
      <c r="K129" s="1210">
        <f>GETPIVOTDATA("Adjustments",'INPUT - BPtoFTP O&amp;M Alloc Pivot'!$B$11,"Acct",932)</f>
        <v>-130440.81000000006</v>
      </c>
      <c r="L129" s="1210">
        <v>0</v>
      </c>
      <c r="M129" s="1210">
        <f t="shared" si="18"/>
        <v>-130440.81000000006</v>
      </c>
      <c r="N129" s="1210">
        <f t="shared" si="19"/>
        <v>-130440.81000000006</v>
      </c>
      <c r="O129" s="1210"/>
      <c r="P129" s="1210">
        <f t="shared" si="20"/>
        <v>1700536.4000000001</v>
      </c>
    </row>
    <row r="130" spans="1:16">
      <c r="A130" s="205">
        <f>A129+1</f>
        <v>6</v>
      </c>
      <c r="B130" s="648">
        <v>935</v>
      </c>
      <c r="C130" s="133" t="s">
        <v>34</v>
      </c>
      <c r="D130" s="1214">
        <f>'C-2.1.A Oper Rev&amp;Exp by Accts'!F143</f>
        <v>0</v>
      </c>
      <c r="E130" s="1214">
        <v>0</v>
      </c>
      <c r="F130" s="1214">
        <v>0</v>
      </c>
      <c r="G130" s="1214">
        <f t="shared" si="16"/>
        <v>0</v>
      </c>
      <c r="H130" s="1214">
        <f t="shared" si="17"/>
        <v>0</v>
      </c>
      <c r="I130" s="1210"/>
      <c r="J130" s="1214">
        <v>0</v>
      </c>
      <c r="K130" s="1214">
        <v>0</v>
      </c>
      <c r="L130" s="1214">
        <v>0</v>
      </c>
      <c r="M130" s="1214">
        <f t="shared" si="18"/>
        <v>0</v>
      </c>
      <c r="N130" s="1214">
        <f t="shared" si="19"/>
        <v>0</v>
      </c>
      <c r="O130" s="1210"/>
      <c r="P130" s="1214">
        <f t="shared" si="20"/>
        <v>0</v>
      </c>
    </row>
    <row r="131" spans="1:16">
      <c r="A131" s="205"/>
      <c r="D131" s="1210"/>
      <c r="E131" s="1210"/>
      <c r="F131" s="1210"/>
      <c r="G131" s="1210"/>
      <c r="H131" s="1210"/>
      <c r="I131" s="1210"/>
      <c r="J131" s="1210"/>
      <c r="K131" s="1210"/>
      <c r="L131" s="1210"/>
      <c r="M131" s="1210"/>
      <c r="N131" s="1210"/>
      <c r="O131" s="1210"/>
      <c r="P131" s="1210"/>
    </row>
    <row r="132" spans="1:16">
      <c r="A132" s="205">
        <f>A130+1</f>
        <v>7</v>
      </c>
      <c r="B132" s="133" t="s">
        <v>1800</v>
      </c>
      <c r="D132" s="1213"/>
      <c r="E132" s="1213"/>
      <c r="F132" s="1213"/>
      <c r="G132" s="1213"/>
      <c r="H132" s="1213"/>
      <c r="I132" s="1210"/>
      <c r="J132" s="1213"/>
      <c r="K132" s="1213"/>
      <c r="L132" s="1213"/>
      <c r="M132" s="1213"/>
      <c r="N132" s="1213"/>
      <c r="O132" s="1210"/>
      <c r="P132" s="1213"/>
    </row>
    <row r="133" spans="1:16" ht="12.75" thickBot="1">
      <c r="A133" s="205">
        <f>A132+1</f>
        <v>8</v>
      </c>
      <c r="B133" s="133"/>
      <c r="C133" s="133" t="s">
        <v>968</v>
      </c>
      <c r="D133" s="1215">
        <f>SUM(D66:D107)+SUM(D125:D130)</f>
        <v>55298043.780000009</v>
      </c>
      <c r="E133" s="1215">
        <f>SUM(E66:E107)+SUM(E125:E130)</f>
        <v>0</v>
      </c>
      <c r="F133" s="1215">
        <f>SUM(F66:F107)+SUM(F125:F130)</f>
        <v>-10.0300000000002</v>
      </c>
      <c r="G133" s="1215">
        <f>SUM(G66:G107)+SUM(G125:G130)</f>
        <v>-10.0300000000002</v>
      </c>
      <c r="H133" s="1215">
        <f>SUM(H66:H107)+SUM(H125:H130)</f>
        <v>55298033.750000007</v>
      </c>
      <c r="I133" s="1210"/>
      <c r="J133" s="1215">
        <f t="shared" ref="J133:P133" si="21">SUM(J66:J107)+SUM(J125:J130)</f>
        <v>0</v>
      </c>
      <c r="K133" s="1215">
        <f t="shared" si="21"/>
        <v>-2207172.4899999988</v>
      </c>
      <c r="L133" s="1215">
        <f t="shared" si="21"/>
        <v>0</v>
      </c>
      <c r="M133" s="1215">
        <f t="shared" si="21"/>
        <v>-2207172.4899999988</v>
      </c>
      <c r="N133" s="1215">
        <f>SUM(N66:N107)+SUM(N125:N130)</f>
        <v>-2207182.5199999986</v>
      </c>
      <c r="O133" s="1210"/>
      <c r="P133" s="1215">
        <f t="shared" si="21"/>
        <v>53090861.259999998</v>
      </c>
    </row>
    <row r="134" spans="1:16" ht="12.75" thickTop="1">
      <c r="A134" s="205"/>
      <c r="B134" s="214"/>
      <c r="D134" s="1213"/>
      <c r="E134" s="1213"/>
      <c r="F134" s="1213"/>
      <c r="G134" s="1213"/>
      <c r="H134" s="1213"/>
      <c r="I134" s="1210"/>
      <c r="J134" s="1213"/>
      <c r="K134" s="1213"/>
      <c r="L134" s="1213"/>
      <c r="M134" s="1213"/>
      <c r="N134" s="1213"/>
      <c r="O134" s="1210"/>
      <c r="P134" s="1213"/>
    </row>
    <row r="135" spans="1:16">
      <c r="A135" s="205">
        <f>A133+1</f>
        <v>9</v>
      </c>
      <c r="B135" s="214" t="s">
        <v>1821</v>
      </c>
      <c r="C135" s="133" t="s">
        <v>306</v>
      </c>
      <c r="D135" s="1210">
        <f>'C-2.1.A Oper Rev&amp;Exp by Accts'!F148</f>
        <v>22462921.900000002</v>
      </c>
      <c r="E135" s="1210">
        <v>0</v>
      </c>
      <c r="F135" s="1210">
        <f>'D-2.2'!U22</f>
        <v>-995225.21638863534</v>
      </c>
      <c r="G135" s="1210">
        <f>SUM(E135:F135)</f>
        <v>-995225.21638863534</v>
      </c>
      <c r="H135" s="1210">
        <f>D135+G135</f>
        <v>21467696.683611367</v>
      </c>
      <c r="I135" s="1210"/>
      <c r="J135" s="1210">
        <v>0</v>
      </c>
      <c r="K135" s="1210">
        <v>0</v>
      </c>
      <c r="L135" s="1210">
        <f>'D-2.5'!U16</f>
        <v>3004469.3463886343</v>
      </c>
      <c r="M135" s="1210">
        <f>SUM(J135:L135)</f>
        <v>3004469.3463886343</v>
      </c>
      <c r="N135" s="1210">
        <f>G135+M135</f>
        <v>2009244.129999999</v>
      </c>
      <c r="O135" s="1210"/>
      <c r="P135" s="1210">
        <f>D135+G135+M135</f>
        <v>24472166.030000001</v>
      </c>
    </row>
    <row r="136" spans="1:16">
      <c r="A136" s="205"/>
      <c r="B136" s="214"/>
      <c r="D136" s="1210"/>
      <c r="E136" s="1210"/>
      <c r="F136" s="1210"/>
      <c r="G136" s="1210"/>
      <c r="H136" s="1210"/>
      <c r="I136" s="1210"/>
      <c r="J136" s="1210"/>
      <c r="K136" s="1210"/>
      <c r="L136" s="1210"/>
      <c r="M136" s="1210"/>
      <c r="N136" s="1210"/>
      <c r="O136" s="1210"/>
      <c r="P136" s="1210"/>
    </row>
    <row r="137" spans="1:16">
      <c r="A137" s="205">
        <f>A135+1</f>
        <v>10</v>
      </c>
      <c r="B137" s="664">
        <v>408</v>
      </c>
      <c r="C137" s="133" t="s">
        <v>898</v>
      </c>
      <c r="D137" s="1210">
        <f>'C-2.1.A Oper Rev&amp;Exp by Accts'!F149</f>
        <v>5687907.7400000002</v>
      </c>
      <c r="E137" s="1210">
        <v>0</v>
      </c>
      <c r="F137" s="1210">
        <f>'D-2.2'!U28</f>
        <v>-679911.150954657</v>
      </c>
      <c r="G137" s="1210">
        <f>SUM(E137:F137)</f>
        <v>-679911.150954657</v>
      </c>
      <c r="H137" s="1210">
        <f>D137+G137</f>
        <v>5007996.589045343</v>
      </c>
      <c r="I137" s="1210"/>
      <c r="J137" s="1210">
        <v>0</v>
      </c>
      <c r="K137" s="1210">
        <v>0</v>
      </c>
      <c r="L137" s="1210">
        <f>'D-1.B (FTP IS Adj Summary)'!D136-H137</f>
        <v>4364003.410954657</v>
      </c>
      <c r="M137" s="1210">
        <f>SUM(J137:L137)</f>
        <v>4364003.410954657</v>
      </c>
      <c r="N137" s="1210">
        <f>G137+M137</f>
        <v>3684092.26</v>
      </c>
      <c r="O137" s="1210"/>
      <c r="P137" s="1210">
        <f>D137+G137+M137</f>
        <v>9372000</v>
      </c>
    </row>
    <row r="138" spans="1:16">
      <c r="A138" s="205">
        <f>A137+1</f>
        <v>11</v>
      </c>
      <c r="B138" s="664">
        <v>408</v>
      </c>
      <c r="C138" s="133" t="s">
        <v>899</v>
      </c>
      <c r="D138" s="1210">
        <f>'C-2.1.A Oper Rev&amp;Exp by Accts'!F150</f>
        <v>879840.944183129</v>
      </c>
      <c r="E138" s="1210">
        <v>0</v>
      </c>
      <c r="F138" s="1210">
        <v>0</v>
      </c>
      <c r="G138" s="1210">
        <f>SUM(E138:F138)</f>
        <v>0</v>
      </c>
      <c r="H138" s="1210">
        <f>D138+G138</f>
        <v>879840.944183129</v>
      </c>
      <c r="I138" s="1210"/>
      <c r="J138" s="1210">
        <v>0</v>
      </c>
      <c r="K138" s="1210">
        <v>0</v>
      </c>
      <c r="L138" s="1210">
        <f>'D-1.B (FTP IS Adj Summary)'!D137-D138</f>
        <v>20591.498681466212</v>
      </c>
      <c r="M138" s="1210">
        <f>SUM(J138:L138)</f>
        <v>20591.498681466212</v>
      </c>
      <c r="N138" s="1210">
        <f>G138+M138</f>
        <v>20591.498681466212</v>
      </c>
      <c r="O138" s="1210"/>
      <c r="P138" s="1210">
        <f>D138+G138+M138</f>
        <v>900432.44286459521</v>
      </c>
    </row>
    <row r="139" spans="1:16">
      <c r="A139" s="205">
        <f>A138+1</f>
        <v>12</v>
      </c>
      <c r="B139" s="664">
        <v>408</v>
      </c>
      <c r="C139" s="133" t="s">
        <v>900</v>
      </c>
      <c r="D139" s="1214">
        <f>'C-2.1.A Oper Rev&amp;Exp by Accts'!F151</f>
        <v>117299.97</v>
      </c>
      <c r="E139" s="1214">
        <v>0</v>
      </c>
      <c r="F139" s="1214">
        <v>0</v>
      </c>
      <c r="G139" s="1214">
        <f>SUM(E139:F139)</f>
        <v>0</v>
      </c>
      <c r="H139" s="1214">
        <f>D139+G139</f>
        <v>117299.97</v>
      </c>
      <c r="I139" s="1210"/>
      <c r="J139" s="1214">
        <v>0</v>
      </c>
      <c r="K139" s="1214">
        <v>0</v>
      </c>
      <c r="L139" s="1214">
        <f>'D-1.B (FTP IS Adj Summary)'!D138-D139</f>
        <v>108300.03</v>
      </c>
      <c r="M139" s="1214">
        <f>SUM(J139:L139)</f>
        <v>108300.03</v>
      </c>
      <c r="N139" s="1214">
        <f>G139+M139</f>
        <v>108300.03</v>
      </c>
      <c r="O139" s="1210"/>
      <c r="P139" s="1214">
        <f>D139+G139+M139</f>
        <v>225600</v>
      </c>
    </row>
    <row r="140" spans="1:16">
      <c r="A140" s="205">
        <f>A139+1</f>
        <v>13</v>
      </c>
      <c r="B140" s="660" t="s">
        <v>981</v>
      </c>
      <c r="D140" s="1210">
        <f>SUM(D137:D139)</f>
        <v>6685048.6541831288</v>
      </c>
      <c r="E140" s="1210">
        <f>SUM(E137:E139)</f>
        <v>0</v>
      </c>
      <c r="F140" s="1210">
        <f>SUM(F137:F139)</f>
        <v>-679911.150954657</v>
      </c>
      <c r="G140" s="1210">
        <f>SUM(G137:G139)</f>
        <v>-679911.150954657</v>
      </c>
      <c r="H140" s="1210">
        <f>SUM(H137:H139)</f>
        <v>6005137.5032284716</v>
      </c>
      <c r="I140" s="1210"/>
      <c r="J140" s="1210">
        <f>SUM(J137:J139)</f>
        <v>0</v>
      </c>
      <c r="K140" s="1210">
        <f t="shared" ref="K140:P140" si="22">SUM(K137:K139)</f>
        <v>0</v>
      </c>
      <c r="L140" s="1210">
        <f t="shared" si="22"/>
        <v>4492894.9396361234</v>
      </c>
      <c r="M140" s="1210">
        <f t="shared" si="22"/>
        <v>4492894.9396361234</v>
      </c>
      <c r="N140" s="1210">
        <f>SUM(N137:N139)</f>
        <v>3812983.7886814657</v>
      </c>
      <c r="O140" s="1210"/>
      <c r="P140" s="1210">
        <f t="shared" si="22"/>
        <v>10498032.442864595</v>
      </c>
    </row>
    <row r="141" spans="1:16">
      <c r="A141" s="205"/>
      <c r="D141" s="1210"/>
      <c r="E141" s="1210"/>
      <c r="F141" s="1210"/>
      <c r="G141" s="1210"/>
      <c r="H141" s="1210"/>
      <c r="I141" s="1210"/>
      <c r="J141" s="1210"/>
      <c r="K141" s="1210"/>
      <c r="L141" s="1210"/>
      <c r="M141" s="1210"/>
      <c r="N141" s="1210"/>
      <c r="O141" s="1210"/>
      <c r="P141" s="1210"/>
    </row>
    <row r="142" spans="1:16">
      <c r="A142" s="205">
        <f>A140+1</f>
        <v>14</v>
      </c>
      <c r="B142" s="660" t="s">
        <v>1801</v>
      </c>
      <c r="D142" s="1214">
        <f>D135+D140</f>
        <v>29147970.554183133</v>
      </c>
      <c r="E142" s="1214">
        <f>E135+E140</f>
        <v>0</v>
      </c>
      <c r="F142" s="1214">
        <f>F135+F140</f>
        <v>-1675136.3673432923</v>
      </c>
      <c r="G142" s="1214">
        <f>G135+G140</f>
        <v>-1675136.3673432923</v>
      </c>
      <c r="H142" s="1214">
        <f>H135+H140</f>
        <v>27472834.186839838</v>
      </c>
      <c r="I142" s="1210"/>
      <c r="J142" s="1214">
        <f>J135+J140</f>
        <v>0</v>
      </c>
      <c r="K142" s="1214">
        <f t="shared" ref="K142:P142" si="23">K135+K140</f>
        <v>0</v>
      </c>
      <c r="L142" s="1214">
        <f t="shared" si="23"/>
        <v>7497364.2860247577</v>
      </c>
      <c r="M142" s="1214">
        <f t="shared" si="23"/>
        <v>7497364.2860247577</v>
      </c>
      <c r="N142" s="1214">
        <f>N135+N140</f>
        <v>5822227.9186814651</v>
      </c>
      <c r="O142" s="1210"/>
      <c r="P142" s="1214">
        <f t="shared" si="23"/>
        <v>34970198.472864598</v>
      </c>
    </row>
    <row r="143" spans="1:16">
      <c r="A143" s="205"/>
      <c r="B143" s="665"/>
      <c r="D143" s="1210"/>
      <c r="E143" s="1210"/>
      <c r="F143" s="1210"/>
      <c r="G143" s="1210"/>
      <c r="H143" s="1210"/>
      <c r="I143" s="1210"/>
      <c r="J143" s="1210"/>
      <c r="K143" s="1210"/>
      <c r="L143" s="1210"/>
      <c r="M143" s="1210"/>
      <c r="N143" s="1210"/>
      <c r="O143" s="1210"/>
      <c r="P143" s="1210"/>
    </row>
    <row r="144" spans="1:16">
      <c r="A144" s="205">
        <f>A142+1</f>
        <v>15</v>
      </c>
      <c r="B144" s="660" t="s">
        <v>1825</v>
      </c>
      <c r="D144" s="1210">
        <f>D133+D142</f>
        <v>84446014.334183142</v>
      </c>
      <c r="E144" s="1210">
        <f>E133+E142</f>
        <v>0</v>
      </c>
      <c r="F144" s="1210">
        <f>F133+F142</f>
        <v>-1675146.3973432924</v>
      </c>
      <c r="G144" s="1210">
        <f>G133+G142</f>
        <v>-1675146.3973432924</v>
      </c>
      <c r="H144" s="1210">
        <f>H133+H142</f>
        <v>82770867.936839849</v>
      </c>
      <c r="I144" s="1210"/>
      <c r="J144" s="1210">
        <f>J133+J142</f>
        <v>0</v>
      </c>
      <c r="K144" s="1210">
        <f t="shared" ref="K144:P144" si="24">K133+K142</f>
        <v>-2207172.4899999988</v>
      </c>
      <c r="L144" s="1210">
        <f t="shared" si="24"/>
        <v>7497364.2860247577</v>
      </c>
      <c r="M144" s="1210">
        <f t="shared" si="24"/>
        <v>5290191.7960247584</v>
      </c>
      <c r="N144" s="1210">
        <f>N133+N142</f>
        <v>3615045.3986814665</v>
      </c>
      <c r="O144" s="1210"/>
      <c r="P144" s="1210">
        <f t="shared" si="24"/>
        <v>88061059.732864588</v>
      </c>
    </row>
    <row r="145" spans="1:16">
      <c r="A145" s="205"/>
      <c r="B145" s="665"/>
      <c r="D145" s="1210"/>
      <c r="E145" s="1210"/>
      <c r="F145" s="1210"/>
      <c r="G145" s="1210"/>
      <c r="H145" s="1210"/>
      <c r="I145" s="1210"/>
      <c r="J145" s="1210"/>
      <c r="K145" s="1210"/>
      <c r="L145" s="1210"/>
      <c r="M145" s="1210"/>
      <c r="N145" s="1210"/>
      <c r="O145" s="1210"/>
      <c r="P145" s="1210"/>
    </row>
    <row r="146" spans="1:16">
      <c r="A146" s="205">
        <f>A144+1</f>
        <v>16</v>
      </c>
      <c r="B146" s="660" t="s">
        <v>1826</v>
      </c>
      <c r="D146" s="1210">
        <f>D46-D144</f>
        <v>39442507.828414574</v>
      </c>
      <c r="E146" s="1210">
        <f>E46-E144</f>
        <v>-2813871.6599999997</v>
      </c>
      <c r="F146" s="1210">
        <f>F46-F144</f>
        <v>1675146.3973432924</v>
      </c>
      <c r="G146" s="1210">
        <f>G46-G144</f>
        <v>-1138725.2626567073</v>
      </c>
      <c r="H146" s="1210">
        <f>H46-H144</f>
        <v>38303782.565757871</v>
      </c>
      <c r="I146" s="1210"/>
      <c r="J146" s="1210">
        <f>J46-J144</f>
        <v>-5666986.5359310135</v>
      </c>
      <c r="K146" s="1210">
        <f t="shared" ref="K146:P146" si="25">K46-K144</f>
        <v>2207172.4899999988</v>
      </c>
      <c r="L146" s="1210">
        <f t="shared" si="25"/>
        <v>-7497364.2860247577</v>
      </c>
      <c r="M146" s="1210">
        <f t="shared" si="25"/>
        <v>-10957178.331955772</v>
      </c>
      <c r="N146" s="1210">
        <f>N46-N144</f>
        <v>-12095903.594612479</v>
      </c>
      <c r="O146" s="1210"/>
      <c r="P146" s="1210">
        <f t="shared" si="25"/>
        <v>27346604.23380208</v>
      </c>
    </row>
    <row r="147" spans="1:16">
      <c r="A147" s="205"/>
      <c r="B147" s="665"/>
    </row>
    <row r="148" spans="1:16">
      <c r="A148" s="205"/>
    </row>
    <row r="149" spans="1:16">
      <c r="B149" s="665"/>
    </row>
    <row r="151" spans="1:16">
      <c r="B151" s="665"/>
    </row>
    <row r="152" spans="1:16">
      <c r="B152" s="665"/>
    </row>
    <row r="153" spans="1:16">
      <c r="B153" s="665"/>
    </row>
    <row r="154" spans="1:16">
      <c r="B154" s="665"/>
    </row>
    <row r="155" spans="1:16">
      <c r="B155" s="665"/>
    </row>
    <row r="156" spans="1:16">
      <c r="B156" s="665"/>
    </row>
  </sheetData>
  <mergeCells count="15">
    <mergeCell ref="A111:P111"/>
    <mergeCell ref="A112:P112"/>
    <mergeCell ref="A113:P113"/>
    <mergeCell ref="A51:P51"/>
    <mergeCell ref="A52:P52"/>
    <mergeCell ref="A53:P53"/>
    <mergeCell ref="A54:P54"/>
    <mergeCell ref="A109:P109"/>
    <mergeCell ref="A110:P110"/>
    <mergeCell ref="A50:P50"/>
    <mergeCell ref="A1:P1"/>
    <mergeCell ref="A2:P2"/>
    <mergeCell ref="A3:P3"/>
    <mergeCell ref="A4:P4"/>
    <mergeCell ref="A5:P5"/>
  </mergeCells>
  <printOptions horizontalCentered="1"/>
  <pageMargins left="0.5" right="0.5" top="0.75" bottom="0.5" header="0.3" footer="0.3"/>
  <pageSetup scale="59" fitToHeight="3" orientation="landscape" r:id="rId1"/>
  <rowBreaks count="2" manualBreakCount="2">
    <brk id="49" max="16383" man="1"/>
    <brk id="10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R155"/>
  <sheetViews>
    <sheetView zoomScaleNormal="100" zoomScaleSheetLayoutView="100" workbookViewId="0">
      <selection activeCell="K101" sqref="K101"/>
    </sheetView>
  </sheetViews>
  <sheetFormatPr defaultColWidth="8.33203125" defaultRowHeight="12"/>
  <cols>
    <col min="1" max="1" width="5" style="133" customWidth="1"/>
    <col min="2" max="2" width="10.6640625" style="660" customWidth="1"/>
    <col min="3" max="3" width="64.1640625" style="133" customWidth="1"/>
    <col min="4" max="4" width="14.83203125" style="133" bestFit="1" customWidth="1"/>
    <col min="5" max="5" width="10.33203125" style="133" customWidth="1"/>
    <col min="6" max="6" width="17.6640625" style="133" customWidth="1"/>
    <col min="7" max="7" width="9.83203125" style="133" customWidth="1"/>
    <col min="8" max="8" width="19.6640625" style="133" customWidth="1"/>
    <col min="9" max="14" width="10.33203125" style="133" customWidth="1"/>
    <col min="15" max="15" width="12.33203125" style="133" bestFit="1" customWidth="1"/>
    <col min="16" max="16" width="12.5" style="133" bestFit="1" customWidth="1"/>
    <col min="17" max="17" width="22.33203125" style="133" customWidth="1"/>
    <col min="18" max="18" width="20.1640625" style="133" customWidth="1"/>
    <col min="19" max="16384" width="8.33203125" style="133"/>
  </cols>
  <sheetData>
    <row r="1" spans="1:18">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row>
    <row r="2" spans="1:18">
      <c r="A2" s="1328" t="str">
        <f>'General Headers Index'!B6</f>
        <v>CASE NO. 2024 - 00092</v>
      </c>
      <c r="B2" s="1328"/>
      <c r="C2" s="1328"/>
      <c r="D2" s="1328"/>
      <c r="E2" s="1328"/>
      <c r="F2" s="1328"/>
      <c r="G2" s="1328"/>
      <c r="H2" s="1328"/>
      <c r="I2" s="1328"/>
      <c r="J2" s="1328"/>
      <c r="K2" s="1328"/>
      <c r="L2" s="1328"/>
      <c r="M2" s="1328"/>
      <c r="N2" s="1328"/>
      <c r="O2" s="1328"/>
      <c r="P2" s="1328"/>
      <c r="Q2" s="1328"/>
      <c r="R2" s="1328"/>
    </row>
    <row r="3" spans="1:18">
      <c r="A3" s="1328" t="str">
        <f>'Index D'!C22</f>
        <v>SUMMARY OF ADJUSTMENTS TO OPERATING INCOME</v>
      </c>
      <c r="B3" s="1328"/>
      <c r="C3" s="1328"/>
      <c r="D3" s="1328"/>
      <c r="E3" s="1328"/>
      <c r="F3" s="1328"/>
      <c r="G3" s="1328"/>
      <c r="H3" s="1328"/>
      <c r="I3" s="1328"/>
      <c r="J3" s="1328"/>
      <c r="K3" s="1328"/>
      <c r="L3" s="1328"/>
      <c r="M3" s="1328"/>
      <c r="N3" s="1328"/>
      <c r="O3" s="1328"/>
      <c r="P3" s="1328"/>
      <c r="Q3" s="1328"/>
      <c r="R3" s="1328"/>
    </row>
    <row r="4" spans="1:18">
      <c r="A4" s="1328" t="s">
        <v>957</v>
      </c>
      <c r="B4" s="1328"/>
      <c r="C4" s="1328"/>
      <c r="D4" s="1328"/>
      <c r="E4" s="1328"/>
      <c r="F4" s="1328"/>
      <c r="G4" s="1328"/>
      <c r="H4" s="1328"/>
      <c r="I4" s="1328"/>
      <c r="J4" s="1328"/>
      <c r="K4" s="1328"/>
      <c r="L4" s="1328"/>
      <c r="M4" s="1328"/>
      <c r="N4" s="1328"/>
      <c r="O4" s="1328"/>
      <c r="P4" s="1328"/>
      <c r="Q4" s="1328"/>
      <c r="R4" s="1328"/>
    </row>
    <row r="5" spans="1:18" ht="12.75" customHeight="1">
      <c r="A5" s="1328" t="str">
        <f>'General Headers Index'!B22</f>
        <v>FOR THE TWELVE MONTHS ENDED AUGUST 31, 2024 AND THE TWELVE MONTHS ENDED DECEMBER 31, 2025</v>
      </c>
      <c r="B5" s="1328"/>
      <c r="C5" s="1328"/>
      <c r="D5" s="1328"/>
      <c r="E5" s="1328"/>
      <c r="F5" s="1328"/>
      <c r="G5" s="1328"/>
      <c r="H5" s="1328"/>
      <c r="I5" s="1328"/>
      <c r="J5" s="1328"/>
      <c r="K5" s="1328"/>
      <c r="L5" s="1328"/>
      <c r="M5" s="1328"/>
      <c r="N5" s="1328"/>
      <c r="O5" s="1328"/>
      <c r="P5" s="1328"/>
      <c r="Q5" s="1328"/>
      <c r="R5" s="1328"/>
    </row>
    <row r="6" spans="1:18" ht="12.75" customHeight="1">
      <c r="A6" s="622"/>
      <c r="B6" s="622"/>
      <c r="C6" s="622"/>
      <c r="D6" s="622"/>
      <c r="E6" s="622"/>
      <c r="F6" s="622"/>
      <c r="G6" s="622"/>
      <c r="H6" s="622"/>
      <c r="I6" s="622"/>
      <c r="J6" s="622"/>
      <c r="K6" s="622"/>
      <c r="L6" s="622"/>
      <c r="M6" s="622"/>
      <c r="N6" s="622"/>
      <c r="O6" s="622"/>
      <c r="P6" s="622"/>
      <c r="Q6" s="622"/>
      <c r="R6" s="622"/>
    </row>
    <row r="7" spans="1:18">
      <c r="A7" s="285" t="s">
        <v>2835</v>
      </c>
      <c r="R7" s="661" t="s">
        <v>2984</v>
      </c>
    </row>
    <row r="8" spans="1:18">
      <c r="A8" s="625" t="str">
        <f>'General Headers Index'!B37</f>
        <v>TYPE OF FILING:___X___ORIGINAL______UPDATED</v>
      </c>
      <c r="R8" s="661" t="s">
        <v>1822</v>
      </c>
    </row>
    <row r="9" spans="1:18">
      <c r="A9" s="285" t="s">
        <v>58</v>
      </c>
      <c r="R9" s="661" t="str">
        <f>"WITNESS: "&amp;'General Headers Index'!$B$46</f>
        <v>WITNESS: SHAEFFER</v>
      </c>
    </row>
    <row r="10" spans="1:18">
      <c r="A10" s="1028"/>
      <c r="B10" s="861"/>
      <c r="C10" s="862"/>
      <c r="D10" s="862"/>
      <c r="E10" s="862"/>
      <c r="F10" s="862"/>
      <c r="G10" s="862"/>
      <c r="H10" s="862"/>
      <c r="I10" s="862"/>
      <c r="J10" s="862"/>
      <c r="K10" s="862"/>
      <c r="L10" s="862"/>
      <c r="M10" s="862"/>
      <c r="N10" s="862"/>
      <c r="O10" s="862"/>
      <c r="P10" s="862"/>
      <c r="Q10" s="862"/>
      <c r="R10" s="863"/>
    </row>
    <row r="11" spans="1:18">
      <c r="D11" s="205" t="s">
        <v>755</v>
      </c>
      <c r="Q11" s="205" t="s">
        <v>349</v>
      </c>
      <c r="R11" s="205" t="s">
        <v>351</v>
      </c>
    </row>
    <row r="12" spans="1:18">
      <c r="A12" s="205" t="s">
        <v>313</v>
      </c>
      <c r="B12" s="206" t="s">
        <v>958</v>
      </c>
      <c r="D12" s="205" t="s">
        <v>651</v>
      </c>
      <c r="E12" s="205" t="s">
        <v>2286</v>
      </c>
      <c r="F12" s="205" t="str">
        <f t="shared" ref="F12:P12" si="0">E12</f>
        <v>D-2.6</v>
      </c>
      <c r="G12" s="205" t="str">
        <f t="shared" si="0"/>
        <v>D-2.6</v>
      </c>
      <c r="H12" s="205" t="str">
        <f t="shared" si="0"/>
        <v>D-2.6</v>
      </c>
      <c r="I12" s="205" t="str">
        <f t="shared" si="0"/>
        <v>D-2.6</v>
      </c>
      <c r="J12" s="205" t="str">
        <f t="shared" si="0"/>
        <v>D-2.6</v>
      </c>
      <c r="K12" s="205" t="str">
        <f t="shared" si="0"/>
        <v>D-2.6</v>
      </c>
      <c r="L12" s="205" t="str">
        <f t="shared" si="0"/>
        <v>D-2.6</v>
      </c>
      <c r="M12" s="205" t="str">
        <f t="shared" si="0"/>
        <v>D-2.6</v>
      </c>
      <c r="N12" s="205" t="str">
        <f t="shared" si="0"/>
        <v>D-2.6</v>
      </c>
      <c r="O12" s="205" t="str">
        <f t="shared" si="0"/>
        <v>D-2.6</v>
      </c>
      <c r="P12" s="205" t="str">
        <f t="shared" si="0"/>
        <v>D-2.6</v>
      </c>
      <c r="Q12" s="205" t="s">
        <v>694</v>
      </c>
      <c r="R12" s="205" t="s">
        <v>651</v>
      </c>
    </row>
    <row r="13" spans="1:18">
      <c r="A13" s="1029" t="s">
        <v>316</v>
      </c>
      <c r="B13" s="1030" t="s">
        <v>959</v>
      </c>
      <c r="C13" s="1031"/>
      <c r="D13" s="1029" t="s">
        <v>319</v>
      </c>
      <c r="E13" s="1029" t="str">
        <f>'D-2.6'!A13</f>
        <v>ADJ 1</v>
      </c>
      <c r="F13" s="1029" t="str">
        <f>_xlfn.CONCAT('D-2.6'!A18," &amp; ",'D-2.6'!A23)</f>
        <v>ADJ 2.1 &amp; ADJ 2.2</v>
      </c>
      <c r="G13" s="1029" t="str">
        <f>'D-2.6'!A28</f>
        <v>ADJ 3</v>
      </c>
      <c r="H13" s="1033" t="str">
        <f>_xlfn.CONCAT('D-2.6'!A33," - ",'D-2.6'!A43)</f>
        <v>ADJ 4.1 - ADJ 4.3</v>
      </c>
      <c r="I13" s="1033" t="str">
        <f>'D-2.6'!A48</f>
        <v>ADJ 5</v>
      </c>
      <c r="J13" s="1029" t="str">
        <f>'D-2.6'!A65</f>
        <v>ADJ 6</v>
      </c>
      <c r="K13" s="1029" t="str">
        <f>'D-2.6'!A71</f>
        <v>ADJ 7.1</v>
      </c>
      <c r="L13" s="1029" t="str">
        <f>'D-2.6'!A77</f>
        <v>ADJ 7.2</v>
      </c>
      <c r="M13" s="1029" t="str">
        <f>'D-2.6'!A84</f>
        <v>ADJ 8.1</v>
      </c>
      <c r="N13" s="1029" t="str">
        <f>'D-2.6'!A91</f>
        <v>ADJ 8.2</v>
      </c>
      <c r="O13" s="1029" t="str">
        <f>'D-2.6'!A97</f>
        <v>ADJ 9</v>
      </c>
      <c r="P13" s="1029" t="str">
        <f>'D-2.6'!A103</f>
        <v>ADJ 10</v>
      </c>
      <c r="Q13" s="1029" t="s">
        <v>963</v>
      </c>
      <c r="R13" s="1029" t="s">
        <v>319</v>
      </c>
    </row>
    <row r="14" spans="1:18">
      <c r="A14" s="627"/>
      <c r="B14" s="830"/>
      <c r="C14" s="626"/>
      <c r="D14" s="831" t="s">
        <v>532</v>
      </c>
      <c r="E14" s="831" t="s">
        <v>541</v>
      </c>
      <c r="F14" s="831" t="s">
        <v>542</v>
      </c>
      <c r="G14" s="831" t="s">
        <v>669</v>
      </c>
      <c r="H14" s="831" t="s">
        <v>670</v>
      </c>
      <c r="I14" s="831" t="s">
        <v>984</v>
      </c>
      <c r="J14" s="831" t="s">
        <v>985</v>
      </c>
      <c r="K14" s="831" t="s">
        <v>986</v>
      </c>
      <c r="L14" s="831" t="s">
        <v>987</v>
      </c>
      <c r="M14" s="831" t="s">
        <v>988</v>
      </c>
      <c r="N14" s="831" t="s">
        <v>989</v>
      </c>
      <c r="O14" s="831" t="s">
        <v>990</v>
      </c>
      <c r="P14" s="831" t="s">
        <v>991</v>
      </c>
      <c r="Q14" s="831" t="s">
        <v>2330</v>
      </c>
      <c r="R14" s="831" t="s">
        <v>2331</v>
      </c>
    </row>
    <row r="15" spans="1:18">
      <c r="D15" s="537" t="s">
        <v>320</v>
      </c>
      <c r="E15" s="537" t="s">
        <v>320</v>
      </c>
      <c r="F15" s="537" t="s">
        <v>320</v>
      </c>
      <c r="G15" s="537" t="s">
        <v>320</v>
      </c>
      <c r="H15" s="537" t="s">
        <v>320</v>
      </c>
      <c r="I15" s="537" t="s">
        <v>320</v>
      </c>
      <c r="J15" s="537" t="s">
        <v>320</v>
      </c>
      <c r="K15" s="537" t="s">
        <v>320</v>
      </c>
      <c r="L15" s="537" t="s">
        <v>320</v>
      </c>
      <c r="M15" s="537" t="s">
        <v>320</v>
      </c>
      <c r="N15" s="537" t="s">
        <v>320</v>
      </c>
      <c r="O15" s="537" t="s">
        <v>320</v>
      </c>
      <c r="P15" s="537" t="s">
        <v>320</v>
      </c>
      <c r="Q15" s="537" t="s">
        <v>320</v>
      </c>
      <c r="R15" s="537" t="s">
        <v>320</v>
      </c>
    </row>
    <row r="16" spans="1:18">
      <c r="A16" s="205">
        <v>1</v>
      </c>
      <c r="B16" s="659" t="s">
        <v>761</v>
      </c>
    </row>
    <row r="17" spans="1:18">
      <c r="A17" s="205">
        <f t="shared" ref="A17:A23" si="1">A16+1</f>
        <v>2</v>
      </c>
      <c r="B17" s="214" t="s">
        <v>964</v>
      </c>
    </row>
    <row r="18" spans="1:18">
      <c r="A18" s="205">
        <f t="shared" si="1"/>
        <v>3</v>
      </c>
      <c r="B18" s="214" t="s">
        <v>1802</v>
      </c>
      <c r="C18" s="133" t="s">
        <v>142</v>
      </c>
      <c r="D18" s="1210">
        <f>SUM('C-2.1.B Oper Rev&amp;Exp by Accts'!F17:F18)</f>
        <v>88658517.700000018</v>
      </c>
      <c r="E18" s="1210">
        <v>0</v>
      </c>
      <c r="F18" s="1210">
        <v>0</v>
      </c>
      <c r="G18" s="1210">
        <v>0</v>
      </c>
      <c r="H18" s="1210">
        <f>'D-2.6'!$R$46*(D18/$D$23)</f>
        <v>-38552.223956003654</v>
      </c>
      <c r="I18" s="1210">
        <v>0</v>
      </c>
      <c r="J18" s="1210">
        <v>0</v>
      </c>
      <c r="K18" s="1210">
        <v>0</v>
      </c>
      <c r="L18" s="1210">
        <v>0</v>
      </c>
      <c r="M18" s="1210">
        <v>0</v>
      </c>
      <c r="N18" s="1210">
        <v>0</v>
      </c>
      <c r="O18" s="1210">
        <v>0</v>
      </c>
      <c r="P18" s="1210">
        <v>0</v>
      </c>
      <c r="Q18" s="1210">
        <f>SUM(E18:P18)</f>
        <v>-38552.223956003654</v>
      </c>
      <c r="R18" s="1210">
        <f>D18+Q18</f>
        <v>88619965.476044014</v>
      </c>
    </row>
    <row r="19" spans="1:18">
      <c r="A19" s="205">
        <f t="shared" si="1"/>
        <v>4</v>
      </c>
      <c r="B19" s="214" t="s">
        <v>1803</v>
      </c>
      <c r="C19" s="133" t="s">
        <v>143</v>
      </c>
      <c r="D19" s="1210">
        <f>SUM('C-2.1.B Oper Rev&amp;Exp by Accts'!F19:F20)</f>
        <v>37370258.980000004</v>
      </c>
      <c r="E19" s="1210">
        <v>0</v>
      </c>
      <c r="F19" s="1210">
        <v>0</v>
      </c>
      <c r="G19" s="1210">
        <v>0</v>
      </c>
      <c r="H19" s="1210">
        <f>'D-2.6'!$R$46*(D19/$D$23)</f>
        <v>-16250.064075804152</v>
      </c>
      <c r="I19" s="1210">
        <v>0</v>
      </c>
      <c r="J19" s="1210">
        <v>0</v>
      </c>
      <c r="K19" s="1210">
        <v>0</v>
      </c>
      <c r="L19" s="1210">
        <v>0</v>
      </c>
      <c r="M19" s="1210">
        <v>0</v>
      </c>
      <c r="N19" s="1210">
        <v>0</v>
      </c>
      <c r="O19" s="1210">
        <v>0</v>
      </c>
      <c r="P19" s="1210">
        <v>0</v>
      </c>
      <c r="Q19" s="1210">
        <f>SUM(E19:P19)</f>
        <v>-16250.064075804152</v>
      </c>
      <c r="R19" s="1210">
        <f>D19+Q19</f>
        <v>37354008.915924199</v>
      </c>
    </row>
    <row r="20" spans="1:18">
      <c r="A20" s="205">
        <f t="shared" si="1"/>
        <v>5</v>
      </c>
      <c r="B20" s="214" t="s">
        <v>1804</v>
      </c>
      <c r="C20" s="133" t="s">
        <v>144</v>
      </c>
      <c r="D20" s="1210">
        <f>SUM('C-2.1.B Oper Rev&amp;Exp by Accts'!F21:F22)</f>
        <v>1175359.8599999999</v>
      </c>
      <c r="E20" s="1210">
        <v>0</v>
      </c>
      <c r="F20" s="1210">
        <v>0</v>
      </c>
      <c r="G20" s="1210">
        <v>0</v>
      </c>
      <c r="H20" s="1210">
        <f>'D-2.6'!$R$46*(D20/$D$23)</f>
        <v>-511.09287327524407</v>
      </c>
      <c r="I20" s="1210">
        <v>0</v>
      </c>
      <c r="J20" s="1210">
        <v>0</v>
      </c>
      <c r="K20" s="1210">
        <v>0</v>
      </c>
      <c r="L20" s="1210">
        <v>0</v>
      </c>
      <c r="M20" s="1210">
        <v>0</v>
      </c>
      <c r="N20" s="1210">
        <v>0</v>
      </c>
      <c r="O20" s="1210">
        <v>0</v>
      </c>
      <c r="P20" s="1210">
        <v>0</v>
      </c>
      <c r="Q20" s="1210">
        <f>SUM(E20:P20)</f>
        <v>-511.09287327524407</v>
      </c>
      <c r="R20" s="1210">
        <f>D20+Q20</f>
        <v>1174848.7671267246</v>
      </c>
    </row>
    <row r="21" spans="1:18">
      <c r="A21" s="205">
        <f t="shared" si="1"/>
        <v>6</v>
      </c>
      <c r="B21" s="214" t="s">
        <v>1805</v>
      </c>
      <c r="C21" s="133" t="s">
        <v>364</v>
      </c>
      <c r="D21" s="1210">
        <f>SUM('C-2.1.B Oper Rev&amp;Exp by Accts'!F23:F24)</f>
        <v>0</v>
      </c>
      <c r="E21" s="1210">
        <v>0</v>
      </c>
      <c r="F21" s="1210">
        <v>0</v>
      </c>
      <c r="G21" s="1210">
        <v>0</v>
      </c>
      <c r="H21" s="1210">
        <f>'D-2.6'!$R$46*(D21/$D$23)</f>
        <v>0</v>
      </c>
      <c r="I21" s="1210">
        <v>0</v>
      </c>
      <c r="J21" s="1210">
        <v>0</v>
      </c>
      <c r="K21" s="1210">
        <v>0</v>
      </c>
      <c r="L21" s="1210">
        <v>0</v>
      </c>
      <c r="M21" s="1210">
        <v>0</v>
      </c>
      <c r="N21" s="1210">
        <v>0</v>
      </c>
      <c r="O21" s="1210">
        <v>0</v>
      </c>
      <c r="P21" s="1210">
        <v>0</v>
      </c>
      <c r="Q21" s="1210">
        <f>SUM(E21:P21)</f>
        <v>0</v>
      </c>
      <c r="R21" s="1210">
        <f>D21+Q21</f>
        <v>0</v>
      </c>
    </row>
    <row r="22" spans="1:18">
      <c r="A22" s="205">
        <f t="shared" si="1"/>
        <v>7</v>
      </c>
      <c r="B22" s="214" t="s">
        <v>1806</v>
      </c>
      <c r="C22" s="133" t="s">
        <v>904</v>
      </c>
      <c r="D22" s="1214">
        <f>'C-2.1.B Oper Rev&amp;Exp by Accts'!F25+'C-2.1.B Oper Rev&amp;Exp by Accts'!F26</f>
        <v>65884.3</v>
      </c>
      <c r="E22" s="1214">
        <v>0</v>
      </c>
      <c r="F22" s="1214">
        <v>0</v>
      </c>
      <c r="G22" s="1214">
        <v>0</v>
      </c>
      <c r="H22" s="1214">
        <f>'D-2.6'!$R$46*(D22/$D$23)</f>
        <v>-28.649094916962856</v>
      </c>
      <c r="I22" s="1214">
        <v>0</v>
      </c>
      <c r="J22" s="1214">
        <v>0</v>
      </c>
      <c r="K22" s="1214">
        <v>0</v>
      </c>
      <c r="L22" s="1214">
        <v>0</v>
      </c>
      <c r="M22" s="1214">
        <v>0</v>
      </c>
      <c r="N22" s="1214">
        <v>0</v>
      </c>
      <c r="O22" s="1214">
        <v>0</v>
      </c>
      <c r="P22" s="1214">
        <v>0</v>
      </c>
      <c r="Q22" s="1214">
        <f>SUM(E22:P22)</f>
        <v>-28.649094916962856</v>
      </c>
      <c r="R22" s="1214">
        <f>D22+Q22</f>
        <v>65855.650905083035</v>
      </c>
    </row>
    <row r="23" spans="1:18">
      <c r="A23" s="205">
        <f t="shared" si="1"/>
        <v>8</v>
      </c>
      <c r="B23" s="214" t="s">
        <v>965</v>
      </c>
      <c r="D23" s="1210">
        <f t="shared" ref="D23:R23" si="2">SUM(D18:D22)</f>
        <v>127270020.84000002</v>
      </c>
      <c r="E23" s="1210">
        <f>SUM(E18:E22)</f>
        <v>0</v>
      </c>
      <c r="F23" s="1210">
        <f>SUM(F18:F22)</f>
        <v>0</v>
      </c>
      <c r="G23" s="1210">
        <f t="shared" si="2"/>
        <v>0</v>
      </c>
      <c r="H23" s="1210">
        <f t="shared" si="2"/>
        <v>-55342.030000000013</v>
      </c>
      <c r="I23" s="1210">
        <f t="shared" si="2"/>
        <v>0</v>
      </c>
      <c r="J23" s="1210">
        <f t="shared" si="2"/>
        <v>0</v>
      </c>
      <c r="K23" s="1210">
        <f t="shared" si="2"/>
        <v>0</v>
      </c>
      <c r="L23" s="1210">
        <f t="shared" si="2"/>
        <v>0</v>
      </c>
      <c r="M23" s="1210">
        <f t="shared" si="2"/>
        <v>0</v>
      </c>
      <c r="N23" s="1210">
        <f t="shared" si="2"/>
        <v>0</v>
      </c>
      <c r="O23" s="1210">
        <f t="shared" si="2"/>
        <v>0</v>
      </c>
      <c r="P23" s="1210">
        <f t="shared" si="2"/>
        <v>0</v>
      </c>
      <c r="Q23" s="1210">
        <f t="shared" si="2"/>
        <v>-55342.030000000013</v>
      </c>
      <c r="R23" s="1210">
        <f t="shared" si="2"/>
        <v>127214678.81000003</v>
      </c>
    </row>
    <row r="24" spans="1:18">
      <c r="A24" s="205"/>
      <c r="D24" s="1210"/>
      <c r="E24" s="1210"/>
      <c r="F24" s="1210"/>
      <c r="G24" s="1210"/>
      <c r="H24" s="1210"/>
      <c r="I24" s="1210"/>
      <c r="J24" s="1210"/>
      <c r="K24" s="1210"/>
      <c r="L24" s="1210"/>
      <c r="M24" s="1210"/>
      <c r="N24" s="1210"/>
      <c r="O24" s="1210"/>
      <c r="P24" s="1210"/>
      <c r="Q24" s="1210"/>
      <c r="R24" s="1210"/>
    </row>
    <row r="25" spans="1:18">
      <c r="A25" s="205">
        <f>A23+1</f>
        <v>9</v>
      </c>
      <c r="B25" s="214" t="s">
        <v>966</v>
      </c>
      <c r="D25" s="1210"/>
      <c r="E25" s="1210"/>
      <c r="F25" s="1210"/>
      <c r="G25" s="1210"/>
      <c r="H25" s="1210"/>
      <c r="I25" s="1210"/>
      <c r="J25" s="1210"/>
      <c r="K25" s="1210"/>
      <c r="L25" s="1210"/>
      <c r="M25" s="1210"/>
      <c r="N25" s="1210"/>
      <c r="O25" s="1210"/>
      <c r="P25" s="1210"/>
      <c r="Q25" s="1210"/>
      <c r="R25" s="1210"/>
    </row>
    <row r="26" spans="1:18">
      <c r="A26" s="205">
        <f t="shared" ref="A26:A31" si="3">A25+1</f>
        <v>10</v>
      </c>
      <c r="B26" s="214" t="s">
        <v>1807</v>
      </c>
      <c r="C26" s="133" t="s">
        <v>905</v>
      </c>
      <c r="D26" s="1210">
        <f>'C-2.1.B Oper Rev&amp;Exp by Accts'!F30</f>
        <v>590096.80666666676</v>
      </c>
      <c r="E26" s="1210">
        <f>'D-2.6'!R16</f>
        <v>-407665.80666666676</v>
      </c>
      <c r="F26" s="1210">
        <v>0</v>
      </c>
      <c r="G26" s="1210">
        <v>0</v>
      </c>
      <c r="H26" s="1210">
        <v>0</v>
      </c>
      <c r="I26" s="1210">
        <v>0</v>
      </c>
      <c r="J26" s="1210">
        <v>0</v>
      </c>
      <c r="K26" s="1210">
        <v>0</v>
      </c>
      <c r="L26" s="1210">
        <v>0</v>
      </c>
      <c r="M26" s="1210">
        <v>0</v>
      </c>
      <c r="N26" s="1210">
        <v>0</v>
      </c>
      <c r="O26" s="1210">
        <v>0</v>
      </c>
      <c r="P26" s="1210">
        <v>0</v>
      </c>
      <c r="Q26" s="1210">
        <f>SUM(E26:P26)</f>
        <v>-407665.80666666676</v>
      </c>
      <c r="R26" s="1210">
        <f>D26+Q26</f>
        <v>182431</v>
      </c>
    </row>
    <row r="27" spans="1:18">
      <c r="A27" s="205">
        <f t="shared" si="3"/>
        <v>11</v>
      </c>
      <c r="B27" s="214" t="s">
        <v>1808</v>
      </c>
      <c r="C27" s="133" t="s">
        <v>1809</v>
      </c>
      <c r="D27" s="1210">
        <f>'C-2.1.B Oper Rev&amp;Exp by Accts'!F31</f>
        <v>128280.12333333342</v>
      </c>
      <c r="E27" s="1210">
        <v>0</v>
      </c>
      <c r="F27" s="1210">
        <v>0</v>
      </c>
      <c r="G27" s="1210">
        <v>0</v>
      </c>
      <c r="H27" s="1210">
        <v>0</v>
      </c>
      <c r="I27" s="1210">
        <v>0</v>
      </c>
      <c r="J27" s="1210">
        <v>0</v>
      </c>
      <c r="K27" s="1210">
        <v>0</v>
      </c>
      <c r="L27" s="1210">
        <v>0</v>
      </c>
      <c r="M27" s="1210">
        <v>0</v>
      </c>
      <c r="N27" s="1210">
        <v>0</v>
      </c>
      <c r="O27" s="1210">
        <v>0</v>
      </c>
      <c r="P27" s="1210">
        <v>0</v>
      </c>
      <c r="Q27" s="1210">
        <f>SUM(E27:P27)</f>
        <v>0</v>
      </c>
      <c r="R27" s="1210">
        <f>D27+Q27</f>
        <v>128280.12333333342</v>
      </c>
    </row>
    <row r="28" spans="1:18">
      <c r="A28" s="205">
        <f t="shared" si="3"/>
        <v>12</v>
      </c>
      <c r="B28" s="214" t="s">
        <v>1810</v>
      </c>
      <c r="C28" s="133" t="s">
        <v>1811</v>
      </c>
      <c r="D28" s="1210">
        <f>'C-2.1.B Oper Rev&amp;Exp by Accts'!F32+'C-2.1.B Oper Rev&amp;Exp by Accts'!F33+'C-2.1.B Oper Rev&amp;Exp by Accts'!F34</f>
        <v>22584729.709999997</v>
      </c>
      <c r="E28" s="1210">
        <v>0</v>
      </c>
      <c r="F28" s="1210">
        <v>0</v>
      </c>
      <c r="G28" s="1210">
        <v>0</v>
      </c>
      <c r="H28" s="1210">
        <v>0</v>
      </c>
      <c r="I28" s="1210">
        <v>0</v>
      </c>
      <c r="J28" s="1210">
        <v>0</v>
      </c>
      <c r="K28" s="1210">
        <v>0</v>
      </c>
      <c r="L28" s="1210">
        <v>0</v>
      </c>
      <c r="M28" s="1210">
        <v>0</v>
      </c>
      <c r="N28" s="1210">
        <v>0</v>
      </c>
      <c r="O28" s="1210">
        <v>0</v>
      </c>
      <c r="P28" s="1210">
        <v>0</v>
      </c>
      <c r="Q28" s="1210">
        <f>SUM(E28:P28)</f>
        <v>0</v>
      </c>
      <c r="R28" s="1210">
        <f>D28+Q28</f>
        <v>22584729.709999997</v>
      </c>
    </row>
    <row r="29" spans="1:18">
      <c r="A29" s="205">
        <f t="shared" si="3"/>
        <v>13</v>
      </c>
      <c r="B29" s="214" t="s">
        <v>1812</v>
      </c>
      <c r="C29" s="133" t="s">
        <v>907</v>
      </c>
      <c r="D29" s="1210">
        <f>'C-2.1.B Oper Rev&amp;Exp by Accts'!F35</f>
        <v>99708.809999999983</v>
      </c>
      <c r="E29" s="1210">
        <v>0</v>
      </c>
      <c r="F29" s="1210">
        <v>0</v>
      </c>
      <c r="G29" s="1210">
        <v>0</v>
      </c>
      <c r="H29" s="1210">
        <v>0</v>
      </c>
      <c r="I29" s="1210">
        <v>0</v>
      </c>
      <c r="J29" s="1210">
        <v>0</v>
      </c>
      <c r="K29" s="1210">
        <v>0</v>
      </c>
      <c r="L29" s="1210">
        <v>0</v>
      </c>
      <c r="M29" s="1210">
        <v>0</v>
      </c>
      <c r="N29" s="1210">
        <v>0</v>
      </c>
      <c r="O29" s="1210">
        <v>0</v>
      </c>
      <c r="P29" s="1210">
        <v>0</v>
      </c>
      <c r="Q29" s="1210">
        <f>SUM(E29:P29)</f>
        <v>0</v>
      </c>
      <c r="R29" s="1210">
        <f>D29+Q29</f>
        <v>99708.809999999983</v>
      </c>
    </row>
    <row r="30" spans="1:18">
      <c r="A30" s="205">
        <f t="shared" si="3"/>
        <v>14</v>
      </c>
      <c r="B30" s="214" t="s">
        <v>1813</v>
      </c>
      <c r="C30" s="133" t="s">
        <v>908</v>
      </c>
      <c r="D30" s="1214">
        <f>'C-2.1.B Oper Rev&amp;Exp by Accts'!F36</f>
        <v>147849.33666666667</v>
      </c>
      <c r="E30" s="1214">
        <v>0</v>
      </c>
      <c r="F30" s="1214">
        <v>0</v>
      </c>
      <c r="G30" s="1214">
        <v>0</v>
      </c>
      <c r="H30" s="1214">
        <v>0</v>
      </c>
      <c r="I30" s="1214">
        <v>0</v>
      </c>
      <c r="J30" s="1214">
        <v>0</v>
      </c>
      <c r="K30" s="1214">
        <v>0</v>
      </c>
      <c r="L30" s="1214">
        <v>0</v>
      </c>
      <c r="M30" s="1214">
        <v>0</v>
      </c>
      <c r="N30" s="1214">
        <v>0</v>
      </c>
      <c r="O30" s="1214">
        <v>0</v>
      </c>
      <c r="P30" s="1214">
        <v>0</v>
      </c>
      <c r="Q30" s="1214">
        <f>SUM(E30:P30)</f>
        <v>0</v>
      </c>
      <c r="R30" s="1214">
        <f>D30+Q30</f>
        <v>147849.33666666667</v>
      </c>
    </row>
    <row r="31" spans="1:18">
      <c r="A31" s="205">
        <f t="shared" si="3"/>
        <v>15</v>
      </c>
      <c r="B31" s="214" t="s">
        <v>775</v>
      </c>
      <c r="D31" s="1212">
        <f t="shared" ref="D31:R31" si="4">SUM(D26:D30)</f>
        <v>23550664.786666662</v>
      </c>
      <c r="E31" s="1212">
        <f t="shared" si="4"/>
        <v>-407665.80666666676</v>
      </c>
      <c r="F31" s="1212">
        <f t="shared" si="4"/>
        <v>0</v>
      </c>
      <c r="G31" s="1212">
        <f t="shared" si="4"/>
        <v>0</v>
      </c>
      <c r="H31" s="1212">
        <f t="shared" si="4"/>
        <v>0</v>
      </c>
      <c r="I31" s="1212">
        <f>SUM(I26:I30)</f>
        <v>0</v>
      </c>
      <c r="J31" s="1212">
        <f t="shared" si="4"/>
        <v>0</v>
      </c>
      <c r="K31" s="1212">
        <f t="shared" ref="K31:P31" si="5">SUM(K26:K30)</f>
        <v>0</v>
      </c>
      <c r="L31" s="1212">
        <f t="shared" si="5"/>
        <v>0</v>
      </c>
      <c r="M31" s="1212">
        <f t="shared" si="5"/>
        <v>0</v>
      </c>
      <c r="N31" s="1212">
        <f t="shared" si="5"/>
        <v>0</v>
      </c>
      <c r="O31" s="1212">
        <f t="shared" si="5"/>
        <v>0</v>
      </c>
      <c r="P31" s="1212">
        <f t="shared" si="5"/>
        <v>0</v>
      </c>
      <c r="Q31" s="1212">
        <f t="shared" si="4"/>
        <v>-407665.80666666676</v>
      </c>
      <c r="R31" s="1212">
        <f t="shared" si="4"/>
        <v>23142998.979999997</v>
      </c>
    </row>
    <row r="32" spans="1:18">
      <c r="A32" s="205"/>
      <c r="D32" s="1210"/>
      <c r="E32" s="1210"/>
      <c r="F32" s="1210"/>
      <c r="G32" s="1210"/>
      <c r="H32" s="1210"/>
      <c r="I32" s="1210"/>
      <c r="J32" s="1210"/>
      <c r="K32" s="1210"/>
      <c r="L32" s="1210"/>
      <c r="M32" s="1210"/>
      <c r="N32" s="1210"/>
      <c r="O32" s="1210"/>
      <c r="P32" s="1210"/>
      <c r="Q32" s="1210"/>
      <c r="R32" s="1210"/>
    </row>
    <row r="33" spans="1:18">
      <c r="A33" s="205">
        <f>A31+1</f>
        <v>16</v>
      </c>
      <c r="B33" s="214" t="s">
        <v>967</v>
      </c>
      <c r="D33" s="1210">
        <f>D23+D31</f>
        <v>150820685.62666667</v>
      </c>
      <c r="E33" s="1210">
        <f>E23+E31</f>
        <v>-407665.80666666676</v>
      </c>
      <c r="F33" s="1210">
        <f>F23+F31</f>
        <v>0</v>
      </c>
      <c r="G33" s="1210">
        <f t="shared" ref="G33:R33" si="6">G23+G31</f>
        <v>0</v>
      </c>
      <c r="H33" s="1210">
        <f t="shared" si="6"/>
        <v>-55342.030000000013</v>
      </c>
      <c r="I33" s="1210">
        <f t="shared" si="6"/>
        <v>0</v>
      </c>
      <c r="J33" s="1210">
        <f t="shared" si="6"/>
        <v>0</v>
      </c>
      <c r="K33" s="1210">
        <f t="shared" si="6"/>
        <v>0</v>
      </c>
      <c r="L33" s="1210">
        <f t="shared" si="6"/>
        <v>0</v>
      </c>
      <c r="M33" s="1210">
        <f t="shared" si="6"/>
        <v>0</v>
      </c>
      <c r="N33" s="1210">
        <f t="shared" si="6"/>
        <v>0</v>
      </c>
      <c r="O33" s="1210">
        <f t="shared" si="6"/>
        <v>0</v>
      </c>
      <c r="P33" s="1210">
        <f t="shared" si="6"/>
        <v>0</v>
      </c>
      <c r="Q33" s="1210">
        <f t="shared" si="6"/>
        <v>-463007.83666666679</v>
      </c>
      <c r="R33" s="1210">
        <f t="shared" si="6"/>
        <v>150357677.79000002</v>
      </c>
    </row>
    <row r="34" spans="1:18">
      <c r="A34" s="205"/>
      <c r="B34" s="214"/>
      <c r="D34" s="1213"/>
      <c r="E34" s="1213"/>
      <c r="F34" s="1213"/>
      <c r="G34" s="1213"/>
      <c r="H34" s="1213"/>
      <c r="I34" s="1213"/>
      <c r="J34" s="1213"/>
      <c r="K34" s="1213"/>
      <c r="L34" s="1213"/>
      <c r="M34" s="1213"/>
      <c r="N34" s="1213"/>
      <c r="O34" s="1213"/>
      <c r="P34" s="1213"/>
      <c r="Q34" s="1213"/>
      <c r="R34" s="1213"/>
    </row>
    <row r="35" spans="1:18">
      <c r="A35" s="205">
        <f>A33+1</f>
        <v>17</v>
      </c>
      <c r="B35" s="659" t="s">
        <v>776</v>
      </c>
      <c r="D35" s="1210"/>
      <c r="E35" s="1210"/>
      <c r="F35" s="1210"/>
      <c r="G35" s="1210"/>
      <c r="H35" s="1210"/>
      <c r="I35" s="1210"/>
      <c r="J35" s="1210"/>
      <c r="K35" s="1210"/>
      <c r="L35" s="1210"/>
      <c r="M35" s="1210"/>
      <c r="N35" s="1210"/>
      <c r="O35" s="1210"/>
      <c r="P35" s="1210"/>
      <c r="Q35" s="1210"/>
      <c r="R35" s="1210"/>
    </row>
    <row r="36" spans="1:18">
      <c r="A36" s="205">
        <f>A35+1</f>
        <v>18</v>
      </c>
      <c r="B36" s="214" t="s">
        <v>968</v>
      </c>
      <c r="D36" s="1210"/>
      <c r="E36" s="1210"/>
      <c r="F36" s="1210"/>
      <c r="G36" s="1210"/>
      <c r="H36" s="1210"/>
      <c r="I36" s="1210"/>
      <c r="J36" s="1210"/>
      <c r="K36" s="1210"/>
      <c r="L36" s="1210"/>
      <c r="M36" s="1210"/>
      <c r="N36" s="1210"/>
      <c r="O36" s="1210"/>
      <c r="P36" s="1210"/>
      <c r="Q36" s="1210"/>
      <c r="R36" s="1210"/>
    </row>
    <row r="37" spans="1:18">
      <c r="A37" s="205">
        <f t="shared" ref="A37:A43" si="7">A36+1</f>
        <v>19</v>
      </c>
      <c r="B37" s="214" t="s">
        <v>1814</v>
      </c>
      <c r="C37" s="133" t="s">
        <v>915</v>
      </c>
      <c r="D37" s="1210">
        <f>'C-2.1.B Oper Rev&amp;Exp by Accts'!F61</f>
        <v>17663997.75</v>
      </c>
      <c r="E37" s="1210">
        <v>0</v>
      </c>
      <c r="F37" s="1210">
        <v>0</v>
      </c>
      <c r="G37" s="1210">
        <v>0</v>
      </c>
      <c r="H37" s="1210">
        <v>0</v>
      </c>
      <c r="I37" s="1210">
        <v>0</v>
      </c>
      <c r="J37" s="1210">
        <v>0</v>
      </c>
      <c r="K37" s="1210">
        <v>0</v>
      </c>
      <c r="L37" s="1210">
        <v>0</v>
      </c>
      <c r="M37" s="1210">
        <v>0</v>
      </c>
      <c r="N37" s="1210">
        <v>0</v>
      </c>
      <c r="O37" s="1210">
        <v>0</v>
      </c>
      <c r="P37" s="1210">
        <v>0</v>
      </c>
      <c r="Q37" s="1210">
        <f t="shared" ref="Q37:Q43" si="8">SUM(E37:P37)</f>
        <v>0</v>
      </c>
      <c r="R37" s="1210">
        <f t="shared" ref="R37:R43" si="9">D37+Q37</f>
        <v>17663997.75</v>
      </c>
    </row>
    <row r="38" spans="1:18">
      <c r="A38" s="205">
        <f t="shared" si="7"/>
        <v>20</v>
      </c>
      <c r="B38" s="214" t="s">
        <v>1815</v>
      </c>
      <c r="C38" s="133" t="s">
        <v>916</v>
      </c>
      <c r="D38" s="1210">
        <f>'C-2.1.B Oper Rev&amp;Exp by Accts'!F62</f>
        <v>1158900.76</v>
      </c>
      <c r="E38" s="1210">
        <v>0</v>
      </c>
      <c r="F38" s="1210">
        <v>0</v>
      </c>
      <c r="G38" s="1210">
        <v>0</v>
      </c>
      <c r="H38" s="1210">
        <v>0</v>
      </c>
      <c r="I38" s="1210">
        <v>0</v>
      </c>
      <c r="J38" s="1210">
        <v>0</v>
      </c>
      <c r="K38" s="1210">
        <v>0</v>
      </c>
      <c r="L38" s="1210">
        <v>0</v>
      </c>
      <c r="M38" s="1210">
        <v>0</v>
      </c>
      <c r="N38" s="1210">
        <v>0</v>
      </c>
      <c r="O38" s="1210">
        <v>0</v>
      </c>
      <c r="P38" s="1210">
        <v>0</v>
      </c>
      <c r="Q38" s="1210">
        <f t="shared" si="8"/>
        <v>0</v>
      </c>
      <c r="R38" s="1210">
        <f t="shared" si="9"/>
        <v>1158900.76</v>
      </c>
    </row>
    <row r="39" spans="1:18">
      <c r="A39" s="205">
        <f t="shared" si="7"/>
        <v>21</v>
      </c>
      <c r="B39" s="214" t="s">
        <v>1816</v>
      </c>
      <c r="C39" s="133" t="s">
        <v>917</v>
      </c>
      <c r="D39" s="1210">
        <f>'C-2.1.B Oper Rev&amp;Exp by Accts'!F63</f>
        <v>15343424.85</v>
      </c>
      <c r="E39" s="1210">
        <v>0</v>
      </c>
      <c r="F39" s="1210">
        <v>0</v>
      </c>
      <c r="G39" s="1210">
        <v>0</v>
      </c>
      <c r="H39" s="1210">
        <v>0</v>
      </c>
      <c r="I39" s="1210">
        <v>0</v>
      </c>
      <c r="J39" s="1210">
        <v>0</v>
      </c>
      <c r="K39" s="1210">
        <v>0</v>
      </c>
      <c r="L39" s="1210">
        <v>0</v>
      </c>
      <c r="M39" s="1210">
        <v>0</v>
      </c>
      <c r="N39" s="1210">
        <v>0</v>
      </c>
      <c r="O39" s="1210">
        <v>0</v>
      </c>
      <c r="P39" s="1210">
        <v>0</v>
      </c>
      <c r="Q39" s="1210">
        <f t="shared" si="8"/>
        <v>0</v>
      </c>
      <c r="R39" s="1210">
        <f t="shared" si="9"/>
        <v>15343424.85</v>
      </c>
    </row>
    <row r="40" spans="1:18">
      <c r="A40" s="205">
        <f t="shared" si="7"/>
        <v>22</v>
      </c>
      <c r="B40" s="214" t="s">
        <v>1817</v>
      </c>
      <c r="C40" s="133" t="s">
        <v>918</v>
      </c>
      <c r="D40" s="1210">
        <f>'C-2.1.B Oper Rev&amp;Exp by Accts'!F64</f>
        <v>1674085.1700000004</v>
      </c>
      <c r="E40" s="1210">
        <v>0</v>
      </c>
      <c r="F40" s="1210">
        <v>0</v>
      </c>
      <c r="G40" s="1210">
        <v>0</v>
      </c>
      <c r="H40" s="1210">
        <v>0</v>
      </c>
      <c r="I40" s="1210">
        <v>0</v>
      </c>
      <c r="J40" s="1210">
        <v>0</v>
      </c>
      <c r="K40" s="1210">
        <v>0</v>
      </c>
      <c r="L40" s="1210">
        <v>0</v>
      </c>
      <c r="M40" s="1210">
        <v>0</v>
      </c>
      <c r="N40" s="1210">
        <v>0</v>
      </c>
      <c r="O40" s="1210">
        <v>0</v>
      </c>
      <c r="P40" s="1210">
        <v>0</v>
      </c>
      <c r="Q40" s="1210">
        <f t="shared" si="8"/>
        <v>0</v>
      </c>
      <c r="R40" s="1210">
        <f t="shared" si="9"/>
        <v>1674085.1700000004</v>
      </c>
    </row>
    <row r="41" spans="1:18">
      <c r="A41" s="205">
        <f t="shared" si="7"/>
        <v>23</v>
      </c>
      <c r="B41" s="214" t="s">
        <v>1818</v>
      </c>
      <c r="C41" s="133" t="s">
        <v>2140</v>
      </c>
      <c r="D41" s="1210">
        <f>'C-2.1.B Oper Rev&amp;Exp by Accts'!F66</f>
        <v>-386972.68999999971</v>
      </c>
      <c r="E41" s="1210">
        <v>0</v>
      </c>
      <c r="F41" s="1210">
        <v>0</v>
      </c>
      <c r="G41" s="1210">
        <v>0</v>
      </c>
      <c r="H41" s="1210">
        <v>0</v>
      </c>
      <c r="I41" s="1210">
        <v>0</v>
      </c>
      <c r="J41" s="1210">
        <v>0</v>
      </c>
      <c r="K41" s="1210">
        <v>0</v>
      </c>
      <c r="L41" s="1210">
        <v>0</v>
      </c>
      <c r="M41" s="1210">
        <v>0</v>
      </c>
      <c r="N41" s="1210">
        <v>0</v>
      </c>
      <c r="O41" s="1210">
        <v>0</v>
      </c>
      <c r="P41" s="1210">
        <v>0</v>
      </c>
      <c r="Q41" s="1210">
        <f t="shared" si="8"/>
        <v>0</v>
      </c>
      <c r="R41" s="1210">
        <f t="shared" si="9"/>
        <v>-386972.68999999971</v>
      </c>
    </row>
    <row r="42" spans="1:18">
      <c r="A42" s="205">
        <f t="shared" si="7"/>
        <v>24</v>
      </c>
      <c r="B42" s="206" t="s">
        <v>1819</v>
      </c>
      <c r="C42" s="133" t="s">
        <v>1108</v>
      </c>
      <c r="D42" s="1210">
        <f>'C-2.1.B Oper Rev&amp;Exp by Accts'!F67</f>
        <v>-40414.18</v>
      </c>
      <c r="E42" s="1210">
        <v>0</v>
      </c>
      <c r="F42" s="1210">
        <v>0</v>
      </c>
      <c r="G42" s="1210">
        <v>0</v>
      </c>
      <c r="H42" s="1210">
        <v>0</v>
      </c>
      <c r="I42" s="1210">
        <v>0</v>
      </c>
      <c r="J42" s="1210">
        <v>0</v>
      </c>
      <c r="K42" s="1210">
        <v>0</v>
      </c>
      <c r="L42" s="1210">
        <v>0</v>
      </c>
      <c r="M42" s="1210">
        <v>0</v>
      </c>
      <c r="N42" s="1210">
        <v>0</v>
      </c>
      <c r="O42" s="1210">
        <v>0</v>
      </c>
      <c r="P42" s="1210">
        <v>0</v>
      </c>
      <c r="Q42" s="1210">
        <f t="shared" si="8"/>
        <v>0</v>
      </c>
      <c r="R42" s="1210">
        <f t="shared" si="9"/>
        <v>-40414.18</v>
      </c>
    </row>
    <row r="43" spans="1:18">
      <c r="A43" s="205">
        <f t="shared" si="7"/>
        <v>25</v>
      </c>
      <c r="B43" s="214" t="s">
        <v>1820</v>
      </c>
      <c r="C43" s="133" t="s">
        <v>923</v>
      </c>
      <c r="D43" s="1214">
        <f>'C-2.1.B Oper Rev&amp;Exp by Accts'!F68</f>
        <v>0</v>
      </c>
      <c r="E43" s="1214">
        <v>0</v>
      </c>
      <c r="F43" s="1214">
        <v>0</v>
      </c>
      <c r="G43" s="1214">
        <v>0</v>
      </c>
      <c r="H43" s="1214">
        <v>0</v>
      </c>
      <c r="I43" s="1214">
        <v>0</v>
      </c>
      <c r="J43" s="1214">
        <v>0</v>
      </c>
      <c r="K43" s="1214">
        <v>0</v>
      </c>
      <c r="L43" s="1214">
        <v>0</v>
      </c>
      <c r="M43" s="1214">
        <v>0</v>
      </c>
      <c r="N43" s="1214">
        <v>0</v>
      </c>
      <c r="O43" s="1214">
        <v>0</v>
      </c>
      <c r="P43" s="1214">
        <v>0</v>
      </c>
      <c r="Q43" s="1214">
        <f t="shared" si="8"/>
        <v>0</v>
      </c>
      <c r="R43" s="1214">
        <f t="shared" si="9"/>
        <v>0</v>
      </c>
    </row>
    <row r="44" spans="1:18">
      <c r="A44" s="205">
        <f>A43+1</f>
        <v>26</v>
      </c>
      <c r="B44" s="214" t="s">
        <v>969</v>
      </c>
      <c r="D44" s="1212">
        <f t="shared" ref="D44:R44" si="10">SUM(D37:D43)</f>
        <v>35413021.660000004</v>
      </c>
      <c r="E44" s="1212">
        <f t="shared" si="10"/>
        <v>0</v>
      </c>
      <c r="F44" s="1212"/>
      <c r="G44" s="1212">
        <f t="shared" si="10"/>
        <v>0</v>
      </c>
      <c r="H44" s="1212">
        <f t="shared" si="10"/>
        <v>0</v>
      </c>
      <c r="I44" s="1212">
        <f>SUM(I37:I43)</f>
        <v>0</v>
      </c>
      <c r="J44" s="1212">
        <f t="shared" si="10"/>
        <v>0</v>
      </c>
      <c r="K44" s="1212">
        <f t="shared" si="10"/>
        <v>0</v>
      </c>
      <c r="L44" s="1212">
        <f>SUM(L37:L43)</f>
        <v>0</v>
      </c>
      <c r="M44" s="1212">
        <f>SUM(M37:M43)</f>
        <v>0</v>
      </c>
      <c r="N44" s="1212">
        <f>SUM(N37:N43)</f>
        <v>0</v>
      </c>
      <c r="O44" s="1212">
        <f>SUM(O37:O43)</f>
        <v>0</v>
      </c>
      <c r="P44" s="1212">
        <f>SUM(P37:P43)</f>
        <v>0</v>
      </c>
      <c r="Q44" s="1212">
        <f t="shared" si="10"/>
        <v>0</v>
      </c>
      <c r="R44" s="1212">
        <f t="shared" si="10"/>
        <v>35413021.660000004</v>
      </c>
    </row>
    <row r="45" spans="1:18">
      <c r="A45" s="205"/>
      <c r="D45" s="1210"/>
      <c r="E45" s="1210"/>
      <c r="F45" s="1210"/>
      <c r="G45" s="1210"/>
      <c r="H45" s="1210"/>
      <c r="I45" s="1210"/>
      <c r="J45" s="1210"/>
      <c r="K45" s="1210"/>
      <c r="L45" s="1210"/>
      <c r="M45" s="1210"/>
      <c r="N45" s="1210"/>
      <c r="O45" s="1210"/>
      <c r="P45" s="1210"/>
      <c r="Q45" s="1210"/>
      <c r="R45" s="1210"/>
    </row>
    <row r="46" spans="1:18">
      <c r="A46" s="205">
        <f>A44+1</f>
        <v>27</v>
      </c>
      <c r="B46" s="214" t="s">
        <v>970</v>
      </c>
      <c r="D46" s="1210">
        <f t="shared" ref="D46:R46" si="11">D33-D44</f>
        <v>115407663.96666667</v>
      </c>
      <c r="E46" s="1210">
        <f t="shared" si="11"/>
        <v>-407665.80666666676</v>
      </c>
      <c r="F46" s="1210">
        <f t="shared" si="11"/>
        <v>0</v>
      </c>
      <c r="G46" s="1210">
        <f t="shared" si="11"/>
        <v>0</v>
      </c>
      <c r="H46" s="1210">
        <f t="shared" si="11"/>
        <v>-55342.030000000013</v>
      </c>
      <c r="I46" s="1210">
        <f>I33-I44</f>
        <v>0</v>
      </c>
      <c r="J46" s="1210">
        <f t="shared" si="11"/>
        <v>0</v>
      </c>
      <c r="K46" s="1210">
        <f t="shared" si="11"/>
        <v>0</v>
      </c>
      <c r="L46" s="1210">
        <f>L33-L44</f>
        <v>0</v>
      </c>
      <c r="M46" s="1210">
        <f>M33-M44</f>
        <v>0</v>
      </c>
      <c r="N46" s="1210">
        <f>N33-N44</f>
        <v>0</v>
      </c>
      <c r="O46" s="1210">
        <f>O33-O44</f>
        <v>0</v>
      </c>
      <c r="P46" s="1210">
        <f>P33-P44</f>
        <v>0</v>
      </c>
      <c r="Q46" s="1210">
        <f t="shared" si="11"/>
        <v>-463007.83666666679</v>
      </c>
      <c r="R46" s="1210">
        <f t="shared" si="11"/>
        <v>114944656.13000003</v>
      </c>
    </row>
    <row r="47" spans="1:18">
      <c r="A47" s="205"/>
      <c r="D47" s="631"/>
      <c r="E47" s="631"/>
      <c r="F47" s="631"/>
      <c r="G47" s="631"/>
      <c r="H47" s="631"/>
      <c r="I47" s="631"/>
      <c r="J47" s="631"/>
      <c r="K47" s="631"/>
      <c r="L47" s="631"/>
      <c r="M47" s="631"/>
      <c r="N47" s="631"/>
      <c r="O47" s="631"/>
      <c r="P47" s="631"/>
      <c r="Q47" s="631"/>
      <c r="R47" s="631"/>
    </row>
    <row r="48" spans="1:18">
      <c r="A48" s="205"/>
      <c r="D48" s="631"/>
      <c r="E48" s="631"/>
      <c r="F48" s="631"/>
      <c r="G48" s="631"/>
      <c r="H48" s="631"/>
      <c r="I48" s="631"/>
      <c r="J48" s="631"/>
      <c r="K48" s="631"/>
      <c r="L48" s="631"/>
      <c r="M48" s="631"/>
      <c r="N48" s="631"/>
      <c r="O48" s="631"/>
      <c r="P48" s="631"/>
      <c r="Q48" s="631"/>
      <c r="R48" s="631"/>
    </row>
    <row r="49" spans="1:18">
      <c r="A49" s="205"/>
      <c r="D49" s="631"/>
      <c r="E49" s="631"/>
      <c r="F49" s="631"/>
      <c r="G49" s="631"/>
      <c r="H49" s="631"/>
      <c r="I49" s="631"/>
      <c r="J49" s="631"/>
      <c r="K49" s="631"/>
      <c r="L49" s="631"/>
      <c r="M49" s="631"/>
      <c r="N49" s="631"/>
      <c r="O49" s="631"/>
      <c r="P49" s="631"/>
      <c r="Q49" s="631"/>
      <c r="R49" s="631"/>
    </row>
    <row r="50" spans="1:18" ht="12.75" customHeight="1">
      <c r="A50" s="1328" t="str">
        <f>A1</f>
        <v>COLUMBIA GAS OF KENTUCKY, INC.</v>
      </c>
      <c r="B50" s="1328"/>
      <c r="C50" s="1328"/>
      <c r="D50" s="1328"/>
      <c r="E50" s="1328"/>
      <c r="F50" s="1328"/>
      <c r="G50" s="1328"/>
      <c r="H50" s="1328"/>
      <c r="I50" s="1328"/>
      <c r="J50" s="1328"/>
      <c r="K50" s="1328"/>
      <c r="L50" s="1328"/>
      <c r="M50" s="1328"/>
      <c r="N50" s="1328"/>
      <c r="O50" s="1328"/>
      <c r="P50" s="1328"/>
      <c r="Q50" s="1328"/>
      <c r="R50" s="1328"/>
    </row>
    <row r="51" spans="1:18" ht="12.75" customHeight="1">
      <c r="A51" s="1328" t="str">
        <f>A2</f>
        <v>CASE NO. 2024 - 00092</v>
      </c>
      <c r="B51" s="1328"/>
      <c r="C51" s="1328"/>
      <c r="D51" s="1328"/>
      <c r="E51" s="1328"/>
      <c r="F51" s="1328"/>
      <c r="G51" s="1328"/>
      <c r="H51" s="1328"/>
      <c r="I51" s="1328"/>
      <c r="J51" s="1328"/>
      <c r="K51" s="1328"/>
      <c r="L51" s="1328"/>
      <c r="M51" s="1328"/>
      <c r="N51" s="1328"/>
      <c r="O51" s="1328"/>
      <c r="P51" s="1328"/>
      <c r="Q51" s="1328"/>
      <c r="R51" s="1328"/>
    </row>
    <row r="52" spans="1:18" ht="12.75" customHeight="1">
      <c r="A52" s="1328" t="str">
        <f>A3</f>
        <v>SUMMARY OF ADJUSTMENTS TO OPERATING INCOME</v>
      </c>
      <c r="B52" s="1328"/>
      <c r="C52" s="1328"/>
      <c r="D52" s="1328"/>
      <c r="E52" s="1328"/>
      <c r="F52" s="1328"/>
      <c r="G52" s="1328"/>
      <c r="H52" s="1328"/>
      <c r="I52" s="1328"/>
      <c r="J52" s="1328"/>
      <c r="K52" s="1328"/>
      <c r="L52" s="1328"/>
      <c r="M52" s="1328"/>
      <c r="N52" s="1328"/>
      <c r="O52" s="1328"/>
      <c r="P52" s="1328"/>
      <c r="Q52" s="1328"/>
      <c r="R52" s="1328"/>
    </row>
    <row r="53" spans="1:18" ht="12.75" customHeight="1">
      <c r="A53" s="1328" t="str">
        <f>A4</f>
        <v>OPERATING INCOME BY MAJOR ACCOUNTS</v>
      </c>
      <c r="B53" s="1328"/>
      <c r="C53" s="1328"/>
      <c r="D53" s="1328"/>
      <c r="E53" s="1328"/>
      <c r="F53" s="1328"/>
      <c r="G53" s="1328"/>
      <c r="H53" s="1328"/>
      <c r="I53" s="1328"/>
      <c r="J53" s="1328"/>
      <c r="K53" s="1328"/>
      <c r="L53" s="1328"/>
      <c r="M53" s="1328"/>
      <c r="N53" s="1328"/>
      <c r="O53" s="1328"/>
      <c r="P53" s="1328"/>
      <c r="Q53" s="1328"/>
      <c r="R53" s="1328"/>
    </row>
    <row r="54" spans="1:18" ht="12.75" customHeight="1">
      <c r="A54" s="1328" t="str">
        <f>A5</f>
        <v>FOR THE TWELVE MONTHS ENDED AUGUST 31, 2024 AND THE TWELVE MONTHS ENDED DECEMBER 31, 2025</v>
      </c>
      <c r="B54" s="1328"/>
      <c r="C54" s="1328"/>
      <c r="D54" s="1328"/>
      <c r="E54" s="1328"/>
      <c r="F54" s="1328"/>
      <c r="G54" s="1328"/>
      <c r="H54" s="1328"/>
      <c r="I54" s="1328"/>
      <c r="J54" s="1328"/>
      <c r="K54" s="1328"/>
      <c r="L54" s="1328"/>
      <c r="M54" s="1328"/>
      <c r="N54" s="1328"/>
      <c r="O54" s="1328"/>
      <c r="P54" s="1328"/>
      <c r="Q54" s="1328"/>
      <c r="R54" s="1328"/>
    </row>
    <row r="55" spans="1:18" ht="12.75" customHeight="1">
      <c r="A55" s="622"/>
      <c r="B55" s="622"/>
      <c r="C55" s="622"/>
      <c r="D55" s="622"/>
      <c r="E55" s="622"/>
      <c r="F55" s="622"/>
      <c r="G55" s="622"/>
      <c r="H55" s="622"/>
      <c r="I55" s="622"/>
      <c r="J55" s="622"/>
      <c r="K55" s="622"/>
      <c r="L55" s="622"/>
      <c r="M55" s="622"/>
      <c r="N55" s="622"/>
      <c r="O55" s="622"/>
      <c r="P55" s="622"/>
      <c r="Q55" s="622"/>
      <c r="R55" s="622"/>
    </row>
    <row r="56" spans="1:18">
      <c r="A56" s="625" t="str">
        <f>A7</f>
        <v>DATA:_______BASE PERIOD___X___FORECASTED PERIOD</v>
      </c>
      <c r="R56" s="661" t="str">
        <f>R7</f>
        <v>SCHEDULE D-1.B</v>
      </c>
    </row>
    <row r="57" spans="1:18">
      <c r="A57" s="625" t="str">
        <f>A8</f>
        <v>TYPE OF FILING:___X___ORIGINAL______UPDATED</v>
      </c>
      <c r="R57" s="661" t="s">
        <v>1823</v>
      </c>
    </row>
    <row r="58" spans="1:18">
      <c r="A58" s="285" t="s">
        <v>58</v>
      </c>
      <c r="R58" s="661" t="str">
        <f>"WITNESS: "&amp;'General Headers Index'!$B$46</f>
        <v>WITNESS: SHAEFFER</v>
      </c>
    </row>
    <row r="59" spans="1:18">
      <c r="A59" s="1034"/>
      <c r="B59" s="1035"/>
      <c r="C59" s="1036"/>
      <c r="D59" s="1036"/>
      <c r="E59" s="1036"/>
      <c r="F59" s="1036"/>
      <c r="G59" s="1036"/>
      <c r="H59" s="1036"/>
      <c r="I59" s="1036"/>
      <c r="J59" s="1036"/>
      <c r="K59" s="1036"/>
      <c r="L59" s="1036"/>
      <c r="M59" s="1036"/>
      <c r="N59" s="1036"/>
      <c r="O59" s="1036"/>
      <c r="P59" s="1036"/>
      <c r="Q59" s="1036"/>
      <c r="R59" s="1037"/>
    </row>
    <row r="60" spans="1:18">
      <c r="D60" s="205" t="s">
        <v>755</v>
      </c>
      <c r="E60" s="626"/>
      <c r="F60" s="626"/>
      <c r="G60" s="626"/>
      <c r="H60" s="626"/>
      <c r="I60" s="626"/>
      <c r="J60" s="626"/>
      <c r="K60" s="626"/>
      <c r="L60" s="626"/>
      <c r="M60" s="626"/>
      <c r="N60" s="626"/>
      <c r="O60" s="626"/>
      <c r="P60" s="626"/>
      <c r="Q60" s="627" t="s">
        <v>349</v>
      </c>
      <c r="R60" s="205" t="s">
        <v>351</v>
      </c>
    </row>
    <row r="61" spans="1:18">
      <c r="A61" s="205" t="s">
        <v>313</v>
      </c>
      <c r="B61" s="206" t="s">
        <v>958</v>
      </c>
      <c r="D61" s="205" t="s">
        <v>651</v>
      </c>
      <c r="E61" s="205" t="str">
        <f t="shared" ref="E61:J61" si="12">E12</f>
        <v>D-2.6</v>
      </c>
      <c r="F61" s="205" t="str">
        <f>F12</f>
        <v>D-2.6</v>
      </c>
      <c r="G61" s="205" t="str">
        <f t="shared" si="12"/>
        <v>D-2.6</v>
      </c>
      <c r="H61" s="205" t="str">
        <f t="shared" si="12"/>
        <v>D-2.6</v>
      </c>
      <c r="I61" s="205" t="str">
        <f>I12</f>
        <v>D-2.6</v>
      </c>
      <c r="J61" s="205" t="str">
        <f t="shared" si="12"/>
        <v>D-2.6</v>
      </c>
      <c r="K61" s="205" t="str">
        <f t="shared" ref="K61:P61" si="13">K12</f>
        <v>D-2.6</v>
      </c>
      <c r="L61" s="205" t="str">
        <f t="shared" si="13"/>
        <v>D-2.6</v>
      </c>
      <c r="M61" s="205" t="str">
        <f t="shared" si="13"/>
        <v>D-2.6</v>
      </c>
      <c r="N61" s="205" t="str">
        <f t="shared" si="13"/>
        <v>D-2.6</v>
      </c>
      <c r="O61" s="205" t="str">
        <f t="shared" si="13"/>
        <v>D-2.6</v>
      </c>
      <c r="P61" s="205" t="str">
        <f t="shared" si="13"/>
        <v>D-2.6</v>
      </c>
      <c r="Q61" s="205" t="s">
        <v>694</v>
      </c>
      <c r="R61" s="205" t="s">
        <v>651</v>
      </c>
    </row>
    <row r="62" spans="1:18">
      <c r="A62" s="1029" t="s">
        <v>316</v>
      </c>
      <c r="B62" s="1030" t="s">
        <v>959</v>
      </c>
      <c r="C62" s="1031"/>
      <c r="D62" s="1029" t="s">
        <v>319</v>
      </c>
      <c r="E62" s="1029" t="str">
        <f>IFERROR(E13," ")</f>
        <v>ADJ 1</v>
      </c>
      <c r="F62" s="1029" t="str">
        <f>IFERROR(F13," ")</f>
        <v>ADJ 2.1 &amp; ADJ 2.2</v>
      </c>
      <c r="G62" s="1029" t="str">
        <f>IFERROR(G13," ")</f>
        <v>ADJ 3</v>
      </c>
      <c r="H62" s="1033" t="str">
        <f t="shared" ref="H62:P62" si="14">_xlfn.IFNA(H13," ")</f>
        <v>ADJ 4.1 - ADJ 4.3</v>
      </c>
      <c r="I62" s="1033" t="str">
        <f t="shared" si="14"/>
        <v>ADJ 5</v>
      </c>
      <c r="J62" s="1029" t="str">
        <f t="shared" si="14"/>
        <v>ADJ 6</v>
      </c>
      <c r="K62" s="1029" t="str">
        <f t="shared" si="14"/>
        <v>ADJ 7.1</v>
      </c>
      <c r="L62" s="1029" t="str">
        <f t="shared" si="14"/>
        <v>ADJ 7.2</v>
      </c>
      <c r="M62" s="1029" t="str">
        <f t="shared" si="14"/>
        <v>ADJ 8.1</v>
      </c>
      <c r="N62" s="1029" t="str">
        <f t="shared" si="14"/>
        <v>ADJ 8.2</v>
      </c>
      <c r="O62" s="1029" t="str">
        <f t="shared" si="14"/>
        <v>ADJ 9</v>
      </c>
      <c r="P62" s="1029" t="str">
        <f t="shared" si="14"/>
        <v>ADJ 10</v>
      </c>
      <c r="Q62" s="1029" t="s">
        <v>963</v>
      </c>
      <c r="R62" s="1029" t="s">
        <v>319</v>
      </c>
    </row>
    <row r="63" spans="1:18">
      <c r="A63" s="205"/>
      <c r="B63" s="206"/>
      <c r="D63" s="207" t="s">
        <v>532</v>
      </c>
      <c r="E63" s="207" t="s">
        <v>541</v>
      </c>
      <c r="F63" s="207" t="s">
        <v>542</v>
      </c>
      <c r="G63" s="207" t="s">
        <v>669</v>
      </c>
      <c r="H63" s="207" t="s">
        <v>670</v>
      </c>
      <c r="I63" s="207" t="s">
        <v>984</v>
      </c>
      <c r="J63" s="207" t="s">
        <v>985</v>
      </c>
      <c r="K63" s="207" t="s">
        <v>986</v>
      </c>
      <c r="L63" s="207" t="s">
        <v>987</v>
      </c>
      <c r="M63" s="207" t="s">
        <v>988</v>
      </c>
      <c r="N63" s="207" t="s">
        <v>989</v>
      </c>
      <c r="O63" s="207" t="s">
        <v>990</v>
      </c>
      <c r="P63" s="207" t="s">
        <v>991</v>
      </c>
      <c r="Q63" s="207" t="s">
        <v>2330</v>
      </c>
      <c r="R63" s="207" t="s">
        <v>2331</v>
      </c>
    </row>
    <row r="64" spans="1:18">
      <c r="A64" s="205"/>
      <c r="B64" s="206"/>
      <c r="D64" s="537" t="s">
        <v>320</v>
      </c>
      <c r="E64" s="537" t="s">
        <v>320</v>
      </c>
      <c r="F64" s="537" t="s">
        <v>320</v>
      </c>
      <c r="G64" s="537" t="s">
        <v>320</v>
      </c>
      <c r="H64" s="537" t="s">
        <v>320</v>
      </c>
      <c r="I64" s="537" t="s">
        <v>320</v>
      </c>
      <c r="J64" s="537" t="s">
        <v>320</v>
      </c>
      <c r="K64" s="537" t="s">
        <v>320</v>
      </c>
      <c r="L64" s="537" t="s">
        <v>320</v>
      </c>
      <c r="M64" s="537" t="s">
        <v>320</v>
      </c>
      <c r="N64" s="537" t="s">
        <v>320</v>
      </c>
      <c r="O64" s="537" t="s">
        <v>320</v>
      </c>
      <c r="P64" s="537" t="s">
        <v>320</v>
      </c>
      <c r="Q64" s="537" t="s">
        <v>320</v>
      </c>
      <c r="R64" s="537" t="s">
        <v>320</v>
      </c>
    </row>
    <row r="66" spans="1:18">
      <c r="A66" s="205">
        <v>1</v>
      </c>
      <c r="B66" s="660" t="s">
        <v>1796</v>
      </c>
      <c r="C66" s="133" t="s">
        <v>1797</v>
      </c>
      <c r="D66" s="1210">
        <f>'C-2.1.B Oper Rev&amp;Exp by Accts'!F57</f>
        <v>0</v>
      </c>
      <c r="E66" s="1210">
        <v>0</v>
      </c>
      <c r="F66" s="1210">
        <v>0</v>
      </c>
      <c r="G66" s="1210">
        <v>0</v>
      </c>
      <c r="H66" s="1210">
        <v>0</v>
      </c>
      <c r="I66" s="1210">
        <v>0</v>
      </c>
      <c r="J66" s="1210">
        <v>0</v>
      </c>
      <c r="K66" s="1210">
        <v>0</v>
      </c>
      <c r="L66" s="1210">
        <v>0</v>
      </c>
      <c r="M66" s="1210">
        <v>0</v>
      </c>
      <c r="N66" s="1210">
        <v>0</v>
      </c>
      <c r="O66" s="1210">
        <v>0</v>
      </c>
      <c r="P66" s="1210">
        <v>0</v>
      </c>
      <c r="Q66" s="1210">
        <f t="shared" ref="Q66:Q105" si="15">SUM(E66:P66)</f>
        <v>0</v>
      </c>
      <c r="R66" s="1210">
        <f t="shared" ref="R66:R106" si="16">D66+Q66</f>
        <v>0</v>
      </c>
    </row>
    <row r="67" spans="1:18">
      <c r="A67" s="205">
        <f t="shared" ref="A67:A72" si="17">A66+1</f>
        <v>2</v>
      </c>
      <c r="B67" s="206">
        <v>807</v>
      </c>
      <c r="C67" s="133" t="s">
        <v>920</v>
      </c>
      <c r="D67" s="1210">
        <f>'C-2.1.B Oper Rev&amp;Exp by Accts'!F65</f>
        <v>409337.99999999994</v>
      </c>
      <c r="E67" s="1210">
        <v>0</v>
      </c>
      <c r="F67" s="1210">
        <v>0</v>
      </c>
      <c r="G67" s="1210">
        <v>0</v>
      </c>
      <c r="H67" s="1210">
        <v>0</v>
      </c>
      <c r="I67" s="1210">
        <v>0</v>
      </c>
      <c r="J67" s="1210">
        <v>0</v>
      </c>
      <c r="K67" s="1210">
        <v>0</v>
      </c>
      <c r="L67" s="1210">
        <v>0</v>
      </c>
      <c r="M67" s="1210">
        <f>'INPUT - FTP O&amp;M Excld Allocates'!I349</f>
        <v>-8.4412189087037337</v>
      </c>
      <c r="N67" s="1210">
        <f>'INPUT - FTP O&amp;M Excld Allocates'!R349</f>
        <v>-66.385545125994838</v>
      </c>
      <c r="O67" s="1210">
        <v>0</v>
      </c>
      <c r="P67" s="1210">
        <v>0</v>
      </c>
      <c r="Q67" s="1210">
        <f t="shared" si="15"/>
        <v>-74.82676403469857</v>
      </c>
      <c r="R67" s="1210">
        <f t="shared" si="16"/>
        <v>409263.17323596525</v>
      </c>
    </row>
    <row r="68" spans="1:18">
      <c r="A68" s="205">
        <f t="shared" si="17"/>
        <v>3</v>
      </c>
      <c r="B68" s="206" t="s">
        <v>1106</v>
      </c>
      <c r="C68" s="133" t="s">
        <v>1077</v>
      </c>
      <c r="D68" s="1210">
        <f>'C-2.1.B Oper Rev&amp;Exp by Accts'!F43</f>
        <v>2561.7199999999998</v>
      </c>
      <c r="E68" s="1210">
        <v>0</v>
      </c>
      <c r="F68" s="1210">
        <v>0</v>
      </c>
      <c r="G68" s="1210">
        <v>0</v>
      </c>
      <c r="H68" s="1210">
        <v>0</v>
      </c>
      <c r="I68" s="1210">
        <v>0</v>
      </c>
      <c r="J68" s="1210">
        <v>0</v>
      </c>
      <c r="K68" s="1210">
        <v>0</v>
      </c>
      <c r="L68" s="1210">
        <v>0</v>
      </c>
      <c r="M68" s="1210">
        <v>0</v>
      </c>
      <c r="N68" s="1210">
        <v>0</v>
      </c>
      <c r="O68" s="1210">
        <v>0</v>
      </c>
      <c r="P68" s="1210">
        <v>0</v>
      </c>
      <c r="Q68" s="1210">
        <f t="shared" si="15"/>
        <v>0</v>
      </c>
      <c r="R68" s="1210">
        <f t="shared" si="16"/>
        <v>2561.7199999999998</v>
      </c>
    </row>
    <row r="69" spans="1:18">
      <c r="A69" s="205">
        <f t="shared" si="17"/>
        <v>4</v>
      </c>
      <c r="B69" s="206" t="s">
        <v>1798</v>
      </c>
      <c r="C69" s="133" t="s">
        <v>931</v>
      </c>
      <c r="D69" s="1210">
        <f>'C-2.1.B Oper Rev&amp;Exp by Accts'!F44</f>
        <v>989.91000000000031</v>
      </c>
      <c r="E69" s="1210">
        <v>0</v>
      </c>
      <c r="F69" s="1210">
        <v>0</v>
      </c>
      <c r="G69" s="1210">
        <v>0</v>
      </c>
      <c r="H69" s="1210">
        <v>0</v>
      </c>
      <c r="I69" s="1210">
        <v>0</v>
      </c>
      <c r="J69" s="1210">
        <v>0</v>
      </c>
      <c r="K69" s="1210">
        <v>0</v>
      </c>
      <c r="L69" s="1210">
        <f>'INPUT - FTP O&amp;M Excld Allocates'!H875</f>
        <v>-0.73102890731023995</v>
      </c>
      <c r="M69" s="1210">
        <v>0</v>
      </c>
      <c r="N69" s="1210">
        <v>0</v>
      </c>
      <c r="O69" s="1210">
        <v>0</v>
      </c>
      <c r="P69" s="1210">
        <v>0</v>
      </c>
      <c r="Q69" s="1210">
        <f t="shared" si="15"/>
        <v>-0.73102890731023995</v>
      </c>
      <c r="R69" s="1210">
        <f t="shared" si="16"/>
        <v>989.17897109269006</v>
      </c>
    </row>
    <row r="70" spans="1:18">
      <c r="A70" s="205">
        <f t="shared" si="17"/>
        <v>5</v>
      </c>
      <c r="B70" s="206" t="s">
        <v>1799</v>
      </c>
      <c r="C70" s="133" t="s">
        <v>1495</v>
      </c>
      <c r="D70" s="1210">
        <f>'C-2.1.B Oper Rev&amp;Exp by Accts'!F48</f>
        <v>831.12999999999988</v>
      </c>
      <c r="E70" s="1210">
        <v>0</v>
      </c>
      <c r="F70" s="1210">
        <v>0</v>
      </c>
      <c r="G70" s="1210">
        <v>0</v>
      </c>
      <c r="H70" s="1210">
        <v>0</v>
      </c>
      <c r="I70" s="1210">
        <v>0</v>
      </c>
      <c r="J70" s="1210">
        <v>0</v>
      </c>
      <c r="K70" s="1210">
        <v>0</v>
      </c>
      <c r="L70" s="1210">
        <v>0</v>
      </c>
      <c r="M70" s="1210">
        <v>0</v>
      </c>
      <c r="N70" s="1210">
        <v>0</v>
      </c>
      <c r="O70" s="1210">
        <v>0</v>
      </c>
      <c r="P70" s="1210">
        <v>0</v>
      </c>
      <c r="Q70" s="1210">
        <f t="shared" si="15"/>
        <v>0</v>
      </c>
      <c r="R70" s="1210">
        <f t="shared" si="16"/>
        <v>831.12999999999988</v>
      </c>
    </row>
    <row r="71" spans="1:18">
      <c r="A71" s="205">
        <f t="shared" si="17"/>
        <v>6</v>
      </c>
      <c r="B71" s="206">
        <v>870</v>
      </c>
      <c r="C71" s="133" t="s">
        <v>924</v>
      </c>
      <c r="D71" s="1210">
        <f>'C-2.1.B Oper Rev&amp;Exp by Accts'!F72</f>
        <v>887854.48999999987</v>
      </c>
      <c r="E71" s="1210">
        <v>0</v>
      </c>
      <c r="F71" s="1210">
        <v>0</v>
      </c>
      <c r="G71" s="1210">
        <v>0</v>
      </c>
      <c r="H71" s="1210">
        <v>0</v>
      </c>
      <c r="I71" s="1210">
        <v>0</v>
      </c>
      <c r="J71" s="1210">
        <v>0</v>
      </c>
      <c r="K71" s="1210">
        <v>0</v>
      </c>
      <c r="L71" s="1210">
        <f>'INPUT - FTP O&amp;M Excld Allocates'!H449+'INPUT - FTP O&amp;M Excld Allocates'!H876</f>
        <v>-37.741812889919807</v>
      </c>
      <c r="M71" s="1210">
        <f>'INPUT - FTP O&amp;M Excld Allocates'!I352</f>
        <v>-9.9426832957024178</v>
      </c>
      <c r="N71" s="1210">
        <f>'INPUT - FTP O&amp;M Excld Allocates'!R352</f>
        <v>-78.193736916329755</v>
      </c>
      <c r="O71" s="1210">
        <v>0</v>
      </c>
      <c r="P71" s="1210">
        <v>0</v>
      </c>
      <c r="Q71" s="1210">
        <f t="shared" si="15"/>
        <v>-125.87823310195198</v>
      </c>
      <c r="R71" s="1210">
        <f t="shared" si="16"/>
        <v>887728.61176689796</v>
      </c>
    </row>
    <row r="72" spans="1:18">
      <c r="A72" s="205">
        <f t="shared" si="17"/>
        <v>7</v>
      </c>
      <c r="B72" s="206">
        <v>871</v>
      </c>
      <c r="C72" s="133" t="s">
        <v>925</v>
      </c>
      <c r="D72" s="1210">
        <f>'C-2.1.B Oper Rev&amp;Exp by Accts'!F73</f>
        <v>233563.39</v>
      </c>
      <c r="E72" s="1210">
        <v>0</v>
      </c>
      <c r="F72" s="1210">
        <v>0</v>
      </c>
      <c r="G72" s="1210">
        <v>0</v>
      </c>
      <c r="H72" s="1210">
        <v>0</v>
      </c>
      <c r="I72" s="1210">
        <v>0</v>
      </c>
      <c r="J72" s="1210">
        <v>0</v>
      </c>
      <c r="K72" s="1210">
        <v>0</v>
      </c>
      <c r="L72" s="1210">
        <v>0</v>
      </c>
      <c r="M72" s="1210">
        <v>0</v>
      </c>
      <c r="N72" s="1210">
        <v>0</v>
      </c>
      <c r="O72" s="1210">
        <v>0</v>
      </c>
      <c r="P72" s="1210">
        <v>0</v>
      </c>
      <c r="Q72" s="1210">
        <f t="shared" si="15"/>
        <v>0</v>
      </c>
      <c r="R72" s="1210">
        <f t="shared" si="16"/>
        <v>233563.39</v>
      </c>
    </row>
    <row r="73" spans="1:18">
      <c r="A73" s="205">
        <f t="shared" ref="A73:A106" si="18">A72+1</f>
        <v>8</v>
      </c>
      <c r="B73" s="206">
        <v>874</v>
      </c>
      <c r="C73" s="133" t="s">
        <v>926</v>
      </c>
      <c r="D73" s="1210">
        <f>'C-2.1.B Oper Rev&amp;Exp by Accts'!F74</f>
        <v>5830676.4100000001</v>
      </c>
      <c r="E73" s="1210">
        <v>0</v>
      </c>
      <c r="F73" s="1210">
        <v>0</v>
      </c>
      <c r="G73" s="1210">
        <v>0</v>
      </c>
      <c r="H73" s="1210">
        <v>0</v>
      </c>
      <c r="I73" s="1210">
        <v>0</v>
      </c>
      <c r="J73" s="1210">
        <v>0</v>
      </c>
      <c r="K73" s="1210">
        <v>0</v>
      </c>
      <c r="L73" s="1210">
        <f>'INPUT - FTP O&amp;M Excld Allocates'!H451+'INPUT - FTP O&amp;M Excld Allocates'!H878</f>
        <v>-376.50332211356078</v>
      </c>
      <c r="M73" s="1210">
        <f>'INPUT - FTP O&amp;M Excld Allocates'!I354</f>
        <v>-3.9910792865715972</v>
      </c>
      <c r="N73" s="1210">
        <f>'INPUT - FTP O&amp;M Excld Allocates'!R354</f>
        <v>-31.387644005646195</v>
      </c>
      <c r="O73" s="1210">
        <v>0</v>
      </c>
      <c r="P73" s="1210">
        <v>0</v>
      </c>
      <c r="Q73" s="1210">
        <f t="shared" si="15"/>
        <v>-411.88204540577863</v>
      </c>
      <c r="R73" s="1210">
        <f t="shared" si="16"/>
        <v>5830264.5279545942</v>
      </c>
    </row>
    <row r="74" spans="1:18">
      <c r="A74" s="205">
        <f t="shared" si="18"/>
        <v>9</v>
      </c>
      <c r="B74" s="206">
        <v>875</v>
      </c>
      <c r="C74" s="133" t="s">
        <v>927</v>
      </c>
      <c r="D74" s="1210">
        <f>'C-2.1.B Oper Rev&amp;Exp by Accts'!F75</f>
        <v>282380.78999999998</v>
      </c>
      <c r="E74" s="1210">
        <v>0</v>
      </c>
      <c r="F74" s="1210">
        <v>0</v>
      </c>
      <c r="G74" s="1210">
        <v>0</v>
      </c>
      <c r="H74" s="1210">
        <v>0</v>
      </c>
      <c r="I74" s="1210">
        <v>0</v>
      </c>
      <c r="J74" s="1210">
        <v>0</v>
      </c>
      <c r="K74" s="1210">
        <v>0</v>
      </c>
      <c r="L74" s="1210">
        <f>'INPUT - FTP O&amp;M Excld Allocates'!H452</f>
        <v>-2.6753833587388911</v>
      </c>
      <c r="M74" s="1210">
        <v>0</v>
      </c>
      <c r="N74" s="1210">
        <f>'INPUT - FTP O&amp;M Excld Allocates'!R355</f>
        <v>-2.5696274859869539</v>
      </c>
      <c r="O74" s="1210">
        <v>0</v>
      </c>
      <c r="P74" s="1210">
        <v>0</v>
      </c>
      <c r="Q74" s="1210">
        <f t="shared" si="15"/>
        <v>-5.2450108447258454</v>
      </c>
      <c r="R74" s="1210">
        <f t="shared" si="16"/>
        <v>282375.54498915526</v>
      </c>
    </row>
    <row r="75" spans="1:18">
      <c r="A75" s="205">
        <f t="shared" si="18"/>
        <v>10</v>
      </c>
      <c r="B75" s="206">
        <v>876</v>
      </c>
      <c r="C75" s="133" t="s">
        <v>928</v>
      </c>
      <c r="D75" s="1210">
        <f>'C-2.1.B Oper Rev&amp;Exp by Accts'!F76</f>
        <v>112813.40999999999</v>
      </c>
      <c r="E75" s="1210">
        <v>0</v>
      </c>
      <c r="F75" s="1210">
        <v>0</v>
      </c>
      <c r="G75" s="1210">
        <v>0</v>
      </c>
      <c r="H75" s="1210">
        <v>0</v>
      </c>
      <c r="I75" s="1210">
        <v>0</v>
      </c>
      <c r="J75" s="1210">
        <v>0</v>
      </c>
      <c r="K75" s="1210">
        <v>0</v>
      </c>
      <c r="L75" s="1210">
        <f>'INPUT - FTP O&amp;M Excld Allocates'!H453</f>
        <v>-2.187747837683609</v>
      </c>
      <c r="M75" s="1210">
        <v>0</v>
      </c>
      <c r="N75" s="1210">
        <f>'INPUT - FTP O&amp;M Excld Allocates'!R356</f>
        <v>-2.1022313452250527</v>
      </c>
      <c r="O75" s="1210">
        <v>0</v>
      </c>
      <c r="P75" s="1210">
        <v>0</v>
      </c>
      <c r="Q75" s="1210">
        <f t="shared" si="15"/>
        <v>-4.2899791829086613</v>
      </c>
      <c r="R75" s="1210">
        <f t="shared" si="16"/>
        <v>112809.12002081708</v>
      </c>
    </row>
    <row r="76" spans="1:18">
      <c r="A76" s="205">
        <f t="shared" si="18"/>
        <v>11</v>
      </c>
      <c r="B76" s="206">
        <v>878</v>
      </c>
      <c r="C76" s="133" t="s">
        <v>929</v>
      </c>
      <c r="D76" s="1210">
        <f>'C-2.1.B Oper Rev&amp;Exp by Accts'!F77</f>
        <v>1688257.6400000001</v>
      </c>
      <c r="E76" s="1210">
        <v>0</v>
      </c>
      <c r="F76" s="1210">
        <v>0</v>
      </c>
      <c r="G76" s="1210">
        <v>0</v>
      </c>
      <c r="H76" s="1210">
        <v>0</v>
      </c>
      <c r="I76" s="1210">
        <v>0</v>
      </c>
      <c r="J76" s="1210">
        <v>0</v>
      </c>
      <c r="K76" s="1210">
        <v>0</v>
      </c>
      <c r="L76" s="1210">
        <f>'INPUT - FTP O&amp;M Excld Allocates'!H454+'INPUT - FTP O&amp;M Excld Allocates'!H881</f>
        <v>-64.146408451791388</v>
      </c>
      <c r="M76" s="1210">
        <f>'INPUT - FTP O&amp;M Excld Allocates'!I357</f>
        <v>-2.6117430835262834</v>
      </c>
      <c r="N76" s="1210">
        <f>'INPUT - FTP O&amp;M Excld Allocates'!R357</f>
        <v>-20.539923227220772</v>
      </c>
      <c r="O76" s="1210">
        <v>0</v>
      </c>
      <c r="P76" s="1210">
        <v>0</v>
      </c>
      <c r="Q76" s="1210">
        <f t="shared" si="15"/>
        <v>-87.298074762538434</v>
      </c>
      <c r="R76" s="1210">
        <f t="shared" si="16"/>
        <v>1688170.3419252376</v>
      </c>
    </row>
    <row r="77" spans="1:18">
      <c r="A77" s="205">
        <f t="shared" si="18"/>
        <v>12</v>
      </c>
      <c r="B77" s="206">
        <v>879</v>
      </c>
      <c r="C77" s="133" t="s">
        <v>930</v>
      </c>
      <c r="D77" s="1210">
        <f>'C-2.1.B Oper Rev&amp;Exp by Accts'!F78</f>
        <v>2893659.72</v>
      </c>
      <c r="E77" s="1210">
        <v>0</v>
      </c>
      <c r="F77" s="1210">
        <v>0</v>
      </c>
      <c r="G77" s="1210">
        <v>0</v>
      </c>
      <c r="H77" s="1210">
        <v>0</v>
      </c>
      <c r="I77" s="1210">
        <v>0</v>
      </c>
      <c r="J77" s="1210">
        <v>0</v>
      </c>
      <c r="K77" s="1210">
        <v>0</v>
      </c>
      <c r="L77" s="1210">
        <f>'INPUT - FTP O&amp;M Excld Allocates'!H455</f>
        <v>-15.406289962149296</v>
      </c>
      <c r="M77" s="1210">
        <f>'INPUT - FTP O&amp;M Excld Allocates'!I358</f>
        <v>-2.5308789537297525</v>
      </c>
      <c r="N77" s="1210">
        <f>'INPUT - FTP O&amp;M Excld Allocates'!R358</f>
        <v>-19.90397131130176</v>
      </c>
      <c r="O77" s="1210">
        <v>0</v>
      </c>
      <c r="P77" s="1210">
        <v>0</v>
      </c>
      <c r="Q77" s="1210">
        <f t="shared" si="15"/>
        <v>-37.841140227180809</v>
      </c>
      <c r="R77" s="1210">
        <f t="shared" si="16"/>
        <v>2893621.8788597728</v>
      </c>
    </row>
    <row r="78" spans="1:18">
      <c r="A78" s="205">
        <f t="shared" si="18"/>
        <v>13</v>
      </c>
      <c r="B78" s="206">
        <v>880</v>
      </c>
      <c r="C78" s="133" t="s">
        <v>931</v>
      </c>
      <c r="D78" s="1210">
        <f>'C-2.1.B Oper Rev&amp;Exp by Accts'!F79</f>
        <v>1484825.57</v>
      </c>
      <c r="E78" s="1210">
        <v>0</v>
      </c>
      <c r="F78" s="1210">
        <v>0</v>
      </c>
      <c r="G78" s="1210">
        <v>0</v>
      </c>
      <c r="H78" s="1210">
        <v>0</v>
      </c>
      <c r="I78" s="1210">
        <v>0</v>
      </c>
      <c r="J78" s="1210">
        <v>0</v>
      </c>
      <c r="K78" s="1210">
        <v>0</v>
      </c>
      <c r="L78" s="1210">
        <f>'INPUT - FTP O&amp;M Excld Allocates'!H456+'INPUT - FTP O&amp;M Excld Allocates'!H883</f>
        <v>-30.763064708587603</v>
      </c>
      <c r="M78" s="1210">
        <f>'INPUT - FTP O&amp;M Excld Allocates'!I359</f>
        <v>-0.55147286237614712</v>
      </c>
      <c r="N78" s="1210">
        <f>'INPUT - FTP O&amp;M Excld Allocates'!R359</f>
        <v>-4.337030823034917</v>
      </c>
      <c r="O78" s="1210">
        <v>0</v>
      </c>
      <c r="P78" s="1210">
        <v>0</v>
      </c>
      <c r="Q78" s="1210">
        <f t="shared" si="15"/>
        <v>-35.651568393998666</v>
      </c>
      <c r="R78" s="1210">
        <f t="shared" si="16"/>
        <v>1484789.9184316061</v>
      </c>
    </row>
    <row r="79" spans="1:18">
      <c r="A79" s="205">
        <f t="shared" si="18"/>
        <v>14</v>
      </c>
      <c r="B79" s="662">
        <v>881</v>
      </c>
      <c r="C79" s="133" t="s">
        <v>932</v>
      </c>
      <c r="D79" s="1210">
        <f>'C-2.1.B Oper Rev&amp;Exp by Accts'!F80</f>
        <v>23479.79</v>
      </c>
      <c r="E79" s="1210">
        <v>0</v>
      </c>
      <c r="F79" s="1210">
        <v>0</v>
      </c>
      <c r="G79" s="1210">
        <v>0</v>
      </c>
      <c r="H79" s="1210">
        <v>0</v>
      </c>
      <c r="I79" s="1210">
        <v>0</v>
      </c>
      <c r="J79" s="1210">
        <v>0</v>
      </c>
      <c r="K79" s="1210">
        <v>0</v>
      </c>
      <c r="L79" s="1210">
        <f>'INPUT - FTP O&amp;M Excld Allocates'!H884</f>
        <v>-0.84100022071075886</v>
      </c>
      <c r="M79" s="1210">
        <f>'INPUT - FTP O&amp;M Excld Allocates'!I363</f>
        <v>-1.347299790214066</v>
      </c>
      <c r="N79" s="1210">
        <v>0</v>
      </c>
      <c r="O79" s="1210">
        <v>0</v>
      </c>
      <c r="P79" s="1210">
        <v>0</v>
      </c>
      <c r="Q79" s="1210">
        <f t="shared" si="15"/>
        <v>-2.188300010924825</v>
      </c>
      <c r="R79" s="1210">
        <f t="shared" si="16"/>
        <v>23477.601699989074</v>
      </c>
    </row>
    <row r="80" spans="1:18">
      <c r="A80" s="205">
        <f t="shared" si="18"/>
        <v>15</v>
      </c>
      <c r="B80" s="206">
        <v>885</v>
      </c>
      <c r="C80" s="133" t="s">
        <v>924</v>
      </c>
      <c r="D80" s="1210">
        <f>'C-2.1.B Oper Rev&amp;Exp by Accts'!F99</f>
        <v>84210.26</v>
      </c>
      <c r="E80" s="1210">
        <v>0</v>
      </c>
      <c r="F80" s="1210">
        <v>0</v>
      </c>
      <c r="G80" s="1210">
        <v>0</v>
      </c>
      <c r="H80" s="1210">
        <v>0</v>
      </c>
      <c r="I80" s="1210">
        <v>0</v>
      </c>
      <c r="J80" s="1210">
        <v>0</v>
      </c>
      <c r="K80" s="1210">
        <v>0</v>
      </c>
      <c r="L80" s="1210">
        <f>'INPUT - FTP O&amp;M Excld Allocates'!H458</f>
        <v>-8.2023657645091781</v>
      </c>
      <c r="M80" s="1210">
        <v>0</v>
      </c>
      <c r="N80" s="1210">
        <v>0</v>
      </c>
      <c r="O80" s="1210">
        <v>0</v>
      </c>
      <c r="P80" s="1210">
        <v>0</v>
      </c>
      <c r="Q80" s="1210">
        <f t="shared" si="15"/>
        <v>-8.2023657645091781</v>
      </c>
      <c r="R80" s="1210">
        <f t="shared" si="16"/>
        <v>84202.057634235491</v>
      </c>
    </row>
    <row r="81" spans="1:18">
      <c r="A81" s="205">
        <f t="shared" si="18"/>
        <v>16</v>
      </c>
      <c r="B81" s="206">
        <v>886</v>
      </c>
      <c r="C81" s="133" t="s">
        <v>933</v>
      </c>
      <c r="D81" s="1210">
        <f>'C-2.1.B Oper Rev&amp;Exp by Accts'!F100</f>
        <v>134244.71</v>
      </c>
      <c r="E81" s="1210">
        <v>0</v>
      </c>
      <c r="F81" s="1210">
        <v>0</v>
      </c>
      <c r="G81" s="1210">
        <v>0</v>
      </c>
      <c r="H81" s="1210">
        <v>0</v>
      </c>
      <c r="I81" s="1210">
        <v>0</v>
      </c>
      <c r="J81" s="1210">
        <v>0</v>
      </c>
      <c r="K81" s="1210">
        <v>0</v>
      </c>
      <c r="L81" s="1210">
        <v>0</v>
      </c>
      <c r="M81" s="1210">
        <v>0</v>
      </c>
      <c r="N81" s="1210">
        <v>0</v>
      </c>
      <c r="O81" s="1210">
        <v>0</v>
      </c>
      <c r="P81" s="1210">
        <v>0</v>
      </c>
      <c r="Q81" s="1210">
        <f t="shared" si="15"/>
        <v>0</v>
      </c>
      <c r="R81" s="1210">
        <f t="shared" si="16"/>
        <v>134244.71</v>
      </c>
    </row>
    <row r="82" spans="1:18">
      <c r="A82" s="205">
        <f t="shared" si="18"/>
        <v>17</v>
      </c>
      <c r="B82" s="206">
        <v>887</v>
      </c>
      <c r="C82" s="133" t="s">
        <v>393</v>
      </c>
      <c r="D82" s="1210">
        <f>'C-2.1.B Oper Rev&amp;Exp by Accts'!F101</f>
        <v>3433642.0100000007</v>
      </c>
      <c r="E82" s="1210">
        <v>0</v>
      </c>
      <c r="F82" s="1210">
        <v>0</v>
      </c>
      <c r="G82" s="1210">
        <v>0</v>
      </c>
      <c r="H82" s="1210">
        <v>0</v>
      </c>
      <c r="I82" s="1210">
        <v>0</v>
      </c>
      <c r="J82" s="1210">
        <v>0</v>
      </c>
      <c r="K82" s="1210">
        <v>0</v>
      </c>
      <c r="L82" s="1210">
        <f>'INPUT - FTP O&amp;M Excld Allocates'!H460+'INPUT - FTP O&amp;M Excld Allocates'!H887</f>
        <v>-33.182720556727048</v>
      </c>
      <c r="M82" s="1210">
        <v>0</v>
      </c>
      <c r="N82" s="1210">
        <f>'INPUT - FTP O&amp;M Excld Allocates'!R363</f>
        <v>-10.595772007437988</v>
      </c>
      <c r="O82" s="1210">
        <v>0</v>
      </c>
      <c r="P82" s="1210">
        <v>0</v>
      </c>
      <c r="Q82" s="1210">
        <f t="shared" si="15"/>
        <v>-43.778492564165035</v>
      </c>
      <c r="R82" s="1210">
        <f t="shared" si="16"/>
        <v>3433598.2315074364</v>
      </c>
    </row>
    <row r="83" spans="1:18">
      <c r="A83" s="205">
        <f t="shared" si="18"/>
        <v>18</v>
      </c>
      <c r="B83" s="206">
        <v>889</v>
      </c>
      <c r="C83" s="133" t="s">
        <v>927</v>
      </c>
      <c r="D83" s="1210">
        <f>'C-2.1.B Oper Rev&amp;Exp by Accts'!F102</f>
        <v>734892.91000000015</v>
      </c>
      <c r="E83" s="1210">
        <v>0</v>
      </c>
      <c r="F83" s="1210">
        <v>0</v>
      </c>
      <c r="G83" s="1210">
        <v>0</v>
      </c>
      <c r="H83" s="1210">
        <v>0</v>
      </c>
      <c r="I83" s="1210">
        <v>0</v>
      </c>
      <c r="J83" s="1210">
        <v>0</v>
      </c>
      <c r="K83" s="1210">
        <v>0</v>
      </c>
      <c r="L83" s="1210">
        <f>'INPUT - FTP O&amp;M Excld Allocates'!H461</f>
        <v>-2.6753833587388911</v>
      </c>
      <c r="M83" s="1210">
        <v>0</v>
      </c>
      <c r="N83" s="1210">
        <f>'INPUT - FTP O&amp;M Excld Allocates'!R364</f>
        <v>-2.5696274859869539</v>
      </c>
      <c r="O83" s="1210">
        <v>0</v>
      </c>
      <c r="P83" s="1210">
        <v>0</v>
      </c>
      <c r="Q83" s="1210">
        <f t="shared" si="15"/>
        <v>-5.2450108447258454</v>
      </c>
      <c r="R83" s="1210">
        <f t="shared" si="16"/>
        <v>734887.66498915537</v>
      </c>
    </row>
    <row r="84" spans="1:18">
      <c r="A84" s="205">
        <f t="shared" si="18"/>
        <v>19</v>
      </c>
      <c r="B84" s="206">
        <v>890</v>
      </c>
      <c r="C84" s="133" t="s">
        <v>928</v>
      </c>
      <c r="D84" s="1210">
        <f>'C-2.1.B Oper Rev&amp;Exp by Accts'!F103</f>
        <v>85199.460000000021</v>
      </c>
      <c r="E84" s="1210">
        <v>0</v>
      </c>
      <c r="F84" s="1210">
        <v>0</v>
      </c>
      <c r="G84" s="1210">
        <v>0</v>
      </c>
      <c r="H84" s="1210">
        <v>0</v>
      </c>
      <c r="I84" s="1210">
        <v>0</v>
      </c>
      <c r="J84" s="1210">
        <v>0</v>
      </c>
      <c r="K84" s="1210">
        <v>0</v>
      </c>
      <c r="L84" s="1210">
        <f>'INPUT - FTP O&amp;M Excld Allocates'!H462</f>
        <v>-1.3377344294151254</v>
      </c>
      <c r="M84" s="1210">
        <v>0</v>
      </c>
      <c r="N84" s="1210">
        <f>'INPUT - FTP O&amp;M Excld Allocates'!R365</f>
        <v>-2.0801274548136224</v>
      </c>
      <c r="O84" s="1210">
        <v>0</v>
      </c>
      <c r="P84" s="1210">
        <v>0</v>
      </c>
      <c r="Q84" s="1210">
        <f t="shared" si="15"/>
        <v>-3.4178618842287478</v>
      </c>
      <c r="R84" s="1210">
        <f t="shared" si="16"/>
        <v>85196.042138115794</v>
      </c>
    </row>
    <row r="85" spans="1:18">
      <c r="A85" s="205">
        <f t="shared" si="18"/>
        <v>20</v>
      </c>
      <c r="B85" s="648">
        <v>892</v>
      </c>
      <c r="C85" s="133" t="s">
        <v>398</v>
      </c>
      <c r="D85" s="1210">
        <f>'C-2.1.B Oper Rev&amp;Exp by Accts'!F104</f>
        <v>642453.10999999987</v>
      </c>
      <c r="E85" s="1210">
        <v>0</v>
      </c>
      <c r="F85" s="1210">
        <v>0</v>
      </c>
      <c r="G85" s="1210">
        <v>0</v>
      </c>
      <c r="H85" s="1210">
        <v>0</v>
      </c>
      <c r="I85" s="1210">
        <v>0</v>
      </c>
      <c r="J85" s="1210">
        <v>0</v>
      </c>
      <c r="K85" s="1210">
        <v>0</v>
      </c>
      <c r="L85" s="1210">
        <f>'INPUT - FTP O&amp;M Excld Allocates'!H463</f>
        <v>-16.415048540042442</v>
      </c>
      <c r="M85" s="1210">
        <f>'INPUT - FTP O&amp;M Excld Allocates'!I366</f>
        <v>-0.57852104475285948</v>
      </c>
      <c r="N85" s="1210">
        <f>'INPUT - FTP O&amp;M Excld Allocates'!R366</f>
        <v>-4.5497499043862986</v>
      </c>
      <c r="O85" s="1210">
        <v>0</v>
      </c>
      <c r="P85" s="1210">
        <v>0</v>
      </c>
      <c r="Q85" s="1210">
        <f t="shared" si="15"/>
        <v>-21.543319489181602</v>
      </c>
      <c r="R85" s="1210">
        <f t="shared" si="16"/>
        <v>642431.56668051064</v>
      </c>
    </row>
    <row r="86" spans="1:18">
      <c r="A86" s="205">
        <f t="shared" si="18"/>
        <v>21</v>
      </c>
      <c r="B86" s="648">
        <v>893</v>
      </c>
      <c r="C86" s="133" t="s">
        <v>934</v>
      </c>
      <c r="D86" s="1210">
        <f>'C-2.1.B Oper Rev&amp;Exp by Accts'!F105</f>
        <v>252495.12999999998</v>
      </c>
      <c r="E86" s="1210">
        <v>0</v>
      </c>
      <c r="F86" s="1210">
        <v>0</v>
      </c>
      <c r="G86" s="1210">
        <v>0</v>
      </c>
      <c r="H86" s="1210">
        <v>0</v>
      </c>
      <c r="I86" s="1210">
        <v>0</v>
      </c>
      <c r="J86" s="1210">
        <v>0</v>
      </c>
      <c r="K86" s="1210">
        <v>0</v>
      </c>
      <c r="L86" s="1210">
        <v>0</v>
      </c>
      <c r="M86" s="1210">
        <v>0</v>
      </c>
      <c r="N86" s="1210">
        <f>'INPUT - FTP O&amp;M Excld Allocates'!R367</f>
        <v>-0.81323238632005213</v>
      </c>
      <c r="O86" s="1210">
        <v>0</v>
      </c>
      <c r="P86" s="1210">
        <v>0</v>
      </c>
      <c r="Q86" s="1210">
        <f t="shared" si="15"/>
        <v>-0.81323238632005213</v>
      </c>
      <c r="R86" s="1210">
        <f t="shared" si="16"/>
        <v>252494.31676761367</v>
      </c>
    </row>
    <row r="87" spans="1:18">
      <c r="A87" s="205">
        <f t="shared" si="18"/>
        <v>22</v>
      </c>
      <c r="B87" s="648">
        <v>894</v>
      </c>
      <c r="C87" s="133" t="s">
        <v>935</v>
      </c>
      <c r="D87" s="1210">
        <f>'C-2.1.B Oper Rev&amp;Exp by Accts'!F106</f>
        <v>269614.43</v>
      </c>
      <c r="E87" s="1210">
        <v>0</v>
      </c>
      <c r="F87" s="1210">
        <v>0</v>
      </c>
      <c r="G87" s="1210">
        <v>0</v>
      </c>
      <c r="H87" s="1210">
        <v>0</v>
      </c>
      <c r="I87" s="1210">
        <v>0</v>
      </c>
      <c r="J87" s="1210">
        <v>0</v>
      </c>
      <c r="K87" s="1210">
        <v>0</v>
      </c>
      <c r="L87" s="1210">
        <v>0</v>
      </c>
      <c r="M87" s="1210">
        <v>0</v>
      </c>
      <c r="N87" s="1210">
        <v>0</v>
      </c>
      <c r="O87" s="1210">
        <v>0</v>
      </c>
      <c r="P87" s="1210">
        <v>0</v>
      </c>
      <c r="Q87" s="1210">
        <f t="shared" si="15"/>
        <v>0</v>
      </c>
      <c r="R87" s="1210">
        <f t="shared" si="16"/>
        <v>269614.43</v>
      </c>
    </row>
    <row r="88" spans="1:18">
      <c r="A88" s="205">
        <f t="shared" si="18"/>
        <v>23</v>
      </c>
      <c r="B88" s="648">
        <v>901</v>
      </c>
      <c r="C88" s="133" t="s">
        <v>936</v>
      </c>
      <c r="D88" s="1210">
        <f>'C-2.1.B Oper Rev&amp;Exp by Accts'!F110</f>
        <v>0</v>
      </c>
      <c r="E88" s="1210">
        <v>0</v>
      </c>
      <c r="F88" s="1210">
        <v>0</v>
      </c>
      <c r="G88" s="1210">
        <v>0</v>
      </c>
      <c r="H88" s="1210">
        <v>0</v>
      </c>
      <c r="I88" s="1210">
        <v>0</v>
      </c>
      <c r="J88" s="1210">
        <v>0</v>
      </c>
      <c r="K88" s="1210">
        <v>0</v>
      </c>
      <c r="L88" s="1210">
        <v>0</v>
      </c>
      <c r="M88" s="1210">
        <v>0</v>
      </c>
      <c r="N88" s="1210">
        <v>0</v>
      </c>
      <c r="O88" s="1210">
        <v>0</v>
      </c>
      <c r="P88" s="1210">
        <v>0</v>
      </c>
      <c r="Q88" s="1210">
        <f t="shared" si="15"/>
        <v>0</v>
      </c>
      <c r="R88" s="1210">
        <f t="shared" si="16"/>
        <v>0</v>
      </c>
    </row>
    <row r="89" spans="1:18">
      <c r="A89" s="205">
        <f t="shared" si="18"/>
        <v>24</v>
      </c>
      <c r="B89" s="648">
        <v>902</v>
      </c>
      <c r="C89" s="133" t="s">
        <v>937</v>
      </c>
      <c r="D89" s="1210">
        <f>'C-2.1.B Oper Rev&amp;Exp by Accts'!F111</f>
        <v>284462.28000000003</v>
      </c>
      <c r="E89" s="1210">
        <v>0</v>
      </c>
      <c r="F89" s="1210">
        <v>0</v>
      </c>
      <c r="G89" s="1210">
        <v>0</v>
      </c>
      <c r="H89" s="1210">
        <v>0</v>
      </c>
      <c r="I89" s="1210">
        <v>0</v>
      </c>
      <c r="J89" s="1210">
        <v>0</v>
      </c>
      <c r="K89" s="1210">
        <v>0</v>
      </c>
      <c r="L89" s="1210">
        <v>0</v>
      </c>
      <c r="M89" s="1210">
        <v>0</v>
      </c>
      <c r="N89" s="1210">
        <v>0</v>
      </c>
      <c r="O89" s="1210">
        <v>0</v>
      </c>
      <c r="P89" s="1210">
        <v>0</v>
      </c>
      <c r="Q89" s="1210">
        <f t="shared" si="15"/>
        <v>0</v>
      </c>
      <c r="R89" s="1210">
        <f t="shared" si="16"/>
        <v>284462.28000000003</v>
      </c>
    </row>
    <row r="90" spans="1:18">
      <c r="A90" s="205">
        <f t="shared" si="18"/>
        <v>25</v>
      </c>
      <c r="B90" s="648">
        <v>903</v>
      </c>
      <c r="C90" s="133" t="s">
        <v>938</v>
      </c>
      <c r="D90" s="1210">
        <f>'C-2.1.B Oper Rev&amp;Exp by Accts'!F112</f>
        <v>2497618.61</v>
      </c>
      <c r="E90" s="1210">
        <v>0</v>
      </c>
      <c r="F90" s="1210">
        <v>0</v>
      </c>
      <c r="G90" s="1210">
        <v>0</v>
      </c>
      <c r="H90" s="1210">
        <v>0</v>
      </c>
      <c r="I90" s="1210">
        <v>0</v>
      </c>
      <c r="J90" s="1210">
        <v>0</v>
      </c>
      <c r="K90" s="1210">
        <v>0</v>
      </c>
      <c r="L90" s="1210">
        <f>'INPUT - FTP O&amp;M Excld Allocates'!H467</f>
        <v>-6.9577694346153081</v>
      </c>
      <c r="M90" s="1210">
        <f>'INPUT - FTP O&amp;M Excld Allocates'!I371</f>
        <v>-23.625002012098879</v>
      </c>
      <c r="N90" s="1210">
        <f>'INPUT - FTP O&amp;M Excld Allocates'!R371</f>
        <v>-185.79765009515103</v>
      </c>
      <c r="O90" s="1210">
        <v>0</v>
      </c>
      <c r="P90" s="1210">
        <v>0</v>
      </c>
      <c r="Q90" s="1210">
        <f t="shared" si="15"/>
        <v>-216.38042154186522</v>
      </c>
      <c r="R90" s="1210">
        <f t="shared" si="16"/>
        <v>2497402.2295784578</v>
      </c>
    </row>
    <row r="91" spans="1:18">
      <c r="A91" s="205">
        <f t="shared" si="18"/>
        <v>26</v>
      </c>
      <c r="B91" s="648">
        <v>904</v>
      </c>
      <c r="C91" s="133" t="s">
        <v>939</v>
      </c>
      <c r="D91" s="1210">
        <f>'C-2.1.B Oper Rev&amp;Exp by Accts'!F113</f>
        <v>1503656.3599999999</v>
      </c>
      <c r="E91" s="1210">
        <v>0</v>
      </c>
      <c r="F91" s="1210">
        <f>'D-2.6'!R21</f>
        <v>-13841.201379310398</v>
      </c>
      <c r="G91" s="1210">
        <v>0</v>
      </c>
      <c r="H91" s="1210">
        <f>'D-2.6'!R36+'D-2.6'!R41</f>
        <v>-492045.91991000011</v>
      </c>
      <c r="I91" s="1210">
        <v>0</v>
      </c>
      <c r="J91" s="1210">
        <v>0</v>
      </c>
      <c r="K91" s="1210">
        <v>0</v>
      </c>
      <c r="L91" s="1210">
        <v>0</v>
      </c>
      <c r="M91" s="1210">
        <v>0</v>
      </c>
      <c r="N91" s="1210">
        <v>0</v>
      </c>
      <c r="O91" s="1210">
        <v>0</v>
      </c>
      <c r="P91" s="1210">
        <v>0</v>
      </c>
      <c r="Q91" s="1210">
        <f t="shared" si="15"/>
        <v>-505887.12128931051</v>
      </c>
      <c r="R91" s="1210">
        <f t="shared" si="16"/>
        <v>997769.23871068936</v>
      </c>
    </row>
    <row r="92" spans="1:18">
      <c r="A92" s="205">
        <f t="shared" si="18"/>
        <v>27</v>
      </c>
      <c r="B92" s="648">
        <v>905</v>
      </c>
      <c r="C92" s="133" t="s">
        <v>940</v>
      </c>
      <c r="D92" s="1210">
        <f>'C-2.1.B Oper Rev&amp;Exp by Accts'!F114</f>
        <v>15830.210000000003</v>
      </c>
      <c r="E92" s="1210">
        <v>0</v>
      </c>
      <c r="F92" s="1210">
        <v>0</v>
      </c>
      <c r="G92" s="1210">
        <v>0</v>
      </c>
      <c r="H92" s="1210">
        <v>0</v>
      </c>
      <c r="I92" s="1210">
        <v>0</v>
      </c>
      <c r="J92" s="1210">
        <v>0</v>
      </c>
      <c r="K92" s="1210">
        <v>0</v>
      </c>
      <c r="L92" s="1210">
        <v>0</v>
      </c>
      <c r="M92" s="1210">
        <v>0</v>
      </c>
      <c r="N92" s="1210">
        <v>0</v>
      </c>
      <c r="O92" s="1210">
        <v>0</v>
      </c>
      <c r="P92" s="1210">
        <v>0</v>
      </c>
      <c r="Q92" s="1210">
        <f t="shared" si="15"/>
        <v>0</v>
      </c>
      <c r="R92" s="1210">
        <f t="shared" si="16"/>
        <v>15830.210000000003</v>
      </c>
    </row>
    <row r="93" spans="1:18">
      <c r="A93" s="205">
        <f t="shared" si="18"/>
        <v>28</v>
      </c>
      <c r="B93" s="648">
        <v>907</v>
      </c>
      <c r="C93" s="133" t="s">
        <v>936</v>
      </c>
      <c r="D93" s="1210">
        <f>'C-2.1.B Oper Rev&amp;Exp by Accts'!F118</f>
        <v>0</v>
      </c>
      <c r="E93" s="1210">
        <v>0</v>
      </c>
      <c r="F93" s="1210">
        <v>0</v>
      </c>
      <c r="G93" s="1210">
        <v>0</v>
      </c>
      <c r="H93" s="1210">
        <v>0</v>
      </c>
      <c r="I93" s="1210">
        <v>0</v>
      </c>
      <c r="J93" s="1210">
        <v>0</v>
      </c>
      <c r="K93" s="1210">
        <v>0</v>
      </c>
      <c r="L93" s="1210">
        <v>0</v>
      </c>
      <c r="M93" s="1210">
        <v>0</v>
      </c>
      <c r="N93" s="1210">
        <v>0</v>
      </c>
      <c r="O93" s="1210">
        <v>0</v>
      </c>
      <c r="P93" s="1210">
        <v>0</v>
      </c>
      <c r="Q93" s="1210">
        <f t="shared" si="15"/>
        <v>0</v>
      </c>
      <c r="R93" s="1210">
        <f t="shared" si="16"/>
        <v>0</v>
      </c>
    </row>
    <row r="94" spans="1:18">
      <c r="A94" s="205">
        <f t="shared" si="18"/>
        <v>29</v>
      </c>
      <c r="B94" s="648">
        <v>908</v>
      </c>
      <c r="C94" s="133" t="s">
        <v>941</v>
      </c>
      <c r="D94" s="1210">
        <f>'C-2.1.B Oper Rev&amp;Exp by Accts'!F119</f>
        <v>106212.56</v>
      </c>
      <c r="E94" s="1210">
        <v>0</v>
      </c>
      <c r="F94" s="1210">
        <f>'D-2.6'!R26</f>
        <v>14175.354482758659</v>
      </c>
      <c r="G94" s="1210">
        <v>0</v>
      </c>
      <c r="H94" s="1210">
        <v>0</v>
      </c>
      <c r="I94" s="1210">
        <v>0</v>
      </c>
      <c r="J94" s="1210">
        <v>0</v>
      </c>
      <c r="K94" s="1210">
        <v>0</v>
      </c>
      <c r="L94" s="1210">
        <v>0</v>
      </c>
      <c r="M94" s="1210">
        <v>0</v>
      </c>
      <c r="N94" s="1210">
        <v>0</v>
      </c>
      <c r="O94" s="1210">
        <v>0</v>
      </c>
      <c r="P94" s="1210">
        <v>0</v>
      </c>
      <c r="Q94" s="1210">
        <f t="shared" si="15"/>
        <v>14175.354482758659</v>
      </c>
      <c r="R94" s="1210">
        <f t="shared" si="16"/>
        <v>120387.91448275866</v>
      </c>
    </row>
    <row r="95" spans="1:18">
      <c r="A95" s="205">
        <f t="shared" si="18"/>
        <v>30</v>
      </c>
      <c r="B95" s="648">
        <v>909</v>
      </c>
      <c r="C95" s="133" t="s">
        <v>942</v>
      </c>
      <c r="D95" s="1210">
        <f>'C-2.1.B Oper Rev&amp;Exp by Accts'!F120</f>
        <v>2539.0900000000006</v>
      </c>
      <c r="E95" s="1210">
        <v>0</v>
      </c>
      <c r="F95" s="1210">
        <v>0</v>
      </c>
      <c r="G95" s="1210">
        <v>0</v>
      </c>
      <c r="H95" s="1210">
        <v>0</v>
      </c>
      <c r="I95" s="1210">
        <v>0</v>
      </c>
      <c r="J95" s="1210">
        <v>0</v>
      </c>
      <c r="K95" s="1210">
        <v>0</v>
      </c>
      <c r="L95" s="1210">
        <v>0</v>
      </c>
      <c r="M95" s="1210">
        <v>0</v>
      </c>
      <c r="N95" s="1210">
        <v>0</v>
      </c>
      <c r="O95" s="1210">
        <v>0</v>
      </c>
      <c r="P95" s="1210">
        <v>0</v>
      </c>
      <c r="Q95" s="1210">
        <f t="shared" si="15"/>
        <v>0</v>
      </c>
      <c r="R95" s="1210">
        <f t="shared" si="16"/>
        <v>2539.0900000000006</v>
      </c>
    </row>
    <row r="96" spans="1:18">
      <c r="A96" s="205">
        <f t="shared" si="18"/>
        <v>31</v>
      </c>
      <c r="B96" s="648">
        <v>910</v>
      </c>
      <c r="C96" s="133" t="s">
        <v>943</v>
      </c>
      <c r="D96" s="1210">
        <f>'C-2.1.B Oper Rev&amp;Exp by Accts'!F121</f>
        <v>292107.62000000005</v>
      </c>
      <c r="E96" s="1210">
        <v>0</v>
      </c>
      <c r="F96" s="1210">
        <v>0</v>
      </c>
      <c r="G96" s="1210">
        <v>0</v>
      </c>
      <c r="H96" s="1210">
        <v>0</v>
      </c>
      <c r="I96" s="1210">
        <v>0</v>
      </c>
      <c r="J96" s="1210">
        <v>0</v>
      </c>
      <c r="K96" s="1210">
        <v>0</v>
      </c>
      <c r="L96" s="1210">
        <v>0</v>
      </c>
      <c r="M96" s="1210">
        <f>'INPUT - FTP O&amp;M Excld Allocates'!I377</f>
        <v>-6.0237363955707144</v>
      </c>
      <c r="N96" s="1210">
        <f>'INPUT - FTY O&amp;M Excld FERC List'!H49+'INPUT - FTP O&amp;M Excld Allocates'!R377</f>
        <v>-1198.9825044664449</v>
      </c>
      <c r="O96" s="1210">
        <v>0</v>
      </c>
      <c r="P96" s="1210">
        <v>0</v>
      </c>
      <c r="Q96" s="1210">
        <f t="shared" si="15"/>
        <v>-1205.0062408620156</v>
      </c>
      <c r="R96" s="1210">
        <f t="shared" si="16"/>
        <v>290902.61375913804</v>
      </c>
    </row>
    <row r="97" spans="1:18">
      <c r="A97" s="205">
        <f t="shared" si="18"/>
        <v>32</v>
      </c>
      <c r="B97" s="648">
        <v>911</v>
      </c>
      <c r="C97" s="133" t="s">
        <v>936</v>
      </c>
      <c r="D97" s="1210">
        <f>'C-2.1.B Oper Rev&amp;Exp by Accts'!F125</f>
        <v>0</v>
      </c>
      <c r="E97" s="1210">
        <v>0</v>
      </c>
      <c r="F97" s="1210">
        <v>0</v>
      </c>
      <c r="G97" s="1210">
        <v>0</v>
      </c>
      <c r="H97" s="1210">
        <v>0</v>
      </c>
      <c r="I97" s="1210">
        <v>0</v>
      </c>
      <c r="J97" s="1210">
        <v>0</v>
      </c>
      <c r="K97" s="1210">
        <v>0</v>
      </c>
      <c r="L97" s="1210">
        <v>0</v>
      </c>
      <c r="M97" s="1210">
        <v>0</v>
      </c>
      <c r="N97" s="1210">
        <v>0</v>
      </c>
      <c r="O97" s="1210">
        <v>0</v>
      </c>
      <c r="P97" s="1210">
        <v>0</v>
      </c>
      <c r="Q97" s="1210">
        <f t="shared" si="15"/>
        <v>0</v>
      </c>
      <c r="R97" s="1210">
        <f t="shared" si="16"/>
        <v>0</v>
      </c>
    </row>
    <row r="98" spans="1:18">
      <c r="A98" s="205">
        <f t="shared" si="18"/>
        <v>33</v>
      </c>
      <c r="B98" s="648">
        <v>912</v>
      </c>
      <c r="C98" s="133" t="s">
        <v>944</v>
      </c>
      <c r="D98" s="1210">
        <f>'C-2.1.B Oper Rev&amp;Exp by Accts'!F126</f>
        <v>4679.1900000000005</v>
      </c>
      <c r="E98" s="1210">
        <v>0</v>
      </c>
      <c r="F98" s="1210">
        <v>0</v>
      </c>
      <c r="G98" s="1210">
        <v>0</v>
      </c>
      <c r="H98" s="1210">
        <v>0</v>
      </c>
      <c r="I98" s="1210">
        <v>0</v>
      </c>
      <c r="J98" s="1210">
        <v>0</v>
      </c>
      <c r="K98" s="1210">
        <v>0</v>
      </c>
      <c r="L98" s="1210">
        <v>0</v>
      </c>
      <c r="M98" s="1210">
        <v>0</v>
      </c>
      <c r="N98" s="1210">
        <f>'INPUT - FTP O&amp;M Excld Allocates'!R379</f>
        <v>-0.75886138605942344</v>
      </c>
      <c r="O98" s="1210">
        <v>0</v>
      </c>
      <c r="P98" s="1210">
        <v>0</v>
      </c>
      <c r="Q98" s="1210">
        <f t="shared" si="15"/>
        <v>-0.75886138605942344</v>
      </c>
      <c r="R98" s="1210">
        <f t="shared" si="16"/>
        <v>4678.4311386139407</v>
      </c>
    </row>
    <row r="99" spans="1:18">
      <c r="A99" s="205">
        <f t="shared" si="18"/>
        <v>34</v>
      </c>
      <c r="B99" s="648">
        <v>913</v>
      </c>
      <c r="C99" s="133" t="s">
        <v>945</v>
      </c>
      <c r="D99" s="1210">
        <f>'C-2.1.B Oper Rev&amp;Exp by Accts'!F127</f>
        <v>7675.6600000000008</v>
      </c>
      <c r="E99" s="1210">
        <v>0</v>
      </c>
      <c r="F99" s="1210">
        <v>0</v>
      </c>
      <c r="G99" s="1210">
        <v>0</v>
      </c>
      <c r="H99" s="1210">
        <v>0</v>
      </c>
      <c r="I99" s="1210">
        <v>0</v>
      </c>
      <c r="J99" s="1210">
        <v>0</v>
      </c>
      <c r="K99" s="1210">
        <v>0</v>
      </c>
      <c r="L99" s="1210">
        <v>0</v>
      </c>
      <c r="M99" s="1210">
        <v>0</v>
      </c>
      <c r="N99" s="1210">
        <f>'INPUT - FTP O&amp;M Excld Allocates'!R380</f>
        <v>-1.244821850239791</v>
      </c>
      <c r="O99" s="1210">
        <v>0</v>
      </c>
      <c r="P99" s="1210">
        <v>0</v>
      </c>
      <c r="Q99" s="1210">
        <f t="shared" si="15"/>
        <v>-1.244821850239791</v>
      </c>
      <c r="R99" s="1210">
        <f t="shared" si="16"/>
        <v>7674.4151781497612</v>
      </c>
    </row>
    <row r="100" spans="1:18">
      <c r="A100" s="205">
        <f t="shared" si="18"/>
        <v>35</v>
      </c>
      <c r="B100" s="648">
        <v>916</v>
      </c>
      <c r="C100" s="133" t="s">
        <v>69</v>
      </c>
      <c r="D100" s="1210">
        <f>'C-2.1.B Oper Rev&amp;Exp by Accts'!F128</f>
        <v>0</v>
      </c>
      <c r="E100" s="1210">
        <v>0</v>
      </c>
      <c r="F100" s="1210">
        <v>0</v>
      </c>
      <c r="G100" s="1210">
        <v>0</v>
      </c>
      <c r="H100" s="1210">
        <v>0</v>
      </c>
      <c r="I100" s="1210">
        <v>0</v>
      </c>
      <c r="J100" s="1210">
        <v>0</v>
      </c>
      <c r="K100" s="1210">
        <v>0</v>
      </c>
      <c r="L100" s="1210">
        <v>0</v>
      </c>
      <c r="M100" s="1210">
        <v>0</v>
      </c>
      <c r="N100" s="1210">
        <v>0</v>
      </c>
      <c r="O100" s="1210">
        <v>0</v>
      </c>
      <c r="P100" s="1210">
        <v>0</v>
      </c>
      <c r="Q100" s="1210">
        <f t="shared" si="15"/>
        <v>0</v>
      </c>
      <c r="R100" s="1210">
        <f t="shared" si="16"/>
        <v>0</v>
      </c>
    </row>
    <row r="101" spans="1:18">
      <c r="A101" s="205">
        <f t="shared" si="18"/>
        <v>36</v>
      </c>
      <c r="B101" s="648">
        <v>920</v>
      </c>
      <c r="C101" s="133" t="s">
        <v>947</v>
      </c>
      <c r="D101" s="1210">
        <f>'C-2.1.B Oper Rev&amp;Exp by Accts'!F132</f>
        <v>9810389.4399999995</v>
      </c>
      <c r="E101" s="1210">
        <v>0</v>
      </c>
      <c r="F101" s="1210">
        <v>0</v>
      </c>
      <c r="G101" s="1210">
        <v>0</v>
      </c>
      <c r="H101" s="1210">
        <v>0</v>
      </c>
      <c r="I101" s="1210">
        <v>0</v>
      </c>
      <c r="J101" s="1210">
        <v>0</v>
      </c>
      <c r="K101" s="1210">
        <f>+'INPUT - FTY O&amp;M Excld FERC List'!J9</f>
        <v>-16548.705600000001</v>
      </c>
      <c r="L101" s="1210">
        <f>'INPUT - FTP O&amp;M Excld Allocates'!H477+'INPUT - FTP O&amp;M Excld Allocates'!H904</f>
        <v>-86.201088088219464</v>
      </c>
      <c r="M101" s="1210">
        <f>'INPUT - FTP O&amp;M Excld Allocates'!I381</f>
        <v>-133.88552269678999</v>
      </c>
      <c r="N101" s="1210">
        <f>'INPUT - FTP O&amp;M Excld Allocates'!R381</f>
        <v>-1052.936016093681</v>
      </c>
      <c r="O101" s="1210">
        <v>0</v>
      </c>
      <c r="P101" s="1210">
        <v>0</v>
      </c>
      <c r="Q101" s="1210">
        <f t="shared" si="15"/>
        <v>-17821.728226878691</v>
      </c>
      <c r="R101" s="1210">
        <f t="shared" si="16"/>
        <v>9792567.7117731199</v>
      </c>
    </row>
    <row r="102" spans="1:18">
      <c r="A102" s="205">
        <f t="shared" si="18"/>
        <v>37</v>
      </c>
      <c r="B102" s="648">
        <v>921</v>
      </c>
      <c r="C102" s="133" t="s">
        <v>948</v>
      </c>
      <c r="D102" s="1210">
        <f>'C-2.1.B Oper Rev&amp;Exp by Accts'!F133</f>
        <v>2189361.2100000004</v>
      </c>
      <c r="E102" s="1210">
        <v>0</v>
      </c>
      <c r="F102" s="1210">
        <v>0</v>
      </c>
      <c r="G102" s="1210">
        <v>0</v>
      </c>
      <c r="H102" s="1210">
        <v>0</v>
      </c>
      <c r="I102" s="1210">
        <v>0</v>
      </c>
      <c r="J102" s="1210">
        <v>0</v>
      </c>
      <c r="K102" s="1210">
        <f>'INPUT - FTY O&amp;M Excld FERC List'!J3+'INPUT - FTY O&amp;M Excld FERC List'!J5+'INPUT - FTY O&amp;M Excld FERC List'!J6+'INPUT - FTY O&amp;M Excld FERC List'!J8</f>
        <v>-11373.580980000001</v>
      </c>
      <c r="L102" s="1210">
        <f>'INPUT - FTY O&amp;M Excld FERC List'!H14+'INPUT - FTY O&amp;M Excld FERC List'!H15+'INPUT - FTY O&amp;M Excld FERC List'!H18+'INPUT - FTY O&amp;M Excld FERC List'!H19+'INPUT - FTY O&amp;M Excld FERC List'!H20+'INPUT - FTY O&amp;M Excld FERC List'!H21+'INPUT - FTY O&amp;M Excld FERC List'!H22+'INPUT - FTY O&amp;M Excld FERC List'!H24+'INPUT - FTY O&amp;M Excld FERC List'!H25+'INPUT - FTP O&amp;M Excld Allocates'!H430+'INPUT - FTP O&amp;M Excld Allocates'!H478+'INPUT - FTP O&amp;M Excld Allocates'!H905</f>
        <v>-92835.100675070411</v>
      </c>
      <c r="M102" s="1210">
        <f>'INPUT - FTY O&amp;M Excld FERC List'!H29+'INPUT - FTY O&amp;M Excld FERC List'!H30+'INPUT - FTY O&amp;M Excld FERC List'!H32+'INPUT - FTP O&amp;M Excld Allocates'!I382</f>
        <v>-4295.1670322076043</v>
      </c>
      <c r="N102" s="1210">
        <f>'INPUT - FTY O&amp;M Excld FERC List'!H35+'INPUT - FTY O&amp;M Excld FERC List'!H41+'INPUT - FTY O&amp;M Excld FERC List'!H42+'INPUT - FTY O&amp;M Excld FERC List'!H43+'INPUT - FTY O&amp;M Excld FERC List'!H54+'INPUT - FTY O&amp;M Excld FERC List'!H56+'INPUT - FTY O&amp;M Excld FERC List'!H58+'INPUT - FTY O&amp;M Excld FERC List'!H59+'INPUT - FTY O&amp;M Excld FERC List'!H60+'INPUT - FTY O&amp;M Excld FERC List'!H61+'INPUT - FTY O&amp;M Excld FERC List'!H71+'INPUT - FTY O&amp;M Excld FERC List'!H72+'INPUT - FTY O&amp;M Excld FERC List'!H75+'INPUT - FTY O&amp;M Excld FERC List'!H76+'INPUT - FTY O&amp;M Excld FERC List'!H77+'INPUT - FTP O&amp;M Excld Allocates'!R382</f>
        <v>-30526.050680353921</v>
      </c>
      <c r="O102" s="1210">
        <v>0</v>
      </c>
      <c r="P102" s="1210">
        <v>0</v>
      </c>
      <c r="Q102" s="1210">
        <f t="shared" si="15"/>
        <v>-139029.89936763194</v>
      </c>
      <c r="R102" s="1210">
        <f t="shared" si="16"/>
        <v>2050331.3106323685</v>
      </c>
    </row>
    <row r="103" spans="1:18">
      <c r="A103" s="205">
        <f t="shared" si="18"/>
        <v>38</v>
      </c>
      <c r="B103" s="648">
        <v>923</v>
      </c>
      <c r="C103" s="133" t="s">
        <v>949</v>
      </c>
      <c r="D103" s="1210">
        <f>'C-2.1.B Oper Rev&amp;Exp by Accts'!F134</f>
        <v>6734943.9500000002</v>
      </c>
      <c r="E103" s="1210">
        <v>0</v>
      </c>
      <c r="F103" s="1210">
        <v>0</v>
      </c>
      <c r="G103" s="1210">
        <v>0</v>
      </c>
      <c r="H103" s="1210">
        <v>0</v>
      </c>
      <c r="I103" s="1210">
        <v>0</v>
      </c>
      <c r="J103" s="1210">
        <v>0</v>
      </c>
      <c r="K103" s="1210">
        <f>'INPUT - FTY O&amp;M Excld FERC List'!J7</f>
        <v>-68413.336560000011</v>
      </c>
      <c r="L103" s="1210">
        <f>'INPUT - FTY O&amp;M Excld FERC List'!H10+'INPUT - FTY O&amp;M Excld FERC List'!H16+'INPUT - FTP O&amp;M Excld Allocates'!H431+'INPUT - FTP O&amp;M Excld Allocates'!H906</f>
        <v>-3226.4347385058545</v>
      </c>
      <c r="M103" s="1210">
        <f>'INPUT - FTY O&amp;M Excld FERC List'!H28+'INPUT - FTY O&amp;M Excld FERC List'!H31+'INPUT - FTY O&amp;M Excld FERC List'!H33+'INPUT - FTY O&amp;M Excld FERC List'!H34+'INPUT - FTP O&amp;M Excld Allocates'!I383</f>
        <v>-16546.449127541251</v>
      </c>
      <c r="N103" s="1210">
        <f>'INPUT - FTY O&amp;M Excld FERC List'!H36+'INPUT - FTY O&amp;M Excld FERC List'!H38+'INPUT - FTY O&amp;M Excld FERC List'!H40+'INPUT - FTY O&amp;M Excld FERC List'!H44+'INPUT - FTY O&amp;M Excld FERC List'!H45+'INPUT - FTY O&amp;M Excld FERC List'!H47+'INPUT - FTY O&amp;M Excld FERC List'!H50+'INPUT - FTY O&amp;M Excld FERC List'!H63+'INPUT - FTY O&amp;M Excld FERC List'!H65+'INPUT - FTY O&amp;M Excld FERC List'!H66+'INPUT - FTY O&amp;M Excld FERC List'!H68+'INPUT - FTY O&amp;M Excld FERC List'!H69+'INPUT - FTY O&amp;M Excld FERC List'!H78+'INPUT - FTP O&amp;M Excld Allocates'!R383</f>
        <v>-76605.494138208058</v>
      </c>
      <c r="O103" s="1210">
        <v>0</v>
      </c>
      <c r="P103" s="1210">
        <v>0</v>
      </c>
      <c r="Q103" s="1210">
        <f t="shared" si="15"/>
        <v>-164791.71456425515</v>
      </c>
      <c r="R103" s="1210">
        <f t="shared" si="16"/>
        <v>6570152.2354357447</v>
      </c>
    </row>
    <row r="104" spans="1:18">
      <c r="A104" s="205">
        <f t="shared" si="18"/>
        <v>39</v>
      </c>
      <c r="B104" s="648">
        <v>924</v>
      </c>
      <c r="C104" s="133" t="s">
        <v>950</v>
      </c>
      <c r="D104" s="1210">
        <f>'C-2.1.B Oper Rev&amp;Exp by Accts'!F135</f>
        <v>86133.810000000012</v>
      </c>
      <c r="E104" s="1210">
        <v>0</v>
      </c>
      <c r="F104" s="1210">
        <v>0</v>
      </c>
      <c r="G104" s="1210">
        <v>0</v>
      </c>
      <c r="H104" s="1210">
        <v>0</v>
      </c>
      <c r="I104" s="1210">
        <f>69856-D104</f>
        <v>-16277.810000000012</v>
      </c>
      <c r="J104" s="1210">
        <v>0</v>
      </c>
      <c r="K104" s="1210">
        <v>0</v>
      </c>
      <c r="L104" s="1210">
        <v>0</v>
      </c>
      <c r="M104" s="1210">
        <v>0</v>
      </c>
      <c r="N104" s="1210">
        <v>0</v>
      </c>
      <c r="O104" s="1210">
        <v>0</v>
      </c>
      <c r="P104" s="1210">
        <v>0</v>
      </c>
      <c r="Q104" s="1210">
        <f t="shared" si="15"/>
        <v>-16277.810000000012</v>
      </c>
      <c r="R104" s="1210">
        <f t="shared" si="16"/>
        <v>69856</v>
      </c>
    </row>
    <row r="105" spans="1:18">
      <c r="A105" s="205">
        <f t="shared" si="18"/>
        <v>40</v>
      </c>
      <c r="B105" s="648">
        <v>925</v>
      </c>
      <c r="C105" s="133" t="s">
        <v>951</v>
      </c>
      <c r="D105" s="1210">
        <f>'C-2.1.B Oper Rev&amp;Exp by Accts'!F136</f>
        <v>1781959.4799999995</v>
      </c>
      <c r="E105" s="1210">
        <v>0</v>
      </c>
      <c r="F105" s="1210">
        <v>0</v>
      </c>
      <c r="G105" s="1210">
        <v>0</v>
      </c>
      <c r="H105" s="1210">
        <v>0</v>
      </c>
      <c r="I105" s="1210">
        <f>-288255-I104-I106</f>
        <v>-269094.63774650072</v>
      </c>
      <c r="J105" s="1210">
        <v>0</v>
      </c>
      <c r="K105" s="1210">
        <v>0</v>
      </c>
      <c r="L105" s="1210">
        <v>0</v>
      </c>
      <c r="M105" s="1210">
        <f>'INPUT - FTP O&amp;M Excld Allocates'!I385</f>
        <v>-1.1463468397985481</v>
      </c>
      <c r="N105" s="1210">
        <f>'INPUT - FTP O&amp;M Excld Allocates'!R385</f>
        <v>-9.0153875508453591</v>
      </c>
      <c r="O105" s="1210">
        <v>0</v>
      </c>
      <c r="P105" s="1210">
        <v>0</v>
      </c>
      <c r="Q105" s="1210">
        <f t="shared" si="15"/>
        <v>-269104.79948089138</v>
      </c>
      <c r="R105" s="1210">
        <f t="shared" si="16"/>
        <v>1512854.6805191082</v>
      </c>
    </row>
    <row r="106" spans="1:18">
      <c r="A106" s="205">
        <f t="shared" si="18"/>
        <v>41</v>
      </c>
      <c r="B106" s="648">
        <v>926</v>
      </c>
      <c r="C106" s="133" t="s">
        <v>952</v>
      </c>
      <c r="D106" s="1210">
        <f>'C-2.1.B Oper Rev&amp;Exp by Accts'!F137</f>
        <v>5312242.9300000006</v>
      </c>
      <c r="E106" s="1210">
        <v>0</v>
      </c>
      <c r="F106" s="1210">
        <v>0</v>
      </c>
      <c r="G106" s="1210">
        <f>'D-2.6'!R31</f>
        <v>-29637</v>
      </c>
      <c r="H106" s="1210">
        <v>0</v>
      </c>
      <c r="I106" s="1210">
        <f>'D-2.6'!R51*1%</f>
        <v>-2882.5522534993061</v>
      </c>
      <c r="J106" s="1210">
        <v>0</v>
      </c>
      <c r="K106" s="1210">
        <v>0</v>
      </c>
      <c r="L106" s="1210">
        <f>'INPUT - FTP O&amp;M Excld Allocates'!H482+'INPUT - FTP O&amp;M Excld Allocates'!H909</f>
        <v>-771.58098579541115</v>
      </c>
      <c r="M106" s="1210">
        <f>'INPUT - FTP O&amp;M Excld Allocates'!I386</f>
        <v>-36.119068852776714</v>
      </c>
      <c r="N106" s="1210">
        <f>'INPUT - FTP O&amp;M Excld Allocates'!R386</f>
        <v>-284.05661565802654</v>
      </c>
      <c r="O106" s="1210">
        <v>0</v>
      </c>
      <c r="P106" s="1210">
        <v>0</v>
      </c>
      <c r="Q106" s="1210">
        <f>SUM(E106:P106)</f>
        <v>-33611.308923805518</v>
      </c>
      <c r="R106" s="1210">
        <f t="shared" si="16"/>
        <v>5278631.6210761955</v>
      </c>
    </row>
    <row r="107" spans="1:18">
      <c r="A107" s="205"/>
      <c r="B107" s="206"/>
      <c r="D107" s="631"/>
      <c r="E107" s="631"/>
      <c r="F107" s="631"/>
      <c r="G107" s="631"/>
      <c r="H107" s="631"/>
      <c r="I107" s="631"/>
      <c r="J107" s="631"/>
      <c r="K107" s="631"/>
      <c r="L107" s="631"/>
      <c r="M107" s="631"/>
      <c r="N107" s="631"/>
      <c r="O107" s="631"/>
      <c r="P107" s="631"/>
      <c r="Q107" s="631"/>
      <c r="R107" s="631"/>
    </row>
    <row r="108" spans="1:18" ht="12.75" customHeight="1">
      <c r="A108" s="1328" t="str">
        <f>A1</f>
        <v>COLUMBIA GAS OF KENTUCKY, INC.</v>
      </c>
      <c r="B108" s="1328"/>
      <c r="C108" s="1328"/>
      <c r="D108" s="1328"/>
      <c r="E108" s="1328"/>
      <c r="F108" s="1328"/>
      <c r="G108" s="1328"/>
      <c r="H108" s="1328"/>
      <c r="I108" s="1328"/>
      <c r="J108" s="1328"/>
      <c r="K108" s="1328"/>
      <c r="L108" s="1328"/>
      <c r="M108" s="1328"/>
      <c r="N108" s="1328"/>
      <c r="O108" s="1328"/>
      <c r="P108" s="1328"/>
      <c r="Q108" s="1328"/>
      <c r="R108" s="1328"/>
    </row>
    <row r="109" spans="1:18" ht="12.75" customHeight="1">
      <c r="A109" s="1328" t="str">
        <f>A2</f>
        <v>CASE NO. 2024 - 00092</v>
      </c>
      <c r="B109" s="1328"/>
      <c r="C109" s="1328"/>
      <c r="D109" s="1328"/>
      <c r="E109" s="1328"/>
      <c r="F109" s="1328"/>
      <c r="G109" s="1328"/>
      <c r="H109" s="1328"/>
      <c r="I109" s="1328"/>
      <c r="J109" s="1328"/>
      <c r="K109" s="1328"/>
      <c r="L109" s="1328"/>
      <c r="M109" s="1328"/>
      <c r="N109" s="1328"/>
      <c r="O109" s="1328"/>
      <c r="P109" s="1328"/>
      <c r="Q109" s="1328"/>
      <c r="R109" s="1328"/>
    </row>
    <row r="110" spans="1:18" ht="12.75" customHeight="1">
      <c r="A110" s="1328" t="str">
        <f>A3</f>
        <v>SUMMARY OF ADJUSTMENTS TO OPERATING INCOME</v>
      </c>
      <c r="B110" s="1328"/>
      <c r="C110" s="1328"/>
      <c r="D110" s="1328"/>
      <c r="E110" s="1328"/>
      <c r="F110" s="1328"/>
      <c r="G110" s="1328"/>
      <c r="H110" s="1328"/>
      <c r="I110" s="1328"/>
      <c r="J110" s="1328"/>
      <c r="K110" s="1328"/>
      <c r="L110" s="1328"/>
      <c r="M110" s="1328"/>
      <c r="N110" s="1328"/>
      <c r="O110" s="1328"/>
      <c r="P110" s="1328"/>
      <c r="Q110" s="1328"/>
      <c r="R110" s="1328"/>
    </row>
    <row r="111" spans="1:18" ht="12.75" customHeight="1">
      <c r="A111" s="1328" t="str">
        <f>A4</f>
        <v>OPERATING INCOME BY MAJOR ACCOUNTS</v>
      </c>
      <c r="B111" s="1328"/>
      <c r="C111" s="1328"/>
      <c r="D111" s="1328"/>
      <c r="E111" s="1328"/>
      <c r="F111" s="1328"/>
      <c r="G111" s="1328"/>
      <c r="H111" s="1328"/>
      <c r="I111" s="1328"/>
      <c r="J111" s="1328"/>
      <c r="K111" s="1328"/>
      <c r="L111" s="1328"/>
      <c r="M111" s="1328"/>
      <c r="N111" s="1328"/>
      <c r="O111" s="1328"/>
      <c r="P111" s="1328"/>
      <c r="Q111" s="1328"/>
      <c r="R111" s="1328"/>
    </row>
    <row r="112" spans="1:18" ht="12.75" customHeight="1">
      <c r="A112" s="1328" t="str">
        <f>A5</f>
        <v>FOR THE TWELVE MONTHS ENDED AUGUST 31, 2024 AND THE TWELVE MONTHS ENDED DECEMBER 31, 2025</v>
      </c>
      <c r="B112" s="1328"/>
      <c r="C112" s="1328"/>
      <c r="D112" s="1328"/>
      <c r="E112" s="1328"/>
      <c r="F112" s="1328"/>
      <c r="G112" s="1328"/>
      <c r="H112" s="1328"/>
      <c r="I112" s="1328"/>
      <c r="J112" s="1328"/>
      <c r="K112" s="1328"/>
      <c r="L112" s="1328"/>
      <c r="M112" s="1328"/>
      <c r="N112" s="1328"/>
      <c r="O112" s="1328"/>
      <c r="P112" s="1328"/>
      <c r="Q112" s="1328"/>
      <c r="R112" s="1328"/>
    </row>
    <row r="113" spans="1:18" ht="12.75" customHeight="1">
      <c r="A113" s="622"/>
      <c r="B113" s="622"/>
      <c r="C113" s="622"/>
      <c r="D113" s="622"/>
      <c r="E113" s="622"/>
      <c r="F113" s="622"/>
      <c r="G113" s="622"/>
      <c r="H113" s="622"/>
      <c r="I113" s="622"/>
      <c r="J113" s="622"/>
      <c r="K113" s="622"/>
      <c r="L113" s="622"/>
      <c r="M113" s="622"/>
      <c r="N113" s="622"/>
      <c r="O113" s="622"/>
      <c r="P113" s="622"/>
      <c r="Q113" s="622"/>
      <c r="R113" s="622"/>
    </row>
    <row r="114" spans="1:18">
      <c r="A114" s="625" t="str">
        <f>A7</f>
        <v>DATA:_______BASE PERIOD___X___FORECASTED PERIOD</v>
      </c>
      <c r="R114" s="661" t="str">
        <f>R7</f>
        <v>SCHEDULE D-1.B</v>
      </c>
    </row>
    <row r="115" spans="1:18">
      <c r="A115" s="625" t="str">
        <f>A8</f>
        <v>TYPE OF FILING:___X___ORIGINAL______UPDATED</v>
      </c>
      <c r="R115" s="661" t="s">
        <v>1824</v>
      </c>
    </row>
    <row r="116" spans="1:18">
      <c r="A116" s="285" t="s">
        <v>58</v>
      </c>
      <c r="R116" s="661" t="str">
        <f>"WITNESS: "&amp;'General Headers Index'!$B$46</f>
        <v>WITNESS: SHAEFFER</v>
      </c>
    </row>
    <row r="117" spans="1:18">
      <c r="A117" s="1028"/>
      <c r="B117" s="861"/>
      <c r="C117" s="862"/>
      <c r="D117" s="862"/>
      <c r="E117" s="862"/>
      <c r="F117" s="862"/>
      <c r="G117" s="862"/>
      <c r="H117" s="862"/>
      <c r="I117" s="862"/>
      <c r="J117" s="862"/>
      <c r="K117" s="862"/>
      <c r="L117" s="862"/>
      <c r="M117" s="862"/>
      <c r="N117" s="862"/>
      <c r="O117" s="862"/>
      <c r="P117" s="862"/>
      <c r="Q117" s="862"/>
      <c r="R117" s="863"/>
    </row>
    <row r="118" spans="1:18">
      <c r="D118" s="205" t="s">
        <v>755</v>
      </c>
      <c r="E118" s="626"/>
      <c r="F118" s="626"/>
      <c r="G118" s="626"/>
      <c r="H118" s="626"/>
      <c r="I118" s="626"/>
      <c r="J118" s="626"/>
      <c r="K118" s="626"/>
      <c r="L118" s="626"/>
      <c r="M118" s="626"/>
      <c r="N118" s="626"/>
      <c r="O118" s="626"/>
      <c r="P118" s="626"/>
      <c r="Q118" s="627" t="s">
        <v>349</v>
      </c>
      <c r="R118" s="205" t="s">
        <v>351</v>
      </c>
    </row>
    <row r="119" spans="1:18">
      <c r="A119" s="205" t="s">
        <v>313</v>
      </c>
      <c r="B119" s="206" t="s">
        <v>958</v>
      </c>
      <c r="D119" s="205" t="s">
        <v>651</v>
      </c>
      <c r="E119" s="205" t="str">
        <f t="shared" ref="E119:P119" si="19">E61</f>
        <v>D-2.6</v>
      </c>
      <c r="F119" s="205" t="str">
        <f t="shared" si="19"/>
        <v>D-2.6</v>
      </c>
      <c r="G119" s="205" t="str">
        <f t="shared" si="19"/>
        <v>D-2.6</v>
      </c>
      <c r="H119" s="205" t="str">
        <f t="shared" si="19"/>
        <v>D-2.6</v>
      </c>
      <c r="I119" s="205" t="str">
        <f t="shared" si="19"/>
        <v>D-2.6</v>
      </c>
      <c r="J119" s="205" t="str">
        <f t="shared" si="19"/>
        <v>D-2.6</v>
      </c>
      <c r="K119" s="205" t="str">
        <f t="shared" si="19"/>
        <v>D-2.6</v>
      </c>
      <c r="L119" s="205" t="str">
        <f t="shared" si="19"/>
        <v>D-2.6</v>
      </c>
      <c r="M119" s="205" t="str">
        <f t="shared" si="19"/>
        <v>D-2.6</v>
      </c>
      <c r="N119" s="205" t="str">
        <f t="shared" si="19"/>
        <v>D-2.6</v>
      </c>
      <c r="O119" s="205" t="str">
        <f t="shared" si="19"/>
        <v>D-2.6</v>
      </c>
      <c r="P119" s="205" t="str">
        <f t="shared" si="19"/>
        <v>D-2.6</v>
      </c>
      <c r="Q119" s="205" t="s">
        <v>694</v>
      </c>
      <c r="R119" s="205" t="s">
        <v>651</v>
      </c>
    </row>
    <row r="120" spans="1:18">
      <c r="A120" s="1029" t="s">
        <v>316</v>
      </c>
      <c r="B120" s="1030" t="s">
        <v>959</v>
      </c>
      <c r="C120" s="1031"/>
      <c r="D120" s="1029" t="s">
        <v>319</v>
      </c>
      <c r="E120" s="1029" t="str">
        <f t="shared" ref="E120:P120" si="20">E62</f>
        <v>ADJ 1</v>
      </c>
      <c r="F120" s="1029" t="str">
        <f t="shared" si="20"/>
        <v>ADJ 2.1 &amp; ADJ 2.2</v>
      </c>
      <c r="G120" s="1029" t="str">
        <f t="shared" si="20"/>
        <v>ADJ 3</v>
      </c>
      <c r="H120" s="1033" t="str">
        <f t="shared" si="20"/>
        <v>ADJ 4.1 - ADJ 4.3</v>
      </c>
      <c r="I120" s="1033" t="str">
        <f t="shared" si="20"/>
        <v>ADJ 5</v>
      </c>
      <c r="J120" s="1029" t="str">
        <f t="shared" si="20"/>
        <v>ADJ 6</v>
      </c>
      <c r="K120" s="1029" t="str">
        <f t="shared" si="20"/>
        <v>ADJ 7.1</v>
      </c>
      <c r="L120" s="1029" t="str">
        <f t="shared" si="20"/>
        <v>ADJ 7.2</v>
      </c>
      <c r="M120" s="1029" t="str">
        <f t="shared" si="20"/>
        <v>ADJ 8.1</v>
      </c>
      <c r="N120" s="1029" t="str">
        <f t="shared" si="20"/>
        <v>ADJ 8.2</v>
      </c>
      <c r="O120" s="1029" t="str">
        <f t="shared" si="20"/>
        <v>ADJ 9</v>
      </c>
      <c r="P120" s="1029" t="str">
        <f t="shared" si="20"/>
        <v>ADJ 10</v>
      </c>
      <c r="Q120" s="1029" t="s">
        <v>963</v>
      </c>
      <c r="R120" s="1029" t="s">
        <v>319</v>
      </c>
    </row>
    <row r="121" spans="1:18">
      <c r="A121" s="205"/>
      <c r="B121" s="206"/>
      <c r="D121" s="207" t="s">
        <v>532</v>
      </c>
      <c r="E121" s="207" t="s">
        <v>541</v>
      </c>
      <c r="F121" s="207" t="s">
        <v>542</v>
      </c>
      <c r="G121" s="207" t="s">
        <v>669</v>
      </c>
      <c r="H121" s="207" t="s">
        <v>670</v>
      </c>
      <c r="I121" s="207" t="s">
        <v>984</v>
      </c>
      <c r="J121" s="207" t="s">
        <v>985</v>
      </c>
      <c r="K121" s="207" t="s">
        <v>986</v>
      </c>
      <c r="L121" s="207" t="s">
        <v>987</v>
      </c>
      <c r="M121" s="207" t="s">
        <v>988</v>
      </c>
      <c r="N121" s="207" t="s">
        <v>989</v>
      </c>
      <c r="O121" s="207" t="s">
        <v>990</v>
      </c>
      <c r="P121" s="207" t="s">
        <v>991</v>
      </c>
      <c r="Q121" s="207" t="s">
        <v>2330</v>
      </c>
      <c r="R121" s="207" t="s">
        <v>2331</v>
      </c>
    </row>
    <row r="122" spans="1:18">
      <c r="D122" s="537" t="s">
        <v>320</v>
      </c>
      <c r="E122" s="537" t="s">
        <v>320</v>
      </c>
      <c r="F122" s="537" t="s">
        <v>320</v>
      </c>
      <c r="G122" s="537" t="s">
        <v>320</v>
      </c>
      <c r="H122" s="537" t="s">
        <v>320</v>
      </c>
      <c r="I122" s="537" t="s">
        <v>320</v>
      </c>
      <c r="J122" s="537" t="s">
        <v>320</v>
      </c>
      <c r="K122" s="537" t="s">
        <v>320</v>
      </c>
      <c r="L122" s="537" t="s">
        <v>320</v>
      </c>
      <c r="M122" s="537" t="s">
        <v>320</v>
      </c>
      <c r="N122" s="537" t="s">
        <v>320</v>
      </c>
      <c r="O122" s="537" t="s">
        <v>320</v>
      </c>
      <c r="P122" s="537" t="s">
        <v>320</v>
      </c>
      <c r="Q122" s="537" t="s">
        <v>320</v>
      </c>
      <c r="R122" s="537" t="s">
        <v>320</v>
      </c>
    </row>
    <row r="123" spans="1:18">
      <c r="D123" s="537"/>
      <c r="E123" s="537"/>
      <c r="F123" s="537"/>
      <c r="G123" s="537"/>
      <c r="H123" s="537"/>
      <c r="I123" s="537"/>
      <c r="J123" s="537"/>
      <c r="K123" s="537"/>
      <c r="L123" s="537"/>
      <c r="M123" s="537"/>
      <c r="N123" s="537"/>
      <c r="O123" s="537"/>
      <c r="P123" s="537"/>
      <c r="Q123" s="537"/>
      <c r="R123" s="537"/>
    </row>
    <row r="124" spans="1:18">
      <c r="A124" s="205">
        <v>1</v>
      </c>
      <c r="B124" s="648">
        <v>928</v>
      </c>
      <c r="C124" s="133" t="s">
        <v>953</v>
      </c>
      <c r="D124" s="1210">
        <f>'C-2.1.B Oper Rev&amp;Exp by Accts'!F138</f>
        <v>454047.51000000007</v>
      </c>
      <c r="E124" s="1210">
        <v>0</v>
      </c>
      <c r="F124" s="1210">
        <v>0</v>
      </c>
      <c r="G124" s="1210">
        <v>0</v>
      </c>
      <c r="H124" s="1210">
        <v>0</v>
      </c>
      <c r="I124" s="1210">
        <v>0</v>
      </c>
      <c r="J124" s="1210">
        <f>'D-2.6'!R68</f>
        <v>945747</v>
      </c>
      <c r="K124" s="1210">
        <v>0</v>
      </c>
      <c r="L124" s="1210">
        <v>0</v>
      </c>
      <c r="M124" s="1210">
        <v>0</v>
      </c>
      <c r="N124" s="1210">
        <v>0</v>
      </c>
      <c r="O124" s="1210">
        <v>0</v>
      </c>
      <c r="P124" s="1210">
        <v>0</v>
      </c>
      <c r="Q124" s="1210">
        <f t="shared" ref="Q124:Q129" si="21">SUM(E124:P124)</f>
        <v>945747</v>
      </c>
      <c r="R124" s="1210">
        <f t="shared" ref="R124:R129" si="22">D124+Q124</f>
        <v>1399794.51</v>
      </c>
    </row>
    <row r="125" spans="1:18">
      <c r="A125" s="205">
        <f>A124+1</f>
        <v>2</v>
      </c>
      <c r="B125" s="663">
        <v>930.1</v>
      </c>
      <c r="C125" s="133" t="s">
        <v>1146</v>
      </c>
      <c r="D125" s="1210">
        <f>'C-2.1.B Oper Rev&amp;Exp by Accts'!F139</f>
        <v>23226.35</v>
      </c>
      <c r="E125" s="1210">
        <v>0</v>
      </c>
      <c r="F125" s="1210">
        <v>0</v>
      </c>
      <c r="G125" s="1210">
        <v>0</v>
      </c>
      <c r="H125" s="1210">
        <v>0</v>
      </c>
      <c r="I125" s="1210">
        <v>0</v>
      </c>
      <c r="J125" s="1210">
        <v>0</v>
      </c>
      <c r="K125" s="1210">
        <v>0</v>
      </c>
      <c r="L125" s="1210">
        <v>0</v>
      </c>
      <c r="M125" s="1210">
        <v>0</v>
      </c>
      <c r="N125" s="1210">
        <f>'INPUT - FTY O&amp;M Excld FERC List'!H51+'INPUT - FTP O&amp;M Excld Allocates'!R388</f>
        <v>-5554.3332730418015</v>
      </c>
      <c r="O125" s="1210">
        <v>0</v>
      </c>
      <c r="P125" s="1210">
        <v>0</v>
      </c>
      <c r="Q125" s="1210">
        <f t="shared" si="21"/>
        <v>-5554.3332730418015</v>
      </c>
      <c r="R125" s="1210">
        <f t="shared" si="22"/>
        <v>17672.016726958198</v>
      </c>
    </row>
    <row r="126" spans="1:18">
      <c r="A126" s="205">
        <f>A125+1</f>
        <v>3</v>
      </c>
      <c r="B126" s="663">
        <v>930.2</v>
      </c>
      <c r="C126" s="133" t="s">
        <v>1147</v>
      </c>
      <c r="D126" s="1210">
        <f>'C-2.1.B Oper Rev&amp;Exp by Accts'!F140</f>
        <v>124788.08999999998</v>
      </c>
      <c r="E126" s="1210">
        <v>0</v>
      </c>
      <c r="F126" s="1210">
        <v>0</v>
      </c>
      <c r="G126" s="1210">
        <v>0</v>
      </c>
      <c r="H126" s="1210">
        <v>0</v>
      </c>
      <c r="I126" s="1210">
        <v>0</v>
      </c>
      <c r="J126" s="1210">
        <v>0</v>
      </c>
      <c r="K126" s="1210">
        <f>'INPUT - FTY O&amp;M Excld FERC List'!J4</f>
        <v>-6802.7720400000007</v>
      </c>
      <c r="L126" s="1210">
        <f>'INPUT - FTY O&amp;M Excld FERC List'!H17+'INPUT - FTP O&amp;M Excld Allocates'!H437</f>
        <v>-14037.151301304577</v>
      </c>
      <c r="M126" s="1210">
        <f>'INPUT - FTP O&amp;M Excld Allocates'!I389</f>
        <v>-2.5729087979787577</v>
      </c>
      <c r="N126" s="1210">
        <f>'INPUT - FTY O&amp;M Excld FERC List'!H37+'INPUT - FTY O&amp;M Excld FERC List'!H39+'INPUT - FTY O&amp;M Excld FERC List'!H46+'INPUT - FTY O&amp;M Excld FERC List'!H52+'INPUT - FTP O&amp;M Excld Allocates'!R389</f>
        <v>-5546.6900426695265</v>
      </c>
      <c r="O126" s="1210">
        <v>0</v>
      </c>
      <c r="P126" s="1210">
        <v>0</v>
      </c>
      <c r="Q126" s="1210">
        <f t="shared" si="21"/>
        <v>-26389.186292772079</v>
      </c>
      <c r="R126" s="1210">
        <f t="shared" si="22"/>
        <v>98398.903707227902</v>
      </c>
    </row>
    <row r="127" spans="1:18">
      <c r="A127" s="205">
        <f>A126+1</f>
        <v>4</v>
      </c>
      <c r="B127" s="648">
        <v>931</v>
      </c>
      <c r="C127" s="133" t="s">
        <v>954</v>
      </c>
      <c r="D127" s="1210">
        <f>'C-2.1.B Oper Rev&amp;Exp by Accts'!F141</f>
        <v>670466.30000000005</v>
      </c>
      <c r="E127" s="1210">
        <v>0</v>
      </c>
      <c r="F127" s="1210">
        <v>0</v>
      </c>
      <c r="G127" s="1210">
        <v>0</v>
      </c>
      <c r="H127" s="1210">
        <v>0</v>
      </c>
      <c r="I127" s="1210">
        <v>0</v>
      </c>
      <c r="J127" s="1210">
        <v>0</v>
      </c>
      <c r="K127" s="1210">
        <v>0</v>
      </c>
      <c r="L127" s="1210">
        <v>0</v>
      </c>
      <c r="M127" s="1210">
        <f>'INPUT - FTP O&amp;M Excld Allocates'!I390</f>
        <v>-12.881558939552374</v>
      </c>
      <c r="N127" s="1210">
        <f>'INPUT - FTY O&amp;M Excld FERC List'!H70+'INPUT - FTY O&amp;M Excld FERC List'!H74+'INPUT - FTP O&amp;M Excld Allocates'!R390</f>
        <v>-3127.5549378494206</v>
      </c>
      <c r="O127" s="1210">
        <v>0</v>
      </c>
      <c r="P127" s="1210">
        <v>0</v>
      </c>
      <c r="Q127" s="1210">
        <f t="shared" si="21"/>
        <v>-3140.4364967889728</v>
      </c>
      <c r="R127" s="1210">
        <f t="shared" si="22"/>
        <v>667325.86350321106</v>
      </c>
    </row>
    <row r="128" spans="1:18">
      <c r="A128" s="205">
        <f>A127+1</f>
        <v>5</v>
      </c>
      <c r="B128" s="648">
        <v>932</v>
      </c>
      <c r="C128" s="133" t="s">
        <v>1032</v>
      </c>
      <c r="D128" s="1210">
        <f>'C-2.1.B Oper Rev&amp;Exp by Accts'!F145</f>
        <v>1700536.4000000001</v>
      </c>
      <c r="E128" s="1210">
        <v>0</v>
      </c>
      <c r="F128" s="1210">
        <v>0</v>
      </c>
      <c r="G128" s="1210">
        <v>0</v>
      </c>
      <c r="H128" s="1210">
        <v>0</v>
      </c>
      <c r="I128" s="1210">
        <v>0</v>
      </c>
      <c r="J128" s="1210">
        <v>0</v>
      </c>
      <c r="K128" s="1210">
        <v>0</v>
      </c>
      <c r="L128" s="1210">
        <v>0</v>
      </c>
      <c r="M128" s="1210">
        <f>'INPUT - FTP O&amp;M Excld Allocates'!I391</f>
        <v>-35.067840820569685</v>
      </c>
      <c r="N128" s="1210">
        <f>'INPUT - FTP O&amp;M Excld Allocates'!R391</f>
        <v>-275.78928522570783</v>
      </c>
      <c r="O128" s="1210">
        <v>0</v>
      </c>
      <c r="P128" s="1210">
        <v>0</v>
      </c>
      <c r="Q128" s="1210">
        <f t="shared" si="21"/>
        <v>-310.85712604627753</v>
      </c>
      <c r="R128" s="1210">
        <f t="shared" si="22"/>
        <v>1700225.5428739539</v>
      </c>
    </row>
    <row r="129" spans="1:18">
      <c r="A129" s="205">
        <f>A128+1</f>
        <v>6</v>
      </c>
      <c r="B129" s="648">
        <v>935</v>
      </c>
      <c r="C129" s="133" t="s">
        <v>34</v>
      </c>
      <c r="D129" s="1211">
        <f>'C-2.1.B Oper Rev&amp;Exp by Accts'!F146</f>
        <v>0</v>
      </c>
      <c r="E129" s="1211">
        <v>0</v>
      </c>
      <c r="F129" s="1211">
        <v>0</v>
      </c>
      <c r="G129" s="1211">
        <v>0</v>
      </c>
      <c r="H129" s="1211">
        <v>0</v>
      </c>
      <c r="I129" s="1211">
        <v>0</v>
      </c>
      <c r="J129" s="1211">
        <v>0</v>
      </c>
      <c r="K129" s="1211">
        <v>0</v>
      </c>
      <c r="L129" s="1211">
        <v>0</v>
      </c>
      <c r="M129" s="1211">
        <v>0</v>
      </c>
      <c r="N129" s="1211">
        <v>0</v>
      </c>
      <c r="O129" s="1211">
        <v>0</v>
      </c>
      <c r="P129" s="1211">
        <v>0</v>
      </c>
      <c r="Q129" s="1211">
        <f t="shared" si="21"/>
        <v>0</v>
      </c>
      <c r="R129" s="1211">
        <f t="shared" si="22"/>
        <v>0</v>
      </c>
    </row>
    <row r="130" spans="1:18">
      <c r="A130" s="205"/>
      <c r="D130" s="1210"/>
      <c r="E130" s="1210"/>
      <c r="F130" s="1210"/>
      <c r="G130" s="1210"/>
      <c r="H130" s="1210"/>
      <c r="I130" s="1210"/>
      <c r="J130" s="1210"/>
      <c r="K130" s="1210"/>
      <c r="L130" s="1210"/>
      <c r="M130" s="1210"/>
      <c r="N130" s="1210"/>
      <c r="O130" s="1210"/>
      <c r="P130" s="1210"/>
      <c r="Q130" s="1210"/>
      <c r="R130" s="1210"/>
    </row>
    <row r="131" spans="1:18">
      <c r="A131" s="205">
        <f>A129+1</f>
        <v>7</v>
      </c>
      <c r="B131" s="133" t="s">
        <v>1800</v>
      </c>
      <c r="D131" s="1213"/>
      <c r="E131" s="1213"/>
      <c r="F131" s="1213"/>
      <c r="G131" s="1213"/>
      <c r="H131" s="1213"/>
      <c r="I131" s="1213"/>
      <c r="J131" s="1213"/>
      <c r="K131" s="1213"/>
      <c r="L131" s="1213"/>
      <c r="M131" s="1213"/>
      <c r="N131" s="1213"/>
      <c r="O131" s="1213"/>
      <c r="P131" s="1213"/>
      <c r="Q131" s="1213"/>
      <c r="R131" s="1213"/>
    </row>
    <row r="132" spans="1:18" ht="12.75" thickBot="1">
      <c r="A132" s="205">
        <f>A131+1</f>
        <v>8</v>
      </c>
      <c r="B132" s="133"/>
      <c r="C132" s="133" t="s">
        <v>968</v>
      </c>
      <c r="D132" s="1215">
        <f>SUM(D66:D106)+SUM(D124:D129)</f>
        <v>53090861.040000007</v>
      </c>
      <c r="E132" s="1215">
        <f t="shared" ref="E132:R132" si="23">SUM(E66:E106)+SUM(E124:E129)</f>
        <v>0</v>
      </c>
      <c r="F132" s="1215">
        <f t="shared" si="23"/>
        <v>334.15310344826139</v>
      </c>
      <c r="G132" s="1215">
        <f t="shared" si="23"/>
        <v>-29637</v>
      </c>
      <c r="H132" s="1215">
        <f t="shared" si="23"/>
        <v>-492045.91991000011</v>
      </c>
      <c r="I132" s="1215">
        <f t="shared" si="23"/>
        <v>-288255</v>
      </c>
      <c r="J132" s="1215">
        <f t="shared" si="23"/>
        <v>945747</v>
      </c>
      <c r="K132" s="1215">
        <f t="shared" ref="K132:P132" si="24">SUM(K66:K106)+SUM(K124:K129)</f>
        <v>-103138.39518000001</v>
      </c>
      <c r="L132" s="1215">
        <f>SUM(L66:L106)+SUM(L124:L129)</f>
        <v>-111556.23586929898</v>
      </c>
      <c r="M132" s="1215">
        <f t="shared" si="24"/>
        <v>-21122.933042329569</v>
      </c>
      <c r="N132" s="1215">
        <f>SUM(N66:N106)+SUM(N124:N129)</f>
        <v>-124614.73243392857</v>
      </c>
      <c r="O132" s="1215">
        <f t="shared" si="24"/>
        <v>0</v>
      </c>
      <c r="P132" s="1215">
        <f t="shared" si="24"/>
        <v>0</v>
      </c>
      <c r="Q132" s="1215">
        <f>SUM(Q66:Q106)+SUM(Q124:Q129)</f>
        <v>-224289.06333210913</v>
      </c>
      <c r="R132" s="1215">
        <f t="shared" si="23"/>
        <v>52866571.976667896</v>
      </c>
    </row>
    <row r="133" spans="1:18" ht="12.75" thickTop="1">
      <c r="A133" s="205"/>
      <c r="B133" s="214"/>
      <c r="D133" s="1213"/>
      <c r="E133" s="1213"/>
      <c r="F133" s="1213"/>
      <c r="G133" s="1213"/>
      <c r="H133" s="1213"/>
      <c r="I133" s="1213"/>
      <c r="J133" s="1213"/>
      <c r="K133" s="1213"/>
      <c r="L133" s="1213"/>
      <c r="M133" s="1213"/>
      <c r="N133" s="1213"/>
      <c r="O133" s="1213"/>
      <c r="P133" s="1213"/>
      <c r="Q133" s="1213"/>
      <c r="R133" s="1213"/>
    </row>
    <row r="134" spans="1:18">
      <c r="A134" s="205">
        <f>A132+1</f>
        <v>9</v>
      </c>
      <c r="B134" s="214" t="s">
        <v>1821</v>
      </c>
      <c r="C134" s="133" t="s">
        <v>306</v>
      </c>
      <c r="D134" s="1210">
        <f>'C-2.1.B Oper Rev&amp;Exp by Accts'!F151</f>
        <v>24472166.030000001</v>
      </c>
      <c r="E134" s="1210">
        <v>0</v>
      </c>
      <c r="F134" s="1210">
        <v>0</v>
      </c>
      <c r="G134" s="1210">
        <v>0</v>
      </c>
      <c r="H134" s="1210">
        <v>0</v>
      </c>
      <c r="I134" s="1210">
        <v>0</v>
      </c>
      <c r="J134" s="1210">
        <v>0</v>
      </c>
      <c r="K134" s="1210">
        <v>0</v>
      </c>
      <c r="L134" s="1210">
        <v>0</v>
      </c>
      <c r="M134" s="1210">
        <v>0</v>
      </c>
      <c r="N134" s="1210">
        <v>0</v>
      </c>
      <c r="O134" s="1210">
        <f>'D-2.6'!R100</f>
        <v>2011730.23780955</v>
      </c>
      <c r="P134" s="1210">
        <v>0</v>
      </c>
      <c r="Q134" s="1210">
        <f>SUM(E134:P134)</f>
        <v>2011730.23780955</v>
      </c>
      <c r="R134" s="1210">
        <f>D134+Q134</f>
        <v>26483896.267809551</v>
      </c>
    </row>
    <row r="135" spans="1:18">
      <c r="A135" s="205"/>
      <c r="B135" s="214"/>
      <c r="D135" s="1210"/>
      <c r="E135" s="1210"/>
      <c r="F135" s="1210"/>
      <c r="G135" s="1210"/>
      <c r="H135" s="1210"/>
      <c r="I135" s="1210"/>
      <c r="J135" s="1210"/>
      <c r="K135" s="1210"/>
      <c r="L135" s="1210"/>
      <c r="M135" s="1210"/>
      <c r="N135" s="1210"/>
      <c r="O135" s="1210"/>
      <c r="P135" s="1210"/>
      <c r="Q135" s="1210"/>
      <c r="R135" s="1210"/>
    </row>
    <row r="136" spans="1:18">
      <c r="A136" s="205">
        <f>A134+1</f>
        <v>10</v>
      </c>
      <c r="B136" s="664">
        <v>408</v>
      </c>
      <c r="C136" s="133" t="s">
        <v>898</v>
      </c>
      <c r="D136" s="1210">
        <f>'C-2.1.B Oper Rev&amp;Exp by Accts'!F152</f>
        <v>9372000</v>
      </c>
      <c r="E136" s="1210">
        <v>0</v>
      </c>
      <c r="F136" s="1210">
        <v>0</v>
      </c>
      <c r="G136" s="1210">
        <v>0</v>
      </c>
      <c r="H136" s="1210">
        <v>0</v>
      </c>
      <c r="I136" s="1210">
        <v>0</v>
      </c>
      <c r="J136" s="1210">
        <v>0</v>
      </c>
      <c r="K136" s="1210">
        <v>0</v>
      </c>
      <c r="L136" s="1210">
        <v>0</v>
      </c>
      <c r="M136" s="1210">
        <v>0</v>
      </c>
      <c r="N136" s="1210">
        <v>0</v>
      </c>
      <c r="O136" s="1210">
        <v>0</v>
      </c>
      <c r="P136" s="1210">
        <f>'D-2.6'!R106</f>
        <v>-1920240.9032976823</v>
      </c>
      <c r="Q136" s="1210">
        <f>SUM(E136:P136)</f>
        <v>-1920240.9032976823</v>
      </c>
      <c r="R136" s="1210">
        <f>D136+Q136</f>
        <v>7451759.0967023177</v>
      </c>
    </row>
    <row r="137" spans="1:18">
      <c r="A137" s="205">
        <f>A136+1</f>
        <v>11</v>
      </c>
      <c r="B137" s="664">
        <v>408</v>
      </c>
      <c r="C137" s="133" t="s">
        <v>899</v>
      </c>
      <c r="D137" s="1210">
        <f>'C-2.1.B Oper Rev&amp;Exp by Accts'!F153</f>
        <v>900432.44286459521</v>
      </c>
      <c r="E137" s="1210">
        <v>0</v>
      </c>
      <c r="F137" s="1210">
        <v>0</v>
      </c>
      <c r="G137" s="1210">
        <v>0</v>
      </c>
      <c r="H137" s="1210">
        <v>0</v>
      </c>
      <c r="I137" s="1210">
        <v>0</v>
      </c>
      <c r="J137" s="1210">
        <v>0</v>
      </c>
      <c r="K137" s="1210">
        <v>0</v>
      </c>
      <c r="L137" s="1210">
        <v>0</v>
      </c>
      <c r="M137" s="1210">
        <v>0</v>
      </c>
      <c r="N137" s="1210">
        <v>0</v>
      </c>
      <c r="O137" s="1210">
        <v>0</v>
      </c>
      <c r="P137" s="1210">
        <v>0</v>
      </c>
      <c r="Q137" s="1210">
        <f>SUM(E137:P137)</f>
        <v>0</v>
      </c>
      <c r="R137" s="1210">
        <f>D137+Q137</f>
        <v>900432.44286459521</v>
      </c>
    </row>
    <row r="138" spans="1:18">
      <c r="A138" s="205">
        <f>A137+1</f>
        <v>12</v>
      </c>
      <c r="B138" s="664">
        <v>408</v>
      </c>
      <c r="C138" s="133" t="s">
        <v>900</v>
      </c>
      <c r="D138" s="1214">
        <f>'C-2.1.B Oper Rev&amp;Exp by Accts'!F154</f>
        <v>225600</v>
      </c>
      <c r="E138" s="1214">
        <v>0</v>
      </c>
      <c r="F138" s="1214">
        <v>0</v>
      </c>
      <c r="G138" s="1214">
        <v>0</v>
      </c>
      <c r="H138" s="1214">
        <v>0</v>
      </c>
      <c r="I138" s="1214">
        <v>0</v>
      </c>
      <c r="J138" s="1214">
        <v>0</v>
      </c>
      <c r="K138" s="1214">
        <v>0</v>
      </c>
      <c r="L138" s="1214">
        <v>0</v>
      </c>
      <c r="M138" s="1214">
        <v>0</v>
      </c>
      <c r="N138" s="1214">
        <v>0</v>
      </c>
      <c r="O138" s="1214">
        <v>0</v>
      </c>
      <c r="P138" s="1214">
        <v>0</v>
      </c>
      <c r="Q138" s="1214">
        <f>SUM(E138:P138)</f>
        <v>0</v>
      </c>
      <c r="R138" s="1214">
        <f>D138+Q138</f>
        <v>225600</v>
      </c>
    </row>
    <row r="139" spans="1:18">
      <c r="A139" s="205">
        <f>A138+1</f>
        <v>13</v>
      </c>
      <c r="B139" s="660" t="s">
        <v>981</v>
      </c>
      <c r="D139" s="1210">
        <f t="shared" ref="D139:R139" si="25">SUM(D136:D138)</f>
        <v>10498032.442864595</v>
      </c>
      <c r="E139" s="1210">
        <f t="shared" si="25"/>
        <v>0</v>
      </c>
      <c r="F139" s="1210">
        <f t="shared" si="25"/>
        <v>0</v>
      </c>
      <c r="G139" s="1210">
        <f t="shared" si="25"/>
        <v>0</v>
      </c>
      <c r="H139" s="1210">
        <f t="shared" si="25"/>
        <v>0</v>
      </c>
      <c r="I139" s="1210">
        <f t="shared" si="25"/>
        <v>0</v>
      </c>
      <c r="J139" s="1210">
        <f t="shared" si="25"/>
        <v>0</v>
      </c>
      <c r="K139" s="1210">
        <f t="shared" si="25"/>
        <v>0</v>
      </c>
      <c r="L139" s="1210">
        <f t="shared" si="25"/>
        <v>0</v>
      </c>
      <c r="M139" s="1210">
        <f t="shared" si="25"/>
        <v>0</v>
      </c>
      <c r="N139" s="1210">
        <f t="shared" si="25"/>
        <v>0</v>
      </c>
      <c r="O139" s="1210">
        <f t="shared" si="25"/>
        <v>0</v>
      </c>
      <c r="P139" s="1210">
        <f t="shared" si="25"/>
        <v>-1920240.9032976823</v>
      </c>
      <c r="Q139" s="1210">
        <f t="shared" si="25"/>
        <v>-1920240.9032976823</v>
      </c>
      <c r="R139" s="1210">
        <f t="shared" si="25"/>
        <v>8577791.5395669118</v>
      </c>
    </row>
    <row r="140" spans="1:18">
      <c r="A140" s="205"/>
      <c r="D140" s="1210"/>
      <c r="E140" s="1210"/>
      <c r="F140" s="1210"/>
      <c r="G140" s="1210"/>
      <c r="H140" s="1210"/>
      <c r="I140" s="1210"/>
      <c r="J140" s="1210"/>
      <c r="K140" s="1210"/>
      <c r="L140" s="1210"/>
      <c r="M140" s="1210"/>
      <c r="N140" s="1210"/>
      <c r="O140" s="1210"/>
      <c r="P140" s="1210"/>
      <c r="Q140" s="1210"/>
      <c r="R140" s="1210"/>
    </row>
    <row r="141" spans="1:18">
      <c r="A141" s="205">
        <f>A139+1</f>
        <v>14</v>
      </c>
      <c r="B141" s="660" t="s">
        <v>1801</v>
      </c>
      <c r="D141" s="1211">
        <f t="shared" ref="D141:R141" si="26">D134+D139</f>
        <v>34970198.472864598</v>
      </c>
      <c r="E141" s="1211">
        <f t="shared" si="26"/>
        <v>0</v>
      </c>
      <c r="F141" s="1211">
        <f t="shared" si="26"/>
        <v>0</v>
      </c>
      <c r="G141" s="1211">
        <f t="shared" si="26"/>
        <v>0</v>
      </c>
      <c r="H141" s="1211">
        <f t="shared" si="26"/>
        <v>0</v>
      </c>
      <c r="I141" s="1211">
        <f t="shared" si="26"/>
        <v>0</v>
      </c>
      <c r="J141" s="1211">
        <f t="shared" si="26"/>
        <v>0</v>
      </c>
      <c r="K141" s="1211">
        <f t="shared" si="26"/>
        <v>0</v>
      </c>
      <c r="L141" s="1211">
        <f t="shared" si="26"/>
        <v>0</v>
      </c>
      <c r="M141" s="1211">
        <f t="shared" si="26"/>
        <v>0</v>
      </c>
      <c r="N141" s="1211">
        <f t="shared" si="26"/>
        <v>0</v>
      </c>
      <c r="O141" s="1211">
        <f t="shared" si="26"/>
        <v>2011730.23780955</v>
      </c>
      <c r="P141" s="1211">
        <f t="shared" si="26"/>
        <v>-1920240.9032976823</v>
      </c>
      <c r="Q141" s="1211">
        <f t="shared" si="26"/>
        <v>91489.334511867724</v>
      </c>
      <c r="R141" s="1211">
        <f t="shared" si="26"/>
        <v>35061687.807376459</v>
      </c>
    </row>
    <row r="142" spans="1:18">
      <c r="A142" s="205"/>
      <c r="B142" s="665"/>
      <c r="D142" s="1210"/>
      <c r="E142" s="1210"/>
      <c r="F142" s="1210"/>
      <c r="G142" s="1210"/>
      <c r="H142" s="1210"/>
      <c r="I142" s="1210"/>
      <c r="J142" s="1210"/>
      <c r="K142" s="1210"/>
      <c r="L142" s="1210"/>
      <c r="M142" s="1210"/>
      <c r="N142" s="1210"/>
      <c r="O142" s="1210"/>
      <c r="P142" s="1210"/>
      <c r="Q142" s="1210"/>
      <c r="R142" s="1210"/>
    </row>
    <row r="143" spans="1:18">
      <c r="A143" s="205">
        <f>A141+1</f>
        <v>15</v>
      </c>
      <c r="B143" s="660" t="s">
        <v>1825</v>
      </c>
      <c r="D143" s="1210">
        <f t="shared" ref="D143:R143" si="27">D132+D141</f>
        <v>88061059.512864605</v>
      </c>
      <c r="E143" s="1210">
        <f t="shared" si="27"/>
        <v>0</v>
      </c>
      <c r="F143" s="1210">
        <f t="shared" si="27"/>
        <v>334.15310344826139</v>
      </c>
      <c r="G143" s="1210">
        <f t="shared" si="27"/>
        <v>-29637</v>
      </c>
      <c r="H143" s="1210">
        <f t="shared" si="27"/>
        <v>-492045.91991000011</v>
      </c>
      <c r="I143" s="1210">
        <f t="shared" si="27"/>
        <v>-288255</v>
      </c>
      <c r="J143" s="1210">
        <f t="shared" si="27"/>
        <v>945747</v>
      </c>
      <c r="K143" s="1210">
        <f t="shared" si="27"/>
        <v>-103138.39518000001</v>
      </c>
      <c r="L143" s="1210">
        <f t="shared" si="27"/>
        <v>-111556.23586929898</v>
      </c>
      <c r="M143" s="1210">
        <f t="shared" si="27"/>
        <v>-21122.933042329569</v>
      </c>
      <c r="N143" s="1210">
        <f t="shared" si="27"/>
        <v>-124614.73243392857</v>
      </c>
      <c r="O143" s="1210">
        <f t="shared" si="27"/>
        <v>2011730.23780955</v>
      </c>
      <c r="P143" s="1210">
        <f t="shared" si="27"/>
        <v>-1920240.9032976823</v>
      </c>
      <c r="Q143" s="1210">
        <f t="shared" si="27"/>
        <v>-132799.72882024141</v>
      </c>
      <c r="R143" s="1210">
        <f t="shared" si="27"/>
        <v>87928259.784044355</v>
      </c>
    </row>
    <row r="144" spans="1:18">
      <c r="A144" s="205"/>
      <c r="B144" s="665"/>
      <c r="D144" s="1210"/>
      <c r="E144" s="1210"/>
      <c r="F144" s="1210"/>
      <c r="G144" s="1210"/>
      <c r="H144" s="1210"/>
      <c r="I144" s="1210"/>
      <c r="J144" s="1210"/>
      <c r="K144" s="1210"/>
      <c r="L144" s="1210"/>
      <c r="M144" s="1210"/>
      <c r="N144" s="1210"/>
      <c r="O144" s="1210"/>
      <c r="P144" s="1210"/>
      <c r="Q144" s="1210"/>
      <c r="R144" s="1210"/>
    </row>
    <row r="145" spans="1:18">
      <c r="A145" s="205">
        <f>A143+1</f>
        <v>16</v>
      </c>
      <c r="B145" s="660" t="s">
        <v>1826</v>
      </c>
      <c r="D145" s="1210">
        <f t="shared" ref="D145:R145" si="28">D46-D143</f>
        <v>27346604.453802064</v>
      </c>
      <c r="E145" s="1210">
        <f t="shared" si="28"/>
        <v>-407665.80666666676</v>
      </c>
      <c r="F145" s="1210">
        <f t="shared" si="28"/>
        <v>-334.15310344826139</v>
      </c>
      <c r="G145" s="1210">
        <f t="shared" si="28"/>
        <v>29637</v>
      </c>
      <c r="H145" s="1210">
        <f t="shared" si="28"/>
        <v>436703.88991000009</v>
      </c>
      <c r="I145" s="1210">
        <f t="shared" si="28"/>
        <v>288255</v>
      </c>
      <c r="J145" s="1210">
        <f t="shared" si="28"/>
        <v>-945747</v>
      </c>
      <c r="K145" s="1210">
        <f t="shared" si="28"/>
        <v>103138.39518000001</v>
      </c>
      <c r="L145" s="1210">
        <f t="shared" si="28"/>
        <v>111556.23586929898</v>
      </c>
      <c r="M145" s="1210">
        <f t="shared" si="28"/>
        <v>21122.933042329569</v>
      </c>
      <c r="N145" s="1210">
        <f t="shared" si="28"/>
        <v>124614.73243392857</v>
      </c>
      <c r="O145" s="1210">
        <f t="shared" si="28"/>
        <v>-2011730.23780955</v>
      </c>
      <c r="P145" s="1210">
        <f t="shared" si="28"/>
        <v>1920240.9032976823</v>
      </c>
      <c r="Q145" s="1210">
        <f t="shared" si="28"/>
        <v>-330208.10784642538</v>
      </c>
      <c r="R145" s="1210">
        <f t="shared" si="28"/>
        <v>27016396.34595567</v>
      </c>
    </row>
    <row r="146" spans="1:18">
      <c r="A146" s="205"/>
      <c r="B146" s="665"/>
    </row>
    <row r="147" spans="1:18">
      <c r="A147" s="205"/>
    </row>
    <row r="148" spans="1:18">
      <c r="B148" s="665"/>
    </row>
    <row r="150" spans="1:18">
      <c r="B150" s="665"/>
    </row>
    <row r="151" spans="1:18">
      <c r="B151" s="665"/>
    </row>
    <row r="152" spans="1:18">
      <c r="B152" s="665"/>
    </row>
    <row r="153" spans="1:18">
      <c r="B153" s="665"/>
    </row>
    <row r="154" spans="1:18">
      <c r="B154" s="665"/>
    </row>
    <row r="155" spans="1:18">
      <c r="B155" s="665"/>
    </row>
  </sheetData>
  <mergeCells count="15">
    <mergeCell ref="A110:R110"/>
    <mergeCell ref="A111:R111"/>
    <mergeCell ref="A112:R112"/>
    <mergeCell ref="A51:R51"/>
    <mergeCell ref="A52:R52"/>
    <mergeCell ref="A53:R53"/>
    <mergeCell ref="A54:R54"/>
    <mergeCell ref="A108:R108"/>
    <mergeCell ref="A109:R109"/>
    <mergeCell ref="A50:R50"/>
    <mergeCell ref="A1:R1"/>
    <mergeCell ref="A2:R2"/>
    <mergeCell ref="A3:R3"/>
    <mergeCell ref="A4:R4"/>
    <mergeCell ref="A5:R5"/>
  </mergeCells>
  <printOptions horizontalCentered="1"/>
  <pageMargins left="0.5" right="0.5" top="0.75" bottom="0.5" header="0.3" footer="0.3"/>
  <pageSetup scale="55" fitToHeight="3" orientation="landscape" r:id="rId1"/>
  <rowBreaks count="2" manualBreakCount="2">
    <brk id="49" max="17" man="1"/>
    <brk id="107" max="17"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AW246"/>
  <sheetViews>
    <sheetView zoomScaleNormal="100" zoomScaleSheetLayoutView="100" workbookViewId="0">
      <selection activeCell="K26" sqref="K26"/>
    </sheetView>
  </sheetViews>
  <sheetFormatPr defaultColWidth="8.33203125" defaultRowHeight="12"/>
  <cols>
    <col min="1" max="13" width="8.33203125" style="133"/>
    <col min="14" max="14" width="14.33203125" style="133" customWidth="1"/>
    <col min="15" max="15" width="5" style="133" customWidth="1"/>
    <col min="16" max="16" width="13.5" style="133" customWidth="1"/>
    <col min="17" max="17" width="11.6640625" style="133" customWidth="1"/>
    <col min="18" max="18" width="10" style="133" customWidth="1"/>
    <col min="19" max="19" width="22" style="133" bestFit="1" customWidth="1"/>
    <col min="20" max="20" width="8.33203125" style="133"/>
    <col min="21" max="21" width="35.1640625" style="133" bestFit="1" customWidth="1"/>
    <col min="22" max="22" width="13.33203125" style="133" bestFit="1" customWidth="1"/>
    <col min="23" max="23" width="11.6640625" style="133" customWidth="1"/>
    <col min="24" max="26" width="8.33203125" style="133"/>
    <col min="27" max="27" width="9.1640625" style="133" customWidth="1"/>
    <col min="28" max="28" width="10" style="133" customWidth="1"/>
    <col min="29" max="16384" width="8.33203125" style="133"/>
  </cols>
  <sheetData>
    <row r="1" spans="1:23"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c r="S1" s="1328"/>
    </row>
    <row r="2" spans="1:23"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c r="S2" s="1328"/>
    </row>
    <row r="3" spans="1:23" ht="12.75" customHeight="1">
      <c r="A3" s="1328" t="str">
        <f>'Index D'!C23</f>
        <v>DETAILED ADJUSTMENTS</v>
      </c>
      <c r="B3" s="1328"/>
      <c r="C3" s="1328"/>
      <c r="D3" s="1328"/>
      <c r="E3" s="1328"/>
      <c r="F3" s="1328"/>
      <c r="G3" s="1328"/>
      <c r="H3" s="1328"/>
      <c r="I3" s="1328"/>
      <c r="J3" s="1328"/>
      <c r="K3" s="1328"/>
      <c r="L3" s="1328"/>
      <c r="M3" s="1328"/>
      <c r="N3" s="1328"/>
      <c r="O3" s="1328"/>
      <c r="P3" s="1328"/>
      <c r="Q3" s="1328"/>
      <c r="R3" s="1328"/>
      <c r="S3" s="1328"/>
    </row>
    <row r="4" spans="1:23" ht="12.75" customHeigh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c r="P4" s="1328"/>
      <c r="Q4" s="1328"/>
      <c r="R4" s="1328"/>
      <c r="S4" s="1328"/>
    </row>
    <row r="5" spans="1:23">
      <c r="C5" s="623"/>
      <c r="J5" s="622"/>
    </row>
    <row r="6" spans="1:23">
      <c r="A6" s="625" t="s">
        <v>2834</v>
      </c>
      <c r="S6" s="624" t="s">
        <v>41</v>
      </c>
    </row>
    <row r="7" spans="1:23">
      <c r="A7" s="625" t="str">
        <f>'General Headers Index'!B37</f>
        <v>TYPE OF FILING:___X___ORIGINAL______UPDATED</v>
      </c>
      <c r="S7" s="624" t="s">
        <v>50</v>
      </c>
    </row>
    <row r="8" spans="1:23">
      <c r="A8" s="625" t="s">
        <v>58</v>
      </c>
      <c r="S8" s="624" t="str">
        <f>"WITNESS: "&amp;'General Headers Index'!B47</f>
        <v>WITNESS: WOZNIAK</v>
      </c>
    </row>
    <row r="9" spans="1:23">
      <c r="A9" s="623"/>
      <c r="C9" s="623"/>
      <c r="H9" s="623"/>
      <c r="J9" s="623"/>
      <c r="L9" s="623"/>
    </row>
    <row r="10" spans="1:23">
      <c r="A10" s="626"/>
      <c r="B10" s="626"/>
      <c r="C10" s="626"/>
      <c r="D10" s="626"/>
      <c r="E10" s="626"/>
      <c r="F10" s="626"/>
      <c r="G10" s="626"/>
      <c r="H10" s="626"/>
      <c r="I10" s="626"/>
      <c r="J10" s="626"/>
      <c r="K10" s="626"/>
      <c r="L10" s="626"/>
      <c r="M10" s="626"/>
      <c r="N10" s="1330" t="s">
        <v>42</v>
      </c>
      <c r="O10" s="1330"/>
      <c r="P10" s="1330"/>
      <c r="Q10" s="626"/>
      <c r="R10" s="626"/>
      <c r="S10" s="626"/>
    </row>
    <row r="11" spans="1:23">
      <c r="A11" s="1038" t="s">
        <v>43</v>
      </c>
      <c r="B11" s="1031"/>
      <c r="C11" s="1039"/>
      <c r="D11" s="1031"/>
      <c r="E11" s="1031"/>
      <c r="F11" s="1031"/>
      <c r="G11" s="1031"/>
      <c r="H11" s="1031"/>
      <c r="I11" s="1031"/>
      <c r="J11" s="1031"/>
      <c r="K11" s="1031"/>
      <c r="L11" s="1031"/>
      <c r="M11" s="1031"/>
      <c r="N11" s="1329" t="s">
        <v>2351</v>
      </c>
      <c r="O11" s="1329"/>
      <c r="P11" s="1329"/>
      <c r="Q11" s="1031"/>
      <c r="R11" s="1031"/>
      <c r="S11" s="1029" t="s">
        <v>45</v>
      </c>
    </row>
    <row r="13" spans="1:23">
      <c r="A13" s="630" t="s">
        <v>960</v>
      </c>
    </row>
    <row r="14" spans="1:23">
      <c r="A14" s="625" t="s">
        <v>2438</v>
      </c>
      <c r="O14" s="205"/>
      <c r="Q14" s="625" t="s">
        <v>2352</v>
      </c>
      <c r="S14" s="629">
        <f>S15+S16</f>
        <v>93794571.11999999</v>
      </c>
    </row>
    <row r="15" spans="1:23">
      <c r="A15" s="632" t="s">
        <v>2439</v>
      </c>
      <c r="O15" s="205" t="str">
        <f>'D-1.A (BP IS Adj Summary)'!P7</f>
        <v>SCHEDULE D-1.A</v>
      </c>
      <c r="Q15" s="625" t="s">
        <v>3074</v>
      </c>
      <c r="S15" s="631">
        <f>'D-1.A (BP IS Adj Summary)'!D18</f>
        <v>95651080.959999993</v>
      </c>
      <c r="U15" s="629"/>
      <c r="V15" s="631"/>
      <c r="W15" s="629"/>
    </row>
    <row r="16" spans="1:23">
      <c r="O16" s="205" t="str">
        <f>'WPD-2.1.A BP Actual Rev. Adj.'!J6</f>
        <v>Workpaper WPD-2.1.A</v>
      </c>
      <c r="Q16" s="625" t="s">
        <v>433</v>
      </c>
      <c r="S16" s="640">
        <f>-'WPD-2.1.A BP Actual Rev. Adj.'!J16</f>
        <v>-1856509.8399999999</v>
      </c>
      <c r="U16" s="629"/>
      <c r="V16" s="631"/>
      <c r="W16" s="629"/>
    </row>
    <row r="17" spans="1:19">
      <c r="S17" s="641">
        <f>IFERROR(ROUND(S16/S15,4),0)</f>
        <v>-1.9400000000000001E-2</v>
      </c>
    </row>
    <row r="19" spans="1:19">
      <c r="A19" s="625" t="s">
        <v>2440</v>
      </c>
      <c r="O19" s="205"/>
      <c r="Q19" s="625" t="s">
        <v>2352</v>
      </c>
      <c r="S19" s="629">
        <f>S20+S21</f>
        <v>41319820.99000001</v>
      </c>
    </row>
    <row r="20" spans="1:19">
      <c r="A20" s="632" t="s">
        <v>2439</v>
      </c>
      <c r="O20" s="205" t="str">
        <f>O15</f>
        <v>SCHEDULE D-1.A</v>
      </c>
      <c r="Q20" s="625" t="str">
        <f>$Q$15</f>
        <v>BASE-UNADJUSTED</v>
      </c>
      <c r="S20" s="631">
        <f>'D-1.A (BP IS Adj Summary)'!D19</f>
        <v>42081251.470000006</v>
      </c>
    </row>
    <row r="21" spans="1:19">
      <c r="O21" s="205" t="str">
        <f>O16</f>
        <v>Workpaper WPD-2.1.A</v>
      </c>
      <c r="Q21" s="625" t="s">
        <v>433</v>
      </c>
      <c r="S21" s="640">
        <f>-'WPD-2.1.A BP Actual Rev. Adj.'!J17</f>
        <v>-761430.48</v>
      </c>
    </row>
    <row r="22" spans="1:19">
      <c r="S22" s="641">
        <f>IFERROR(ROUND(S21/S20,4),0)</f>
        <v>-1.8100000000000002E-2</v>
      </c>
    </row>
    <row r="24" spans="1:19">
      <c r="A24" s="625" t="s">
        <v>2441</v>
      </c>
      <c r="O24" s="205"/>
      <c r="Q24" s="625" t="s">
        <v>2352</v>
      </c>
      <c r="S24" s="629">
        <f>S25+S26</f>
        <v>1458834.41</v>
      </c>
    </row>
    <row r="25" spans="1:19">
      <c r="A25" s="632" t="s">
        <v>2439</v>
      </c>
      <c r="O25" s="205" t="str">
        <f>O15</f>
        <v>SCHEDULE D-1.A</v>
      </c>
      <c r="Q25" s="625" t="str">
        <f>$Q$15</f>
        <v>BASE-UNADJUSTED</v>
      </c>
      <c r="S25" s="631">
        <f>'D-1.A (BP IS Adj Summary)'!D20</f>
        <v>1461528.22</v>
      </c>
    </row>
    <row r="26" spans="1:19">
      <c r="O26" s="205" t="str">
        <f>O16</f>
        <v>Workpaper WPD-2.1.A</v>
      </c>
      <c r="Q26" s="625" t="s">
        <v>433</v>
      </c>
      <c r="S26" s="640">
        <f>-'WPD-2.1.A BP Actual Rev. Adj.'!J18</f>
        <v>-2693.8099999999995</v>
      </c>
    </row>
    <row r="27" spans="1:19">
      <c r="S27" s="641">
        <f>IFERROR(ROUND(S26/S25,4),0)</f>
        <v>-1.8E-3</v>
      </c>
    </row>
    <row r="29" spans="1:19">
      <c r="A29" s="625" t="s">
        <v>2442</v>
      </c>
      <c r="O29" s="205"/>
      <c r="Q29" s="625" t="s">
        <v>2352</v>
      </c>
      <c r="S29" s="629">
        <f>S30+S31</f>
        <v>8154.5900000000011</v>
      </c>
    </row>
    <row r="30" spans="1:19">
      <c r="A30" s="632" t="s">
        <v>2439</v>
      </c>
      <c r="O30" s="205" t="str">
        <f>O15</f>
        <v>SCHEDULE D-1.A</v>
      </c>
      <c r="Q30" s="625" t="str">
        <f>$Q$15</f>
        <v>BASE-UNADJUSTED</v>
      </c>
      <c r="S30" s="631">
        <f>'D-1.A (BP IS Adj Summary)'!D21</f>
        <v>8154.5900000000011</v>
      </c>
    </row>
    <row r="31" spans="1:19">
      <c r="O31" s="205" t="str">
        <f>O16</f>
        <v>Workpaper WPD-2.1.A</v>
      </c>
      <c r="Q31" s="625" t="s">
        <v>433</v>
      </c>
      <c r="S31" s="640">
        <f>-'WPD-2.1.A BP Actual Rev. Adj.'!J19</f>
        <v>0</v>
      </c>
    </row>
    <row r="32" spans="1:19">
      <c r="S32" s="641">
        <f>IFERROR(ROUND(S31/S30,4),0)</f>
        <v>0</v>
      </c>
    </row>
    <row r="34" spans="1:43">
      <c r="A34" s="625" t="s">
        <v>2443</v>
      </c>
      <c r="O34" s="205"/>
      <c r="Q34" s="625" t="s">
        <v>2352</v>
      </c>
      <c r="S34" s="629">
        <f>S35+S36</f>
        <v>67375.94</v>
      </c>
    </row>
    <row r="35" spans="1:43">
      <c r="A35" s="632" t="s">
        <v>2439</v>
      </c>
      <c r="O35" s="205" t="str">
        <f>O15</f>
        <v>SCHEDULE D-1.A</v>
      </c>
      <c r="Q35" s="625" t="str">
        <f>$Q$15</f>
        <v>BASE-UNADJUSTED</v>
      </c>
      <c r="S35" s="631">
        <f>'D-1.A (BP IS Adj Summary)'!D22</f>
        <v>67702.240000000005</v>
      </c>
    </row>
    <row r="36" spans="1:43">
      <c r="O36" s="205" t="str">
        <f>O16</f>
        <v>Workpaper WPD-2.1.A</v>
      </c>
      <c r="Q36" s="625" t="s">
        <v>433</v>
      </c>
      <c r="S36" s="640">
        <f>-'WPD-2.1.A BP Actual Rev. Adj.'!J20</f>
        <v>-326.3</v>
      </c>
    </row>
    <row r="37" spans="1:43">
      <c r="S37" s="641">
        <f>IFERROR(ROUND(S36/S35,4),0)</f>
        <v>-4.7999999999999996E-3</v>
      </c>
    </row>
    <row r="38" spans="1:43">
      <c r="C38" s="631"/>
      <c r="D38" s="631"/>
      <c r="E38" s="631"/>
      <c r="F38" s="631"/>
      <c r="G38" s="631"/>
      <c r="H38" s="631"/>
      <c r="I38" s="631"/>
      <c r="J38" s="631"/>
      <c r="K38" s="631"/>
      <c r="L38" s="631"/>
      <c r="M38" s="631"/>
      <c r="N38" s="631"/>
      <c r="O38" s="631"/>
      <c r="P38" s="631"/>
      <c r="Q38" s="631"/>
      <c r="R38" s="631"/>
      <c r="S38" s="631"/>
      <c r="T38" s="631"/>
      <c r="X38" s="631"/>
      <c r="Y38" s="631"/>
      <c r="Z38" s="631"/>
      <c r="AA38" s="631"/>
      <c r="AB38" s="631"/>
      <c r="AC38" s="631"/>
      <c r="AD38" s="631"/>
    </row>
    <row r="39" spans="1:43">
      <c r="A39" s="630" t="s">
        <v>961</v>
      </c>
      <c r="H39" s="633"/>
      <c r="J39" s="635"/>
      <c r="L39" s="633"/>
    </row>
    <row r="40" spans="1:43">
      <c r="A40" s="625" t="s">
        <v>2452</v>
      </c>
      <c r="O40" s="205"/>
      <c r="Q40" s="625" t="s">
        <v>2352</v>
      </c>
      <c r="S40" s="629">
        <f>S41+S42</f>
        <v>23293584.179999996</v>
      </c>
      <c r="T40" s="631"/>
      <c r="X40" s="631"/>
      <c r="Y40" s="631"/>
      <c r="Z40" s="631"/>
      <c r="AA40" s="631"/>
      <c r="AB40" s="631"/>
      <c r="AC40" s="631"/>
      <c r="AD40" s="631"/>
    </row>
    <row r="41" spans="1:43">
      <c r="A41" s="625" t="s">
        <v>2451</v>
      </c>
      <c r="O41" s="205" t="str">
        <f>O35</f>
        <v>SCHEDULE D-1.A</v>
      </c>
      <c r="Q41" s="625" t="str">
        <f>$Q$15</f>
        <v>BASE-UNADJUSTED</v>
      </c>
      <c r="S41" s="631">
        <f>'D-1.A (BP IS Adj Summary)'!D28</f>
        <v>23486495.409999996</v>
      </c>
      <c r="T41" s="631"/>
      <c r="X41" s="631"/>
      <c r="Y41" s="631"/>
      <c r="Z41" s="631"/>
      <c r="AA41" s="631"/>
      <c r="AB41" s="631"/>
      <c r="AC41" s="631"/>
      <c r="AD41" s="631"/>
    </row>
    <row r="42" spans="1:43">
      <c r="O42" s="205" t="str">
        <f>O36</f>
        <v>Workpaper WPD-2.1.A</v>
      </c>
      <c r="Q42" s="625" t="s">
        <v>433</v>
      </c>
      <c r="S42" s="640">
        <f>-'WPD-2.1.A BP Actual Rev. Adj.'!J24</f>
        <v>-192911.23</v>
      </c>
      <c r="T42" s="631"/>
      <c r="X42" s="631"/>
      <c r="Y42" s="631"/>
      <c r="Z42" s="631"/>
      <c r="AA42" s="631"/>
      <c r="AB42" s="631"/>
      <c r="AC42" s="631"/>
      <c r="AD42" s="631"/>
    </row>
    <row r="43" spans="1:43">
      <c r="S43" s="641">
        <f>IFERROR(ROUND(S42/S41,4),0)</f>
        <v>-8.2000000000000007E-3</v>
      </c>
      <c r="Z43" s="642"/>
    </row>
    <row r="44" spans="1:43">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row>
    <row r="45" spans="1:43">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row>
    <row r="46" spans="1:43">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31"/>
      <c r="AJ46" s="631"/>
      <c r="AK46" s="631"/>
      <c r="AL46" s="631"/>
      <c r="AM46" s="631"/>
      <c r="AN46" s="631"/>
      <c r="AO46" s="631"/>
      <c r="AP46" s="631"/>
      <c r="AQ46" s="631"/>
    </row>
    <row r="47" spans="1:43">
      <c r="Z47" s="642"/>
    </row>
    <row r="48" spans="1:43">
      <c r="A48" s="623"/>
      <c r="C48" s="623"/>
      <c r="H48" s="633"/>
      <c r="J48" s="635"/>
      <c r="L48" s="633"/>
    </row>
    <row r="49" spans="1:49">
      <c r="C49" s="631"/>
      <c r="D49" s="631"/>
      <c r="E49" s="631"/>
      <c r="F49" s="631"/>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c r="AG49" s="631"/>
      <c r="AH49" s="631"/>
      <c r="AI49" s="631"/>
      <c r="AJ49" s="631"/>
      <c r="AK49" s="631"/>
      <c r="AL49" s="631"/>
      <c r="AM49" s="631"/>
      <c r="AN49" s="631"/>
      <c r="AO49" s="631"/>
      <c r="AP49" s="631"/>
      <c r="AQ49" s="631"/>
      <c r="AR49" s="631"/>
      <c r="AS49" s="631"/>
      <c r="AT49" s="631"/>
      <c r="AU49" s="631"/>
      <c r="AV49" s="631"/>
      <c r="AW49" s="631"/>
    </row>
    <row r="50" spans="1:49">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1"/>
      <c r="AL50" s="631"/>
      <c r="AM50" s="631"/>
      <c r="AN50" s="631"/>
      <c r="AO50" s="631"/>
      <c r="AP50" s="631"/>
      <c r="AQ50" s="631"/>
      <c r="AR50" s="631"/>
      <c r="AS50" s="631"/>
      <c r="AT50" s="631"/>
      <c r="AU50" s="631"/>
      <c r="AV50" s="631"/>
      <c r="AW50" s="631"/>
    </row>
    <row r="51" spans="1:49">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K51" s="631"/>
      <c r="AL51" s="631"/>
      <c r="AM51" s="631"/>
      <c r="AN51" s="631"/>
      <c r="AO51" s="631"/>
      <c r="AP51" s="631"/>
      <c r="AQ51" s="631"/>
      <c r="AR51" s="631"/>
      <c r="AS51" s="631"/>
      <c r="AT51" s="631"/>
      <c r="AU51" s="631"/>
      <c r="AV51" s="631"/>
      <c r="AW51" s="631"/>
    </row>
    <row r="52" spans="1:49">
      <c r="Z52" s="642"/>
    </row>
    <row r="53" spans="1:49">
      <c r="A53" s="623"/>
      <c r="C53" s="623"/>
      <c r="H53" s="633"/>
      <c r="I53" s="623"/>
      <c r="J53" s="635"/>
      <c r="L53" s="633"/>
    </row>
    <row r="54" spans="1:49">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row>
    <row r="55" spans="1:49">
      <c r="C55" s="631"/>
      <c r="D55" s="631"/>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row>
    <row r="56" spans="1:49">
      <c r="C56" s="631"/>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row>
    <row r="57" spans="1:49">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row>
    <row r="58" spans="1:49">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row>
    <row r="59" spans="1:49">
      <c r="Z59" s="642"/>
    </row>
    <row r="60" spans="1:49">
      <c r="A60" s="623"/>
      <c r="H60" s="633"/>
      <c r="J60" s="635"/>
      <c r="L60" s="633"/>
    </row>
    <row r="61" spans="1:49">
      <c r="C61" s="631"/>
      <c r="D61" s="631"/>
      <c r="E61" s="631"/>
      <c r="F61" s="631"/>
      <c r="G61" s="631"/>
      <c r="H61" s="631"/>
      <c r="I61" s="631"/>
      <c r="J61" s="631"/>
      <c r="K61" s="631"/>
      <c r="L61" s="631"/>
      <c r="M61" s="631"/>
      <c r="N61" s="631"/>
      <c r="O61" s="631"/>
      <c r="P61" s="631"/>
      <c r="Q61" s="631"/>
      <c r="R61" s="631"/>
      <c r="S61" s="631"/>
      <c r="T61" s="631"/>
      <c r="U61" s="631"/>
      <c r="V61" s="631"/>
      <c r="W61" s="631"/>
      <c r="X61" s="631"/>
      <c r="Y61" s="631"/>
      <c r="Z61" s="631"/>
      <c r="AA61" s="631"/>
      <c r="AB61" s="631"/>
      <c r="AC61" s="631"/>
      <c r="AD61" s="631"/>
      <c r="AE61" s="631"/>
    </row>
    <row r="62" spans="1:49">
      <c r="C62" s="631"/>
      <c r="D62" s="631"/>
      <c r="E62" s="631"/>
      <c r="F62" s="631"/>
      <c r="G62" s="631"/>
      <c r="H62" s="631"/>
      <c r="I62" s="631"/>
      <c r="J62" s="631"/>
      <c r="K62" s="631"/>
      <c r="L62" s="631"/>
      <c r="M62" s="631"/>
      <c r="N62" s="631"/>
      <c r="O62" s="631"/>
      <c r="P62" s="631"/>
      <c r="Q62" s="631"/>
      <c r="R62" s="631"/>
      <c r="S62" s="631"/>
      <c r="T62" s="631"/>
      <c r="U62" s="631"/>
      <c r="V62" s="631"/>
      <c r="W62" s="631"/>
      <c r="X62" s="631"/>
      <c r="Y62" s="631"/>
      <c r="Z62" s="631"/>
      <c r="AA62" s="631"/>
      <c r="AB62" s="631"/>
      <c r="AC62" s="631"/>
      <c r="AD62" s="631"/>
      <c r="AE62" s="631"/>
    </row>
    <row r="63" spans="1:49">
      <c r="C63" s="631"/>
      <c r="D63" s="631"/>
      <c r="E63" s="631"/>
      <c r="F63" s="631"/>
      <c r="G63" s="631"/>
      <c r="H63" s="631"/>
      <c r="I63" s="631"/>
      <c r="J63" s="631"/>
      <c r="K63" s="631"/>
      <c r="L63" s="631"/>
      <c r="M63" s="631"/>
      <c r="N63" s="631"/>
      <c r="O63" s="631"/>
      <c r="P63" s="631"/>
      <c r="Q63" s="631"/>
      <c r="R63" s="631"/>
      <c r="S63" s="631"/>
      <c r="T63" s="631"/>
      <c r="U63" s="631"/>
      <c r="V63" s="631"/>
      <c r="W63" s="631"/>
      <c r="X63" s="631"/>
      <c r="Y63" s="631"/>
      <c r="Z63" s="631"/>
      <c r="AA63" s="631"/>
      <c r="AB63" s="631"/>
      <c r="AC63" s="631"/>
      <c r="AD63" s="631"/>
      <c r="AE63" s="631"/>
    </row>
    <row r="64" spans="1:49">
      <c r="Z64" s="642"/>
    </row>
    <row r="65" spans="1:30">
      <c r="A65" s="623"/>
      <c r="F65" s="623"/>
      <c r="H65" s="631"/>
      <c r="J65" s="635"/>
      <c r="L65" s="631"/>
    </row>
    <row r="66" spans="1:30">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row>
    <row r="67" spans="1:30">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row>
    <row r="68" spans="1:30">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row>
    <row r="69" spans="1:30">
      <c r="Z69" s="642"/>
    </row>
    <row r="70" spans="1:30">
      <c r="A70" s="623"/>
      <c r="G70" s="623"/>
    </row>
    <row r="71" spans="1:30">
      <c r="C71" s="631"/>
      <c r="D71" s="631"/>
      <c r="E71" s="631"/>
      <c r="F71" s="631"/>
      <c r="G71" s="631"/>
      <c r="H71" s="631"/>
      <c r="I71" s="631"/>
      <c r="J71" s="631"/>
      <c r="K71" s="631"/>
      <c r="L71" s="631"/>
      <c r="M71" s="631"/>
      <c r="N71" s="631"/>
      <c r="O71" s="631"/>
      <c r="P71" s="631"/>
      <c r="Q71" s="631"/>
      <c r="R71" s="631"/>
      <c r="S71" s="631"/>
      <c r="T71" s="631"/>
      <c r="U71" s="631"/>
      <c r="V71" s="631"/>
      <c r="W71" s="631"/>
      <c r="X71" s="631"/>
      <c r="Y71" s="631"/>
      <c r="Z71" s="631"/>
      <c r="AA71" s="631"/>
      <c r="AB71" s="631"/>
      <c r="AC71" s="631"/>
      <c r="AD71" s="631"/>
    </row>
    <row r="72" spans="1:30">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31"/>
      <c r="AC72" s="631"/>
      <c r="AD72" s="631"/>
    </row>
    <row r="73" spans="1:30">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row>
    <row r="74" spans="1:30">
      <c r="Z74" s="642"/>
    </row>
    <row r="75" spans="1:30">
      <c r="A75" s="623"/>
      <c r="C75" s="623"/>
      <c r="H75" s="633"/>
      <c r="J75" s="635"/>
      <c r="L75" s="633"/>
      <c r="Z75" s="631"/>
    </row>
    <row r="76" spans="1:30">
      <c r="A76" s="623"/>
      <c r="C76" s="623"/>
      <c r="H76" s="633"/>
      <c r="J76" s="635"/>
      <c r="L76" s="633"/>
      <c r="Z76" s="631"/>
      <c r="AA76" s="631"/>
      <c r="AB76" s="631"/>
    </row>
    <row r="77" spans="1:30">
      <c r="A77" s="623"/>
      <c r="C77" s="623"/>
      <c r="H77" s="633"/>
      <c r="J77" s="635"/>
      <c r="L77" s="633"/>
      <c r="Z77" s="631"/>
      <c r="AA77" s="631"/>
      <c r="AB77" s="631"/>
    </row>
    <row r="78" spans="1:30">
      <c r="H78" s="631"/>
      <c r="J78" s="635"/>
      <c r="L78" s="631"/>
    </row>
    <row r="79" spans="1:30">
      <c r="A79" s="623"/>
      <c r="C79" s="623"/>
      <c r="J79" s="636"/>
    </row>
    <row r="80" spans="1:30">
      <c r="F80" s="623"/>
      <c r="H80" s="631"/>
      <c r="J80" s="635"/>
      <c r="L80" s="631"/>
    </row>
    <row r="81" spans="1:13">
      <c r="C81" s="623"/>
    </row>
    <row r="82" spans="1:13">
      <c r="F82" s="623"/>
      <c r="H82" s="631"/>
      <c r="J82" s="635"/>
      <c r="L82" s="631"/>
    </row>
    <row r="83" spans="1:13">
      <c r="C83" s="637"/>
      <c r="G83" s="623"/>
    </row>
    <row r="84" spans="1:13">
      <c r="C84" s="638"/>
      <c r="G84" s="623"/>
    </row>
    <row r="85" spans="1:13">
      <c r="C85" s="623"/>
      <c r="G85" s="623"/>
    </row>
    <row r="86" spans="1:13">
      <c r="G86" s="623"/>
    </row>
    <row r="87" spans="1:13">
      <c r="M87" s="623"/>
    </row>
    <row r="88" spans="1:13">
      <c r="M88" s="623"/>
    </row>
    <row r="89" spans="1:13">
      <c r="M89" s="623"/>
    </row>
    <row r="90" spans="1:13">
      <c r="A90" s="623"/>
      <c r="C90" s="623"/>
      <c r="H90" s="623"/>
    </row>
    <row r="91" spans="1:13">
      <c r="A91" s="623"/>
      <c r="C91" s="623"/>
      <c r="F91" s="623"/>
      <c r="H91" s="623"/>
      <c r="J91" s="623"/>
      <c r="L91" s="623"/>
    </row>
    <row r="92" spans="1:13">
      <c r="F92" s="623"/>
      <c r="H92" s="623"/>
      <c r="J92" s="623"/>
      <c r="L92" s="623"/>
    </row>
    <row r="93" spans="1:13">
      <c r="H93" s="623"/>
      <c r="J93" s="623"/>
      <c r="L93" s="623"/>
    </row>
    <row r="94" spans="1:13">
      <c r="A94" s="623"/>
      <c r="C94" s="623"/>
      <c r="H94" s="623"/>
      <c r="J94" s="623"/>
      <c r="L94" s="623"/>
    </row>
    <row r="95" spans="1:13">
      <c r="A95" s="623"/>
      <c r="C95" s="623"/>
      <c r="F95" s="623"/>
    </row>
    <row r="96" spans="1:13">
      <c r="A96" s="623"/>
      <c r="C96" s="623"/>
      <c r="F96" s="623"/>
    </row>
    <row r="97" spans="1:12">
      <c r="A97" s="623"/>
      <c r="C97" s="623"/>
      <c r="F97" s="623"/>
      <c r="H97" s="633"/>
      <c r="J97" s="634"/>
      <c r="L97" s="633"/>
    </row>
    <row r="98" spans="1:12">
      <c r="A98" s="623"/>
      <c r="C98" s="623"/>
      <c r="F98" s="623"/>
      <c r="H98" s="633"/>
      <c r="J98" s="634"/>
      <c r="L98" s="633"/>
    </row>
    <row r="99" spans="1:12">
      <c r="A99" s="623"/>
      <c r="C99" s="623"/>
      <c r="F99" s="623"/>
      <c r="H99" s="633"/>
      <c r="J99" s="634"/>
      <c r="L99" s="633"/>
    </row>
    <row r="100" spans="1:12">
      <c r="A100" s="623"/>
      <c r="C100" s="623"/>
      <c r="F100" s="623"/>
      <c r="H100" s="633"/>
      <c r="J100" s="634"/>
      <c r="L100" s="633"/>
    </row>
    <row r="101" spans="1:12">
      <c r="A101" s="623"/>
      <c r="C101" s="623"/>
      <c r="F101" s="623"/>
      <c r="H101" s="633"/>
      <c r="J101" s="634"/>
      <c r="L101" s="633"/>
    </row>
    <row r="102" spans="1:12">
      <c r="A102" s="623"/>
      <c r="F102" s="623"/>
      <c r="H102" s="633"/>
      <c r="J102" s="634"/>
      <c r="L102" s="633"/>
    </row>
    <row r="103" spans="1:12">
      <c r="F103" s="623"/>
      <c r="H103" s="631"/>
      <c r="J103" s="634"/>
      <c r="L103" s="631"/>
    </row>
    <row r="104" spans="1:12">
      <c r="A104" s="623"/>
      <c r="H104" s="633"/>
      <c r="J104" s="643"/>
      <c r="L104" s="633"/>
    </row>
    <row r="105" spans="1:12">
      <c r="A105" s="623"/>
      <c r="C105" s="623"/>
      <c r="F105" s="623"/>
      <c r="H105" s="633"/>
      <c r="J105" s="643"/>
      <c r="L105" s="633"/>
    </row>
    <row r="106" spans="1:12">
      <c r="A106" s="623"/>
      <c r="C106" s="623"/>
      <c r="F106" s="623"/>
      <c r="H106" s="633"/>
      <c r="J106" s="634"/>
      <c r="L106" s="633"/>
    </row>
    <row r="107" spans="1:12">
      <c r="A107" s="623"/>
      <c r="C107" s="623"/>
      <c r="F107" s="623"/>
      <c r="H107" s="633"/>
      <c r="J107" s="634"/>
      <c r="L107" s="633"/>
    </row>
    <row r="108" spans="1:12">
      <c r="A108" s="623"/>
      <c r="C108" s="623"/>
      <c r="F108" s="623"/>
      <c r="H108" s="633"/>
      <c r="J108" s="634"/>
      <c r="L108" s="633"/>
    </row>
    <row r="109" spans="1:12">
      <c r="A109" s="623"/>
      <c r="C109" s="623"/>
      <c r="F109" s="623"/>
      <c r="H109" s="633"/>
      <c r="J109" s="634"/>
      <c r="L109" s="633"/>
    </row>
    <row r="110" spans="1:12">
      <c r="A110" s="623"/>
      <c r="F110" s="623"/>
      <c r="H110" s="633"/>
      <c r="J110" s="634"/>
      <c r="L110" s="633"/>
    </row>
    <row r="111" spans="1:12">
      <c r="F111" s="623"/>
      <c r="H111" s="631"/>
      <c r="J111" s="634"/>
      <c r="L111" s="631"/>
    </row>
    <row r="112" spans="1:12">
      <c r="A112" s="623"/>
      <c r="C112" s="623"/>
      <c r="H112" s="633"/>
      <c r="J112" s="643"/>
      <c r="L112" s="633"/>
    </row>
    <row r="113" spans="1:13">
      <c r="F113" s="623"/>
      <c r="H113" s="631"/>
      <c r="J113" s="634"/>
      <c r="L113" s="631"/>
    </row>
    <row r="114" spans="1:13">
      <c r="A114" s="623"/>
      <c r="H114" s="633"/>
      <c r="J114" s="643"/>
      <c r="L114" s="633"/>
    </row>
    <row r="115" spans="1:13">
      <c r="F115" s="623"/>
      <c r="H115" s="633"/>
      <c r="J115" s="643"/>
      <c r="L115" s="633"/>
    </row>
    <row r="116" spans="1:13">
      <c r="A116" s="623"/>
      <c r="H116" s="633"/>
      <c r="J116" s="643"/>
      <c r="L116" s="633"/>
    </row>
    <row r="117" spans="1:13">
      <c r="A117" s="623"/>
    </row>
    <row r="118" spans="1:13">
      <c r="A118" s="623"/>
      <c r="F118" s="623"/>
      <c r="H118" s="631"/>
      <c r="J118" s="634"/>
      <c r="L118" s="631"/>
    </row>
    <row r="119" spans="1:13">
      <c r="A119" s="623"/>
      <c r="F119" s="623"/>
      <c r="H119" s="631"/>
      <c r="J119" s="634"/>
      <c r="L119" s="631"/>
    </row>
    <row r="120" spans="1:13">
      <c r="A120" s="623"/>
      <c r="F120" s="623"/>
      <c r="H120" s="631"/>
      <c r="J120" s="634"/>
      <c r="L120" s="631"/>
    </row>
    <row r="121" spans="1:13">
      <c r="A121" s="623"/>
      <c r="F121" s="623"/>
      <c r="H121" s="631"/>
      <c r="J121" s="634"/>
      <c r="L121" s="631"/>
    </row>
    <row r="122" spans="1:13">
      <c r="A122" s="623"/>
      <c r="F122" s="623"/>
      <c r="H122" s="631"/>
      <c r="J122" s="634"/>
      <c r="L122" s="631"/>
    </row>
    <row r="123" spans="1:13">
      <c r="H123" s="631"/>
      <c r="L123" s="631"/>
    </row>
    <row r="124" spans="1:13">
      <c r="C124" s="637"/>
      <c r="G124" s="623"/>
    </row>
    <row r="125" spans="1:13">
      <c r="C125" s="638"/>
      <c r="G125" s="623"/>
    </row>
    <row r="126" spans="1:13">
      <c r="C126" s="623"/>
      <c r="G126" s="623"/>
    </row>
    <row r="127" spans="1:13">
      <c r="G127" s="623"/>
    </row>
    <row r="128" spans="1:13">
      <c r="M128" s="623"/>
    </row>
    <row r="129" spans="1:13">
      <c r="M129" s="623"/>
    </row>
    <row r="130" spans="1:13">
      <c r="M130" s="623"/>
    </row>
    <row r="131" spans="1:13">
      <c r="A131" s="623"/>
      <c r="C131" s="623"/>
      <c r="H131" s="623"/>
    </row>
    <row r="132" spans="1:13">
      <c r="A132" s="623"/>
      <c r="C132" s="623"/>
      <c r="F132" s="623"/>
      <c r="H132" s="623"/>
      <c r="J132" s="623"/>
      <c r="L132" s="623"/>
    </row>
    <row r="133" spans="1:13">
      <c r="F133" s="623"/>
      <c r="H133" s="623"/>
      <c r="J133" s="623"/>
      <c r="L133" s="623"/>
    </row>
    <row r="134" spans="1:13">
      <c r="A134" s="623"/>
      <c r="C134" s="623"/>
      <c r="H134" s="623"/>
      <c r="J134" s="623"/>
      <c r="L134" s="623"/>
    </row>
    <row r="135" spans="1:13">
      <c r="A135" s="623"/>
      <c r="F135" s="623"/>
      <c r="H135" s="623"/>
      <c r="J135" s="623"/>
      <c r="L135" s="623"/>
    </row>
    <row r="136" spans="1:13">
      <c r="A136" s="623"/>
      <c r="F136" s="623"/>
      <c r="H136" s="633"/>
      <c r="J136" s="643"/>
      <c r="L136" s="633"/>
    </row>
    <row r="137" spans="1:13">
      <c r="A137" s="623"/>
      <c r="C137" s="623"/>
      <c r="F137" s="623"/>
      <c r="H137" s="633"/>
      <c r="J137" s="643"/>
      <c r="L137" s="633"/>
    </row>
    <row r="138" spans="1:13">
      <c r="A138" s="623"/>
      <c r="C138" s="623"/>
      <c r="F138" s="623"/>
      <c r="H138" s="633"/>
      <c r="J138" s="634"/>
      <c r="L138" s="633"/>
    </row>
    <row r="139" spans="1:13">
      <c r="A139" s="623"/>
      <c r="C139" s="623"/>
      <c r="F139" s="623"/>
      <c r="H139" s="633"/>
      <c r="J139" s="634"/>
      <c r="L139" s="633"/>
    </row>
    <row r="140" spans="1:13">
      <c r="A140" s="623"/>
      <c r="C140" s="623"/>
      <c r="F140" s="623"/>
      <c r="H140" s="633"/>
      <c r="J140" s="634"/>
      <c r="L140" s="633"/>
    </row>
    <row r="141" spans="1:13">
      <c r="A141" s="623"/>
      <c r="C141" s="623"/>
      <c r="F141" s="623"/>
      <c r="H141" s="633"/>
      <c r="J141" s="634"/>
      <c r="L141" s="633"/>
    </row>
    <row r="142" spans="1:13">
      <c r="A142" s="623"/>
      <c r="C142" s="623"/>
      <c r="F142" s="623"/>
      <c r="H142" s="633"/>
      <c r="J142" s="634"/>
      <c r="L142" s="633"/>
    </row>
    <row r="143" spans="1:13">
      <c r="A143" s="623"/>
      <c r="C143" s="623"/>
      <c r="F143" s="623"/>
      <c r="H143" s="633"/>
      <c r="J143" s="634"/>
      <c r="L143" s="633"/>
    </row>
    <row r="144" spans="1:13">
      <c r="A144" s="623"/>
      <c r="F144" s="623"/>
      <c r="H144" s="633"/>
      <c r="J144" s="634"/>
      <c r="L144" s="633"/>
    </row>
    <row r="145" spans="1:12">
      <c r="F145" s="623"/>
      <c r="H145" s="631"/>
      <c r="J145" s="634"/>
      <c r="L145" s="631"/>
    </row>
    <row r="146" spans="1:12">
      <c r="A146" s="623"/>
    </row>
    <row r="147" spans="1:12">
      <c r="A147" s="623"/>
      <c r="C147" s="623"/>
      <c r="F147" s="623"/>
    </row>
    <row r="148" spans="1:12">
      <c r="A148" s="623"/>
      <c r="C148" s="623"/>
      <c r="F148" s="623"/>
      <c r="H148" s="633"/>
      <c r="J148" s="635"/>
      <c r="L148" s="633"/>
    </row>
    <row r="149" spans="1:12">
      <c r="A149" s="623"/>
      <c r="C149" s="623"/>
      <c r="F149" s="623"/>
      <c r="H149" s="633"/>
      <c r="J149" s="635"/>
      <c r="L149" s="633"/>
    </row>
    <row r="150" spans="1:12">
      <c r="A150" s="623"/>
      <c r="C150" s="623"/>
      <c r="F150" s="623"/>
      <c r="H150" s="633"/>
      <c r="J150" s="635"/>
      <c r="L150" s="633"/>
    </row>
    <row r="151" spans="1:12">
      <c r="A151" s="623"/>
      <c r="C151" s="623"/>
      <c r="F151" s="623"/>
      <c r="H151" s="633"/>
      <c r="J151" s="635"/>
      <c r="K151" s="623"/>
      <c r="L151" s="633"/>
    </row>
    <row r="152" spans="1:12">
      <c r="A152" s="623"/>
      <c r="C152" s="623"/>
      <c r="F152" s="623"/>
      <c r="H152" s="633"/>
      <c r="J152" s="635"/>
      <c r="L152" s="633"/>
    </row>
    <row r="153" spans="1:12">
      <c r="A153" s="623"/>
      <c r="F153" s="623"/>
      <c r="H153" s="633"/>
      <c r="J153" s="635"/>
      <c r="L153" s="633"/>
    </row>
    <row r="154" spans="1:12">
      <c r="F154" s="623"/>
      <c r="H154" s="631"/>
      <c r="J154" s="635"/>
      <c r="L154" s="631"/>
    </row>
    <row r="155" spans="1:12">
      <c r="A155" s="623"/>
      <c r="C155" s="623"/>
      <c r="J155" s="636"/>
    </row>
    <row r="156" spans="1:12">
      <c r="A156" s="623"/>
      <c r="C156" s="623"/>
      <c r="F156" s="623"/>
      <c r="H156" s="633"/>
      <c r="J156" s="636"/>
      <c r="L156" s="633"/>
    </row>
    <row r="157" spans="1:12">
      <c r="A157" s="623"/>
      <c r="C157" s="623"/>
      <c r="F157" s="623"/>
      <c r="H157" s="633"/>
      <c r="J157" s="635"/>
      <c r="L157" s="633"/>
    </row>
    <row r="158" spans="1:12">
      <c r="A158" s="623"/>
      <c r="C158" s="623"/>
      <c r="F158" s="623"/>
      <c r="H158" s="633"/>
      <c r="J158" s="635"/>
      <c r="L158" s="633"/>
    </row>
    <row r="159" spans="1:12">
      <c r="A159" s="623"/>
      <c r="C159" s="623"/>
      <c r="F159" s="623"/>
      <c r="H159" s="633"/>
      <c r="J159" s="635"/>
      <c r="L159" s="633"/>
    </row>
    <row r="160" spans="1:12">
      <c r="A160" s="623"/>
      <c r="C160" s="623"/>
      <c r="F160" s="623"/>
      <c r="H160" s="633"/>
      <c r="I160" s="623"/>
      <c r="J160" s="635"/>
      <c r="L160" s="633"/>
    </row>
    <row r="161" spans="1:13">
      <c r="A161" s="623"/>
      <c r="C161" s="623"/>
      <c r="F161" s="623"/>
      <c r="H161" s="633"/>
      <c r="J161" s="635"/>
      <c r="L161" s="633"/>
    </row>
    <row r="162" spans="1:13">
      <c r="A162" s="623"/>
      <c r="C162" s="623"/>
      <c r="F162" s="623"/>
      <c r="H162" s="633"/>
      <c r="J162" s="635"/>
      <c r="L162" s="633"/>
    </row>
    <row r="163" spans="1:13">
      <c r="C163" s="623"/>
      <c r="F163" s="623"/>
      <c r="H163" s="633"/>
      <c r="J163" s="635"/>
      <c r="L163" s="633"/>
    </row>
    <row r="164" spans="1:13">
      <c r="C164" s="623"/>
      <c r="F164" s="623"/>
      <c r="H164" s="633"/>
      <c r="J164" s="635"/>
      <c r="L164" s="633"/>
    </row>
    <row r="165" spans="1:13">
      <c r="F165" s="623"/>
      <c r="H165" s="633"/>
      <c r="J165" s="635"/>
      <c r="L165" s="633"/>
    </row>
    <row r="166" spans="1:13">
      <c r="F166" s="623"/>
      <c r="H166" s="631"/>
      <c r="J166" s="635"/>
      <c r="L166" s="631"/>
    </row>
    <row r="167" spans="1:13">
      <c r="C167" s="637"/>
      <c r="G167" s="623"/>
    </row>
    <row r="168" spans="1:13">
      <c r="C168" s="623"/>
      <c r="G168" s="623"/>
    </row>
    <row r="169" spans="1:13">
      <c r="G169" s="623"/>
    </row>
    <row r="170" spans="1:13">
      <c r="M170" s="623"/>
    </row>
    <row r="171" spans="1:13">
      <c r="M171" s="623"/>
    </row>
    <row r="172" spans="1:13">
      <c r="M172" s="623"/>
    </row>
    <row r="173" spans="1:13">
      <c r="A173" s="623"/>
      <c r="C173" s="623"/>
      <c r="H173" s="623"/>
    </row>
    <row r="174" spans="1:13">
      <c r="A174" s="623"/>
      <c r="C174" s="623"/>
      <c r="F174" s="623"/>
      <c r="H174" s="623"/>
      <c r="J174" s="623"/>
      <c r="L174" s="623"/>
    </row>
    <row r="175" spans="1:13">
      <c r="F175" s="623"/>
      <c r="H175" s="623"/>
      <c r="J175" s="623"/>
      <c r="L175" s="623"/>
    </row>
    <row r="176" spans="1:13">
      <c r="A176" s="623"/>
      <c r="C176" s="623"/>
      <c r="H176" s="623"/>
      <c r="J176" s="623"/>
      <c r="L176" s="623"/>
    </row>
    <row r="177" spans="1:13">
      <c r="A177" s="623"/>
      <c r="C177" s="623"/>
      <c r="F177" s="623"/>
      <c r="H177" s="633"/>
      <c r="J177" s="636"/>
      <c r="L177" s="633"/>
    </row>
    <row r="178" spans="1:13">
      <c r="A178" s="623"/>
      <c r="C178" s="623"/>
      <c r="F178" s="623"/>
      <c r="H178" s="633"/>
      <c r="J178" s="635"/>
      <c r="L178" s="633"/>
      <c r="M178" s="623"/>
    </row>
    <row r="179" spans="1:13">
      <c r="A179" s="623"/>
      <c r="C179" s="623"/>
      <c r="F179" s="623"/>
      <c r="H179" s="633"/>
      <c r="J179" s="635"/>
      <c r="L179" s="633"/>
    </row>
    <row r="180" spans="1:13">
      <c r="A180" s="623"/>
      <c r="C180" s="623"/>
      <c r="F180" s="623"/>
      <c r="H180" s="633"/>
      <c r="J180" s="635"/>
      <c r="L180" s="633"/>
    </row>
    <row r="181" spans="1:13">
      <c r="A181" s="623"/>
      <c r="C181" s="623"/>
      <c r="F181" s="623"/>
      <c r="H181" s="633"/>
      <c r="J181" s="635"/>
      <c r="L181" s="633"/>
    </row>
    <row r="182" spans="1:13">
      <c r="A182" s="623"/>
      <c r="C182" s="623"/>
      <c r="F182" s="623"/>
      <c r="H182" s="633"/>
      <c r="J182" s="635"/>
      <c r="L182" s="633"/>
    </row>
    <row r="183" spans="1:13">
      <c r="F183" s="623"/>
      <c r="H183" s="631"/>
      <c r="J183" s="635"/>
      <c r="L183" s="631"/>
    </row>
    <row r="185" spans="1:13">
      <c r="A185" s="623"/>
    </row>
    <row r="186" spans="1:13">
      <c r="A186" s="623"/>
      <c r="C186" s="623"/>
      <c r="F186" s="623"/>
    </row>
    <row r="187" spans="1:13">
      <c r="A187" s="623"/>
      <c r="C187" s="623"/>
      <c r="F187" s="623"/>
      <c r="H187" s="633"/>
      <c r="J187" s="635"/>
      <c r="L187" s="633"/>
    </row>
    <row r="188" spans="1:13">
      <c r="A188" s="623"/>
      <c r="C188" s="623"/>
      <c r="F188" s="623"/>
      <c r="H188" s="633"/>
      <c r="J188" s="635"/>
      <c r="L188" s="633"/>
    </row>
    <row r="189" spans="1:13">
      <c r="A189" s="623"/>
      <c r="C189" s="623"/>
      <c r="F189" s="623"/>
      <c r="H189" s="633"/>
      <c r="J189" s="635"/>
      <c r="K189" s="633"/>
      <c r="L189" s="633"/>
    </row>
    <row r="190" spans="1:13">
      <c r="A190" s="623"/>
      <c r="C190" s="623"/>
      <c r="F190" s="623"/>
      <c r="H190" s="633"/>
      <c r="J190" s="635"/>
      <c r="L190" s="633"/>
    </row>
    <row r="191" spans="1:13">
      <c r="A191" s="623"/>
      <c r="C191" s="623"/>
      <c r="F191" s="623"/>
      <c r="H191" s="631"/>
      <c r="J191" s="635"/>
      <c r="L191" s="631"/>
    </row>
    <row r="192" spans="1:13">
      <c r="A192" s="623"/>
      <c r="C192" s="623"/>
      <c r="F192" s="623"/>
      <c r="H192" s="633"/>
      <c r="J192" s="636"/>
      <c r="L192" s="633"/>
    </row>
    <row r="193" spans="1:12">
      <c r="A193" s="623"/>
      <c r="C193" s="623"/>
      <c r="F193" s="623"/>
      <c r="H193" s="633"/>
      <c r="J193" s="636"/>
      <c r="L193" s="633"/>
    </row>
    <row r="194" spans="1:12">
      <c r="A194" s="623"/>
      <c r="C194" s="623"/>
      <c r="F194" s="623"/>
      <c r="H194" s="633"/>
      <c r="J194" s="635"/>
      <c r="L194" s="633"/>
    </row>
    <row r="195" spans="1:12">
      <c r="A195" s="623"/>
      <c r="C195" s="623"/>
      <c r="F195" s="623"/>
      <c r="H195" s="633"/>
      <c r="J195" s="635"/>
      <c r="L195" s="633"/>
    </row>
    <row r="196" spans="1:12">
      <c r="A196" s="623"/>
      <c r="C196" s="623"/>
      <c r="F196" s="623"/>
      <c r="H196" s="633"/>
      <c r="J196" s="635"/>
      <c r="L196" s="633"/>
    </row>
    <row r="197" spans="1:12">
      <c r="A197" s="623"/>
      <c r="C197" s="623"/>
      <c r="F197" s="623"/>
      <c r="H197" s="633"/>
      <c r="J197" s="635"/>
      <c r="L197" s="633"/>
    </row>
    <row r="198" spans="1:12">
      <c r="F198" s="623"/>
      <c r="H198" s="631"/>
      <c r="J198" s="635"/>
      <c r="L198" s="631"/>
    </row>
    <row r="199" spans="1:12">
      <c r="A199" s="623"/>
      <c r="C199" s="623"/>
      <c r="H199" s="633"/>
      <c r="J199" s="636"/>
      <c r="L199" s="633"/>
    </row>
    <row r="200" spans="1:12">
      <c r="A200" s="623"/>
      <c r="C200" s="623"/>
      <c r="F200" s="623"/>
      <c r="H200" s="633"/>
      <c r="J200" s="636"/>
      <c r="L200" s="633"/>
    </row>
    <row r="201" spans="1:12">
      <c r="A201" s="623"/>
      <c r="C201" s="623"/>
      <c r="F201" s="623"/>
      <c r="H201" s="633"/>
      <c r="I201" s="623"/>
      <c r="J201" s="635"/>
      <c r="L201" s="633"/>
    </row>
    <row r="202" spans="1:12">
      <c r="A202" s="623"/>
      <c r="C202" s="623"/>
      <c r="F202" s="623"/>
      <c r="H202" s="633"/>
      <c r="J202" s="635"/>
      <c r="L202" s="633"/>
    </row>
    <row r="203" spans="1:12">
      <c r="A203" s="623"/>
      <c r="C203" s="623"/>
      <c r="F203" s="623"/>
      <c r="H203" s="633"/>
      <c r="J203" s="635"/>
      <c r="L203" s="633"/>
    </row>
    <row r="204" spans="1:12">
      <c r="A204" s="623"/>
      <c r="C204" s="623"/>
      <c r="F204" s="623"/>
      <c r="H204" s="633"/>
      <c r="J204" s="635"/>
      <c r="L204" s="633"/>
    </row>
    <row r="205" spans="1:12">
      <c r="A205" s="623"/>
      <c r="C205" s="623"/>
      <c r="F205" s="623"/>
      <c r="H205" s="633"/>
      <c r="J205" s="635"/>
      <c r="L205" s="633"/>
    </row>
    <row r="206" spans="1:12">
      <c r="A206" s="623"/>
      <c r="C206" s="623"/>
      <c r="F206" s="623"/>
      <c r="H206" s="633"/>
      <c r="J206" s="635"/>
      <c r="L206" s="633"/>
    </row>
    <row r="207" spans="1:12">
      <c r="A207" s="623"/>
      <c r="C207" s="623"/>
      <c r="F207" s="623"/>
      <c r="H207" s="633"/>
      <c r="J207" s="635"/>
      <c r="L207" s="633"/>
    </row>
    <row r="208" spans="1:12">
      <c r="A208" s="623"/>
      <c r="C208" s="623"/>
      <c r="F208" s="623"/>
      <c r="H208" s="633"/>
      <c r="J208" s="635"/>
      <c r="L208" s="633"/>
    </row>
    <row r="209" spans="1:13">
      <c r="A209" s="623"/>
      <c r="C209" s="623"/>
      <c r="F209" s="623"/>
      <c r="H209" s="633"/>
      <c r="J209" s="635"/>
      <c r="L209" s="633"/>
    </row>
    <row r="210" spans="1:13">
      <c r="F210" s="623"/>
      <c r="H210" s="631"/>
      <c r="J210" s="635"/>
      <c r="L210" s="631"/>
      <c r="M210" s="623"/>
    </row>
    <row r="211" spans="1:13">
      <c r="C211" s="637"/>
      <c r="G211" s="623"/>
    </row>
    <row r="212" spans="1:13">
      <c r="C212" s="638"/>
      <c r="G212" s="623"/>
    </row>
    <row r="213" spans="1:13">
      <c r="C213" s="623"/>
      <c r="G213" s="623"/>
    </row>
    <row r="214" spans="1:13">
      <c r="G214" s="623"/>
    </row>
    <row r="215" spans="1:13">
      <c r="M215" s="623"/>
    </row>
    <row r="216" spans="1:13">
      <c r="M216" s="623"/>
    </row>
    <row r="217" spans="1:13">
      <c r="M217" s="623"/>
    </row>
    <row r="218" spans="1:13">
      <c r="A218" s="623"/>
      <c r="C218" s="623"/>
      <c r="H218" s="623"/>
    </row>
    <row r="219" spans="1:13">
      <c r="A219" s="623"/>
      <c r="C219" s="623"/>
      <c r="F219" s="623"/>
      <c r="H219" s="623"/>
      <c r="J219" s="623"/>
      <c r="L219" s="623"/>
    </row>
    <row r="220" spans="1:13">
      <c r="F220" s="623"/>
      <c r="H220" s="623"/>
      <c r="J220" s="623"/>
      <c r="L220" s="623"/>
    </row>
    <row r="221" spans="1:13">
      <c r="A221" s="623"/>
      <c r="C221" s="623"/>
      <c r="H221" s="623"/>
      <c r="J221" s="623"/>
      <c r="L221" s="623"/>
    </row>
    <row r="222" spans="1:13">
      <c r="A222" s="623"/>
      <c r="F222" s="623"/>
      <c r="H222" s="623"/>
      <c r="J222" s="623"/>
      <c r="L222" s="623"/>
    </row>
    <row r="223" spans="1:13">
      <c r="A223" s="623"/>
      <c r="C223" s="623"/>
      <c r="F223" s="623"/>
    </row>
    <row r="224" spans="1:13">
      <c r="A224" s="623"/>
      <c r="C224" s="623"/>
      <c r="F224" s="623"/>
      <c r="H224" s="633"/>
      <c r="J224" s="636"/>
      <c r="L224" s="633"/>
    </row>
    <row r="225" spans="1:12">
      <c r="A225" s="623"/>
      <c r="C225" s="623"/>
      <c r="F225" s="623"/>
      <c r="H225" s="633"/>
      <c r="J225" s="636"/>
      <c r="L225" s="633"/>
    </row>
    <row r="226" spans="1:12">
      <c r="A226" s="623"/>
      <c r="C226" s="623"/>
      <c r="F226" s="623"/>
      <c r="H226" s="633"/>
      <c r="J226" s="635"/>
      <c r="L226" s="633"/>
    </row>
    <row r="227" spans="1:12">
      <c r="F227" s="623"/>
      <c r="H227" s="633"/>
      <c r="J227" s="635"/>
      <c r="L227" s="631"/>
    </row>
    <row r="228" spans="1:12">
      <c r="A228" s="623"/>
      <c r="C228" s="623"/>
    </row>
    <row r="229" spans="1:12">
      <c r="F229" s="623"/>
      <c r="H229" s="631"/>
      <c r="J229" s="635"/>
      <c r="L229" s="631"/>
    </row>
    <row r="230" spans="1:12">
      <c r="A230" s="623"/>
      <c r="C230" s="623"/>
    </row>
    <row r="231" spans="1:12">
      <c r="A231" s="623"/>
      <c r="C231" s="623"/>
      <c r="F231" s="623"/>
      <c r="H231" s="633"/>
      <c r="J231" s="635"/>
      <c r="L231" s="633"/>
    </row>
    <row r="232" spans="1:12">
      <c r="A232" s="623"/>
      <c r="C232" s="623"/>
      <c r="F232" s="623"/>
      <c r="H232" s="633"/>
      <c r="J232" s="635"/>
      <c r="L232" s="633"/>
    </row>
    <row r="233" spans="1:12">
      <c r="A233" s="623"/>
      <c r="C233" s="623"/>
      <c r="F233" s="623"/>
      <c r="H233" s="633"/>
      <c r="J233" s="635"/>
      <c r="L233" s="633"/>
    </row>
    <row r="234" spans="1:12">
      <c r="F234" s="623"/>
      <c r="H234" s="631"/>
      <c r="J234" s="635"/>
      <c r="L234" s="631"/>
    </row>
    <row r="235" spans="1:12">
      <c r="A235" s="623"/>
      <c r="C235" s="623"/>
      <c r="J235" s="636"/>
    </row>
    <row r="236" spans="1:12">
      <c r="F236" s="623"/>
      <c r="H236" s="631"/>
      <c r="J236" s="635"/>
      <c r="L236" s="631"/>
    </row>
    <row r="237" spans="1:12">
      <c r="C237" s="623"/>
    </row>
    <row r="241" spans="1:1">
      <c r="A241" s="623"/>
    </row>
    <row r="242" spans="1:1">
      <c r="A242" s="623"/>
    </row>
    <row r="243" spans="1:1">
      <c r="A243" s="623"/>
    </row>
    <row r="244" spans="1:1">
      <c r="A244" s="623"/>
    </row>
    <row r="246" spans="1:1">
      <c r="A246" s="623"/>
    </row>
  </sheetData>
  <mergeCells count="6">
    <mergeCell ref="N11:P11"/>
    <mergeCell ref="A1:S1"/>
    <mergeCell ref="A2:S2"/>
    <mergeCell ref="A3:S3"/>
    <mergeCell ref="A4:S4"/>
    <mergeCell ref="N10:P10"/>
  </mergeCells>
  <printOptions horizontalCentered="1"/>
  <pageMargins left="0.5" right="0.5" top="0.75" bottom="0.5" header="0.3" footer="0.3"/>
  <pageSetup scale="8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1674"/>
  <sheetViews>
    <sheetView workbookViewId="0">
      <selection activeCell="E17" sqref="E17"/>
    </sheetView>
  </sheetViews>
  <sheetFormatPr defaultColWidth="8.6640625" defaultRowHeight="12.75"/>
  <cols>
    <col min="1" max="1" width="1.6640625" style="5" customWidth="1"/>
    <col min="2" max="2" width="40.1640625" style="5" bestFit="1" customWidth="1"/>
    <col min="3" max="3" width="10" style="5" customWidth="1"/>
    <col min="4" max="4" width="36.1640625" style="5" bestFit="1" customWidth="1"/>
    <col min="5" max="5" width="24.5" style="5" bestFit="1" customWidth="1"/>
    <col min="6" max="6" width="27.1640625" style="5" bestFit="1" customWidth="1"/>
    <col min="7" max="7" width="29.1640625" style="5" bestFit="1" customWidth="1"/>
    <col min="8" max="8" width="25.33203125" style="1044" customWidth="1"/>
    <col min="9" max="9" width="18.6640625" style="5" customWidth="1"/>
    <col min="10" max="10" width="12.6640625" style="5" bestFit="1" customWidth="1"/>
    <col min="11" max="17" width="12.6640625" style="5" customWidth="1"/>
    <col min="18" max="18" width="12.6640625" style="5" bestFit="1" customWidth="1"/>
    <col min="19" max="19" width="11.6640625" style="5" bestFit="1" customWidth="1"/>
    <col min="20" max="16384" width="8.6640625" style="5"/>
  </cols>
  <sheetData>
    <row r="1" spans="2:18">
      <c r="B1" s="5" t="s">
        <v>1548</v>
      </c>
      <c r="C1" s="105" t="s">
        <v>1549</v>
      </c>
      <c r="H1" s="5"/>
    </row>
    <row r="2" spans="2:18">
      <c r="C2" s="105"/>
      <c r="E2" s="1303" t="s">
        <v>2126</v>
      </c>
      <c r="F2" s="1303"/>
      <c r="G2" s="1303"/>
      <c r="H2" s="5"/>
      <c r="I2" s="6" t="s">
        <v>2125</v>
      </c>
      <c r="J2" s="1303" t="s">
        <v>2126</v>
      </c>
      <c r="K2" s="1303"/>
      <c r="L2" s="1303"/>
      <c r="M2" s="1303"/>
      <c r="N2" s="1303"/>
      <c r="O2" s="1303"/>
      <c r="P2" s="1303"/>
      <c r="Q2" s="1303"/>
    </row>
    <row r="3" spans="2:18">
      <c r="C3" s="105"/>
      <c r="E3" s="124" t="s">
        <v>2450</v>
      </c>
      <c r="F3" s="124" t="str">
        <f>+E3</f>
        <v>ADJ 7.2</v>
      </c>
      <c r="G3" s="6" t="str">
        <f>+E3</f>
        <v>ADJ 7.2</v>
      </c>
      <c r="H3" s="5" t="s">
        <v>1940</v>
      </c>
      <c r="I3" s="124" t="s">
        <v>1933</v>
      </c>
      <c r="J3" s="1304" t="s">
        <v>1934</v>
      </c>
      <c r="K3" s="1304"/>
      <c r="L3" s="1304"/>
      <c r="M3" s="1304"/>
      <c r="N3" s="1304"/>
      <c r="O3" s="1304"/>
      <c r="P3" s="1304"/>
      <c r="Q3" s="1304"/>
      <c r="R3" s="5" t="s">
        <v>2127</v>
      </c>
    </row>
    <row r="4" spans="2:18">
      <c r="C4" s="105"/>
      <c r="E4" s="1047">
        <v>-14782.302090000001</v>
      </c>
      <c r="F4" s="1047">
        <v>-1996.1923500000003</v>
      </c>
      <c r="G4" s="1047">
        <v>-102.69126000000001</v>
      </c>
      <c r="H4" s="1048">
        <f>SUM(E4:G4)</f>
        <v>-16881.185700000002</v>
      </c>
      <c r="I4" s="1047">
        <v>-409.71717000000001</v>
      </c>
      <c r="J4" s="1047">
        <v>-226.33992000000001</v>
      </c>
      <c r="K4" s="1047">
        <v>-281.87703000000005</v>
      </c>
      <c r="L4" s="1047">
        <v>-267.20685000000003</v>
      </c>
      <c r="M4" s="1047">
        <v>-1256.3961300000001</v>
      </c>
      <c r="N4" s="1047">
        <v>-298.64295000000004</v>
      </c>
      <c r="O4" s="1047">
        <v>-62.872200000000007</v>
      </c>
      <c r="P4" s="1047">
        <v>-551.17962</v>
      </c>
      <c r="Q4" s="1047">
        <v>-277.68555000000003</v>
      </c>
      <c r="R4" s="126">
        <f>SUM(J4:Q4)</f>
        <v>-3222.2002499999999</v>
      </c>
    </row>
    <row r="5" spans="2:18">
      <c r="B5" s="132" t="s">
        <v>1935</v>
      </c>
      <c r="C5" s="132" t="s">
        <v>659</v>
      </c>
      <c r="D5" s="132" t="s">
        <v>1938</v>
      </c>
      <c r="E5" s="124" t="s">
        <v>1092</v>
      </c>
      <c r="F5" s="124" t="s">
        <v>1030</v>
      </c>
      <c r="G5" s="124" t="s">
        <v>1100</v>
      </c>
      <c r="H5" s="6" t="s">
        <v>2309</v>
      </c>
      <c r="I5" s="34" t="s">
        <v>1939</v>
      </c>
      <c r="J5" s="6" t="str">
        <f>+I5</f>
        <v>NCSC</v>
      </c>
      <c r="K5" s="6" t="str">
        <f t="shared" ref="K5:R5" si="0">+J5</f>
        <v>NCSC</v>
      </c>
      <c r="L5" s="6" t="str">
        <f t="shared" si="0"/>
        <v>NCSC</v>
      </c>
      <c r="M5" s="6" t="str">
        <f t="shared" si="0"/>
        <v>NCSC</v>
      </c>
      <c r="N5" s="6" t="str">
        <f>+M5</f>
        <v>NCSC</v>
      </c>
      <c r="O5" s="6" t="str">
        <f>+N5</f>
        <v>NCSC</v>
      </c>
      <c r="P5" s="6" t="str">
        <f>+O5</f>
        <v>NCSC</v>
      </c>
      <c r="Q5" s="6" t="str">
        <f>+P5</f>
        <v>NCSC</v>
      </c>
      <c r="R5" s="6" t="str">
        <f t="shared" si="0"/>
        <v>NCSC</v>
      </c>
    </row>
    <row r="6" spans="2:18">
      <c r="B6" s="6" t="s">
        <v>1087</v>
      </c>
      <c r="C6" s="6">
        <v>801</v>
      </c>
      <c r="D6" s="1049">
        <v>0</v>
      </c>
      <c r="H6" s="5"/>
    </row>
    <row r="7" spans="2:18">
      <c r="B7" s="6" t="s">
        <v>1087</v>
      </c>
      <c r="C7" s="6">
        <v>803</v>
      </c>
      <c r="D7" s="1049">
        <v>0</v>
      </c>
    </row>
    <row r="8" spans="2:18">
      <c r="B8" s="6" t="s">
        <v>1087</v>
      </c>
      <c r="C8" s="6">
        <v>804</v>
      </c>
      <c r="D8" s="1049">
        <v>0</v>
      </c>
    </row>
    <row r="9" spans="2:18">
      <c r="B9" s="6" t="s">
        <v>1087</v>
      </c>
      <c r="C9" s="6">
        <v>805</v>
      </c>
      <c r="D9" s="1049">
        <v>0</v>
      </c>
    </row>
    <row r="10" spans="2:18">
      <c r="B10" s="6" t="s">
        <v>1087</v>
      </c>
      <c r="C10" s="6">
        <v>806</v>
      </c>
      <c r="D10" s="1050">
        <v>0</v>
      </c>
    </row>
    <row r="11" spans="2:18">
      <c r="B11" s="6" t="s">
        <v>1087</v>
      </c>
      <c r="C11" s="6">
        <v>807</v>
      </c>
      <c r="D11" s="1049">
        <v>0</v>
      </c>
      <c r="E11" s="112"/>
      <c r="F11" s="112"/>
      <c r="G11" s="112"/>
      <c r="H11" s="128"/>
      <c r="I11" s="112"/>
      <c r="J11" s="112"/>
      <c r="K11" s="112"/>
      <c r="L11" s="26"/>
    </row>
    <row r="12" spans="2:18">
      <c r="B12" s="6" t="s">
        <v>1087</v>
      </c>
      <c r="C12" s="6">
        <v>808</v>
      </c>
      <c r="D12" s="1049">
        <v>0</v>
      </c>
      <c r="E12" s="112"/>
      <c r="F12" s="112"/>
      <c r="G12" s="112"/>
      <c r="H12" s="128"/>
      <c r="I12" s="112"/>
      <c r="J12" s="112"/>
      <c r="K12" s="112"/>
      <c r="L12" s="26"/>
      <c r="M12" s="26"/>
      <c r="N12" s="26"/>
    </row>
    <row r="13" spans="2:18">
      <c r="B13" s="6" t="s">
        <v>1087</v>
      </c>
      <c r="C13" s="6">
        <v>812</v>
      </c>
      <c r="D13" s="1050">
        <v>0</v>
      </c>
      <c r="E13" s="26"/>
      <c r="F13" s="26"/>
      <c r="G13" s="26"/>
      <c r="H13" s="129"/>
      <c r="I13" s="26"/>
      <c r="J13" s="26"/>
      <c r="K13" s="26"/>
      <c r="L13" s="26"/>
      <c r="M13" s="26"/>
      <c r="N13" s="26"/>
    </row>
    <row r="14" spans="2:18">
      <c r="B14" s="6" t="s">
        <v>1087</v>
      </c>
      <c r="C14" s="6">
        <v>870</v>
      </c>
      <c r="D14" s="1050">
        <v>0</v>
      </c>
      <c r="E14" s="26"/>
      <c r="F14" s="26"/>
      <c r="G14" s="26"/>
      <c r="H14" s="129"/>
      <c r="I14" s="26"/>
      <c r="J14" s="26"/>
      <c r="K14" s="26"/>
      <c r="L14" s="26"/>
      <c r="M14" s="26"/>
      <c r="N14" s="26"/>
    </row>
    <row r="15" spans="2:18">
      <c r="B15" s="6" t="s">
        <v>1087</v>
      </c>
      <c r="C15" s="6">
        <v>871</v>
      </c>
      <c r="D15" s="1050">
        <v>0</v>
      </c>
      <c r="E15" s="26"/>
      <c r="F15" s="26"/>
      <c r="G15" s="26"/>
      <c r="H15" s="129"/>
      <c r="I15" s="26"/>
      <c r="J15" s="26"/>
      <c r="K15" s="26"/>
      <c r="L15" s="26"/>
      <c r="M15" s="26"/>
      <c r="N15" s="26"/>
    </row>
    <row r="16" spans="2:18">
      <c r="B16" s="6" t="s">
        <v>1087</v>
      </c>
      <c r="C16" s="6">
        <v>874</v>
      </c>
      <c r="D16" s="1050">
        <v>1.8813719854692495E-5</v>
      </c>
      <c r="E16" s="26"/>
      <c r="F16" s="26"/>
      <c r="G16" s="26"/>
      <c r="H16" s="129"/>
      <c r="I16" s="26"/>
      <c r="J16" s="26"/>
      <c r="K16" s="26"/>
      <c r="L16" s="26"/>
      <c r="M16" s="26"/>
      <c r="N16" s="26"/>
    </row>
    <row r="17" spans="2:14">
      <c r="B17" s="6" t="s">
        <v>1087</v>
      </c>
      <c r="C17" s="6">
        <v>875</v>
      </c>
      <c r="D17" s="1050">
        <v>0</v>
      </c>
      <c r="E17" s="26"/>
      <c r="F17" s="26"/>
      <c r="G17" s="26"/>
      <c r="H17" s="129"/>
      <c r="I17" s="26"/>
      <c r="J17" s="26"/>
      <c r="K17" s="26"/>
      <c r="L17" s="26"/>
      <c r="M17" s="26"/>
      <c r="N17" s="26"/>
    </row>
    <row r="18" spans="2:14">
      <c r="B18" s="6" t="s">
        <v>1087</v>
      </c>
      <c r="C18" s="6">
        <v>876</v>
      </c>
      <c r="D18" s="1050">
        <v>0</v>
      </c>
      <c r="E18" s="26"/>
      <c r="F18" s="26"/>
      <c r="G18" s="26"/>
      <c r="H18" s="129"/>
      <c r="I18" s="26"/>
      <c r="J18" s="26"/>
      <c r="K18" s="26"/>
      <c r="L18" s="26"/>
      <c r="M18" s="26"/>
      <c r="N18" s="26"/>
    </row>
    <row r="19" spans="2:14">
      <c r="B19" s="6" t="s">
        <v>1087</v>
      </c>
      <c r="C19" s="6">
        <v>878</v>
      </c>
      <c r="D19" s="1050">
        <v>0</v>
      </c>
      <c r="E19" s="26"/>
      <c r="F19" s="26"/>
      <c r="G19" s="26"/>
      <c r="H19" s="129"/>
      <c r="I19" s="26"/>
      <c r="J19" s="26"/>
      <c r="K19" s="26"/>
      <c r="L19" s="26"/>
      <c r="M19" s="26"/>
      <c r="N19" s="26"/>
    </row>
    <row r="20" spans="2:14">
      <c r="B20" s="6" t="s">
        <v>1087</v>
      </c>
      <c r="C20" s="6">
        <v>879</v>
      </c>
      <c r="D20" s="1050">
        <v>0</v>
      </c>
      <c r="E20" s="26"/>
      <c r="F20" s="26"/>
      <c r="G20" s="26"/>
      <c r="H20" s="129"/>
      <c r="I20" s="26"/>
      <c r="J20" s="26"/>
      <c r="K20" s="26"/>
      <c r="L20" s="26"/>
      <c r="M20" s="26"/>
      <c r="N20" s="26"/>
    </row>
    <row r="21" spans="2:14">
      <c r="B21" s="6" t="s">
        <v>1087</v>
      </c>
      <c r="C21" s="6">
        <v>880</v>
      </c>
      <c r="D21" s="1051">
        <v>3.1497241652451335E-4</v>
      </c>
      <c r="E21" s="113"/>
      <c r="F21" s="113"/>
      <c r="G21" s="113"/>
      <c r="H21" s="130"/>
      <c r="I21" s="113"/>
      <c r="J21" s="113"/>
      <c r="K21" s="113"/>
      <c r="L21" s="113"/>
      <c r="M21" s="113"/>
      <c r="N21" s="113"/>
    </row>
    <row r="22" spans="2:14">
      <c r="B22" s="6" t="s">
        <v>1087</v>
      </c>
      <c r="C22" s="6">
        <v>881</v>
      </c>
      <c r="D22" s="1051">
        <v>0</v>
      </c>
      <c r="E22" s="113"/>
      <c r="F22" s="113"/>
      <c r="G22" s="113"/>
      <c r="H22" s="130"/>
      <c r="I22" s="113"/>
      <c r="J22" s="113"/>
      <c r="K22" s="113"/>
      <c r="L22" s="113"/>
      <c r="M22" s="113"/>
      <c r="N22" s="113"/>
    </row>
    <row r="23" spans="2:14">
      <c r="B23" s="6" t="s">
        <v>1087</v>
      </c>
      <c r="C23" s="6">
        <v>885</v>
      </c>
      <c r="D23" s="1051">
        <v>0</v>
      </c>
      <c r="E23" s="113"/>
      <c r="F23" s="113"/>
      <c r="G23" s="113"/>
      <c r="H23" s="130"/>
      <c r="I23" s="113"/>
      <c r="J23" s="113"/>
      <c r="K23" s="113"/>
      <c r="L23" s="113"/>
      <c r="M23" s="113"/>
      <c r="N23" s="113"/>
    </row>
    <row r="24" spans="2:14">
      <c r="B24" s="6" t="s">
        <v>1087</v>
      </c>
      <c r="C24" s="6">
        <v>886</v>
      </c>
      <c r="D24" s="1051">
        <v>0</v>
      </c>
      <c r="E24" s="113"/>
      <c r="F24" s="113"/>
      <c r="G24" s="113"/>
      <c r="H24" s="130"/>
      <c r="I24" s="113"/>
      <c r="J24" s="113"/>
      <c r="K24" s="113"/>
      <c r="L24" s="113"/>
      <c r="M24" s="113"/>
      <c r="N24" s="113"/>
    </row>
    <row r="25" spans="2:14">
      <c r="B25" s="6" t="s">
        <v>1087</v>
      </c>
      <c r="C25" s="6">
        <v>887</v>
      </c>
      <c r="D25" s="1051">
        <v>0</v>
      </c>
      <c r="E25" s="113"/>
      <c r="F25" s="113"/>
      <c r="G25" s="113"/>
      <c r="H25" s="130"/>
      <c r="I25" s="113"/>
      <c r="J25" s="113"/>
      <c r="K25" s="113"/>
      <c r="L25" s="113"/>
      <c r="M25" s="113"/>
      <c r="N25" s="113"/>
    </row>
    <row r="26" spans="2:14">
      <c r="B26" s="6" t="s">
        <v>1087</v>
      </c>
      <c r="C26" s="6">
        <v>889</v>
      </c>
      <c r="D26" s="1051">
        <v>0</v>
      </c>
      <c r="E26" s="113"/>
      <c r="F26" s="113"/>
      <c r="G26" s="113"/>
      <c r="H26" s="130"/>
      <c r="I26" s="113"/>
      <c r="J26" s="113"/>
      <c r="K26" s="113"/>
      <c r="L26" s="113"/>
      <c r="M26" s="113"/>
      <c r="N26" s="113"/>
    </row>
    <row r="27" spans="2:14">
      <c r="B27" s="6" t="s">
        <v>1087</v>
      </c>
      <c r="C27" s="6">
        <v>890</v>
      </c>
      <c r="D27" s="1051">
        <v>0</v>
      </c>
      <c r="E27" s="113"/>
      <c r="F27" s="113"/>
      <c r="G27" s="113"/>
      <c r="H27" s="130"/>
      <c r="I27" s="113"/>
      <c r="J27" s="113"/>
      <c r="K27" s="113"/>
      <c r="L27" s="113"/>
      <c r="M27" s="113"/>
      <c r="N27" s="113"/>
    </row>
    <row r="28" spans="2:14">
      <c r="B28" s="6" t="s">
        <v>1087</v>
      </c>
      <c r="C28" s="6">
        <v>892</v>
      </c>
      <c r="D28" s="1051">
        <v>0</v>
      </c>
      <c r="E28" s="113"/>
      <c r="F28" s="113"/>
      <c r="G28" s="113"/>
      <c r="H28" s="130"/>
      <c r="I28" s="113"/>
      <c r="J28" s="113"/>
      <c r="K28" s="113"/>
      <c r="L28" s="113"/>
      <c r="M28" s="113"/>
      <c r="N28" s="113"/>
    </row>
    <row r="29" spans="2:14">
      <c r="B29" s="6" t="s">
        <v>1087</v>
      </c>
      <c r="C29" s="6">
        <v>893</v>
      </c>
      <c r="D29" s="1051">
        <v>0</v>
      </c>
      <c r="E29" s="113"/>
      <c r="F29" s="113"/>
      <c r="G29" s="113"/>
      <c r="H29" s="130"/>
      <c r="I29" s="113"/>
      <c r="J29" s="113"/>
      <c r="K29" s="113"/>
      <c r="L29" s="113"/>
      <c r="M29" s="113"/>
      <c r="N29" s="113"/>
    </row>
    <row r="30" spans="2:14">
      <c r="B30" s="6" t="s">
        <v>1087</v>
      </c>
      <c r="C30" s="6">
        <v>894</v>
      </c>
      <c r="D30" s="1051">
        <v>0</v>
      </c>
      <c r="E30" s="113"/>
      <c r="F30" s="113"/>
      <c r="G30" s="113"/>
      <c r="H30" s="130"/>
      <c r="I30" s="113"/>
      <c r="J30" s="113"/>
      <c r="K30" s="113"/>
      <c r="L30" s="113"/>
      <c r="M30" s="113"/>
      <c r="N30" s="113"/>
    </row>
    <row r="31" spans="2:14">
      <c r="B31" s="6" t="s">
        <v>1087</v>
      </c>
      <c r="C31" s="6">
        <v>902</v>
      </c>
      <c r="D31" s="1051">
        <v>0</v>
      </c>
      <c r="E31" s="113"/>
      <c r="F31" s="113"/>
      <c r="G31" s="113"/>
      <c r="H31" s="130"/>
      <c r="I31" s="113"/>
      <c r="J31" s="113"/>
      <c r="K31" s="113"/>
      <c r="L31" s="113"/>
      <c r="M31" s="113"/>
      <c r="N31" s="113"/>
    </row>
    <row r="32" spans="2:14">
      <c r="B32" s="6" t="s">
        <v>1087</v>
      </c>
      <c r="C32" s="6">
        <v>903</v>
      </c>
      <c r="D32" s="1051">
        <v>0</v>
      </c>
      <c r="E32" s="113"/>
      <c r="F32" s="113"/>
      <c r="G32" s="113"/>
      <c r="H32" s="130"/>
      <c r="I32" s="113"/>
      <c r="J32" s="113"/>
      <c r="K32" s="113"/>
      <c r="L32" s="113"/>
      <c r="M32" s="113"/>
      <c r="N32" s="113"/>
    </row>
    <row r="33" spans="2:14">
      <c r="B33" s="6" t="s">
        <v>1087</v>
      </c>
      <c r="C33" s="6">
        <v>904</v>
      </c>
      <c r="D33" s="1051">
        <v>0</v>
      </c>
      <c r="E33" s="113"/>
      <c r="F33" s="113"/>
      <c r="G33" s="113"/>
      <c r="H33" s="130"/>
      <c r="I33" s="113"/>
      <c r="J33" s="113"/>
      <c r="K33" s="113"/>
      <c r="L33" s="113"/>
      <c r="M33" s="113"/>
      <c r="N33" s="113"/>
    </row>
    <row r="34" spans="2:14">
      <c r="B34" s="6" t="s">
        <v>1087</v>
      </c>
      <c r="C34" s="6">
        <v>905</v>
      </c>
      <c r="D34" s="1051">
        <v>0</v>
      </c>
      <c r="E34" s="113"/>
      <c r="F34" s="113"/>
      <c r="G34" s="113"/>
      <c r="H34" s="130"/>
      <c r="I34" s="113"/>
      <c r="J34" s="113"/>
      <c r="K34" s="113"/>
      <c r="L34" s="113"/>
      <c r="M34" s="113"/>
      <c r="N34" s="113"/>
    </row>
    <row r="35" spans="2:14">
      <c r="B35" s="6" t="s">
        <v>1087</v>
      </c>
      <c r="C35" s="6">
        <v>907</v>
      </c>
      <c r="D35" s="1051">
        <v>0</v>
      </c>
      <c r="E35" s="113"/>
      <c r="F35" s="113"/>
      <c r="G35" s="113"/>
      <c r="H35" s="130"/>
      <c r="I35" s="113"/>
      <c r="J35" s="113"/>
      <c r="K35" s="113"/>
      <c r="L35" s="113"/>
      <c r="M35" s="113"/>
      <c r="N35" s="113"/>
    </row>
    <row r="36" spans="2:14">
      <c r="B36" s="6" t="s">
        <v>1087</v>
      </c>
      <c r="C36" s="6">
        <v>908</v>
      </c>
      <c r="D36" s="1051">
        <v>0</v>
      </c>
      <c r="E36" s="113"/>
      <c r="F36" s="113"/>
      <c r="G36" s="113"/>
      <c r="H36" s="130"/>
      <c r="I36" s="113"/>
      <c r="J36" s="113"/>
      <c r="K36" s="113"/>
      <c r="L36" s="113"/>
      <c r="M36" s="113"/>
      <c r="N36" s="113"/>
    </row>
    <row r="37" spans="2:14">
      <c r="B37" s="6" t="s">
        <v>1087</v>
      </c>
      <c r="C37" s="6">
        <v>909</v>
      </c>
      <c r="D37" s="1051">
        <v>0</v>
      </c>
      <c r="E37" s="113"/>
      <c r="F37" s="113"/>
      <c r="G37" s="113"/>
      <c r="H37" s="130"/>
      <c r="I37" s="113"/>
      <c r="J37" s="113"/>
      <c r="K37" s="113"/>
      <c r="L37" s="113"/>
      <c r="M37" s="113"/>
      <c r="N37" s="113"/>
    </row>
    <row r="38" spans="2:14">
      <c r="B38" s="6" t="s">
        <v>1087</v>
      </c>
      <c r="C38" s="6">
        <v>910</v>
      </c>
      <c r="D38" s="1051">
        <v>0</v>
      </c>
      <c r="E38" s="113"/>
      <c r="F38" s="113"/>
      <c r="G38" s="113"/>
      <c r="H38" s="130"/>
      <c r="I38" s="113"/>
      <c r="J38" s="113"/>
      <c r="K38" s="113"/>
      <c r="L38" s="113"/>
      <c r="M38" s="113"/>
      <c r="N38" s="113"/>
    </row>
    <row r="39" spans="2:14">
      <c r="B39" s="6" t="s">
        <v>1087</v>
      </c>
      <c r="C39" s="6">
        <v>911</v>
      </c>
      <c r="D39" s="1051">
        <v>0</v>
      </c>
      <c r="E39" s="113"/>
      <c r="F39" s="113"/>
      <c r="G39" s="113"/>
      <c r="H39" s="130"/>
      <c r="I39" s="113"/>
      <c r="J39" s="113"/>
      <c r="K39" s="113"/>
      <c r="L39" s="113"/>
      <c r="M39" s="113"/>
      <c r="N39" s="113"/>
    </row>
    <row r="40" spans="2:14">
      <c r="B40" s="6" t="s">
        <v>1087</v>
      </c>
      <c r="C40" s="6">
        <v>912</v>
      </c>
      <c r="D40" s="1051">
        <v>0</v>
      </c>
      <c r="E40" s="113"/>
      <c r="F40" s="113"/>
      <c r="G40" s="113"/>
      <c r="H40" s="130"/>
      <c r="I40" s="113"/>
      <c r="J40" s="113"/>
      <c r="K40" s="113"/>
      <c r="L40" s="113"/>
      <c r="M40" s="113"/>
      <c r="N40" s="113"/>
    </row>
    <row r="41" spans="2:14">
      <c r="B41" s="6" t="s">
        <v>1087</v>
      </c>
      <c r="C41" s="6">
        <v>913</v>
      </c>
      <c r="D41" s="1051">
        <v>0</v>
      </c>
      <c r="E41" s="113"/>
      <c r="F41" s="113"/>
      <c r="G41" s="113"/>
      <c r="H41" s="130"/>
      <c r="I41" s="113"/>
      <c r="J41" s="113"/>
      <c r="K41" s="113"/>
      <c r="L41" s="113"/>
      <c r="M41" s="113"/>
      <c r="N41" s="113"/>
    </row>
    <row r="42" spans="2:14">
      <c r="B42" s="6" t="s">
        <v>1087</v>
      </c>
      <c r="C42" s="6">
        <v>920</v>
      </c>
      <c r="D42" s="1051">
        <v>0</v>
      </c>
      <c r="E42" s="113"/>
      <c r="F42" s="113"/>
      <c r="G42" s="113"/>
      <c r="H42" s="130"/>
      <c r="I42" s="113"/>
      <c r="J42" s="113"/>
      <c r="K42" s="113"/>
      <c r="L42" s="113"/>
      <c r="M42" s="113"/>
      <c r="N42" s="113"/>
    </row>
    <row r="43" spans="2:14">
      <c r="B43" s="6" t="s">
        <v>1087</v>
      </c>
      <c r="C43" s="6">
        <v>921</v>
      </c>
      <c r="D43" s="1051">
        <v>0</v>
      </c>
      <c r="E43" s="113"/>
      <c r="F43" s="113"/>
      <c r="G43" s="113"/>
      <c r="H43" s="130"/>
      <c r="I43" s="113"/>
      <c r="J43" s="113"/>
      <c r="K43" s="113"/>
      <c r="L43" s="113"/>
      <c r="M43" s="113"/>
      <c r="N43" s="113"/>
    </row>
    <row r="44" spans="2:14">
      <c r="B44" s="6" t="s">
        <v>1087</v>
      </c>
      <c r="C44" s="6">
        <v>923</v>
      </c>
      <c r="D44" s="1051">
        <v>0</v>
      </c>
      <c r="E44" s="113"/>
      <c r="F44" s="113"/>
      <c r="G44" s="113"/>
      <c r="H44" s="130"/>
      <c r="I44" s="113"/>
      <c r="J44" s="113"/>
      <c r="K44" s="113"/>
      <c r="L44" s="113"/>
      <c r="M44" s="113"/>
      <c r="N44" s="113"/>
    </row>
    <row r="45" spans="2:14">
      <c r="B45" s="6" t="s">
        <v>1087</v>
      </c>
      <c r="C45" s="6">
        <v>924</v>
      </c>
      <c r="D45" s="1051">
        <v>0</v>
      </c>
      <c r="E45" s="113"/>
      <c r="F45" s="113"/>
      <c r="G45" s="113"/>
      <c r="H45" s="130"/>
      <c r="I45" s="113"/>
      <c r="J45" s="113"/>
      <c r="K45" s="113"/>
      <c r="L45" s="113"/>
      <c r="M45" s="113"/>
      <c r="N45" s="113"/>
    </row>
    <row r="46" spans="2:14">
      <c r="B46" s="6" t="s">
        <v>1087</v>
      </c>
      <c r="C46" s="6">
        <v>925</v>
      </c>
      <c r="D46" s="1051">
        <v>0</v>
      </c>
      <c r="E46" s="113"/>
      <c r="F46" s="113"/>
      <c r="G46" s="113"/>
      <c r="H46" s="130"/>
      <c r="I46" s="113"/>
      <c r="J46" s="113"/>
      <c r="K46" s="113"/>
      <c r="L46" s="113"/>
      <c r="M46" s="113"/>
      <c r="N46" s="113"/>
    </row>
    <row r="47" spans="2:14">
      <c r="B47" s="6" t="s">
        <v>1087</v>
      </c>
      <c r="C47" s="6">
        <v>926</v>
      </c>
      <c r="D47" s="1051">
        <v>0.99966621386362087</v>
      </c>
    </row>
    <row r="48" spans="2:14">
      <c r="B48" s="6" t="s">
        <v>1087</v>
      </c>
      <c r="C48" s="6">
        <v>928</v>
      </c>
      <c r="D48" s="1051">
        <v>0</v>
      </c>
    </row>
    <row r="49" spans="2:8">
      <c r="B49" s="6" t="s">
        <v>1087</v>
      </c>
      <c r="C49" s="6">
        <v>9301</v>
      </c>
      <c r="D49" s="1051">
        <v>0</v>
      </c>
    </row>
    <row r="50" spans="2:8">
      <c r="B50" s="6" t="s">
        <v>1087</v>
      </c>
      <c r="C50" s="6">
        <v>9302</v>
      </c>
      <c r="D50" s="1051">
        <v>0</v>
      </c>
    </row>
    <row r="51" spans="2:8">
      <c r="B51" s="6" t="s">
        <v>1087</v>
      </c>
      <c r="C51" s="6">
        <v>931</v>
      </c>
      <c r="D51" s="1051">
        <v>0</v>
      </c>
    </row>
    <row r="52" spans="2:8">
      <c r="B52" s="6" t="s">
        <v>1087</v>
      </c>
      <c r="C52" s="6">
        <v>932</v>
      </c>
      <c r="D52" s="1051">
        <v>0</v>
      </c>
    </row>
    <row r="53" spans="2:8">
      <c r="B53" s="6" t="s">
        <v>1087</v>
      </c>
      <c r="C53" s="6">
        <v>935</v>
      </c>
      <c r="D53" s="1051">
        <v>0</v>
      </c>
    </row>
    <row r="54" spans="2:8">
      <c r="B54" s="6" t="s">
        <v>1088</v>
      </c>
      <c r="C54" s="6">
        <v>801</v>
      </c>
      <c r="D54" s="1051">
        <v>0</v>
      </c>
      <c r="G54" s="28"/>
      <c r="H54" s="127"/>
    </row>
    <row r="55" spans="2:8">
      <c r="B55" s="6" t="s">
        <v>1088</v>
      </c>
      <c r="C55" s="6">
        <v>803</v>
      </c>
      <c r="D55" s="1051">
        <v>0</v>
      </c>
      <c r="G55" s="28"/>
      <c r="H55" s="127"/>
    </row>
    <row r="56" spans="2:8">
      <c r="B56" s="6" t="s">
        <v>1088</v>
      </c>
      <c r="C56" s="6">
        <v>804</v>
      </c>
      <c r="D56" s="1051">
        <v>0</v>
      </c>
      <c r="G56" s="28"/>
      <c r="H56" s="127"/>
    </row>
    <row r="57" spans="2:8">
      <c r="B57" s="6" t="s">
        <v>1088</v>
      </c>
      <c r="C57" s="6">
        <v>805</v>
      </c>
      <c r="D57" s="1051">
        <v>0</v>
      </c>
      <c r="G57" s="28"/>
      <c r="H57" s="127"/>
    </row>
    <row r="58" spans="2:8">
      <c r="B58" s="6" t="s">
        <v>1088</v>
      </c>
      <c r="C58" s="6">
        <v>806</v>
      </c>
      <c r="D58" s="1051">
        <v>0</v>
      </c>
      <c r="G58" s="28"/>
      <c r="H58" s="127"/>
    </row>
    <row r="59" spans="2:8">
      <c r="B59" s="6" t="s">
        <v>1088</v>
      </c>
      <c r="C59" s="6">
        <v>807</v>
      </c>
      <c r="D59" s="1051">
        <v>0</v>
      </c>
      <c r="G59" s="28"/>
      <c r="H59" s="127"/>
    </row>
    <row r="60" spans="2:8">
      <c r="B60" s="6" t="s">
        <v>1088</v>
      </c>
      <c r="C60" s="6">
        <v>808</v>
      </c>
      <c r="D60" s="1051">
        <v>0</v>
      </c>
      <c r="G60" s="28"/>
      <c r="H60" s="127"/>
    </row>
    <row r="61" spans="2:8">
      <c r="B61" s="6" t="s">
        <v>1088</v>
      </c>
      <c r="C61" s="6">
        <v>812</v>
      </c>
      <c r="D61" s="1051">
        <v>0</v>
      </c>
      <c r="G61" s="28"/>
      <c r="H61" s="127"/>
    </row>
    <row r="62" spans="2:8">
      <c r="B62" s="6" t="s">
        <v>1088</v>
      </c>
      <c r="C62" s="6">
        <v>870</v>
      </c>
      <c r="D62" s="1051">
        <v>0</v>
      </c>
      <c r="G62" s="28"/>
      <c r="H62" s="127"/>
    </row>
    <row r="63" spans="2:8">
      <c r="B63" s="6" t="s">
        <v>1088</v>
      </c>
      <c r="C63" s="6">
        <v>871</v>
      </c>
      <c r="D63" s="1051">
        <v>0</v>
      </c>
      <c r="G63" s="28"/>
      <c r="H63" s="127"/>
    </row>
    <row r="64" spans="2:8">
      <c r="B64" s="6" t="s">
        <v>1088</v>
      </c>
      <c r="C64" s="6">
        <v>874</v>
      </c>
      <c r="D64" s="1051">
        <v>0</v>
      </c>
      <c r="G64" s="28"/>
      <c r="H64" s="127"/>
    </row>
    <row r="65" spans="2:8">
      <c r="B65" s="6" t="s">
        <v>1088</v>
      </c>
      <c r="C65" s="6">
        <v>875</v>
      </c>
      <c r="D65" s="1051">
        <v>0</v>
      </c>
      <c r="G65" s="28"/>
      <c r="H65" s="127"/>
    </row>
    <row r="66" spans="2:8">
      <c r="B66" s="6" t="s">
        <v>1088</v>
      </c>
      <c r="C66" s="6">
        <v>876</v>
      </c>
      <c r="D66" s="1051">
        <v>0</v>
      </c>
      <c r="G66" s="28"/>
      <c r="H66" s="127"/>
    </row>
    <row r="67" spans="2:8">
      <c r="B67" s="6" t="s">
        <v>1088</v>
      </c>
      <c r="C67" s="6">
        <v>878</v>
      </c>
      <c r="D67" s="1051">
        <v>0</v>
      </c>
      <c r="G67" s="28"/>
      <c r="H67" s="127"/>
    </row>
    <row r="68" spans="2:8">
      <c r="B68" s="6" t="s">
        <v>1088</v>
      </c>
      <c r="C68" s="6">
        <v>879</v>
      </c>
      <c r="D68" s="1051">
        <v>0</v>
      </c>
      <c r="G68" s="28"/>
      <c r="H68" s="127"/>
    </row>
    <row r="69" spans="2:8">
      <c r="B69" s="6" t="s">
        <v>1088</v>
      </c>
      <c r="C69" s="6">
        <v>880</v>
      </c>
      <c r="D69" s="1051">
        <v>0</v>
      </c>
      <c r="G69" s="28"/>
      <c r="H69" s="127"/>
    </row>
    <row r="70" spans="2:8">
      <c r="B70" s="6" t="s">
        <v>1088</v>
      </c>
      <c r="C70" s="6">
        <v>881</v>
      </c>
      <c r="D70" s="1051">
        <v>0</v>
      </c>
      <c r="G70" s="28"/>
      <c r="H70" s="127"/>
    </row>
    <row r="71" spans="2:8">
      <c r="B71" s="6" t="s">
        <v>1088</v>
      </c>
      <c r="C71" s="6">
        <v>885</v>
      </c>
      <c r="D71" s="1051">
        <v>0</v>
      </c>
      <c r="G71" s="28"/>
      <c r="H71" s="127"/>
    </row>
    <row r="72" spans="2:8">
      <c r="B72" s="6" t="s">
        <v>1088</v>
      </c>
      <c r="C72" s="6">
        <v>886</v>
      </c>
      <c r="D72" s="1051">
        <v>0</v>
      </c>
      <c r="G72" s="28"/>
      <c r="H72" s="127"/>
    </row>
    <row r="73" spans="2:8">
      <c r="B73" s="6" t="s">
        <v>1088</v>
      </c>
      <c r="C73" s="6">
        <v>887</v>
      </c>
      <c r="D73" s="1051">
        <v>0</v>
      </c>
      <c r="G73" s="28"/>
      <c r="H73" s="127"/>
    </row>
    <row r="74" spans="2:8">
      <c r="B74" s="6" t="s">
        <v>1088</v>
      </c>
      <c r="C74" s="6">
        <v>889</v>
      </c>
      <c r="D74" s="1051">
        <v>0</v>
      </c>
      <c r="G74" s="28"/>
      <c r="H74" s="127"/>
    </row>
    <row r="75" spans="2:8">
      <c r="B75" s="6" t="s">
        <v>1088</v>
      </c>
      <c r="C75" s="6">
        <v>890</v>
      </c>
      <c r="D75" s="1051">
        <v>0</v>
      </c>
      <c r="G75" s="28"/>
      <c r="H75" s="127"/>
    </row>
    <row r="76" spans="2:8">
      <c r="B76" s="6" t="s">
        <v>1088</v>
      </c>
      <c r="C76" s="6">
        <v>892</v>
      </c>
      <c r="D76" s="1051">
        <v>0</v>
      </c>
      <c r="G76" s="28"/>
      <c r="H76" s="127"/>
    </row>
    <row r="77" spans="2:8">
      <c r="B77" s="6" t="s">
        <v>1088</v>
      </c>
      <c r="C77" s="6">
        <v>893</v>
      </c>
      <c r="D77" s="1051">
        <v>0</v>
      </c>
      <c r="G77" s="28"/>
      <c r="H77" s="127"/>
    </row>
    <row r="78" spans="2:8">
      <c r="B78" s="6" t="s">
        <v>1088</v>
      </c>
      <c r="C78" s="6">
        <v>894</v>
      </c>
      <c r="D78" s="1051">
        <v>0</v>
      </c>
      <c r="G78" s="28"/>
      <c r="H78" s="127"/>
    </row>
    <row r="79" spans="2:8">
      <c r="B79" s="6" t="s">
        <v>1088</v>
      </c>
      <c r="C79" s="6">
        <v>902</v>
      </c>
      <c r="D79" s="1051">
        <v>0</v>
      </c>
      <c r="G79" s="28"/>
      <c r="H79" s="127"/>
    </row>
    <row r="80" spans="2:8">
      <c r="B80" s="6" t="s">
        <v>1088</v>
      </c>
      <c r="C80" s="6">
        <v>903</v>
      </c>
      <c r="D80" s="1051">
        <v>0</v>
      </c>
      <c r="G80" s="28"/>
      <c r="H80" s="127"/>
    </row>
    <row r="81" spans="2:8">
      <c r="B81" s="6" t="s">
        <v>1088</v>
      </c>
      <c r="C81" s="6">
        <v>904</v>
      </c>
      <c r="D81" s="1051">
        <v>0</v>
      </c>
      <c r="G81" s="28"/>
      <c r="H81" s="127"/>
    </row>
    <row r="82" spans="2:8">
      <c r="B82" s="6" t="s">
        <v>1088</v>
      </c>
      <c r="C82" s="6">
        <v>905</v>
      </c>
      <c r="D82" s="1051">
        <v>0</v>
      </c>
      <c r="G82" s="28"/>
      <c r="H82" s="127"/>
    </row>
    <row r="83" spans="2:8">
      <c r="B83" s="6" t="s">
        <v>1088</v>
      </c>
      <c r="C83" s="6">
        <v>907</v>
      </c>
      <c r="D83" s="1051">
        <v>0</v>
      </c>
      <c r="G83" s="28"/>
      <c r="H83" s="127"/>
    </row>
    <row r="84" spans="2:8">
      <c r="B84" s="6" t="s">
        <v>1088</v>
      </c>
      <c r="C84" s="6">
        <v>908</v>
      </c>
      <c r="D84" s="1051">
        <v>0</v>
      </c>
      <c r="G84" s="28"/>
      <c r="H84" s="127"/>
    </row>
    <row r="85" spans="2:8">
      <c r="B85" s="6" t="s">
        <v>1088</v>
      </c>
      <c r="C85" s="6">
        <v>909</v>
      </c>
      <c r="D85" s="1051">
        <v>1.9221972966709085E-2</v>
      </c>
      <c r="G85" s="28"/>
      <c r="H85" s="127"/>
    </row>
    <row r="86" spans="2:8">
      <c r="B86" s="6" t="s">
        <v>1088</v>
      </c>
      <c r="C86" s="6">
        <v>910</v>
      </c>
      <c r="D86" s="1051">
        <v>0</v>
      </c>
      <c r="G86" s="28"/>
      <c r="H86" s="127"/>
    </row>
    <row r="87" spans="2:8">
      <c r="B87" s="6" t="s">
        <v>1088</v>
      </c>
      <c r="C87" s="6">
        <v>911</v>
      </c>
      <c r="D87" s="1051">
        <v>0</v>
      </c>
      <c r="G87" s="28"/>
      <c r="H87" s="127"/>
    </row>
    <row r="88" spans="2:8">
      <c r="B88" s="6" t="s">
        <v>1088</v>
      </c>
      <c r="C88" s="6">
        <v>912</v>
      </c>
      <c r="D88" s="1051">
        <v>0</v>
      </c>
      <c r="G88" s="28"/>
      <c r="H88" s="127"/>
    </row>
    <row r="89" spans="2:8">
      <c r="B89" s="6" t="s">
        <v>1088</v>
      </c>
      <c r="C89" s="6">
        <v>913</v>
      </c>
      <c r="D89" s="1051">
        <v>0</v>
      </c>
      <c r="G89" s="28"/>
      <c r="H89" s="127"/>
    </row>
    <row r="90" spans="2:8">
      <c r="B90" s="6" t="s">
        <v>1088</v>
      </c>
      <c r="C90" s="6">
        <v>920</v>
      </c>
      <c r="D90" s="1051">
        <v>0</v>
      </c>
      <c r="G90" s="28"/>
      <c r="H90" s="127"/>
    </row>
    <row r="91" spans="2:8">
      <c r="B91" s="6" t="s">
        <v>1088</v>
      </c>
      <c r="C91" s="6">
        <v>921</v>
      </c>
      <c r="D91" s="1051">
        <v>0</v>
      </c>
      <c r="G91" s="28"/>
      <c r="H91" s="127"/>
    </row>
    <row r="92" spans="2:8">
      <c r="B92" s="6" t="s">
        <v>1088</v>
      </c>
      <c r="C92" s="6">
        <v>923</v>
      </c>
      <c r="D92" s="1051">
        <v>0.66354047778346259</v>
      </c>
      <c r="G92" s="28"/>
      <c r="H92" s="127"/>
    </row>
    <row r="93" spans="2:8">
      <c r="B93" s="6" t="s">
        <v>1088</v>
      </c>
      <c r="C93" s="6">
        <v>924</v>
      </c>
      <c r="D93" s="1051">
        <v>0</v>
      </c>
      <c r="G93" s="28"/>
      <c r="H93" s="127"/>
    </row>
    <row r="94" spans="2:8">
      <c r="B94" s="6" t="s">
        <v>1088</v>
      </c>
      <c r="C94" s="6">
        <v>925</v>
      </c>
      <c r="D94" s="1051">
        <v>0</v>
      </c>
      <c r="G94" s="28"/>
      <c r="H94" s="127"/>
    </row>
    <row r="95" spans="2:8">
      <c r="B95" s="6" t="s">
        <v>1088</v>
      </c>
      <c r="C95" s="6">
        <v>926</v>
      </c>
      <c r="D95" s="1051">
        <v>0</v>
      </c>
      <c r="G95" s="28"/>
      <c r="H95" s="127"/>
    </row>
    <row r="96" spans="2:8">
      <c r="B96" s="6" t="s">
        <v>1088</v>
      </c>
      <c r="C96" s="6">
        <v>928</v>
      </c>
      <c r="D96" s="1051">
        <v>0</v>
      </c>
      <c r="G96" s="28"/>
      <c r="H96" s="127"/>
    </row>
    <row r="97" spans="2:8">
      <c r="B97" s="6" t="s">
        <v>1088</v>
      </c>
      <c r="C97" s="6">
        <v>9301</v>
      </c>
      <c r="D97" s="1051">
        <v>4.3729037392699881E-3</v>
      </c>
      <c r="G97" s="28"/>
      <c r="H97" s="127"/>
    </row>
    <row r="98" spans="2:8">
      <c r="B98" s="6" t="s">
        <v>1088</v>
      </c>
      <c r="C98" s="6">
        <v>9302</v>
      </c>
      <c r="D98" s="1051">
        <v>0.31286464551055837</v>
      </c>
      <c r="G98" s="28"/>
      <c r="H98" s="127"/>
    </row>
    <row r="99" spans="2:8">
      <c r="B99" s="6" t="s">
        <v>1088</v>
      </c>
      <c r="C99" s="6">
        <v>931</v>
      </c>
      <c r="D99" s="1051">
        <v>0</v>
      </c>
      <c r="G99" s="28"/>
      <c r="H99" s="127"/>
    </row>
    <row r="100" spans="2:8">
      <c r="B100" s="6" t="s">
        <v>1088</v>
      </c>
      <c r="C100" s="6">
        <v>932</v>
      </c>
      <c r="D100" s="1051">
        <v>0</v>
      </c>
      <c r="G100" s="28"/>
      <c r="H100" s="127"/>
    </row>
    <row r="101" spans="2:8">
      <c r="B101" s="6" t="s">
        <v>1088</v>
      </c>
      <c r="C101" s="6">
        <v>935</v>
      </c>
      <c r="D101" s="1051">
        <v>0</v>
      </c>
      <c r="G101" s="28"/>
      <c r="H101" s="127"/>
    </row>
    <row r="102" spans="2:8">
      <c r="B102" s="6" t="s">
        <v>1089</v>
      </c>
      <c r="C102" s="6">
        <v>801</v>
      </c>
      <c r="D102" s="1051">
        <v>0</v>
      </c>
    </row>
    <row r="103" spans="2:8">
      <c r="B103" s="6" t="s">
        <v>1089</v>
      </c>
      <c r="C103" s="6">
        <v>803</v>
      </c>
      <c r="D103" s="1051">
        <v>0</v>
      </c>
    </row>
    <row r="104" spans="2:8">
      <c r="B104" s="6" t="s">
        <v>1089</v>
      </c>
      <c r="C104" s="6">
        <v>804</v>
      </c>
      <c r="D104" s="1051">
        <v>0</v>
      </c>
    </row>
    <row r="105" spans="2:8">
      <c r="B105" s="6" t="s">
        <v>1089</v>
      </c>
      <c r="C105" s="6">
        <v>805</v>
      </c>
      <c r="D105" s="1051">
        <v>0</v>
      </c>
    </row>
    <row r="106" spans="2:8">
      <c r="B106" s="6" t="s">
        <v>1089</v>
      </c>
      <c r="C106" s="6">
        <v>806</v>
      </c>
      <c r="D106" s="1051">
        <v>0</v>
      </c>
    </row>
    <row r="107" spans="2:8">
      <c r="B107" s="6" t="s">
        <v>1089</v>
      </c>
      <c r="C107" s="6">
        <v>807</v>
      </c>
      <c r="D107" s="1051">
        <v>0</v>
      </c>
    </row>
    <row r="108" spans="2:8">
      <c r="B108" s="6" t="s">
        <v>1089</v>
      </c>
      <c r="C108" s="6">
        <v>808</v>
      </c>
      <c r="D108" s="1051">
        <v>0</v>
      </c>
    </row>
    <row r="109" spans="2:8">
      <c r="B109" s="6" t="s">
        <v>1089</v>
      </c>
      <c r="C109" s="6">
        <v>812</v>
      </c>
      <c r="D109" s="1051">
        <v>0</v>
      </c>
    </row>
    <row r="110" spans="2:8">
      <c r="B110" s="6" t="s">
        <v>1089</v>
      </c>
      <c r="C110" s="6">
        <v>870</v>
      </c>
      <c r="D110" s="1051">
        <v>0</v>
      </c>
    </row>
    <row r="111" spans="2:8">
      <c r="B111" s="6" t="s">
        <v>1089</v>
      </c>
      <c r="C111" s="6">
        <v>871</v>
      </c>
      <c r="D111" s="1051">
        <v>0</v>
      </c>
    </row>
    <row r="112" spans="2:8">
      <c r="B112" s="6" t="s">
        <v>1089</v>
      </c>
      <c r="C112" s="6">
        <v>874</v>
      </c>
      <c r="D112" s="1051">
        <v>0</v>
      </c>
    </row>
    <row r="113" spans="2:4">
      <c r="B113" s="6" t="s">
        <v>1089</v>
      </c>
      <c r="C113" s="6">
        <v>875</v>
      </c>
      <c r="D113" s="1051">
        <v>0</v>
      </c>
    </row>
    <row r="114" spans="2:4">
      <c r="B114" s="6" t="s">
        <v>1089</v>
      </c>
      <c r="C114" s="6">
        <v>876</v>
      </c>
      <c r="D114" s="1051">
        <v>0</v>
      </c>
    </row>
    <row r="115" spans="2:4">
      <c r="B115" s="6" t="s">
        <v>1089</v>
      </c>
      <c r="C115" s="6">
        <v>878</v>
      </c>
      <c r="D115" s="1051">
        <v>0</v>
      </c>
    </row>
    <row r="116" spans="2:4">
      <c r="B116" s="6" t="s">
        <v>1089</v>
      </c>
      <c r="C116" s="6">
        <v>879</v>
      </c>
      <c r="D116" s="1051">
        <v>0</v>
      </c>
    </row>
    <row r="117" spans="2:4">
      <c r="B117" s="6" t="s">
        <v>1089</v>
      </c>
      <c r="C117" s="6">
        <v>880</v>
      </c>
      <c r="D117" s="1051">
        <v>0</v>
      </c>
    </row>
    <row r="118" spans="2:4">
      <c r="B118" s="6" t="s">
        <v>1089</v>
      </c>
      <c r="C118" s="6">
        <v>881</v>
      </c>
      <c r="D118" s="1051">
        <v>0</v>
      </c>
    </row>
    <row r="119" spans="2:4">
      <c r="B119" s="6" t="s">
        <v>1089</v>
      </c>
      <c r="C119" s="6">
        <v>885</v>
      </c>
      <c r="D119" s="1051">
        <v>0</v>
      </c>
    </row>
    <row r="120" spans="2:4">
      <c r="B120" s="6" t="s">
        <v>1089</v>
      </c>
      <c r="C120" s="6">
        <v>886</v>
      </c>
      <c r="D120" s="1051">
        <v>0</v>
      </c>
    </row>
    <row r="121" spans="2:4">
      <c r="B121" s="6" t="s">
        <v>1089</v>
      </c>
      <c r="C121" s="6">
        <v>887</v>
      </c>
      <c r="D121" s="1051">
        <v>0</v>
      </c>
    </row>
    <row r="122" spans="2:4">
      <c r="B122" s="6" t="s">
        <v>1089</v>
      </c>
      <c r="C122" s="6">
        <v>889</v>
      </c>
      <c r="D122" s="1051">
        <v>0</v>
      </c>
    </row>
    <row r="123" spans="2:4">
      <c r="B123" s="6" t="s">
        <v>1089</v>
      </c>
      <c r="C123" s="6">
        <v>890</v>
      </c>
      <c r="D123" s="1051">
        <v>0</v>
      </c>
    </row>
    <row r="124" spans="2:4">
      <c r="B124" s="6" t="s">
        <v>1089</v>
      </c>
      <c r="C124" s="6">
        <v>892</v>
      </c>
      <c r="D124" s="1051">
        <v>0</v>
      </c>
    </row>
    <row r="125" spans="2:4">
      <c r="B125" s="6" t="s">
        <v>1089</v>
      </c>
      <c r="C125" s="6">
        <v>893</v>
      </c>
      <c r="D125" s="1051">
        <v>0</v>
      </c>
    </row>
    <row r="126" spans="2:4">
      <c r="B126" s="6" t="s">
        <v>1089</v>
      </c>
      <c r="C126" s="6">
        <v>894</v>
      </c>
      <c r="D126" s="1051">
        <v>0</v>
      </c>
    </row>
    <row r="127" spans="2:4">
      <c r="B127" s="6" t="s">
        <v>1089</v>
      </c>
      <c r="C127" s="6">
        <v>902</v>
      </c>
      <c r="D127" s="1051">
        <v>0</v>
      </c>
    </row>
    <row r="128" spans="2:4">
      <c r="B128" s="6" t="s">
        <v>1089</v>
      </c>
      <c r="C128" s="6">
        <v>903</v>
      </c>
      <c r="D128" s="1051">
        <v>0</v>
      </c>
    </row>
    <row r="129" spans="2:4">
      <c r="B129" s="6" t="s">
        <v>1089</v>
      </c>
      <c r="C129" s="6">
        <v>904</v>
      </c>
      <c r="D129" s="1051">
        <v>0</v>
      </c>
    </row>
    <row r="130" spans="2:4">
      <c r="B130" s="6" t="s">
        <v>1089</v>
      </c>
      <c r="C130" s="6">
        <v>905</v>
      </c>
      <c r="D130" s="1051">
        <v>0</v>
      </c>
    </row>
    <row r="131" spans="2:4">
      <c r="B131" s="6" t="s">
        <v>1089</v>
      </c>
      <c r="C131" s="6">
        <v>907</v>
      </c>
      <c r="D131" s="1051">
        <v>0</v>
      </c>
    </row>
    <row r="132" spans="2:4">
      <c r="B132" s="6" t="s">
        <v>1089</v>
      </c>
      <c r="C132" s="6">
        <v>908</v>
      </c>
      <c r="D132" s="1051">
        <v>0</v>
      </c>
    </row>
    <row r="133" spans="2:4">
      <c r="B133" s="6" t="s">
        <v>1089</v>
      </c>
      <c r="C133" s="6">
        <v>909</v>
      </c>
      <c r="D133" s="1051">
        <v>0</v>
      </c>
    </row>
    <row r="134" spans="2:4">
      <c r="B134" s="6" t="s">
        <v>1089</v>
      </c>
      <c r="C134" s="6">
        <v>910</v>
      </c>
      <c r="D134" s="1051">
        <v>0</v>
      </c>
    </row>
    <row r="135" spans="2:4">
      <c r="B135" s="6" t="s">
        <v>1089</v>
      </c>
      <c r="C135" s="6">
        <v>911</v>
      </c>
      <c r="D135" s="1051">
        <v>0</v>
      </c>
    </row>
    <row r="136" spans="2:4">
      <c r="B136" s="6" t="s">
        <v>1089</v>
      </c>
      <c r="C136" s="6">
        <v>912</v>
      </c>
      <c r="D136" s="1051">
        <v>0</v>
      </c>
    </row>
    <row r="137" spans="2:4">
      <c r="B137" s="6" t="s">
        <v>1089</v>
      </c>
      <c r="C137" s="6">
        <v>913</v>
      </c>
      <c r="D137" s="1051">
        <v>0</v>
      </c>
    </row>
    <row r="138" spans="2:4">
      <c r="B138" s="6" t="s">
        <v>1089</v>
      </c>
      <c r="C138" s="6">
        <v>920</v>
      </c>
      <c r="D138" s="1051">
        <v>0</v>
      </c>
    </row>
    <row r="139" spans="2:4">
      <c r="B139" s="6" t="s">
        <v>1089</v>
      </c>
      <c r="C139" s="6">
        <v>921</v>
      </c>
      <c r="D139" s="1051">
        <v>5.7597147897838756E-2</v>
      </c>
    </row>
    <row r="140" spans="2:4">
      <c r="B140" s="6" t="s">
        <v>1089</v>
      </c>
      <c r="C140" s="6">
        <v>923</v>
      </c>
      <c r="D140" s="1051">
        <v>0</v>
      </c>
    </row>
    <row r="141" spans="2:4">
      <c r="B141" s="6" t="s">
        <v>1089</v>
      </c>
      <c r="C141" s="6">
        <v>924</v>
      </c>
      <c r="D141" s="1051">
        <v>0</v>
      </c>
    </row>
    <row r="142" spans="2:4">
      <c r="B142" s="6" t="s">
        <v>1089</v>
      </c>
      <c r="C142" s="6">
        <v>925</v>
      </c>
      <c r="D142" s="1051">
        <v>0</v>
      </c>
    </row>
    <row r="143" spans="2:4">
      <c r="B143" s="6" t="s">
        <v>1089</v>
      </c>
      <c r="C143" s="6">
        <v>926</v>
      </c>
      <c r="D143" s="1051">
        <v>0</v>
      </c>
    </row>
    <row r="144" spans="2:4">
      <c r="B144" s="6" t="s">
        <v>1089</v>
      </c>
      <c r="C144" s="6">
        <v>928</v>
      </c>
      <c r="D144" s="1051">
        <v>0.94240285210216124</v>
      </c>
    </row>
    <row r="145" spans="2:4">
      <c r="B145" s="6" t="s">
        <v>1089</v>
      </c>
      <c r="C145" s="6">
        <v>9301</v>
      </c>
      <c r="D145" s="1051">
        <v>0</v>
      </c>
    </row>
    <row r="146" spans="2:4">
      <c r="B146" s="6" t="s">
        <v>1089</v>
      </c>
      <c r="C146" s="6">
        <v>9302</v>
      </c>
      <c r="D146" s="1051">
        <v>0</v>
      </c>
    </row>
    <row r="147" spans="2:4">
      <c r="B147" s="6" t="s">
        <v>1089</v>
      </c>
      <c r="C147" s="6">
        <v>931</v>
      </c>
      <c r="D147" s="1051">
        <v>0</v>
      </c>
    </row>
    <row r="148" spans="2:4">
      <c r="B148" s="6" t="s">
        <v>1089</v>
      </c>
      <c r="C148" s="6">
        <v>932</v>
      </c>
      <c r="D148" s="1051">
        <v>0</v>
      </c>
    </row>
    <row r="149" spans="2:4">
      <c r="B149" s="6" t="s">
        <v>1089</v>
      </c>
      <c r="C149" s="6">
        <v>935</v>
      </c>
      <c r="D149" s="1051">
        <v>0</v>
      </c>
    </row>
    <row r="150" spans="2:4">
      <c r="B150" s="6" t="s">
        <v>1090</v>
      </c>
      <c r="C150" s="6">
        <v>801</v>
      </c>
      <c r="D150" s="1051">
        <v>0</v>
      </c>
    </row>
    <row r="151" spans="2:4">
      <c r="B151" s="6" t="s">
        <v>1090</v>
      </c>
      <c r="C151" s="6">
        <v>803</v>
      </c>
      <c r="D151" s="1051">
        <v>0</v>
      </c>
    </row>
    <row r="152" spans="2:4">
      <c r="B152" s="6" t="s">
        <v>1090</v>
      </c>
      <c r="C152" s="6">
        <v>804</v>
      </c>
      <c r="D152" s="1051">
        <v>0</v>
      </c>
    </row>
    <row r="153" spans="2:4">
      <c r="B153" s="6" t="s">
        <v>1090</v>
      </c>
      <c r="C153" s="6">
        <v>805</v>
      </c>
      <c r="D153" s="1051">
        <v>0</v>
      </c>
    </row>
    <row r="154" spans="2:4">
      <c r="B154" s="6" t="s">
        <v>1090</v>
      </c>
      <c r="C154" s="6">
        <v>806</v>
      </c>
      <c r="D154" s="1051">
        <v>0</v>
      </c>
    </row>
    <row r="155" spans="2:4">
      <c r="B155" s="6" t="s">
        <v>1090</v>
      </c>
      <c r="C155" s="6">
        <v>807</v>
      </c>
      <c r="D155" s="1051">
        <v>0</v>
      </c>
    </row>
    <row r="156" spans="2:4">
      <c r="B156" s="6" t="s">
        <v>1090</v>
      </c>
      <c r="C156" s="6">
        <v>808</v>
      </c>
      <c r="D156" s="1051">
        <v>0</v>
      </c>
    </row>
    <row r="157" spans="2:4">
      <c r="B157" s="6" t="s">
        <v>1090</v>
      </c>
      <c r="C157" s="6">
        <v>812</v>
      </c>
      <c r="D157" s="1051">
        <v>0</v>
      </c>
    </row>
    <row r="158" spans="2:4">
      <c r="B158" s="6" t="s">
        <v>1090</v>
      </c>
      <c r="C158" s="6">
        <v>870</v>
      </c>
      <c r="D158" s="1051">
        <v>0</v>
      </c>
    </row>
    <row r="159" spans="2:4">
      <c r="B159" s="6" t="s">
        <v>1090</v>
      </c>
      <c r="C159" s="6">
        <v>871</v>
      </c>
      <c r="D159" s="1051">
        <v>0</v>
      </c>
    </row>
    <row r="160" spans="2:4">
      <c r="B160" s="6" t="s">
        <v>1090</v>
      </c>
      <c r="C160" s="6">
        <v>874</v>
      </c>
      <c r="D160" s="1051">
        <v>0</v>
      </c>
    </row>
    <row r="161" spans="2:4">
      <c r="B161" s="6" t="s">
        <v>1090</v>
      </c>
      <c r="C161" s="6">
        <v>875</v>
      </c>
      <c r="D161" s="1051">
        <v>0</v>
      </c>
    </row>
    <row r="162" spans="2:4">
      <c r="B162" s="6" t="s">
        <v>1090</v>
      </c>
      <c r="C162" s="6">
        <v>876</v>
      </c>
      <c r="D162" s="1051">
        <v>0</v>
      </c>
    </row>
    <row r="163" spans="2:4">
      <c r="B163" s="6" t="s">
        <v>1090</v>
      </c>
      <c r="C163" s="6">
        <v>878</v>
      </c>
      <c r="D163" s="1051">
        <v>0</v>
      </c>
    </row>
    <row r="164" spans="2:4">
      <c r="B164" s="6" t="s">
        <v>1090</v>
      </c>
      <c r="C164" s="6">
        <v>879</v>
      </c>
      <c r="D164" s="1051">
        <v>0</v>
      </c>
    </row>
    <row r="165" spans="2:4">
      <c r="B165" s="6" t="s">
        <v>1090</v>
      </c>
      <c r="C165" s="6">
        <v>880</v>
      </c>
      <c r="D165" s="1051">
        <v>0</v>
      </c>
    </row>
    <row r="166" spans="2:4">
      <c r="B166" s="6" t="s">
        <v>1090</v>
      </c>
      <c r="C166" s="6">
        <v>881</v>
      </c>
      <c r="D166" s="1051">
        <v>0</v>
      </c>
    </row>
    <row r="167" spans="2:4">
      <c r="B167" s="6" t="s">
        <v>1090</v>
      </c>
      <c r="C167" s="6">
        <v>885</v>
      </c>
      <c r="D167" s="1051">
        <v>0</v>
      </c>
    </row>
    <row r="168" spans="2:4">
      <c r="B168" s="6" t="s">
        <v>1090</v>
      </c>
      <c r="C168" s="6">
        <v>886</v>
      </c>
      <c r="D168" s="1051">
        <v>0</v>
      </c>
    </row>
    <row r="169" spans="2:4">
      <c r="B169" s="6" t="s">
        <v>1090</v>
      </c>
      <c r="C169" s="6">
        <v>887</v>
      </c>
      <c r="D169" s="1051">
        <v>0</v>
      </c>
    </row>
    <row r="170" spans="2:4">
      <c r="B170" s="6" t="s">
        <v>1090</v>
      </c>
      <c r="C170" s="6">
        <v>889</v>
      </c>
      <c r="D170" s="1051">
        <v>0</v>
      </c>
    </row>
    <row r="171" spans="2:4">
      <c r="B171" s="6" t="s">
        <v>1090</v>
      </c>
      <c r="C171" s="6">
        <v>890</v>
      </c>
      <c r="D171" s="1051">
        <v>0</v>
      </c>
    </row>
    <row r="172" spans="2:4">
      <c r="B172" s="6" t="s">
        <v>1090</v>
      </c>
      <c r="C172" s="6">
        <v>892</v>
      </c>
      <c r="D172" s="1051">
        <v>0</v>
      </c>
    </row>
    <row r="173" spans="2:4">
      <c r="B173" s="6" t="s">
        <v>1090</v>
      </c>
      <c r="C173" s="6">
        <v>893</v>
      </c>
      <c r="D173" s="1051">
        <v>0</v>
      </c>
    </row>
    <row r="174" spans="2:4">
      <c r="B174" s="6" t="s">
        <v>1090</v>
      </c>
      <c r="C174" s="6">
        <v>894</v>
      </c>
      <c r="D174" s="1051">
        <v>0</v>
      </c>
    </row>
    <row r="175" spans="2:4">
      <c r="B175" s="6" t="s">
        <v>1090</v>
      </c>
      <c r="C175" s="6">
        <v>902</v>
      </c>
      <c r="D175" s="1051">
        <v>0</v>
      </c>
    </row>
    <row r="176" spans="2:4">
      <c r="B176" s="6" t="s">
        <v>1090</v>
      </c>
      <c r="C176" s="6">
        <v>903</v>
      </c>
      <c r="D176" s="1051">
        <v>0</v>
      </c>
    </row>
    <row r="177" spans="2:4">
      <c r="B177" s="6" t="s">
        <v>1090</v>
      </c>
      <c r="C177" s="6">
        <v>904</v>
      </c>
      <c r="D177" s="1051">
        <v>0</v>
      </c>
    </row>
    <row r="178" spans="2:4">
      <c r="B178" s="6" t="s">
        <v>1090</v>
      </c>
      <c r="C178" s="6">
        <v>905</v>
      </c>
      <c r="D178" s="1051">
        <v>0</v>
      </c>
    </row>
    <row r="179" spans="2:4">
      <c r="B179" s="6" t="s">
        <v>1090</v>
      </c>
      <c r="C179" s="6">
        <v>907</v>
      </c>
      <c r="D179" s="1051">
        <v>0</v>
      </c>
    </row>
    <row r="180" spans="2:4">
      <c r="B180" s="6" t="s">
        <v>1090</v>
      </c>
      <c r="C180" s="6">
        <v>908</v>
      </c>
      <c r="D180" s="1051">
        <v>0</v>
      </c>
    </row>
    <row r="181" spans="2:4">
      <c r="B181" s="6" t="s">
        <v>1090</v>
      </c>
      <c r="C181" s="6">
        <v>909</v>
      </c>
      <c r="D181" s="1051">
        <v>0</v>
      </c>
    </row>
    <row r="182" spans="2:4">
      <c r="B182" s="6" t="s">
        <v>1090</v>
      </c>
      <c r="C182" s="6">
        <v>910</v>
      </c>
      <c r="D182" s="1051">
        <v>0</v>
      </c>
    </row>
    <row r="183" spans="2:4">
      <c r="B183" s="6" t="s">
        <v>1090</v>
      </c>
      <c r="C183" s="6">
        <v>911</v>
      </c>
      <c r="D183" s="1051">
        <v>0</v>
      </c>
    </row>
    <row r="184" spans="2:4">
      <c r="B184" s="6" t="s">
        <v>1090</v>
      </c>
      <c r="C184" s="6">
        <v>912</v>
      </c>
      <c r="D184" s="1051">
        <v>0</v>
      </c>
    </row>
    <row r="185" spans="2:4">
      <c r="B185" s="6" t="s">
        <v>1090</v>
      </c>
      <c r="C185" s="6">
        <v>913</v>
      </c>
      <c r="D185" s="1051">
        <v>0</v>
      </c>
    </row>
    <row r="186" spans="2:4">
      <c r="B186" s="6" t="s">
        <v>1090</v>
      </c>
      <c r="C186" s="6">
        <v>920</v>
      </c>
      <c r="D186" s="1051">
        <v>0</v>
      </c>
    </row>
    <row r="187" spans="2:4">
      <c r="B187" s="6" t="s">
        <v>1090</v>
      </c>
      <c r="C187" s="6">
        <v>921</v>
      </c>
      <c r="D187" s="1051">
        <v>0</v>
      </c>
    </row>
    <row r="188" spans="2:4">
      <c r="B188" s="6" t="s">
        <v>1090</v>
      </c>
      <c r="C188" s="6">
        <v>923</v>
      </c>
      <c r="D188" s="1051">
        <v>1</v>
      </c>
    </row>
    <row r="189" spans="2:4">
      <c r="B189" s="6" t="s">
        <v>1090</v>
      </c>
      <c r="C189" s="6">
        <v>924</v>
      </c>
      <c r="D189" s="1051">
        <v>0</v>
      </c>
    </row>
    <row r="190" spans="2:4">
      <c r="B190" s="6" t="s">
        <v>1090</v>
      </c>
      <c r="C190" s="6">
        <v>925</v>
      </c>
      <c r="D190" s="1051">
        <v>0</v>
      </c>
    </row>
    <row r="191" spans="2:4">
      <c r="B191" s="6" t="s">
        <v>1090</v>
      </c>
      <c r="C191" s="6">
        <v>926</v>
      </c>
      <c r="D191" s="1051">
        <v>0</v>
      </c>
    </row>
    <row r="192" spans="2:4">
      <c r="B192" s="6" t="s">
        <v>1090</v>
      </c>
      <c r="C192" s="6">
        <v>928</v>
      </c>
      <c r="D192" s="1051">
        <v>0</v>
      </c>
    </row>
    <row r="193" spans="2:4">
      <c r="B193" s="6" t="s">
        <v>1090</v>
      </c>
      <c r="C193" s="6">
        <v>9301</v>
      </c>
      <c r="D193" s="1051">
        <v>0</v>
      </c>
    </row>
    <row r="194" spans="2:4">
      <c r="B194" s="6" t="s">
        <v>1090</v>
      </c>
      <c r="C194" s="6">
        <v>9302</v>
      </c>
      <c r="D194" s="1051">
        <v>0</v>
      </c>
    </row>
    <row r="195" spans="2:4">
      <c r="B195" s="6" t="s">
        <v>1090</v>
      </c>
      <c r="C195" s="6">
        <v>931</v>
      </c>
      <c r="D195" s="1051">
        <v>0</v>
      </c>
    </row>
    <row r="196" spans="2:4">
      <c r="B196" s="6" t="s">
        <v>1090</v>
      </c>
      <c r="C196" s="6">
        <v>932</v>
      </c>
      <c r="D196" s="1051">
        <v>0</v>
      </c>
    </row>
    <row r="197" spans="2:4">
      <c r="B197" s="6" t="s">
        <v>1090</v>
      </c>
      <c r="C197" s="6">
        <v>935</v>
      </c>
      <c r="D197" s="1051">
        <v>0</v>
      </c>
    </row>
    <row r="198" spans="2:4">
      <c r="B198" s="6" t="s">
        <v>1883</v>
      </c>
      <c r="C198" s="6">
        <v>920</v>
      </c>
      <c r="D198" s="1051">
        <v>0</v>
      </c>
    </row>
    <row r="199" spans="2:4">
      <c r="B199" s="6" t="s">
        <v>1883</v>
      </c>
      <c r="C199" s="6">
        <v>921</v>
      </c>
      <c r="D199" s="1051">
        <v>1</v>
      </c>
    </row>
    <row r="200" spans="2:4">
      <c r="B200" s="6" t="s">
        <v>1086</v>
      </c>
      <c r="C200" s="6">
        <v>801</v>
      </c>
      <c r="D200" s="1051">
        <v>0</v>
      </c>
    </row>
    <row r="201" spans="2:4">
      <c r="B201" s="6" t="s">
        <v>1086</v>
      </c>
      <c r="C201" s="6">
        <v>803</v>
      </c>
      <c r="D201" s="1051">
        <v>0</v>
      </c>
    </row>
    <row r="202" spans="2:4">
      <c r="B202" s="6" t="s">
        <v>1086</v>
      </c>
      <c r="C202" s="6">
        <v>804</v>
      </c>
      <c r="D202" s="1051">
        <v>0</v>
      </c>
    </row>
    <row r="203" spans="2:4">
      <c r="B203" s="6" t="s">
        <v>1086</v>
      </c>
      <c r="C203" s="6">
        <v>805</v>
      </c>
      <c r="D203" s="1051">
        <v>0</v>
      </c>
    </row>
    <row r="204" spans="2:4">
      <c r="B204" s="6" t="s">
        <v>1086</v>
      </c>
      <c r="C204" s="6">
        <v>806</v>
      </c>
      <c r="D204" s="1051">
        <v>0</v>
      </c>
    </row>
    <row r="205" spans="2:4">
      <c r="B205" s="6" t="s">
        <v>1086</v>
      </c>
      <c r="C205" s="6">
        <v>807</v>
      </c>
      <c r="D205" s="1051">
        <v>0</v>
      </c>
    </row>
    <row r="206" spans="2:4">
      <c r="B206" s="6" t="s">
        <v>1086</v>
      </c>
      <c r="C206" s="6">
        <v>808</v>
      </c>
      <c r="D206" s="1051">
        <v>0</v>
      </c>
    </row>
    <row r="207" spans="2:4">
      <c r="B207" s="6" t="s">
        <v>1086</v>
      </c>
      <c r="C207" s="6">
        <v>812</v>
      </c>
      <c r="D207" s="1051">
        <v>0</v>
      </c>
    </row>
    <row r="208" spans="2:4">
      <c r="B208" s="6" t="s">
        <v>1086</v>
      </c>
      <c r="C208" s="6">
        <v>870</v>
      </c>
      <c r="D208" s="1051">
        <v>8.0458417948985304E-3</v>
      </c>
    </row>
    <row r="209" spans="2:4">
      <c r="B209" s="6" t="s">
        <v>1086</v>
      </c>
      <c r="C209" s="6">
        <v>871</v>
      </c>
      <c r="D209" s="1051">
        <v>2.2659680059774354E-2</v>
      </c>
    </row>
    <row r="210" spans="2:4">
      <c r="B210" s="6" t="s">
        <v>1086</v>
      </c>
      <c r="C210" s="6">
        <v>874</v>
      </c>
      <c r="D210" s="1051">
        <v>0.23329857924940275</v>
      </c>
    </row>
    <row r="211" spans="2:4">
      <c r="B211" s="6" t="s">
        <v>1086</v>
      </c>
      <c r="C211" s="6">
        <v>875</v>
      </c>
      <c r="D211" s="1051">
        <v>2.3977794563352032E-2</v>
      </c>
    </row>
    <row r="212" spans="2:4">
      <c r="B212" s="6" t="s">
        <v>1086</v>
      </c>
      <c r="C212" s="6">
        <v>876</v>
      </c>
      <c r="D212" s="1051">
        <v>1.0850505348132066E-2</v>
      </c>
    </row>
    <row r="213" spans="2:4">
      <c r="B213" s="6" t="s">
        <v>1086</v>
      </c>
      <c r="C213" s="6">
        <v>878</v>
      </c>
      <c r="D213" s="1051">
        <v>0.12077863001365376</v>
      </c>
    </row>
    <row r="214" spans="2:4">
      <c r="B214" s="6" t="s">
        <v>1086</v>
      </c>
      <c r="C214" s="6">
        <v>879</v>
      </c>
      <c r="D214" s="1051">
        <v>0.18273226278521398</v>
      </c>
    </row>
    <row r="215" spans="2:4">
      <c r="B215" s="6" t="s">
        <v>1086</v>
      </c>
      <c r="C215" s="6">
        <v>880</v>
      </c>
      <c r="D215" s="1051">
        <v>5.8758223988795703E-2</v>
      </c>
    </row>
    <row r="216" spans="2:4">
      <c r="B216" s="6" t="s">
        <v>1086</v>
      </c>
      <c r="C216" s="6">
        <v>881</v>
      </c>
      <c r="D216" s="1051">
        <v>0</v>
      </c>
    </row>
    <row r="217" spans="2:4">
      <c r="B217" s="6" t="s">
        <v>1086</v>
      </c>
      <c r="C217" s="6">
        <v>885</v>
      </c>
      <c r="D217" s="1051">
        <v>1.164876937194861E-3</v>
      </c>
    </row>
    <row r="218" spans="2:4">
      <c r="B218" s="6" t="s">
        <v>1086</v>
      </c>
      <c r="C218" s="6">
        <v>886</v>
      </c>
      <c r="D218" s="1051">
        <v>1.1945151109643841E-3</v>
      </c>
    </row>
    <row r="219" spans="2:4">
      <c r="B219" s="6" t="s">
        <v>1086</v>
      </c>
      <c r="C219" s="6">
        <v>887</v>
      </c>
      <c r="D219" s="1051">
        <v>0.11811836214770753</v>
      </c>
    </row>
    <row r="220" spans="2:4">
      <c r="B220" s="6" t="s">
        <v>1086</v>
      </c>
      <c r="C220" s="6">
        <v>889</v>
      </c>
      <c r="D220" s="1051">
        <v>7.0631449500154056E-2</v>
      </c>
    </row>
    <row r="221" spans="2:4">
      <c r="B221" s="6" t="s">
        <v>1086</v>
      </c>
      <c r="C221" s="6">
        <v>890</v>
      </c>
      <c r="D221" s="1051">
        <v>6.5748432375673169E-3</v>
      </c>
    </row>
    <row r="222" spans="2:4">
      <c r="B222" s="6" t="s">
        <v>1086</v>
      </c>
      <c r="C222" s="6">
        <v>892</v>
      </c>
      <c r="D222" s="1051">
        <v>1.9105033368483727E-2</v>
      </c>
    </row>
    <row r="223" spans="2:4">
      <c r="B223" s="6" t="s">
        <v>1086</v>
      </c>
      <c r="C223" s="6">
        <v>893</v>
      </c>
      <c r="D223" s="1051">
        <v>1.7025078831995735E-2</v>
      </c>
    </row>
    <row r="224" spans="2:4">
      <c r="B224" s="6" t="s">
        <v>1086</v>
      </c>
      <c r="C224" s="6">
        <v>894</v>
      </c>
      <c r="D224" s="1051">
        <v>2.7805568362713126E-2</v>
      </c>
    </row>
    <row r="225" spans="2:4">
      <c r="B225" s="6" t="s">
        <v>1086</v>
      </c>
      <c r="C225" s="6">
        <v>902</v>
      </c>
      <c r="D225" s="1051">
        <v>1.625146723486684E-2</v>
      </c>
    </row>
    <row r="226" spans="2:4">
      <c r="B226" s="6" t="s">
        <v>1086</v>
      </c>
      <c r="C226" s="6">
        <v>903</v>
      </c>
      <c r="D226" s="1051">
        <v>4.0890582343507807E-2</v>
      </c>
    </row>
    <row r="227" spans="2:4">
      <c r="B227" s="6" t="s">
        <v>1086</v>
      </c>
      <c r="C227" s="6">
        <v>904</v>
      </c>
      <c r="D227" s="1051">
        <v>0</v>
      </c>
    </row>
    <row r="228" spans="2:4">
      <c r="B228" s="6" t="s">
        <v>1086</v>
      </c>
      <c r="C228" s="6">
        <v>905</v>
      </c>
      <c r="D228" s="1051">
        <v>0</v>
      </c>
    </row>
    <row r="229" spans="2:4">
      <c r="B229" s="6" t="s">
        <v>1086</v>
      </c>
      <c r="C229" s="6">
        <v>907</v>
      </c>
      <c r="D229" s="1051">
        <v>0</v>
      </c>
    </row>
    <row r="230" spans="2:4">
      <c r="B230" s="6" t="s">
        <v>1086</v>
      </c>
      <c r="C230" s="6">
        <v>908</v>
      </c>
      <c r="D230" s="1051">
        <v>0</v>
      </c>
    </row>
    <row r="231" spans="2:4">
      <c r="B231" s="6" t="s">
        <v>1086</v>
      </c>
      <c r="C231" s="6">
        <v>909</v>
      </c>
      <c r="D231" s="1051">
        <v>0</v>
      </c>
    </row>
    <row r="232" spans="2:4">
      <c r="B232" s="6" t="s">
        <v>1086</v>
      </c>
      <c r="C232" s="6">
        <v>910</v>
      </c>
      <c r="D232" s="1051">
        <v>0</v>
      </c>
    </row>
    <row r="233" spans="2:4">
      <c r="B233" s="6" t="s">
        <v>1086</v>
      </c>
      <c r="C233" s="6">
        <v>911</v>
      </c>
      <c r="D233" s="1051">
        <v>0</v>
      </c>
    </row>
    <row r="234" spans="2:4">
      <c r="B234" s="6" t="s">
        <v>1086</v>
      </c>
      <c r="C234" s="6">
        <v>912</v>
      </c>
      <c r="D234" s="1051">
        <v>0</v>
      </c>
    </row>
    <row r="235" spans="2:4">
      <c r="B235" s="6" t="s">
        <v>1086</v>
      </c>
      <c r="C235" s="6">
        <v>913</v>
      </c>
      <c r="D235" s="1051">
        <v>0</v>
      </c>
    </row>
    <row r="236" spans="2:4">
      <c r="B236" s="6" t="s">
        <v>1086</v>
      </c>
      <c r="C236" s="6">
        <v>920</v>
      </c>
      <c r="D236" s="1051">
        <v>1.9132432628934496E-2</v>
      </c>
    </row>
    <row r="237" spans="2:4">
      <c r="B237" s="6" t="s">
        <v>1086</v>
      </c>
      <c r="C237" s="6">
        <v>921</v>
      </c>
      <c r="D237" s="1051">
        <v>1.0042724926869917E-3</v>
      </c>
    </row>
    <row r="238" spans="2:4">
      <c r="B238" s="6" t="s">
        <v>1086</v>
      </c>
      <c r="C238" s="6">
        <v>923</v>
      </c>
      <c r="D238" s="1051">
        <v>0</v>
      </c>
    </row>
    <row r="239" spans="2:4">
      <c r="B239" s="6" t="s">
        <v>1086</v>
      </c>
      <c r="C239" s="6">
        <v>924</v>
      </c>
      <c r="D239" s="1051">
        <v>0</v>
      </c>
    </row>
    <row r="240" spans="2:4">
      <c r="B240" s="6" t="s">
        <v>1086</v>
      </c>
      <c r="C240" s="6">
        <v>925</v>
      </c>
      <c r="D240" s="1051">
        <v>0</v>
      </c>
    </row>
    <row r="241" spans="2:4">
      <c r="B241" s="6" t="s">
        <v>1086</v>
      </c>
      <c r="C241" s="6">
        <v>926</v>
      </c>
      <c r="D241" s="1051">
        <v>0</v>
      </c>
    </row>
    <row r="242" spans="2:4">
      <c r="B242" s="6" t="s">
        <v>1086</v>
      </c>
      <c r="C242" s="6">
        <v>928</v>
      </c>
      <c r="D242" s="1051">
        <v>0</v>
      </c>
    </row>
    <row r="243" spans="2:4">
      <c r="B243" s="6" t="s">
        <v>1086</v>
      </c>
      <c r="C243" s="6">
        <v>9301</v>
      </c>
      <c r="D243" s="1051">
        <v>0</v>
      </c>
    </row>
    <row r="244" spans="2:4">
      <c r="B244" s="6" t="s">
        <v>1086</v>
      </c>
      <c r="C244" s="6">
        <v>9302</v>
      </c>
      <c r="D244" s="1051">
        <v>0</v>
      </c>
    </row>
    <row r="245" spans="2:4">
      <c r="B245" s="6" t="s">
        <v>1086</v>
      </c>
      <c r="C245" s="6">
        <v>931</v>
      </c>
      <c r="D245" s="1051">
        <v>0</v>
      </c>
    </row>
    <row r="246" spans="2:4">
      <c r="B246" s="6" t="s">
        <v>1086</v>
      </c>
      <c r="C246" s="6">
        <v>932</v>
      </c>
      <c r="D246" s="1051">
        <v>0</v>
      </c>
    </row>
    <row r="247" spans="2:4">
      <c r="B247" s="6" t="s">
        <v>1086</v>
      </c>
      <c r="C247" s="6">
        <v>935</v>
      </c>
      <c r="D247" s="1051">
        <v>0</v>
      </c>
    </row>
    <row r="248" spans="2:4">
      <c r="B248" s="6" t="s">
        <v>1558</v>
      </c>
      <c r="C248" s="6">
        <v>801</v>
      </c>
      <c r="D248" s="1051">
        <v>0</v>
      </c>
    </row>
    <row r="249" spans="2:4">
      <c r="B249" s="6" t="s">
        <v>1558</v>
      </c>
      <c r="C249" s="6">
        <v>803</v>
      </c>
      <c r="D249" s="1051">
        <v>0</v>
      </c>
    </row>
    <row r="250" spans="2:4">
      <c r="B250" s="6" t="s">
        <v>1558</v>
      </c>
      <c r="C250" s="6">
        <v>804</v>
      </c>
      <c r="D250" s="1051">
        <v>0</v>
      </c>
    </row>
    <row r="251" spans="2:4">
      <c r="B251" s="6" t="s">
        <v>1558</v>
      </c>
      <c r="C251" s="6">
        <v>805</v>
      </c>
      <c r="D251" s="1051">
        <v>0</v>
      </c>
    </row>
    <row r="252" spans="2:4">
      <c r="B252" s="6" t="s">
        <v>1558</v>
      </c>
      <c r="C252" s="6">
        <v>806</v>
      </c>
      <c r="D252" s="1051">
        <v>0</v>
      </c>
    </row>
    <row r="253" spans="2:4">
      <c r="B253" s="6" t="s">
        <v>1558</v>
      </c>
      <c r="C253" s="6">
        <v>807</v>
      </c>
      <c r="D253" s="1051">
        <v>0</v>
      </c>
    </row>
    <row r="254" spans="2:4">
      <c r="B254" s="6" t="s">
        <v>1558</v>
      </c>
      <c r="C254" s="6">
        <v>808</v>
      </c>
      <c r="D254" s="1051">
        <v>0</v>
      </c>
    </row>
    <row r="255" spans="2:4">
      <c r="B255" s="6" t="s">
        <v>1558</v>
      </c>
      <c r="C255" s="6">
        <v>812</v>
      </c>
      <c r="D255" s="1051">
        <v>0</v>
      </c>
    </row>
    <row r="256" spans="2:4">
      <c r="B256" s="6" t="s">
        <v>1558</v>
      </c>
      <c r="C256" s="6">
        <v>870</v>
      </c>
      <c r="D256" s="1051">
        <v>0</v>
      </c>
    </row>
    <row r="257" spans="2:4">
      <c r="B257" s="6" t="s">
        <v>1558</v>
      </c>
      <c r="C257" s="6">
        <v>871</v>
      </c>
      <c r="D257" s="1051">
        <v>0</v>
      </c>
    </row>
    <row r="258" spans="2:4">
      <c r="B258" s="6" t="s">
        <v>1558</v>
      </c>
      <c r="C258" s="6">
        <v>874</v>
      </c>
      <c r="D258" s="1051">
        <v>0</v>
      </c>
    </row>
    <row r="259" spans="2:4">
      <c r="B259" s="6" t="s">
        <v>1558</v>
      </c>
      <c r="C259" s="6">
        <v>875</v>
      </c>
      <c r="D259" s="1051">
        <v>0</v>
      </c>
    </row>
    <row r="260" spans="2:4">
      <c r="B260" s="6" t="s">
        <v>1558</v>
      </c>
      <c r="C260" s="6">
        <v>876</v>
      </c>
      <c r="D260" s="1051">
        <v>0</v>
      </c>
    </row>
    <row r="261" spans="2:4">
      <c r="B261" s="6" t="s">
        <v>1558</v>
      </c>
      <c r="C261" s="6">
        <v>878</v>
      </c>
      <c r="D261" s="1051">
        <v>0</v>
      </c>
    </row>
    <row r="262" spans="2:4">
      <c r="B262" s="6" t="s">
        <v>1558</v>
      </c>
      <c r="C262" s="6">
        <v>879</v>
      </c>
      <c r="D262" s="1051">
        <v>0</v>
      </c>
    </row>
    <row r="263" spans="2:4">
      <c r="B263" s="6" t="s">
        <v>1558</v>
      </c>
      <c r="C263" s="6">
        <v>880</v>
      </c>
      <c r="D263" s="1051">
        <v>0</v>
      </c>
    </row>
    <row r="264" spans="2:4">
      <c r="B264" s="6" t="s">
        <v>1558</v>
      </c>
      <c r="C264" s="6">
        <v>881</v>
      </c>
      <c r="D264" s="1051">
        <v>0</v>
      </c>
    </row>
    <row r="265" spans="2:4">
      <c r="B265" s="6" t="s">
        <v>1558</v>
      </c>
      <c r="C265" s="6">
        <v>885</v>
      </c>
      <c r="D265" s="1051">
        <v>0</v>
      </c>
    </row>
    <row r="266" spans="2:4">
      <c r="B266" s="6" t="s">
        <v>1558</v>
      </c>
      <c r="C266" s="6">
        <v>886</v>
      </c>
      <c r="D266" s="1051">
        <v>0</v>
      </c>
    </row>
    <row r="267" spans="2:4">
      <c r="B267" s="6" t="s">
        <v>1558</v>
      </c>
      <c r="C267" s="6">
        <v>887</v>
      </c>
      <c r="D267" s="1051">
        <v>0</v>
      </c>
    </row>
    <row r="268" spans="2:4">
      <c r="B268" s="6" t="s">
        <v>1558</v>
      </c>
      <c r="C268" s="6">
        <v>889</v>
      </c>
      <c r="D268" s="1051">
        <v>0</v>
      </c>
    </row>
    <row r="269" spans="2:4">
      <c r="B269" s="6" t="s">
        <v>1558</v>
      </c>
      <c r="C269" s="6">
        <v>890</v>
      </c>
      <c r="D269" s="1051">
        <v>0</v>
      </c>
    </row>
    <row r="270" spans="2:4">
      <c r="B270" s="6" t="s">
        <v>1558</v>
      </c>
      <c r="C270" s="6">
        <v>892</v>
      </c>
      <c r="D270" s="1051">
        <v>0</v>
      </c>
    </row>
    <row r="271" spans="2:4">
      <c r="B271" s="6" t="s">
        <v>1558</v>
      </c>
      <c r="C271" s="6">
        <v>893</v>
      </c>
      <c r="D271" s="1051">
        <v>0</v>
      </c>
    </row>
    <row r="272" spans="2:4">
      <c r="B272" s="6" t="s">
        <v>1558</v>
      </c>
      <c r="C272" s="6">
        <v>894</v>
      </c>
      <c r="D272" s="1051">
        <v>0</v>
      </c>
    </row>
    <row r="273" spans="2:4">
      <c r="B273" s="6" t="s">
        <v>1558</v>
      </c>
      <c r="C273" s="6">
        <v>902</v>
      </c>
      <c r="D273" s="1051">
        <v>0</v>
      </c>
    </row>
    <row r="274" spans="2:4">
      <c r="B274" s="6" t="s">
        <v>1558</v>
      </c>
      <c r="C274" s="6">
        <v>903</v>
      </c>
      <c r="D274" s="1051">
        <v>0</v>
      </c>
    </row>
    <row r="275" spans="2:4">
      <c r="B275" s="6" t="s">
        <v>1558</v>
      </c>
      <c r="C275" s="6">
        <v>904</v>
      </c>
      <c r="D275" s="1051">
        <v>0</v>
      </c>
    </row>
    <row r="276" spans="2:4">
      <c r="B276" s="6" t="s">
        <v>1558</v>
      </c>
      <c r="C276" s="6">
        <v>905</v>
      </c>
      <c r="D276" s="1051">
        <v>0</v>
      </c>
    </row>
    <row r="277" spans="2:4">
      <c r="B277" s="6" t="s">
        <v>1558</v>
      </c>
      <c r="C277" s="6">
        <v>907</v>
      </c>
      <c r="D277" s="1051">
        <v>0</v>
      </c>
    </row>
    <row r="278" spans="2:4">
      <c r="B278" s="6" t="s">
        <v>1558</v>
      </c>
      <c r="C278" s="6">
        <v>908</v>
      </c>
      <c r="D278" s="1051">
        <v>0</v>
      </c>
    </row>
    <row r="279" spans="2:4">
      <c r="B279" s="6" t="s">
        <v>1558</v>
      </c>
      <c r="C279" s="6">
        <v>909</v>
      </c>
      <c r="D279" s="1051">
        <v>0</v>
      </c>
    </row>
    <row r="280" spans="2:4">
      <c r="B280" s="6" t="s">
        <v>1558</v>
      </c>
      <c r="C280" s="6">
        <v>910</v>
      </c>
      <c r="D280" s="1051">
        <v>0</v>
      </c>
    </row>
    <row r="281" spans="2:4">
      <c r="B281" s="6" t="s">
        <v>1558</v>
      </c>
      <c r="C281" s="6">
        <v>911</v>
      </c>
      <c r="D281" s="1051">
        <v>0</v>
      </c>
    </row>
    <row r="282" spans="2:4">
      <c r="B282" s="6" t="s">
        <v>1558</v>
      </c>
      <c r="C282" s="6">
        <v>912</v>
      </c>
      <c r="D282" s="1051">
        <v>0</v>
      </c>
    </row>
    <row r="283" spans="2:4">
      <c r="B283" s="6" t="s">
        <v>1558</v>
      </c>
      <c r="C283" s="6">
        <v>913</v>
      </c>
      <c r="D283" s="1051">
        <v>0</v>
      </c>
    </row>
    <row r="284" spans="2:4">
      <c r="B284" s="6" t="s">
        <v>1558</v>
      </c>
      <c r="C284" s="6">
        <v>920</v>
      </c>
      <c r="D284" s="1051">
        <v>0</v>
      </c>
    </row>
    <row r="285" spans="2:4">
      <c r="B285" s="6" t="s">
        <v>1558</v>
      </c>
      <c r="C285" s="6">
        <v>921</v>
      </c>
      <c r="D285" s="1051">
        <v>0</v>
      </c>
    </row>
    <row r="286" spans="2:4">
      <c r="B286" s="6" t="s">
        <v>1558</v>
      </c>
      <c r="C286" s="6">
        <v>923</v>
      </c>
      <c r="D286" s="1051">
        <v>0</v>
      </c>
    </row>
    <row r="287" spans="2:4">
      <c r="B287" s="6" t="s">
        <v>1558</v>
      </c>
      <c r="C287" s="6">
        <v>924</v>
      </c>
      <c r="D287" s="1051">
        <v>0</v>
      </c>
    </row>
    <row r="288" spans="2:4">
      <c r="B288" s="6" t="s">
        <v>1558</v>
      </c>
      <c r="C288" s="6">
        <v>925</v>
      </c>
      <c r="D288" s="1051">
        <v>0</v>
      </c>
    </row>
    <row r="289" spans="2:4">
      <c r="B289" s="6" t="s">
        <v>1558</v>
      </c>
      <c r="C289" s="6">
        <v>926</v>
      </c>
      <c r="D289" s="1051">
        <v>0</v>
      </c>
    </row>
    <row r="290" spans="2:4">
      <c r="B290" s="6" t="s">
        <v>1558</v>
      </c>
      <c r="C290" s="6">
        <v>928</v>
      </c>
      <c r="D290" s="1051">
        <v>1</v>
      </c>
    </row>
    <row r="291" spans="2:4">
      <c r="B291" s="6" t="s">
        <v>1558</v>
      </c>
      <c r="C291" s="6">
        <v>9301</v>
      </c>
      <c r="D291" s="1051">
        <v>0</v>
      </c>
    </row>
    <row r="292" spans="2:4">
      <c r="B292" s="6" t="s">
        <v>1558</v>
      </c>
      <c r="C292" s="6">
        <v>9302</v>
      </c>
      <c r="D292" s="1051">
        <v>0</v>
      </c>
    </row>
    <row r="293" spans="2:4">
      <c r="B293" s="6" t="s">
        <v>1558</v>
      </c>
      <c r="C293" s="6">
        <v>931</v>
      </c>
      <c r="D293" s="1051">
        <v>0</v>
      </c>
    </row>
    <row r="294" spans="2:4">
      <c r="B294" s="6" t="s">
        <v>1558</v>
      </c>
      <c r="C294" s="6">
        <v>932</v>
      </c>
      <c r="D294" s="1051">
        <v>0</v>
      </c>
    </row>
    <row r="295" spans="2:4">
      <c r="B295" s="6" t="s">
        <v>1558</v>
      </c>
      <c r="C295" s="6">
        <v>935</v>
      </c>
      <c r="D295" s="1051">
        <v>0</v>
      </c>
    </row>
    <row r="296" spans="2:4">
      <c r="B296" s="6" t="s">
        <v>1085</v>
      </c>
      <c r="C296" s="6">
        <v>801</v>
      </c>
      <c r="D296" s="1051">
        <v>0</v>
      </c>
    </row>
    <row r="297" spans="2:4">
      <c r="B297" s="6" t="s">
        <v>1085</v>
      </c>
      <c r="C297" s="6">
        <v>803</v>
      </c>
      <c r="D297" s="1051">
        <v>0</v>
      </c>
    </row>
    <row r="298" spans="2:4">
      <c r="B298" s="6" t="s">
        <v>1085</v>
      </c>
      <c r="C298" s="6">
        <v>804</v>
      </c>
      <c r="D298" s="1051">
        <v>0</v>
      </c>
    </row>
    <row r="299" spans="2:4">
      <c r="B299" s="6" t="s">
        <v>1085</v>
      </c>
      <c r="C299" s="6">
        <v>805</v>
      </c>
      <c r="D299" s="1051">
        <v>0</v>
      </c>
    </row>
    <row r="300" spans="2:4">
      <c r="B300" s="6" t="s">
        <v>1085</v>
      </c>
      <c r="C300" s="6">
        <v>806</v>
      </c>
      <c r="D300" s="1051">
        <v>0</v>
      </c>
    </row>
    <row r="301" spans="2:4">
      <c r="B301" s="6" t="s">
        <v>1085</v>
      </c>
      <c r="C301" s="6">
        <v>807</v>
      </c>
      <c r="D301" s="1051">
        <v>0</v>
      </c>
    </row>
    <row r="302" spans="2:4">
      <c r="B302" s="6" t="s">
        <v>1085</v>
      </c>
      <c r="C302" s="6">
        <v>808</v>
      </c>
      <c r="D302" s="1051">
        <v>0</v>
      </c>
    </row>
    <row r="303" spans="2:4">
      <c r="B303" s="6" t="s">
        <v>1085</v>
      </c>
      <c r="C303" s="6">
        <v>812</v>
      </c>
      <c r="D303" s="1051">
        <v>0</v>
      </c>
    </row>
    <row r="304" spans="2:4">
      <c r="B304" s="6" t="s">
        <v>1085</v>
      </c>
      <c r="C304" s="6">
        <v>870</v>
      </c>
      <c r="D304" s="1051">
        <v>0</v>
      </c>
    </row>
    <row r="305" spans="2:4">
      <c r="B305" s="6" t="s">
        <v>1085</v>
      </c>
      <c r="C305" s="6">
        <v>871</v>
      </c>
      <c r="D305" s="1051">
        <v>0</v>
      </c>
    </row>
    <row r="306" spans="2:4">
      <c r="B306" s="6" t="s">
        <v>1085</v>
      </c>
      <c r="C306" s="6">
        <v>874</v>
      </c>
      <c r="D306" s="1051">
        <v>2.6104934346151098E-6</v>
      </c>
    </row>
    <row r="307" spans="2:4">
      <c r="B307" s="6" t="s">
        <v>1085</v>
      </c>
      <c r="C307" s="6">
        <v>875</v>
      </c>
      <c r="D307" s="1051">
        <v>0</v>
      </c>
    </row>
    <row r="308" spans="2:4">
      <c r="B308" s="6" t="s">
        <v>1085</v>
      </c>
      <c r="C308" s="6">
        <v>876</v>
      </c>
      <c r="D308" s="1051">
        <v>0</v>
      </c>
    </row>
    <row r="309" spans="2:4">
      <c r="B309" s="6" t="s">
        <v>1085</v>
      </c>
      <c r="C309" s="6">
        <v>878</v>
      </c>
      <c r="D309" s="1051">
        <v>0</v>
      </c>
    </row>
    <row r="310" spans="2:4">
      <c r="B310" s="6" t="s">
        <v>1085</v>
      </c>
      <c r="C310" s="6">
        <v>879</v>
      </c>
      <c r="D310" s="1051">
        <v>0</v>
      </c>
    </row>
    <row r="311" spans="2:4">
      <c r="B311" s="6" t="s">
        <v>1085</v>
      </c>
      <c r="C311" s="6">
        <v>880</v>
      </c>
      <c r="D311" s="1051">
        <v>2.6958834067754172E-5</v>
      </c>
    </row>
    <row r="312" spans="2:4">
      <c r="B312" s="6" t="s">
        <v>1085</v>
      </c>
      <c r="C312" s="6">
        <v>881</v>
      </c>
      <c r="D312" s="1051">
        <v>0</v>
      </c>
    </row>
    <row r="313" spans="2:4">
      <c r="B313" s="6" t="s">
        <v>1085</v>
      </c>
      <c r="C313" s="6">
        <v>885</v>
      </c>
      <c r="D313" s="1051">
        <v>0</v>
      </c>
    </row>
    <row r="314" spans="2:4">
      <c r="B314" s="6" t="s">
        <v>1085</v>
      </c>
      <c r="C314" s="6">
        <v>886</v>
      </c>
      <c r="D314" s="1051">
        <v>0</v>
      </c>
    </row>
    <row r="315" spans="2:4">
      <c r="B315" s="6" t="s">
        <v>1085</v>
      </c>
      <c r="C315" s="6">
        <v>887</v>
      </c>
      <c r="D315" s="1051">
        <v>0</v>
      </c>
    </row>
    <row r="316" spans="2:4">
      <c r="B316" s="6" t="s">
        <v>1085</v>
      </c>
      <c r="C316" s="6">
        <v>889</v>
      </c>
      <c r="D316" s="1051">
        <v>0</v>
      </c>
    </row>
    <row r="317" spans="2:4">
      <c r="B317" s="6" t="s">
        <v>1085</v>
      </c>
      <c r="C317" s="6">
        <v>890</v>
      </c>
      <c r="D317" s="1051">
        <v>0</v>
      </c>
    </row>
    <row r="318" spans="2:4">
      <c r="B318" s="6" t="s">
        <v>1085</v>
      </c>
      <c r="C318" s="6">
        <v>892</v>
      </c>
      <c r="D318" s="1051">
        <v>0</v>
      </c>
    </row>
    <row r="319" spans="2:4">
      <c r="B319" s="6" t="s">
        <v>1085</v>
      </c>
      <c r="C319" s="6">
        <v>893</v>
      </c>
      <c r="D319" s="1051">
        <v>0</v>
      </c>
    </row>
    <row r="320" spans="2:4">
      <c r="B320" s="6" t="s">
        <v>1085</v>
      </c>
      <c r="C320" s="6">
        <v>894</v>
      </c>
      <c r="D320" s="1051">
        <v>0</v>
      </c>
    </row>
    <row r="321" spans="2:4">
      <c r="B321" s="6" t="s">
        <v>1085</v>
      </c>
      <c r="C321" s="6">
        <v>902</v>
      </c>
      <c r="D321" s="1051">
        <v>0</v>
      </c>
    </row>
    <row r="322" spans="2:4">
      <c r="B322" s="6" t="s">
        <v>1085</v>
      </c>
      <c r="C322" s="6">
        <v>903</v>
      </c>
      <c r="D322" s="1051">
        <v>0</v>
      </c>
    </row>
    <row r="323" spans="2:4">
      <c r="B323" s="6" t="s">
        <v>1085</v>
      </c>
      <c r="C323" s="6">
        <v>904</v>
      </c>
      <c r="D323" s="1051">
        <v>0</v>
      </c>
    </row>
    <row r="324" spans="2:4">
      <c r="B324" s="6" t="s">
        <v>1085</v>
      </c>
      <c r="C324" s="6">
        <v>905</v>
      </c>
      <c r="D324" s="1051">
        <v>0</v>
      </c>
    </row>
    <row r="325" spans="2:4">
      <c r="B325" s="6" t="s">
        <v>1085</v>
      </c>
      <c r="C325" s="6">
        <v>907</v>
      </c>
      <c r="D325" s="1051">
        <v>0</v>
      </c>
    </row>
    <row r="326" spans="2:4">
      <c r="B326" s="6" t="s">
        <v>1085</v>
      </c>
      <c r="C326" s="6">
        <v>908</v>
      </c>
      <c r="D326" s="1051">
        <v>0</v>
      </c>
    </row>
    <row r="327" spans="2:4">
      <c r="B327" s="6" t="s">
        <v>1085</v>
      </c>
      <c r="C327" s="6">
        <v>909</v>
      </c>
      <c r="D327" s="1051">
        <v>0</v>
      </c>
    </row>
    <row r="328" spans="2:4">
      <c r="B328" s="6" t="s">
        <v>1085</v>
      </c>
      <c r="C328" s="6">
        <v>910</v>
      </c>
      <c r="D328" s="1051">
        <v>0</v>
      </c>
    </row>
    <row r="329" spans="2:4">
      <c r="B329" s="6" t="s">
        <v>1085</v>
      </c>
      <c r="C329" s="6">
        <v>911</v>
      </c>
      <c r="D329" s="1051">
        <v>0</v>
      </c>
    </row>
    <row r="330" spans="2:4">
      <c r="B330" s="6" t="s">
        <v>1085</v>
      </c>
      <c r="C330" s="6">
        <v>912</v>
      </c>
      <c r="D330" s="1051">
        <v>0</v>
      </c>
    </row>
    <row r="331" spans="2:4">
      <c r="B331" s="6" t="s">
        <v>1085</v>
      </c>
      <c r="C331" s="6">
        <v>913</v>
      </c>
      <c r="D331" s="1051">
        <v>0</v>
      </c>
    </row>
    <row r="332" spans="2:4">
      <c r="B332" s="6" t="s">
        <v>1085</v>
      </c>
      <c r="C332" s="6">
        <v>920</v>
      </c>
      <c r="D332" s="1051">
        <v>0</v>
      </c>
    </row>
    <row r="333" spans="2:4">
      <c r="B333" s="6" t="s">
        <v>1085</v>
      </c>
      <c r="C333" s="6">
        <v>921</v>
      </c>
      <c r="D333" s="1051">
        <v>0</v>
      </c>
    </row>
    <row r="334" spans="2:4">
      <c r="B334" s="6" t="s">
        <v>1085</v>
      </c>
      <c r="C334" s="6">
        <v>923</v>
      </c>
      <c r="D334" s="1051">
        <v>0</v>
      </c>
    </row>
    <row r="335" spans="2:4">
      <c r="B335" s="6" t="s">
        <v>1085</v>
      </c>
      <c r="C335" s="6">
        <v>924</v>
      </c>
      <c r="D335" s="1051">
        <v>5.0008472515023376E-2</v>
      </c>
    </row>
    <row r="336" spans="2:4">
      <c r="B336" s="6" t="s">
        <v>1085</v>
      </c>
      <c r="C336" s="6">
        <v>925</v>
      </c>
      <c r="D336" s="1051">
        <v>0.93984088603367588</v>
      </c>
    </row>
    <row r="337" spans="2:18">
      <c r="B337" s="6" t="s">
        <v>1085</v>
      </c>
      <c r="C337" s="6">
        <v>926</v>
      </c>
      <c r="D337" s="1051">
        <v>1.0121072123798277E-2</v>
      </c>
    </row>
    <row r="338" spans="2:18">
      <c r="B338" s="6" t="s">
        <v>1085</v>
      </c>
      <c r="C338" s="6">
        <v>928</v>
      </c>
      <c r="D338" s="1051">
        <v>0</v>
      </c>
    </row>
    <row r="339" spans="2:18">
      <c r="B339" s="6" t="s">
        <v>1085</v>
      </c>
      <c r="C339" s="6">
        <v>930</v>
      </c>
      <c r="D339" s="1051">
        <v>0</v>
      </c>
    </row>
    <row r="340" spans="2:18">
      <c r="B340" s="6" t="s">
        <v>1085</v>
      </c>
      <c r="C340" s="6">
        <v>931</v>
      </c>
      <c r="D340" s="1051">
        <v>0</v>
      </c>
    </row>
    <row r="341" spans="2:18">
      <c r="B341" s="6" t="s">
        <v>1085</v>
      </c>
      <c r="C341" s="6">
        <v>932</v>
      </c>
      <c r="D341" s="1051">
        <v>0</v>
      </c>
    </row>
    <row r="342" spans="2:18">
      <c r="B342" s="6" t="s">
        <v>1085</v>
      </c>
      <c r="C342" s="6">
        <v>935</v>
      </c>
      <c r="D342" s="1051">
        <v>0</v>
      </c>
    </row>
    <row r="343" spans="2:18">
      <c r="B343" s="6" t="s">
        <v>1091</v>
      </c>
      <c r="C343" s="6">
        <v>505</v>
      </c>
      <c r="D343" s="1051">
        <v>0</v>
      </c>
      <c r="I343" s="1052">
        <f t="shared" ref="I343:I388" si="1">+$D343*$I$4</f>
        <v>0</v>
      </c>
      <c r="J343" s="1048">
        <f>$D343*$J$4</f>
        <v>0</v>
      </c>
      <c r="K343" s="1048">
        <f t="shared" ref="K343:K392" si="2">$D343*$K$4</f>
        <v>0</v>
      </c>
      <c r="L343" s="1048">
        <f t="shared" ref="L343:L392" si="3">$D343*$L$4</f>
        <v>0</v>
      </c>
      <c r="M343" s="1048">
        <f t="shared" ref="M343:M392" si="4">+$D343*$M$4</f>
        <v>0</v>
      </c>
      <c r="N343" s="1048">
        <f>+$D343*$N$4</f>
        <v>0</v>
      </c>
      <c r="O343" s="1048">
        <f t="shared" ref="O343:O392" si="5">$D343*$O$4</f>
        <v>0</v>
      </c>
      <c r="P343" s="1048">
        <f t="shared" ref="P343:P392" si="6">$D343*$P$4</f>
        <v>0</v>
      </c>
      <c r="Q343" s="1048">
        <f t="shared" ref="Q343:Q392" si="7">$D343*$Q$4</f>
        <v>0</v>
      </c>
      <c r="R343" s="127">
        <f>SUM(J343:Q343)</f>
        <v>0</v>
      </c>
    </row>
    <row r="344" spans="2:18">
      <c r="B344" s="6" t="s">
        <v>1091</v>
      </c>
      <c r="C344" s="6">
        <v>801</v>
      </c>
      <c r="D344" s="1051">
        <v>0</v>
      </c>
      <c r="I344" s="1052">
        <f t="shared" si="1"/>
        <v>0</v>
      </c>
      <c r="J344" s="1048">
        <f t="shared" ref="J344:J392" si="8">$D344*$J$4</f>
        <v>0</v>
      </c>
      <c r="K344" s="1048">
        <f t="shared" si="2"/>
        <v>0</v>
      </c>
      <c r="L344" s="1048">
        <f t="shared" si="3"/>
        <v>0</v>
      </c>
      <c r="M344" s="1048">
        <f t="shared" si="4"/>
        <v>0</v>
      </c>
      <c r="N344" s="1048">
        <f t="shared" ref="N344:N392" si="9">+$D344*$N$4</f>
        <v>0</v>
      </c>
      <c r="O344" s="1048">
        <f t="shared" si="5"/>
        <v>0</v>
      </c>
      <c r="P344" s="1048">
        <f t="shared" si="6"/>
        <v>0</v>
      </c>
      <c r="Q344" s="1048">
        <f t="shared" si="7"/>
        <v>0</v>
      </c>
      <c r="R344" s="127">
        <f t="shared" ref="R344:R392" si="10">SUM(J344:Q344)</f>
        <v>0</v>
      </c>
    </row>
    <row r="345" spans="2:18">
      <c r="B345" s="6" t="s">
        <v>1091</v>
      </c>
      <c r="C345" s="6">
        <v>803</v>
      </c>
      <c r="D345" s="1051">
        <v>0</v>
      </c>
      <c r="I345" s="1052">
        <f t="shared" si="1"/>
        <v>0</v>
      </c>
      <c r="J345" s="1048">
        <f t="shared" si="8"/>
        <v>0</v>
      </c>
      <c r="K345" s="1048">
        <f t="shared" si="2"/>
        <v>0</v>
      </c>
      <c r="L345" s="1048">
        <f t="shared" si="3"/>
        <v>0</v>
      </c>
      <c r="M345" s="1048">
        <f t="shared" si="4"/>
        <v>0</v>
      </c>
      <c r="N345" s="1048">
        <f t="shared" si="9"/>
        <v>0</v>
      </c>
      <c r="O345" s="1048">
        <f t="shared" si="5"/>
        <v>0</v>
      </c>
      <c r="P345" s="1048">
        <f t="shared" si="6"/>
        <v>0</v>
      </c>
      <c r="Q345" s="1048">
        <f t="shared" si="7"/>
        <v>0</v>
      </c>
      <c r="R345" s="127">
        <f t="shared" si="10"/>
        <v>0</v>
      </c>
    </row>
    <row r="346" spans="2:18">
      <c r="B346" s="6" t="s">
        <v>1091</v>
      </c>
      <c r="C346" s="6">
        <v>804</v>
      </c>
      <c r="D346" s="1051">
        <v>0</v>
      </c>
      <c r="I346" s="1052">
        <f t="shared" si="1"/>
        <v>0</v>
      </c>
      <c r="J346" s="1048">
        <f t="shared" si="8"/>
        <v>0</v>
      </c>
      <c r="K346" s="1048">
        <f t="shared" si="2"/>
        <v>0</v>
      </c>
      <c r="L346" s="1048">
        <f t="shared" si="3"/>
        <v>0</v>
      </c>
      <c r="M346" s="1048">
        <f t="shared" si="4"/>
        <v>0</v>
      </c>
      <c r="N346" s="1048">
        <f t="shared" si="9"/>
        <v>0</v>
      </c>
      <c r="O346" s="1048">
        <f t="shared" si="5"/>
        <v>0</v>
      </c>
      <c r="P346" s="1048">
        <f t="shared" si="6"/>
        <v>0</v>
      </c>
      <c r="Q346" s="1048">
        <f t="shared" si="7"/>
        <v>0</v>
      </c>
      <c r="R346" s="127">
        <f t="shared" si="10"/>
        <v>0</v>
      </c>
    </row>
    <row r="347" spans="2:18">
      <c r="B347" s="6" t="s">
        <v>1091</v>
      </c>
      <c r="C347" s="6">
        <v>805</v>
      </c>
      <c r="D347" s="1051">
        <v>0</v>
      </c>
      <c r="I347" s="1052">
        <f t="shared" si="1"/>
        <v>0</v>
      </c>
      <c r="J347" s="1048">
        <f t="shared" si="8"/>
        <v>0</v>
      </c>
      <c r="K347" s="1048">
        <f t="shared" si="2"/>
        <v>0</v>
      </c>
      <c r="L347" s="1048">
        <f t="shared" si="3"/>
        <v>0</v>
      </c>
      <c r="M347" s="1048">
        <f t="shared" si="4"/>
        <v>0</v>
      </c>
      <c r="N347" s="1048">
        <f t="shared" si="9"/>
        <v>0</v>
      </c>
      <c r="O347" s="1048">
        <f t="shared" si="5"/>
        <v>0</v>
      </c>
      <c r="P347" s="1048">
        <f t="shared" si="6"/>
        <v>0</v>
      </c>
      <c r="Q347" s="1048">
        <f t="shared" si="7"/>
        <v>0</v>
      </c>
      <c r="R347" s="127">
        <f t="shared" si="10"/>
        <v>0</v>
      </c>
    </row>
    <row r="348" spans="2:18">
      <c r="B348" s="6" t="s">
        <v>1091</v>
      </c>
      <c r="C348" s="6">
        <v>806</v>
      </c>
      <c r="D348" s="1051">
        <v>0</v>
      </c>
      <c r="I348" s="1052">
        <f t="shared" si="1"/>
        <v>0</v>
      </c>
      <c r="J348" s="1048">
        <f t="shared" si="8"/>
        <v>0</v>
      </c>
      <c r="K348" s="1048">
        <f t="shared" si="2"/>
        <v>0</v>
      </c>
      <c r="L348" s="1048">
        <f t="shared" si="3"/>
        <v>0</v>
      </c>
      <c r="M348" s="1048">
        <f t="shared" si="4"/>
        <v>0</v>
      </c>
      <c r="N348" s="1048">
        <f t="shared" si="9"/>
        <v>0</v>
      </c>
      <c r="O348" s="1048">
        <f t="shared" si="5"/>
        <v>0</v>
      </c>
      <c r="P348" s="1048">
        <f t="shared" si="6"/>
        <v>0</v>
      </c>
      <c r="Q348" s="1048">
        <f t="shared" si="7"/>
        <v>0</v>
      </c>
      <c r="R348" s="127">
        <f t="shared" si="10"/>
        <v>0</v>
      </c>
    </row>
    <row r="349" spans="2:18">
      <c r="B349" s="6" t="s">
        <v>1091</v>
      </c>
      <c r="C349" s="6">
        <v>807</v>
      </c>
      <c r="D349" s="1051">
        <v>2.0602551044428364E-2</v>
      </c>
      <c r="I349" s="1052">
        <f t="shared" si="1"/>
        <v>-8.4412189087037337</v>
      </c>
      <c r="J349" s="1048">
        <f t="shared" si="8"/>
        <v>-4.6631797551918321</v>
      </c>
      <c r="K349" s="1048">
        <f t="shared" si="2"/>
        <v>-5.8073858988268663</v>
      </c>
      <c r="L349" s="1048">
        <f t="shared" si="3"/>
        <v>-5.5051427665459141</v>
      </c>
      <c r="M349" s="1048">
        <f t="shared" si="4"/>
        <v>-25.884965400347255</v>
      </c>
      <c r="N349" s="1048">
        <f t="shared" si="9"/>
        <v>-6.152806621433669</v>
      </c>
      <c r="O349" s="1048">
        <f t="shared" si="5"/>
        <v>-1.2953277097755092</v>
      </c>
      <c r="P349" s="1048">
        <f t="shared" si="6"/>
        <v>-11.355706255698628</v>
      </c>
      <c r="Q349" s="1048">
        <f t="shared" si="7"/>
        <v>-5.7210307181751654</v>
      </c>
      <c r="R349" s="127">
        <f>SUM(J349:Q349)</f>
        <v>-66.385545125994838</v>
      </c>
    </row>
    <row r="350" spans="2:18">
      <c r="B350" s="6" t="s">
        <v>1091</v>
      </c>
      <c r="C350" s="6">
        <v>808</v>
      </c>
      <c r="D350" s="1051">
        <v>0</v>
      </c>
      <c r="I350" s="1052">
        <f t="shared" si="1"/>
        <v>0</v>
      </c>
      <c r="J350" s="1048">
        <f t="shared" si="8"/>
        <v>0</v>
      </c>
      <c r="K350" s="1048">
        <f t="shared" si="2"/>
        <v>0</v>
      </c>
      <c r="L350" s="1048">
        <f t="shared" si="3"/>
        <v>0</v>
      </c>
      <c r="M350" s="1048">
        <f t="shared" si="4"/>
        <v>0</v>
      </c>
      <c r="N350" s="1048">
        <f t="shared" si="9"/>
        <v>0</v>
      </c>
      <c r="O350" s="1048">
        <f t="shared" si="5"/>
        <v>0</v>
      </c>
      <c r="P350" s="1048">
        <f t="shared" si="6"/>
        <v>0</v>
      </c>
      <c r="Q350" s="1048">
        <f t="shared" si="7"/>
        <v>0</v>
      </c>
      <c r="R350" s="127">
        <f t="shared" si="10"/>
        <v>0</v>
      </c>
    </row>
    <row r="351" spans="2:18">
      <c r="B351" s="6" t="s">
        <v>1091</v>
      </c>
      <c r="C351" s="6">
        <v>812</v>
      </c>
      <c r="D351" s="1051">
        <v>0</v>
      </c>
      <c r="I351" s="1052">
        <f t="shared" si="1"/>
        <v>0</v>
      </c>
      <c r="J351" s="1048">
        <f t="shared" si="8"/>
        <v>0</v>
      </c>
      <c r="K351" s="1048">
        <f t="shared" si="2"/>
        <v>0</v>
      </c>
      <c r="L351" s="1048">
        <f t="shared" si="3"/>
        <v>0</v>
      </c>
      <c r="M351" s="1048">
        <f t="shared" si="4"/>
        <v>0</v>
      </c>
      <c r="N351" s="1048">
        <f t="shared" si="9"/>
        <v>0</v>
      </c>
      <c r="O351" s="1048">
        <f t="shared" si="5"/>
        <v>0</v>
      </c>
      <c r="P351" s="1048">
        <f t="shared" si="6"/>
        <v>0</v>
      </c>
      <c r="Q351" s="1048">
        <f t="shared" si="7"/>
        <v>0</v>
      </c>
      <c r="R351" s="127">
        <f t="shared" si="10"/>
        <v>0</v>
      </c>
    </row>
    <row r="352" spans="2:18">
      <c r="B352" s="6" t="s">
        <v>1091</v>
      </c>
      <c r="C352" s="6">
        <v>870</v>
      </c>
      <c r="D352" s="1051">
        <v>2.4267187278732831E-2</v>
      </c>
      <c r="I352" s="1052">
        <f t="shared" si="1"/>
        <v>-9.9426832957024178</v>
      </c>
      <c r="J352" s="1048">
        <f t="shared" si="8"/>
        <v>-5.4926332272934069</v>
      </c>
      <c r="K352" s="1048">
        <f t="shared" si="2"/>
        <v>-6.8403626765829939</v>
      </c>
      <c r="L352" s="1048">
        <f t="shared" si="3"/>
        <v>-6.4843586711102725</v>
      </c>
      <c r="M352" s="1048">
        <f t="shared" si="4"/>
        <v>-30.489200182985162</v>
      </c>
      <c r="N352" s="1048">
        <f t="shared" si="9"/>
        <v>-7.2472243971232455</v>
      </c>
      <c r="O352" s="1048">
        <f t="shared" si="5"/>
        <v>-1.5257314520259464</v>
      </c>
      <c r="P352" s="1048">
        <f t="shared" si="6"/>
        <v>-13.375579062760796</v>
      </c>
      <c r="Q352" s="1048">
        <f t="shared" si="7"/>
        <v>-6.7386472464479299</v>
      </c>
      <c r="R352" s="127">
        <f t="shared" si="10"/>
        <v>-78.193736916329755</v>
      </c>
    </row>
    <row r="353" spans="2:18">
      <c r="B353" s="6" t="s">
        <v>1091</v>
      </c>
      <c r="C353" s="6">
        <v>871</v>
      </c>
      <c r="D353" s="1051">
        <v>0</v>
      </c>
      <c r="I353" s="1052">
        <f t="shared" si="1"/>
        <v>0</v>
      </c>
      <c r="J353" s="1048">
        <f t="shared" si="8"/>
        <v>0</v>
      </c>
      <c r="K353" s="1048">
        <f t="shared" si="2"/>
        <v>0</v>
      </c>
      <c r="L353" s="1048">
        <f t="shared" si="3"/>
        <v>0</v>
      </c>
      <c r="M353" s="1048">
        <f t="shared" si="4"/>
        <v>0</v>
      </c>
      <c r="N353" s="1048">
        <f t="shared" si="9"/>
        <v>0</v>
      </c>
      <c r="O353" s="1048">
        <f t="shared" si="5"/>
        <v>0</v>
      </c>
      <c r="P353" s="1048">
        <f t="shared" si="6"/>
        <v>0</v>
      </c>
      <c r="Q353" s="1048">
        <f t="shared" si="7"/>
        <v>0</v>
      </c>
      <c r="R353" s="127">
        <f t="shared" si="10"/>
        <v>0</v>
      </c>
    </row>
    <row r="354" spans="2:18">
      <c r="B354" s="6" t="s">
        <v>1091</v>
      </c>
      <c r="C354" s="6">
        <v>874</v>
      </c>
      <c r="D354" s="1051">
        <v>9.7410593912175981E-3</v>
      </c>
      <c r="I354" s="1052">
        <f t="shared" si="1"/>
        <v>-3.9910792865715972</v>
      </c>
      <c r="J354" s="1048">
        <f t="shared" si="8"/>
        <v>-2.2047906033234401</v>
      </c>
      <c r="K354" s="1048">
        <f t="shared" si="2"/>
        <v>-2.7457808902500251</v>
      </c>
      <c r="L354" s="1048">
        <f t="shared" si="3"/>
        <v>-2.6028777955901723</v>
      </c>
      <c r="M354" s="1048">
        <f t="shared" si="4"/>
        <v>-12.238629321225947</v>
      </c>
      <c r="N354" s="1048">
        <f t="shared" si="9"/>
        <v>-2.909098712718428</v>
      </c>
      <c r="O354" s="1048">
        <f t="shared" si="5"/>
        <v>-0.61244183425651111</v>
      </c>
      <c r="P354" s="1048">
        <f t="shared" si="6"/>
        <v>-5.3690734136487475</v>
      </c>
      <c r="Q354" s="1048">
        <f t="shared" si="7"/>
        <v>-2.7049514346329242</v>
      </c>
      <c r="R354" s="127">
        <f t="shared" si="10"/>
        <v>-31.387644005646195</v>
      </c>
    </row>
    <row r="355" spans="2:18">
      <c r="B355" s="6" t="s">
        <v>1091</v>
      </c>
      <c r="C355" s="6">
        <v>875</v>
      </c>
      <c r="D355" s="1051">
        <v>7.9747603706099683E-4</v>
      </c>
      <c r="I355" s="1052">
        <f t="shared" si="1"/>
        <v>-0.32673962504744675</v>
      </c>
      <c r="J355" s="1048">
        <f t="shared" si="8"/>
        <v>-0.18050066243030305</v>
      </c>
      <c r="K355" s="1048">
        <f t="shared" si="2"/>
        <v>-0.22479017682292377</v>
      </c>
      <c r="L355" s="1048">
        <f t="shared" si="3"/>
        <v>-0.21309105981355225</v>
      </c>
      <c r="M355" s="1048">
        <f t="shared" si="4"/>
        <v>-1.0019458067311731</v>
      </c>
      <c r="N355" s="1048">
        <f t="shared" si="9"/>
        <v>-0.23816059626220545</v>
      </c>
      <c r="O355" s="1048">
        <f t="shared" si="5"/>
        <v>-5.013907289730641E-2</v>
      </c>
      <c r="P355" s="1048">
        <f t="shared" si="6"/>
        <v>-0.43955253906638614</v>
      </c>
      <c r="Q355" s="1048">
        <f t="shared" si="7"/>
        <v>-0.22144757196310333</v>
      </c>
      <c r="R355" s="127">
        <f t="shared" si="10"/>
        <v>-2.5696274859869539</v>
      </c>
    </row>
    <row r="356" spans="2:18">
      <c r="B356" s="6" t="s">
        <v>1091</v>
      </c>
      <c r="C356" s="6">
        <v>876</v>
      </c>
      <c r="D356" s="1051">
        <v>6.5242107321698969E-4</v>
      </c>
      <c r="I356" s="1052">
        <f t="shared" si="1"/>
        <v>-0.26730811576682784</v>
      </c>
      <c r="J356" s="1048">
        <f t="shared" si="8"/>
        <v>-0.14766893351824759</v>
      </c>
      <c r="K356" s="1048">
        <f t="shared" si="2"/>
        <v>-0.18390251442781763</v>
      </c>
      <c r="L356" s="1048">
        <f t="shared" si="3"/>
        <v>-0.17433137984793121</v>
      </c>
      <c r="M356" s="1048">
        <f t="shared" si="4"/>
        <v>-0.81969931152027253</v>
      </c>
      <c r="N356" s="1048">
        <f t="shared" si="9"/>
        <v>-0.19484095394768783</v>
      </c>
      <c r="O356" s="1048">
        <f t="shared" si="5"/>
        <v>-4.1019148199513224E-2</v>
      </c>
      <c r="P356" s="1048">
        <f t="shared" si="6"/>
        <v>-0.35960119921573258</v>
      </c>
      <c r="Q356" s="1048">
        <f t="shared" si="7"/>
        <v>-0.18116790454785006</v>
      </c>
      <c r="R356" s="127">
        <f t="shared" si="10"/>
        <v>-2.1022313452250527</v>
      </c>
    </row>
    <row r="357" spans="2:18">
      <c r="B357" s="6" t="s">
        <v>1091</v>
      </c>
      <c r="C357" s="6">
        <v>878</v>
      </c>
      <c r="D357" s="1051">
        <v>6.3745024000978123E-3</v>
      </c>
      <c r="I357" s="1052">
        <f t="shared" si="1"/>
        <v>-2.6117430835262834</v>
      </c>
      <c r="J357" s="1048">
        <f t="shared" si="8"/>
        <v>-1.4428043632779468</v>
      </c>
      <c r="K357" s="1048">
        <f t="shared" si="2"/>
        <v>-1.7968258042674434</v>
      </c>
      <c r="L357" s="1048">
        <f t="shared" si="3"/>
        <v>-1.7033107066475763</v>
      </c>
      <c r="M357" s="1048">
        <f t="shared" si="4"/>
        <v>-8.008900146158604</v>
      </c>
      <c r="N357" s="1048">
        <f t="shared" si="9"/>
        <v>-1.9037002015472912</v>
      </c>
      <c r="O357" s="1048">
        <f t="shared" si="5"/>
        <v>-0.40077898979942972</v>
      </c>
      <c r="P357" s="1048">
        <f t="shared" si="6"/>
        <v>-3.5134958105750003</v>
      </c>
      <c r="Q357" s="1048">
        <f t="shared" si="7"/>
        <v>-1.7701072049474813</v>
      </c>
      <c r="R357" s="127">
        <f t="shared" si="10"/>
        <v>-20.539923227220772</v>
      </c>
    </row>
    <row r="358" spans="2:18">
      <c r="B358" s="6" t="s">
        <v>1091</v>
      </c>
      <c r="C358" s="6">
        <v>879</v>
      </c>
      <c r="D358" s="1051">
        <v>6.1771366665686776E-3</v>
      </c>
      <c r="I358" s="1052">
        <f t="shared" si="1"/>
        <v>-2.5308789537297525</v>
      </c>
      <c r="J358" s="1048">
        <f t="shared" si="8"/>
        <v>-1.3981326189402212</v>
      </c>
      <c r="K358" s="1048">
        <f t="shared" si="2"/>
        <v>-1.7411929374764794</v>
      </c>
      <c r="L358" s="1048">
        <f t="shared" si="3"/>
        <v>-1.6505732306933167</v>
      </c>
      <c r="M358" s="1048">
        <f t="shared" si="4"/>
        <v>-7.7609306023579876</v>
      </c>
      <c r="N358" s="1048">
        <f t="shared" si="9"/>
        <v>-1.8447583166572366</v>
      </c>
      <c r="O358" s="1048">
        <f t="shared" si="5"/>
        <v>-0.38837017192783924</v>
      </c>
      <c r="P358" s="1048">
        <f t="shared" si="6"/>
        <v>-3.4047118405673906</v>
      </c>
      <c r="Q358" s="1048">
        <f t="shared" si="7"/>
        <v>-1.71530159268129</v>
      </c>
      <c r="R358" s="127">
        <f t="shared" si="10"/>
        <v>-19.90397131130176</v>
      </c>
    </row>
    <row r="359" spans="2:18">
      <c r="B359" s="6" t="s">
        <v>1091</v>
      </c>
      <c r="C359" s="6">
        <v>880</v>
      </c>
      <c r="D359" s="1051">
        <v>1.3459842612311003E-3</v>
      </c>
      <c r="I359" s="1052">
        <f t="shared" si="1"/>
        <v>-0.55147286237614712</v>
      </c>
      <c r="J359" s="1048">
        <f t="shared" si="8"/>
        <v>-0.30464997000830635</v>
      </c>
      <c r="K359" s="1048">
        <f t="shared" si="2"/>
        <v>-0.37940204598256677</v>
      </c>
      <c r="L359" s="1048">
        <f t="shared" si="3"/>
        <v>-0.35965621459313946</v>
      </c>
      <c r="M359" s="1048">
        <f t="shared" si="4"/>
        <v>-1.6910894168516635</v>
      </c>
      <c r="N359" s="1048">
        <f t="shared" si="9"/>
        <v>-0.4019687104276265</v>
      </c>
      <c r="O359" s="1048">
        <f t="shared" si="5"/>
        <v>-8.4624991668973998E-2</v>
      </c>
      <c r="P359" s="1048">
        <f t="shared" si="6"/>
        <v>-0.74187909363133853</v>
      </c>
      <c r="Q359" s="1048">
        <f t="shared" si="7"/>
        <v>-0.37376037987130178</v>
      </c>
      <c r="R359" s="127">
        <f t="shared" si="10"/>
        <v>-4.337030823034917</v>
      </c>
    </row>
    <row r="360" spans="2:18">
      <c r="B360" s="6" t="s">
        <v>1091</v>
      </c>
      <c r="C360" s="6">
        <v>881</v>
      </c>
      <c r="D360" s="1051">
        <v>0</v>
      </c>
      <c r="I360" s="1052">
        <f t="shared" si="1"/>
        <v>0</v>
      </c>
      <c r="J360" s="1048">
        <f t="shared" si="8"/>
        <v>0</v>
      </c>
      <c r="K360" s="1048">
        <f t="shared" si="2"/>
        <v>0</v>
      </c>
      <c r="L360" s="1048">
        <f t="shared" si="3"/>
        <v>0</v>
      </c>
      <c r="M360" s="1048">
        <f t="shared" si="4"/>
        <v>0</v>
      </c>
      <c r="N360" s="1048">
        <f t="shared" si="9"/>
        <v>0</v>
      </c>
      <c r="O360" s="1048">
        <f t="shared" si="5"/>
        <v>0</v>
      </c>
      <c r="P360" s="1048">
        <f t="shared" si="6"/>
        <v>0</v>
      </c>
      <c r="Q360" s="1048">
        <f t="shared" si="7"/>
        <v>0</v>
      </c>
      <c r="R360" s="127">
        <f t="shared" si="10"/>
        <v>0</v>
      </c>
    </row>
    <row r="361" spans="2:18">
      <c r="B361" s="6" t="s">
        <v>1091</v>
      </c>
      <c r="C361" s="6">
        <v>885</v>
      </c>
      <c r="D361" s="1051">
        <v>0</v>
      </c>
      <c r="I361" s="1052">
        <f t="shared" si="1"/>
        <v>0</v>
      </c>
      <c r="J361" s="1048">
        <f t="shared" si="8"/>
        <v>0</v>
      </c>
      <c r="K361" s="1048">
        <f t="shared" si="2"/>
        <v>0</v>
      </c>
      <c r="L361" s="1048">
        <f t="shared" si="3"/>
        <v>0</v>
      </c>
      <c r="M361" s="1048">
        <f t="shared" si="4"/>
        <v>0</v>
      </c>
      <c r="N361" s="1048">
        <f t="shared" si="9"/>
        <v>0</v>
      </c>
      <c r="O361" s="1048">
        <f t="shared" si="5"/>
        <v>0</v>
      </c>
      <c r="P361" s="1048">
        <f t="shared" si="6"/>
        <v>0</v>
      </c>
      <c r="Q361" s="1048">
        <f t="shared" si="7"/>
        <v>0</v>
      </c>
      <c r="R361" s="127">
        <f t="shared" si="10"/>
        <v>0</v>
      </c>
    </row>
    <row r="362" spans="2:18">
      <c r="B362" s="6" t="s">
        <v>1091</v>
      </c>
      <c r="C362" s="6">
        <v>886</v>
      </c>
      <c r="D362" s="1051">
        <v>0</v>
      </c>
      <c r="I362" s="1052">
        <f t="shared" si="1"/>
        <v>0</v>
      </c>
      <c r="J362" s="1048">
        <f t="shared" si="8"/>
        <v>0</v>
      </c>
      <c r="K362" s="1048">
        <f t="shared" si="2"/>
        <v>0</v>
      </c>
      <c r="L362" s="1048">
        <f t="shared" si="3"/>
        <v>0</v>
      </c>
      <c r="M362" s="1048">
        <f t="shared" si="4"/>
        <v>0</v>
      </c>
      <c r="N362" s="1048">
        <f t="shared" si="9"/>
        <v>0</v>
      </c>
      <c r="O362" s="1048">
        <f t="shared" si="5"/>
        <v>0</v>
      </c>
      <c r="P362" s="1048">
        <f t="shared" si="6"/>
        <v>0</v>
      </c>
      <c r="Q362" s="1048">
        <f t="shared" si="7"/>
        <v>0</v>
      </c>
      <c r="R362" s="127">
        <f t="shared" si="10"/>
        <v>0</v>
      </c>
    </row>
    <row r="363" spans="2:18">
      <c r="B363" s="6" t="s">
        <v>1091</v>
      </c>
      <c r="C363" s="6">
        <v>887</v>
      </c>
      <c r="D363" s="1051">
        <v>3.2883654600417795E-3</v>
      </c>
      <c r="I363" s="1052">
        <f t="shared" si="1"/>
        <v>-1.347299790214066</v>
      </c>
      <c r="J363" s="1048">
        <f t="shared" si="8"/>
        <v>-0.74428837515661961</v>
      </c>
      <c r="K363" s="1048">
        <f t="shared" si="2"/>
        <v>-0.92691468943116062</v>
      </c>
      <c r="L363" s="1048">
        <f t="shared" si="3"/>
        <v>-0.87867377622656484</v>
      </c>
      <c r="M363" s="1048">
        <f t="shared" si="4"/>
        <v>-4.1314896380221615</v>
      </c>
      <c r="N363" s="1048">
        <f t="shared" si="9"/>
        <v>-0.98204716166498429</v>
      </c>
      <c r="O363" s="1048">
        <f t="shared" si="5"/>
        <v>-0.20674677087683879</v>
      </c>
      <c r="P363" s="1048">
        <f t="shared" si="6"/>
        <v>-1.8124800246869532</v>
      </c>
      <c r="Q363" s="1048">
        <f t="shared" si="7"/>
        <v>-0.91313157137270473</v>
      </c>
      <c r="R363" s="127">
        <f t="shared" si="10"/>
        <v>-10.595772007437988</v>
      </c>
    </row>
    <row r="364" spans="2:18">
      <c r="B364" s="6" t="s">
        <v>1091</v>
      </c>
      <c r="C364" s="6">
        <v>889</v>
      </c>
      <c r="D364" s="1051">
        <v>7.9747603706099694E-4</v>
      </c>
      <c r="I364" s="1052">
        <f t="shared" si="1"/>
        <v>-0.3267396250474468</v>
      </c>
      <c r="J364" s="1048">
        <f t="shared" si="8"/>
        <v>-0.18050066243030308</v>
      </c>
      <c r="K364" s="1048">
        <f t="shared" si="2"/>
        <v>-0.22479017682292379</v>
      </c>
      <c r="L364" s="1048">
        <f t="shared" si="3"/>
        <v>-0.21309105981355228</v>
      </c>
      <c r="M364" s="1048">
        <f t="shared" si="4"/>
        <v>-1.0019458067311733</v>
      </c>
      <c r="N364" s="1048">
        <f t="shared" si="9"/>
        <v>-0.23816059626220548</v>
      </c>
      <c r="O364" s="1048">
        <f t="shared" si="5"/>
        <v>-5.0139072897306416E-2</v>
      </c>
      <c r="P364" s="1048">
        <f t="shared" si="6"/>
        <v>-0.43955253906638619</v>
      </c>
      <c r="Q364" s="1048">
        <f t="shared" si="7"/>
        <v>-0.22144757196310336</v>
      </c>
      <c r="R364" s="127">
        <f t="shared" si="10"/>
        <v>-2.5696274859869539</v>
      </c>
    </row>
    <row r="365" spans="2:18">
      <c r="B365" s="6" t="s">
        <v>1091</v>
      </c>
      <c r="C365" s="6">
        <v>890</v>
      </c>
      <c r="D365" s="1051">
        <v>6.4556119838102006E-4</v>
      </c>
      <c r="I365" s="1052">
        <f t="shared" si="1"/>
        <v>-0.26449750726248011</v>
      </c>
      <c r="J365" s="1048">
        <f t="shared" si="8"/>
        <v>-0.14611626999666422</v>
      </c>
      <c r="K365" s="1048">
        <f t="shared" si="2"/>
        <v>-0.18196887328288278</v>
      </c>
      <c r="L365" s="1048">
        <f t="shared" si="3"/>
        <v>-0.17249837430161749</v>
      </c>
      <c r="M365" s="1048">
        <f t="shared" si="4"/>
        <v>-0.81108059132407595</v>
      </c>
      <c r="N365" s="1048">
        <f t="shared" si="9"/>
        <v>-0.19279230069004308</v>
      </c>
      <c r="O365" s="1048">
        <f t="shared" si="5"/>
        <v>-4.0587852776851174E-2</v>
      </c>
      <c r="P365" s="1048">
        <f t="shared" si="6"/>
        <v>-0.35582017601039523</v>
      </c>
      <c r="Q365" s="1048">
        <f t="shared" si="7"/>
        <v>-0.17926301643109269</v>
      </c>
      <c r="R365" s="127">
        <f t="shared" si="10"/>
        <v>-2.0801274548136224</v>
      </c>
    </row>
    <row r="366" spans="2:18">
      <c r="B366" s="6" t="s">
        <v>1091</v>
      </c>
      <c r="C366" s="6">
        <v>892</v>
      </c>
      <c r="D366" s="1051">
        <v>1.4120009780231066E-3</v>
      </c>
      <c r="I366" s="1052">
        <f t="shared" si="1"/>
        <v>-0.57852104475285948</v>
      </c>
      <c r="J366" s="1048">
        <f t="shared" si="8"/>
        <v>-0.31959218840567172</v>
      </c>
      <c r="K366" s="1048">
        <f t="shared" si="2"/>
        <v>-0.39801064204224862</v>
      </c>
      <c r="L366" s="1048">
        <f t="shared" si="3"/>
        <v>-0.37729633353447356</v>
      </c>
      <c r="M366" s="1048">
        <f t="shared" si="4"/>
        <v>-1.7740325643444463</v>
      </c>
      <c r="N366" s="1048">
        <f t="shared" si="9"/>
        <v>-0.42168413747970579</v>
      </c>
      <c r="O366" s="1048">
        <f t="shared" si="5"/>
        <v>-8.8775607890464375E-2</v>
      </c>
      <c r="P366" s="1048">
        <f t="shared" si="6"/>
        <v>-0.77826616250640424</v>
      </c>
      <c r="Q366" s="1048">
        <f t="shared" si="7"/>
        <v>-0.39209226818288428</v>
      </c>
      <c r="R366" s="127">
        <f t="shared" si="10"/>
        <v>-4.5497499043862986</v>
      </c>
    </row>
    <row r="367" spans="2:18">
      <c r="B367" s="6" t="s">
        <v>1091</v>
      </c>
      <c r="C367" s="6">
        <v>893</v>
      </c>
      <c r="D367" s="1051">
        <v>2.5238418571907567E-4</v>
      </c>
      <c r="I367" s="1052">
        <f t="shared" si="1"/>
        <v>-0.10340613432557411</v>
      </c>
      <c r="J367" s="1048">
        <f t="shared" si="8"/>
        <v>-5.7124616404920732E-2</v>
      </c>
      <c r="K367" s="1048">
        <f t="shared" si="2"/>
        <v>-7.1141304689461476E-2</v>
      </c>
      <c r="L367" s="1048">
        <f t="shared" si="3"/>
        <v>-6.7438783255809209E-2</v>
      </c>
      <c r="M367" s="1048">
        <f t="shared" si="4"/>
        <v>-0.31709451421064794</v>
      </c>
      <c r="N367" s="1048">
        <f t="shared" si="9"/>
        <v>-7.5372757756492645E-2</v>
      </c>
      <c r="O367" s="1048">
        <f t="shared" si="5"/>
        <v>-1.5867949001366871E-2</v>
      </c>
      <c r="P367" s="1048">
        <f t="shared" si="6"/>
        <v>-0.13910901957864955</v>
      </c>
      <c r="Q367" s="1048">
        <f t="shared" si="7"/>
        <v>-7.0083441422703688E-2</v>
      </c>
      <c r="R367" s="127">
        <f t="shared" si="10"/>
        <v>-0.81323238632005213</v>
      </c>
    </row>
    <row r="368" spans="2:18">
      <c r="B368" s="6" t="s">
        <v>1091</v>
      </c>
      <c r="C368" s="6">
        <v>894</v>
      </c>
      <c r="D368" s="1051">
        <v>-7.3552917316029848E-5</v>
      </c>
      <c r="I368" s="1052">
        <f t="shared" si="1"/>
        <v>3.0135893127967744E-2</v>
      </c>
      <c r="J368" s="1048">
        <f t="shared" si="8"/>
        <v>1.6647961421076812E-2</v>
      </c>
      <c r="K368" s="1048">
        <f t="shared" si="2"/>
        <v>2.0732877880878069E-2</v>
      </c>
      <c r="L368" s="1048">
        <f t="shared" si="3"/>
        <v>1.9653843344326793E-2</v>
      </c>
      <c r="M368" s="1048">
        <f t="shared" si="4"/>
        <v>9.241160066606989E-2</v>
      </c>
      <c r="N368" s="1048">
        <f t="shared" si="9"/>
        <v>2.1966060208365237E-2</v>
      </c>
      <c r="O368" s="1048">
        <f t="shared" si="5"/>
        <v>4.624433728076892E-3</v>
      </c>
      <c r="P368" s="1048">
        <f t="shared" si="6"/>
        <v>4.0540869016140749E-2</v>
      </c>
      <c r="Q368" s="1048">
        <f t="shared" si="7"/>
        <v>2.0424582299006275E-2</v>
      </c>
      <c r="R368" s="127">
        <f t="shared" si="10"/>
        <v>0.23700222856394071</v>
      </c>
    </row>
    <row r="369" spans="2:18">
      <c r="B369" s="6" t="s">
        <v>1091</v>
      </c>
      <c r="C369" s="6">
        <v>901</v>
      </c>
      <c r="D369" s="1051">
        <v>1.0946861945972726E-8</v>
      </c>
      <c r="I369" s="1052">
        <f t="shared" si="1"/>
        <v>-4.4851172968846384E-6</v>
      </c>
      <c r="J369" s="1048">
        <f t="shared" si="8"/>
        <v>-2.477711857102511E-6</v>
      </c>
      <c r="K369" s="1048">
        <f t="shared" si="2"/>
        <v>-3.0856689331508127E-6</v>
      </c>
      <c r="L369" s="1048">
        <f t="shared" si="3"/>
        <v>-2.9250764979682424E-6</v>
      </c>
      <c r="M369" s="1048">
        <f t="shared" si="4"/>
        <v>-1.3753594984564403E-5</v>
      </c>
      <c r="N369" s="1048">
        <f t="shared" si="9"/>
        <v>-3.2692031447880358E-6</v>
      </c>
      <c r="O369" s="1048">
        <f t="shared" si="5"/>
        <v>-6.8825329363958645E-7</v>
      </c>
      <c r="P369" s="1048">
        <f t="shared" si="6"/>
        <v>-6.0336872075737075E-6</v>
      </c>
      <c r="Q369" s="1048">
        <f t="shared" si="7"/>
        <v>-3.0397853802415069E-6</v>
      </c>
      <c r="R369" s="127">
        <f t="shared" si="10"/>
        <v>-3.5272981299028808E-5</v>
      </c>
    </row>
    <row r="370" spans="2:18">
      <c r="B370" s="6" t="s">
        <v>1091</v>
      </c>
      <c r="C370" s="6">
        <v>902</v>
      </c>
      <c r="D370" s="1051">
        <v>0</v>
      </c>
      <c r="I370" s="1052">
        <f t="shared" si="1"/>
        <v>0</v>
      </c>
      <c r="J370" s="1048">
        <f t="shared" si="8"/>
        <v>0</v>
      </c>
      <c r="K370" s="1048">
        <f t="shared" si="2"/>
        <v>0</v>
      </c>
      <c r="L370" s="1048">
        <f t="shared" si="3"/>
        <v>0</v>
      </c>
      <c r="M370" s="1048">
        <f t="shared" si="4"/>
        <v>0</v>
      </c>
      <c r="N370" s="1048">
        <f t="shared" si="9"/>
        <v>0</v>
      </c>
      <c r="O370" s="1048">
        <f t="shared" si="5"/>
        <v>0</v>
      </c>
      <c r="P370" s="1048">
        <f t="shared" si="6"/>
        <v>0</v>
      </c>
      <c r="Q370" s="1048">
        <f t="shared" si="7"/>
        <v>0</v>
      </c>
      <c r="R370" s="127">
        <f t="shared" si="10"/>
        <v>0</v>
      </c>
    </row>
    <row r="371" spans="2:18">
      <c r="B371" s="6" t="s">
        <v>1091</v>
      </c>
      <c r="C371" s="6">
        <v>903</v>
      </c>
      <c r="D371" s="1051">
        <v>5.76617328780702E-2</v>
      </c>
      <c r="I371" s="1052">
        <f t="shared" si="1"/>
        <v>-23.625002012098879</v>
      </c>
      <c r="J371" s="1048">
        <f t="shared" si="8"/>
        <v>-13.051152006683779</v>
      </c>
      <c r="K371" s="1048">
        <f t="shared" si="2"/>
        <v>-16.253518008323784</v>
      </c>
      <c r="L371" s="1048">
        <f t="shared" si="3"/>
        <v>-15.407610007890574</v>
      </c>
      <c r="M371" s="1048">
        <f t="shared" si="4"/>
        <v>-72.44597803710117</v>
      </c>
      <c r="N371" s="1048">
        <f t="shared" si="9"/>
        <v>-17.220270008818876</v>
      </c>
      <c r="O371" s="1048">
        <f t="shared" si="5"/>
        <v>-3.6253200018566054</v>
      </c>
      <c r="P371" s="1048">
        <f t="shared" si="6"/>
        <v>-31.781972016276239</v>
      </c>
      <c r="Q371" s="1048">
        <f t="shared" si="7"/>
        <v>-16.011830008200008</v>
      </c>
      <c r="R371" s="127">
        <f t="shared" si="10"/>
        <v>-185.79765009515103</v>
      </c>
    </row>
    <row r="372" spans="2:18">
      <c r="B372" s="6" t="s">
        <v>1091</v>
      </c>
      <c r="C372" s="6">
        <v>904</v>
      </c>
      <c r="D372" s="1051">
        <v>0</v>
      </c>
      <c r="I372" s="1052">
        <f t="shared" si="1"/>
        <v>0</v>
      </c>
      <c r="J372" s="1048">
        <f t="shared" si="8"/>
        <v>0</v>
      </c>
      <c r="K372" s="1048">
        <f t="shared" si="2"/>
        <v>0</v>
      </c>
      <c r="L372" s="1048">
        <f t="shared" si="3"/>
        <v>0</v>
      </c>
      <c r="M372" s="1048">
        <f t="shared" si="4"/>
        <v>0</v>
      </c>
      <c r="N372" s="1048">
        <f t="shared" si="9"/>
        <v>0</v>
      </c>
      <c r="O372" s="1048">
        <f t="shared" si="5"/>
        <v>0</v>
      </c>
      <c r="P372" s="1048">
        <f t="shared" si="6"/>
        <v>0</v>
      </c>
      <c r="Q372" s="1048">
        <f t="shared" si="7"/>
        <v>0</v>
      </c>
      <c r="R372" s="127">
        <f t="shared" si="10"/>
        <v>0</v>
      </c>
    </row>
    <row r="373" spans="2:18">
      <c r="B373" s="6" t="s">
        <v>1091</v>
      </c>
      <c r="C373" s="6">
        <v>905</v>
      </c>
      <c r="D373" s="1051">
        <v>0</v>
      </c>
      <c r="I373" s="1052">
        <f t="shared" si="1"/>
        <v>0</v>
      </c>
      <c r="J373" s="1048">
        <f t="shared" si="8"/>
        <v>0</v>
      </c>
      <c r="K373" s="1048">
        <f t="shared" si="2"/>
        <v>0</v>
      </c>
      <c r="L373" s="1048">
        <f t="shared" si="3"/>
        <v>0</v>
      </c>
      <c r="M373" s="1048">
        <f t="shared" si="4"/>
        <v>0</v>
      </c>
      <c r="N373" s="1048">
        <f t="shared" si="9"/>
        <v>0</v>
      </c>
      <c r="O373" s="1048">
        <f t="shared" si="5"/>
        <v>0</v>
      </c>
      <c r="P373" s="1048">
        <f t="shared" si="6"/>
        <v>0</v>
      </c>
      <c r="Q373" s="1048">
        <f t="shared" si="7"/>
        <v>0</v>
      </c>
      <c r="R373" s="127">
        <f t="shared" si="10"/>
        <v>0</v>
      </c>
    </row>
    <row r="374" spans="2:18">
      <c r="B374" s="6" t="s">
        <v>1091</v>
      </c>
      <c r="C374" s="6">
        <v>907</v>
      </c>
      <c r="D374" s="1051">
        <v>0</v>
      </c>
      <c r="I374" s="1052">
        <f t="shared" si="1"/>
        <v>0</v>
      </c>
      <c r="J374" s="1048">
        <f t="shared" si="8"/>
        <v>0</v>
      </c>
      <c r="K374" s="1048">
        <f t="shared" si="2"/>
        <v>0</v>
      </c>
      <c r="L374" s="1048">
        <f t="shared" si="3"/>
        <v>0</v>
      </c>
      <c r="M374" s="1048">
        <f t="shared" si="4"/>
        <v>0</v>
      </c>
      <c r="N374" s="1048">
        <f t="shared" si="9"/>
        <v>0</v>
      </c>
      <c r="O374" s="1048">
        <f t="shared" si="5"/>
        <v>0</v>
      </c>
      <c r="P374" s="1048">
        <f t="shared" si="6"/>
        <v>0</v>
      </c>
      <c r="Q374" s="1048">
        <f t="shared" si="7"/>
        <v>0</v>
      </c>
      <c r="R374" s="127">
        <f t="shared" si="10"/>
        <v>0</v>
      </c>
    </row>
    <row r="375" spans="2:18">
      <c r="B375" s="6" t="s">
        <v>1091</v>
      </c>
      <c r="C375" s="6">
        <v>908</v>
      </c>
      <c r="D375" s="1051">
        <v>-6.8655862422024602E-6</v>
      </c>
      <c r="I375" s="1052">
        <f t="shared" si="1"/>
        <v>2.8129485655461264E-3</v>
      </c>
      <c r="J375" s="1048">
        <f t="shared" si="8"/>
        <v>1.5539562408132055E-3</v>
      </c>
      <c r="K375" s="1048">
        <f t="shared" si="2"/>
        <v>1.9352510591608904E-3</v>
      </c>
      <c r="L375" s="1048">
        <f t="shared" si="3"/>
        <v>1.8345316731822566E-3</v>
      </c>
      <c r="M375" s="1048">
        <f t="shared" si="4"/>
        <v>8.6258959848844151E-3</v>
      </c>
      <c r="N375" s="1048">
        <f t="shared" si="9"/>
        <v>2.0503589288507575E-3</v>
      </c>
      <c r="O375" s="1048">
        <f t="shared" si="5"/>
        <v>4.3165451133700156E-4</v>
      </c>
      <c r="P375" s="1048">
        <f t="shared" si="6"/>
        <v>3.7841712160543799E-3</v>
      </c>
      <c r="Q375" s="1048">
        <f t="shared" si="7"/>
        <v>1.9064740917384235E-3</v>
      </c>
      <c r="R375" s="127">
        <f t="shared" si="10"/>
        <v>2.2122293706021329E-2</v>
      </c>
    </row>
    <row r="376" spans="2:18">
      <c r="B376" s="6" t="s">
        <v>1091</v>
      </c>
      <c r="C376" s="6">
        <v>909</v>
      </c>
      <c r="D376" s="1051">
        <v>0</v>
      </c>
      <c r="I376" s="1052">
        <f t="shared" si="1"/>
        <v>0</v>
      </c>
      <c r="J376" s="1048">
        <f t="shared" si="8"/>
        <v>0</v>
      </c>
      <c r="K376" s="1048">
        <f t="shared" si="2"/>
        <v>0</v>
      </c>
      <c r="L376" s="1048">
        <f t="shared" si="3"/>
        <v>0</v>
      </c>
      <c r="M376" s="1048">
        <f t="shared" si="4"/>
        <v>0</v>
      </c>
      <c r="N376" s="1048">
        <f t="shared" si="9"/>
        <v>0</v>
      </c>
      <c r="O376" s="1048">
        <f t="shared" si="5"/>
        <v>0</v>
      </c>
      <c r="P376" s="1048">
        <f t="shared" si="6"/>
        <v>0</v>
      </c>
      <c r="Q376" s="1048">
        <f t="shared" si="7"/>
        <v>0</v>
      </c>
      <c r="R376" s="127">
        <f t="shared" si="10"/>
        <v>0</v>
      </c>
    </row>
    <row r="377" spans="2:18">
      <c r="B377" s="6" t="s">
        <v>1091</v>
      </c>
      <c r="C377" s="6">
        <v>910</v>
      </c>
      <c r="D377" s="1051">
        <v>1.4702181984637632E-2</v>
      </c>
      <c r="I377" s="1052">
        <f t="shared" si="1"/>
        <v>-6.0237363955707144</v>
      </c>
      <c r="J377" s="1048">
        <f t="shared" si="8"/>
        <v>-3.3276906942283229</v>
      </c>
      <c r="K377" s="1048">
        <f t="shared" si="2"/>
        <v>-4.1442073923491618</v>
      </c>
      <c r="L377" s="1048">
        <f t="shared" si="3"/>
        <v>-3.9285237362417704</v>
      </c>
      <c r="M377" s="1048">
        <f t="shared" si="4"/>
        <v>-18.471764548054441</v>
      </c>
      <c r="N377" s="1048">
        <f t="shared" si="9"/>
        <v>-4.3907029993290374</v>
      </c>
      <c r="O377" s="1048">
        <f t="shared" si="5"/>
        <v>-0.92435852617453418</v>
      </c>
      <c r="P377" s="1048">
        <f t="shared" si="6"/>
        <v>-8.1035430794634156</v>
      </c>
      <c r="Q377" s="1048">
        <f t="shared" si="7"/>
        <v>-4.0825834906041925</v>
      </c>
      <c r="R377" s="127">
        <f t="shared" si="10"/>
        <v>-47.373374466444879</v>
      </c>
    </row>
    <row r="378" spans="2:18">
      <c r="B378" s="6" t="s">
        <v>1091</v>
      </c>
      <c r="C378" s="6">
        <v>911</v>
      </c>
      <c r="D378" s="1051">
        <v>0</v>
      </c>
      <c r="I378" s="1052">
        <f t="shared" si="1"/>
        <v>0</v>
      </c>
      <c r="J378" s="1048">
        <f t="shared" si="8"/>
        <v>0</v>
      </c>
      <c r="K378" s="1048">
        <f t="shared" si="2"/>
        <v>0</v>
      </c>
      <c r="L378" s="1048">
        <f t="shared" si="3"/>
        <v>0</v>
      </c>
      <c r="M378" s="1048">
        <f t="shared" si="4"/>
        <v>0</v>
      </c>
      <c r="N378" s="1048">
        <f t="shared" si="9"/>
        <v>0</v>
      </c>
      <c r="O378" s="1048">
        <f t="shared" si="5"/>
        <v>0</v>
      </c>
      <c r="P378" s="1048">
        <f t="shared" si="6"/>
        <v>0</v>
      </c>
      <c r="Q378" s="1048">
        <f t="shared" si="7"/>
        <v>0</v>
      </c>
      <c r="R378" s="127">
        <f t="shared" si="10"/>
        <v>0</v>
      </c>
    </row>
    <row r="379" spans="2:18">
      <c r="B379" s="6" t="s">
        <v>1091</v>
      </c>
      <c r="C379" s="6">
        <v>912</v>
      </c>
      <c r="D379" s="1051">
        <v>2.3551031195513791E-4</v>
      </c>
      <c r="I379" s="1052">
        <f t="shared" si="1"/>
        <v>-9.6492618520076276E-2</v>
      </c>
      <c r="J379" s="1048">
        <f t="shared" si="8"/>
        <v>-5.3305385167100962E-2</v>
      </c>
      <c r="K379" s="1048">
        <f t="shared" si="2"/>
        <v>-6.6384947268287781E-2</v>
      </c>
      <c r="L379" s="1048">
        <f t="shared" si="3"/>
        <v>-6.2929968600049749E-2</v>
      </c>
      <c r="M379" s="1048">
        <f t="shared" si="4"/>
        <v>-0.29589424451552804</v>
      </c>
      <c r="N379" s="1048">
        <f t="shared" si="9"/>
        <v>-7.0333494317702666E-2</v>
      </c>
      <c r="O379" s="1048">
        <f t="shared" si="5"/>
        <v>-1.4807051435305823E-2</v>
      </c>
      <c r="P379" s="1048">
        <f t="shared" si="6"/>
        <v>-0.12980848424951438</v>
      </c>
      <c r="Q379" s="1048">
        <f t="shared" si="7"/>
        <v>-6.5397810505934059E-2</v>
      </c>
      <c r="R379" s="127">
        <f t="shared" si="10"/>
        <v>-0.75886138605942344</v>
      </c>
    </row>
    <row r="380" spans="2:18">
      <c r="B380" s="6" t="s">
        <v>1091</v>
      </c>
      <c r="C380" s="6">
        <v>913</v>
      </c>
      <c r="D380" s="1051">
        <v>3.8632665683636231E-4</v>
      </c>
      <c r="I380" s="1052">
        <f t="shared" si="1"/>
        <v>-0.15828466453455553</v>
      </c>
      <c r="J380" s="1048">
        <f t="shared" si="8"/>
        <v>-8.7441144602209697E-2</v>
      </c>
      <c r="K380" s="1048">
        <f t="shared" si="2"/>
        <v>-0.10889661063886302</v>
      </c>
      <c r="L380" s="1048">
        <f t="shared" si="3"/>
        <v>-0.10322912904427535</v>
      </c>
      <c r="M380" s="1048">
        <f t="shared" si="4"/>
        <v>-0.48537931656504368</v>
      </c>
      <c r="N380" s="1048">
        <f t="shared" si="9"/>
        <v>-0.11537373246124892</v>
      </c>
      <c r="O380" s="1048">
        <f t="shared" si="5"/>
        <v>-2.4289206833947141E-2</v>
      </c>
      <c r="P380" s="1048">
        <f t="shared" si="6"/>
        <v>-0.21293537991093658</v>
      </c>
      <c r="Q380" s="1048">
        <f t="shared" si="7"/>
        <v>-0.10727733018326654</v>
      </c>
      <c r="R380" s="127">
        <f t="shared" si="10"/>
        <v>-1.244821850239791</v>
      </c>
    </row>
    <row r="381" spans="2:18">
      <c r="B381" s="6" t="s">
        <v>1091</v>
      </c>
      <c r="C381" s="6">
        <v>920</v>
      </c>
      <c r="D381" s="1051">
        <v>0.32677547464459444</v>
      </c>
      <c r="I381" s="1052">
        <f t="shared" si="1"/>
        <v>-133.88552269678999</v>
      </c>
      <c r="J381" s="1048">
        <f t="shared" si="8"/>
        <v>-73.962334789019536</v>
      </c>
      <c r="K381" s="1048">
        <f t="shared" si="2"/>
        <v>-92.110500269658601</v>
      </c>
      <c r="L381" s="1048">
        <f t="shared" si="3"/>
        <v>-87.316645237036965</v>
      </c>
      <c r="M381" s="1048">
        <f t="shared" si="4"/>
        <v>-410.55944172238162</v>
      </c>
      <c r="N381" s="1048">
        <f t="shared" si="9"/>
        <v>-97.589191735511903</v>
      </c>
      <c r="O381" s="1048">
        <f t="shared" si="5"/>
        <v>-20.545092996949872</v>
      </c>
      <c r="P381" s="1048">
        <f t="shared" si="6"/>
        <v>-180.1119819399272</v>
      </c>
      <c r="Q381" s="1048">
        <f t="shared" si="7"/>
        <v>-90.740827403195269</v>
      </c>
      <c r="R381" s="127">
        <f t="shared" si="10"/>
        <v>-1052.936016093681</v>
      </c>
    </row>
    <row r="382" spans="2:18">
      <c r="B382" s="6" t="s">
        <v>1091</v>
      </c>
      <c r="C382" s="6">
        <v>921</v>
      </c>
      <c r="D382" s="1051">
        <v>2.033320255434666E-2</v>
      </c>
      <c r="I382" s="1052">
        <f t="shared" si="1"/>
        <v>-8.3308622076036851</v>
      </c>
      <c r="J382" s="1048">
        <f t="shared" si="8"/>
        <v>-4.6022154394946186</v>
      </c>
      <c r="K382" s="1048">
        <f t="shared" si="2"/>
        <v>-5.7314627464076509</v>
      </c>
      <c r="L382" s="1048">
        <f t="shared" si="3"/>
        <v>-5.4331710049589255</v>
      </c>
      <c r="M382" s="1048">
        <f t="shared" si="4"/>
        <v>-25.54655699978726</v>
      </c>
      <c r="N382" s="1048">
        <f t="shared" si="9"/>
        <v>-6.0723675937776225</v>
      </c>
      <c r="O382" s="1048">
        <f t="shared" si="5"/>
        <v>-1.2783931776373942</v>
      </c>
      <c r="P382" s="1048">
        <f t="shared" si="6"/>
        <v>-11.207246857287821</v>
      </c>
      <c r="Q382" s="1048">
        <f t="shared" si="7"/>
        <v>-5.6462365345651584</v>
      </c>
      <c r="R382" s="127">
        <f t="shared" si="10"/>
        <v>-65.517650353916451</v>
      </c>
    </row>
    <row r="383" spans="2:18">
      <c r="B383" s="6" t="s">
        <v>1091</v>
      </c>
      <c r="C383" s="6">
        <v>923</v>
      </c>
      <c r="D383" s="1051">
        <v>0.29298017347247479</v>
      </c>
      <c r="I383" s="1052">
        <f t="shared" si="1"/>
        <v>-120.03900754125145</v>
      </c>
      <c r="J383" s="1048">
        <f t="shared" si="8"/>
        <v>-66.313109025346066</v>
      </c>
      <c r="K383" s="1048">
        <f t="shared" si="2"/>
        <v>-82.58438114730599</v>
      </c>
      <c r="L383" s="1048">
        <f t="shared" si="3"/>
        <v>-78.286309266033555</v>
      </c>
      <c r="M383" s="1048">
        <f t="shared" si="4"/>
        <v>-368.09915611754599</v>
      </c>
      <c r="N383" s="1048">
        <f t="shared" si="9"/>
        <v>-87.49646329733163</v>
      </c>
      <c r="O383" s="1048">
        <f t="shared" si="5"/>
        <v>-18.420308062596131</v>
      </c>
      <c r="P383" s="1048">
        <f t="shared" si="6"/>
        <v>-161.48470068209275</v>
      </c>
      <c r="Q383" s="1048">
        <f t="shared" si="7"/>
        <v>-81.35636060979958</v>
      </c>
      <c r="R383" s="127">
        <f t="shared" si="10"/>
        <v>-944.04078820805171</v>
      </c>
    </row>
    <row r="384" spans="2:18">
      <c r="B384" s="6" t="s">
        <v>1091</v>
      </c>
      <c r="C384" s="6">
        <v>924</v>
      </c>
      <c r="D384" s="1051">
        <v>9.8643124896199012E-5</v>
      </c>
      <c r="I384" s="1052">
        <f t="shared" si="1"/>
        <v>-4.0415781972427206E-2</v>
      </c>
      <c r="J384" s="1048">
        <f t="shared" si="8"/>
        <v>-2.2326876997555693E-2</v>
      </c>
      <c r="K384" s="1048">
        <f t="shared" si="2"/>
        <v>-2.7805231075659641E-2</v>
      </c>
      <c r="L384" s="1048">
        <f t="shared" si="3"/>
        <v>-2.6358118677669917E-2</v>
      </c>
      <c r="M384" s="1048">
        <f t="shared" si="4"/>
        <v>-0.12393484037069109</v>
      </c>
      <c r="N384" s="1048">
        <f t="shared" si="9"/>
        <v>-2.945907381621932E-2</v>
      </c>
      <c r="O384" s="1048">
        <f t="shared" si="5"/>
        <v>-6.2019102770988046E-3</v>
      </c>
      <c r="P384" s="1048">
        <f t="shared" si="6"/>
        <v>-5.4370080095899512E-2</v>
      </c>
      <c r="Q384" s="1048">
        <f t="shared" si="7"/>
        <v>-2.739177039051972E-2</v>
      </c>
      <c r="R384" s="127">
        <f t="shared" si="10"/>
        <v>-0.31784790170131366</v>
      </c>
    </row>
    <row r="385" spans="2:18">
      <c r="B385" s="6" t="s">
        <v>1091</v>
      </c>
      <c r="C385" s="6">
        <v>925</v>
      </c>
      <c r="D385" s="1051">
        <v>2.7978979738597434E-3</v>
      </c>
      <c r="I385" s="1052">
        <f t="shared" si="1"/>
        <v>-1.1463468397985481</v>
      </c>
      <c r="J385" s="1048">
        <f t="shared" si="8"/>
        <v>-0.63327600357157643</v>
      </c>
      <c r="K385" s="1048">
        <f t="shared" si="2"/>
        <v>-0.78866317111460227</v>
      </c>
      <c r="L385" s="1048">
        <f t="shared" si="3"/>
        <v>-0.74761750421644446</v>
      </c>
      <c r="M385" s="1048">
        <f t="shared" si="4"/>
        <v>-3.5152681864922228</v>
      </c>
      <c r="N385" s="1048">
        <f t="shared" si="9"/>
        <v>-0.83557250471249678</v>
      </c>
      <c r="O385" s="1048">
        <f t="shared" si="5"/>
        <v>-0.17591000099210458</v>
      </c>
      <c r="P385" s="1048">
        <f t="shared" si="6"/>
        <v>-1.5421443420307832</v>
      </c>
      <c r="Q385" s="1048">
        <f t="shared" si="7"/>
        <v>-0.77693583771512853</v>
      </c>
      <c r="R385" s="127">
        <f t="shared" si="10"/>
        <v>-9.0153875508453591</v>
      </c>
    </row>
    <row r="386" spans="2:18">
      <c r="B386" s="6" t="s">
        <v>1091</v>
      </c>
      <c r="C386" s="6">
        <v>926</v>
      </c>
      <c r="D386" s="1051">
        <v>8.8156102544535084E-2</v>
      </c>
      <c r="I386" s="1052">
        <f t="shared" si="1"/>
        <v>-36.119068852776714</v>
      </c>
      <c r="J386" s="1048">
        <f t="shared" si="8"/>
        <v>-19.953245197441866</v>
      </c>
      <c r="K386" s="1048">
        <f t="shared" si="2"/>
        <v>-24.849180361628996</v>
      </c>
      <c r="L386" s="1048">
        <f t="shared" si="3"/>
        <v>-23.555914469202207</v>
      </c>
      <c r="M386" s="1048">
        <f t="shared" si="4"/>
        <v>-110.75898607283703</v>
      </c>
      <c r="N386" s="1048">
        <f t="shared" si="9"/>
        <v>-26.327198524402469</v>
      </c>
      <c r="O386" s="1048">
        <f t="shared" si="5"/>
        <v>-5.5425681104005191</v>
      </c>
      <c r="P386" s="1048">
        <f t="shared" si="6"/>
        <v>-48.589847101177881</v>
      </c>
      <c r="Q386" s="1048">
        <f t="shared" si="7"/>
        <v>-24.479675820935626</v>
      </c>
      <c r="R386" s="127">
        <f t="shared" si="10"/>
        <v>-284.05661565802654</v>
      </c>
    </row>
    <row r="387" spans="2:18">
      <c r="B387" s="6" t="s">
        <v>1091</v>
      </c>
      <c r="C387" s="6">
        <v>928</v>
      </c>
      <c r="D387" s="1051">
        <v>1.5358923260719128E-6</v>
      </c>
      <c r="I387" s="1052">
        <f t="shared" si="1"/>
        <v>-6.2928145726290135E-4</v>
      </c>
      <c r="J387" s="1048">
        <f t="shared" si="8"/>
        <v>-3.4763374621173067E-4</v>
      </c>
      <c r="K387" s="1048">
        <f t="shared" si="2"/>
        <v>-4.3293276727294241E-4</v>
      </c>
      <c r="L387" s="1048">
        <f t="shared" si="3"/>
        <v>-4.1040095038884873E-4</v>
      </c>
      <c r="M387" s="1048">
        <f t="shared" si="4"/>
        <v>-1.9296891745734495E-3</v>
      </c>
      <c r="N387" s="1048">
        <f t="shared" si="9"/>
        <v>-4.5868341514047802E-4</v>
      </c>
      <c r="O387" s="1048">
        <f t="shared" si="5"/>
        <v>-9.6564929503258521E-5</v>
      </c>
      <c r="P387" s="1048">
        <f t="shared" si="6"/>
        <v>-8.4655254864523296E-4</v>
      </c>
      <c r="Q387" s="1048">
        <f t="shared" si="7"/>
        <v>-4.2649510530605851E-4</v>
      </c>
      <c r="R387" s="127">
        <f t="shared" si="10"/>
        <v>-4.9489526370419994E-3</v>
      </c>
    </row>
    <row r="388" spans="2:18">
      <c r="B388" s="6" t="s">
        <v>1091</v>
      </c>
      <c r="C388" s="6">
        <v>9301</v>
      </c>
      <c r="D388" s="1051">
        <v>1.1687302928493127E-3</v>
      </c>
      <c r="I388" s="1052">
        <f t="shared" si="1"/>
        <v>-0.47884886807949167</v>
      </c>
      <c r="J388" s="1048">
        <f t="shared" si="8"/>
        <v>-0.26453032098509</v>
      </c>
      <c r="K388" s="1048">
        <f t="shared" si="2"/>
        <v>-0.32943822381939458</v>
      </c>
      <c r="L388" s="1048">
        <f t="shared" si="3"/>
        <v>-0.31229274005184243</v>
      </c>
      <c r="M388" s="1048">
        <f t="shared" si="4"/>
        <v>-1.4683882169496432</v>
      </c>
      <c r="N388" s="1048">
        <f t="shared" si="9"/>
        <v>-0.34903306241088272</v>
      </c>
      <c r="O388" s="1048">
        <f t="shared" si="5"/>
        <v>-7.3480644718080565E-2</v>
      </c>
      <c r="P388" s="1048">
        <f t="shared" si="6"/>
        <v>-0.64418031869517289</v>
      </c>
      <c r="Q388" s="1048">
        <f t="shared" si="7"/>
        <v>-0.32453951417152249</v>
      </c>
      <c r="R388" s="127">
        <f t="shared" si="10"/>
        <v>-3.7658830418016285</v>
      </c>
    </row>
    <row r="389" spans="2:18">
      <c r="B389" s="6" t="s">
        <v>1091</v>
      </c>
      <c r="C389" s="6">
        <v>9302</v>
      </c>
      <c r="D389" s="1051">
        <v>1.3983031220750587E-3</v>
      </c>
      <c r="I389" s="1053">
        <f>+$D389*$I$4-2</f>
        <v>-2.5729087979787577</v>
      </c>
      <c r="J389" s="1048">
        <f t="shared" si="8"/>
        <v>-0.31649181678621902</v>
      </c>
      <c r="K389" s="1048">
        <f t="shared" si="2"/>
        <v>-0.39414953109024503</v>
      </c>
      <c r="L389" s="1048">
        <f t="shared" si="3"/>
        <v>-0.37363617259484194</v>
      </c>
      <c r="M389" s="1048">
        <f t="shared" si="4"/>
        <v>-1.7568226311420214</v>
      </c>
      <c r="N389" s="1048">
        <f t="shared" si="9"/>
        <v>-0.41759336937070568</v>
      </c>
      <c r="O389" s="1048">
        <f t="shared" si="5"/>
        <v>-8.7914393551727518E-2</v>
      </c>
      <c r="P389" s="1048">
        <f t="shared" si="6"/>
        <v>-0.77071618347014448</v>
      </c>
      <c r="Q389" s="1048">
        <f t="shared" si="7"/>
        <v>-0.38828857152012985</v>
      </c>
      <c r="R389" s="127">
        <f t="shared" si="10"/>
        <v>-4.5056126695260348</v>
      </c>
    </row>
    <row r="390" spans="2:18">
      <c r="B390" s="6" t="s">
        <v>1091</v>
      </c>
      <c r="C390" s="6">
        <v>931</v>
      </c>
      <c r="D390" s="1051">
        <v>3.1440124756188209E-2</v>
      </c>
      <c r="I390" s="1052">
        <f>+$D390*$I$4</f>
        <v>-12.881558939552374</v>
      </c>
      <c r="J390" s="1048">
        <f t="shared" si="8"/>
        <v>-7.1161553221056586</v>
      </c>
      <c r="K390" s="1048">
        <f t="shared" si="2"/>
        <v>-8.8622489891038079</v>
      </c>
      <c r="L390" s="1048">
        <f t="shared" si="3"/>
        <v>-8.4010166997080695</v>
      </c>
      <c r="M390" s="1048">
        <f t="shared" si="4"/>
        <v>-39.501251070392065</v>
      </c>
      <c r="N390" s="1048">
        <f t="shared" si="9"/>
        <v>-9.3893716055560787</v>
      </c>
      <c r="O390" s="1048">
        <f t="shared" si="5"/>
        <v>-1.9767098116960165</v>
      </c>
      <c r="P390" s="1048">
        <f t="shared" si="6"/>
        <v>-17.32915601586841</v>
      </c>
      <c r="Q390" s="1048">
        <f t="shared" si="7"/>
        <v>-8.7304683349907393</v>
      </c>
      <c r="R390" s="127">
        <f t="shared" si="10"/>
        <v>-101.30637784942084</v>
      </c>
    </row>
    <row r="391" spans="2:18">
      <c r="B391" s="6" t="s">
        <v>1091</v>
      </c>
      <c r="C391" s="6">
        <v>932</v>
      </c>
      <c r="D391" s="1051">
        <v>8.5590361811221344E-2</v>
      </c>
      <c r="I391" s="1052">
        <f>+$D391*$I$4</f>
        <v>-35.067840820569685</v>
      </c>
      <c r="J391" s="1048">
        <f t="shared" si="8"/>
        <v>-19.372515645122895</v>
      </c>
      <c r="K391" s="1048">
        <f t="shared" si="2"/>
        <v>-24.125956983972497</v>
      </c>
      <c r="L391" s="1048">
        <f t="shared" si="3"/>
        <v>-22.870330969936752</v>
      </c>
      <c r="M391" s="1048">
        <f t="shared" si="4"/>
        <v>-107.53539934491829</v>
      </c>
      <c r="N391" s="1048">
        <f t="shared" si="9"/>
        <v>-25.56095814287049</v>
      </c>
      <c r="O391" s="1048">
        <f t="shared" si="5"/>
        <v>-5.3812543458674709</v>
      </c>
      <c r="P391" s="1048">
        <f t="shared" si="6"/>
        <v>-47.175663098771494</v>
      </c>
      <c r="Q391" s="1048">
        <f t="shared" si="7"/>
        <v>-23.767206694247999</v>
      </c>
      <c r="R391" s="127">
        <f t="shared" si="10"/>
        <v>-275.78928522570783</v>
      </c>
    </row>
    <row r="392" spans="2:18">
      <c r="B392" s="6" t="s">
        <v>1091</v>
      </c>
      <c r="C392" s="6">
        <v>935</v>
      </c>
      <c r="D392" s="1051">
        <v>0</v>
      </c>
      <c r="I392" s="1052">
        <f>+$D392*$I$4</f>
        <v>0</v>
      </c>
      <c r="J392" s="1048">
        <f t="shared" si="8"/>
        <v>0</v>
      </c>
      <c r="K392" s="1048">
        <f t="shared" si="2"/>
        <v>0</v>
      </c>
      <c r="L392" s="1048">
        <f t="shared" si="3"/>
        <v>0</v>
      </c>
      <c r="M392" s="1048">
        <f t="shared" si="4"/>
        <v>0</v>
      </c>
      <c r="N392" s="1048">
        <f t="shared" si="9"/>
        <v>0</v>
      </c>
      <c r="O392" s="1048">
        <f t="shared" si="5"/>
        <v>0</v>
      </c>
      <c r="P392" s="1048">
        <f t="shared" si="6"/>
        <v>0</v>
      </c>
      <c r="Q392" s="1048">
        <f t="shared" si="7"/>
        <v>0</v>
      </c>
      <c r="R392" s="127">
        <f t="shared" si="10"/>
        <v>0</v>
      </c>
    </row>
    <row r="393" spans="2:18">
      <c r="B393" s="6" t="s">
        <v>1092</v>
      </c>
      <c r="C393" s="6">
        <v>801</v>
      </c>
      <c r="D393" s="1051">
        <v>0</v>
      </c>
      <c r="E393" s="28">
        <f>+$E$4*D393</f>
        <v>0</v>
      </c>
      <c r="F393" s="28"/>
      <c r="H393" s="127">
        <f>SUBTOTAL(9,E393:G393)</f>
        <v>0</v>
      </c>
    </row>
    <row r="394" spans="2:18">
      <c r="B394" s="6" t="s">
        <v>1092</v>
      </c>
      <c r="C394" s="6">
        <v>803</v>
      </c>
      <c r="D394" s="1051">
        <v>0</v>
      </c>
      <c r="E394" s="28">
        <f t="shared" ref="E394:E440" si="11">+$E$4*D394</f>
        <v>0</v>
      </c>
      <c r="F394" s="28"/>
      <c r="H394" s="127">
        <f t="shared" ref="H394:H457" si="12">SUBTOTAL(9,E394:G394)</f>
        <v>0</v>
      </c>
    </row>
    <row r="395" spans="2:18">
      <c r="B395" s="6" t="s">
        <v>1092</v>
      </c>
      <c r="C395" s="6">
        <v>804</v>
      </c>
      <c r="D395" s="1051">
        <v>0</v>
      </c>
      <c r="E395" s="28">
        <f t="shared" si="11"/>
        <v>0</v>
      </c>
      <c r="F395" s="28"/>
      <c r="H395" s="127">
        <f t="shared" si="12"/>
        <v>0</v>
      </c>
    </row>
    <row r="396" spans="2:18">
      <c r="B396" s="6" t="s">
        <v>1092</v>
      </c>
      <c r="C396" s="6">
        <v>805</v>
      </c>
      <c r="D396" s="1051">
        <v>0</v>
      </c>
      <c r="E396" s="28">
        <f t="shared" si="11"/>
        <v>0</v>
      </c>
      <c r="F396" s="28"/>
      <c r="H396" s="127">
        <f t="shared" si="12"/>
        <v>0</v>
      </c>
    </row>
    <row r="397" spans="2:18">
      <c r="B397" s="6" t="s">
        <v>1092</v>
      </c>
      <c r="C397" s="6">
        <v>806</v>
      </c>
      <c r="D397" s="1051">
        <v>0</v>
      </c>
      <c r="E397" s="28">
        <f t="shared" si="11"/>
        <v>0</v>
      </c>
      <c r="F397" s="28"/>
      <c r="H397" s="127">
        <f t="shared" si="12"/>
        <v>0</v>
      </c>
    </row>
    <row r="398" spans="2:18">
      <c r="B398" s="6" t="s">
        <v>1092</v>
      </c>
      <c r="C398" s="6">
        <v>807</v>
      </c>
      <c r="D398" s="1051">
        <v>0</v>
      </c>
      <c r="E398" s="28">
        <f t="shared" si="11"/>
        <v>0</v>
      </c>
      <c r="F398" s="28"/>
      <c r="H398" s="127">
        <f t="shared" si="12"/>
        <v>0</v>
      </c>
    </row>
    <row r="399" spans="2:18">
      <c r="B399" s="6" t="s">
        <v>1092</v>
      </c>
      <c r="C399" s="6">
        <v>808</v>
      </c>
      <c r="D399" s="1051">
        <v>0</v>
      </c>
      <c r="E399" s="28">
        <f t="shared" si="11"/>
        <v>0</v>
      </c>
      <c r="F399" s="28"/>
      <c r="H399" s="127">
        <f t="shared" si="12"/>
        <v>0</v>
      </c>
    </row>
    <row r="400" spans="2:18">
      <c r="B400" s="6" t="s">
        <v>1092</v>
      </c>
      <c r="C400" s="6">
        <v>812</v>
      </c>
      <c r="D400" s="1051">
        <v>0</v>
      </c>
      <c r="E400" s="28">
        <f t="shared" si="11"/>
        <v>0</v>
      </c>
      <c r="F400" s="28"/>
      <c r="H400" s="127">
        <f t="shared" si="12"/>
        <v>0</v>
      </c>
    </row>
    <row r="401" spans="2:8">
      <c r="B401" s="6" t="s">
        <v>1092</v>
      </c>
      <c r="C401" s="6">
        <v>870</v>
      </c>
      <c r="D401" s="1051">
        <v>0</v>
      </c>
      <c r="E401" s="28">
        <f t="shared" si="11"/>
        <v>0</v>
      </c>
      <c r="F401" s="28"/>
      <c r="H401" s="127">
        <f t="shared" si="12"/>
        <v>0</v>
      </c>
    </row>
    <row r="402" spans="2:8">
      <c r="B402" s="6" t="s">
        <v>1092</v>
      </c>
      <c r="C402" s="6">
        <v>871</v>
      </c>
      <c r="D402" s="1051">
        <v>0</v>
      </c>
      <c r="E402" s="28">
        <f t="shared" si="11"/>
        <v>0</v>
      </c>
      <c r="F402" s="28"/>
      <c r="H402" s="127">
        <f t="shared" si="12"/>
        <v>0</v>
      </c>
    </row>
    <row r="403" spans="2:8">
      <c r="B403" s="6" t="s">
        <v>1092</v>
      </c>
      <c r="C403" s="6">
        <v>874</v>
      </c>
      <c r="D403" s="1051">
        <v>0</v>
      </c>
      <c r="E403" s="28">
        <f t="shared" si="11"/>
        <v>0</v>
      </c>
      <c r="F403" s="28"/>
      <c r="H403" s="127">
        <f t="shared" si="12"/>
        <v>0</v>
      </c>
    </row>
    <row r="404" spans="2:8">
      <c r="B404" s="6" t="s">
        <v>1092</v>
      </c>
      <c r="C404" s="6">
        <v>875</v>
      </c>
      <c r="D404" s="1051">
        <v>0</v>
      </c>
      <c r="E404" s="28">
        <f t="shared" si="11"/>
        <v>0</v>
      </c>
      <c r="F404" s="28"/>
      <c r="H404" s="127">
        <f t="shared" si="12"/>
        <v>0</v>
      </c>
    </row>
    <row r="405" spans="2:8">
      <c r="B405" s="6" t="s">
        <v>1092</v>
      </c>
      <c r="C405" s="6">
        <v>876</v>
      </c>
      <c r="D405" s="1051">
        <v>0</v>
      </c>
      <c r="E405" s="28">
        <f t="shared" si="11"/>
        <v>0</v>
      </c>
      <c r="F405" s="28"/>
      <c r="H405" s="127">
        <f t="shared" si="12"/>
        <v>0</v>
      </c>
    </row>
    <row r="406" spans="2:8">
      <c r="B406" s="6" t="s">
        <v>1092</v>
      </c>
      <c r="C406" s="6">
        <v>878</v>
      </c>
      <c r="D406" s="1051">
        <v>0</v>
      </c>
      <c r="E406" s="28">
        <f t="shared" si="11"/>
        <v>0</v>
      </c>
      <c r="F406" s="28"/>
      <c r="H406" s="127">
        <f t="shared" si="12"/>
        <v>0</v>
      </c>
    </row>
    <row r="407" spans="2:8">
      <c r="B407" s="6" t="s">
        <v>1092</v>
      </c>
      <c r="C407" s="6">
        <v>879</v>
      </c>
      <c r="D407" s="1051">
        <v>0</v>
      </c>
      <c r="E407" s="28">
        <f t="shared" si="11"/>
        <v>0</v>
      </c>
      <c r="F407" s="28"/>
      <c r="H407" s="127">
        <f t="shared" si="12"/>
        <v>0</v>
      </c>
    </row>
    <row r="408" spans="2:8">
      <c r="B408" s="6" t="s">
        <v>1092</v>
      </c>
      <c r="C408" s="6">
        <v>880</v>
      </c>
      <c r="D408" s="1051">
        <v>0</v>
      </c>
      <c r="E408" s="28">
        <f t="shared" si="11"/>
        <v>0</v>
      </c>
      <c r="F408" s="28"/>
      <c r="H408" s="127">
        <f t="shared" si="12"/>
        <v>0</v>
      </c>
    </row>
    <row r="409" spans="2:8">
      <c r="B409" s="6" t="s">
        <v>1092</v>
      </c>
      <c r="C409" s="6">
        <v>881</v>
      </c>
      <c r="D409" s="1051">
        <v>0</v>
      </c>
      <c r="E409" s="28">
        <f t="shared" si="11"/>
        <v>0</v>
      </c>
      <c r="F409" s="28"/>
      <c r="H409" s="127">
        <f t="shared" si="12"/>
        <v>0</v>
      </c>
    </row>
    <row r="410" spans="2:8">
      <c r="B410" s="6" t="s">
        <v>1092</v>
      </c>
      <c r="C410" s="6">
        <v>885</v>
      </c>
      <c r="D410" s="1051">
        <v>0</v>
      </c>
      <c r="E410" s="28">
        <f t="shared" si="11"/>
        <v>0</v>
      </c>
      <c r="F410" s="28"/>
      <c r="H410" s="127">
        <f t="shared" si="12"/>
        <v>0</v>
      </c>
    </row>
    <row r="411" spans="2:8">
      <c r="B411" s="6" t="s">
        <v>1092</v>
      </c>
      <c r="C411" s="6">
        <v>886</v>
      </c>
      <c r="D411" s="1051">
        <v>0</v>
      </c>
      <c r="E411" s="28">
        <f t="shared" si="11"/>
        <v>0</v>
      </c>
      <c r="F411" s="28"/>
      <c r="H411" s="127">
        <f t="shared" si="12"/>
        <v>0</v>
      </c>
    </row>
    <row r="412" spans="2:8">
      <c r="B412" s="6" t="s">
        <v>1092</v>
      </c>
      <c r="C412" s="6">
        <v>887</v>
      </c>
      <c r="D412" s="1051">
        <v>0</v>
      </c>
      <c r="E412" s="28">
        <f t="shared" si="11"/>
        <v>0</v>
      </c>
      <c r="F412" s="28"/>
      <c r="H412" s="127">
        <f t="shared" si="12"/>
        <v>0</v>
      </c>
    </row>
    <row r="413" spans="2:8">
      <c r="B413" s="6" t="s">
        <v>1092</v>
      </c>
      <c r="C413" s="6">
        <v>889</v>
      </c>
      <c r="D413" s="1051">
        <v>0</v>
      </c>
      <c r="E413" s="28">
        <f t="shared" si="11"/>
        <v>0</v>
      </c>
      <c r="F413" s="28"/>
      <c r="H413" s="127">
        <f t="shared" si="12"/>
        <v>0</v>
      </c>
    </row>
    <row r="414" spans="2:8">
      <c r="B414" s="6" t="s">
        <v>1092</v>
      </c>
      <c r="C414" s="6">
        <v>890</v>
      </c>
      <c r="D414" s="1051">
        <v>0</v>
      </c>
      <c r="E414" s="28">
        <f t="shared" si="11"/>
        <v>0</v>
      </c>
      <c r="F414" s="28"/>
      <c r="H414" s="127">
        <f t="shared" si="12"/>
        <v>0</v>
      </c>
    </row>
    <row r="415" spans="2:8">
      <c r="B415" s="6" t="s">
        <v>1092</v>
      </c>
      <c r="C415" s="6">
        <v>892</v>
      </c>
      <c r="D415" s="1051">
        <v>0</v>
      </c>
      <c r="E415" s="28">
        <f t="shared" si="11"/>
        <v>0</v>
      </c>
      <c r="F415" s="28"/>
      <c r="H415" s="127">
        <f t="shared" si="12"/>
        <v>0</v>
      </c>
    </row>
    <row r="416" spans="2:8">
      <c r="B416" s="6" t="s">
        <v>1092</v>
      </c>
      <c r="C416" s="6">
        <v>893</v>
      </c>
      <c r="D416" s="1051">
        <v>0</v>
      </c>
      <c r="E416" s="28">
        <f t="shared" si="11"/>
        <v>0</v>
      </c>
      <c r="F416" s="28"/>
      <c r="H416" s="127">
        <f t="shared" si="12"/>
        <v>0</v>
      </c>
    </row>
    <row r="417" spans="2:8">
      <c r="B417" s="6" t="s">
        <v>1092</v>
      </c>
      <c r="C417" s="6">
        <v>894</v>
      </c>
      <c r="D417" s="1051">
        <v>0</v>
      </c>
      <c r="E417" s="28">
        <f t="shared" si="11"/>
        <v>0</v>
      </c>
      <c r="F417" s="28"/>
      <c r="H417" s="127">
        <f t="shared" si="12"/>
        <v>0</v>
      </c>
    </row>
    <row r="418" spans="2:8">
      <c r="B418" s="6" t="s">
        <v>1092</v>
      </c>
      <c r="C418" s="6">
        <v>902</v>
      </c>
      <c r="D418" s="1051">
        <v>0</v>
      </c>
      <c r="E418" s="28">
        <f t="shared" si="11"/>
        <v>0</v>
      </c>
      <c r="F418" s="28"/>
      <c r="H418" s="127">
        <f t="shared" si="12"/>
        <v>0</v>
      </c>
    </row>
    <row r="419" spans="2:8">
      <c r="B419" s="6" t="s">
        <v>1092</v>
      </c>
      <c r="C419" s="6">
        <v>903</v>
      </c>
      <c r="D419" s="1051">
        <v>0</v>
      </c>
      <c r="E419" s="28">
        <f t="shared" si="11"/>
        <v>0</v>
      </c>
      <c r="F419" s="28"/>
      <c r="H419" s="127">
        <f t="shared" si="12"/>
        <v>0</v>
      </c>
    </row>
    <row r="420" spans="2:8">
      <c r="B420" s="6" t="s">
        <v>1092</v>
      </c>
      <c r="C420" s="6">
        <v>904</v>
      </c>
      <c r="D420" s="1051">
        <v>0</v>
      </c>
      <c r="E420" s="28">
        <f t="shared" si="11"/>
        <v>0</v>
      </c>
      <c r="F420" s="28"/>
      <c r="H420" s="127">
        <f t="shared" si="12"/>
        <v>0</v>
      </c>
    </row>
    <row r="421" spans="2:8">
      <c r="B421" s="6" t="s">
        <v>1092</v>
      </c>
      <c r="C421" s="6">
        <v>905</v>
      </c>
      <c r="D421" s="1051">
        <v>0</v>
      </c>
      <c r="E421" s="28">
        <f t="shared" si="11"/>
        <v>0</v>
      </c>
      <c r="F421" s="28"/>
      <c r="H421" s="127">
        <f t="shared" si="12"/>
        <v>0</v>
      </c>
    </row>
    <row r="422" spans="2:8">
      <c r="B422" s="6" t="s">
        <v>1092</v>
      </c>
      <c r="C422" s="6">
        <v>907</v>
      </c>
      <c r="D422" s="1051">
        <v>0</v>
      </c>
      <c r="E422" s="28">
        <f t="shared" si="11"/>
        <v>0</v>
      </c>
      <c r="F422" s="28"/>
      <c r="H422" s="127">
        <f t="shared" si="12"/>
        <v>0</v>
      </c>
    </row>
    <row r="423" spans="2:8">
      <c r="B423" s="6" t="s">
        <v>1092</v>
      </c>
      <c r="C423" s="6">
        <v>908</v>
      </c>
      <c r="D423" s="1051">
        <v>0</v>
      </c>
      <c r="E423" s="28">
        <f t="shared" si="11"/>
        <v>0</v>
      </c>
      <c r="F423" s="28"/>
      <c r="H423" s="127">
        <f t="shared" si="12"/>
        <v>0</v>
      </c>
    </row>
    <row r="424" spans="2:8">
      <c r="B424" s="6" t="s">
        <v>1092</v>
      </c>
      <c r="C424" s="6">
        <v>909</v>
      </c>
      <c r="D424" s="1051">
        <v>0</v>
      </c>
      <c r="E424" s="28">
        <f t="shared" si="11"/>
        <v>0</v>
      </c>
      <c r="F424" s="28"/>
      <c r="H424" s="127">
        <f t="shared" si="12"/>
        <v>0</v>
      </c>
    </row>
    <row r="425" spans="2:8">
      <c r="B425" s="6" t="s">
        <v>1092</v>
      </c>
      <c r="C425" s="6">
        <v>910</v>
      </c>
      <c r="D425" s="1051">
        <v>0</v>
      </c>
      <c r="E425" s="28">
        <f t="shared" si="11"/>
        <v>0</v>
      </c>
      <c r="F425" s="28"/>
      <c r="H425" s="127">
        <f t="shared" si="12"/>
        <v>0</v>
      </c>
    </row>
    <row r="426" spans="2:8">
      <c r="B426" s="6" t="s">
        <v>1092</v>
      </c>
      <c r="C426" s="6">
        <v>911</v>
      </c>
      <c r="D426" s="1051">
        <v>0</v>
      </c>
      <c r="E426" s="28">
        <f t="shared" si="11"/>
        <v>0</v>
      </c>
      <c r="F426" s="28"/>
      <c r="H426" s="127">
        <f t="shared" si="12"/>
        <v>0</v>
      </c>
    </row>
    <row r="427" spans="2:8">
      <c r="B427" s="6" t="s">
        <v>1092</v>
      </c>
      <c r="C427" s="6">
        <v>912</v>
      </c>
      <c r="D427" s="1051">
        <v>0</v>
      </c>
      <c r="E427" s="28">
        <f t="shared" si="11"/>
        <v>0</v>
      </c>
      <c r="F427" s="28"/>
      <c r="H427" s="127">
        <f t="shared" si="12"/>
        <v>0</v>
      </c>
    </row>
    <row r="428" spans="2:8">
      <c r="B428" s="6" t="s">
        <v>1092</v>
      </c>
      <c r="C428" s="6">
        <v>913</v>
      </c>
      <c r="D428" s="1051">
        <v>0</v>
      </c>
      <c r="E428" s="28">
        <f t="shared" si="11"/>
        <v>0</v>
      </c>
      <c r="F428" s="28"/>
      <c r="H428" s="127">
        <f t="shared" si="12"/>
        <v>0</v>
      </c>
    </row>
    <row r="429" spans="2:8">
      <c r="B429" s="6" t="s">
        <v>1092</v>
      </c>
      <c r="C429" s="6">
        <v>920</v>
      </c>
      <c r="D429" s="1051">
        <v>0</v>
      </c>
      <c r="E429" s="28">
        <f t="shared" si="11"/>
        <v>0</v>
      </c>
      <c r="F429" s="28"/>
      <c r="H429" s="127">
        <f t="shared" si="12"/>
        <v>0</v>
      </c>
    </row>
    <row r="430" spans="2:8">
      <c r="B430" s="6" t="s">
        <v>1092</v>
      </c>
      <c r="C430" s="6">
        <v>921</v>
      </c>
      <c r="D430" s="1051">
        <v>0.10308595133000936</v>
      </c>
      <c r="E430" s="28">
        <f t="shared" si="11"/>
        <v>-1523.8476737952358</v>
      </c>
      <c r="F430" s="28"/>
      <c r="H430" s="127">
        <f t="shared" si="12"/>
        <v>-1523.8476737952358</v>
      </c>
    </row>
    <row r="431" spans="2:8">
      <c r="B431" s="6" t="s">
        <v>1092</v>
      </c>
      <c r="C431" s="6">
        <v>923</v>
      </c>
      <c r="D431" s="1051">
        <v>1.6717286211283808E-2</v>
      </c>
      <c r="E431" s="28">
        <f t="shared" si="11"/>
        <v>-247.11997490018882</v>
      </c>
      <c r="F431" s="28"/>
      <c r="H431" s="127">
        <f t="shared" si="12"/>
        <v>-247.11997490018882</v>
      </c>
    </row>
    <row r="432" spans="2:8">
      <c r="B432" s="6" t="s">
        <v>1092</v>
      </c>
      <c r="C432" s="6">
        <v>924</v>
      </c>
      <c r="D432" s="1051">
        <v>0</v>
      </c>
      <c r="E432" s="28">
        <f t="shared" si="11"/>
        <v>0</v>
      </c>
      <c r="F432" s="28"/>
      <c r="H432" s="127">
        <f t="shared" si="12"/>
        <v>0</v>
      </c>
    </row>
    <row r="433" spans="2:8">
      <c r="B433" s="6" t="s">
        <v>1092</v>
      </c>
      <c r="C433" s="6">
        <v>925</v>
      </c>
      <c r="D433" s="1051">
        <v>0</v>
      </c>
      <c r="E433" s="28">
        <f t="shared" si="11"/>
        <v>0</v>
      </c>
      <c r="F433" s="28"/>
      <c r="H433" s="127">
        <f t="shared" si="12"/>
        <v>0</v>
      </c>
    </row>
    <row r="434" spans="2:8">
      <c r="B434" s="6" t="s">
        <v>1092</v>
      </c>
      <c r="C434" s="6">
        <v>926</v>
      </c>
      <c r="D434" s="1051">
        <v>0</v>
      </c>
      <c r="E434" s="28">
        <f t="shared" si="11"/>
        <v>0</v>
      </c>
      <c r="F434" s="28"/>
      <c r="H434" s="127">
        <f t="shared" si="12"/>
        <v>0</v>
      </c>
    </row>
    <row r="435" spans="2:8">
      <c r="B435" s="6" t="s">
        <v>1092</v>
      </c>
      <c r="C435" s="6">
        <v>928</v>
      </c>
      <c r="D435" s="1051">
        <v>0</v>
      </c>
      <c r="E435" s="28">
        <f t="shared" si="11"/>
        <v>0</v>
      </c>
      <c r="F435" s="28"/>
      <c r="H435" s="127">
        <f t="shared" si="12"/>
        <v>0</v>
      </c>
    </row>
    <row r="436" spans="2:8">
      <c r="B436" s="6" t="s">
        <v>1092</v>
      </c>
      <c r="C436" s="6">
        <v>9301</v>
      </c>
      <c r="D436" s="1051">
        <v>0</v>
      </c>
      <c r="E436" s="28">
        <f t="shared" si="11"/>
        <v>0</v>
      </c>
      <c r="F436" s="28"/>
      <c r="H436" s="127">
        <f t="shared" si="12"/>
        <v>0</v>
      </c>
    </row>
    <row r="437" spans="2:8">
      <c r="B437" s="6" t="s">
        <v>1092</v>
      </c>
      <c r="C437" s="6">
        <v>9302</v>
      </c>
      <c r="D437" s="1051">
        <v>0.88019676245870682</v>
      </c>
      <c r="E437" s="28">
        <f t="shared" si="11"/>
        <v>-13011.334441304576</v>
      </c>
      <c r="F437" s="28"/>
      <c r="H437" s="167">
        <f>SUBTOTAL(9,E437:G437)-1</f>
        <v>-13012.334441304576</v>
      </c>
    </row>
    <row r="438" spans="2:8">
      <c r="B438" s="6" t="s">
        <v>1092</v>
      </c>
      <c r="C438" s="6">
        <v>931</v>
      </c>
      <c r="D438" s="1051">
        <v>0</v>
      </c>
      <c r="E438" s="28">
        <f t="shared" si="11"/>
        <v>0</v>
      </c>
      <c r="F438" s="28"/>
      <c r="H438" s="127">
        <f t="shared" si="12"/>
        <v>0</v>
      </c>
    </row>
    <row r="439" spans="2:8">
      <c r="B439" s="6" t="s">
        <v>1092</v>
      </c>
      <c r="C439" s="6">
        <v>932</v>
      </c>
      <c r="D439" s="1051">
        <v>0</v>
      </c>
      <c r="E439" s="28">
        <f t="shared" si="11"/>
        <v>0</v>
      </c>
      <c r="F439" s="28"/>
      <c r="H439" s="127">
        <f t="shared" si="12"/>
        <v>0</v>
      </c>
    </row>
    <row r="440" spans="2:8">
      <c r="B440" s="6" t="s">
        <v>1092</v>
      </c>
      <c r="C440" s="6">
        <v>935</v>
      </c>
      <c r="D440" s="1051">
        <v>0</v>
      </c>
      <c r="E440" s="28">
        <f t="shared" si="11"/>
        <v>0</v>
      </c>
      <c r="F440" s="28"/>
      <c r="H440" s="127">
        <f t="shared" si="12"/>
        <v>0</v>
      </c>
    </row>
    <row r="441" spans="2:8">
      <c r="B441" s="6" t="s">
        <v>1030</v>
      </c>
      <c r="C441" s="6">
        <v>801</v>
      </c>
      <c r="D441" s="1051">
        <v>0</v>
      </c>
      <c r="F441" s="1054">
        <f>+$F$4*D441</f>
        <v>0</v>
      </c>
      <c r="H441" s="127">
        <f t="shared" si="12"/>
        <v>0</v>
      </c>
    </row>
    <row r="442" spans="2:8">
      <c r="B442" s="6" t="s">
        <v>1030</v>
      </c>
      <c r="C442" s="6">
        <v>803</v>
      </c>
      <c r="D442" s="1051">
        <v>0</v>
      </c>
      <c r="F442" s="1054">
        <f t="shared" ref="F442:F488" si="13">+$F$4*D442</f>
        <v>0</v>
      </c>
      <c r="H442" s="127">
        <f t="shared" si="12"/>
        <v>0</v>
      </c>
    </row>
    <row r="443" spans="2:8">
      <c r="B443" s="6" t="s">
        <v>1030</v>
      </c>
      <c r="C443" s="6">
        <v>804</v>
      </c>
      <c r="D443" s="1051">
        <v>0</v>
      </c>
      <c r="F443" s="1054">
        <f t="shared" si="13"/>
        <v>0</v>
      </c>
      <c r="H443" s="127">
        <f t="shared" si="12"/>
        <v>0</v>
      </c>
    </row>
    <row r="444" spans="2:8">
      <c r="B444" s="6" t="s">
        <v>1030</v>
      </c>
      <c r="C444" s="6">
        <v>805</v>
      </c>
      <c r="D444" s="1051">
        <v>0</v>
      </c>
      <c r="F444" s="1054">
        <f t="shared" si="13"/>
        <v>0</v>
      </c>
      <c r="H444" s="127">
        <f t="shared" si="12"/>
        <v>0</v>
      </c>
    </row>
    <row r="445" spans="2:8">
      <c r="B445" s="6" t="s">
        <v>1030</v>
      </c>
      <c r="C445" s="6">
        <v>806</v>
      </c>
      <c r="D445" s="1051">
        <v>0</v>
      </c>
      <c r="F445" s="1054">
        <f t="shared" si="13"/>
        <v>0</v>
      </c>
      <c r="H445" s="127">
        <f t="shared" si="12"/>
        <v>0</v>
      </c>
    </row>
    <row r="446" spans="2:8">
      <c r="B446" s="6" t="s">
        <v>1030</v>
      </c>
      <c r="C446" s="6">
        <v>807</v>
      </c>
      <c r="D446" s="1051">
        <v>0</v>
      </c>
      <c r="F446" s="1054">
        <f t="shared" si="13"/>
        <v>0</v>
      </c>
      <c r="H446" s="127">
        <f t="shared" si="12"/>
        <v>0</v>
      </c>
    </row>
    <row r="447" spans="2:8">
      <c r="B447" s="6" t="s">
        <v>1030</v>
      </c>
      <c r="C447" s="6">
        <v>808</v>
      </c>
      <c r="D447" s="1051">
        <v>0</v>
      </c>
      <c r="F447" s="1054">
        <f t="shared" si="13"/>
        <v>0</v>
      </c>
      <c r="H447" s="127">
        <f t="shared" si="12"/>
        <v>0</v>
      </c>
    </row>
    <row r="448" spans="2:8">
      <c r="B448" s="6" t="s">
        <v>1030</v>
      </c>
      <c r="C448" s="6">
        <v>812</v>
      </c>
      <c r="D448" s="1051">
        <v>0</v>
      </c>
      <c r="F448" s="1054">
        <f t="shared" si="13"/>
        <v>0</v>
      </c>
      <c r="H448" s="127">
        <f t="shared" si="12"/>
        <v>0</v>
      </c>
    </row>
    <row r="449" spans="2:8">
      <c r="B449" s="6" t="s">
        <v>1030</v>
      </c>
      <c r="C449" s="6">
        <v>870</v>
      </c>
      <c r="D449" s="1051">
        <v>1.4006529418834433E-2</v>
      </c>
      <c r="F449" s="1054">
        <f t="shared" si="13"/>
        <v>-27.959726875927245</v>
      </c>
      <c r="H449" s="127">
        <f t="shared" si="12"/>
        <v>-27.959726875927245</v>
      </c>
    </row>
    <row r="450" spans="2:8">
      <c r="B450" s="6" t="s">
        <v>1030</v>
      </c>
      <c r="C450" s="6">
        <v>871</v>
      </c>
      <c r="D450" s="1051">
        <v>0</v>
      </c>
      <c r="F450" s="1054">
        <f t="shared" si="13"/>
        <v>0</v>
      </c>
      <c r="H450" s="127">
        <f t="shared" si="12"/>
        <v>0</v>
      </c>
    </row>
    <row r="451" spans="2:8">
      <c r="B451" s="6" t="s">
        <v>1030</v>
      </c>
      <c r="C451" s="6">
        <v>874</v>
      </c>
      <c r="D451" s="1051">
        <v>0.18940294506012001</v>
      </c>
      <c r="F451" s="1054">
        <f t="shared" si="13"/>
        <v>-378.08470999648188</v>
      </c>
      <c r="H451" s="127">
        <f t="shared" si="12"/>
        <v>-378.08470999648188</v>
      </c>
    </row>
    <row r="452" spans="2:8">
      <c r="B452" s="6" t="s">
        <v>1030</v>
      </c>
      <c r="C452" s="6">
        <v>875</v>
      </c>
      <c r="D452" s="1051">
        <v>1.3402432680091629E-3</v>
      </c>
      <c r="F452" s="1054">
        <f t="shared" si="13"/>
        <v>-2.6753833587388911</v>
      </c>
      <c r="H452" s="127">
        <f t="shared" si="12"/>
        <v>-2.6753833587388911</v>
      </c>
    </row>
    <row r="453" spans="2:8">
      <c r="B453" s="6" t="s">
        <v>1030</v>
      </c>
      <c r="C453" s="6">
        <v>876</v>
      </c>
      <c r="D453" s="1051">
        <v>1.0959604357183358E-3</v>
      </c>
      <c r="F453" s="1054">
        <f t="shared" si="13"/>
        <v>-2.187747837683609</v>
      </c>
      <c r="H453" s="127">
        <f t="shared" si="12"/>
        <v>-2.187747837683609</v>
      </c>
    </row>
    <row r="454" spans="2:8">
      <c r="B454" s="6" t="s">
        <v>1030</v>
      </c>
      <c r="C454" s="6">
        <v>878</v>
      </c>
      <c r="D454" s="1051">
        <v>4.4461231572101231E-2</v>
      </c>
      <c r="F454" s="1054">
        <f t="shared" si="13"/>
        <v>-88.753170335806956</v>
      </c>
      <c r="H454" s="127">
        <f t="shared" si="12"/>
        <v>-88.753170335806956</v>
      </c>
    </row>
    <row r="455" spans="2:8">
      <c r="B455" s="6" t="s">
        <v>1030</v>
      </c>
      <c r="C455" s="6">
        <v>879</v>
      </c>
      <c r="D455" s="1051">
        <v>7.7178383947565446E-3</v>
      </c>
      <c r="F455" s="1054">
        <f t="shared" si="13"/>
        <v>-15.406289962149296</v>
      </c>
      <c r="H455" s="127">
        <f t="shared" si="12"/>
        <v>-15.406289962149296</v>
      </c>
    </row>
    <row r="456" spans="2:8">
      <c r="B456" s="6" t="s">
        <v>1030</v>
      </c>
      <c r="C456" s="6">
        <v>880</v>
      </c>
      <c r="D456" s="1051">
        <v>1.4233365516989704E-2</v>
      </c>
      <c r="F456" s="1054">
        <f t="shared" si="13"/>
        <v>-28.412535359768647</v>
      </c>
      <c r="H456" s="127">
        <f t="shared" si="12"/>
        <v>-28.412535359768647</v>
      </c>
    </row>
    <row r="457" spans="2:8">
      <c r="B457" s="6" t="s">
        <v>1030</v>
      </c>
      <c r="C457" s="6">
        <v>881</v>
      </c>
      <c r="D457" s="1051">
        <v>0</v>
      </c>
      <c r="F457" s="1054">
        <f t="shared" si="13"/>
        <v>0</v>
      </c>
      <c r="H457" s="127">
        <f t="shared" si="12"/>
        <v>0</v>
      </c>
    </row>
    <row r="458" spans="2:8">
      <c r="B458" s="6" t="s">
        <v>1030</v>
      </c>
      <c r="C458" s="6">
        <v>885</v>
      </c>
      <c r="D458" s="1051">
        <v>4.1090057100505251E-3</v>
      </c>
      <c r="F458" s="1054">
        <f t="shared" si="13"/>
        <v>-8.2023657645091781</v>
      </c>
      <c r="H458" s="127">
        <f t="shared" ref="H458:H488" si="14">SUBTOTAL(9,E458:G458)</f>
        <v>-8.2023657645091781</v>
      </c>
    </row>
    <row r="459" spans="2:8">
      <c r="B459" s="6" t="s">
        <v>1030</v>
      </c>
      <c r="C459" s="6">
        <v>886</v>
      </c>
      <c r="D459" s="1051">
        <v>0</v>
      </c>
      <c r="F459" s="1054">
        <f t="shared" si="13"/>
        <v>0</v>
      </c>
      <c r="H459" s="127">
        <f t="shared" si="14"/>
        <v>0</v>
      </c>
    </row>
    <row r="460" spans="2:8">
      <c r="B460" s="6" t="s">
        <v>1030</v>
      </c>
      <c r="C460" s="6">
        <v>887</v>
      </c>
      <c r="D460" s="1051">
        <v>1.5413447194546589E-2</v>
      </c>
      <c r="F460" s="1054">
        <f t="shared" si="13"/>
        <v>-30.768205376882868</v>
      </c>
      <c r="H460" s="127">
        <f t="shared" si="14"/>
        <v>-30.768205376882868</v>
      </c>
    </row>
    <row r="461" spans="2:8">
      <c r="B461" s="6" t="s">
        <v>1030</v>
      </c>
      <c r="C461" s="6">
        <v>889</v>
      </c>
      <c r="D461" s="1051">
        <v>1.3402432680091629E-3</v>
      </c>
      <c r="F461" s="1054">
        <f t="shared" si="13"/>
        <v>-2.6753833587388911</v>
      </c>
      <c r="H461" s="127">
        <f t="shared" si="14"/>
        <v>-2.6753833587388911</v>
      </c>
    </row>
    <row r="462" spans="2:8">
      <c r="B462" s="6" t="s">
        <v>1030</v>
      </c>
      <c r="C462" s="6">
        <v>890</v>
      </c>
      <c r="D462" s="1051">
        <v>6.7014304979934683E-4</v>
      </c>
      <c r="F462" s="1054">
        <f t="shared" si="13"/>
        <v>-1.3377344294151254</v>
      </c>
      <c r="H462" s="127">
        <f t="shared" si="14"/>
        <v>-1.3377344294151254</v>
      </c>
    </row>
    <row r="463" spans="2:8">
      <c r="B463" s="6" t="s">
        <v>1030</v>
      </c>
      <c r="C463" s="6">
        <v>892</v>
      </c>
      <c r="D463" s="1051">
        <v>8.2231797652377731E-3</v>
      </c>
      <c r="F463" s="1054">
        <f t="shared" si="13"/>
        <v>-16.415048540042442</v>
      </c>
      <c r="H463" s="127">
        <f t="shared" si="14"/>
        <v>-16.415048540042442</v>
      </c>
    </row>
    <row r="464" spans="2:8">
      <c r="B464" s="6" t="s">
        <v>1030</v>
      </c>
      <c r="C464" s="6">
        <v>893</v>
      </c>
      <c r="D464" s="1051">
        <v>0</v>
      </c>
      <c r="F464" s="1054">
        <f t="shared" si="13"/>
        <v>0</v>
      </c>
      <c r="H464" s="127">
        <f t="shared" si="14"/>
        <v>0</v>
      </c>
    </row>
    <row r="465" spans="2:8">
      <c r="B465" s="6" t="s">
        <v>1030</v>
      </c>
      <c r="C465" s="6">
        <v>894</v>
      </c>
      <c r="D465" s="1051">
        <v>0</v>
      </c>
      <c r="F465" s="1054">
        <f t="shared" si="13"/>
        <v>0</v>
      </c>
      <c r="H465" s="127">
        <f t="shared" si="14"/>
        <v>0</v>
      </c>
    </row>
    <row r="466" spans="2:8">
      <c r="B466" s="6" t="s">
        <v>1030</v>
      </c>
      <c r="C466" s="6">
        <v>902</v>
      </c>
      <c r="D466" s="1051">
        <v>0</v>
      </c>
      <c r="F466" s="1054">
        <f t="shared" si="13"/>
        <v>0</v>
      </c>
      <c r="H466" s="127">
        <f t="shared" si="14"/>
        <v>0</v>
      </c>
    </row>
    <row r="467" spans="2:8">
      <c r="B467" s="6" t="s">
        <v>1030</v>
      </c>
      <c r="C467" s="6">
        <v>903</v>
      </c>
      <c r="D467" s="1051">
        <v>3.4855205384467618E-3</v>
      </c>
      <c r="F467" s="1054">
        <f t="shared" si="13"/>
        <v>-6.9577694346153081</v>
      </c>
      <c r="H467" s="127">
        <f t="shared" si="14"/>
        <v>-6.9577694346153081</v>
      </c>
    </row>
    <row r="468" spans="2:8">
      <c r="B468" s="6" t="s">
        <v>1030</v>
      </c>
      <c r="C468" s="6">
        <v>904</v>
      </c>
      <c r="D468" s="1051">
        <v>0</v>
      </c>
      <c r="F468" s="1054">
        <f t="shared" si="13"/>
        <v>0</v>
      </c>
      <c r="H468" s="127">
        <f t="shared" si="14"/>
        <v>0</v>
      </c>
    </row>
    <row r="469" spans="2:8">
      <c r="B469" s="6" t="s">
        <v>1030</v>
      </c>
      <c r="C469" s="6">
        <v>905</v>
      </c>
      <c r="D469" s="1051">
        <v>0</v>
      </c>
      <c r="F469" s="1054">
        <f t="shared" si="13"/>
        <v>0</v>
      </c>
      <c r="H469" s="127">
        <f t="shared" si="14"/>
        <v>0</v>
      </c>
    </row>
    <row r="470" spans="2:8">
      <c r="B470" s="6" t="s">
        <v>1030</v>
      </c>
      <c r="C470" s="6">
        <v>907</v>
      </c>
      <c r="D470" s="1051">
        <v>0</v>
      </c>
      <c r="F470" s="1054">
        <f t="shared" si="13"/>
        <v>0</v>
      </c>
      <c r="H470" s="127">
        <f t="shared" si="14"/>
        <v>0</v>
      </c>
    </row>
    <row r="471" spans="2:8">
      <c r="B471" s="6" t="s">
        <v>1030</v>
      </c>
      <c r="C471" s="6">
        <v>908</v>
      </c>
      <c r="D471" s="1051">
        <v>0</v>
      </c>
      <c r="F471" s="1054">
        <f t="shared" si="13"/>
        <v>0</v>
      </c>
      <c r="H471" s="127">
        <f t="shared" si="14"/>
        <v>0</v>
      </c>
    </row>
    <row r="472" spans="2:8">
      <c r="B472" s="6" t="s">
        <v>1030</v>
      </c>
      <c r="C472" s="6">
        <v>909</v>
      </c>
      <c r="D472" s="1051">
        <v>0</v>
      </c>
      <c r="F472" s="1054">
        <f t="shared" si="13"/>
        <v>0</v>
      </c>
      <c r="H472" s="127">
        <f t="shared" si="14"/>
        <v>0</v>
      </c>
    </row>
    <row r="473" spans="2:8">
      <c r="B473" s="6" t="s">
        <v>1030</v>
      </c>
      <c r="C473" s="6">
        <v>910</v>
      </c>
      <c r="D473" s="1051">
        <v>0</v>
      </c>
      <c r="F473" s="1054">
        <f t="shared" si="13"/>
        <v>0</v>
      </c>
      <c r="H473" s="127">
        <f t="shared" si="14"/>
        <v>0</v>
      </c>
    </row>
    <row r="474" spans="2:8">
      <c r="B474" s="6" t="s">
        <v>1030</v>
      </c>
      <c r="C474" s="6">
        <v>911</v>
      </c>
      <c r="D474" s="1051">
        <v>0</v>
      </c>
      <c r="F474" s="1054">
        <f t="shared" si="13"/>
        <v>0</v>
      </c>
      <c r="H474" s="127">
        <f t="shared" si="14"/>
        <v>0</v>
      </c>
    </row>
    <row r="475" spans="2:8">
      <c r="B475" s="6" t="s">
        <v>1030</v>
      </c>
      <c r="C475" s="6">
        <v>912</v>
      </c>
      <c r="D475" s="1051">
        <v>0</v>
      </c>
      <c r="F475" s="1054">
        <f t="shared" si="13"/>
        <v>0</v>
      </c>
      <c r="H475" s="127">
        <f t="shared" si="14"/>
        <v>0</v>
      </c>
    </row>
    <row r="476" spans="2:8">
      <c r="B476" s="6" t="s">
        <v>1030</v>
      </c>
      <c r="C476" s="6">
        <v>913</v>
      </c>
      <c r="D476" s="1051">
        <v>0</v>
      </c>
      <c r="F476" s="1054">
        <f t="shared" si="13"/>
        <v>0</v>
      </c>
      <c r="H476" s="127">
        <f t="shared" si="14"/>
        <v>0</v>
      </c>
    </row>
    <row r="477" spans="2:8">
      <c r="B477" s="6" t="s">
        <v>1030</v>
      </c>
      <c r="C477" s="6">
        <v>920</v>
      </c>
      <c r="D477" s="1051">
        <v>1.597274209064015E-2</v>
      </c>
      <c r="F477" s="1054">
        <f t="shared" si="13"/>
        <v>-31.884665569858878</v>
      </c>
      <c r="H477" s="127">
        <f t="shared" si="14"/>
        <v>-31.884665569858878</v>
      </c>
    </row>
    <row r="478" spans="2:8">
      <c r="B478" s="6" t="s">
        <v>1030</v>
      </c>
      <c r="C478" s="6">
        <v>921</v>
      </c>
      <c r="D478" s="1051">
        <v>0.29304329893928133</v>
      </c>
      <c r="F478" s="1054">
        <f t="shared" si="13"/>
        <v>-584.97079156135658</v>
      </c>
      <c r="H478" s="127">
        <f t="shared" si="14"/>
        <v>-584.97079156135658</v>
      </c>
    </row>
    <row r="479" spans="2:8">
      <c r="B479" s="6" t="s">
        <v>1030</v>
      </c>
      <c r="C479" s="6">
        <v>923</v>
      </c>
      <c r="D479" s="1051">
        <v>0</v>
      </c>
      <c r="F479" s="1054">
        <f t="shared" si="13"/>
        <v>0</v>
      </c>
      <c r="H479" s="127">
        <f t="shared" si="14"/>
        <v>0</v>
      </c>
    </row>
    <row r="480" spans="2:8">
      <c r="B480" s="6" t="s">
        <v>1030</v>
      </c>
      <c r="C480" s="6">
        <v>924</v>
      </c>
      <c r="D480" s="1051">
        <v>0</v>
      </c>
      <c r="F480" s="1054">
        <f t="shared" si="13"/>
        <v>0</v>
      </c>
      <c r="H480" s="127">
        <f t="shared" si="14"/>
        <v>0</v>
      </c>
    </row>
    <row r="481" spans="2:8">
      <c r="B481" s="6" t="s">
        <v>1030</v>
      </c>
      <c r="C481" s="6">
        <v>925</v>
      </c>
      <c r="D481" s="1051">
        <v>0</v>
      </c>
      <c r="F481" s="1054">
        <f t="shared" si="13"/>
        <v>0</v>
      </c>
      <c r="H481" s="127">
        <f t="shared" si="14"/>
        <v>0</v>
      </c>
    </row>
    <row r="482" spans="2:8">
      <c r="B482" s="6" t="s">
        <v>1030</v>
      </c>
      <c r="C482" s="6">
        <v>926</v>
      </c>
      <c r="D482" s="1051">
        <v>0.38548430577745885</v>
      </c>
      <c r="F482" s="1054">
        <f t="shared" si="13"/>
        <v>-769.50082223802428</v>
      </c>
      <c r="H482" s="127">
        <f t="shared" si="14"/>
        <v>-769.50082223802428</v>
      </c>
    </row>
    <row r="483" spans="2:8">
      <c r="B483" s="6" t="s">
        <v>1030</v>
      </c>
      <c r="C483" s="6">
        <v>928</v>
      </c>
      <c r="D483" s="1051">
        <v>0</v>
      </c>
      <c r="F483" s="1054">
        <f t="shared" si="13"/>
        <v>0</v>
      </c>
      <c r="H483" s="127">
        <f t="shared" si="14"/>
        <v>0</v>
      </c>
    </row>
    <row r="484" spans="2:8">
      <c r="B484" s="6" t="s">
        <v>1030</v>
      </c>
      <c r="C484" s="6">
        <v>9301</v>
      </c>
      <c r="D484" s="1051">
        <v>0</v>
      </c>
      <c r="F484" s="1054">
        <f t="shared" si="13"/>
        <v>0</v>
      </c>
      <c r="H484" s="127">
        <f t="shared" si="14"/>
        <v>0</v>
      </c>
    </row>
    <row r="485" spans="2:8">
      <c r="B485" s="6" t="s">
        <v>1030</v>
      </c>
      <c r="C485" s="6">
        <v>9302</v>
      </c>
      <c r="D485" s="1051">
        <v>0</v>
      </c>
      <c r="F485" s="1054">
        <f t="shared" si="13"/>
        <v>0</v>
      </c>
      <c r="H485" s="127">
        <f t="shared" si="14"/>
        <v>0</v>
      </c>
    </row>
    <row r="486" spans="2:8">
      <c r="B486" s="6" t="s">
        <v>1030</v>
      </c>
      <c r="C486" s="6">
        <v>931</v>
      </c>
      <c r="D486" s="1051">
        <v>0</v>
      </c>
      <c r="F486" s="1054">
        <f t="shared" si="13"/>
        <v>0</v>
      </c>
      <c r="H486" s="127">
        <f t="shared" si="14"/>
        <v>0</v>
      </c>
    </row>
    <row r="487" spans="2:8">
      <c r="B487" s="6" t="s">
        <v>1030</v>
      </c>
      <c r="C487" s="6">
        <v>932</v>
      </c>
      <c r="D487" s="1051">
        <v>0</v>
      </c>
      <c r="F487" s="1054">
        <f t="shared" si="13"/>
        <v>0</v>
      </c>
      <c r="H487" s="127">
        <f t="shared" si="14"/>
        <v>0</v>
      </c>
    </row>
    <row r="488" spans="2:8">
      <c r="B488" s="6" t="s">
        <v>1030</v>
      </c>
      <c r="C488" s="6">
        <v>935</v>
      </c>
      <c r="D488" s="1051">
        <v>0</v>
      </c>
      <c r="F488" s="1054">
        <f t="shared" si="13"/>
        <v>0</v>
      </c>
      <c r="H488" s="127">
        <f t="shared" si="14"/>
        <v>0</v>
      </c>
    </row>
    <row r="489" spans="2:8">
      <c r="B489" s="6" t="s">
        <v>1550</v>
      </c>
      <c r="C489" s="6">
        <v>801</v>
      </c>
      <c r="D489" s="1051">
        <v>0</v>
      </c>
    </row>
    <row r="490" spans="2:8">
      <c r="B490" s="6" t="s">
        <v>1550</v>
      </c>
      <c r="C490" s="6">
        <v>803</v>
      </c>
      <c r="D490" s="1051">
        <v>0</v>
      </c>
    </row>
    <row r="491" spans="2:8">
      <c r="B491" s="6" t="s">
        <v>1550</v>
      </c>
      <c r="C491" s="6">
        <v>804</v>
      </c>
      <c r="D491" s="1051">
        <v>0</v>
      </c>
    </row>
    <row r="492" spans="2:8">
      <c r="B492" s="6" t="s">
        <v>1550</v>
      </c>
      <c r="C492" s="6">
        <v>805</v>
      </c>
      <c r="D492" s="1051">
        <v>0</v>
      </c>
    </row>
    <row r="493" spans="2:8">
      <c r="B493" s="6" t="s">
        <v>1550</v>
      </c>
      <c r="C493" s="6">
        <v>806</v>
      </c>
      <c r="D493" s="1051">
        <v>0</v>
      </c>
    </row>
    <row r="494" spans="2:8">
      <c r="B494" s="6" t="s">
        <v>1550</v>
      </c>
      <c r="C494" s="6">
        <v>807</v>
      </c>
      <c r="D494" s="1051">
        <v>0</v>
      </c>
    </row>
    <row r="495" spans="2:8">
      <c r="B495" s="6" t="s">
        <v>1550</v>
      </c>
      <c r="C495" s="6">
        <v>808</v>
      </c>
      <c r="D495" s="1051">
        <v>0</v>
      </c>
    </row>
    <row r="496" spans="2:8">
      <c r="B496" s="6" t="s">
        <v>1550</v>
      </c>
      <c r="C496" s="6">
        <v>812</v>
      </c>
      <c r="D496" s="1051">
        <v>0</v>
      </c>
    </row>
    <row r="497" spans="2:4">
      <c r="B497" s="6" t="s">
        <v>1550</v>
      </c>
      <c r="C497" s="6">
        <v>870</v>
      </c>
      <c r="D497" s="1051">
        <v>0</v>
      </c>
    </row>
    <row r="498" spans="2:4">
      <c r="B498" s="6" t="s">
        <v>1550</v>
      </c>
      <c r="C498" s="6">
        <v>871</v>
      </c>
      <c r="D498" s="1051">
        <v>0</v>
      </c>
    </row>
    <row r="499" spans="2:4">
      <c r="B499" s="6" t="s">
        <v>1550</v>
      </c>
      <c r="C499" s="6">
        <v>874</v>
      </c>
      <c r="D499" s="1051">
        <v>5.3809540131422261E-5</v>
      </c>
    </row>
    <row r="500" spans="2:4">
      <c r="B500" s="6" t="s">
        <v>1550</v>
      </c>
      <c r="C500" s="6">
        <v>875</v>
      </c>
      <c r="D500" s="1051">
        <v>0</v>
      </c>
    </row>
    <row r="501" spans="2:4">
      <c r="B501" s="6" t="s">
        <v>1550</v>
      </c>
      <c r="C501" s="6">
        <v>876</v>
      </c>
      <c r="D501" s="1051">
        <v>0</v>
      </c>
    </row>
    <row r="502" spans="2:4">
      <c r="B502" s="6" t="s">
        <v>1550</v>
      </c>
      <c r="C502" s="6">
        <v>878</v>
      </c>
      <c r="D502" s="1051">
        <v>0</v>
      </c>
    </row>
    <row r="503" spans="2:4">
      <c r="B503" s="6" t="s">
        <v>1550</v>
      </c>
      <c r="C503" s="6">
        <v>879</v>
      </c>
      <c r="D503" s="1051">
        <v>0</v>
      </c>
    </row>
    <row r="504" spans="2:4">
      <c r="B504" s="6" t="s">
        <v>1550</v>
      </c>
      <c r="C504" s="6">
        <v>880</v>
      </c>
      <c r="D504" s="1051">
        <v>2.6974483937086777E-4</v>
      </c>
    </row>
    <row r="505" spans="2:4">
      <c r="B505" s="6" t="s">
        <v>1550</v>
      </c>
      <c r="C505" s="6">
        <v>881</v>
      </c>
      <c r="D505" s="1051">
        <v>0</v>
      </c>
    </row>
    <row r="506" spans="2:4">
      <c r="B506" s="6" t="s">
        <v>1550</v>
      </c>
      <c r="C506" s="6">
        <v>885</v>
      </c>
      <c r="D506" s="1051">
        <v>0</v>
      </c>
    </row>
    <row r="507" spans="2:4">
      <c r="B507" s="6" t="s">
        <v>1550</v>
      </c>
      <c r="C507" s="6">
        <v>886</v>
      </c>
      <c r="D507" s="1051">
        <v>0</v>
      </c>
    </row>
    <row r="508" spans="2:4">
      <c r="B508" s="6" t="s">
        <v>1550</v>
      </c>
      <c r="C508" s="6">
        <v>887</v>
      </c>
      <c r="D508" s="1051">
        <v>0</v>
      </c>
    </row>
    <row r="509" spans="2:4">
      <c r="B509" s="6" t="s">
        <v>1550</v>
      </c>
      <c r="C509" s="6">
        <v>889</v>
      </c>
      <c r="D509" s="1051">
        <v>0</v>
      </c>
    </row>
    <row r="510" spans="2:4">
      <c r="B510" s="6" t="s">
        <v>1550</v>
      </c>
      <c r="C510" s="6">
        <v>890</v>
      </c>
      <c r="D510" s="1051">
        <v>0</v>
      </c>
    </row>
    <row r="511" spans="2:4">
      <c r="B511" s="6" t="s">
        <v>1550</v>
      </c>
      <c r="C511" s="6">
        <v>892</v>
      </c>
      <c r="D511" s="1051">
        <v>0</v>
      </c>
    </row>
    <row r="512" spans="2:4">
      <c r="B512" s="6" t="s">
        <v>1550</v>
      </c>
      <c r="C512" s="6">
        <v>893</v>
      </c>
      <c r="D512" s="1051">
        <v>0</v>
      </c>
    </row>
    <row r="513" spans="2:4">
      <c r="B513" s="6" t="s">
        <v>1550</v>
      </c>
      <c r="C513" s="6">
        <v>894</v>
      </c>
      <c r="D513" s="1051">
        <v>0</v>
      </c>
    </row>
    <row r="514" spans="2:4">
      <c r="B514" s="6" t="s">
        <v>1550</v>
      </c>
      <c r="C514" s="6">
        <v>902</v>
      </c>
      <c r="D514" s="1051">
        <v>0</v>
      </c>
    </row>
    <row r="515" spans="2:4">
      <c r="B515" s="6" t="s">
        <v>1550</v>
      </c>
      <c r="C515" s="6">
        <v>903</v>
      </c>
      <c r="D515" s="1051">
        <v>0</v>
      </c>
    </row>
    <row r="516" spans="2:4">
      <c r="B516" s="6" t="s">
        <v>1550</v>
      </c>
      <c r="C516" s="6">
        <v>904</v>
      </c>
      <c r="D516" s="1051">
        <v>0</v>
      </c>
    </row>
    <row r="517" spans="2:4">
      <c r="B517" s="6" t="s">
        <v>1550</v>
      </c>
      <c r="C517" s="6">
        <v>905</v>
      </c>
      <c r="D517" s="1051">
        <v>0</v>
      </c>
    </row>
    <row r="518" spans="2:4">
      <c r="B518" s="6" t="s">
        <v>1550</v>
      </c>
      <c r="C518" s="6">
        <v>907</v>
      </c>
      <c r="D518" s="1051">
        <v>0</v>
      </c>
    </row>
    <row r="519" spans="2:4">
      <c r="B519" s="6" t="s">
        <v>1550</v>
      </c>
      <c r="C519" s="6">
        <v>908</v>
      </c>
      <c r="D519" s="1051">
        <v>0</v>
      </c>
    </row>
    <row r="520" spans="2:4">
      <c r="B520" s="6" t="s">
        <v>1550</v>
      </c>
      <c r="C520" s="6">
        <v>909</v>
      </c>
      <c r="D520" s="1051">
        <v>0</v>
      </c>
    </row>
    <row r="521" spans="2:4">
      <c r="B521" s="6" t="s">
        <v>1550</v>
      </c>
      <c r="C521" s="6">
        <v>910</v>
      </c>
      <c r="D521" s="1051">
        <v>0</v>
      </c>
    </row>
    <row r="522" spans="2:4">
      <c r="B522" s="6" t="s">
        <v>1550</v>
      </c>
      <c r="C522" s="6">
        <v>911</v>
      </c>
      <c r="D522" s="1051">
        <v>0</v>
      </c>
    </row>
    <row r="523" spans="2:4">
      <c r="B523" s="6" t="s">
        <v>1550</v>
      </c>
      <c r="C523" s="6">
        <v>912</v>
      </c>
      <c r="D523" s="1051">
        <v>0</v>
      </c>
    </row>
    <row r="524" spans="2:4">
      <c r="B524" s="6" t="s">
        <v>1550</v>
      </c>
      <c r="C524" s="6">
        <v>913</v>
      </c>
      <c r="D524" s="1051">
        <v>0</v>
      </c>
    </row>
    <row r="525" spans="2:4">
      <c r="B525" s="6" t="s">
        <v>1550</v>
      </c>
      <c r="C525" s="6">
        <v>920</v>
      </c>
      <c r="D525" s="1051">
        <v>0</v>
      </c>
    </row>
    <row r="526" spans="2:4">
      <c r="B526" s="6" t="s">
        <v>1550</v>
      </c>
      <c r="C526" s="6">
        <v>921</v>
      </c>
      <c r="D526" s="1051">
        <v>0</v>
      </c>
    </row>
    <row r="527" spans="2:4">
      <c r="B527" s="6" t="s">
        <v>1550</v>
      </c>
      <c r="C527" s="6">
        <v>923</v>
      </c>
      <c r="D527" s="1051">
        <v>0</v>
      </c>
    </row>
    <row r="528" spans="2:4">
      <c r="B528" s="6" t="s">
        <v>1550</v>
      </c>
      <c r="C528" s="6">
        <v>924</v>
      </c>
      <c r="D528" s="1051">
        <v>0</v>
      </c>
    </row>
    <row r="529" spans="2:4">
      <c r="B529" s="6" t="s">
        <v>1550</v>
      </c>
      <c r="C529" s="6">
        <v>925</v>
      </c>
      <c r="D529" s="1051">
        <v>0</v>
      </c>
    </row>
    <row r="530" spans="2:4">
      <c r="B530" s="6" t="s">
        <v>1550</v>
      </c>
      <c r="C530" s="6">
        <v>926</v>
      </c>
      <c r="D530" s="1051">
        <v>0.99967644562049773</v>
      </c>
    </row>
    <row r="531" spans="2:4">
      <c r="B531" s="6" t="s">
        <v>1550</v>
      </c>
      <c r="C531" s="6">
        <v>928</v>
      </c>
      <c r="D531" s="1051">
        <v>0</v>
      </c>
    </row>
    <row r="532" spans="2:4">
      <c r="B532" s="6" t="s">
        <v>1550</v>
      </c>
      <c r="C532" s="6">
        <v>930</v>
      </c>
      <c r="D532" s="1051">
        <v>0</v>
      </c>
    </row>
    <row r="533" spans="2:4">
      <c r="B533" s="6" t="s">
        <v>1550</v>
      </c>
      <c r="C533" s="6">
        <v>931</v>
      </c>
      <c r="D533" s="1051">
        <v>0</v>
      </c>
    </row>
    <row r="534" spans="2:4">
      <c r="B534" s="6" t="s">
        <v>1550</v>
      </c>
      <c r="C534" s="6">
        <v>932</v>
      </c>
      <c r="D534" s="1051">
        <v>0</v>
      </c>
    </row>
    <row r="535" spans="2:4">
      <c r="B535" s="6" t="s">
        <v>1550</v>
      </c>
      <c r="C535" s="6">
        <v>935</v>
      </c>
      <c r="D535" s="1051">
        <v>0</v>
      </c>
    </row>
    <row r="536" spans="2:4">
      <c r="B536" s="6" t="s">
        <v>1541</v>
      </c>
      <c r="C536" s="6">
        <v>801</v>
      </c>
      <c r="D536" s="1051">
        <v>0</v>
      </c>
    </row>
    <row r="537" spans="2:4">
      <c r="B537" s="6" t="s">
        <v>1541</v>
      </c>
      <c r="C537" s="6">
        <v>803</v>
      </c>
      <c r="D537" s="1051">
        <v>0</v>
      </c>
    </row>
    <row r="538" spans="2:4">
      <c r="B538" s="6" t="s">
        <v>1541</v>
      </c>
      <c r="C538" s="6">
        <v>804</v>
      </c>
      <c r="D538" s="1051">
        <v>0</v>
      </c>
    </row>
    <row r="539" spans="2:4">
      <c r="B539" s="6" t="s">
        <v>1541</v>
      </c>
      <c r="C539" s="6">
        <v>805</v>
      </c>
      <c r="D539" s="1051">
        <v>0</v>
      </c>
    </row>
    <row r="540" spans="2:4">
      <c r="B540" s="6" t="s">
        <v>1541</v>
      </c>
      <c r="C540" s="6">
        <v>806</v>
      </c>
      <c r="D540" s="1051">
        <v>0</v>
      </c>
    </row>
    <row r="541" spans="2:4">
      <c r="B541" s="6" t="s">
        <v>1541</v>
      </c>
      <c r="C541" s="6">
        <v>807</v>
      </c>
      <c r="D541" s="1051">
        <v>0</v>
      </c>
    </row>
    <row r="542" spans="2:4">
      <c r="B542" s="6" t="s">
        <v>1541</v>
      </c>
      <c r="C542" s="6">
        <v>808</v>
      </c>
      <c r="D542" s="1051">
        <v>0</v>
      </c>
    </row>
    <row r="543" spans="2:4">
      <c r="B543" s="6" t="s">
        <v>1541</v>
      </c>
      <c r="C543" s="6">
        <v>812</v>
      </c>
      <c r="D543" s="1051">
        <v>0</v>
      </c>
    </row>
    <row r="544" spans="2:4">
      <c r="B544" s="6" t="s">
        <v>1541</v>
      </c>
      <c r="C544" s="6">
        <v>870</v>
      </c>
      <c r="D544" s="1051">
        <v>0</v>
      </c>
    </row>
    <row r="545" spans="2:4">
      <c r="B545" s="6" t="s">
        <v>1541</v>
      </c>
      <c r="C545" s="6">
        <v>871</v>
      </c>
      <c r="D545" s="1051">
        <v>0</v>
      </c>
    </row>
    <row r="546" spans="2:4">
      <c r="B546" s="6" t="s">
        <v>1541</v>
      </c>
      <c r="C546" s="6">
        <v>874</v>
      </c>
      <c r="D546" s="1051">
        <v>0</v>
      </c>
    </row>
    <row r="547" spans="2:4">
      <c r="B547" s="6" t="s">
        <v>1541</v>
      </c>
      <c r="C547" s="6">
        <v>875</v>
      </c>
      <c r="D547" s="1051">
        <v>0</v>
      </c>
    </row>
    <row r="548" spans="2:4">
      <c r="B548" s="6" t="s">
        <v>1541</v>
      </c>
      <c r="C548" s="6">
        <v>876</v>
      </c>
      <c r="D548" s="1051">
        <v>0</v>
      </c>
    </row>
    <row r="549" spans="2:4">
      <c r="B549" s="6" t="s">
        <v>1541</v>
      </c>
      <c r="C549" s="6">
        <v>878</v>
      </c>
      <c r="D549" s="1051">
        <v>0</v>
      </c>
    </row>
    <row r="550" spans="2:4">
      <c r="B550" s="6" t="s">
        <v>1541</v>
      </c>
      <c r="C550" s="6">
        <v>879</v>
      </c>
      <c r="D550" s="1051">
        <v>0</v>
      </c>
    </row>
    <row r="551" spans="2:4">
      <c r="B551" s="6" t="s">
        <v>1541</v>
      </c>
      <c r="C551" s="6">
        <v>880</v>
      </c>
      <c r="D551" s="1051">
        <v>0</v>
      </c>
    </row>
    <row r="552" spans="2:4">
      <c r="B552" s="6" t="s">
        <v>1541</v>
      </c>
      <c r="C552" s="6">
        <v>881</v>
      </c>
      <c r="D552" s="1051">
        <v>0</v>
      </c>
    </row>
    <row r="553" spans="2:4">
      <c r="B553" s="6" t="s">
        <v>1541</v>
      </c>
      <c r="C553" s="6">
        <v>885</v>
      </c>
      <c r="D553" s="1051">
        <v>0</v>
      </c>
    </row>
    <row r="554" spans="2:4">
      <c r="B554" s="6" t="s">
        <v>1541</v>
      </c>
      <c r="C554" s="6">
        <v>886</v>
      </c>
      <c r="D554" s="1051">
        <v>0</v>
      </c>
    </row>
    <row r="555" spans="2:4">
      <c r="B555" s="6" t="s">
        <v>1541</v>
      </c>
      <c r="C555" s="6">
        <v>887</v>
      </c>
      <c r="D555" s="1051">
        <v>0</v>
      </c>
    </row>
    <row r="556" spans="2:4">
      <c r="B556" s="6" t="s">
        <v>1541</v>
      </c>
      <c r="C556" s="6">
        <v>889</v>
      </c>
      <c r="D556" s="1051">
        <v>0</v>
      </c>
    </row>
    <row r="557" spans="2:4">
      <c r="B557" s="6" t="s">
        <v>1541</v>
      </c>
      <c r="C557" s="6">
        <v>890</v>
      </c>
      <c r="D557" s="1051">
        <v>0</v>
      </c>
    </row>
    <row r="558" spans="2:4">
      <c r="B558" s="6" t="s">
        <v>1541</v>
      </c>
      <c r="C558" s="6">
        <v>892</v>
      </c>
      <c r="D558" s="1051">
        <v>0</v>
      </c>
    </row>
    <row r="559" spans="2:4">
      <c r="B559" s="6" t="s">
        <v>1541</v>
      </c>
      <c r="C559" s="6">
        <v>893</v>
      </c>
      <c r="D559" s="1051">
        <v>0</v>
      </c>
    </row>
    <row r="560" spans="2:4">
      <c r="B560" s="6" t="s">
        <v>1541</v>
      </c>
      <c r="C560" s="6">
        <v>894</v>
      </c>
      <c r="D560" s="1051">
        <v>0</v>
      </c>
    </row>
    <row r="561" spans="2:4">
      <c r="B561" s="6" t="s">
        <v>1541</v>
      </c>
      <c r="C561" s="6">
        <v>902</v>
      </c>
      <c r="D561" s="1051">
        <v>0</v>
      </c>
    </row>
    <row r="562" spans="2:4">
      <c r="B562" s="6" t="s">
        <v>1541</v>
      </c>
      <c r="C562" s="6">
        <v>903</v>
      </c>
      <c r="D562" s="1051">
        <v>0</v>
      </c>
    </row>
    <row r="563" spans="2:4">
      <c r="B563" s="6" t="s">
        <v>1541</v>
      </c>
      <c r="C563" s="6">
        <v>904</v>
      </c>
      <c r="D563" s="1051">
        <v>1</v>
      </c>
    </row>
    <row r="564" spans="2:4">
      <c r="B564" s="6" t="s">
        <v>1541</v>
      </c>
      <c r="C564" s="6">
        <v>905</v>
      </c>
      <c r="D564" s="1051">
        <v>0</v>
      </c>
    </row>
    <row r="565" spans="2:4">
      <c r="B565" s="6" t="s">
        <v>1541</v>
      </c>
      <c r="C565" s="6">
        <v>907</v>
      </c>
      <c r="D565" s="1051">
        <v>0</v>
      </c>
    </row>
    <row r="566" spans="2:4">
      <c r="B566" s="6" t="s">
        <v>1541</v>
      </c>
      <c r="C566" s="6">
        <v>908</v>
      </c>
      <c r="D566" s="1051">
        <v>0</v>
      </c>
    </row>
    <row r="567" spans="2:4">
      <c r="B567" s="6" t="s">
        <v>1541</v>
      </c>
      <c r="C567" s="6">
        <v>909</v>
      </c>
      <c r="D567" s="1051">
        <v>0</v>
      </c>
    </row>
    <row r="568" spans="2:4">
      <c r="B568" s="6" t="s">
        <v>1541</v>
      </c>
      <c r="C568" s="6">
        <v>910</v>
      </c>
      <c r="D568" s="1051">
        <v>0</v>
      </c>
    </row>
    <row r="569" spans="2:4">
      <c r="B569" s="6" t="s">
        <v>1541</v>
      </c>
      <c r="C569" s="6">
        <v>911</v>
      </c>
      <c r="D569" s="1051">
        <v>0</v>
      </c>
    </row>
    <row r="570" spans="2:4">
      <c r="B570" s="6" t="s">
        <v>1541</v>
      </c>
      <c r="C570" s="6">
        <v>912</v>
      </c>
      <c r="D570" s="1051">
        <v>0</v>
      </c>
    </row>
    <row r="571" spans="2:4">
      <c r="B571" s="6" t="s">
        <v>1541</v>
      </c>
      <c r="C571" s="6">
        <v>913</v>
      </c>
      <c r="D571" s="1051">
        <v>0</v>
      </c>
    </row>
    <row r="572" spans="2:4">
      <c r="B572" s="6" t="s">
        <v>1541</v>
      </c>
      <c r="C572" s="6">
        <v>920</v>
      </c>
      <c r="D572" s="1051">
        <v>0</v>
      </c>
    </row>
    <row r="573" spans="2:4">
      <c r="B573" s="6" t="s">
        <v>1541</v>
      </c>
      <c r="C573" s="6">
        <v>921</v>
      </c>
      <c r="D573" s="1051">
        <v>0</v>
      </c>
    </row>
    <row r="574" spans="2:4">
      <c r="B574" s="6" t="s">
        <v>1541</v>
      </c>
      <c r="C574" s="6">
        <v>923</v>
      </c>
      <c r="D574" s="1051">
        <v>0</v>
      </c>
    </row>
    <row r="575" spans="2:4">
      <c r="B575" s="6" t="s">
        <v>1541</v>
      </c>
      <c r="C575" s="6">
        <v>924</v>
      </c>
      <c r="D575" s="1051">
        <v>0</v>
      </c>
    </row>
    <row r="576" spans="2:4">
      <c r="B576" s="6" t="s">
        <v>1541</v>
      </c>
      <c r="C576" s="6">
        <v>925</v>
      </c>
      <c r="D576" s="1051">
        <v>0</v>
      </c>
    </row>
    <row r="577" spans="2:4">
      <c r="B577" s="6" t="s">
        <v>1541</v>
      </c>
      <c r="C577" s="6">
        <v>926</v>
      </c>
      <c r="D577" s="1051">
        <v>0</v>
      </c>
    </row>
    <row r="578" spans="2:4">
      <c r="B578" s="6" t="s">
        <v>1541</v>
      </c>
      <c r="C578" s="6">
        <v>928</v>
      </c>
      <c r="D578" s="1051">
        <v>0</v>
      </c>
    </row>
    <row r="579" spans="2:4">
      <c r="B579" s="6" t="s">
        <v>1541</v>
      </c>
      <c r="C579" s="6">
        <v>930</v>
      </c>
      <c r="D579" s="1051">
        <v>0</v>
      </c>
    </row>
    <row r="580" spans="2:4">
      <c r="B580" s="6" t="s">
        <v>1541</v>
      </c>
      <c r="C580" s="6">
        <v>931</v>
      </c>
      <c r="D580" s="1051">
        <v>0</v>
      </c>
    </row>
    <row r="581" spans="2:4">
      <c r="B581" s="6" t="s">
        <v>1541</v>
      </c>
      <c r="C581" s="6">
        <v>932</v>
      </c>
      <c r="D581" s="1051">
        <v>0</v>
      </c>
    </row>
    <row r="582" spans="2:4">
      <c r="B582" s="6" t="s">
        <v>1541</v>
      </c>
      <c r="C582" s="6">
        <v>935</v>
      </c>
      <c r="D582" s="1051">
        <v>0</v>
      </c>
    </row>
    <row r="583" spans="2:4">
      <c r="B583" s="6" t="s">
        <v>1093</v>
      </c>
      <c r="C583" s="6">
        <v>801</v>
      </c>
      <c r="D583" s="1051">
        <v>3.738302750035487E-3</v>
      </c>
    </row>
    <row r="584" spans="2:4">
      <c r="B584" s="6" t="s">
        <v>1093</v>
      </c>
      <c r="C584" s="6">
        <v>803</v>
      </c>
      <c r="D584" s="1051">
        <v>0.49506120462767894</v>
      </c>
    </row>
    <row r="585" spans="2:4">
      <c r="B585" s="6" t="s">
        <v>1093</v>
      </c>
      <c r="C585" s="6">
        <v>804</v>
      </c>
      <c r="D585" s="1051">
        <v>3.2725271643607057E-2</v>
      </c>
    </row>
    <row r="586" spans="2:4">
      <c r="B586" s="6" t="s">
        <v>1093</v>
      </c>
      <c r="C586" s="6">
        <v>805</v>
      </c>
      <c r="D586" s="1051">
        <v>0.43327070509135213</v>
      </c>
    </row>
    <row r="587" spans="2:4">
      <c r="B587" s="6" t="s">
        <v>1093</v>
      </c>
      <c r="C587" s="6">
        <v>806</v>
      </c>
      <c r="D587" s="1051">
        <v>4.7273151974626768E-2</v>
      </c>
    </row>
    <row r="588" spans="2:4">
      <c r="B588" s="6" t="s">
        <v>1093</v>
      </c>
      <c r="C588" s="6">
        <v>807</v>
      </c>
      <c r="D588" s="1051">
        <v>0</v>
      </c>
    </row>
    <row r="589" spans="2:4">
      <c r="B589" s="6" t="s">
        <v>1093</v>
      </c>
      <c r="C589" s="6">
        <v>808</v>
      </c>
      <c r="D589" s="1051">
        <v>-0.25510057187372209</v>
      </c>
    </row>
    <row r="590" spans="2:4">
      <c r="B590" s="6" t="s">
        <v>1093</v>
      </c>
      <c r="C590" s="6">
        <v>812</v>
      </c>
      <c r="D590" s="1051">
        <v>-1.1412235737911164E-3</v>
      </c>
    </row>
    <row r="591" spans="2:4">
      <c r="B591" s="6" t="s">
        <v>1093</v>
      </c>
      <c r="C591" s="6">
        <v>870</v>
      </c>
      <c r="D591" s="1051">
        <v>0</v>
      </c>
    </row>
    <row r="592" spans="2:4">
      <c r="B592" s="6" t="s">
        <v>1093</v>
      </c>
      <c r="C592" s="6">
        <v>871</v>
      </c>
      <c r="D592" s="1051">
        <v>0</v>
      </c>
    </row>
    <row r="593" spans="2:4">
      <c r="B593" s="6" t="s">
        <v>1093</v>
      </c>
      <c r="C593" s="6">
        <v>874</v>
      </c>
      <c r="D593" s="1051">
        <v>0</v>
      </c>
    </row>
    <row r="594" spans="2:4">
      <c r="B594" s="6" t="s">
        <v>1093</v>
      </c>
      <c r="C594" s="6">
        <v>875</v>
      </c>
      <c r="D594" s="1051">
        <v>0</v>
      </c>
    </row>
    <row r="595" spans="2:4">
      <c r="B595" s="6" t="s">
        <v>1093</v>
      </c>
      <c r="C595" s="6">
        <v>876</v>
      </c>
      <c r="D595" s="1051">
        <v>0</v>
      </c>
    </row>
    <row r="596" spans="2:4">
      <c r="B596" s="6" t="s">
        <v>1093</v>
      </c>
      <c r="C596" s="6">
        <v>878</v>
      </c>
      <c r="D596" s="1051">
        <v>0</v>
      </c>
    </row>
    <row r="597" spans="2:4">
      <c r="B597" s="6" t="s">
        <v>1093</v>
      </c>
      <c r="C597" s="6">
        <v>879</v>
      </c>
      <c r="D597" s="1051">
        <v>0</v>
      </c>
    </row>
    <row r="598" spans="2:4">
      <c r="B598" s="6" t="s">
        <v>1093</v>
      </c>
      <c r="C598" s="6">
        <v>880</v>
      </c>
      <c r="D598" s="1051">
        <v>0</v>
      </c>
    </row>
    <row r="599" spans="2:4">
      <c r="B599" s="6" t="s">
        <v>1093</v>
      </c>
      <c r="C599" s="6">
        <v>881</v>
      </c>
      <c r="D599" s="1051">
        <v>0</v>
      </c>
    </row>
    <row r="600" spans="2:4">
      <c r="B600" s="6" t="s">
        <v>1093</v>
      </c>
      <c r="C600" s="6">
        <v>885</v>
      </c>
      <c r="D600" s="1051">
        <v>0</v>
      </c>
    </row>
    <row r="601" spans="2:4">
      <c r="B601" s="6" t="s">
        <v>1093</v>
      </c>
      <c r="C601" s="6">
        <v>886</v>
      </c>
      <c r="D601" s="1051">
        <v>0</v>
      </c>
    </row>
    <row r="602" spans="2:4">
      <c r="B602" s="6" t="s">
        <v>1093</v>
      </c>
      <c r="C602" s="6">
        <v>887</v>
      </c>
      <c r="D602" s="1051">
        <v>0</v>
      </c>
    </row>
    <row r="603" spans="2:4">
      <c r="B603" s="6" t="s">
        <v>1093</v>
      </c>
      <c r="C603" s="6">
        <v>889</v>
      </c>
      <c r="D603" s="1051">
        <v>0</v>
      </c>
    </row>
    <row r="604" spans="2:4">
      <c r="B604" s="6" t="s">
        <v>1093</v>
      </c>
      <c r="C604" s="6">
        <v>890</v>
      </c>
      <c r="D604" s="1051">
        <v>0</v>
      </c>
    </row>
    <row r="605" spans="2:4">
      <c r="B605" s="6" t="s">
        <v>1093</v>
      </c>
      <c r="C605" s="6">
        <v>892</v>
      </c>
      <c r="D605" s="1051">
        <v>0</v>
      </c>
    </row>
    <row r="606" spans="2:4">
      <c r="B606" s="6" t="s">
        <v>1093</v>
      </c>
      <c r="C606" s="6">
        <v>893</v>
      </c>
      <c r="D606" s="1051">
        <v>0</v>
      </c>
    </row>
    <row r="607" spans="2:4">
      <c r="B607" s="6" t="s">
        <v>1093</v>
      </c>
      <c r="C607" s="6">
        <v>894</v>
      </c>
      <c r="D607" s="1051">
        <v>0</v>
      </c>
    </row>
    <row r="608" spans="2:4">
      <c r="B608" s="6" t="s">
        <v>1093</v>
      </c>
      <c r="C608" s="6">
        <v>902</v>
      </c>
      <c r="D608" s="1051">
        <v>0</v>
      </c>
    </row>
    <row r="609" spans="2:4">
      <c r="B609" s="6" t="s">
        <v>1093</v>
      </c>
      <c r="C609" s="6">
        <v>903</v>
      </c>
      <c r="D609" s="1051">
        <v>0</v>
      </c>
    </row>
    <row r="610" spans="2:4">
      <c r="B610" s="6" t="s">
        <v>1093</v>
      </c>
      <c r="C610" s="6">
        <v>904</v>
      </c>
      <c r="D610" s="1051">
        <v>0</v>
      </c>
    </row>
    <row r="611" spans="2:4">
      <c r="B611" s="6" t="s">
        <v>1093</v>
      </c>
      <c r="C611" s="6">
        <v>905</v>
      </c>
      <c r="D611" s="1051">
        <v>0</v>
      </c>
    </row>
    <row r="612" spans="2:4">
      <c r="B612" s="6" t="s">
        <v>1093</v>
      </c>
      <c r="C612" s="6">
        <v>907</v>
      </c>
      <c r="D612" s="1051">
        <v>0</v>
      </c>
    </row>
    <row r="613" spans="2:4">
      <c r="B613" s="6" t="s">
        <v>1093</v>
      </c>
      <c r="C613" s="6">
        <v>908</v>
      </c>
      <c r="D613" s="1051">
        <v>0</v>
      </c>
    </row>
    <row r="614" spans="2:4">
      <c r="B614" s="6" t="s">
        <v>1093</v>
      </c>
      <c r="C614" s="6">
        <v>909</v>
      </c>
      <c r="D614" s="1051">
        <v>0</v>
      </c>
    </row>
    <row r="615" spans="2:4">
      <c r="B615" s="6" t="s">
        <v>1093</v>
      </c>
      <c r="C615" s="6">
        <v>910</v>
      </c>
      <c r="D615" s="1051">
        <v>0</v>
      </c>
    </row>
    <row r="616" spans="2:4">
      <c r="B616" s="6" t="s">
        <v>1093</v>
      </c>
      <c r="C616" s="6">
        <v>911</v>
      </c>
      <c r="D616" s="1051">
        <v>0</v>
      </c>
    </row>
    <row r="617" spans="2:4">
      <c r="B617" s="6" t="s">
        <v>1093</v>
      </c>
      <c r="C617" s="6">
        <v>912</v>
      </c>
      <c r="D617" s="1051">
        <v>0</v>
      </c>
    </row>
    <row r="618" spans="2:4">
      <c r="B618" s="6" t="s">
        <v>1093</v>
      </c>
      <c r="C618" s="6">
        <v>913</v>
      </c>
      <c r="D618" s="1051">
        <v>0</v>
      </c>
    </row>
    <row r="619" spans="2:4">
      <c r="B619" s="6" t="s">
        <v>1093</v>
      </c>
      <c r="C619" s="6">
        <v>920</v>
      </c>
      <c r="D619" s="1051">
        <v>0</v>
      </c>
    </row>
    <row r="620" spans="2:4">
      <c r="B620" s="6" t="s">
        <v>1093</v>
      </c>
      <c r="C620" s="6">
        <v>921</v>
      </c>
      <c r="D620" s="1051">
        <v>0</v>
      </c>
    </row>
    <row r="621" spans="2:4">
      <c r="B621" s="6" t="s">
        <v>1093</v>
      </c>
      <c r="C621" s="6">
        <v>923</v>
      </c>
      <c r="D621" s="1051">
        <v>0</v>
      </c>
    </row>
    <row r="622" spans="2:4">
      <c r="B622" s="6" t="s">
        <v>1093</v>
      </c>
      <c r="C622" s="6">
        <v>924</v>
      </c>
      <c r="D622" s="1051">
        <v>0</v>
      </c>
    </row>
    <row r="623" spans="2:4">
      <c r="B623" s="6" t="s">
        <v>1093</v>
      </c>
      <c r="C623" s="6">
        <v>925</v>
      </c>
      <c r="D623" s="1051">
        <v>0</v>
      </c>
    </row>
    <row r="624" spans="2:4">
      <c r="B624" s="6" t="s">
        <v>1093</v>
      </c>
      <c r="C624" s="6">
        <v>926</v>
      </c>
      <c r="D624" s="1051">
        <v>0</v>
      </c>
    </row>
    <row r="625" spans="2:4">
      <c r="B625" s="6" t="s">
        <v>1093</v>
      </c>
      <c r="C625" s="6">
        <v>928</v>
      </c>
      <c r="D625" s="1051">
        <v>0</v>
      </c>
    </row>
    <row r="626" spans="2:4">
      <c r="B626" s="6" t="s">
        <v>1093</v>
      </c>
      <c r="C626" s="6">
        <v>930</v>
      </c>
      <c r="D626" s="1051">
        <v>0</v>
      </c>
    </row>
    <row r="627" spans="2:4">
      <c r="B627" s="6" t="s">
        <v>1093</v>
      </c>
      <c r="C627" s="6">
        <v>931</v>
      </c>
      <c r="D627" s="1051">
        <v>0</v>
      </c>
    </row>
    <row r="628" spans="2:4">
      <c r="B628" s="6" t="s">
        <v>1093</v>
      </c>
      <c r="C628" s="6">
        <v>932</v>
      </c>
      <c r="D628" s="1051">
        <v>0</v>
      </c>
    </row>
    <row r="629" spans="2:4">
      <c r="B629" s="6" t="s">
        <v>1093</v>
      </c>
      <c r="C629" s="6">
        <v>935</v>
      </c>
      <c r="D629" s="1051">
        <v>0</v>
      </c>
    </row>
    <row r="630" spans="2:4">
      <c r="B630" s="6" t="s">
        <v>1094</v>
      </c>
      <c r="C630" s="6">
        <v>801</v>
      </c>
      <c r="D630" s="1051">
        <v>0</v>
      </c>
    </row>
    <row r="631" spans="2:4">
      <c r="B631" s="6" t="s">
        <v>1094</v>
      </c>
      <c r="C631" s="6">
        <v>803</v>
      </c>
      <c r="D631" s="1051">
        <v>0</v>
      </c>
    </row>
    <row r="632" spans="2:4">
      <c r="B632" s="6" t="s">
        <v>1094</v>
      </c>
      <c r="C632" s="6">
        <v>804</v>
      </c>
      <c r="D632" s="1051">
        <v>0</v>
      </c>
    </row>
    <row r="633" spans="2:4">
      <c r="B633" s="6" t="s">
        <v>1094</v>
      </c>
      <c r="C633" s="6">
        <v>805</v>
      </c>
      <c r="D633" s="1051">
        <v>0</v>
      </c>
    </row>
    <row r="634" spans="2:4">
      <c r="B634" s="6" t="s">
        <v>1094</v>
      </c>
      <c r="C634" s="6">
        <v>806</v>
      </c>
      <c r="D634" s="1051">
        <v>0</v>
      </c>
    </row>
    <row r="635" spans="2:4">
      <c r="B635" s="6" t="s">
        <v>1094</v>
      </c>
      <c r="C635" s="6">
        <v>807</v>
      </c>
      <c r="D635" s="1051">
        <v>0</v>
      </c>
    </row>
    <row r="636" spans="2:4">
      <c r="B636" s="6" t="s">
        <v>1094</v>
      </c>
      <c r="C636" s="6">
        <v>808</v>
      </c>
      <c r="D636" s="1051">
        <v>0</v>
      </c>
    </row>
    <row r="637" spans="2:4">
      <c r="B637" s="6" t="s">
        <v>1094</v>
      </c>
      <c r="C637" s="6">
        <v>812</v>
      </c>
      <c r="D637" s="1051">
        <v>0</v>
      </c>
    </row>
    <row r="638" spans="2:4">
      <c r="B638" s="6" t="s">
        <v>1094</v>
      </c>
      <c r="C638" s="6">
        <v>870</v>
      </c>
      <c r="D638" s="1051">
        <v>0</v>
      </c>
    </row>
    <row r="639" spans="2:4">
      <c r="B639" s="6" t="s">
        <v>1094</v>
      </c>
      <c r="C639" s="6">
        <v>871</v>
      </c>
      <c r="D639" s="1051">
        <v>0</v>
      </c>
    </row>
    <row r="640" spans="2:4">
      <c r="B640" s="6" t="s">
        <v>1094</v>
      </c>
      <c r="C640" s="6">
        <v>874</v>
      </c>
      <c r="D640" s="1051">
        <v>0</v>
      </c>
    </row>
    <row r="641" spans="2:4">
      <c r="B641" s="6" t="s">
        <v>1094</v>
      </c>
      <c r="C641" s="6">
        <v>875</v>
      </c>
      <c r="D641" s="1051">
        <v>0</v>
      </c>
    </row>
    <row r="642" spans="2:4">
      <c r="B642" s="6" t="s">
        <v>1094</v>
      </c>
      <c r="C642" s="6">
        <v>876</v>
      </c>
      <c r="D642" s="1051">
        <v>0</v>
      </c>
    </row>
    <row r="643" spans="2:4">
      <c r="B643" s="6" t="s">
        <v>1094</v>
      </c>
      <c r="C643" s="6">
        <v>878</v>
      </c>
      <c r="D643" s="1051">
        <v>0</v>
      </c>
    </row>
    <row r="644" spans="2:4">
      <c r="B644" s="6" t="s">
        <v>1094</v>
      </c>
      <c r="C644" s="6">
        <v>879</v>
      </c>
      <c r="D644" s="1051">
        <v>0</v>
      </c>
    </row>
    <row r="645" spans="2:4">
      <c r="B645" s="6" t="s">
        <v>1094</v>
      </c>
      <c r="C645" s="6">
        <v>880</v>
      </c>
      <c r="D645" s="1051">
        <v>0</v>
      </c>
    </row>
    <row r="646" spans="2:4">
      <c r="B646" s="6" t="s">
        <v>1094</v>
      </c>
      <c r="C646" s="6">
        <v>881</v>
      </c>
      <c r="D646" s="1051">
        <v>0</v>
      </c>
    </row>
    <row r="647" spans="2:4">
      <c r="B647" s="6" t="s">
        <v>1094</v>
      </c>
      <c r="C647" s="6">
        <v>885</v>
      </c>
      <c r="D647" s="1051">
        <v>0</v>
      </c>
    </row>
    <row r="648" spans="2:4">
      <c r="B648" s="6" t="s">
        <v>1094</v>
      </c>
      <c r="C648" s="6">
        <v>886</v>
      </c>
      <c r="D648" s="1051">
        <v>0</v>
      </c>
    </row>
    <row r="649" spans="2:4">
      <c r="B649" s="6" t="s">
        <v>1094</v>
      </c>
      <c r="C649" s="6">
        <v>887</v>
      </c>
      <c r="D649" s="1051">
        <v>0</v>
      </c>
    </row>
    <row r="650" spans="2:4">
      <c r="B650" s="6" t="s">
        <v>1094</v>
      </c>
      <c r="C650" s="6">
        <v>889</v>
      </c>
      <c r="D650" s="1051">
        <v>0</v>
      </c>
    </row>
    <row r="651" spans="2:4">
      <c r="B651" s="6" t="s">
        <v>1094</v>
      </c>
      <c r="C651" s="6">
        <v>890</v>
      </c>
      <c r="D651" s="1051">
        <v>0</v>
      </c>
    </row>
    <row r="652" spans="2:4">
      <c r="B652" s="6" t="s">
        <v>1094</v>
      </c>
      <c r="C652" s="6">
        <v>892</v>
      </c>
      <c r="D652" s="1051">
        <v>0</v>
      </c>
    </row>
    <row r="653" spans="2:4">
      <c r="B653" s="6" t="s">
        <v>1094</v>
      </c>
      <c r="C653" s="6">
        <v>893</v>
      </c>
      <c r="D653" s="1051">
        <v>0</v>
      </c>
    </row>
    <row r="654" spans="2:4">
      <c r="B654" s="6" t="s">
        <v>1094</v>
      </c>
      <c r="C654" s="6">
        <v>894</v>
      </c>
      <c r="D654" s="1051">
        <v>0</v>
      </c>
    </row>
    <row r="655" spans="2:4">
      <c r="B655" s="6" t="s">
        <v>1094</v>
      </c>
      <c r="C655" s="6">
        <v>902</v>
      </c>
      <c r="D655" s="1051">
        <v>0</v>
      </c>
    </row>
    <row r="656" spans="2:4">
      <c r="B656" s="6" t="s">
        <v>1094</v>
      </c>
      <c r="C656" s="6">
        <v>903</v>
      </c>
      <c r="D656" s="1051">
        <v>0</v>
      </c>
    </row>
    <row r="657" spans="2:4">
      <c r="B657" s="6" t="s">
        <v>1094</v>
      </c>
      <c r="C657" s="6">
        <v>904</v>
      </c>
      <c r="D657" s="1051">
        <v>0</v>
      </c>
    </row>
    <row r="658" spans="2:4">
      <c r="B658" s="6" t="s">
        <v>1094</v>
      </c>
      <c r="C658" s="6">
        <v>905</v>
      </c>
      <c r="D658" s="1051">
        <v>0</v>
      </c>
    </row>
    <row r="659" spans="2:4">
      <c r="B659" s="6" t="s">
        <v>1094</v>
      </c>
      <c r="C659" s="6">
        <v>907</v>
      </c>
      <c r="D659" s="1051">
        <v>0</v>
      </c>
    </row>
    <row r="660" spans="2:4">
      <c r="B660" s="6" t="s">
        <v>1094</v>
      </c>
      <c r="C660" s="6">
        <v>908</v>
      </c>
      <c r="D660" s="1051">
        <v>0</v>
      </c>
    </row>
    <row r="661" spans="2:4">
      <c r="B661" s="6" t="s">
        <v>1094</v>
      </c>
      <c r="C661" s="6">
        <v>909</v>
      </c>
      <c r="D661" s="1051">
        <v>0</v>
      </c>
    </row>
    <row r="662" spans="2:4">
      <c r="B662" s="6" t="s">
        <v>1094</v>
      </c>
      <c r="C662" s="6">
        <v>910</v>
      </c>
      <c r="D662" s="1051">
        <v>0</v>
      </c>
    </row>
    <row r="663" spans="2:4">
      <c r="B663" s="6" t="s">
        <v>1094</v>
      </c>
      <c r="C663" s="6">
        <v>911</v>
      </c>
      <c r="D663" s="1051">
        <v>0</v>
      </c>
    </row>
    <row r="664" spans="2:4">
      <c r="B664" s="6" t="s">
        <v>1094</v>
      </c>
      <c r="C664" s="6">
        <v>912</v>
      </c>
      <c r="D664" s="1051">
        <v>0</v>
      </c>
    </row>
    <row r="665" spans="2:4">
      <c r="B665" s="6" t="s">
        <v>1094</v>
      </c>
      <c r="C665" s="6">
        <v>913</v>
      </c>
      <c r="D665" s="1051">
        <v>0</v>
      </c>
    </row>
    <row r="666" spans="2:4">
      <c r="B666" s="6" t="s">
        <v>1094</v>
      </c>
      <c r="C666" s="6">
        <v>920</v>
      </c>
      <c r="D666" s="1051">
        <v>1</v>
      </c>
    </row>
    <row r="667" spans="2:4">
      <c r="B667" s="6" t="s">
        <v>1094</v>
      </c>
      <c r="C667" s="6">
        <v>921</v>
      </c>
      <c r="D667" s="1051">
        <v>0</v>
      </c>
    </row>
    <row r="668" spans="2:4">
      <c r="B668" s="6" t="s">
        <v>1094</v>
      </c>
      <c r="C668" s="6">
        <v>923</v>
      </c>
      <c r="D668" s="1051">
        <v>0</v>
      </c>
    </row>
    <row r="669" spans="2:4">
      <c r="B669" s="6" t="s">
        <v>1094</v>
      </c>
      <c r="C669" s="6">
        <v>924</v>
      </c>
      <c r="D669" s="1051">
        <v>0</v>
      </c>
    </row>
    <row r="670" spans="2:4">
      <c r="B670" s="6" t="s">
        <v>1094</v>
      </c>
      <c r="C670" s="6">
        <v>925</v>
      </c>
      <c r="D670" s="1051">
        <v>0</v>
      </c>
    </row>
    <row r="671" spans="2:4">
      <c r="B671" s="6" t="s">
        <v>1094</v>
      </c>
      <c r="C671" s="6">
        <v>926</v>
      </c>
      <c r="D671" s="1051">
        <v>0</v>
      </c>
    </row>
    <row r="672" spans="2:4">
      <c r="B672" s="6" t="s">
        <v>1094</v>
      </c>
      <c r="C672" s="6">
        <v>928</v>
      </c>
      <c r="D672" s="1051">
        <v>0</v>
      </c>
    </row>
    <row r="673" spans="2:4">
      <c r="B673" s="6" t="s">
        <v>1094</v>
      </c>
      <c r="C673" s="6">
        <v>930</v>
      </c>
      <c r="D673" s="1051">
        <v>0</v>
      </c>
    </row>
    <row r="674" spans="2:4">
      <c r="B674" s="6" t="s">
        <v>1094</v>
      </c>
      <c r="C674" s="6">
        <v>931</v>
      </c>
      <c r="D674" s="1051">
        <v>0</v>
      </c>
    </row>
    <row r="675" spans="2:4">
      <c r="B675" s="6" t="s">
        <v>1094</v>
      </c>
      <c r="C675" s="6">
        <v>932</v>
      </c>
      <c r="D675" s="1051">
        <v>0</v>
      </c>
    </row>
    <row r="676" spans="2:4">
      <c r="B676" s="6" t="s">
        <v>1094</v>
      </c>
      <c r="C676" s="6">
        <v>935</v>
      </c>
      <c r="D676" s="1051">
        <v>0</v>
      </c>
    </row>
    <row r="677" spans="2:4">
      <c r="B677" s="6" t="s">
        <v>1095</v>
      </c>
      <c r="C677" s="6">
        <v>801</v>
      </c>
      <c r="D677" s="1051">
        <v>0</v>
      </c>
    </row>
    <row r="678" spans="2:4">
      <c r="B678" s="6" t="s">
        <v>1095</v>
      </c>
      <c r="C678" s="6">
        <v>803</v>
      </c>
      <c r="D678" s="1051">
        <v>0</v>
      </c>
    </row>
    <row r="679" spans="2:4">
      <c r="B679" s="6" t="s">
        <v>1095</v>
      </c>
      <c r="C679" s="6">
        <v>804</v>
      </c>
      <c r="D679" s="1051">
        <v>0</v>
      </c>
    </row>
    <row r="680" spans="2:4">
      <c r="B680" s="6" t="s">
        <v>1095</v>
      </c>
      <c r="C680" s="6">
        <v>805</v>
      </c>
      <c r="D680" s="1051">
        <v>0</v>
      </c>
    </row>
    <row r="681" spans="2:4">
      <c r="B681" s="6" t="s">
        <v>1095</v>
      </c>
      <c r="C681" s="6">
        <v>806</v>
      </c>
      <c r="D681" s="1051">
        <v>0</v>
      </c>
    </row>
    <row r="682" spans="2:4">
      <c r="B682" s="6" t="s">
        <v>1095</v>
      </c>
      <c r="C682" s="6">
        <v>807</v>
      </c>
      <c r="D682" s="1051">
        <v>0</v>
      </c>
    </row>
    <row r="683" spans="2:4">
      <c r="B683" s="6" t="s">
        <v>1095</v>
      </c>
      <c r="C683" s="6">
        <v>808</v>
      </c>
      <c r="D683" s="1051">
        <v>0</v>
      </c>
    </row>
    <row r="684" spans="2:4">
      <c r="B684" s="6" t="s">
        <v>1095</v>
      </c>
      <c r="C684" s="6">
        <v>812</v>
      </c>
      <c r="D684" s="1051">
        <v>0</v>
      </c>
    </row>
    <row r="685" spans="2:4">
      <c r="B685" s="6" t="s">
        <v>1095</v>
      </c>
      <c r="C685" s="6">
        <v>870</v>
      </c>
      <c r="D685" s="1051">
        <v>0</v>
      </c>
    </row>
    <row r="686" spans="2:4">
      <c r="B686" s="6" t="s">
        <v>1095</v>
      </c>
      <c r="C686" s="6">
        <v>871</v>
      </c>
      <c r="D686" s="1051">
        <v>0</v>
      </c>
    </row>
    <row r="687" spans="2:4">
      <c r="B687" s="6" t="s">
        <v>1095</v>
      </c>
      <c r="C687" s="6">
        <v>874</v>
      </c>
      <c r="D687" s="1051">
        <v>0</v>
      </c>
    </row>
    <row r="688" spans="2:4">
      <c r="B688" s="6" t="s">
        <v>1095</v>
      </c>
      <c r="C688" s="6">
        <v>875</v>
      </c>
      <c r="D688" s="1051">
        <v>0</v>
      </c>
    </row>
    <row r="689" spans="2:4">
      <c r="B689" s="6" t="s">
        <v>1095</v>
      </c>
      <c r="C689" s="6">
        <v>876</v>
      </c>
      <c r="D689" s="1051">
        <v>0</v>
      </c>
    </row>
    <row r="690" spans="2:4">
      <c r="B690" s="6" t="s">
        <v>1095</v>
      </c>
      <c r="C690" s="6">
        <v>878</v>
      </c>
      <c r="D690" s="1051">
        <v>0</v>
      </c>
    </row>
    <row r="691" spans="2:4">
      <c r="B691" s="6" t="s">
        <v>1095</v>
      </c>
      <c r="C691" s="6">
        <v>879</v>
      </c>
      <c r="D691" s="1051">
        <v>0</v>
      </c>
    </row>
    <row r="692" spans="2:4">
      <c r="B692" s="6" t="s">
        <v>1095</v>
      </c>
      <c r="C692" s="6">
        <v>880</v>
      </c>
      <c r="D692" s="1051">
        <v>0</v>
      </c>
    </row>
    <row r="693" spans="2:4">
      <c r="B693" s="6" t="s">
        <v>1095</v>
      </c>
      <c r="C693" s="6">
        <v>881</v>
      </c>
      <c r="D693" s="1051">
        <v>0</v>
      </c>
    </row>
    <row r="694" spans="2:4">
      <c r="B694" s="6" t="s">
        <v>1095</v>
      </c>
      <c r="C694" s="6">
        <v>885</v>
      </c>
      <c r="D694" s="1051">
        <v>0</v>
      </c>
    </row>
    <row r="695" spans="2:4">
      <c r="B695" s="6" t="s">
        <v>1095</v>
      </c>
      <c r="C695" s="6">
        <v>886</v>
      </c>
      <c r="D695" s="1051">
        <v>0</v>
      </c>
    </row>
    <row r="696" spans="2:4">
      <c r="B696" s="6" t="s">
        <v>1095</v>
      </c>
      <c r="C696" s="6">
        <v>887</v>
      </c>
      <c r="D696" s="1051">
        <v>0</v>
      </c>
    </row>
    <row r="697" spans="2:4">
      <c r="B697" s="6" t="s">
        <v>1095</v>
      </c>
      <c r="C697" s="6">
        <v>889</v>
      </c>
      <c r="D697" s="1051">
        <v>0</v>
      </c>
    </row>
    <row r="698" spans="2:4">
      <c r="B698" s="6" t="s">
        <v>1095</v>
      </c>
      <c r="C698" s="6">
        <v>890</v>
      </c>
      <c r="D698" s="1051">
        <v>0</v>
      </c>
    </row>
    <row r="699" spans="2:4">
      <c r="B699" s="6" t="s">
        <v>1095</v>
      </c>
      <c r="C699" s="6">
        <v>892</v>
      </c>
      <c r="D699" s="1051">
        <v>0</v>
      </c>
    </row>
    <row r="700" spans="2:4">
      <c r="B700" s="6" t="s">
        <v>1095</v>
      </c>
      <c r="C700" s="6">
        <v>893</v>
      </c>
      <c r="D700" s="1051">
        <v>0</v>
      </c>
    </row>
    <row r="701" spans="2:4">
      <c r="B701" s="6" t="s">
        <v>1095</v>
      </c>
      <c r="C701" s="6">
        <v>894</v>
      </c>
      <c r="D701" s="1051">
        <v>0</v>
      </c>
    </row>
    <row r="702" spans="2:4">
      <c r="B702" s="6" t="s">
        <v>1095</v>
      </c>
      <c r="C702" s="6">
        <v>902</v>
      </c>
      <c r="D702" s="1051">
        <v>0</v>
      </c>
    </row>
    <row r="703" spans="2:4">
      <c r="B703" s="6" t="s">
        <v>1095</v>
      </c>
      <c r="C703" s="6">
        <v>903</v>
      </c>
      <c r="D703" s="1051">
        <v>0</v>
      </c>
    </row>
    <row r="704" spans="2:4">
      <c r="B704" s="6" t="s">
        <v>1095</v>
      </c>
      <c r="C704" s="6">
        <v>904</v>
      </c>
      <c r="D704" s="1051">
        <v>0</v>
      </c>
    </row>
    <row r="705" spans="2:4">
      <c r="B705" s="6" t="s">
        <v>1095</v>
      </c>
      <c r="C705" s="6">
        <v>905</v>
      </c>
      <c r="D705" s="1051">
        <v>0</v>
      </c>
    </row>
    <row r="706" spans="2:4">
      <c r="B706" s="6" t="s">
        <v>1095</v>
      </c>
      <c r="C706" s="6">
        <v>907</v>
      </c>
      <c r="D706" s="1051">
        <v>0</v>
      </c>
    </row>
    <row r="707" spans="2:4">
      <c r="B707" s="6" t="s">
        <v>1095</v>
      </c>
      <c r="C707" s="6">
        <v>908</v>
      </c>
      <c r="D707" s="1051">
        <v>0</v>
      </c>
    </row>
    <row r="708" spans="2:4">
      <c r="B708" s="6" t="s">
        <v>1095</v>
      </c>
      <c r="C708" s="6">
        <v>909</v>
      </c>
      <c r="D708" s="1051">
        <v>0</v>
      </c>
    </row>
    <row r="709" spans="2:4">
      <c r="B709" s="6" t="s">
        <v>1095</v>
      </c>
      <c r="C709" s="6">
        <v>910</v>
      </c>
      <c r="D709" s="1051">
        <v>0</v>
      </c>
    </row>
    <row r="710" spans="2:4">
      <c r="B710" s="6" t="s">
        <v>1095</v>
      </c>
      <c r="C710" s="6">
        <v>911</v>
      </c>
      <c r="D710" s="1051">
        <v>0</v>
      </c>
    </row>
    <row r="711" spans="2:4">
      <c r="B711" s="6" t="s">
        <v>1095</v>
      </c>
      <c r="C711" s="6">
        <v>912</v>
      </c>
      <c r="D711" s="1051">
        <v>0</v>
      </c>
    </row>
    <row r="712" spans="2:4">
      <c r="B712" s="6" t="s">
        <v>1095</v>
      </c>
      <c r="C712" s="6">
        <v>913</v>
      </c>
      <c r="D712" s="1051">
        <v>0</v>
      </c>
    </row>
    <row r="713" spans="2:4">
      <c r="B713" s="6" t="s">
        <v>1095</v>
      </c>
      <c r="C713" s="6">
        <v>920</v>
      </c>
      <c r="D713" s="1051">
        <v>0</v>
      </c>
    </row>
    <row r="714" spans="2:4">
      <c r="B714" s="6" t="s">
        <v>1095</v>
      </c>
      <c r="C714" s="6">
        <v>921</v>
      </c>
      <c r="D714" s="1051">
        <v>0</v>
      </c>
    </row>
    <row r="715" spans="2:4">
      <c r="B715" s="6" t="s">
        <v>1095</v>
      </c>
      <c r="C715" s="6">
        <v>923</v>
      </c>
      <c r="D715" s="1051">
        <v>0</v>
      </c>
    </row>
    <row r="716" spans="2:4">
      <c r="B716" s="6" t="s">
        <v>1095</v>
      </c>
      <c r="C716" s="6">
        <v>924</v>
      </c>
      <c r="D716" s="1051">
        <v>0</v>
      </c>
    </row>
    <row r="717" spans="2:4">
      <c r="B717" s="6" t="s">
        <v>1095</v>
      </c>
      <c r="C717" s="6">
        <v>925</v>
      </c>
      <c r="D717" s="1051">
        <v>1</v>
      </c>
    </row>
    <row r="718" spans="2:4">
      <c r="B718" s="6" t="s">
        <v>1095</v>
      </c>
      <c r="C718" s="6">
        <v>926</v>
      </c>
      <c r="D718" s="1051">
        <v>0</v>
      </c>
    </row>
    <row r="719" spans="2:4">
      <c r="B719" s="6" t="s">
        <v>1095</v>
      </c>
      <c r="C719" s="6">
        <v>928</v>
      </c>
      <c r="D719" s="1051">
        <v>0</v>
      </c>
    </row>
    <row r="720" spans="2:4">
      <c r="B720" s="6" t="s">
        <v>1095</v>
      </c>
      <c r="C720" s="6">
        <v>930</v>
      </c>
      <c r="D720" s="1051">
        <v>0</v>
      </c>
    </row>
    <row r="721" spans="2:4">
      <c r="B721" s="6" t="s">
        <v>1095</v>
      </c>
      <c r="C721" s="6">
        <v>931</v>
      </c>
      <c r="D721" s="1051">
        <v>0</v>
      </c>
    </row>
    <row r="722" spans="2:4">
      <c r="B722" s="6" t="s">
        <v>1095</v>
      </c>
      <c r="C722" s="6">
        <v>932</v>
      </c>
      <c r="D722" s="1051">
        <v>0</v>
      </c>
    </row>
    <row r="723" spans="2:4">
      <c r="B723" s="6" t="s">
        <v>1095</v>
      </c>
      <c r="C723" s="6">
        <v>935</v>
      </c>
      <c r="D723" s="1051">
        <v>0</v>
      </c>
    </row>
    <row r="724" spans="2:4">
      <c r="B724" s="6" t="s">
        <v>1096</v>
      </c>
      <c r="C724" s="6">
        <v>801</v>
      </c>
      <c r="D724" s="1051">
        <v>0</v>
      </c>
    </row>
    <row r="725" spans="2:4">
      <c r="B725" s="6" t="s">
        <v>1096</v>
      </c>
      <c r="C725" s="6">
        <v>803</v>
      </c>
      <c r="D725" s="1051">
        <v>0</v>
      </c>
    </row>
    <row r="726" spans="2:4">
      <c r="B726" s="6" t="s">
        <v>1096</v>
      </c>
      <c r="C726" s="6">
        <v>804</v>
      </c>
      <c r="D726" s="1051">
        <v>0</v>
      </c>
    </row>
    <row r="727" spans="2:4">
      <c r="B727" s="6" t="s">
        <v>1096</v>
      </c>
      <c r="C727" s="6">
        <v>805</v>
      </c>
      <c r="D727" s="1051">
        <v>0</v>
      </c>
    </row>
    <row r="728" spans="2:4">
      <c r="B728" s="6" t="s">
        <v>1096</v>
      </c>
      <c r="C728" s="6">
        <v>806</v>
      </c>
      <c r="D728" s="1051">
        <v>0</v>
      </c>
    </row>
    <row r="729" spans="2:4">
      <c r="B729" s="6" t="s">
        <v>1096</v>
      </c>
      <c r="C729" s="6">
        <v>807</v>
      </c>
      <c r="D729" s="1051">
        <v>0</v>
      </c>
    </row>
    <row r="730" spans="2:4">
      <c r="B730" s="6" t="s">
        <v>1096</v>
      </c>
      <c r="C730" s="6">
        <v>808</v>
      </c>
      <c r="D730" s="1051">
        <v>0</v>
      </c>
    </row>
    <row r="731" spans="2:4">
      <c r="B731" s="6" t="s">
        <v>1096</v>
      </c>
      <c r="C731" s="6">
        <v>812</v>
      </c>
      <c r="D731" s="1051">
        <v>0</v>
      </c>
    </row>
    <row r="732" spans="2:4">
      <c r="B732" s="6" t="s">
        <v>1096</v>
      </c>
      <c r="C732" s="6">
        <v>870</v>
      </c>
      <c r="D732" s="1051">
        <v>3.112909205369558E-2</v>
      </c>
    </row>
    <row r="733" spans="2:4">
      <c r="B733" s="6" t="s">
        <v>1096</v>
      </c>
      <c r="C733" s="6">
        <v>871</v>
      </c>
      <c r="D733" s="1051">
        <v>1.2483869760828478E-2</v>
      </c>
    </row>
    <row r="734" spans="2:4">
      <c r="B734" s="6" t="s">
        <v>1096</v>
      </c>
      <c r="C734" s="6">
        <v>874</v>
      </c>
      <c r="D734" s="1051">
        <v>0.16612710183796009</v>
      </c>
    </row>
    <row r="735" spans="2:4">
      <c r="B735" s="6" t="s">
        <v>1096</v>
      </c>
      <c r="C735" s="6">
        <v>875</v>
      </c>
      <c r="D735" s="1051">
        <v>1.3324404693287713E-2</v>
      </c>
    </row>
    <row r="736" spans="2:4">
      <c r="B736" s="6" t="s">
        <v>1096</v>
      </c>
      <c r="C736" s="6">
        <v>876</v>
      </c>
      <c r="D736" s="1051">
        <v>6.4361151342187351E-3</v>
      </c>
    </row>
    <row r="737" spans="2:4">
      <c r="B737" s="6" t="s">
        <v>1096</v>
      </c>
      <c r="C737" s="6">
        <v>878</v>
      </c>
      <c r="D737" s="1051">
        <v>0.1131614449469156</v>
      </c>
    </row>
    <row r="738" spans="2:4">
      <c r="B738" s="6" t="s">
        <v>1096</v>
      </c>
      <c r="C738" s="6">
        <v>879</v>
      </c>
      <c r="D738" s="1051">
        <v>0.19300168785343158</v>
      </c>
    </row>
    <row r="739" spans="2:4">
      <c r="B739" s="6" t="s">
        <v>1096</v>
      </c>
      <c r="C739" s="6">
        <v>880</v>
      </c>
      <c r="D739" s="1051">
        <v>4.6287097438478447E-2</v>
      </c>
    </row>
    <row r="740" spans="2:4">
      <c r="B740" s="6" t="s">
        <v>1096</v>
      </c>
      <c r="C740" s="6">
        <v>881</v>
      </c>
      <c r="D740" s="1051">
        <v>0</v>
      </c>
    </row>
    <row r="741" spans="2:4">
      <c r="B741" s="6" t="s">
        <v>1096</v>
      </c>
      <c r="C741" s="6">
        <v>885</v>
      </c>
      <c r="D741" s="1051">
        <v>6.756237888936055E-3</v>
      </c>
    </row>
    <row r="742" spans="2:4">
      <c r="B742" s="6" t="s">
        <v>1096</v>
      </c>
      <c r="C742" s="6">
        <v>886</v>
      </c>
      <c r="D742" s="1051">
        <v>3.7547437058910453E-4</v>
      </c>
    </row>
    <row r="743" spans="2:4">
      <c r="B743" s="6" t="s">
        <v>1096</v>
      </c>
      <c r="C743" s="6">
        <v>887</v>
      </c>
      <c r="D743" s="1051">
        <v>0.10595812954639956</v>
      </c>
    </row>
    <row r="744" spans="2:4">
      <c r="B744" s="6" t="s">
        <v>1096</v>
      </c>
      <c r="C744" s="6">
        <v>889</v>
      </c>
      <c r="D744" s="1051">
        <v>3.4043995020907859E-2</v>
      </c>
    </row>
    <row r="745" spans="2:4">
      <c r="B745" s="6" t="s">
        <v>1096</v>
      </c>
      <c r="C745" s="6">
        <v>890</v>
      </c>
      <c r="D745" s="1051">
        <v>4.7381972126435681E-3</v>
      </c>
    </row>
    <row r="746" spans="2:4">
      <c r="B746" s="6" t="s">
        <v>1096</v>
      </c>
      <c r="C746" s="6">
        <v>892</v>
      </c>
      <c r="D746" s="1051">
        <v>3.5448709773199298E-2</v>
      </c>
    </row>
    <row r="747" spans="2:4">
      <c r="B747" s="6" t="s">
        <v>1096</v>
      </c>
      <c r="C747" s="6">
        <v>893</v>
      </c>
      <c r="D747" s="1051">
        <v>1.4903705222085997E-2</v>
      </c>
    </row>
    <row r="748" spans="2:4">
      <c r="B748" s="6" t="s">
        <v>1096</v>
      </c>
      <c r="C748" s="6">
        <v>894</v>
      </c>
      <c r="D748" s="1051">
        <v>1.1229553982730846E-2</v>
      </c>
    </row>
    <row r="749" spans="2:4">
      <c r="B749" s="6" t="s">
        <v>1096</v>
      </c>
      <c r="C749" s="6">
        <v>902</v>
      </c>
      <c r="D749" s="1051">
        <v>9.5151337816291887E-3</v>
      </c>
    </row>
    <row r="750" spans="2:4">
      <c r="B750" s="6" t="s">
        <v>1096</v>
      </c>
      <c r="C750" s="6">
        <v>903</v>
      </c>
      <c r="D750" s="1051">
        <v>6.2737681084406915E-2</v>
      </c>
    </row>
    <row r="751" spans="2:4">
      <c r="B751" s="6" t="s">
        <v>1096</v>
      </c>
      <c r="C751" s="6">
        <v>904</v>
      </c>
      <c r="D751" s="1051">
        <v>0</v>
      </c>
    </row>
    <row r="752" spans="2:4">
      <c r="B752" s="6" t="s">
        <v>1096</v>
      </c>
      <c r="C752" s="6">
        <v>905</v>
      </c>
      <c r="D752" s="1051">
        <v>0</v>
      </c>
    </row>
    <row r="753" spans="2:4">
      <c r="B753" s="6" t="s">
        <v>1096</v>
      </c>
      <c r="C753" s="6">
        <v>907</v>
      </c>
      <c r="D753" s="1051">
        <v>0</v>
      </c>
    </row>
    <row r="754" spans="2:4">
      <c r="B754" s="6" t="s">
        <v>1096</v>
      </c>
      <c r="C754" s="6">
        <v>908</v>
      </c>
      <c r="D754" s="1051">
        <v>0</v>
      </c>
    </row>
    <row r="755" spans="2:4">
      <c r="B755" s="6" t="s">
        <v>1096</v>
      </c>
      <c r="C755" s="6">
        <v>909</v>
      </c>
      <c r="D755" s="1051">
        <v>0</v>
      </c>
    </row>
    <row r="756" spans="2:4">
      <c r="B756" s="6" t="s">
        <v>1096</v>
      </c>
      <c r="C756" s="6">
        <v>910</v>
      </c>
      <c r="D756" s="1051">
        <v>0</v>
      </c>
    </row>
    <row r="757" spans="2:4">
      <c r="B757" s="6" t="s">
        <v>1096</v>
      </c>
      <c r="C757" s="6">
        <v>911</v>
      </c>
      <c r="D757" s="1051">
        <v>0</v>
      </c>
    </row>
    <row r="758" spans="2:4">
      <c r="B758" s="6" t="s">
        <v>1096</v>
      </c>
      <c r="C758" s="6">
        <v>912</v>
      </c>
      <c r="D758" s="1051">
        <v>0</v>
      </c>
    </row>
    <row r="759" spans="2:4">
      <c r="B759" s="6" t="s">
        <v>1096</v>
      </c>
      <c r="C759" s="6">
        <v>913</v>
      </c>
      <c r="D759" s="1051">
        <v>0</v>
      </c>
    </row>
    <row r="760" spans="2:4">
      <c r="B760" s="6" t="s">
        <v>1096</v>
      </c>
      <c r="C760" s="6">
        <v>920</v>
      </c>
      <c r="D760" s="1051">
        <v>0.13234236839765537</v>
      </c>
    </row>
    <row r="761" spans="2:4">
      <c r="B761" s="6" t="s">
        <v>1096</v>
      </c>
      <c r="C761" s="6">
        <v>921</v>
      </c>
      <c r="D761" s="1051">
        <v>0</v>
      </c>
    </row>
    <row r="762" spans="2:4">
      <c r="B762" s="6" t="s">
        <v>1096</v>
      </c>
      <c r="C762" s="6">
        <v>923</v>
      </c>
      <c r="D762" s="1051">
        <v>0</v>
      </c>
    </row>
    <row r="763" spans="2:4">
      <c r="B763" s="6" t="s">
        <v>1096</v>
      </c>
      <c r="C763" s="6">
        <v>924</v>
      </c>
      <c r="D763" s="1051">
        <v>0</v>
      </c>
    </row>
    <row r="764" spans="2:4">
      <c r="B764" s="6" t="s">
        <v>1096</v>
      </c>
      <c r="C764" s="6">
        <v>925</v>
      </c>
      <c r="D764" s="1051">
        <v>0</v>
      </c>
    </row>
    <row r="765" spans="2:4">
      <c r="B765" s="6" t="s">
        <v>1096</v>
      </c>
      <c r="C765" s="6">
        <v>926</v>
      </c>
      <c r="D765" s="1051">
        <v>0</v>
      </c>
    </row>
    <row r="766" spans="2:4">
      <c r="B766" s="6" t="s">
        <v>1096</v>
      </c>
      <c r="C766" s="6">
        <v>928</v>
      </c>
      <c r="D766" s="1051">
        <v>0</v>
      </c>
    </row>
    <row r="767" spans="2:4">
      <c r="B767" s="6" t="s">
        <v>1096</v>
      </c>
      <c r="C767" s="6">
        <v>930</v>
      </c>
      <c r="D767" s="1051">
        <v>0</v>
      </c>
    </row>
    <row r="768" spans="2:4">
      <c r="B768" s="6" t="s">
        <v>1096</v>
      </c>
      <c r="C768" s="6">
        <v>931</v>
      </c>
      <c r="D768" s="1051">
        <v>0</v>
      </c>
    </row>
    <row r="769" spans="2:4">
      <c r="B769" s="6" t="s">
        <v>1096</v>
      </c>
      <c r="C769" s="6">
        <v>932</v>
      </c>
      <c r="D769" s="1051">
        <v>0</v>
      </c>
    </row>
    <row r="770" spans="2:4">
      <c r="B770" s="6" t="s">
        <v>1096</v>
      </c>
      <c r="C770" s="6">
        <v>935</v>
      </c>
      <c r="D770" s="1051">
        <v>0</v>
      </c>
    </row>
    <row r="771" spans="2:4">
      <c r="B771" s="6" t="s">
        <v>1099</v>
      </c>
      <c r="C771" s="6">
        <v>801</v>
      </c>
      <c r="D771" s="1051">
        <v>0</v>
      </c>
    </row>
    <row r="772" spans="2:4">
      <c r="B772" s="6" t="s">
        <v>1099</v>
      </c>
      <c r="C772" s="6">
        <v>803</v>
      </c>
      <c r="D772" s="1051">
        <v>0</v>
      </c>
    </row>
    <row r="773" spans="2:4">
      <c r="B773" s="6" t="s">
        <v>1099</v>
      </c>
      <c r="C773" s="6">
        <v>804</v>
      </c>
      <c r="D773" s="1051">
        <v>0</v>
      </c>
    </row>
    <row r="774" spans="2:4">
      <c r="B774" s="6" t="s">
        <v>1099</v>
      </c>
      <c r="C774" s="6">
        <v>805</v>
      </c>
      <c r="D774" s="1051">
        <v>0</v>
      </c>
    </row>
    <row r="775" spans="2:4">
      <c r="B775" s="6" t="s">
        <v>1099</v>
      </c>
      <c r="C775" s="6">
        <v>806</v>
      </c>
      <c r="D775" s="1051">
        <v>0</v>
      </c>
    </row>
    <row r="776" spans="2:4">
      <c r="B776" s="6" t="s">
        <v>1099</v>
      </c>
      <c r="C776" s="6">
        <v>807</v>
      </c>
      <c r="D776" s="1051">
        <v>0</v>
      </c>
    </row>
    <row r="777" spans="2:4">
      <c r="B777" s="6" t="s">
        <v>1099</v>
      </c>
      <c r="C777" s="6">
        <v>808</v>
      </c>
      <c r="D777" s="1051">
        <v>0</v>
      </c>
    </row>
    <row r="778" spans="2:4">
      <c r="B778" s="6" t="s">
        <v>1099</v>
      </c>
      <c r="C778" s="6">
        <v>812</v>
      </c>
      <c r="D778" s="1051">
        <v>0</v>
      </c>
    </row>
    <row r="779" spans="2:4">
      <c r="B779" s="6" t="s">
        <v>1099</v>
      </c>
      <c r="C779" s="6">
        <v>870</v>
      </c>
      <c r="D779" s="1051">
        <v>0</v>
      </c>
    </row>
    <row r="780" spans="2:4">
      <c r="B780" s="6" t="s">
        <v>1099</v>
      </c>
      <c r="C780" s="6">
        <v>871</v>
      </c>
      <c r="D780" s="1051">
        <v>0</v>
      </c>
    </row>
    <row r="781" spans="2:4">
      <c r="B781" s="6" t="s">
        <v>1099</v>
      </c>
      <c r="C781" s="6">
        <v>874</v>
      </c>
      <c r="D781" s="1051">
        <v>0</v>
      </c>
    </row>
    <row r="782" spans="2:4">
      <c r="B782" s="6" t="s">
        <v>1099</v>
      </c>
      <c r="C782" s="6">
        <v>875</v>
      </c>
      <c r="D782" s="1051">
        <v>0</v>
      </c>
    </row>
    <row r="783" spans="2:4">
      <c r="B783" s="6" t="s">
        <v>1099</v>
      </c>
      <c r="C783" s="6">
        <v>876</v>
      </c>
      <c r="D783" s="1051">
        <v>0</v>
      </c>
    </row>
    <row r="784" spans="2:4">
      <c r="B784" s="6" t="s">
        <v>1099</v>
      </c>
      <c r="C784" s="6">
        <v>878</v>
      </c>
      <c r="D784" s="1051">
        <v>0</v>
      </c>
    </row>
    <row r="785" spans="2:4">
      <c r="B785" s="6" t="s">
        <v>1099</v>
      </c>
      <c r="C785" s="6">
        <v>879</v>
      </c>
      <c r="D785" s="1051">
        <v>0</v>
      </c>
    </row>
    <row r="786" spans="2:4">
      <c r="B786" s="6" t="s">
        <v>1099</v>
      </c>
      <c r="C786" s="6">
        <v>880</v>
      </c>
      <c r="D786" s="1051">
        <v>0</v>
      </c>
    </row>
    <row r="787" spans="2:4">
      <c r="B787" s="6" t="s">
        <v>1099</v>
      </c>
      <c r="C787" s="6">
        <v>881</v>
      </c>
      <c r="D787" s="1051">
        <v>0</v>
      </c>
    </row>
    <row r="788" spans="2:4">
      <c r="B788" s="6" t="s">
        <v>1099</v>
      </c>
      <c r="C788" s="6">
        <v>885</v>
      </c>
      <c r="D788" s="1051">
        <v>0</v>
      </c>
    </row>
    <row r="789" spans="2:4">
      <c r="B789" s="6" t="s">
        <v>1099</v>
      </c>
      <c r="C789" s="6">
        <v>886</v>
      </c>
      <c r="D789" s="1051">
        <v>0</v>
      </c>
    </row>
    <row r="790" spans="2:4">
      <c r="B790" s="6" t="s">
        <v>1099</v>
      </c>
      <c r="C790" s="6">
        <v>887</v>
      </c>
      <c r="D790" s="1051">
        <v>0</v>
      </c>
    </row>
    <row r="791" spans="2:4">
      <c r="B791" s="6" t="s">
        <v>1099</v>
      </c>
      <c r="C791" s="6">
        <v>889</v>
      </c>
      <c r="D791" s="1051">
        <v>0</v>
      </c>
    </row>
    <row r="792" spans="2:4">
      <c r="B792" s="6" t="s">
        <v>1099</v>
      </c>
      <c r="C792" s="6">
        <v>890</v>
      </c>
      <c r="D792" s="1051">
        <v>0</v>
      </c>
    </row>
    <row r="793" spans="2:4">
      <c r="B793" s="6" t="s">
        <v>1099</v>
      </c>
      <c r="C793" s="6">
        <v>892</v>
      </c>
      <c r="D793" s="1051">
        <v>0</v>
      </c>
    </row>
    <row r="794" spans="2:4">
      <c r="B794" s="6" t="s">
        <v>1099</v>
      </c>
      <c r="C794" s="6">
        <v>893</v>
      </c>
      <c r="D794" s="1051">
        <v>0</v>
      </c>
    </row>
    <row r="795" spans="2:4">
      <c r="B795" s="6" t="s">
        <v>1099</v>
      </c>
      <c r="C795" s="6">
        <v>894</v>
      </c>
      <c r="D795" s="1051">
        <v>0</v>
      </c>
    </row>
    <row r="796" spans="2:4">
      <c r="B796" s="6" t="s">
        <v>1099</v>
      </c>
      <c r="C796" s="6">
        <v>902</v>
      </c>
      <c r="D796" s="1051">
        <v>0</v>
      </c>
    </row>
    <row r="797" spans="2:4">
      <c r="B797" s="6" t="s">
        <v>1099</v>
      </c>
      <c r="C797" s="6">
        <v>903</v>
      </c>
      <c r="D797" s="1051">
        <v>0</v>
      </c>
    </row>
    <row r="798" spans="2:4">
      <c r="B798" s="6" t="s">
        <v>1099</v>
      </c>
      <c r="C798" s="6">
        <v>904</v>
      </c>
      <c r="D798" s="1051">
        <v>0</v>
      </c>
    </row>
    <row r="799" spans="2:4">
      <c r="B799" s="6" t="s">
        <v>1099</v>
      </c>
      <c r="C799" s="6">
        <v>905</v>
      </c>
      <c r="D799" s="1051">
        <v>0</v>
      </c>
    </row>
    <row r="800" spans="2:4">
      <c r="B800" s="6" t="s">
        <v>1099</v>
      </c>
      <c r="C800" s="6">
        <v>907</v>
      </c>
      <c r="D800" s="1051">
        <v>0</v>
      </c>
    </row>
    <row r="801" spans="2:4">
      <c r="B801" s="6" t="s">
        <v>1099</v>
      </c>
      <c r="C801" s="6">
        <v>908</v>
      </c>
      <c r="D801" s="1051">
        <v>0</v>
      </c>
    </row>
    <row r="802" spans="2:4">
      <c r="B802" s="6" t="s">
        <v>1099</v>
      </c>
      <c r="C802" s="6">
        <v>909</v>
      </c>
      <c r="D802" s="1051">
        <v>0</v>
      </c>
    </row>
    <row r="803" spans="2:4">
      <c r="B803" s="6" t="s">
        <v>1099</v>
      </c>
      <c r="C803" s="6">
        <v>910</v>
      </c>
      <c r="D803" s="1051">
        <v>0</v>
      </c>
    </row>
    <row r="804" spans="2:4">
      <c r="B804" s="6" t="s">
        <v>1099</v>
      </c>
      <c r="C804" s="6">
        <v>911</v>
      </c>
      <c r="D804" s="1051">
        <v>0</v>
      </c>
    </row>
    <row r="805" spans="2:4">
      <c r="B805" s="6" t="s">
        <v>1099</v>
      </c>
      <c r="C805" s="6">
        <v>912</v>
      </c>
      <c r="D805" s="1051">
        <v>0</v>
      </c>
    </row>
    <row r="806" spans="2:4">
      <c r="B806" s="6" t="s">
        <v>1099</v>
      </c>
      <c r="C806" s="6">
        <v>913</v>
      </c>
      <c r="D806" s="1051">
        <v>0</v>
      </c>
    </row>
    <row r="807" spans="2:4">
      <c r="B807" s="6" t="s">
        <v>1099</v>
      </c>
      <c r="C807" s="6">
        <v>920</v>
      </c>
      <c r="D807" s="1051">
        <v>0</v>
      </c>
    </row>
    <row r="808" spans="2:4">
      <c r="B808" s="6" t="s">
        <v>1099</v>
      </c>
      <c r="C808" s="6">
        <v>921</v>
      </c>
      <c r="D808" s="1051">
        <v>0</v>
      </c>
    </row>
    <row r="809" spans="2:4">
      <c r="B809" s="6" t="s">
        <v>1099</v>
      </c>
      <c r="C809" s="6">
        <v>923</v>
      </c>
      <c r="D809" s="1051">
        <v>1</v>
      </c>
    </row>
    <row r="810" spans="2:4">
      <c r="B810" s="6" t="s">
        <v>1099</v>
      </c>
      <c r="C810" s="6">
        <v>924</v>
      </c>
      <c r="D810" s="1051">
        <v>0</v>
      </c>
    </row>
    <row r="811" spans="2:4">
      <c r="B811" s="6" t="s">
        <v>1099</v>
      </c>
      <c r="C811" s="6">
        <v>925</v>
      </c>
      <c r="D811" s="1051">
        <v>0</v>
      </c>
    </row>
    <row r="812" spans="2:4">
      <c r="B812" s="6" t="s">
        <v>1099</v>
      </c>
      <c r="C812" s="6">
        <v>926</v>
      </c>
      <c r="D812" s="1051">
        <v>0</v>
      </c>
    </row>
    <row r="813" spans="2:4">
      <c r="B813" s="6" t="s">
        <v>1099</v>
      </c>
      <c r="C813" s="6">
        <v>928</v>
      </c>
      <c r="D813" s="1051">
        <v>0</v>
      </c>
    </row>
    <row r="814" spans="2:4">
      <c r="B814" s="6" t="s">
        <v>1099</v>
      </c>
      <c r="C814" s="6">
        <v>930</v>
      </c>
      <c r="D814" s="1051">
        <v>0</v>
      </c>
    </row>
    <row r="815" spans="2:4">
      <c r="B815" s="6" t="s">
        <v>1099</v>
      </c>
      <c r="C815" s="6">
        <v>931</v>
      </c>
      <c r="D815" s="1051">
        <v>0</v>
      </c>
    </row>
    <row r="816" spans="2:4">
      <c r="B816" s="6" t="s">
        <v>1099</v>
      </c>
      <c r="C816" s="6">
        <v>932</v>
      </c>
      <c r="D816" s="1051">
        <v>0</v>
      </c>
    </row>
    <row r="817" spans="2:4">
      <c r="B817" s="6" t="s">
        <v>1099</v>
      </c>
      <c r="C817" s="6">
        <v>935</v>
      </c>
      <c r="D817" s="1051">
        <v>0</v>
      </c>
    </row>
    <row r="818" spans="2:4">
      <c r="B818" s="6" t="s">
        <v>1029</v>
      </c>
      <c r="C818" s="6">
        <v>801</v>
      </c>
      <c r="D818" s="1051">
        <v>0</v>
      </c>
    </row>
    <row r="819" spans="2:4">
      <c r="B819" s="6" t="s">
        <v>1029</v>
      </c>
      <c r="C819" s="6">
        <v>803</v>
      </c>
      <c r="D819" s="1051">
        <v>0</v>
      </c>
    </row>
    <row r="820" spans="2:4">
      <c r="B820" s="6" t="s">
        <v>1029</v>
      </c>
      <c r="C820" s="6">
        <v>804</v>
      </c>
      <c r="D820" s="1051">
        <v>0</v>
      </c>
    </row>
    <row r="821" spans="2:4">
      <c r="B821" s="6" t="s">
        <v>1029</v>
      </c>
      <c r="C821" s="6">
        <v>805</v>
      </c>
      <c r="D821" s="1051">
        <v>0</v>
      </c>
    </row>
    <row r="822" spans="2:4">
      <c r="B822" s="6" t="s">
        <v>1029</v>
      </c>
      <c r="C822" s="6">
        <v>806</v>
      </c>
      <c r="D822" s="1051">
        <v>0</v>
      </c>
    </row>
    <row r="823" spans="2:4">
      <c r="B823" s="6" t="s">
        <v>1029</v>
      </c>
      <c r="C823" s="6">
        <v>807</v>
      </c>
      <c r="D823" s="1051">
        <v>0</v>
      </c>
    </row>
    <row r="824" spans="2:4">
      <c r="B824" s="6" t="s">
        <v>1029</v>
      </c>
      <c r="C824" s="6">
        <v>808</v>
      </c>
      <c r="D824" s="1051">
        <v>0</v>
      </c>
    </row>
    <row r="825" spans="2:4">
      <c r="B825" s="6" t="s">
        <v>1029</v>
      </c>
      <c r="C825" s="6">
        <v>812</v>
      </c>
      <c r="D825" s="1051">
        <v>0</v>
      </c>
    </row>
    <row r="826" spans="2:4">
      <c r="B826" s="6" t="s">
        <v>1029</v>
      </c>
      <c r="C826" s="6">
        <v>852</v>
      </c>
      <c r="D826" s="1051">
        <v>1.6126197348661643E-3</v>
      </c>
    </row>
    <row r="827" spans="2:4">
      <c r="B827" s="6" t="s">
        <v>1029</v>
      </c>
      <c r="C827" s="6">
        <v>870</v>
      </c>
      <c r="D827" s="1051">
        <v>8.5938640037108954E-4</v>
      </c>
    </row>
    <row r="828" spans="2:4">
      <c r="B828" s="6" t="s">
        <v>1029</v>
      </c>
      <c r="C828" s="6">
        <v>871</v>
      </c>
      <c r="D828" s="1051">
        <v>0</v>
      </c>
    </row>
    <row r="829" spans="2:4">
      <c r="B829" s="6" t="s">
        <v>1029</v>
      </c>
      <c r="C829" s="6">
        <v>874</v>
      </c>
      <c r="D829" s="1051">
        <v>0.15782122279548946</v>
      </c>
    </row>
    <row r="830" spans="2:4">
      <c r="B830" s="6" t="s">
        <v>1029</v>
      </c>
      <c r="C830" s="6">
        <v>875</v>
      </c>
      <c r="D830" s="1051">
        <v>2.5092373509693093E-3</v>
      </c>
    </row>
    <row r="831" spans="2:4">
      <c r="B831" s="6" t="s">
        <v>1029</v>
      </c>
      <c r="C831" s="6">
        <v>876</v>
      </c>
      <c r="D831" s="1051">
        <v>5.9624605614806464E-4</v>
      </c>
    </row>
    <row r="832" spans="2:4">
      <c r="B832" s="6" t="s">
        <v>1029</v>
      </c>
      <c r="C832" s="6">
        <v>878</v>
      </c>
      <c r="D832" s="1051">
        <v>4.7836025029936377E-3</v>
      </c>
    </row>
    <row r="833" spans="2:4">
      <c r="B833" s="6" t="s">
        <v>1029</v>
      </c>
      <c r="C833" s="6">
        <v>879</v>
      </c>
      <c r="D833" s="1051">
        <v>3.7925471690278607E-2</v>
      </c>
    </row>
    <row r="834" spans="2:4">
      <c r="B834" s="6" t="s">
        <v>1029</v>
      </c>
      <c r="C834" s="6">
        <v>880</v>
      </c>
      <c r="D834" s="1051">
        <v>9.8710717286204341E-2</v>
      </c>
    </row>
    <row r="835" spans="2:4">
      <c r="B835" s="6" t="s">
        <v>1029</v>
      </c>
      <c r="C835" s="6">
        <v>881</v>
      </c>
      <c r="D835" s="1051">
        <v>0</v>
      </c>
    </row>
    <row r="836" spans="2:4">
      <c r="B836" s="6" t="s">
        <v>1029</v>
      </c>
      <c r="C836" s="6">
        <v>885</v>
      </c>
      <c r="D836" s="1051">
        <v>1.8523678938294432E-4</v>
      </c>
    </row>
    <row r="837" spans="2:4">
      <c r="B837" s="6" t="s">
        <v>1029</v>
      </c>
      <c r="C837" s="6">
        <v>886</v>
      </c>
      <c r="D837" s="1051">
        <v>1.7333012981724891E-3</v>
      </c>
    </row>
    <row r="838" spans="2:4">
      <c r="B838" s="6" t="s">
        <v>1029</v>
      </c>
      <c r="C838" s="6">
        <v>887</v>
      </c>
      <c r="D838" s="1051">
        <v>8.6086794684696724E-2</v>
      </c>
    </row>
    <row r="839" spans="2:4">
      <c r="B839" s="6" t="s">
        <v>1029</v>
      </c>
      <c r="C839" s="6">
        <v>889</v>
      </c>
      <c r="D839" s="1051">
        <v>7.6277089863328179E-2</v>
      </c>
    </row>
    <row r="840" spans="2:4">
      <c r="B840" s="6" t="s">
        <v>1029</v>
      </c>
      <c r="C840" s="6">
        <v>890</v>
      </c>
      <c r="D840" s="1051">
        <v>4.3638289310236574E-4</v>
      </c>
    </row>
    <row r="841" spans="2:4">
      <c r="B841" s="6" t="s">
        <v>1029</v>
      </c>
      <c r="C841" s="6">
        <v>892</v>
      </c>
      <c r="D841" s="1051">
        <v>1.7861231631350189E-2</v>
      </c>
    </row>
    <row r="842" spans="2:4">
      <c r="B842" s="6" t="s">
        <v>1029</v>
      </c>
      <c r="C842" s="6">
        <v>893</v>
      </c>
      <c r="D842" s="1051">
        <v>2.4110417276148731E-2</v>
      </c>
    </row>
    <row r="843" spans="2:4">
      <c r="B843" s="6" t="s">
        <v>1029</v>
      </c>
      <c r="C843" s="6">
        <v>894</v>
      </c>
      <c r="D843" s="1051">
        <v>5.1611577149020191E-2</v>
      </c>
    </row>
    <row r="844" spans="2:4">
      <c r="B844" s="6" t="s">
        <v>1029</v>
      </c>
      <c r="C844" s="6">
        <v>902</v>
      </c>
      <c r="D844" s="1051">
        <v>0</v>
      </c>
    </row>
    <row r="845" spans="2:4">
      <c r="B845" s="6" t="s">
        <v>1029</v>
      </c>
      <c r="C845" s="6">
        <v>903</v>
      </c>
      <c r="D845" s="1051">
        <v>0.31808063057678987</v>
      </c>
    </row>
    <row r="846" spans="2:4">
      <c r="B846" s="6" t="s">
        <v>1029</v>
      </c>
      <c r="C846" s="6">
        <v>904</v>
      </c>
      <c r="D846" s="1051">
        <v>0</v>
      </c>
    </row>
    <row r="847" spans="2:4">
      <c r="B847" s="6" t="s">
        <v>1029</v>
      </c>
      <c r="C847" s="6">
        <v>905</v>
      </c>
      <c r="D847" s="1051">
        <v>0</v>
      </c>
    </row>
    <row r="848" spans="2:4">
      <c r="B848" s="6" t="s">
        <v>1029</v>
      </c>
      <c r="C848" s="6">
        <v>907</v>
      </c>
      <c r="D848" s="1051">
        <v>0</v>
      </c>
    </row>
    <row r="849" spans="2:4">
      <c r="B849" s="6" t="s">
        <v>1029</v>
      </c>
      <c r="C849" s="6">
        <v>908</v>
      </c>
      <c r="D849" s="1051">
        <v>0</v>
      </c>
    </row>
    <row r="850" spans="2:4">
      <c r="B850" s="6" t="s">
        <v>1029</v>
      </c>
      <c r="C850" s="6">
        <v>909</v>
      </c>
      <c r="D850" s="1051">
        <v>5.3449217780170189E-5</v>
      </c>
    </row>
    <row r="851" spans="2:4">
      <c r="B851" s="6" t="s">
        <v>1029</v>
      </c>
      <c r="C851" s="6">
        <v>910</v>
      </c>
      <c r="D851" s="1051">
        <v>0</v>
      </c>
    </row>
    <row r="852" spans="2:4">
      <c r="B852" s="6" t="s">
        <v>1029</v>
      </c>
      <c r="C852" s="6">
        <v>911</v>
      </c>
      <c r="D852" s="1051">
        <v>0</v>
      </c>
    </row>
    <row r="853" spans="2:4">
      <c r="B853" s="6" t="s">
        <v>1029</v>
      </c>
      <c r="C853" s="6">
        <v>912</v>
      </c>
      <c r="D853" s="1051">
        <v>0</v>
      </c>
    </row>
    <row r="854" spans="2:4">
      <c r="B854" s="6" t="s">
        <v>1029</v>
      </c>
      <c r="C854" s="6">
        <v>913</v>
      </c>
      <c r="D854" s="1051">
        <v>0</v>
      </c>
    </row>
    <row r="855" spans="2:4">
      <c r="B855" s="6" t="s">
        <v>1029</v>
      </c>
      <c r="C855" s="6">
        <v>920</v>
      </c>
      <c r="D855" s="1051">
        <v>4.1529514244999165E-5</v>
      </c>
    </row>
    <row r="856" spans="2:4">
      <c r="B856" s="6" t="s">
        <v>1029</v>
      </c>
      <c r="C856" s="6">
        <v>921</v>
      </c>
      <c r="D856" s="1051">
        <v>6.8963690228905944E-2</v>
      </c>
    </row>
    <row r="857" spans="2:4">
      <c r="B857" s="6" t="s">
        <v>1029</v>
      </c>
      <c r="C857" s="6">
        <v>923</v>
      </c>
      <c r="D857" s="1051">
        <v>4.747518535434038E-2</v>
      </c>
    </row>
    <row r="858" spans="2:4">
      <c r="B858" s="6" t="s">
        <v>1029</v>
      </c>
      <c r="C858" s="6">
        <v>924</v>
      </c>
      <c r="D858" s="1051">
        <v>0</v>
      </c>
    </row>
    <row r="859" spans="2:4">
      <c r="B859" s="6" t="s">
        <v>1029</v>
      </c>
      <c r="C859" s="6">
        <v>925</v>
      </c>
      <c r="D859" s="1051">
        <v>0</v>
      </c>
    </row>
    <row r="860" spans="2:4">
      <c r="B860" s="6" t="s">
        <v>1029</v>
      </c>
      <c r="C860" s="6">
        <v>926</v>
      </c>
      <c r="D860" s="1051">
        <v>0</v>
      </c>
    </row>
    <row r="861" spans="2:4">
      <c r="B861" s="6" t="s">
        <v>1029</v>
      </c>
      <c r="C861" s="6">
        <v>928</v>
      </c>
      <c r="D861" s="1051">
        <v>0</v>
      </c>
    </row>
    <row r="862" spans="2:4">
      <c r="B862" s="6" t="s">
        <v>1029</v>
      </c>
      <c r="C862" s="6">
        <v>9301</v>
      </c>
      <c r="D862" s="1051">
        <v>0</v>
      </c>
    </row>
    <row r="863" spans="2:4">
      <c r="B863" s="6" t="s">
        <v>1029</v>
      </c>
      <c r="C863" s="6">
        <v>9302</v>
      </c>
      <c r="D863" s="1051">
        <v>2.2649797054158623E-3</v>
      </c>
    </row>
    <row r="864" spans="2:4">
      <c r="B864" s="6" t="s">
        <v>1029</v>
      </c>
      <c r="C864" s="6">
        <v>931</v>
      </c>
      <c r="D864" s="1051">
        <v>0</v>
      </c>
    </row>
    <row r="865" spans="2:8">
      <c r="B865" s="6" t="s">
        <v>1029</v>
      </c>
      <c r="C865" s="6">
        <v>932</v>
      </c>
      <c r="D865" s="1051">
        <v>0</v>
      </c>
    </row>
    <row r="866" spans="2:8">
      <c r="B866" s="6" t="s">
        <v>1029</v>
      </c>
      <c r="C866" s="6">
        <v>935</v>
      </c>
      <c r="D866" s="1051">
        <v>0</v>
      </c>
    </row>
    <row r="867" spans="2:8">
      <c r="B867" s="6" t="s">
        <v>1100</v>
      </c>
      <c r="C867" s="6">
        <v>801</v>
      </c>
      <c r="D867" s="1051">
        <v>0</v>
      </c>
      <c r="G867" s="1054">
        <f>+$G$4*D867</f>
        <v>0</v>
      </c>
      <c r="H867" s="127">
        <f t="shared" ref="H867:H915" si="15">SUBTOTAL(9,E867:G867)</f>
        <v>0</v>
      </c>
    </row>
    <row r="868" spans="2:8">
      <c r="B868" s="6" t="s">
        <v>1100</v>
      </c>
      <c r="C868" s="6">
        <v>803</v>
      </c>
      <c r="D868" s="1051">
        <v>0</v>
      </c>
      <c r="G868" s="1054">
        <f t="shared" ref="G868:G915" si="16">+$G$4*D868</f>
        <v>0</v>
      </c>
      <c r="H868" s="127">
        <f t="shared" si="15"/>
        <v>0</v>
      </c>
    </row>
    <row r="869" spans="2:8">
      <c r="B869" s="6" t="s">
        <v>1100</v>
      </c>
      <c r="C869" s="6">
        <v>804</v>
      </c>
      <c r="D869" s="1051">
        <v>0</v>
      </c>
      <c r="G869" s="1054">
        <f t="shared" si="16"/>
        <v>0</v>
      </c>
      <c r="H869" s="127">
        <f t="shared" si="15"/>
        <v>0</v>
      </c>
    </row>
    <row r="870" spans="2:8">
      <c r="B870" s="6" t="s">
        <v>1100</v>
      </c>
      <c r="C870" s="6">
        <v>805</v>
      </c>
      <c r="D870" s="1051">
        <v>0</v>
      </c>
      <c r="G870" s="1054">
        <f t="shared" si="16"/>
        <v>0</v>
      </c>
      <c r="H870" s="127">
        <f t="shared" si="15"/>
        <v>0</v>
      </c>
    </row>
    <row r="871" spans="2:8">
      <c r="B871" s="6" t="s">
        <v>1100</v>
      </c>
      <c r="C871" s="6">
        <v>806</v>
      </c>
      <c r="D871" s="1051">
        <v>0</v>
      </c>
      <c r="G871" s="1054">
        <f t="shared" si="16"/>
        <v>0</v>
      </c>
      <c r="H871" s="127">
        <f t="shared" si="15"/>
        <v>0</v>
      </c>
    </row>
    <row r="872" spans="2:8">
      <c r="B872" s="6" t="s">
        <v>1100</v>
      </c>
      <c r="C872" s="6">
        <v>807</v>
      </c>
      <c r="D872" s="1051">
        <v>0</v>
      </c>
      <c r="G872" s="1054">
        <f t="shared" si="16"/>
        <v>0</v>
      </c>
      <c r="H872" s="127">
        <f t="shared" si="15"/>
        <v>0</v>
      </c>
    </row>
    <row r="873" spans="2:8">
      <c r="B873" s="6" t="s">
        <v>1100</v>
      </c>
      <c r="C873" s="6">
        <v>808</v>
      </c>
      <c r="D873" s="1051">
        <v>0</v>
      </c>
      <c r="G873" s="1054">
        <f t="shared" si="16"/>
        <v>0</v>
      </c>
      <c r="H873" s="127">
        <f t="shared" si="15"/>
        <v>0</v>
      </c>
    </row>
    <row r="874" spans="2:8">
      <c r="B874" s="6" t="s">
        <v>1100</v>
      </c>
      <c r="C874" s="6">
        <v>812</v>
      </c>
      <c r="D874" s="1051">
        <v>0</v>
      </c>
      <c r="G874" s="1054">
        <f t="shared" si="16"/>
        <v>0</v>
      </c>
      <c r="H874" s="127">
        <f t="shared" si="15"/>
        <v>0</v>
      </c>
    </row>
    <row r="875" spans="2:8">
      <c r="B875" s="6" t="s">
        <v>1100</v>
      </c>
      <c r="C875" s="6">
        <v>859</v>
      </c>
      <c r="D875" s="1051">
        <v>7.118706181132064E-3</v>
      </c>
      <c r="G875" s="1054">
        <f t="shared" si="16"/>
        <v>-0.73102890731023995</v>
      </c>
      <c r="H875" s="127">
        <f t="shared" si="15"/>
        <v>-0.73102890731023995</v>
      </c>
    </row>
    <row r="876" spans="2:8">
      <c r="B876" s="6" t="s">
        <v>1100</v>
      </c>
      <c r="C876" s="6">
        <v>870</v>
      </c>
      <c r="D876" s="1051">
        <v>9.5257240138961766E-2</v>
      </c>
      <c r="G876" s="1054">
        <f t="shared" si="16"/>
        <v>-9.7820860139925596</v>
      </c>
      <c r="H876" s="127">
        <f t="shared" si="15"/>
        <v>-9.7820860139925596</v>
      </c>
    </row>
    <row r="877" spans="2:8">
      <c r="B877" s="6" t="s">
        <v>1100</v>
      </c>
      <c r="C877" s="6">
        <v>871</v>
      </c>
      <c r="D877" s="1051">
        <v>0</v>
      </c>
      <c r="G877" s="1054">
        <f t="shared" si="16"/>
        <v>0</v>
      </c>
      <c r="H877" s="127">
        <f t="shared" si="15"/>
        <v>0</v>
      </c>
    </row>
    <row r="878" spans="2:8">
      <c r="B878" s="6" t="s">
        <v>1100</v>
      </c>
      <c r="C878" s="6">
        <v>874</v>
      </c>
      <c r="D878" s="1051">
        <v>-1.5399439863928929E-2</v>
      </c>
      <c r="G878" s="1054">
        <f t="shared" si="16"/>
        <v>1.5813878829210906</v>
      </c>
      <c r="H878" s="127">
        <f t="shared" si="15"/>
        <v>1.5813878829210906</v>
      </c>
    </row>
    <row r="879" spans="2:8">
      <c r="B879" s="6" t="s">
        <v>1100</v>
      </c>
      <c r="C879" s="6">
        <v>875</v>
      </c>
      <c r="D879" s="1051">
        <v>4.2442150673416104E-5</v>
      </c>
      <c r="G879" s="1054">
        <f t="shared" si="16"/>
        <v>-4.3584379297629487E-3</v>
      </c>
      <c r="H879" s="127">
        <f t="shared" si="15"/>
        <v>-4.3584379297629487E-3</v>
      </c>
    </row>
    <row r="880" spans="2:8">
      <c r="B880" s="6" t="s">
        <v>1100</v>
      </c>
      <c r="C880" s="6">
        <v>876</v>
      </c>
      <c r="D880" s="1051">
        <v>2.1221075336708052E-5</v>
      </c>
      <c r="G880" s="1054">
        <f t="shared" si="16"/>
        <v>-2.1792189648814743E-3</v>
      </c>
      <c r="H880" s="127">
        <f t="shared" si="15"/>
        <v>-2.1792189648814743E-3</v>
      </c>
    </row>
    <row r="881" spans="2:8">
      <c r="B881" s="6" t="s">
        <v>1100</v>
      </c>
      <c r="C881" s="6">
        <v>878</v>
      </c>
      <c r="D881" s="1051">
        <v>-0.23961885251009246</v>
      </c>
      <c r="G881" s="1054">
        <f t="shared" si="16"/>
        <v>24.606761884015562</v>
      </c>
      <c r="H881" s="127">
        <f t="shared" si="15"/>
        <v>24.606761884015562</v>
      </c>
    </row>
    <row r="882" spans="2:8">
      <c r="B882" s="6" t="s">
        <v>1100</v>
      </c>
      <c r="C882" s="6">
        <v>879</v>
      </c>
      <c r="D882" s="1051">
        <v>2.9494208016157038E-3</v>
      </c>
      <c r="G882" s="1054">
        <f t="shared" si="16"/>
        <v>-0.30287973838812671</v>
      </c>
      <c r="H882" s="127">
        <f t="shared" si="15"/>
        <v>-0.30287973838812671</v>
      </c>
    </row>
    <row r="883" spans="2:8">
      <c r="B883" s="6" t="s">
        <v>1100</v>
      </c>
      <c r="C883" s="6">
        <v>880</v>
      </c>
      <c r="D883" s="1051">
        <v>2.2889283360813337E-2</v>
      </c>
      <c r="G883" s="1054">
        <f t="shared" si="16"/>
        <v>-2.3505293488189567</v>
      </c>
      <c r="H883" s="127">
        <f t="shared" si="15"/>
        <v>-2.3505293488189567</v>
      </c>
    </row>
    <row r="884" spans="2:8">
      <c r="B884" s="6" t="s">
        <v>1100</v>
      </c>
      <c r="C884" s="6">
        <v>881</v>
      </c>
      <c r="D884" s="1051">
        <v>8.1895988101690319E-3</v>
      </c>
      <c r="G884" s="1054">
        <f t="shared" si="16"/>
        <v>-0.84100022071075886</v>
      </c>
      <c r="H884" s="127">
        <f t="shared" si="15"/>
        <v>-0.84100022071075886</v>
      </c>
    </row>
    <row r="885" spans="2:8">
      <c r="B885" s="6" t="s">
        <v>1100</v>
      </c>
      <c r="C885" s="6">
        <v>885</v>
      </c>
      <c r="D885" s="1051">
        <v>4.3256268290878898E-4</v>
      </c>
      <c r="G885" s="1054">
        <f t="shared" si="16"/>
        <v>-4.442040693688401E-2</v>
      </c>
      <c r="H885" s="127">
        <f t="shared" si="15"/>
        <v>-4.442040693688401E-2</v>
      </c>
    </row>
    <row r="886" spans="2:8">
      <c r="B886" s="6" t="s">
        <v>1100</v>
      </c>
      <c r="C886" s="6">
        <v>886</v>
      </c>
      <c r="D886" s="1051">
        <v>0</v>
      </c>
      <c r="G886" s="1054">
        <f t="shared" si="16"/>
        <v>0</v>
      </c>
      <c r="H886" s="127">
        <f t="shared" si="15"/>
        <v>0</v>
      </c>
    </row>
    <row r="887" spans="2:8">
      <c r="B887" s="6" t="s">
        <v>1100</v>
      </c>
      <c r="C887" s="6">
        <v>887</v>
      </c>
      <c r="D887" s="1051">
        <v>2.351237271647243E-2</v>
      </c>
      <c r="G887" s="1054">
        <f t="shared" si="16"/>
        <v>-2.4145151798441771</v>
      </c>
      <c r="H887" s="127">
        <f t="shared" si="15"/>
        <v>-2.4145151798441771</v>
      </c>
    </row>
    <row r="888" spans="2:8">
      <c r="B888" s="6" t="s">
        <v>1100</v>
      </c>
      <c r="C888" s="6">
        <v>889</v>
      </c>
      <c r="D888" s="1051">
        <v>4.2442150673416104E-5</v>
      </c>
      <c r="G888" s="1054">
        <f t="shared" si="16"/>
        <v>-4.3584379297629487E-3</v>
      </c>
      <c r="H888" s="127">
        <f t="shared" si="15"/>
        <v>-4.3584379297629487E-3</v>
      </c>
    </row>
    <row r="889" spans="2:8">
      <c r="B889" s="6" t="s">
        <v>1100</v>
      </c>
      <c r="C889" s="6">
        <v>890</v>
      </c>
      <c r="D889" s="1051">
        <v>2.1221075336708052E-5</v>
      </c>
      <c r="G889" s="1054">
        <f t="shared" si="16"/>
        <v>-2.1792189648814743E-3</v>
      </c>
      <c r="H889" s="127">
        <f t="shared" si="15"/>
        <v>-2.1792189648814743E-3</v>
      </c>
    </row>
    <row r="890" spans="2:8">
      <c r="B890" s="6" t="s">
        <v>1100</v>
      </c>
      <c r="C890" s="6">
        <v>892</v>
      </c>
      <c r="D890" s="1051">
        <v>3.329933974289549E-3</v>
      </c>
      <c r="G890" s="1054">
        <f t="shared" si="16"/>
        <v>-0.34195511553660146</v>
      </c>
      <c r="H890" s="127">
        <f t="shared" si="15"/>
        <v>-0.34195511553660146</v>
      </c>
    </row>
    <row r="891" spans="2:8">
      <c r="B891" s="6" t="s">
        <v>1100</v>
      </c>
      <c r="C891" s="6">
        <v>893</v>
      </c>
      <c r="D891" s="1051">
        <v>3.0867018671575347E-4</v>
      </c>
      <c r="G891" s="1054">
        <f t="shared" si="16"/>
        <v>-3.1697730398275989E-2</v>
      </c>
      <c r="H891" s="127">
        <f t="shared" si="15"/>
        <v>-3.1697730398275989E-2</v>
      </c>
    </row>
    <row r="892" spans="2:8">
      <c r="B892" s="6" t="s">
        <v>1100</v>
      </c>
      <c r="C892" s="6">
        <v>894</v>
      </c>
      <c r="D892" s="1051">
        <v>-5.5784419494204552E-4</v>
      </c>
      <c r="G892" s="1054">
        <f t="shared" si="16"/>
        <v>5.7285723262284288E-2</v>
      </c>
      <c r="H892" s="127">
        <f t="shared" si="15"/>
        <v>5.7285723262284288E-2</v>
      </c>
    </row>
    <row r="893" spans="2:8">
      <c r="B893" s="6" t="s">
        <v>1100</v>
      </c>
      <c r="C893" s="6">
        <v>902</v>
      </c>
      <c r="D893" s="1051">
        <v>0</v>
      </c>
      <c r="G893" s="1054">
        <f t="shared" si="16"/>
        <v>0</v>
      </c>
      <c r="H893" s="127">
        <f t="shared" si="15"/>
        <v>0</v>
      </c>
    </row>
    <row r="894" spans="2:8">
      <c r="B894" s="6" t="s">
        <v>1100</v>
      </c>
      <c r="C894" s="6">
        <v>903</v>
      </c>
      <c r="D894" s="1051">
        <v>-1.2913988936720333E-3</v>
      </c>
      <c r="G894" s="1054">
        <f t="shared" si="16"/>
        <v>0.13261537955378713</v>
      </c>
      <c r="H894" s="127">
        <f t="shared" si="15"/>
        <v>0.13261537955378713</v>
      </c>
    </row>
    <row r="895" spans="2:8">
      <c r="B895" s="6" t="s">
        <v>1100</v>
      </c>
      <c r="C895" s="6">
        <v>904</v>
      </c>
      <c r="D895" s="1051">
        <v>0</v>
      </c>
      <c r="G895" s="1054">
        <f t="shared" si="16"/>
        <v>0</v>
      </c>
      <c r="H895" s="127">
        <f t="shared" si="15"/>
        <v>0</v>
      </c>
    </row>
    <row r="896" spans="2:8">
      <c r="B896" s="6" t="s">
        <v>1100</v>
      </c>
      <c r="C896" s="6">
        <v>905</v>
      </c>
      <c r="D896" s="1051">
        <v>4.4814281058326664E-3</v>
      </c>
      <c r="G896" s="1054">
        <f t="shared" si="16"/>
        <v>-0.46020349878736994</v>
      </c>
      <c r="H896" s="127">
        <f t="shared" si="15"/>
        <v>-0.46020349878736994</v>
      </c>
    </row>
    <row r="897" spans="2:8">
      <c r="B897" s="6" t="s">
        <v>1100</v>
      </c>
      <c r="C897" s="6">
        <v>907</v>
      </c>
      <c r="D897" s="1051">
        <v>0</v>
      </c>
      <c r="G897" s="1054">
        <f t="shared" si="16"/>
        <v>0</v>
      </c>
      <c r="H897" s="127">
        <f t="shared" si="15"/>
        <v>0</v>
      </c>
    </row>
    <row r="898" spans="2:8">
      <c r="B898" s="6" t="s">
        <v>1100</v>
      </c>
      <c r="C898" s="6">
        <v>908</v>
      </c>
      <c r="D898" s="1051">
        <v>0</v>
      </c>
      <c r="G898" s="1054">
        <f t="shared" si="16"/>
        <v>0</v>
      </c>
      <c r="H898" s="127">
        <f t="shared" si="15"/>
        <v>0</v>
      </c>
    </row>
    <row r="899" spans="2:8">
      <c r="B899" s="6" t="s">
        <v>1100</v>
      </c>
      <c r="C899" s="6">
        <v>909</v>
      </c>
      <c r="D899" s="1051">
        <v>0</v>
      </c>
      <c r="G899" s="1054">
        <f t="shared" si="16"/>
        <v>0</v>
      </c>
      <c r="H899" s="127">
        <f t="shared" si="15"/>
        <v>0</v>
      </c>
    </row>
    <row r="900" spans="2:8">
      <c r="B900" s="6" t="s">
        <v>1100</v>
      </c>
      <c r="C900" s="6">
        <v>910</v>
      </c>
      <c r="D900" s="1051">
        <v>0</v>
      </c>
      <c r="G900" s="1054">
        <f t="shared" si="16"/>
        <v>0</v>
      </c>
      <c r="H900" s="127">
        <f t="shared" si="15"/>
        <v>0</v>
      </c>
    </row>
    <row r="901" spans="2:8">
      <c r="B901" s="6" t="s">
        <v>1100</v>
      </c>
      <c r="C901" s="6">
        <v>911</v>
      </c>
      <c r="D901" s="1051">
        <v>0</v>
      </c>
      <c r="G901" s="1054">
        <f t="shared" si="16"/>
        <v>0</v>
      </c>
      <c r="H901" s="127">
        <f t="shared" si="15"/>
        <v>0</v>
      </c>
    </row>
    <row r="902" spans="2:8">
      <c r="B902" s="6" t="s">
        <v>1100</v>
      </c>
      <c r="C902" s="6">
        <v>912</v>
      </c>
      <c r="D902" s="1051">
        <v>0</v>
      </c>
      <c r="G902" s="1054">
        <f t="shared" si="16"/>
        <v>0</v>
      </c>
      <c r="H902" s="127">
        <f t="shared" si="15"/>
        <v>0</v>
      </c>
    </row>
    <row r="903" spans="2:8">
      <c r="B903" s="6" t="s">
        <v>1100</v>
      </c>
      <c r="C903" s="6">
        <v>913</v>
      </c>
      <c r="D903" s="1051">
        <v>0</v>
      </c>
      <c r="G903" s="1054">
        <f t="shared" si="16"/>
        <v>0</v>
      </c>
      <c r="H903" s="127">
        <f t="shared" si="15"/>
        <v>0</v>
      </c>
    </row>
    <row r="904" spans="2:8">
      <c r="B904" s="6" t="s">
        <v>1100</v>
      </c>
      <c r="C904" s="6">
        <v>920</v>
      </c>
      <c r="D904" s="1051">
        <v>0.528929360866354</v>
      </c>
      <c r="G904" s="1054">
        <f t="shared" si="16"/>
        <v>-54.316422518360589</v>
      </c>
      <c r="H904" s="127">
        <f t="shared" si="15"/>
        <v>-54.316422518360589</v>
      </c>
    </row>
    <row r="905" spans="2:8">
      <c r="B905" s="6" t="s">
        <v>1100</v>
      </c>
      <c r="C905" s="6">
        <v>921</v>
      </c>
      <c r="D905" s="1051">
        <v>0.13898017916838154</v>
      </c>
      <c r="G905" s="1054">
        <f t="shared" si="16"/>
        <v>-14.272049713826855</v>
      </c>
      <c r="H905" s="127">
        <f t="shared" si="15"/>
        <v>-14.272049713826855</v>
      </c>
    </row>
    <row r="906" spans="2:8">
      <c r="B906" s="6" t="s">
        <v>1100</v>
      </c>
      <c r="C906" s="6">
        <v>923</v>
      </c>
      <c r="D906" s="1051">
        <v>0.40010497101374737</v>
      </c>
      <c r="G906" s="1054">
        <f t="shared" si="16"/>
        <v>-41.087283605665199</v>
      </c>
      <c r="H906" s="127">
        <f t="shared" si="15"/>
        <v>-41.087283605665199</v>
      </c>
    </row>
    <row r="907" spans="2:8">
      <c r="B907" s="6" t="s">
        <v>1100</v>
      </c>
      <c r="C907" s="6">
        <v>924</v>
      </c>
      <c r="D907" s="1051">
        <v>0</v>
      </c>
      <c r="G907" s="1054">
        <f t="shared" si="16"/>
        <v>0</v>
      </c>
      <c r="H907" s="127">
        <f t="shared" si="15"/>
        <v>0</v>
      </c>
    </row>
    <row r="908" spans="2:8">
      <c r="B908" s="6" t="s">
        <v>1100</v>
      </c>
      <c r="C908" s="6">
        <v>925</v>
      </c>
      <c r="D908" s="1051">
        <v>0</v>
      </c>
      <c r="G908" s="1054">
        <f t="shared" si="16"/>
        <v>0</v>
      </c>
      <c r="H908" s="127">
        <f t="shared" si="15"/>
        <v>0</v>
      </c>
    </row>
    <row r="909" spans="2:8">
      <c r="B909" s="6" t="s">
        <v>1100</v>
      </c>
      <c r="C909" s="6">
        <v>926</v>
      </c>
      <c r="D909" s="1051">
        <v>2.0256481003221322E-2</v>
      </c>
      <c r="G909" s="1054">
        <f t="shared" si="16"/>
        <v>-2.0801635573868618</v>
      </c>
      <c r="H909" s="127">
        <f t="shared" si="15"/>
        <v>-2.0801635573868618</v>
      </c>
    </row>
    <row r="910" spans="2:8">
      <c r="B910" s="6" t="s">
        <v>1100</v>
      </c>
      <c r="C910" s="6">
        <v>928</v>
      </c>
      <c r="D910" s="1051">
        <v>0</v>
      </c>
      <c r="G910" s="1054">
        <f t="shared" si="16"/>
        <v>0</v>
      </c>
      <c r="H910" s="127">
        <f t="shared" si="15"/>
        <v>0</v>
      </c>
    </row>
    <row r="911" spans="2:8">
      <c r="B911" s="6" t="s">
        <v>1100</v>
      </c>
      <c r="C911" s="6">
        <v>9301</v>
      </c>
      <c r="D911" s="1051">
        <v>0</v>
      </c>
      <c r="G911" s="1054">
        <f t="shared" si="16"/>
        <v>0</v>
      </c>
      <c r="H911" s="127">
        <f t="shared" si="15"/>
        <v>0</v>
      </c>
    </row>
    <row r="912" spans="2:8">
      <c r="B912" s="6" t="s">
        <v>1100</v>
      </c>
      <c r="C912" s="6">
        <v>9302</v>
      </c>
      <c r="D912" s="1051">
        <v>0</v>
      </c>
      <c r="G912" s="1054">
        <f t="shared" si="16"/>
        <v>0</v>
      </c>
      <c r="H912" s="127">
        <f t="shared" si="15"/>
        <v>0</v>
      </c>
    </row>
    <row r="913" spans="2:8">
      <c r="B913" s="6" t="s">
        <v>1100</v>
      </c>
      <c r="C913" s="6">
        <v>931</v>
      </c>
      <c r="D913" s="1051">
        <v>0</v>
      </c>
      <c r="G913" s="1054">
        <f t="shared" si="16"/>
        <v>0</v>
      </c>
      <c r="H913" s="127">
        <f t="shared" si="15"/>
        <v>0</v>
      </c>
    </row>
    <row r="914" spans="2:8">
      <c r="B914" s="6" t="s">
        <v>1100</v>
      </c>
      <c r="C914" s="6">
        <v>932</v>
      </c>
      <c r="D914" s="1051">
        <v>0</v>
      </c>
      <c r="G914" s="1054">
        <f t="shared" si="16"/>
        <v>0</v>
      </c>
      <c r="H914" s="127">
        <f t="shared" si="15"/>
        <v>0</v>
      </c>
    </row>
    <row r="915" spans="2:8">
      <c r="B915" s="6" t="s">
        <v>1100</v>
      </c>
      <c r="C915" s="6">
        <v>935</v>
      </c>
      <c r="D915" s="1051">
        <v>0</v>
      </c>
      <c r="G915" s="1054">
        <f t="shared" si="16"/>
        <v>0</v>
      </c>
      <c r="H915" s="127">
        <f t="shared" si="15"/>
        <v>0</v>
      </c>
    </row>
    <row r="916" spans="2:8">
      <c r="B916" s="6" t="s">
        <v>1101</v>
      </c>
      <c r="C916" s="6">
        <v>801</v>
      </c>
      <c r="D916" s="1051">
        <v>0</v>
      </c>
    </row>
    <row r="917" spans="2:8">
      <c r="B917" s="6" t="s">
        <v>1101</v>
      </c>
      <c r="C917" s="6">
        <v>803</v>
      </c>
      <c r="D917" s="1051">
        <v>0</v>
      </c>
    </row>
    <row r="918" spans="2:8">
      <c r="B918" s="6" t="s">
        <v>1101</v>
      </c>
      <c r="C918" s="6">
        <v>804</v>
      </c>
      <c r="D918" s="1051">
        <v>0</v>
      </c>
    </row>
    <row r="919" spans="2:8">
      <c r="B919" s="6" t="s">
        <v>1101</v>
      </c>
      <c r="C919" s="6">
        <v>805</v>
      </c>
      <c r="D919" s="1051">
        <v>0</v>
      </c>
    </row>
    <row r="920" spans="2:8">
      <c r="B920" s="6" t="s">
        <v>1101</v>
      </c>
      <c r="C920" s="6">
        <v>806</v>
      </c>
      <c r="D920" s="1051">
        <v>0</v>
      </c>
    </row>
    <row r="921" spans="2:8">
      <c r="B921" s="6" t="s">
        <v>1101</v>
      </c>
      <c r="C921" s="6">
        <v>807</v>
      </c>
      <c r="D921" s="1051">
        <v>0</v>
      </c>
    </row>
    <row r="922" spans="2:8">
      <c r="B922" s="6" t="s">
        <v>1101</v>
      </c>
      <c r="C922" s="6">
        <v>808</v>
      </c>
      <c r="D922" s="1051">
        <v>0</v>
      </c>
    </row>
    <row r="923" spans="2:8">
      <c r="B923" s="6" t="s">
        <v>1101</v>
      </c>
      <c r="C923" s="6">
        <v>812</v>
      </c>
      <c r="D923" s="1051">
        <v>0</v>
      </c>
    </row>
    <row r="924" spans="2:8">
      <c r="B924" s="6" t="s">
        <v>1101</v>
      </c>
      <c r="C924" s="6">
        <v>870</v>
      </c>
      <c r="D924" s="1051">
        <v>0</v>
      </c>
    </row>
    <row r="925" spans="2:8">
      <c r="B925" s="6" t="s">
        <v>1101</v>
      </c>
      <c r="C925" s="6">
        <v>871</v>
      </c>
      <c r="D925" s="1051">
        <v>0</v>
      </c>
    </row>
    <row r="926" spans="2:8">
      <c r="B926" s="6" t="s">
        <v>1101</v>
      </c>
      <c r="C926" s="6">
        <v>874</v>
      </c>
      <c r="D926" s="1051">
        <v>1.8212283374499486E-2</v>
      </c>
    </row>
    <row r="927" spans="2:8">
      <c r="B927" s="6" t="s">
        <v>1101</v>
      </c>
      <c r="C927" s="6">
        <v>875</v>
      </c>
      <c r="D927" s="1051">
        <v>0</v>
      </c>
    </row>
    <row r="928" spans="2:8">
      <c r="B928" s="6" t="s">
        <v>1101</v>
      </c>
      <c r="C928" s="6">
        <v>876</v>
      </c>
      <c r="D928" s="1051">
        <v>0</v>
      </c>
    </row>
    <row r="929" spans="2:4">
      <c r="B929" s="6" t="s">
        <v>1101</v>
      </c>
      <c r="C929" s="6">
        <v>878</v>
      </c>
      <c r="D929" s="1051">
        <v>0.20319707215290567</v>
      </c>
    </row>
    <row r="930" spans="2:4">
      <c r="B930" s="6" t="s">
        <v>1101</v>
      </c>
      <c r="C930" s="6">
        <v>879</v>
      </c>
      <c r="D930" s="1051">
        <v>0</v>
      </c>
    </row>
    <row r="931" spans="2:4">
      <c r="B931" s="6" t="s">
        <v>1101</v>
      </c>
      <c r="C931" s="6">
        <v>880</v>
      </c>
      <c r="D931" s="1051">
        <v>0</v>
      </c>
    </row>
    <row r="932" spans="2:4">
      <c r="B932" s="6" t="s">
        <v>1101</v>
      </c>
      <c r="C932" s="6">
        <v>881</v>
      </c>
      <c r="D932" s="1051">
        <v>0</v>
      </c>
    </row>
    <row r="933" spans="2:4">
      <c r="B933" s="6" t="s">
        <v>1101</v>
      </c>
      <c r="C933" s="6">
        <v>885</v>
      </c>
      <c r="D933" s="1051">
        <v>0</v>
      </c>
    </row>
    <row r="934" spans="2:4">
      <c r="B934" s="6" t="s">
        <v>1101</v>
      </c>
      <c r="C934" s="6">
        <v>886</v>
      </c>
      <c r="D934" s="1051">
        <v>0</v>
      </c>
    </row>
    <row r="935" spans="2:4">
      <c r="B935" s="6" t="s">
        <v>1101</v>
      </c>
      <c r="C935" s="6">
        <v>887</v>
      </c>
      <c r="D935" s="1051">
        <v>0.2393861696427895</v>
      </c>
    </row>
    <row r="936" spans="2:4">
      <c r="B936" s="6" t="s">
        <v>1101</v>
      </c>
      <c r="C936" s="6">
        <v>889</v>
      </c>
      <c r="D936" s="1051">
        <v>0</v>
      </c>
    </row>
    <row r="937" spans="2:4">
      <c r="B937" s="6" t="s">
        <v>1101</v>
      </c>
      <c r="C937" s="6">
        <v>890</v>
      </c>
      <c r="D937" s="1051">
        <v>0</v>
      </c>
    </row>
    <row r="938" spans="2:4">
      <c r="B938" s="6" t="s">
        <v>1101</v>
      </c>
      <c r="C938" s="6">
        <v>892</v>
      </c>
      <c r="D938" s="1051">
        <v>0.53815466715283655</v>
      </c>
    </row>
    <row r="939" spans="2:4">
      <c r="B939" s="6" t="s">
        <v>1101</v>
      </c>
      <c r="C939" s="6">
        <v>893</v>
      </c>
      <c r="D939" s="1051">
        <v>0</v>
      </c>
    </row>
    <row r="940" spans="2:4">
      <c r="B940" s="6" t="s">
        <v>1101</v>
      </c>
      <c r="C940" s="6">
        <v>894</v>
      </c>
      <c r="D940" s="1051">
        <v>0</v>
      </c>
    </row>
    <row r="941" spans="2:4">
      <c r="B941" s="6" t="s">
        <v>1101</v>
      </c>
      <c r="C941" s="6">
        <v>902</v>
      </c>
      <c r="D941" s="1051">
        <v>0</v>
      </c>
    </row>
    <row r="942" spans="2:4">
      <c r="B942" s="6" t="s">
        <v>1101</v>
      </c>
      <c r="C942" s="6">
        <v>903</v>
      </c>
      <c r="D942" s="1051">
        <v>1.0498076769687986E-3</v>
      </c>
    </row>
    <row r="943" spans="2:4">
      <c r="B943" s="6" t="s">
        <v>1101</v>
      </c>
      <c r="C943" s="6">
        <v>904</v>
      </c>
      <c r="D943" s="1051">
        <v>0</v>
      </c>
    </row>
    <row r="944" spans="2:4">
      <c r="B944" s="6" t="s">
        <v>1101</v>
      </c>
      <c r="C944" s="6">
        <v>905</v>
      </c>
      <c r="D944" s="1051">
        <v>0</v>
      </c>
    </row>
    <row r="945" spans="2:4">
      <c r="B945" s="6" t="s">
        <v>1101</v>
      </c>
      <c r="C945" s="6">
        <v>907</v>
      </c>
      <c r="D945" s="1051">
        <v>0</v>
      </c>
    </row>
    <row r="946" spans="2:4">
      <c r="B946" s="6" t="s">
        <v>1101</v>
      </c>
      <c r="C946" s="6">
        <v>908</v>
      </c>
      <c r="D946" s="1051">
        <v>0</v>
      </c>
    </row>
    <row r="947" spans="2:4">
      <c r="B947" s="6" t="s">
        <v>1101</v>
      </c>
      <c r="C947" s="6">
        <v>909</v>
      </c>
      <c r="D947" s="1051">
        <v>0</v>
      </c>
    </row>
    <row r="948" spans="2:4">
      <c r="B948" s="6" t="s">
        <v>1101</v>
      </c>
      <c r="C948" s="6">
        <v>910</v>
      </c>
      <c r="D948" s="1051">
        <v>0</v>
      </c>
    </row>
    <row r="949" spans="2:4">
      <c r="B949" s="6" t="s">
        <v>1101</v>
      </c>
      <c r="C949" s="6">
        <v>911</v>
      </c>
      <c r="D949" s="1051">
        <v>0</v>
      </c>
    </row>
    <row r="950" spans="2:4">
      <c r="B950" s="6" t="s">
        <v>1101</v>
      </c>
      <c r="C950" s="6">
        <v>912</v>
      </c>
      <c r="D950" s="1051">
        <v>0</v>
      </c>
    </row>
    <row r="951" spans="2:4">
      <c r="B951" s="6" t="s">
        <v>1101</v>
      </c>
      <c r="C951" s="6">
        <v>913</v>
      </c>
      <c r="D951" s="1051">
        <v>0</v>
      </c>
    </row>
    <row r="952" spans="2:4">
      <c r="B952" s="6" t="s">
        <v>1101</v>
      </c>
      <c r="C952" s="6">
        <v>920</v>
      </c>
      <c r="D952" s="1051">
        <v>0</v>
      </c>
    </row>
    <row r="953" spans="2:4">
      <c r="B953" s="6" t="s">
        <v>1101</v>
      </c>
      <c r="C953" s="6">
        <v>921</v>
      </c>
      <c r="D953" s="1051">
        <v>0</v>
      </c>
    </row>
    <row r="954" spans="2:4">
      <c r="B954" s="6" t="s">
        <v>1101</v>
      </c>
      <c r="C954" s="6">
        <v>923</v>
      </c>
      <c r="D954" s="1051">
        <v>0</v>
      </c>
    </row>
    <row r="955" spans="2:4">
      <c r="B955" s="6" t="s">
        <v>1101</v>
      </c>
      <c r="C955" s="6">
        <v>924</v>
      </c>
      <c r="D955" s="1051">
        <v>0</v>
      </c>
    </row>
    <row r="956" spans="2:4">
      <c r="B956" s="6" t="s">
        <v>1101</v>
      </c>
      <c r="C956" s="6">
        <v>925</v>
      </c>
      <c r="D956" s="1051">
        <v>0</v>
      </c>
    </row>
    <row r="957" spans="2:4">
      <c r="B957" s="6" t="s">
        <v>1101</v>
      </c>
      <c r="C957" s="6">
        <v>926</v>
      </c>
      <c r="D957" s="1051">
        <v>0</v>
      </c>
    </row>
    <row r="958" spans="2:4">
      <c r="B958" s="6" t="s">
        <v>1101</v>
      </c>
      <c r="C958" s="6">
        <v>928</v>
      </c>
      <c r="D958" s="1051">
        <v>0</v>
      </c>
    </row>
    <row r="959" spans="2:4">
      <c r="B959" s="6" t="s">
        <v>1101</v>
      </c>
      <c r="C959" s="6">
        <v>930</v>
      </c>
      <c r="D959" s="1051">
        <v>0</v>
      </c>
    </row>
    <row r="960" spans="2:4">
      <c r="B960" s="6" t="s">
        <v>1101</v>
      </c>
      <c r="C960" s="6">
        <v>931</v>
      </c>
      <c r="D960" s="1051">
        <v>0</v>
      </c>
    </row>
    <row r="961" spans="2:4">
      <c r="B961" s="6" t="s">
        <v>1101</v>
      </c>
      <c r="C961" s="6">
        <v>932</v>
      </c>
      <c r="D961" s="1051">
        <v>0</v>
      </c>
    </row>
    <row r="962" spans="2:4">
      <c r="B962" s="6" t="s">
        <v>1101</v>
      </c>
      <c r="C962" s="6">
        <v>935</v>
      </c>
      <c r="D962" s="1051">
        <v>0</v>
      </c>
    </row>
    <row r="963" spans="2:4">
      <c r="B963" s="6" t="s">
        <v>1102</v>
      </c>
      <c r="C963" s="6">
        <v>801</v>
      </c>
      <c r="D963" s="1051">
        <v>0</v>
      </c>
    </row>
    <row r="964" spans="2:4">
      <c r="B964" s="6" t="s">
        <v>1102</v>
      </c>
      <c r="C964" s="6">
        <v>803</v>
      </c>
      <c r="D964" s="1051">
        <v>0</v>
      </c>
    </row>
    <row r="965" spans="2:4">
      <c r="B965" s="6" t="s">
        <v>1102</v>
      </c>
      <c r="C965" s="6">
        <v>804</v>
      </c>
      <c r="D965" s="1051">
        <v>0</v>
      </c>
    </row>
    <row r="966" spans="2:4">
      <c r="B966" s="6" t="s">
        <v>1102</v>
      </c>
      <c r="C966" s="6">
        <v>805</v>
      </c>
      <c r="D966" s="1051">
        <v>0</v>
      </c>
    </row>
    <row r="967" spans="2:4">
      <c r="B967" s="6" t="s">
        <v>1102</v>
      </c>
      <c r="C967" s="6">
        <v>806</v>
      </c>
      <c r="D967" s="1051">
        <v>0</v>
      </c>
    </row>
    <row r="968" spans="2:4">
      <c r="B968" s="6" t="s">
        <v>1102</v>
      </c>
      <c r="C968" s="6">
        <v>807</v>
      </c>
      <c r="D968" s="1051">
        <v>0</v>
      </c>
    </row>
    <row r="969" spans="2:4">
      <c r="B969" s="6" t="s">
        <v>1102</v>
      </c>
      <c r="C969" s="6">
        <v>808</v>
      </c>
      <c r="D969" s="1051">
        <v>0</v>
      </c>
    </row>
    <row r="970" spans="2:4">
      <c r="B970" s="6" t="s">
        <v>1102</v>
      </c>
      <c r="C970" s="6">
        <v>812</v>
      </c>
      <c r="D970" s="1051">
        <v>0</v>
      </c>
    </row>
    <row r="971" spans="2:4">
      <c r="B971" s="6" t="s">
        <v>1102</v>
      </c>
      <c r="C971" s="6">
        <v>870</v>
      </c>
      <c r="D971" s="1051">
        <v>0</v>
      </c>
    </row>
    <row r="972" spans="2:4">
      <c r="B972" s="6" t="s">
        <v>1102</v>
      </c>
      <c r="C972" s="6">
        <v>871</v>
      </c>
      <c r="D972" s="1051">
        <v>0</v>
      </c>
    </row>
    <row r="973" spans="2:4">
      <c r="B973" s="6" t="s">
        <v>1102</v>
      </c>
      <c r="C973" s="6">
        <v>874</v>
      </c>
      <c r="D973" s="1051">
        <v>0</v>
      </c>
    </row>
    <row r="974" spans="2:4">
      <c r="B974" s="6" t="s">
        <v>1102</v>
      </c>
      <c r="C974" s="6">
        <v>875</v>
      </c>
      <c r="D974" s="1051">
        <v>0</v>
      </c>
    </row>
    <row r="975" spans="2:4">
      <c r="B975" s="6" t="s">
        <v>1102</v>
      </c>
      <c r="C975" s="6">
        <v>876</v>
      </c>
      <c r="D975" s="1051">
        <v>0</v>
      </c>
    </row>
    <row r="976" spans="2:4">
      <c r="B976" s="6" t="s">
        <v>1102</v>
      </c>
      <c r="C976" s="6">
        <v>878</v>
      </c>
      <c r="D976" s="1051">
        <v>0</v>
      </c>
    </row>
    <row r="977" spans="2:4">
      <c r="B977" s="6" t="s">
        <v>1102</v>
      </c>
      <c r="C977" s="6">
        <v>879</v>
      </c>
      <c r="D977" s="1051">
        <v>0</v>
      </c>
    </row>
    <row r="978" spans="2:4">
      <c r="B978" s="6" t="s">
        <v>1102</v>
      </c>
      <c r="C978" s="6">
        <v>880</v>
      </c>
      <c r="D978" s="1051">
        <v>0</v>
      </c>
    </row>
    <row r="979" spans="2:4">
      <c r="B979" s="6" t="s">
        <v>1102</v>
      </c>
      <c r="C979" s="6">
        <v>881</v>
      </c>
      <c r="D979" s="1051">
        <v>0</v>
      </c>
    </row>
    <row r="980" spans="2:4">
      <c r="B980" s="6" t="s">
        <v>1102</v>
      </c>
      <c r="C980" s="6">
        <v>885</v>
      </c>
      <c r="D980" s="1051">
        <v>0</v>
      </c>
    </row>
    <row r="981" spans="2:4">
      <c r="B981" s="6" t="s">
        <v>1102</v>
      </c>
      <c r="C981" s="6">
        <v>886</v>
      </c>
      <c r="D981" s="1051">
        <v>0</v>
      </c>
    </row>
    <row r="982" spans="2:4">
      <c r="B982" s="6" t="s">
        <v>1102</v>
      </c>
      <c r="C982" s="6">
        <v>887</v>
      </c>
      <c r="D982" s="1051">
        <v>0</v>
      </c>
    </row>
    <row r="983" spans="2:4">
      <c r="B983" s="6" t="s">
        <v>1102</v>
      </c>
      <c r="C983" s="6">
        <v>889</v>
      </c>
      <c r="D983" s="1051">
        <v>0</v>
      </c>
    </row>
    <row r="984" spans="2:4">
      <c r="B984" s="6" t="s">
        <v>1102</v>
      </c>
      <c r="C984" s="6">
        <v>890</v>
      </c>
      <c r="D984" s="1051">
        <v>0</v>
      </c>
    </row>
    <row r="985" spans="2:4">
      <c r="B985" s="6" t="s">
        <v>1102</v>
      </c>
      <c r="C985" s="6">
        <v>892</v>
      </c>
      <c r="D985" s="1051">
        <v>0</v>
      </c>
    </row>
    <row r="986" spans="2:4">
      <c r="B986" s="6" t="s">
        <v>1102</v>
      </c>
      <c r="C986" s="6">
        <v>893</v>
      </c>
      <c r="D986" s="1051">
        <v>0</v>
      </c>
    </row>
    <row r="987" spans="2:4">
      <c r="B987" s="6" t="s">
        <v>1102</v>
      </c>
      <c r="C987" s="6">
        <v>894</v>
      </c>
      <c r="D987" s="1051">
        <v>0</v>
      </c>
    </row>
    <row r="988" spans="2:4">
      <c r="B988" s="6" t="s">
        <v>1102</v>
      </c>
      <c r="C988" s="6">
        <v>902</v>
      </c>
      <c r="D988" s="1051">
        <v>0</v>
      </c>
    </row>
    <row r="989" spans="2:4">
      <c r="B989" s="6" t="s">
        <v>1102</v>
      </c>
      <c r="C989" s="6">
        <v>903</v>
      </c>
      <c r="D989" s="1051">
        <v>0</v>
      </c>
    </row>
    <row r="990" spans="2:4">
      <c r="B990" s="6" t="s">
        <v>1102</v>
      </c>
      <c r="C990" s="6">
        <v>904</v>
      </c>
      <c r="D990" s="1051">
        <v>0</v>
      </c>
    </row>
    <row r="991" spans="2:4">
      <c r="B991" s="6" t="s">
        <v>1102</v>
      </c>
      <c r="C991" s="6">
        <v>905</v>
      </c>
      <c r="D991" s="1051">
        <v>0</v>
      </c>
    </row>
    <row r="992" spans="2:4">
      <c r="B992" s="6" t="s">
        <v>1102</v>
      </c>
      <c r="C992" s="6">
        <v>907</v>
      </c>
      <c r="D992" s="1051">
        <v>0</v>
      </c>
    </row>
    <row r="993" spans="2:4">
      <c r="B993" s="6" t="s">
        <v>1102</v>
      </c>
      <c r="C993" s="6">
        <v>908</v>
      </c>
      <c r="D993" s="1051">
        <v>1</v>
      </c>
    </row>
    <row r="994" spans="2:4">
      <c r="B994" s="6" t="s">
        <v>1102</v>
      </c>
      <c r="C994" s="6">
        <v>909</v>
      </c>
      <c r="D994" s="1051">
        <v>0</v>
      </c>
    </row>
    <row r="995" spans="2:4">
      <c r="B995" s="6" t="s">
        <v>1102</v>
      </c>
      <c r="C995" s="6">
        <v>910</v>
      </c>
      <c r="D995" s="1051">
        <v>0</v>
      </c>
    </row>
    <row r="996" spans="2:4">
      <c r="B996" s="6" t="s">
        <v>1102</v>
      </c>
      <c r="C996" s="6">
        <v>911</v>
      </c>
      <c r="D996" s="1051">
        <v>0</v>
      </c>
    </row>
    <row r="997" spans="2:4">
      <c r="B997" s="6" t="s">
        <v>1102</v>
      </c>
      <c r="C997" s="6">
        <v>912</v>
      </c>
      <c r="D997" s="1051">
        <v>0</v>
      </c>
    </row>
    <row r="998" spans="2:4">
      <c r="B998" s="6" t="s">
        <v>1102</v>
      </c>
      <c r="C998" s="6">
        <v>913</v>
      </c>
      <c r="D998" s="1051">
        <v>0</v>
      </c>
    </row>
    <row r="999" spans="2:4">
      <c r="B999" s="6" t="s">
        <v>1102</v>
      </c>
      <c r="C999" s="6">
        <v>920</v>
      </c>
      <c r="D999" s="1051">
        <v>0</v>
      </c>
    </row>
    <row r="1000" spans="2:4">
      <c r="B1000" s="6" t="s">
        <v>1102</v>
      </c>
      <c r="C1000" s="6">
        <v>921</v>
      </c>
      <c r="D1000" s="1051">
        <v>0</v>
      </c>
    </row>
    <row r="1001" spans="2:4">
      <c r="B1001" s="6" t="s">
        <v>1102</v>
      </c>
      <c r="C1001" s="6">
        <v>923</v>
      </c>
      <c r="D1001" s="1051">
        <v>0</v>
      </c>
    </row>
    <row r="1002" spans="2:4">
      <c r="B1002" s="6" t="s">
        <v>1102</v>
      </c>
      <c r="C1002" s="6">
        <v>924</v>
      </c>
      <c r="D1002" s="1051">
        <v>0</v>
      </c>
    </row>
    <row r="1003" spans="2:4">
      <c r="B1003" s="6" t="s">
        <v>1102</v>
      </c>
      <c r="C1003" s="6">
        <v>925</v>
      </c>
      <c r="D1003" s="1051">
        <v>0</v>
      </c>
    </row>
    <row r="1004" spans="2:4">
      <c r="B1004" s="6" t="s">
        <v>1102</v>
      </c>
      <c r="C1004" s="6">
        <v>926</v>
      </c>
      <c r="D1004" s="1051">
        <v>0</v>
      </c>
    </row>
    <row r="1005" spans="2:4">
      <c r="B1005" s="6" t="s">
        <v>1102</v>
      </c>
      <c r="C1005" s="6">
        <v>928</v>
      </c>
      <c r="D1005" s="1051">
        <v>0</v>
      </c>
    </row>
    <row r="1006" spans="2:4">
      <c r="B1006" s="6" t="s">
        <v>1102</v>
      </c>
      <c r="C1006" s="6">
        <v>930</v>
      </c>
      <c r="D1006" s="1051">
        <v>0</v>
      </c>
    </row>
    <row r="1007" spans="2:4">
      <c r="B1007" s="6" t="s">
        <v>1102</v>
      </c>
      <c r="C1007" s="6">
        <v>931</v>
      </c>
      <c r="D1007" s="1051">
        <v>0</v>
      </c>
    </row>
    <row r="1008" spans="2:4">
      <c r="B1008" s="6" t="s">
        <v>1102</v>
      </c>
      <c r="C1008" s="6">
        <v>932</v>
      </c>
      <c r="D1008" s="1051">
        <v>0</v>
      </c>
    </row>
    <row r="1009" spans="2:4">
      <c r="B1009" s="6" t="s">
        <v>1102</v>
      </c>
      <c r="C1009" s="6">
        <v>935</v>
      </c>
      <c r="D1009" s="1051">
        <v>0</v>
      </c>
    </row>
    <row r="1010" spans="2:4">
      <c r="B1010" s="6" t="s">
        <v>1552</v>
      </c>
      <c r="C1010" s="6">
        <v>801</v>
      </c>
      <c r="D1010" s="1051">
        <v>0</v>
      </c>
    </row>
    <row r="1011" spans="2:4">
      <c r="B1011" s="6" t="s">
        <v>1552</v>
      </c>
      <c r="C1011" s="6">
        <v>803</v>
      </c>
      <c r="D1011" s="1051">
        <v>0</v>
      </c>
    </row>
    <row r="1012" spans="2:4">
      <c r="B1012" s="6" t="s">
        <v>1552</v>
      </c>
      <c r="C1012" s="6">
        <v>804</v>
      </c>
      <c r="D1012" s="1051">
        <v>0</v>
      </c>
    </row>
    <row r="1013" spans="2:4">
      <c r="B1013" s="6" t="s">
        <v>1552</v>
      </c>
      <c r="C1013" s="6">
        <v>805</v>
      </c>
      <c r="D1013" s="1051">
        <v>0</v>
      </c>
    </row>
    <row r="1014" spans="2:4">
      <c r="B1014" s="6" t="s">
        <v>1552</v>
      </c>
      <c r="C1014" s="6">
        <v>806</v>
      </c>
      <c r="D1014" s="1051">
        <v>0</v>
      </c>
    </row>
    <row r="1015" spans="2:4">
      <c r="B1015" s="6" t="s">
        <v>1552</v>
      </c>
      <c r="C1015" s="6">
        <v>807</v>
      </c>
      <c r="D1015" s="1051">
        <v>0</v>
      </c>
    </row>
    <row r="1016" spans="2:4">
      <c r="B1016" s="6" t="s">
        <v>1552</v>
      </c>
      <c r="C1016" s="6">
        <v>808</v>
      </c>
      <c r="D1016" s="1051">
        <v>0</v>
      </c>
    </row>
    <row r="1017" spans="2:4">
      <c r="B1017" s="6" t="s">
        <v>1552</v>
      </c>
      <c r="C1017" s="6">
        <v>812</v>
      </c>
      <c r="D1017" s="1051">
        <v>0</v>
      </c>
    </row>
    <row r="1018" spans="2:4">
      <c r="B1018" s="6" t="s">
        <v>1552</v>
      </c>
      <c r="C1018" s="6">
        <v>870</v>
      </c>
      <c r="D1018" s="1051">
        <v>0</v>
      </c>
    </row>
    <row r="1019" spans="2:4">
      <c r="B1019" s="6" t="s">
        <v>1552</v>
      </c>
      <c r="C1019" s="6">
        <v>871</v>
      </c>
      <c r="D1019" s="1051">
        <v>0</v>
      </c>
    </row>
    <row r="1020" spans="2:4">
      <c r="B1020" s="6" t="s">
        <v>1552</v>
      </c>
      <c r="C1020" s="6">
        <v>874</v>
      </c>
      <c r="D1020" s="1051">
        <v>0</v>
      </c>
    </row>
    <row r="1021" spans="2:4">
      <c r="B1021" s="6" t="s">
        <v>1552</v>
      </c>
      <c r="C1021" s="6">
        <v>875</v>
      </c>
      <c r="D1021" s="1051">
        <v>0</v>
      </c>
    </row>
    <row r="1022" spans="2:4">
      <c r="B1022" s="6" t="s">
        <v>1552</v>
      </c>
      <c r="C1022" s="6">
        <v>876</v>
      </c>
      <c r="D1022" s="1051">
        <v>0</v>
      </c>
    </row>
    <row r="1023" spans="2:4">
      <c r="B1023" s="6" t="s">
        <v>1552</v>
      </c>
      <c r="C1023" s="6">
        <v>878</v>
      </c>
      <c r="D1023" s="1051">
        <v>0</v>
      </c>
    </row>
    <row r="1024" spans="2:4">
      <c r="B1024" s="6" t="s">
        <v>1552</v>
      </c>
      <c r="C1024" s="6">
        <v>879</v>
      </c>
      <c r="D1024" s="1051">
        <v>0</v>
      </c>
    </row>
    <row r="1025" spans="2:4">
      <c r="B1025" s="6" t="s">
        <v>1552</v>
      </c>
      <c r="C1025" s="6">
        <v>880</v>
      </c>
      <c r="D1025" s="1051">
        <v>0</v>
      </c>
    </row>
    <row r="1026" spans="2:4">
      <c r="B1026" s="6" t="s">
        <v>1552</v>
      </c>
      <c r="C1026" s="6">
        <v>881</v>
      </c>
      <c r="D1026" s="1051">
        <v>0</v>
      </c>
    </row>
    <row r="1027" spans="2:4">
      <c r="B1027" s="6" t="s">
        <v>1552</v>
      </c>
      <c r="C1027" s="6">
        <v>885</v>
      </c>
      <c r="D1027" s="1051">
        <v>0</v>
      </c>
    </row>
    <row r="1028" spans="2:4">
      <c r="B1028" s="6" t="s">
        <v>1552</v>
      </c>
      <c r="C1028" s="6">
        <v>886</v>
      </c>
      <c r="D1028" s="1051">
        <v>0</v>
      </c>
    </row>
    <row r="1029" spans="2:4">
      <c r="B1029" s="6" t="s">
        <v>1552</v>
      </c>
      <c r="C1029" s="6">
        <v>887</v>
      </c>
      <c r="D1029" s="1051">
        <v>0</v>
      </c>
    </row>
    <row r="1030" spans="2:4">
      <c r="B1030" s="6" t="s">
        <v>1552</v>
      </c>
      <c r="C1030" s="6">
        <v>889</v>
      </c>
      <c r="D1030" s="1051">
        <v>0</v>
      </c>
    </row>
    <row r="1031" spans="2:4">
      <c r="B1031" s="6" t="s">
        <v>1552</v>
      </c>
      <c r="C1031" s="6">
        <v>890</v>
      </c>
      <c r="D1031" s="1051">
        <v>0</v>
      </c>
    </row>
    <row r="1032" spans="2:4">
      <c r="B1032" s="6" t="s">
        <v>1552</v>
      </c>
      <c r="C1032" s="6">
        <v>892</v>
      </c>
      <c r="D1032" s="1051">
        <v>0</v>
      </c>
    </row>
    <row r="1033" spans="2:4">
      <c r="B1033" s="6" t="s">
        <v>1552</v>
      </c>
      <c r="C1033" s="6">
        <v>893</v>
      </c>
      <c r="D1033" s="1051">
        <v>0</v>
      </c>
    </row>
    <row r="1034" spans="2:4">
      <c r="B1034" s="6" t="s">
        <v>1552</v>
      </c>
      <c r="C1034" s="6">
        <v>894</v>
      </c>
      <c r="D1034" s="1051">
        <v>0</v>
      </c>
    </row>
    <row r="1035" spans="2:4">
      <c r="B1035" s="6" t="s">
        <v>1552</v>
      </c>
      <c r="C1035" s="6">
        <v>902</v>
      </c>
      <c r="D1035" s="1051">
        <v>0</v>
      </c>
    </row>
    <row r="1036" spans="2:4">
      <c r="B1036" s="6" t="s">
        <v>1552</v>
      </c>
      <c r="C1036" s="6">
        <v>903</v>
      </c>
      <c r="D1036" s="1051">
        <v>0</v>
      </c>
    </row>
    <row r="1037" spans="2:4">
      <c r="B1037" s="6" t="s">
        <v>1552</v>
      </c>
      <c r="C1037" s="6">
        <v>904</v>
      </c>
      <c r="D1037" s="1051">
        <v>0</v>
      </c>
    </row>
    <row r="1038" spans="2:4">
      <c r="B1038" s="6" t="s">
        <v>1552</v>
      </c>
      <c r="C1038" s="6">
        <v>905</v>
      </c>
      <c r="D1038" s="1051">
        <v>0</v>
      </c>
    </row>
    <row r="1039" spans="2:4">
      <c r="B1039" s="6" t="s">
        <v>1552</v>
      </c>
      <c r="C1039" s="6">
        <v>907</v>
      </c>
      <c r="D1039" s="1051">
        <v>0</v>
      </c>
    </row>
    <row r="1040" spans="2:4">
      <c r="B1040" s="6" t="s">
        <v>1552</v>
      </c>
      <c r="C1040" s="6">
        <v>908</v>
      </c>
      <c r="D1040" s="1051">
        <v>0</v>
      </c>
    </row>
    <row r="1041" spans="2:4">
      <c r="B1041" s="6" t="s">
        <v>1552</v>
      </c>
      <c r="C1041" s="6">
        <v>909</v>
      </c>
      <c r="D1041" s="1051">
        <v>0</v>
      </c>
    </row>
    <row r="1042" spans="2:4">
      <c r="B1042" s="6" t="s">
        <v>1552</v>
      </c>
      <c r="C1042" s="6">
        <v>910</v>
      </c>
      <c r="D1042" s="1051">
        <v>0</v>
      </c>
    </row>
    <row r="1043" spans="2:4">
      <c r="B1043" s="6" t="s">
        <v>1552</v>
      </c>
      <c r="C1043" s="6">
        <v>911</v>
      </c>
      <c r="D1043" s="1051">
        <v>0</v>
      </c>
    </row>
    <row r="1044" spans="2:4">
      <c r="B1044" s="6" t="s">
        <v>1552</v>
      </c>
      <c r="C1044" s="6">
        <v>912</v>
      </c>
      <c r="D1044" s="1051">
        <v>0</v>
      </c>
    </row>
    <row r="1045" spans="2:4">
      <c r="B1045" s="6" t="s">
        <v>1552</v>
      </c>
      <c r="C1045" s="6">
        <v>913</v>
      </c>
      <c r="D1045" s="1051">
        <v>0</v>
      </c>
    </row>
    <row r="1046" spans="2:4">
      <c r="B1046" s="6" t="s">
        <v>1552</v>
      </c>
      <c r="C1046" s="6">
        <v>920</v>
      </c>
      <c r="D1046" s="1051">
        <v>0</v>
      </c>
    </row>
    <row r="1047" spans="2:4">
      <c r="B1047" s="6" t="s">
        <v>1552</v>
      </c>
      <c r="C1047" s="6">
        <v>921</v>
      </c>
      <c r="D1047" s="1051">
        <v>0</v>
      </c>
    </row>
    <row r="1048" spans="2:4">
      <c r="B1048" s="6" t="s">
        <v>1552</v>
      </c>
      <c r="C1048" s="6">
        <v>923</v>
      </c>
      <c r="D1048" s="1051">
        <v>0</v>
      </c>
    </row>
    <row r="1049" spans="2:4">
      <c r="B1049" s="6" t="s">
        <v>1552</v>
      </c>
      <c r="C1049" s="6">
        <v>924</v>
      </c>
      <c r="D1049" s="1051">
        <v>0</v>
      </c>
    </row>
    <row r="1050" spans="2:4">
      <c r="B1050" s="6" t="s">
        <v>1552</v>
      </c>
      <c r="C1050" s="6">
        <v>925</v>
      </c>
      <c r="D1050" s="1051">
        <v>0</v>
      </c>
    </row>
    <row r="1051" spans="2:4">
      <c r="B1051" s="6" t="s">
        <v>1552</v>
      </c>
      <c r="C1051" s="6">
        <v>926</v>
      </c>
      <c r="D1051" s="1051">
        <v>1</v>
      </c>
    </row>
    <row r="1052" spans="2:4">
      <c r="B1052" s="6" t="s">
        <v>1552</v>
      </c>
      <c r="C1052" s="6">
        <v>928</v>
      </c>
      <c r="D1052" s="1051">
        <v>0</v>
      </c>
    </row>
    <row r="1053" spans="2:4">
      <c r="B1053" s="6" t="s">
        <v>1552</v>
      </c>
      <c r="C1053" s="6">
        <v>930</v>
      </c>
      <c r="D1053" s="1051">
        <v>0</v>
      </c>
    </row>
    <row r="1054" spans="2:4">
      <c r="B1054" s="6" t="s">
        <v>1552</v>
      </c>
      <c r="C1054" s="6">
        <v>931</v>
      </c>
      <c r="D1054" s="1051">
        <v>0</v>
      </c>
    </row>
    <row r="1055" spans="2:4">
      <c r="B1055" s="6" t="s">
        <v>1552</v>
      </c>
      <c r="C1055" s="6">
        <v>932</v>
      </c>
      <c r="D1055" s="1051">
        <v>0</v>
      </c>
    </row>
    <row r="1056" spans="2:4">
      <c r="B1056" s="6" t="s">
        <v>1552</v>
      </c>
      <c r="C1056" s="6">
        <v>935</v>
      </c>
      <c r="D1056" s="1051">
        <v>0</v>
      </c>
    </row>
    <row r="1057" spans="2:4">
      <c r="B1057" s="6" t="s">
        <v>1551</v>
      </c>
      <c r="C1057" s="6">
        <v>801</v>
      </c>
      <c r="D1057" s="1051">
        <v>0</v>
      </c>
    </row>
    <row r="1058" spans="2:4">
      <c r="B1058" s="6" t="s">
        <v>1551</v>
      </c>
      <c r="C1058" s="6">
        <v>803</v>
      </c>
      <c r="D1058" s="1051">
        <v>0</v>
      </c>
    </row>
    <row r="1059" spans="2:4">
      <c r="B1059" s="6" t="s">
        <v>1551</v>
      </c>
      <c r="C1059" s="6">
        <v>804</v>
      </c>
      <c r="D1059" s="1051">
        <v>0</v>
      </c>
    </row>
    <row r="1060" spans="2:4">
      <c r="B1060" s="6" t="s">
        <v>1551</v>
      </c>
      <c r="C1060" s="6">
        <v>805</v>
      </c>
      <c r="D1060" s="1051">
        <v>0</v>
      </c>
    </row>
    <row r="1061" spans="2:4">
      <c r="B1061" s="6" t="s">
        <v>1551</v>
      </c>
      <c r="C1061" s="6">
        <v>806</v>
      </c>
      <c r="D1061" s="1051">
        <v>0</v>
      </c>
    </row>
    <row r="1062" spans="2:4">
      <c r="B1062" s="6" t="s">
        <v>1551</v>
      </c>
      <c r="C1062" s="6">
        <v>807</v>
      </c>
      <c r="D1062" s="1051">
        <v>0</v>
      </c>
    </row>
    <row r="1063" spans="2:4">
      <c r="B1063" s="6" t="s">
        <v>1551</v>
      </c>
      <c r="C1063" s="6">
        <v>808</v>
      </c>
      <c r="D1063" s="1051">
        <v>0</v>
      </c>
    </row>
    <row r="1064" spans="2:4">
      <c r="B1064" s="6" t="s">
        <v>1551</v>
      </c>
      <c r="C1064" s="6">
        <v>812</v>
      </c>
      <c r="D1064" s="1051">
        <v>0</v>
      </c>
    </row>
    <row r="1065" spans="2:4">
      <c r="B1065" s="6" t="s">
        <v>1551</v>
      </c>
      <c r="C1065" s="6">
        <v>870</v>
      </c>
      <c r="D1065" s="1051">
        <v>0</v>
      </c>
    </row>
    <row r="1066" spans="2:4">
      <c r="B1066" s="6" t="s">
        <v>1551</v>
      </c>
      <c r="C1066" s="6">
        <v>871</v>
      </c>
      <c r="D1066" s="1051">
        <v>0</v>
      </c>
    </row>
    <row r="1067" spans="2:4">
      <c r="B1067" s="6" t="s">
        <v>1551</v>
      </c>
      <c r="C1067" s="6">
        <v>874</v>
      </c>
      <c r="D1067" s="1051">
        <v>-7.2820777725906134E-5</v>
      </c>
    </row>
    <row r="1068" spans="2:4">
      <c r="B1068" s="6" t="s">
        <v>1551</v>
      </c>
      <c r="C1068" s="6">
        <v>875</v>
      </c>
      <c r="D1068" s="1051">
        <v>0</v>
      </c>
    </row>
    <row r="1069" spans="2:4">
      <c r="B1069" s="6" t="s">
        <v>1551</v>
      </c>
      <c r="C1069" s="6">
        <v>876</v>
      </c>
      <c r="D1069" s="1051">
        <v>0</v>
      </c>
    </row>
    <row r="1070" spans="2:4">
      <c r="B1070" s="6" t="s">
        <v>1551</v>
      </c>
      <c r="C1070" s="6">
        <v>878</v>
      </c>
      <c r="D1070" s="1051">
        <v>0</v>
      </c>
    </row>
    <row r="1071" spans="2:4">
      <c r="B1071" s="6" t="s">
        <v>1551</v>
      </c>
      <c r="C1071" s="6">
        <v>879</v>
      </c>
      <c r="D1071" s="1051">
        <v>0</v>
      </c>
    </row>
    <row r="1072" spans="2:4">
      <c r="B1072" s="6" t="s">
        <v>1551</v>
      </c>
      <c r="C1072" s="6">
        <v>880</v>
      </c>
      <c r="D1072" s="1051">
        <v>4.5386484727656906E-4</v>
      </c>
    </row>
    <row r="1073" spans="2:4">
      <c r="B1073" s="6" t="s">
        <v>1551</v>
      </c>
      <c r="C1073" s="6">
        <v>881</v>
      </c>
      <c r="D1073" s="1051">
        <v>0</v>
      </c>
    </row>
    <row r="1074" spans="2:4">
      <c r="B1074" s="6" t="s">
        <v>1551</v>
      </c>
      <c r="C1074" s="6">
        <v>885</v>
      </c>
      <c r="D1074" s="1051">
        <v>0</v>
      </c>
    </row>
    <row r="1075" spans="2:4">
      <c r="B1075" s="6" t="s">
        <v>1551</v>
      </c>
      <c r="C1075" s="6">
        <v>886</v>
      </c>
      <c r="D1075" s="1051">
        <v>0</v>
      </c>
    </row>
    <row r="1076" spans="2:4">
      <c r="B1076" s="6" t="s">
        <v>1551</v>
      </c>
      <c r="C1076" s="6">
        <v>887</v>
      </c>
      <c r="D1076" s="1051">
        <v>0</v>
      </c>
    </row>
    <row r="1077" spans="2:4">
      <c r="B1077" s="6" t="s">
        <v>1551</v>
      </c>
      <c r="C1077" s="6">
        <v>889</v>
      </c>
      <c r="D1077" s="1051">
        <v>0</v>
      </c>
    </row>
    <row r="1078" spans="2:4">
      <c r="B1078" s="6" t="s">
        <v>1551</v>
      </c>
      <c r="C1078" s="6">
        <v>890</v>
      </c>
      <c r="D1078" s="1051">
        <v>0</v>
      </c>
    </row>
    <row r="1079" spans="2:4">
      <c r="B1079" s="6" t="s">
        <v>1551</v>
      </c>
      <c r="C1079" s="6">
        <v>892</v>
      </c>
      <c r="D1079" s="1051">
        <v>0</v>
      </c>
    </row>
    <row r="1080" spans="2:4">
      <c r="B1080" s="6" t="s">
        <v>1551</v>
      </c>
      <c r="C1080" s="6">
        <v>893</v>
      </c>
      <c r="D1080" s="1051">
        <v>0</v>
      </c>
    </row>
    <row r="1081" spans="2:4">
      <c r="B1081" s="6" t="s">
        <v>1551</v>
      </c>
      <c r="C1081" s="6">
        <v>894</v>
      </c>
      <c r="D1081" s="1051">
        <v>0</v>
      </c>
    </row>
    <row r="1082" spans="2:4">
      <c r="B1082" s="6" t="s">
        <v>1551</v>
      </c>
      <c r="C1082" s="6">
        <v>902</v>
      </c>
      <c r="D1082" s="1051">
        <v>0</v>
      </c>
    </row>
    <row r="1083" spans="2:4">
      <c r="B1083" s="6" t="s">
        <v>1551</v>
      </c>
      <c r="C1083" s="6">
        <v>903</v>
      </c>
      <c r="D1083" s="1051">
        <v>0</v>
      </c>
    </row>
    <row r="1084" spans="2:4">
      <c r="B1084" s="6" t="s">
        <v>1551</v>
      </c>
      <c r="C1084" s="6">
        <v>904</v>
      </c>
      <c r="D1084" s="1051">
        <v>0</v>
      </c>
    </row>
    <row r="1085" spans="2:4">
      <c r="B1085" s="6" t="s">
        <v>1551</v>
      </c>
      <c r="C1085" s="6">
        <v>905</v>
      </c>
      <c r="D1085" s="1051">
        <v>0</v>
      </c>
    </row>
    <row r="1086" spans="2:4">
      <c r="B1086" s="6" t="s">
        <v>1551</v>
      </c>
      <c r="C1086" s="6">
        <v>907</v>
      </c>
      <c r="D1086" s="1051">
        <v>0</v>
      </c>
    </row>
    <row r="1087" spans="2:4">
      <c r="B1087" s="6" t="s">
        <v>1551</v>
      </c>
      <c r="C1087" s="6">
        <v>908</v>
      </c>
      <c r="D1087" s="1051">
        <v>0</v>
      </c>
    </row>
    <row r="1088" spans="2:4">
      <c r="B1088" s="6" t="s">
        <v>1551</v>
      </c>
      <c r="C1088" s="6">
        <v>909</v>
      </c>
      <c r="D1088" s="1051">
        <v>0</v>
      </c>
    </row>
    <row r="1089" spans="2:4">
      <c r="B1089" s="6" t="s">
        <v>1551</v>
      </c>
      <c r="C1089" s="6">
        <v>910</v>
      </c>
      <c r="D1089" s="1051">
        <v>0</v>
      </c>
    </row>
    <row r="1090" spans="2:4">
      <c r="B1090" s="6" t="s">
        <v>1551</v>
      </c>
      <c r="C1090" s="6">
        <v>911</v>
      </c>
      <c r="D1090" s="1051">
        <v>0</v>
      </c>
    </row>
    <row r="1091" spans="2:4">
      <c r="B1091" s="6" t="s">
        <v>1551</v>
      </c>
      <c r="C1091" s="6">
        <v>912</v>
      </c>
      <c r="D1091" s="1051">
        <v>0</v>
      </c>
    </row>
    <row r="1092" spans="2:4">
      <c r="B1092" s="6" t="s">
        <v>1551</v>
      </c>
      <c r="C1092" s="6">
        <v>913</v>
      </c>
      <c r="D1092" s="1051">
        <v>0</v>
      </c>
    </row>
    <row r="1093" spans="2:4">
      <c r="B1093" s="6" t="s">
        <v>1551</v>
      </c>
      <c r="C1093" s="6">
        <v>920</v>
      </c>
      <c r="D1093" s="1051">
        <v>0</v>
      </c>
    </row>
    <row r="1094" spans="2:4">
      <c r="B1094" s="6" t="s">
        <v>1551</v>
      </c>
      <c r="C1094" s="6">
        <v>921</v>
      </c>
      <c r="D1094" s="1051">
        <v>0</v>
      </c>
    </row>
    <row r="1095" spans="2:4">
      <c r="B1095" s="6" t="s">
        <v>1551</v>
      </c>
      <c r="C1095" s="6">
        <v>923</v>
      </c>
      <c r="D1095" s="1051">
        <v>0</v>
      </c>
    </row>
    <row r="1096" spans="2:4">
      <c r="B1096" s="6" t="s">
        <v>1551</v>
      </c>
      <c r="C1096" s="6">
        <v>924</v>
      </c>
      <c r="D1096" s="1051">
        <v>0</v>
      </c>
    </row>
    <row r="1097" spans="2:4">
      <c r="B1097" s="6" t="s">
        <v>1551</v>
      </c>
      <c r="C1097" s="6">
        <v>925</v>
      </c>
      <c r="D1097" s="1051">
        <v>0</v>
      </c>
    </row>
    <row r="1098" spans="2:4">
      <c r="B1098" s="6" t="s">
        <v>1551</v>
      </c>
      <c r="C1098" s="6">
        <v>926</v>
      </c>
      <c r="D1098" s="1051">
        <v>0.99961895593044936</v>
      </c>
    </row>
    <row r="1099" spans="2:4">
      <c r="B1099" s="6" t="s">
        <v>1551</v>
      </c>
      <c r="C1099" s="6">
        <v>928</v>
      </c>
      <c r="D1099" s="1051">
        <v>0</v>
      </c>
    </row>
    <row r="1100" spans="2:4">
      <c r="B1100" s="6" t="s">
        <v>1551</v>
      </c>
      <c r="C1100" s="6">
        <v>930</v>
      </c>
      <c r="D1100" s="1051">
        <v>0</v>
      </c>
    </row>
    <row r="1101" spans="2:4">
      <c r="B1101" s="6" t="s">
        <v>1551</v>
      </c>
      <c r="C1101" s="6">
        <v>931</v>
      </c>
      <c r="D1101" s="1051">
        <v>0</v>
      </c>
    </row>
    <row r="1102" spans="2:4">
      <c r="B1102" s="6" t="s">
        <v>1551</v>
      </c>
      <c r="C1102" s="6">
        <v>932</v>
      </c>
      <c r="D1102" s="1051">
        <v>0</v>
      </c>
    </row>
    <row r="1103" spans="2:4">
      <c r="B1103" s="6" t="s">
        <v>1551</v>
      </c>
      <c r="C1103" s="6">
        <v>935</v>
      </c>
      <c r="D1103" s="1051">
        <v>0</v>
      </c>
    </row>
    <row r="1104" spans="2:4">
      <c r="B1104" s="6" t="s">
        <v>1936</v>
      </c>
      <c r="C1104" s="6">
        <v>801</v>
      </c>
      <c r="D1104" s="1051">
        <v>0</v>
      </c>
    </row>
    <row r="1105" spans="2:4">
      <c r="B1105" s="6" t="s">
        <v>1936</v>
      </c>
      <c r="C1105" s="6">
        <v>803</v>
      </c>
      <c r="D1105" s="1051">
        <v>0</v>
      </c>
    </row>
    <row r="1106" spans="2:4">
      <c r="B1106" s="6" t="s">
        <v>1936</v>
      </c>
      <c r="C1106" s="6">
        <v>804</v>
      </c>
      <c r="D1106" s="1051">
        <v>0</v>
      </c>
    </row>
    <row r="1107" spans="2:4">
      <c r="B1107" s="6" t="s">
        <v>1936</v>
      </c>
      <c r="C1107" s="6">
        <v>805</v>
      </c>
      <c r="D1107" s="1051">
        <v>0</v>
      </c>
    </row>
    <row r="1108" spans="2:4">
      <c r="B1108" s="6" t="s">
        <v>1936</v>
      </c>
      <c r="C1108" s="6">
        <v>806</v>
      </c>
      <c r="D1108" s="1051">
        <v>0</v>
      </c>
    </row>
    <row r="1109" spans="2:4">
      <c r="B1109" s="6" t="s">
        <v>1936</v>
      </c>
      <c r="C1109" s="6">
        <v>807</v>
      </c>
      <c r="D1109" s="1051">
        <v>0</v>
      </c>
    </row>
    <row r="1110" spans="2:4">
      <c r="B1110" s="6" t="s">
        <v>1936</v>
      </c>
      <c r="C1110" s="6">
        <v>808</v>
      </c>
      <c r="D1110" s="1051">
        <v>0</v>
      </c>
    </row>
    <row r="1111" spans="2:4">
      <c r="B1111" s="6" t="s">
        <v>1936</v>
      </c>
      <c r="C1111" s="6">
        <v>812</v>
      </c>
      <c r="D1111" s="1051">
        <v>0</v>
      </c>
    </row>
    <row r="1112" spans="2:4">
      <c r="B1112" s="6" t="s">
        <v>1936</v>
      </c>
      <c r="C1112" s="6">
        <v>870</v>
      </c>
      <c r="D1112" s="1051">
        <v>2.7741062410424231E-3</v>
      </c>
    </row>
    <row r="1113" spans="2:4">
      <c r="B1113" s="6" t="s">
        <v>1936</v>
      </c>
      <c r="C1113" s="6">
        <v>871</v>
      </c>
      <c r="D1113" s="1051">
        <v>0</v>
      </c>
    </row>
    <row r="1114" spans="2:4">
      <c r="B1114" s="6" t="s">
        <v>1936</v>
      </c>
      <c r="C1114" s="6">
        <v>874</v>
      </c>
      <c r="D1114" s="1051">
        <v>7.2352935585135891E-2</v>
      </c>
    </row>
    <row r="1115" spans="2:4">
      <c r="B1115" s="6" t="s">
        <v>1936</v>
      </c>
      <c r="C1115" s="6">
        <v>875</v>
      </c>
      <c r="D1115" s="1051">
        <v>0</v>
      </c>
    </row>
    <row r="1116" spans="2:4">
      <c r="B1116" s="6" t="s">
        <v>1936</v>
      </c>
      <c r="C1116" s="6">
        <v>876</v>
      </c>
      <c r="D1116" s="1051">
        <v>0</v>
      </c>
    </row>
    <row r="1117" spans="2:4">
      <c r="B1117" s="6" t="s">
        <v>1936</v>
      </c>
      <c r="C1117" s="6">
        <v>878</v>
      </c>
      <c r="D1117" s="1051">
        <v>2.4101716273971019E-4</v>
      </c>
    </row>
    <row r="1118" spans="2:4">
      <c r="B1118" s="6" t="s">
        <v>1936</v>
      </c>
      <c r="C1118" s="6">
        <v>879</v>
      </c>
      <c r="D1118" s="1051">
        <v>0</v>
      </c>
    </row>
    <row r="1119" spans="2:4">
      <c r="B1119" s="6" t="s">
        <v>1936</v>
      </c>
      <c r="C1119" s="6">
        <v>880</v>
      </c>
      <c r="D1119" s="1051">
        <v>0.26978010666995139</v>
      </c>
    </row>
    <row r="1120" spans="2:4">
      <c r="B1120" s="6" t="s">
        <v>1936</v>
      </c>
      <c r="C1120" s="6">
        <v>881</v>
      </c>
      <c r="D1120" s="1051">
        <v>0.22554401714281766</v>
      </c>
    </row>
    <row r="1121" spans="2:4">
      <c r="B1121" s="6" t="s">
        <v>1936</v>
      </c>
      <c r="C1121" s="6">
        <v>885</v>
      </c>
      <c r="D1121" s="1051">
        <v>0</v>
      </c>
    </row>
    <row r="1122" spans="2:4">
      <c r="B1122" s="6" t="s">
        <v>1936</v>
      </c>
      <c r="C1122" s="6">
        <v>886</v>
      </c>
      <c r="D1122" s="1051">
        <v>7.7016116378867518E-3</v>
      </c>
    </row>
    <row r="1123" spans="2:4">
      <c r="B1123" s="6" t="s">
        <v>1936</v>
      </c>
      <c r="C1123" s="6">
        <v>887</v>
      </c>
      <c r="D1123" s="1051">
        <v>2.7741062410424231E-3</v>
      </c>
    </row>
    <row r="1124" spans="2:4">
      <c r="B1124" s="6" t="s">
        <v>1936</v>
      </c>
      <c r="C1124" s="6">
        <v>889</v>
      </c>
      <c r="D1124" s="1051">
        <v>0</v>
      </c>
    </row>
    <row r="1125" spans="2:4">
      <c r="B1125" s="6" t="s">
        <v>1936</v>
      </c>
      <c r="C1125" s="6">
        <v>890</v>
      </c>
      <c r="D1125" s="1051">
        <v>0</v>
      </c>
    </row>
    <row r="1126" spans="2:4">
      <c r="B1126" s="6" t="s">
        <v>1936</v>
      </c>
      <c r="C1126" s="6">
        <v>892</v>
      </c>
      <c r="D1126" s="1051">
        <v>2.7741062410424231E-3</v>
      </c>
    </row>
    <row r="1127" spans="2:4">
      <c r="B1127" s="6" t="s">
        <v>1936</v>
      </c>
      <c r="C1127" s="6">
        <v>893</v>
      </c>
      <c r="D1127" s="1051">
        <v>0</v>
      </c>
    </row>
    <row r="1128" spans="2:4">
      <c r="B1128" s="6" t="s">
        <v>1936</v>
      </c>
      <c r="C1128" s="6">
        <v>894</v>
      </c>
      <c r="D1128" s="1051">
        <v>1.0352019173038993E-2</v>
      </c>
    </row>
    <row r="1129" spans="2:4">
      <c r="B1129" s="6" t="s">
        <v>1936</v>
      </c>
      <c r="C1129" s="6">
        <v>902</v>
      </c>
      <c r="D1129" s="1051">
        <v>0</v>
      </c>
    </row>
    <row r="1130" spans="2:4">
      <c r="B1130" s="6" t="s">
        <v>1936</v>
      </c>
      <c r="C1130" s="6">
        <v>903</v>
      </c>
      <c r="D1130" s="1051">
        <v>0</v>
      </c>
    </row>
    <row r="1131" spans="2:4">
      <c r="B1131" s="6" t="s">
        <v>1936</v>
      </c>
      <c r="C1131" s="6">
        <v>904</v>
      </c>
      <c r="D1131" s="1051">
        <v>0</v>
      </c>
    </row>
    <row r="1132" spans="2:4">
      <c r="B1132" s="6" t="s">
        <v>1936</v>
      </c>
      <c r="C1132" s="6">
        <v>905</v>
      </c>
      <c r="D1132" s="1051">
        <v>0</v>
      </c>
    </row>
    <row r="1133" spans="2:4">
      <c r="B1133" s="6" t="s">
        <v>1936</v>
      </c>
      <c r="C1133" s="6">
        <v>907</v>
      </c>
      <c r="D1133" s="1051">
        <v>0</v>
      </c>
    </row>
    <row r="1134" spans="2:4">
      <c r="B1134" s="6" t="s">
        <v>1936</v>
      </c>
      <c r="C1134" s="6">
        <v>908</v>
      </c>
      <c r="D1134" s="1051">
        <v>0</v>
      </c>
    </row>
    <row r="1135" spans="2:4">
      <c r="B1135" s="6" t="s">
        <v>1936</v>
      </c>
      <c r="C1135" s="6">
        <v>909</v>
      </c>
      <c r="D1135" s="1051">
        <v>0</v>
      </c>
    </row>
    <row r="1136" spans="2:4">
      <c r="B1136" s="6" t="s">
        <v>1936</v>
      </c>
      <c r="C1136" s="6">
        <v>910</v>
      </c>
      <c r="D1136" s="1051">
        <v>0</v>
      </c>
    </row>
    <row r="1137" spans="2:4">
      <c r="B1137" s="6" t="s">
        <v>1936</v>
      </c>
      <c r="C1137" s="6">
        <v>911</v>
      </c>
      <c r="D1137" s="1051">
        <v>0</v>
      </c>
    </row>
    <row r="1138" spans="2:4">
      <c r="B1138" s="6" t="s">
        <v>1936</v>
      </c>
      <c r="C1138" s="6">
        <v>912</v>
      </c>
      <c r="D1138" s="1051">
        <v>0</v>
      </c>
    </row>
    <row r="1139" spans="2:4">
      <c r="B1139" s="6" t="s">
        <v>1936</v>
      </c>
      <c r="C1139" s="6">
        <v>913</v>
      </c>
      <c r="D1139" s="1051">
        <v>0</v>
      </c>
    </row>
    <row r="1140" spans="2:4">
      <c r="B1140" s="6" t="s">
        <v>1936</v>
      </c>
      <c r="C1140" s="6">
        <v>920</v>
      </c>
      <c r="D1140" s="1051">
        <v>0</v>
      </c>
    </row>
    <row r="1141" spans="2:4">
      <c r="B1141" s="6" t="s">
        <v>1936</v>
      </c>
      <c r="C1141" s="6">
        <v>921</v>
      </c>
      <c r="D1141" s="1051">
        <v>5.1679496392620206E-2</v>
      </c>
    </row>
    <row r="1142" spans="2:4">
      <c r="B1142" s="6" t="s">
        <v>1936</v>
      </c>
      <c r="C1142" s="6">
        <v>923</v>
      </c>
      <c r="D1142" s="1051">
        <v>0.35402647751268201</v>
      </c>
    </row>
    <row r="1143" spans="2:4">
      <c r="B1143" s="6" t="s">
        <v>1936</v>
      </c>
      <c r="C1143" s="6">
        <v>924</v>
      </c>
      <c r="D1143" s="1051">
        <v>0</v>
      </c>
    </row>
    <row r="1144" spans="2:4">
      <c r="B1144" s="6" t="s">
        <v>1936</v>
      </c>
      <c r="C1144" s="6">
        <v>925</v>
      </c>
      <c r="D1144" s="1051">
        <v>0</v>
      </c>
    </row>
    <row r="1145" spans="2:4">
      <c r="B1145" s="6" t="s">
        <v>1936</v>
      </c>
      <c r="C1145" s="6">
        <v>926</v>
      </c>
      <c r="D1145" s="1051">
        <v>0</v>
      </c>
    </row>
    <row r="1146" spans="2:4">
      <c r="B1146" s="6" t="s">
        <v>1936</v>
      </c>
      <c r="C1146" s="6">
        <v>928</v>
      </c>
      <c r="D1146" s="1051">
        <v>0</v>
      </c>
    </row>
    <row r="1147" spans="2:4">
      <c r="B1147" s="6" t="s">
        <v>1936</v>
      </c>
      <c r="C1147" s="6">
        <v>9301</v>
      </c>
      <c r="D1147" s="1051">
        <v>0</v>
      </c>
    </row>
    <row r="1148" spans="2:4">
      <c r="B1148" s="6" t="s">
        <v>1936</v>
      </c>
      <c r="C1148" s="6">
        <v>9302</v>
      </c>
      <c r="D1148" s="1051">
        <v>0</v>
      </c>
    </row>
    <row r="1149" spans="2:4">
      <c r="B1149" s="6" t="s">
        <v>1936</v>
      </c>
      <c r="C1149" s="6">
        <v>931</v>
      </c>
      <c r="D1149" s="1051">
        <v>0</v>
      </c>
    </row>
    <row r="1150" spans="2:4">
      <c r="B1150" s="6" t="s">
        <v>1936</v>
      </c>
      <c r="C1150" s="6">
        <v>932</v>
      </c>
      <c r="D1150" s="1051">
        <v>0</v>
      </c>
    </row>
    <row r="1151" spans="2:4">
      <c r="B1151" s="6" t="s">
        <v>1936</v>
      </c>
      <c r="C1151" s="6">
        <v>935</v>
      </c>
      <c r="D1151" s="1051">
        <v>0</v>
      </c>
    </row>
    <row r="1152" spans="2:4">
      <c r="B1152" s="6" t="s">
        <v>1084</v>
      </c>
      <c r="C1152" s="6">
        <v>801</v>
      </c>
      <c r="D1152" s="1051">
        <v>0</v>
      </c>
    </row>
    <row r="1153" spans="2:4">
      <c r="B1153" s="6" t="s">
        <v>1084</v>
      </c>
      <c r="C1153" s="6">
        <v>803</v>
      </c>
      <c r="D1153" s="1051">
        <v>0</v>
      </c>
    </row>
    <row r="1154" spans="2:4">
      <c r="B1154" s="6" t="s">
        <v>1084</v>
      </c>
      <c r="C1154" s="6">
        <v>804</v>
      </c>
      <c r="D1154" s="1051">
        <v>0</v>
      </c>
    </row>
    <row r="1155" spans="2:4">
      <c r="B1155" s="6" t="s">
        <v>1084</v>
      </c>
      <c r="C1155" s="6">
        <v>805</v>
      </c>
      <c r="D1155" s="1051">
        <v>0</v>
      </c>
    </row>
    <row r="1156" spans="2:4">
      <c r="B1156" s="6" t="s">
        <v>1084</v>
      </c>
      <c r="C1156" s="6">
        <v>806</v>
      </c>
      <c r="D1156" s="1051">
        <v>0</v>
      </c>
    </row>
    <row r="1157" spans="2:4">
      <c r="B1157" s="6" t="s">
        <v>1084</v>
      </c>
      <c r="C1157" s="6">
        <v>807</v>
      </c>
      <c r="D1157" s="1051">
        <v>0</v>
      </c>
    </row>
    <row r="1158" spans="2:4">
      <c r="B1158" s="6" t="s">
        <v>1084</v>
      </c>
      <c r="C1158" s="6">
        <v>808</v>
      </c>
      <c r="D1158" s="1051">
        <v>0</v>
      </c>
    </row>
    <row r="1159" spans="2:4">
      <c r="B1159" s="6" t="s">
        <v>1084</v>
      </c>
      <c r="C1159" s="6">
        <v>812</v>
      </c>
      <c r="D1159" s="1051">
        <v>0</v>
      </c>
    </row>
    <row r="1160" spans="2:4">
      <c r="B1160" s="6" t="s">
        <v>1084</v>
      </c>
      <c r="C1160" s="6">
        <v>865</v>
      </c>
      <c r="D1160" s="1051">
        <v>1.3569192546655562E-4</v>
      </c>
    </row>
    <row r="1161" spans="2:4">
      <c r="B1161" s="6" t="s">
        <v>1084</v>
      </c>
      <c r="C1161" s="6">
        <v>870</v>
      </c>
      <c r="D1161" s="1051">
        <v>5.0476611927168706E-4</v>
      </c>
    </row>
    <row r="1162" spans="2:4">
      <c r="B1162" s="6" t="s">
        <v>1084</v>
      </c>
      <c r="C1162" s="6">
        <v>871</v>
      </c>
      <c r="D1162" s="1051">
        <v>6.4929747168404025E-3</v>
      </c>
    </row>
    <row r="1163" spans="2:4">
      <c r="B1163" s="6" t="s">
        <v>1084</v>
      </c>
      <c r="C1163" s="6">
        <v>874</v>
      </c>
      <c r="D1163" s="1051">
        <v>0.45038220266211537</v>
      </c>
    </row>
    <row r="1164" spans="2:4">
      <c r="B1164" s="6" t="s">
        <v>1084</v>
      </c>
      <c r="C1164" s="6">
        <v>875</v>
      </c>
      <c r="D1164" s="1051">
        <v>7.8832396739295738E-3</v>
      </c>
    </row>
    <row r="1165" spans="2:4">
      <c r="B1165" s="6" t="s">
        <v>1084</v>
      </c>
      <c r="C1165" s="6">
        <v>876</v>
      </c>
      <c r="D1165" s="1051">
        <v>0</v>
      </c>
    </row>
    <row r="1166" spans="2:4">
      <c r="B1166" s="6" t="s">
        <v>1084</v>
      </c>
      <c r="C1166" s="6">
        <v>878</v>
      </c>
      <c r="D1166" s="1051">
        <v>0</v>
      </c>
    </row>
    <row r="1167" spans="2:4">
      <c r="B1167" s="6" t="s">
        <v>1084</v>
      </c>
      <c r="C1167" s="6">
        <v>879</v>
      </c>
      <c r="D1167" s="1051">
        <v>1.267449489437639E-2</v>
      </c>
    </row>
    <row r="1168" spans="2:4">
      <c r="B1168" s="6" t="s">
        <v>1084</v>
      </c>
      <c r="C1168" s="6">
        <v>880</v>
      </c>
      <c r="D1168" s="1051">
        <v>4.1663747656214153E-2</v>
      </c>
    </row>
    <row r="1169" spans="2:4">
      <c r="B1169" s="6" t="s">
        <v>1084</v>
      </c>
      <c r="C1169" s="6">
        <v>881</v>
      </c>
      <c r="D1169" s="1051">
        <v>0</v>
      </c>
    </row>
    <row r="1170" spans="2:4">
      <c r="B1170" s="6" t="s">
        <v>1084</v>
      </c>
      <c r="C1170" s="6">
        <v>885</v>
      </c>
      <c r="D1170" s="1051">
        <v>2.1059700570965422E-5</v>
      </c>
    </row>
    <row r="1171" spans="2:4">
      <c r="B1171" s="6" t="s">
        <v>1084</v>
      </c>
      <c r="C1171" s="6">
        <v>886</v>
      </c>
      <c r="D1171" s="1051">
        <v>1.8458023595401465E-2</v>
      </c>
    </row>
    <row r="1172" spans="2:4">
      <c r="B1172" s="6" t="s">
        <v>1084</v>
      </c>
      <c r="C1172" s="6">
        <v>887</v>
      </c>
      <c r="D1172" s="1051">
        <v>0.27890595086131675</v>
      </c>
    </row>
    <row r="1173" spans="2:4">
      <c r="B1173" s="6" t="s">
        <v>1084</v>
      </c>
      <c r="C1173" s="6">
        <v>889</v>
      </c>
      <c r="D1173" s="1051">
        <v>8.717338724118881E-3</v>
      </c>
    </row>
    <row r="1174" spans="2:4">
      <c r="B1174" s="6" t="s">
        <v>1084</v>
      </c>
      <c r="C1174" s="6">
        <v>890</v>
      </c>
      <c r="D1174" s="1051">
        <v>3.3782740232110467E-4</v>
      </c>
    </row>
    <row r="1175" spans="2:4">
      <c r="B1175" s="6" t="s">
        <v>1084</v>
      </c>
      <c r="C1175" s="6">
        <v>892</v>
      </c>
      <c r="D1175" s="1051">
        <v>2.8831054801057118E-2</v>
      </c>
    </row>
    <row r="1176" spans="2:4">
      <c r="B1176" s="6" t="s">
        <v>1084</v>
      </c>
      <c r="C1176" s="6">
        <v>893</v>
      </c>
      <c r="D1176" s="1051">
        <v>1.8621638252351309E-4</v>
      </c>
    </row>
    <row r="1177" spans="2:4">
      <c r="B1177" s="6" t="s">
        <v>1084</v>
      </c>
      <c r="C1177" s="6">
        <v>894</v>
      </c>
      <c r="D1177" s="1051">
        <v>1.5035920295918329E-4</v>
      </c>
    </row>
    <row r="1178" spans="2:4">
      <c r="B1178" s="6" t="s">
        <v>1084</v>
      </c>
      <c r="C1178" s="6">
        <v>902</v>
      </c>
      <c r="D1178" s="1051">
        <v>2.2691639906428036E-2</v>
      </c>
    </row>
    <row r="1179" spans="2:4">
      <c r="B1179" s="6" t="s">
        <v>1084</v>
      </c>
      <c r="C1179" s="6">
        <v>903</v>
      </c>
      <c r="D1179" s="1051">
        <v>7.9406899096100547E-3</v>
      </c>
    </row>
    <row r="1180" spans="2:4">
      <c r="B1180" s="6" t="s">
        <v>1084</v>
      </c>
      <c r="C1180" s="6">
        <v>904</v>
      </c>
      <c r="D1180" s="1051">
        <v>0</v>
      </c>
    </row>
    <row r="1181" spans="2:4">
      <c r="B1181" s="6" t="s">
        <v>1084</v>
      </c>
      <c r="C1181" s="6">
        <v>905</v>
      </c>
      <c r="D1181" s="1051">
        <v>0</v>
      </c>
    </row>
    <row r="1182" spans="2:4">
      <c r="B1182" s="6" t="s">
        <v>1084</v>
      </c>
      <c r="C1182" s="6">
        <v>907</v>
      </c>
      <c r="D1182" s="1051">
        <v>0</v>
      </c>
    </row>
    <row r="1183" spans="2:4">
      <c r="B1183" s="6" t="s">
        <v>1084</v>
      </c>
      <c r="C1183" s="6">
        <v>908</v>
      </c>
      <c r="D1183" s="1051">
        <v>0</v>
      </c>
    </row>
    <row r="1184" spans="2:4">
      <c r="B1184" s="6" t="s">
        <v>1084</v>
      </c>
      <c r="C1184" s="6">
        <v>909</v>
      </c>
      <c r="D1184" s="1051">
        <v>3.9710359639745995E-4</v>
      </c>
    </row>
    <row r="1185" spans="2:4">
      <c r="B1185" s="6" t="s">
        <v>1084</v>
      </c>
      <c r="C1185" s="6">
        <v>910</v>
      </c>
      <c r="D1185" s="1051">
        <v>0</v>
      </c>
    </row>
    <row r="1186" spans="2:4">
      <c r="B1186" s="6" t="s">
        <v>1084</v>
      </c>
      <c r="C1186" s="6">
        <v>911</v>
      </c>
      <c r="D1186" s="1051">
        <v>0</v>
      </c>
    </row>
    <row r="1187" spans="2:4">
      <c r="B1187" s="6" t="s">
        <v>1084</v>
      </c>
      <c r="C1187" s="6">
        <v>912</v>
      </c>
      <c r="D1187" s="1051">
        <v>0</v>
      </c>
    </row>
    <row r="1188" spans="2:4">
      <c r="B1188" s="6" t="s">
        <v>1084</v>
      </c>
      <c r="C1188" s="6">
        <v>913</v>
      </c>
      <c r="D1188" s="1051">
        <v>0</v>
      </c>
    </row>
    <row r="1189" spans="2:4">
      <c r="B1189" s="6" t="s">
        <v>1084</v>
      </c>
      <c r="C1189" s="6">
        <v>920</v>
      </c>
      <c r="D1189" s="1051">
        <v>0</v>
      </c>
    </row>
    <row r="1190" spans="2:4">
      <c r="B1190" s="6" t="s">
        <v>1084</v>
      </c>
      <c r="C1190" s="6">
        <v>921</v>
      </c>
      <c r="D1190" s="1051">
        <v>3.9842600441096639E-4</v>
      </c>
    </row>
    <row r="1191" spans="2:4">
      <c r="B1191" s="6" t="s">
        <v>1084</v>
      </c>
      <c r="C1191" s="6">
        <v>923</v>
      </c>
      <c r="D1191" s="1051">
        <v>9.0364588375618476E-2</v>
      </c>
    </row>
    <row r="1192" spans="2:4">
      <c r="B1192" s="6" t="s">
        <v>1084</v>
      </c>
      <c r="C1192" s="6">
        <v>924</v>
      </c>
      <c r="D1192" s="1051">
        <v>0</v>
      </c>
    </row>
    <row r="1193" spans="2:4">
      <c r="B1193" s="6" t="s">
        <v>1084</v>
      </c>
      <c r="C1193" s="6">
        <v>925</v>
      </c>
      <c r="D1193" s="1051">
        <v>0</v>
      </c>
    </row>
    <row r="1194" spans="2:4">
      <c r="B1194" s="6" t="s">
        <v>1084</v>
      </c>
      <c r="C1194" s="6">
        <v>926</v>
      </c>
      <c r="D1194" s="1051">
        <v>2.2593563665132144E-2</v>
      </c>
    </row>
    <row r="1195" spans="2:4">
      <c r="B1195" s="6" t="s">
        <v>1084</v>
      </c>
      <c r="C1195" s="6">
        <v>928</v>
      </c>
      <c r="D1195" s="1051">
        <v>0</v>
      </c>
    </row>
    <row r="1196" spans="2:4">
      <c r="B1196" s="6" t="s">
        <v>1084</v>
      </c>
      <c r="C1196" s="6">
        <v>9301</v>
      </c>
      <c r="D1196" s="1051">
        <v>0</v>
      </c>
    </row>
    <row r="1197" spans="2:4">
      <c r="B1197" s="6" t="s">
        <v>1084</v>
      </c>
      <c r="C1197" s="6">
        <v>9302</v>
      </c>
      <c r="D1197" s="1051">
        <v>2.6904022391985072E-4</v>
      </c>
    </row>
    <row r="1198" spans="2:4">
      <c r="B1198" s="6" t="s">
        <v>1084</v>
      </c>
      <c r="C1198" s="6">
        <v>931</v>
      </c>
      <c r="D1198" s="1051">
        <v>0</v>
      </c>
    </row>
    <row r="1199" spans="2:4">
      <c r="B1199" s="6" t="s">
        <v>1084</v>
      </c>
      <c r="C1199" s="6">
        <v>932</v>
      </c>
      <c r="D1199" s="1051">
        <v>0</v>
      </c>
    </row>
    <row r="1200" spans="2:4">
      <c r="B1200" s="6" t="s">
        <v>1084</v>
      </c>
      <c r="C1200" s="6">
        <v>935</v>
      </c>
      <c r="D1200" s="1051">
        <v>0</v>
      </c>
    </row>
    <row r="1201" spans="2:4">
      <c r="B1201" s="6" t="s">
        <v>1555</v>
      </c>
      <c r="C1201" s="6">
        <v>801</v>
      </c>
      <c r="D1201" s="1051">
        <v>0</v>
      </c>
    </row>
    <row r="1202" spans="2:4">
      <c r="B1202" s="6" t="s">
        <v>1555</v>
      </c>
      <c r="C1202" s="6">
        <v>803</v>
      </c>
      <c r="D1202" s="1051">
        <v>0</v>
      </c>
    </row>
    <row r="1203" spans="2:4">
      <c r="B1203" s="6" t="s">
        <v>1555</v>
      </c>
      <c r="C1203" s="6">
        <v>804</v>
      </c>
      <c r="D1203" s="1051">
        <v>0</v>
      </c>
    </row>
    <row r="1204" spans="2:4">
      <c r="B1204" s="6" t="s">
        <v>1555</v>
      </c>
      <c r="C1204" s="6">
        <v>805</v>
      </c>
      <c r="D1204" s="1051">
        <v>0</v>
      </c>
    </row>
    <row r="1205" spans="2:4">
      <c r="B1205" s="6" t="s">
        <v>1555</v>
      </c>
      <c r="C1205" s="6">
        <v>806</v>
      </c>
      <c r="D1205" s="1051">
        <v>0</v>
      </c>
    </row>
    <row r="1206" spans="2:4">
      <c r="B1206" s="6" t="s">
        <v>1555</v>
      </c>
      <c r="C1206" s="6">
        <v>807</v>
      </c>
      <c r="D1206" s="1051">
        <v>0</v>
      </c>
    </row>
    <row r="1207" spans="2:4">
      <c r="B1207" s="6" t="s">
        <v>1555</v>
      </c>
      <c r="C1207" s="6">
        <v>808</v>
      </c>
      <c r="D1207" s="1051">
        <v>0</v>
      </c>
    </row>
    <row r="1208" spans="2:4">
      <c r="B1208" s="6" t="s">
        <v>1555</v>
      </c>
      <c r="C1208" s="6">
        <v>812</v>
      </c>
      <c r="D1208" s="1051">
        <v>0</v>
      </c>
    </row>
    <row r="1209" spans="2:4">
      <c r="B1209" s="6" t="s">
        <v>1555</v>
      </c>
      <c r="C1209" s="6">
        <v>870</v>
      </c>
      <c r="D1209" s="1051">
        <v>0</v>
      </c>
    </row>
    <row r="1210" spans="2:4">
      <c r="B1210" s="6" t="s">
        <v>1555</v>
      </c>
      <c r="C1210" s="6">
        <v>871</v>
      </c>
      <c r="D1210" s="1051">
        <v>0</v>
      </c>
    </row>
    <row r="1211" spans="2:4">
      <c r="B1211" s="6" t="s">
        <v>1555</v>
      </c>
      <c r="C1211" s="6">
        <v>874</v>
      </c>
      <c r="D1211" s="1051">
        <v>0</v>
      </c>
    </row>
    <row r="1212" spans="2:4">
      <c r="B1212" s="6" t="s">
        <v>1555</v>
      </c>
      <c r="C1212" s="6">
        <v>875</v>
      </c>
      <c r="D1212" s="1051">
        <v>0</v>
      </c>
    </row>
    <row r="1213" spans="2:4">
      <c r="B1213" s="6" t="s">
        <v>1555</v>
      </c>
      <c r="C1213" s="6">
        <v>876</v>
      </c>
      <c r="D1213" s="1051">
        <v>0</v>
      </c>
    </row>
    <row r="1214" spans="2:4">
      <c r="B1214" s="6" t="s">
        <v>1555</v>
      </c>
      <c r="C1214" s="6">
        <v>878</v>
      </c>
      <c r="D1214" s="1051">
        <v>0</v>
      </c>
    </row>
    <row r="1215" spans="2:4">
      <c r="B1215" s="6" t="s">
        <v>1555</v>
      </c>
      <c r="C1215" s="6">
        <v>879</v>
      </c>
      <c r="D1215" s="1051">
        <v>0</v>
      </c>
    </row>
    <row r="1216" spans="2:4">
      <c r="B1216" s="6" t="s">
        <v>1555</v>
      </c>
      <c r="C1216" s="6">
        <v>880</v>
      </c>
      <c r="D1216" s="1051">
        <v>0</v>
      </c>
    </row>
    <row r="1217" spans="2:4">
      <c r="B1217" s="6" t="s">
        <v>1555</v>
      </c>
      <c r="C1217" s="6">
        <v>881</v>
      </c>
      <c r="D1217" s="1051">
        <v>0</v>
      </c>
    </row>
    <row r="1218" spans="2:4">
      <c r="B1218" s="6" t="s">
        <v>1555</v>
      </c>
      <c r="C1218" s="6">
        <v>885</v>
      </c>
      <c r="D1218" s="1051">
        <v>0</v>
      </c>
    </row>
    <row r="1219" spans="2:4">
      <c r="B1219" s="6" t="s">
        <v>1555</v>
      </c>
      <c r="C1219" s="6">
        <v>886</v>
      </c>
      <c r="D1219" s="1051">
        <v>0</v>
      </c>
    </row>
    <row r="1220" spans="2:4">
      <c r="B1220" s="6" t="s">
        <v>1555</v>
      </c>
      <c r="C1220" s="6">
        <v>887</v>
      </c>
      <c r="D1220" s="1051">
        <v>0</v>
      </c>
    </row>
    <row r="1221" spans="2:4">
      <c r="B1221" s="6" t="s">
        <v>1555</v>
      </c>
      <c r="C1221" s="6">
        <v>889</v>
      </c>
      <c r="D1221" s="1051">
        <v>0</v>
      </c>
    </row>
    <row r="1222" spans="2:4">
      <c r="B1222" s="6" t="s">
        <v>1555</v>
      </c>
      <c r="C1222" s="6">
        <v>890</v>
      </c>
      <c r="D1222" s="1051">
        <v>0</v>
      </c>
    </row>
    <row r="1223" spans="2:4">
      <c r="B1223" s="6" t="s">
        <v>1555</v>
      </c>
      <c r="C1223" s="6">
        <v>892</v>
      </c>
      <c r="D1223" s="1051">
        <v>0</v>
      </c>
    </row>
    <row r="1224" spans="2:4">
      <c r="B1224" s="6" t="s">
        <v>1555</v>
      </c>
      <c r="C1224" s="6">
        <v>893</v>
      </c>
      <c r="D1224" s="1051">
        <v>0</v>
      </c>
    </row>
    <row r="1225" spans="2:4">
      <c r="B1225" s="6" t="s">
        <v>1555</v>
      </c>
      <c r="C1225" s="6">
        <v>894</v>
      </c>
      <c r="D1225" s="1051">
        <v>0</v>
      </c>
    </row>
    <row r="1226" spans="2:4">
      <c r="B1226" s="6" t="s">
        <v>1555</v>
      </c>
      <c r="C1226" s="6">
        <v>902</v>
      </c>
      <c r="D1226" s="1051">
        <v>0</v>
      </c>
    </row>
    <row r="1227" spans="2:4">
      <c r="B1227" s="6" t="s">
        <v>1555</v>
      </c>
      <c r="C1227" s="6">
        <v>903</v>
      </c>
      <c r="D1227" s="1051">
        <v>0</v>
      </c>
    </row>
    <row r="1228" spans="2:4">
      <c r="B1228" s="6" t="s">
        <v>1555</v>
      </c>
      <c r="C1228" s="6">
        <v>904</v>
      </c>
      <c r="D1228" s="1051">
        <v>0</v>
      </c>
    </row>
    <row r="1229" spans="2:4">
      <c r="B1229" s="6" t="s">
        <v>1555</v>
      </c>
      <c r="C1229" s="6">
        <v>905</v>
      </c>
      <c r="D1229" s="1051">
        <v>0</v>
      </c>
    </row>
    <row r="1230" spans="2:4">
      <c r="B1230" s="6" t="s">
        <v>1555</v>
      </c>
      <c r="C1230" s="6">
        <v>907</v>
      </c>
      <c r="D1230" s="1051">
        <v>0</v>
      </c>
    </row>
    <row r="1231" spans="2:4">
      <c r="B1231" s="6" t="s">
        <v>1555</v>
      </c>
      <c r="C1231" s="6">
        <v>908</v>
      </c>
      <c r="D1231" s="1051">
        <v>0</v>
      </c>
    </row>
    <row r="1232" spans="2:4">
      <c r="B1232" s="6" t="s">
        <v>1555</v>
      </c>
      <c r="C1232" s="6">
        <v>909</v>
      </c>
      <c r="D1232" s="1051">
        <v>0</v>
      </c>
    </row>
    <row r="1233" spans="2:4">
      <c r="B1233" s="6" t="s">
        <v>1555</v>
      </c>
      <c r="C1233" s="6">
        <v>910</v>
      </c>
      <c r="D1233" s="1051">
        <v>0</v>
      </c>
    </row>
    <row r="1234" spans="2:4">
      <c r="B1234" s="6" t="s">
        <v>1555</v>
      </c>
      <c r="C1234" s="6">
        <v>911</v>
      </c>
      <c r="D1234" s="1051">
        <v>0</v>
      </c>
    </row>
    <row r="1235" spans="2:4">
      <c r="B1235" s="6" t="s">
        <v>1555</v>
      </c>
      <c r="C1235" s="6">
        <v>912</v>
      </c>
      <c r="D1235" s="1051">
        <v>0</v>
      </c>
    </row>
    <row r="1236" spans="2:4">
      <c r="B1236" s="6" t="s">
        <v>1555</v>
      </c>
      <c r="C1236" s="6">
        <v>913</v>
      </c>
      <c r="D1236" s="1051">
        <v>0</v>
      </c>
    </row>
    <row r="1237" spans="2:4">
      <c r="B1237" s="6" t="s">
        <v>1555</v>
      </c>
      <c r="C1237" s="6">
        <v>920</v>
      </c>
      <c r="D1237" s="1051">
        <v>0</v>
      </c>
    </row>
    <row r="1238" spans="2:4">
      <c r="B1238" s="6" t="s">
        <v>1555</v>
      </c>
      <c r="C1238" s="6">
        <v>921</v>
      </c>
      <c r="D1238" s="1051">
        <v>0</v>
      </c>
    </row>
    <row r="1239" spans="2:4">
      <c r="B1239" s="6" t="s">
        <v>1555</v>
      </c>
      <c r="C1239" s="6">
        <v>923</v>
      </c>
      <c r="D1239" s="1051">
        <v>0</v>
      </c>
    </row>
    <row r="1240" spans="2:4">
      <c r="B1240" s="6" t="s">
        <v>1555</v>
      </c>
      <c r="C1240" s="6">
        <v>924</v>
      </c>
      <c r="D1240" s="1051">
        <v>0</v>
      </c>
    </row>
    <row r="1241" spans="2:4">
      <c r="B1241" s="6" t="s">
        <v>1555</v>
      </c>
      <c r="C1241" s="6">
        <v>925</v>
      </c>
      <c r="D1241" s="1051">
        <v>0</v>
      </c>
    </row>
    <row r="1242" spans="2:4">
      <c r="B1242" s="6" t="s">
        <v>1555</v>
      </c>
      <c r="C1242" s="6">
        <v>926</v>
      </c>
      <c r="D1242" s="1051">
        <v>1</v>
      </c>
    </row>
    <row r="1243" spans="2:4">
      <c r="B1243" s="6" t="s">
        <v>1555</v>
      </c>
      <c r="C1243" s="6">
        <v>928</v>
      </c>
      <c r="D1243" s="1051">
        <v>0</v>
      </c>
    </row>
    <row r="1244" spans="2:4">
      <c r="B1244" s="6" t="s">
        <v>1555</v>
      </c>
      <c r="C1244" s="6">
        <v>930</v>
      </c>
      <c r="D1244" s="1051">
        <v>0</v>
      </c>
    </row>
    <row r="1245" spans="2:4">
      <c r="B1245" s="6" t="s">
        <v>1555</v>
      </c>
      <c r="C1245" s="6">
        <v>931</v>
      </c>
      <c r="D1245" s="1051">
        <v>0</v>
      </c>
    </row>
    <row r="1246" spans="2:4">
      <c r="B1246" s="6" t="s">
        <v>1555</v>
      </c>
      <c r="C1246" s="6">
        <v>932</v>
      </c>
      <c r="D1246" s="1051">
        <v>0</v>
      </c>
    </row>
    <row r="1247" spans="2:4">
      <c r="B1247" s="6" t="s">
        <v>1555</v>
      </c>
      <c r="C1247" s="6">
        <v>935</v>
      </c>
      <c r="D1247" s="1051">
        <v>0</v>
      </c>
    </row>
    <row r="1248" spans="2:4">
      <c r="B1248" s="6" t="s">
        <v>1554</v>
      </c>
      <c r="C1248" s="6">
        <v>801</v>
      </c>
      <c r="D1248" s="1051">
        <v>0</v>
      </c>
    </row>
    <row r="1249" spans="2:4">
      <c r="B1249" s="6" t="s">
        <v>1554</v>
      </c>
      <c r="C1249" s="6">
        <v>803</v>
      </c>
      <c r="D1249" s="1051">
        <v>0</v>
      </c>
    </row>
    <row r="1250" spans="2:4">
      <c r="B1250" s="6" t="s">
        <v>1554</v>
      </c>
      <c r="C1250" s="6">
        <v>804</v>
      </c>
      <c r="D1250" s="1051">
        <v>0</v>
      </c>
    </row>
    <row r="1251" spans="2:4">
      <c r="B1251" s="6" t="s">
        <v>1554</v>
      </c>
      <c r="C1251" s="6">
        <v>805</v>
      </c>
      <c r="D1251" s="1051">
        <v>0</v>
      </c>
    </row>
    <row r="1252" spans="2:4">
      <c r="B1252" s="6" t="s">
        <v>1554</v>
      </c>
      <c r="C1252" s="6">
        <v>806</v>
      </c>
      <c r="D1252" s="1051">
        <v>0</v>
      </c>
    </row>
    <row r="1253" spans="2:4">
      <c r="B1253" s="6" t="s">
        <v>1554</v>
      </c>
      <c r="C1253" s="6">
        <v>807</v>
      </c>
      <c r="D1253" s="1051">
        <v>0</v>
      </c>
    </row>
    <row r="1254" spans="2:4">
      <c r="B1254" s="6" t="s">
        <v>1554</v>
      </c>
      <c r="C1254" s="6">
        <v>808</v>
      </c>
      <c r="D1254" s="1051">
        <v>0</v>
      </c>
    </row>
    <row r="1255" spans="2:4">
      <c r="B1255" s="6" t="s">
        <v>1554</v>
      </c>
      <c r="C1255" s="6">
        <v>812</v>
      </c>
      <c r="D1255" s="1051">
        <v>0</v>
      </c>
    </row>
    <row r="1256" spans="2:4">
      <c r="B1256" s="6" t="s">
        <v>1554</v>
      </c>
      <c r="C1256" s="6">
        <v>870</v>
      </c>
      <c r="D1256" s="1051">
        <v>0</v>
      </c>
    </row>
    <row r="1257" spans="2:4">
      <c r="B1257" s="6" t="s">
        <v>1554</v>
      </c>
      <c r="C1257" s="6">
        <v>871</v>
      </c>
      <c r="D1257" s="1051">
        <v>0</v>
      </c>
    </row>
    <row r="1258" spans="2:4">
      <c r="B1258" s="6" t="s">
        <v>1554</v>
      </c>
      <c r="C1258" s="6">
        <v>874</v>
      </c>
      <c r="D1258" s="1051">
        <v>9.1167308132642099E-5</v>
      </c>
    </row>
    <row r="1259" spans="2:4">
      <c r="B1259" s="6" t="s">
        <v>1554</v>
      </c>
      <c r="C1259" s="6">
        <v>875</v>
      </c>
      <c r="D1259" s="1051">
        <v>0</v>
      </c>
    </row>
    <row r="1260" spans="2:4">
      <c r="B1260" s="6" t="s">
        <v>1554</v>
      </c>
      <c r="C1260" s="6">
        <v>876</v>
      </c>
      <c r="D1260" s="1051">
        <v>0</v>
      </c>
    </row>
    <row r="1261" spans="2:4">
      <c r="B1261" s="6" t="s">
        <v>1554</v>
      </c>
      <c r="C1261" s="6">
        <v>878</v>
      </c>
      <c r="D1261" s="1051">
        <v>0</v>
      </c>
    </row>
    <row r="1262" spans="2:4">
      <c r="B1262" s="6" t="s">
        <v>1554</v>
      </c>
      <c r="C1262" s="6">
        <v>879</v>
      </c>
      <c r="D1262" s="1051">
        <v>0</v>
      </c>
    </row>
    <row r="1263" spans="2:4">
      <c r="B1263" s="6" t="s">
        <v>1554</v>
      </c>
      <c r="C1263" s="6">
        <v>880</v>
      </c>
      <c r="D1263" s="1051">
        <v>4.8782506983255863E-4</v>
      </c>
    </row>
    <row r="1264" spans="2:4">
      <c r="B1264" s="6" t="s">
        <v>1554</v>
      </c>
      <c r="C1264" s="6">
        <v>881</v>
      </c>
      <c r="D1264" s="1051">
        <v>0</v>
      </c>
    </row>
    <row r="1265" spans="2:4">
      <c r="B1265" s="6" t="s">
        <v>1554</v>
      </c>
      <c r="C1265" s="6">
        <v>885</v>
      </c>
      <c r="D1265" s="1051">
        <v>0</v>
      </c>
    </row>
    <row r="1266" spans="2:4">
      <c r="B1266" s="6" t="s">
        <v>1554</v>
      </c>
      <c r="C1266" s="6">
        <v>886</v>
      </c>
      <c r="D1266" s="1051">
        <v>0</v>
      </c>
    </row>
    <row r="1267" spans="2:4">
      <c r="B1267" s="6" t="s">
        <v>1554</v>
      </c>
      <c r="C1267" s="6">
        <v>887</v>
      </c>
      <c r="D1267" s="1051">
        <v>0</v>
      </c>
    </row>
    <row r="1268" spans="2:4">
      <c r="B1268" s="6" t="s">
        <v>1554</v>
      </c>
      <c r="C1268" s="6">
        <v>889</v>
      </c>
      <c r="D1268" s="1051">
        <v>0</v>
      </c>
    </row>
    <row r="1269" spans="2:4">
      <c r="B1269" s="6" t="s">
        <v>1554</v>
      </c>
      <c r="C1269" s="6">
        <v>890</v>
      </c>
      <c r="D1269" s="1051">
        <v>0</v>
      </c>
    </row>
    <row r="1270" spans="2:4">
      <c r="B1270" s="6" t="s">
        <v>1554</v>
      </c>
      <c r="C1270" s="6">
        <v>892</v>
      </c>
      <c r="D1270" s="1051">
        <v>0</v>
      </c>
    </row>
    <row r="1271" spans="2:4">
      <c r="B1271" s="6" t="s">
        <v>1554</v>
      </c>
      <c r="C1271" s="6">
        <v>893</v>
      </c>
      <c r="D1271" s="1051">
        <v>0</v>
      </c>
    </row>
    <row r="1272" spans="2:4">
      <c r="B1272" s="6" t="s">
        <v>1554</v>
      </c>
      <c r="C1272" s="6">
        <v>894</v>
      </c>
      <c r="D1272" s="1051">
        <v>0</v>
      </c>
    </row>
    <row r="1273" spans="2:4">
      <c r="B1273" s="6" t="s">
        <v>1554</v>
      </c>
      <c r="C1273" s="6">
        <v>902</v>
      </c>
      <c r="D1273" s="1051">
        <v>0</v>
      </c>
    </row>
    <row r="1274" spans="2:4">
      <c r="B1274" s="6" t="s">
        <v>1554</v>
      </c>
      <c r="C1274" s="6">
        <v>903</v>
      </c>
      <c r="D1274" s="1051">
        <v>0</v>
      </c>
    </row>
    <row r="1275" spans="2:4">
      <c r="B1275" s="6" t="s">
        <v>1554</v>
      </c>
      <c r="C1275" s="6">
        <v>904</v>
      </c>
      <c r="D1275" s="1051">
        <v>0</v>
      </c>
    </row>
    <row r="1276" spans="2:4">
      <c r="B1276" s="6" t="s">
        <v>1554</v>
      </c>
      <c r="C1276" s="6">
        <v>905</v>
      </c>
      <c r="D1276" s="1051">
        <v>0</v>
      </c>
    </row>
    <row r="1277" spans="2:4">
      <c r="B1277" s="6" t="s">
        <v>1554</v>
      </c>
      <c r="C1277" s="6">
        <v>907</v>
      </c>
      <c r="D1277" s="1051">
        <v>0</v>
      </c>
    </row>
    <row r="1278" spans="2:4">
      <c r="B1278" s="6" t="s">
        <v>1554</v>
      </c>
      <c r="C1278" s="6">
        <v>908</v>
      </c>
      <c r="D1278" s="1051">
        <v>0</v>
      </c>
    </row>
    <row r="1279" spans="2:4">
      <c r="B1279" s="6" t="s">
        <v>1554</v>
      </c>
      <c r="C1279" s="6">
        <v>909</v>
      </c>
      <c r="D1279" s="1051">
        <v>0</v>
      </c>
    </row>
    <row r="1280" spans="2:4">
      <c r="B1280" s="6" t="s">
        <v>1554</v>
      </c>
      <c r="C1280" s="6">
        <v>910</v>
      </c>
      <c r="D1280" s="1051">
        <v>0</v>
      </c>
    </row>
    <row r="1281" spans="2:4">
      <c r="B1281" s="6" t="s">
        <v>1554</v>
      </c>
      <c r="C1281" s="6">
        <v>911</v>
      </c>
      <c r="D1281" s="1051">
        <v>0</v>
      </c>
    </row>
    <row r="1282" spans="2:4">
      <c r="B1282" s="6" t="s">
        <v>1554</v>
      </c>
      <c r="C1282" s="6">
        <v>912</v>
      </c>
      <c r="D1282" s="1051">
        <v>0</v>
      </c>
    </row>
    <row r="1283" spans="2:4">
      <c r="B1283" s="6" t="s">
        <v>1554</v>
      </c>
      <c r="C1283" s="6">
        <v>913</v>
      </c>
      <c r="D1283" s="1051">
        <v>0</v>
      </c>
    </row>
    <row r="1284" spans="2:4">
      <c r="B1284" s="6" t="s">
        <v>1554</v>
      </c>
      <c r="C1284" s="6">
        <v>920</v>
      </c>
      <c r="D1284" s="1051">
        <v>0</v>
      </c>
    </row>
    <row r="1285" spans="2:4">
      <c r="B1285" s="6" t="s">
        <v>1554</v>
      </c>
      <c r="C1285" s="6">
        <v>921</v>
      </c>
      <c r="D1285" s="1051">
        <v>0</v>
      </c>
    </row>
    <row r="1286" spans="2:4">
      <c r="B1286" s="6" t="s">
        <v>1554</v>
      </c>
      <c r="C1286" s="6">
        <v>923</v>
      </c>
      <c r="D1286" s="1051">
        <v>0</v>
      </c>
    </row>
    <row r="1287" spans="2:4">
      <c r="B1287" s="6" t="s">
        <v>1554</v>
      </c>
      <c r="C1287" s="6">
        <v>924</v>
      </c>
      <c r="D1287" s="1051">
        <v>0</v>
      </c>
    </row>
    <row r="1288" spans="2:4">
      <c r="B1288" s="6" t="s">
        <v>1554</v>
      </c>
      <c r="C1288" s="6">
        <v>925</v>
      </c>
      <c r="D1288" s="1051">
        <v>0</v>
      </c>
    </row>
    <row r="1289" spans="2:4">
      <c r="B1289" s="6" t="s">
        <v>1554</v>
      </c>
      <c r="C1289" s="6">
        <v>926</v>
      </c>
      <c r="D1289" s="1051">
        <v>0.99942100762203478</v>
      </c>
    </row>
    <row r="1290" spans="2:4">
      <c r="B1290" s="6" t="s">
        <v>1554</v>
      </c>
      <c r="C1290" s="6">
        <v>928</v>
      </c>
      <c r="D1290" s="1051">
        <v>0</v>
      </c>
    </row>
    <row r="1291" spans="2:4">
      <c r="B1291" s="6" t="s">
        <v>1554</v>
      </c>
      <c r="C1291" s="6">
        <v>930</v>
      </c>
      <c r="D1291" s="1051">
        <v>0</v>
      </c>
    </row>
    <row r="1292" spans="2:4">
      <c r="B1292" s="6" t="s">
        <v>1554</v>
      </c>
      <c r="C1292" s="6">
        <v>931</v>
      </c>
      <c r="D1292" s="1051">
        <v>0</v>
      </c>
    </row>
    <row r="1293" spans="2:4">
      <c r="B1293" s="6" t="s">
        <v>1554</v>
      </c>
      <c r="C1293" s="6">
        <v>932</v>
      </c>
      <c r="D1293" s="1051">
        <v>0</v>
      </c>
    </row>
    <row r="1294" spans="2:4">
      <c r="B1294" s="6" t="s">
        <v>1554</v>
      </c>
      <c r="C1294" s="6">
        <v>935</v>
      </c>
      <c r="D1294" s="1051">
        <v>0</v>
      </c>
    </row>
    <row r="1295" spans="2:4">
      <c r="B1295" s="6" t="s">
        <v>1103</v>
      </c>
      <c r="C1295" s="6">
        <v>801</v>
      </c>
      <c r="D1295" s="1051">
        <v>0</v>
      </c>
    </row>
    <row r="1296" spans="2:4">
      <c r="B1296" s="6" t="s">
        <v>1103</v>
      </c>
      <c r="C1296" s="6">
        <v>803</v>
      </c>
      <c r="D1296" s="1051">
        <v>0</v>
      </c>
    </row>
    <row r="1297" spans="2:4">
      <c r="B1297" s="6" t="s">
        <v>1103</v>
      </c>
      <c r="C1297" s="6">
        <v>804</v>
      </c>
      <c r="D1297" s="1051">
        <v>0</v>
      </c>
    </row>
    <row r="1298" spans="2:4">
      <c r="B1298" s="6" t="s">
        <v>1103</v>
      </c>
      <c r="C1298" s="6">
        <v>805</v>
      </c>
      <c r="D1298" s="1051">
        <v>0</v>
      </c>
    </row>
    <row r="1299" spans="2:4">
      <c r="B1299" s="6" t="s">
        <v>1103</v>
      </c>
      <c r="C1299" s="6">
        <v>806</v>
      </c>
      <c r="D1299" s="1051">
        <v>0</v>
      </c>
    </row>
    <row r="1300" spans="2:4">
      <c r="B1300" s="6" t="s">
        <v>1103</v>
      </c>
      <c r="C1300" s="6">
        <v>807</v>
      </c>
      <c r="D1300" s="1051">
        <v>0</v>
      </c>
    </row>
    <row r="1301" spans="2:4">
      <c r="B1301" s="6" t="s">
        <v>1103</v>
      </c>
      <c r="C1301" s="6">
        <v>808</v>
      </c>
      <c r="D1301" s="1051">
        <v>0</v>
      </c>
    </row>
    <row r="1302" spans="2:4">
      <c r="B1302" s="6" t="s">
        <v>1103</v>
      </c>
      <c r="C1302" s="6">
        <v>812</v>
      </c>
      <c r="D1302" s="1051">
        <v>0</v>
      </c>
    </row>
    <row r="1303" spans="2:4">
      <c r="B1303" s="6" t="s">
        <v>1103</v>
      </c>
      <c r="C1303" s="6">
        <v>870</v>
      </c>
      <c r="D1303" s="1051">
        <v>0</v>
      </c>
    </row>
    <row r="1304" spans="2:4">
      <c r="B1304" s="6" t="s">
        <v>1103</v>
      </c>
      <c r="C1304" s="6">
        <v>871</v>
      </c>
      <c r="D1304" s="1051">
        <v>0</v>
      </c>
    </row>
    <row r="1305" spans="2:4">
      <c r="B1305" s="6" t="s">
        <v>1103</v>
      </c>
      <c r="C1305" s="6">
        <v>874</v>
      </c>
      <c r="D1305" s="1051">
        <v>0</v>
      </c>
    </row>
    <row r="1306" spans="2:4">
      <c r="B1306" s="6" t="s">
        <v>1103</v>
      </c>
      <c r="C1306" s="6">
        <v>875</v>
      </c>
      <c r="D1306" s="1051">
        <v>0</v>
      </c>
    </row>
    <row r="1307" spans="2:4">
      <c r="B1307" s="6" t="s">
        <v>1103</v>
      </c>
      <c r="C1307" s="6">
        <v>876</v>
      </c>
      <c r="D1307" s="1051">
        <v>0</v>
      </c>
    </row>
    <row r="1308" spans="2:4">
      <c r="B1308" s="6" t="s">
        <v>1103</v>
      </c>
      <c r="C1308" s="6">
        <v>878</v>
      </c>
      <c r="D1308" s="1051">
        <v>0</v>
      </c>
    </row>
    <row r="1309" spans="2:4">
      <c r="B1309" s="6" t="s">
        <v>1103</v>
      </c>
      <c r="C1309" s="6">
        <v>879</v>
      </c>
      <c r="D1309" s="1051">
        <v>0</v>
      </c>
    </row>
    <row r="1310" spans="2:4">
      <c r="B1310" s="6" t="s">
        <v>1103</v>
      </c>
      <c r="C1310" s="6">
        <v>880</v>
      </c>
      <c r="D1310" s="1051">
        <v>0</v>
      </c>
    </row>
    <row r="1311" spans="2:4">
      <c r="B1311" s="6" t="s">
        <v>1103</v>
      </c>
      <c r="C1311" s="6">
        <v>881</v>
      </c>
      <c r="D1311" s="1051">
        <v>0</v>
      </c>
    </row>
    <row r="1312" spans="2:4">
      <c r="B1312" s="6" t="s">
        <v>1103</v>
      </c>
      <c r="C1312" s="6">
        <v>885</v>
      </c>
      <c r="D1312" s="1051">
        <v>0</v>
      </c>
    </row>
    <row r="1313" spans="2:4">
      <c r="B1313" s="6" t="s">
        <v>1103</v>
      </c>
      <c r="C1313" s="6">
        <v>886</v>
      </c>
      <c r="D1313" s="1051">
        <v>0</v>
      </c>
    </row>
    <row r="1314" spans="2:4">
      <c r="B1314" s="6" t="s">
        <v>1103</v>
      </c>
      <c r="C1314" s="6">
        <v>887</v>
      </c>
      <c r="D1314" s="1051">
        <v>0</v>
      </c>
    </row>
    <row r="1315" spans="2:4">
      <c r="B1315" s="6" t="s">
        <v>1103</v>
      </c>
      <c r="C1315" s="6">
        <v>889</v>
      </c>
      <c r="D1315" s="1051">
        <v>0</v>
      </c>
    </row>
    <row r="1316" spans="2:4">
      <c r="B1316" s="6" t="s">
        <v>1103</v>
      </c>
      <c r="C1316" s="6">
        <v>890</v>
      </c>
      <c r="D1316" s="1051">
        <v>0</v>
      </c>
    </row>
    <row r="1317" spans="2:4">
      <c r="B1317" s="6" t="s">
        <v>1103</v>
      </c>
      <c r="C1317" s="6">
        <v>892</v>
      </c>
      <c r="D1317" s="1051">
        <v>0</v>
      </c>
    </row>
    <row r="1318" spans="2:4">
      <c r="B1318" s="6" t="s">
        <v>1103</v>
      </c>
      <c r="C1318" s="6">
        <v>893</v>
      </c>
      <c r="D1318" s="1051">
        <v>0</v>
      </c>
    </row>
    <row r="1319" spans="2:4">
      <c r="B1319" s="6" t="s">
        <v>1103</v>
      </c>
      <c r="C1319" s="6">
        <v>894</v>
      </c>
      <c r="D1319" s="1051">
        <v>0</v>
      </c>
    </row>
    <row r="1320" spans="2:4">
      <c r="B1320" s="6" t="s">
        <v>1103</v>
      </c>
      <c r="C1320" s="6">
        <v>902</v>
      </c>
      <c r="D1320" s="1051">
        <v>0</v>
      </c>
    </row>
    <row r="1321" spans="2:4">
      <c r="B1321" s="6" t="s">
        <v>1103</v>
      </c>
      <c r="C1321" s="6">
        <v>903</v>
      </c>
      <c r="D1321" s="1051">
        <v>0</v>
      </c>
    </row>
    <row r="1322" spans="2:4">
      <c r="B1322" s="6" t="s">
        <v>1103</v>
      </c>
      <c r="C1322" s="6">
        <v>904</v>
      </c>
      <c r="D1322" s="1051">
        <v>0</v>
      </c>
    </row>
    <row r="1323" spans="2:4">
      <c r="B1323" s="6" t="s">
        <v>1103</v>
      </c>
      <c r="C1323" s="6">
        <v>905</v>
      </c>
      <c r="D1323" s="1051">
        <v>0</v>
      </c>
    </row>
    <row r="1324" spans="2:4">
      <c r="B1324" s="6" t="s">
        <v>1103</v>
      </c>
      <c r="C1324" s="6">
        <v>907</v>
      </c>
      <c r="D1324" s="1051">
        <v>0</v>
      </c>
    </row>
    <row r="1325" spans="2:4">
      <c r="B1325" s="6" t="s">
        <v>1103</v>
      </c>
      <c r="C1325" s="6">
        <v>908</v>
      </c>
      <c r="D1325" s="1051">
        <v>0</v>
      </c>
    </row>
    <row r="1326" spans="2:4">
      <c r="B1326" s="6" t="s">
        <v>1103</v>
      </c>
      <c r="C1326" s="6">
        <v>909</v>
      </c>
      <c r="D1326" s="1051">
        <v>0</v>
      </c>
    </row>
    <row r="1327" spans="2:4">
      <c r="B1327" s="6" t="s">
        <v>1103</v>
      </c>
      <c r="C1327" s="6">
        <v>910</v>
      </c>
      <c r="D1327" s="1051">
        <v>0</v>
      </c>
    </row>
    <row r="1328" spans="2:4">
      <c r="B1328" s="6" t="s">
        <v>1103</v>
      </c>
      <c r="C1328" s="6">
        <v>911</v>
      </c>
      <c r="D1328" s="1051">
        <v>0</v>
      </c>
    </row>
    <row r="1329" spans="2:4">
      <c r="B1329" s="6" t="s">
        <v>1103</v>
      </c>
      <c r="C1329" s="6">
        <v>912</v>
      </c>
      <c r="D1329" s="1051">
        <v>0</v>
      </c>
    </row>
    <row r="1330" spans="2:4">
      <c r="B1330" s="6" t="s">
        <v>1103</v>
      </c>
      <c r="C1330" s="6">
        <v>913</v>
      </c>
      <c r="D1330" s="1051">
        <v>0</v>
      </c>
    </row>
    <row r="1331" spans="2:4">
      <c r="B1331" s="6" t="s">
        <v>1103</v>
      </c>
      <c r="C1331" s="6">
        <v>920</v>
      </c>
      <c r="D1331" s="1051">
        <v>0</v>
      </c>
    </row>
    <row r="1332" spans="2:4">
      <c r="B1332" s="6" t="s">
        <v>1103</v>
      </c>
      <c r="C1332" s="6">
        <v>921</v>
      </c>
      <c r="D1332" s="1051">
        <v>0</v>
      </c>
    </row>
    <row r="1333" spans="2:4">
      <c r="B1333" s="6" t="s">
        <v>1103</v>
      </c>
      <c r="C1333" s="6">
        <v>923</v>
      </c>
      <c r="D1333" s="1051">
        <v>0</v>
      </c>
    </row>
    <row r="1334" spans="2:4">
      <c r="B1334" s="6" t="s">
        <v>1103</v>
      </c>
      <c r="C1334" s="6">
        <v>924</v>
      </c>
      <c r="D1334" s="1051">
        <v>0</v>
      </c>
    </row>
    <row r="1335" spans="2:4">
      <c r="B1335" s="6" t="s">
        <v>1103</v>
      </c>
      <c r="C1335" s="6">
        <v>925</v>
      </c>
      <c r="D1335" s="1051">
        <v>0</v>
      </c>
    </row>
    <row r="1336" spans="2:4">
      <c r="B1336" s="6" t="s">
        <v>1103</v>
      </c>
      <c r="C1336" s="6">
        <v>926</v>
      </c>
      <c r="D1336" s="1051">
        <v>0</v>
      </c>
    </row>
    <row r="1337" spans="2:4">
      <c r="B1337" s="6" t="s">
        <v>1103</v>
      </c>
      <c r="C1337" s="6">
        <v>928</v>
      </c>
      <c r="D1337" s="1051">
        <v>0</v>
      </c>
    </row>
    <row r="1338" spans="2:4">
      <c r="B1338" s="6" t="s">
        <v>1103</v>
      </c>
      <c r="C1338" s="6">
        <v>9301</v>
      </c>
      <c r="D1338" s="1051">
        <v>0</v>
      </c>
    </row>
    <row r="1339" spans="2:4">
      <c r="B1339" s="6" t="s">
        <v>1103</v>
      </c>
      <c r="C1339" s="6">
        <v>9302</v>
      </c>
      <c r="D1339" s="1051">
        <v>0</v>
      </c>
    </row>
    <row r="1340" spans="2:4">
      <c r="B1340" s="6" t="s">
        <v>1103</v>
      </c>
      <c r="C1340" s="6">
        <v>931</v>
      </c>
      <c r="D1340" s="1051">
        <v>0</v>
      </c>
    </row>
    <row r="1341" spans="2:4">
      <c r="B1341" s="6" t="s">
        <v>1103</v>
      </c>
      <c r="C1341" s="6">
        <v>932</v>
      </c>
      <c r="D1341" s="1051">
        <v>0</v>
      </c>
    </row>
    <row r="1342" spans="2:4">
      <c r="B1342" s="6" t="s">
        <v>1103</v>
      </c>
      <c r="C1342" s="6">
        <v>935</v>
      </c>
      <c r="D1342" s="1051">
        <v>0</v>
      </c>
    </row>
    <row r="1343" spans="2:4">
      <c r="B1343" s="6" t="s">
        <v>1553</v>
      </c>
      <c r="C1343" s="6">
        <v>801</v>
      </c>
      <c r="D1343" s="1051">
        <v>0</v>
      </c>
    </row>
    <row r="1344" spans="2:4">
      <c r="B1344" s="6" t="s">
        <v>1553</v>
      </c>
      <c r="C1344" s="6">
        <v>803</v>
      </c>
      <c r="D1344" s="1051">
        <v>0</v>
      </c>
    </row>
    <row r="1345" spans="2:4">
      <c r="B1345" s="6" t="s">
        <v>1553</v>
      </c>
      <c r="C1345" s="6">
        <v>804</v>
      </c>
      <c r="D1345" s="1051">
        <v>0</v>
      </c>
    </row>
    <row r="1346" spans="2:4">
      <c r="B1346" s="6" t="s">
        <v>1553</v>
      </c>
      <c r="C1346" s="6">
        <v>805</v>
      </c>
      <c r="D1346" s="1051">
        <v>0</v>
      </c>
    </row>
    <row r="1347" spans="2:4">
      <c r="B1347" s="6" t="s">
        <v>1553</v>
      </c>
      <c r="C1347" s="6">
        <v>806</v>
      </c>
      <c r="D1347" s="1051">
        <v>0</v>
      </c>
    </row>
    <row r="1348" spans="2:4">
      <c r="B1348" s="6" t="s">
        <v>1553</v>
      </c>
      <c r="C1348" s="6">
        <v>807</v>
      </c>
      <c r="D1348" s="1051">
        <v>0</v>
      </c>
    </row>
    <row r="1349" spans="2:4">
      <c r="B1349" s="6" t="s">
        <v>1553</v>
      </c>
      <c r="C1349" s="6">
        <v>808</v>
      </c>
      <c r="D1349" s="1051">
        <v>0</v>
      </c>
    </row>
    <row r="1350" spans="2:4">
      <c r="B1350" s="6" t="s">
        <v>1553</v>
      </c>
      <c r="C1350" s="6">
        <v>812</v>
      </c>
      <c r="D1350" s="1051">
        <v>0</v>
      </c>
    </row>
    <row r="1351" spans="2:4">
      <c r="B1351" s="6" t="s">
        <v>1553</v>
      </c>
      <c r="C1351" s="6">
        <v>870</v>
      </c>
      <c r="D1351" s="1051">
        <v>0</v>
      </c>
    </row>
    <row r="1352" spans="2:4">
      <c r="B1352" s="6" t="s">
        <v>1553</v>
      </c>
      <c r="C1352" s="6">
        <v>871</v>
      </c>
      <c r="D1352" s="1051">
        <v>0</v>
      </c>
    </row>
    <row r="1353" spans="2:4">
      <c r="B1353" s="6" t="s">
        <v>1553</v>
      </c>
      <c r="C1353" s="6">
        <v>874</v>
      </c>
      <c r="D1353" s="1051">
        <v>0</v>
      </c>
    </row>
    <row r="1354" spans="2:4">
      <c r="B1354" s="6" t="s">
        <v>1553</v>
      </c>
      <c r="C1354" s="6">
        <v>875</v>
      </c>
      <c r="D1354" s="1051">
        <v>0</v>
      </c>
    </row>
    <row r="1355" spans="2:4">
      <c r="B1355" s="6" t="s">
        <v>1553</v>
      </c>
      <c r="C1355" s="6">
        <v>876</v>
      </c>
      <c r="D1355" s="1051">
        <v>0</v>
      </c>
    </row>
    <row r="1356" spans="2:4">
      <c r="B1356" s="6" t="s">
        <v>1553</v>
      </c>
      <c r="C1356" s="6">
        <v>878</v>
      </c>
      <c r="D1356" s="1051">
        <v>0</v>
      </c>
    </row>
    <row r="1357" spans="2:4">
      <c r="B1357" s="6" t="s">
        <v>1553</v>
      </c>
      <c r="C1357" s="6">
        <v>879</v>
      </c>
      <c r="D1357" s="1051">
        <v>0</v>
      </c>
    </row>
    <row r="1358" spans="2:4">
      <c r="B1358" s="6" t="s">
        <v>1553</v>
      </c>
      <c r="C1358" s="6">
        <v>880</v>
      </c>
      <c r="D1358" s="1051">
        <v>0</v>
      </c>
    </row>
    <row r="1359" spans="2:4">
      <c r="B1359" s="6" t="s">
        <v>1553</v>
      </c>
      <c r="C1359" s="6">
        <v>881</v>
      </c>
      <c r="D1359" s="1051">
        <v>0</v>
      </c>
    </row>
    <row r="1360" spans="2:4">
      <c r="B1360" s="6" t="s">
        <v>1553</v>
      </c>
      <c r="C1360" s="6">
        <v>885</v>
      </c>
      <c r="D1360" s="1051">
        <v>0</v>
      </c>
    </row>
    <row r="1361" spans="2:4">
      <c r="B1361" s="6" t="s">
        <v>1553</v>
      </c>
      <c r="C1361" s="6">
        <v>886</v>
      </c>
      <c r="D1361" s="1051">
        <v>0</v>
      </c>
    </row>
    <row r="1362" spans="2:4">
      <c r="B1362" s="6" t="s">
        <v>1553</v>
      </c>
      <c r="C1362" s="6">
        <v>887</v>
      </c>
      <c r="D1362" s="1051">
        <v>0</v>
      </c>
    </row>
    <row r="1363" spans="2:4">
      <c r="B1363" s="6" t="s">
        <v>1553</v>
      </c>
      <c r="C1363" s="6">
        <v>889</v>
      </c>
      <c r="D1363" s="1051">
        <v>0</v>
      </c>
    </row>
    <row r="1364" spans="2:4">
      <c r="B1364" s="6" t="s">
        <v>1553</v>
      </c>
      <c r="C1364" s="6">
        <v>890</v>
      </c>
      <c r="D1364" s="1051">
        <v>0</v>
      </c>
    </row>
    <row r="1365" spans="2:4">
      <c r="B1365" s="6" t="s">
        <v>1553</v>
      </c>
      <c r="C1365" s="6">
        <v>892</v>
      </c>
      <c r="D1365" s="1051">
        <v>0</v>
      </c>
    </row>
    <row r="1366" spans="2:4">
      <c r="B1366" s="6" t="s">
        <v>1553</v>
      </c>
      <c r="C1366" s="6">
        <v>893</v>
      </c>
      <c r="D1366" s="1051">
        <v>0</v>
      </c>
    </row>
    <row r="1367" spans="2:4">
      <c r="B1367" s="6" t="s">
        <v>1553</v>
      </c>
      <c r="C1367" s="6">
        <v>894</v>
      </c>
      <c r="D1367" s="1051">
        <v>0</v>
      </c>
    </row>
    <row r="1368" spans="2:4">
      <c r="B1368" s="6" t="s">
        <v>1553</v>
      </c>
      <c r="C1368" s="6">
        <v>902</v>
      </c>
      <c r="D1368" s="1051">
        <v>0</v>
      </c>
    </row>
    <row r="1369" spans="2:4">
      <c r="B1369" s="6" t="s">
        <v>1553</v>
      </c>
      <c r="C1369" s="6">
        <v>903</v>
      </c>
      <c r="D1369" s="1051">
        <v>0</v>
      </c>
    </row>
    <row r="1370" spans="2:4">
      <c r="B1370" s="6" t="s">
        <v>1553</v>
      </c>
      <c r="C1370" s="6">
        <v>904</v>
      </c>
      <c r="D1370" s="1051">
        <v>0</v>
      </c>
    </row>
    <row r="1371" spans="2:4">
      <c r="B1371" s="6" t="s">
        <v>1553</v>
      </c>
      <c r="C1371" s="6">
        <v>905</v>
      </c>
      <c r="D1371" s="1051">
        <v>0</v>
      </c>
    </row>
    <row r="1372" spans="2:4">
      <c r="B1372" s="6" t="s">
        <v>1553</v>
      </c>
      <c r="C1372" s="6">
        <v>907</v>
      </c>
      <c r="D1372" s="1051">
        <v>0</v>
      </c>
    </row>
    <row r="1373" spans="2:4">
      <c r="B1373" s="6" t="s">
        <v>1553</v>
      </c>
      <c r="C1373" s="6">
        <v>908</v>
      </c>
      <c r="D1373" s="1051">
        <v>0</v>
      </c>
    </row>
    <row r="1374" spans="2:4">
      <c r="B1374" s="6" t="s">
        <v>1553</v>
      </c>
      <c r="C1374" s="6">
        <v>909</v>
      </c>
      <c r="D1374" s="1051">
        <v>0</v>
      </c>
    </row>
    <row r="1375" spans="2:4">
      <c r="B1375" s="6" t="s">
        <v>1553</v>
      </c>
      <c r="C1375" s="6">
        <v>910</v>
      </c>
      <c r="D1375" s="1051">
        <v>0</v>
      </c>
    </row>
    <row r="1376" spans="2:4">
      <c r="B1376" s="6" t="s">
        <v>1553</v>
      </c>
      <c r="C1376" s="6">
        <v>911</v>
      </c>
      <c r="D1376" s="1051">
        <v>0</v>
      </c>
    </row>
    <row r="1377" spans="2:4">
      <c r="B1377" s="6" t="s">
        <v>1553</v>
      </c>
      <c r="C1377" s="6">
        <v>912</v>
      </c>
      <c r="D1377" s="1051">
        <v>0</v>
      </c>
    </row>
    <row r="1378" spans="2:4">
      <c r="B1378" s="6" t="s">
        <v>1553</v>
      </c>
      <c r="C1378" s="6">
        <v>913</v>
      </c>
      <c r="D1378" s="1051">
        <v>0</v>
      </c>
    </row>
    <row r="1379" spans="2:4">
      <c r="B1379" s="6" t="s">
        <v>1553</v>
      </c>
      <c r="C1379" s="6">
        <v>920</v>
      </c>
      <c r="D1379" s="1051">
        <v>0</v>
      </c>
    </row>
    <row r="1380" spans="2:4">
      <c r="B1380" s="6" t="s">
        <v>1553</v>
      </c>
      <c r="C1380" s="6">
        <v>921</v>
      </c>
      <c r="D1380" s="1051">
        <v>0</v>
      </c>
    </row>
    <row r="1381" spans="2:4">
      <c r="B1381" s="6" t="s">
        <v>1553</v>
      </c>
      <c r="C1381" s="6">
        <v>923</v>
      </c>
      <c r="D1381" s="1051">
        <v>0</v>
      </c>
    </row>
    <row r="1382" spans="2:4">
      <c r="B1382" s="6" t="s">
        <v>1553</v>
      </c>
      <c r="C1382" s="6">
        <v>924</v>
      </c>
      <c r="D1382" s="1051">
        <v>0</v>
      </c>
    </row>
    <row r="1383" spans="2:4">
      <c r="B1383" s="6" t="s">
        <v>1553</v>
      </c>
      <c r="C1383" s="6">
        <v>925</v>
      </c>
      <c r="D1383" s="1051">
        <v>0</v>
      </c>
    </row>
    <row r="1384" spans="2:4">
      <c r="B1384" s="6" t="s">
        <v>1553</v>
      </c>
      <c r="C1384" s="6">
        <v>926</v>
      </c>
      <c r="D1384" s="1051">
        <v>1</v>
      </c>
    </row>
    <row r="1385" spans="2:4">
      <c r="B1385" s="6" t="s">
        <v>1553</v>
      </c>
      <c r="C1385" s="6">
        <v>928</v>
      </c>
      <c r="D1385" s="1051">
        <v>0</v>
      </c>
    </row>
    <row r="1386" spans="2:4">
      <c r="B1386" s="6" t="s">
        <v>1553</v>
      </c>
      <c r="C1386" s="6">
        <v>930</v>
      </c>
      <c r="D1386" s="1051">
        <v>0</v>
      </c>
    </row>
    <row r="1387" spans="2:4">
      <c r="B1387" s="6" t="s">
        <v>1553</v>
      </c>
      <c r="C1387" s="6">
        <v>931</v>
      </c>
      <c r="D1387" s="1051">
        <v>0</v>
      </c>
    </row>
    <row r="1388" spans="2:4">
      <c r="B1388" s="6" t="s">
        <v>1553</v>
      </c>
      <c r="C1388" s="6">
        <v>932</v>
      </c>
      <c r="D1388" s="1051">
        <v>0</v>
      </c>
    </row>
    <row r="1389" spans="2:4">
      <c r="B1389" s="6" t="s">
        <v>1553</v>
      </c>
      <c r="C1389" s="6">
        <v>935</v>
      </c>
      <c r="D1389" s="1051">
        <v>0</v>
      </c>
    </row>
    <row r="1390" spans="2:4">
      <c r="B1390" s="6" t="s">
        <v>1028</v>
      </c>
      <c r="C1390" s="6">
        <v>801</v>
      </c>
      <c r="D1390" s="1051">
        <v>0</v>
      </c>
    </row>
    <row r="1391" spans="2:4">
      <c r="B1391" s="6" t="s">
        <v>1028</v>
      </c>
      <c r="C1391" s="6">
        <v>803</v>
      </c>
      <c r="D1391" s="1051">
        <v>0</v>
      </c>
    </row>
    <row r="1392" spans="2:4">
      <c r="B1392" s="6" t="s">
        <v>1028</v>
      </c>
      <c r="C1392" s="6">
        <v>804</v>
      </c>
      <c r="D1392" s="1051">
        <v>0</v>
      </c>
    </row>
    <row r="1393" spans="2:4">
      <c r="B1393" s="6" t="s">
        <v>1028</v>
      </c>
      <c r="C1393" s="6">
        <v>805</v>
      </c>
      <c r="D1393" s="1051">
        <v>0</v>
      </c>
    </row>
    <row r="1394" spans="2:4">
      <c r="B1394" s="6" t="s">
        <v>1028</v>
      </c>
      <c r="C1394" s="6">
        <v>806</v>
      </c>
      <c r="D1394" s="1051">
        <v>0</v>
      </c>
    </row>
    <row r="1395" spans="2:4">
      <c r="B1395" s="6" t="s">
        <v>1028</v>
      </c>
      <c r="C1395" s="6">
        <v>807</v>
      </c>
      <c r="D1395" s="1051">
        <v>0</v>
      </c>
    </row>
    <row r="1396" spans="2:4">
      <c r="B1396" s="6" t="s">
        <v>1028</v>
      </c>
      <c r="C1396" s="6">
        <v>808</v>
      </c>
      <c r="D1396" s="1051">
        <v>0</v>
      </c>
    </row>
    <row r="1397" spans="2:4">
      <c r="B1397" s="6" t="s">
        <v>1028</v>
      </c>
      <c r="C1397" s="6">
        <v>812</v>
      </c>
      <c r="D1397" s="1051">
        <v>0</v>
      </c>
    </row>
    <row r="1398" spans="2:4">
      <c r="B1398" s="6" t="s">
        <v>1028</v>
      </c>
      <c r="C1398" s="6">
        <v>870</v>
      </c>
      <c r="D1398" s="1051">
        <v>0</v>
      </c>
    </row>
    <row r="1399" spans="2:4">
      <c r="B1399" s="6" t="s">
        <v>1028</v>
      </c>
      <c r="C1399" s="6">
        <v>871</v>
      </c>
      <c r="D1399" s="1051">
        <v>0</v>
      </c>
    </row>
    <row r="1400" spans="2:4">
      <c r="B1400" s="6" t="s">
        <v>1028</v>
      </c>
      <c r="C1400" s="6">
        <v>874</v>
      </c>
      <c r="D1400" s="1051">
        <v>0</v>
      </c>
    </row>
    <row r="1401" spans="2:4">
      <c r="B1401" s="6" t="s">
        <v>1028</v>
      </c>
      <c r="C1401" s="6">
        <v>875</v>
      </c>
      <c r="D1401" s="1051">
        <v>0</v>
      </c>
    </row>
    <row r="1402" spans="2:4">
      <c r="B1402" s="6" t="s">
        <v>1028</v>
      </c>
      <c r="C1402" s="6">
        <v>876</v>
      </c>
      <c r="D1402" s="1051">
        <v>0</v>
      </c>
    </row>
    <row r="1403" spans="2:4">
      <c r="B1403" s="6" t="s">
        <v>1028</v>
      </c>
      <c r="C1403" s="6">
        <v>878</v>
      </c>
      <c r="D1403" s="1051">
        <v>0</v>
      </c>
    </row>
    <row r="1404" spans="2:4">
      <c r="B1404" s="6" t="s">
        <v>1028</v>
      </c>
      <c r="C1404" s="6">
        <v>879</v>
      </c>
      <c r="D1404" s="1051">
        <v>0</v>
      </c>
    </row>
    <row r="1405" spans="2:4">
      <c r="B1405" s="6" t="s">
        <v>1028</v>
      </c>
      <c r="C1405" s="6">
        <v>880</v>
      </c>
      <c r="D1405" s="1051">
        <v>0</v>
      </c>
    </row>
    <row r="1406" spans="2:4">
      <c r="B1406" s="6" t="s">
        <v>1028</v>
      </c>
      <c r="C1406" s="6">
        <v>881</v>
      </c>
      <c r="D1406" s="1051">
        <v>0</v>
      </c>
    </row>
    <row r="1407" spans="2:4">
      <c r="B1407" s="6" t="s">
        <v>1028</v>
      </c>
      <c r="C1407" s="6">
        <v>885</v>
      </c>
      <c r="D1407" s="1051">
        <v>0</v>
      </c>
    </row>
    <row r="1408" spans="2:4">
      <c r="B1408" s="6" t="s">
        <v>1028</v>
      </c>
      <c r="C1408" s="6">
        <v>886</v>
      </c>
      <c r="D1408" s="1051">
        <v>0</v>
      </c>
    </row>
    <row r="1409" spans="2:4">
      <c r="B1409" s="6" t="s">
        <v>1028</v>
      </c>
      <c r="C1409" s="6">
        <v>887</v>
      </c>
      <c r="D1409" s="1051">
        <v>0</v>
      </c>
    </row>
    <row r="1410" spans="2:4">
      <c r="B1410" s="6" t="s">
        <v>1028</v>
      </c>
      <c r="C1410" s="6">
        <v>889</v>
      </c>
      <c r="D1410" s="1051">
        <v>0</v>
      </c>
    </row>
    <row r="1411" spans="2:4">
      <c r="B1411" s="6" t="s">
        <v>1028</v>
      </c>
      <c r="C1411" s="6">
        <v>890</v>
      </c>
      <c r="D1411" s="1051">
        <v>0</v>
      </c>
    </row>
    <row r="1412" spans="2:4">
      <c r="B1412" s="6" t="s">
        <v>1028</v>
      </c>
      <c r="C1412" s="6">
        <v>892</v>
      </c>
      <c r="D1412" s="1051">
        <v>0</v>
      </c>
    </row>
    <row r="1413" spans="2:4">
      <c r="B1413" s="6" t="s">
        <v>1028</v>
      </c>
      <c r="C1413" s="6">
        <v>893</v>
      </c>
      <c r="D1413" s="1051">
        <v>0</v>
      </c>
    </row>
    <row r="1414" spans="2:4">
      <c r="B1414" s="6" t="s">
        <v>1028</v>
      </c>
      <c r="C1414" s="6">
        <v>894</v>
      </c>
      <c r="D1414" s="1051">
        <v>0</v>
      </c>
    </row>
    <row r="1415" spans="2:4">
      <c r="B1415" s="6" t="s">
        <v>1028</v>
      </c>
      <c r="C1415" s="6">
        <v>902</v>
      </c>
      <c r="D1415" s="1051">
        <v>0</v>
      </c>
    </row>
    <row r="1416" spans="2:4">
      <c r="B1416" s="6" t="s">
        <v>1028</v>
      </c>
      <c r="C1416" s="6">
        <v>903</v>
      </c>
      <c r="D1416" s="1051">
        <v>0</v>
      </c>
    </row>
    <row r="1417" spans="2:4">
      <c r="B1417" s="6" t="s">
        <v>1028</v>
      </c>
      <c r="C1417" s="6">
        <v>904</v>
      </c>
      <c r="D1417" s="1051">
        <v>0</v>
      </c>
    </row>
    <row r="1418" spans="2:4">
      <c r="B1418" s="6" t="s">
        <v>1028</v>
      </c>
      <c r="C1418" s="6">
        <v>905</v>
      </c>
      <c r="D1418" s="1051">
        <v>0</v>
      </c>
    </row>
    <row r="1419" spans="2:4">
      <c r="B1419" s="6" t="s">
        <v>1028</v>
      </c>
      <c r="C1419" s="6">
        <v>907</v>
      </c>
      <c r="D1419" s="1051">
        <v>0</v>
      </c>
    </row>
    <row r="1420" spans="2:4">
      <c r="B1420" s="6" t="s">
        <v>1028</v>
      </c>
      <c r="C1420" s="6">
        <v>908</v>
      </c>
      <c r="D1420" s="1051">
        <v>0</v>
      </c>
    </row>
    <row r="1421" spans="2:4">
      <c r="B1421" s="6" t="s">
        <v>1028</v>
      </c>
      <c r="C1421" s="6">
        <v>909</v>
      </c>
      <c r="D1421" s="1051">
        <v>0</v>
      </c>
    </row>
    <row r="1422" spans="2:4">
      <c r="B1422" s="6" t="s">
        <v>1028</v>
      </c>
      <c r="C1422" s="6">
        <v>910</v>
      </c>
      <c r="D1422" s="1051">
        <v>0</v>
      </c>
    </row>
    <row r="1423" spans="2:4">
      <c r="B1423" s="6" t="s">
        <v>1028</v>
      </c>
      <c r="C1423" s="6">
        <v>911</v>
      </c>
      <c r="D1423" s="1051">
        <v>0</v>
      </c>
    </row>
    <row r="1424" spans="2:4">
      <c r="B1424" s="6" t="s">
        <v>1028</v>
      </c>
      <c r="C1424" s="6">
        <v>912</v>
      </c>
      <c r="D1424" s="1051">
        <v>0</v>
      </c>
    </row>
    <row r="1425" spans="2:4">
      <c r="B1425" s="6" t="s">
        <v>1028</v>
      </c>
      <c r="C1425" s="6">
        <v>913</v>
      </c>
      <c r="D1425" s="1051">
        <v>0</v>
      </c>
    </row>
    <row r="1426" spans="2:4">
      <c r="B1426" s="6" t="s">
        <v>1028</v>
      </c>
      <c r="C1426" s="6">
        <v>920</v>
      </c>
      <c r="D1426" s="1051">
        <v>0</v>
      </c>
    </row>
    <row r="1427" spans="2:4">
      <c r="B1427" s="6" t="s">
        <v>1028</v>
      </c>
      <c r="C1427" s="6">
        <v>921</v>
      </c>
      <c r="D1427" s="1051">
        <v>0</v>
      </c>
    </row>
    <row r="1428" spans="2:4">
      <c r="B1428" s="6" t="s">
        <v>1028</v>
      </c>
      <c r="C1428" s="6">
        <v>923</v>
      </c>
      <c r="D1428" s="1051">
        <v>0</v>
      </c>
    </row>
    <row r="1429" spans="2:4">
      <c r="B1429" s="6" t="s">
        <v>1028</v>
      </c>
      <c r="C1429" s="6">
        <v>924</v>
      </c>
      <c r="D1429" s="1051">
        <v>0</v>
      </c>
    </row>
    <row r="1430" spans="2:4">
      <c r="B1430" s="6" t="s">
        <v>1028</v>
      </c>
      <c r="C1430" s="6">
        <v>925</v>
      </c>
      <c r="D1430" s="1051">
        <v>0</v>
      </c>
    </row>
    <row r="1431" spans="2:4">
      <c r="B1431" s="6" t="s">
        <v>1028</v>
      </c>
      <c r="C1431" s="6">
        <v>926</v>
      </c>
      <c r="D1431" s="1051">
        <v>1</v>
      </c>
    </row>
    <row r="1432" spans="2:4">
      <c r="B1432" s="6" t="s">
        <v>1028</v>
      </c>
      <c r="C1432" s="6">
        <v>928</v>
      </c>
      <c r="D1432" s="1051">
        <v>0</v>
      </c>
    </row>
    <row r="1433" spans="2:4">
      <c r="B1433" s="6" t="s">
        <v>1028</v>
      </c>
      <c r="C1433" s="6">
        <v>930</v>
      </c>
      <c r="D1433" s="1051">
        <v>0</v>
      </c>
    </row>
    <row r="1434" spans="2:4">
      <c r="B1434" s="6" t="s">
        <v>1028</v>
      </c>
      <c r="C1434" s="6">
        <v>931</v>
      </c>
      <c r="D1434" s="1051">
        <v>0</v>
      </c>
    </row>
    <row r="1435" spans="2:4">
      <c r="B1435" s="6" t="s">
        <v>1028</v>
      </c>
      <c r="C1435" s="6">
        <v>932</v>
      </c>
      <c r="D1435" s="1051">
        <v>0</v>
      </c>
    </row>
    <row r="1436" spans="2:4">
      <c r="B1436" s="6" t="s">
        <v>1028</v>
      </c>
      <c r="C1436" s="6">
        <v>935</v>
      </c>
      <c r="D1436" s="1051">
        <v>0</v>
      </c>
    </row>
    <row r="1437" spans="2:4">
      <c r="B1437" s="6" t="s">
        <v>1937</v>
      </c>
      <c r="C1437" s="6">
        <v>801</v>
      </c>
      <c r="D1437" s="1051">
        <v>0</v>
      </c>
    </row>
    <row r="1438" spans="2:4">
      <c r="B1438" s="6" t="s">
        <v>1937</v>
      </c>
      <c r="C1438" s="6">
        <v>803</v>
      </c>
      <c r="D1438" s="1051">
        <v>0</v>
      </c>
    </row>
    <row r="1439" spans="2:4">
      <c r="B1439" s="6" t="s">
        <v>1937</v>
      </c>
      <c r="C1439" s="6">
        <v>804</v>
      </c>
      <c r="D1439" s="1051">
        <v>0</v>
      </c>
    </row>
    <row r="1440" spans="2:4">
      <c r="B1440" s="6" t="s">
        <v>1937</v>
      </c>
      <c r="C1440" s="6">
        <v>805</v>
      </c>
      <c r="D1440" s="1051">
        <v>0</v>
      </c>
    </row>
    <row r="1441" spans="2:4">
      <c r="B1441" s="6" t="s">
        <v>1937</v>
      </c>
      <c r="C1441" s="6">
        <v>806</v>
      </c>
      <c r="D1441" s="1051">
        <v>0</v>
      </c>
    </row>
    <row r="1442" spans="2:4">
      <c r="B1442" s="6" t="s">
        <v>1937</v>
      </c>
      <c r="C1442" s="6">
        <v>807</v>
      </c>
      <c r="D1442" s="1051">
        <v>0</v>
      </c>
    </row>
    <row r="1443" spans="2:4">
      <c r="B1443" s="6" t="s">
        <v>1937</v>
      </c>
      <c r="C1443" s="6">
        <v>808</v>
      </c>
      <c r="D1443" s="1051">
        <v>0</v>
      </c>
    </row>
    <row r="1444" spans="2:4">
      <c r="B1444" s="6" t="s">
        <v>1937</v>
      </c>
      <c r="C1444" s="6">
        <v>812</v>
      </c>
      <c r="D1444" s="1051">
        <v>0</v>
      </c>
    </row>
    <row r="1445" spans="2:4">
      <c r="B1445" s="6" t="s">
        <v>1937</v>
      </c>
      <c r="C1445" s="6">
        <v>870</v>
      </c>
      <c r="D1445" s="1051">
        <v>0</v>
      </c>
    </row>
    <row r="1446" spans="2:4">
      <c r="B1446" s="6" t="s">
        <v>1937</v>
      </c>
      <c r="C1446" s="6">
        <v>871</v>
      </c>
      <c r="D1446" s="1051">
        <v>0</v>
      </c>
    </row>
    <row r="1447" spans="2:4">
      <c r="B1447" s="6" t="s">
        <v>1937</v>
      </c>
      <c r="C1447" s="6">
        <v>874</v>
      </c>
      <c r="D1447" s="1051">
        <v>0</v>
      </c>
    </row>
    <row r="1448" spans="2:4">
      <c r="B1448" s="6" t="s">
        <v>1937</v>
      </c>
      <c r="C1448" s="6">
        <v>875</v>
      </c>
      <c r="D1448" s="1051">
        <v>0</v>
      </c>
    </row>
    <row r="1449" spans="2:4">
      <c r="B1449" s="6" t="s">
        <v>1937</v>
      </c>
      <c r="C1449" s="6">
        <v>876</v>
      </c>
      <c r="D1449" s="1051">
        <v>0</v>
      </c>
    </row>
    <row r="1450" spans="2:4">
      <c r="B1450" s="6" t="s">
        <v>1937</v>
      </c>
      <c r="C1450" s="6">
        <v>878</v>
      </c>
      <c r="D1450" s="1051">
        <v>0</v>
      </c>
    </row>
    <row r="1451" spans="2:4">
      <c r="B1451" s="6" t="s">
        <v>1937</v>
      </c>
      <c r="C1451" s="6">
        <v>879</v>
      </c>
      <c r="D1451" s="1051">
        <v>0</v>
      </c>
    </row>
    <row r="1452" spans="2:4">
      <c r="B1452" s="6" t="s">
        <v>1937</v>
      </c>
      <c r="C1452" s="6">
        <v>880</v>
      </c>
      <c r="D1452" s="1051">
        <v>0</v>
      </c>
    </row>
    <row r="1453" spans="2:4">
      <c r="B1453" s="6" t="s">
        <v>1937</v>
      </c>
      <c r="C1453" s="6">
        <v>881</v>
      </c>
      <c r="D1453" s="1051">
        <v>0.15535819687417687</v>
      </c>
    </row>
    <row r="1454" spans="2:4">
      <c r="B1454" s="6" t="s">
        <v>1937</v>
      </c>
      <c r="C1454" s="6">
        <v>885</v>
      </c>
      <c r="D1454" s="1051">
        <v>0</v>
      </c>
    </row>
    <row r="1455" spans="2:4">
      <c r="B1455" s="6" t="s">
        <v>1937</v>
      </c>
      <c r="C1455" s="6">
        <v>886</v>
      </c>
      <c r="D1455" s="1051">
        <v>0</v>
      </c>
    </row>
    <row r="1456" spans="2:4">
      <c r="B1456" s="6" t="s">
        <v>1937</v>
      </c>
      <c r="C1456" s="6">
        <v>887</v>
      </c>
      <c r="D1456" s="1051">
        <v>0</v>
      </c>
    </row>
    <row r="1457" spans="2:4">
      <c r="B1457" s="6" t="s">
        <v>1937</v>
      </c>
      <c r="C1457" s="6">
        <v>889</v>
      </c>
      <c r="D1457" s="1051">
        <v>0</v>
      </c>
    </row>
    <row r="1458" spans="2:4">
      <c r="B1458" s="6" t="s">
        <v>1937</v>
      </c>
      <c r="C1458" s="6">
        <v>890</v>
      </c>
      <c r="D1458" s="1051">
        <v>0</v>
      </c>
    </row>
    <row r="1459" spans="2:4">
      <c r="B1459" s="6" t="s">
        <v>1937</v>
      </c>
      <c r="C1459" s="6">
        <v>892</v>
      </c>
      <c r="D1459" s="1051">
        <v>0</v>
      </c>
    </row>
    <row r="1460" spans="2:4">
      <c r="B1460" s="6" t="s">
        <v>1937</v>
      </c>
      <c r="C1460" s="6">
        <v>893</v>
      </c>
      <c r="D1460" s="1051">
        <v>0</v>
      </c>
    </row>
    <row r="1461" spans="2:4">
      <c r="B1461" s="6" t="s">
        <v>1937</v>
      </c>
      <c r="C1461" s="6">
        <v>894</v>
      </c>
      <c r="D1461" s="1051">
        <v>0</v>
      </c>
    </row>
    <row r="1462" spans="2:4">
      <c r="B1462" s="6" t="s">
        <v>1937</v>
      </c>
      <c r="C1462" s="6">
        <v>902</v>
      </c>
      <c r="D1462" s="1051">
        <v>0</v>
      </c>
    </row>
    <row r="1463" spans="2:4">
      <c r="B1463" s="6" t="s">
        <v>1937</v>
      </c>
      <c r="C1463" s="6">
        <v>903</v>
      </c>
      <c r="D1463" s="1051">
        <v>0</v>
      </c>
    </row>
    <row r="1464" spans="2:4">
      <c r="B1464" s="6" t="s">
        <v>1937</v>
      </c>
      <c r="C1464" s="6">
        <v>904</v>
      </c>
      <c r="D1464" s="1051">
        <v>0</v>
      </c>
    </row>
    <row r="1465" spans="2:4">
      <c r="B1465" s="6" t="s">
        <v>1937</v>
      </c>
      <c r="C1465" s="6">
        <v>905</v>
      </c>
      <c r="D1465" s="1051">
        <v>0</v>
      </c>
    </row>
    <row r="1466" spans="2:4">
      <c r="B1466" s="6" t="s">
        <v>1937</v>
      </c>
      <c r="C1466" s="6">
        <v>907</v>
      </c>
      <c r="D1466" s="1051">
        <v>0</v>
      </c>
    </row>
    <row r="1467" spans="2:4">
      <c r="B1467" s="6" t="s">
        <v>1937</v>
      </c>
      <c r="C1467" s="6">
        <v>908</v>
      </c>
      <c r="D1467" s="1051">
        <v>0</v>
      </c>
    </row>
    <row r="1468" spans="2:4">
      <c r="B1468" s="6" t="s">
        <v>1937</v>
      </c>
      <c r="C1468" s="6">
        <v>909</v>
      </c>
      <c r="D1468" s="1051">
        <v>0</v>
      </c>
    </row>
    <row r="1469" spans="2:4">
      <c r="B1469" s="6" t="s">
        <v>1937</v>
      </c>
      <c r="C1469" s="6">
        <v>910</v>
      </c>
      <c r="D1469" s="1051">
        <v>0</v>
      </c>
    </row>
    <row r="1470" spans="2:4">
      <c r="B1470" s="6" t="s">
        <v>1937</v>
      </c>
      <c r="C1470" s="6">
        <v>911</v>
      </c>
      <c r="D1470" s="1051">
        <v>0</v>
      </c>
    </row>
    <row r="1471" spans="2:4">
      <c r="B1471" s="6" t="s">
        <v>1937</v>
      </c>
      <c r="C1471" s="6">
        <v>912</v>
      </c>
      <c r="D1471" s="1051">
        <v>0</v>
      </c>
    </row>
    <row r="1472" spans="2:4">
      <c r="B1472" s="6" t="s">
        <v>1937</v>
      </c>
      <c r="C1472" s="6">
        <v>913</v>
      </c>
      <c r="D1472" s="1051">
        <v>0</v>
      </c>
    </row>
    <row r="1473" spans="2:4">
      <c r="B1473" s="6" t="s">
        <v>1937</v>
      </c>
      <c r="C1473" s="6">
        <v>920</v>
      </c>
      <c r="D1473" s="1051">
        <v>0</v>
      </c>
    </row>
    <row r="1474" spans="2:4">
      <c r="B1474" s="6" t="s">
        <v>1937</v>
      </c>
      <c r="C1474" s="6">
        <v>921</v>
      </c>
      <c r="D1474" s="1051">
        <v>0</v>
      </c>
    </row>
    <row r="1475" spans="2:4">
      <c r="B1475" s="6" t="s">
        <v>1937</v>
      </c>
      <c r="C1475" s="6">
        <v>923</v>
      </c>
      <c r="D1475" s="1051">
        <v>0</v>
      </c>
    </row>
    <row r="1476" spans="2:4">
      <c r="B1476" s="6" t="s">
        <v>1937</v>
      </c>
      <c r="C1476" s="6">
        <v>924</v>
      </c>
      <c r="D1476" s="1051">
        <v>0</v>
      </c>
    </row>
    <row r="1477" spans="2:4">
      <c r="B1477" s="6" t="s">
        <v>1937</v>
      </c>
      <c r="C1477" s="6">
        <v>925</v>
      </c>
      <c r="D1477" s="1051">
        <v>0</v>
      </c>
    </row>
    <row r="1478" spans="2:4">
      <c r="B1478" s="6" t="s">
        <v>1937</v>
      </c>
      <c r="C1478" s="6">
        <v>926</v>
      </c>
      <c r="D1478" s="1051">
        <v>0</v>
      </c>
    </row>
    <row r="1479" spans="2:4">
      <c r="B1479" s="6" t="s">
        <v>1937</v>
      </c>
      <c r="C1479" s="6">
        <v>928</v>
      </c>
      <c r="D1479" s="1051">
        <v>0</v>
      </c>
    </row>
    <row r="1480" spans="2:4">
      <c r="B1480" s="6" t="s">
        <v>1937</v>
      </c>
      <c r="C1480" s="6">
        <v>9301</v>
      </c>
      <c r="D1480" s="1051">
        <v>0</v>
      </c>
    </row>
    <row r="1481" spans="2:4">
      <c r="B1481" s="6" t="s">
        <v>1937</v>
      </c>
      <c r="C1481" s="6">
        <v>9302</v>
      </c>
      <c r="D1481" s="1051">
        <v>0</v>
      </c>
    </row>
    <row r="1482" spans="2:4">
      <c r="B1482" s="6" t="s">
        <v>1937</v>
      </c>
      <c r="C1482" s="6">
        <v>931</v>
      </c>
      <c r="D1482" s="1051">
        <v>0.84464180312582315</v>
      </c>
    </row>
    <row r="1483" spans="2:4">
      <c r="B1483" s="6" t="s">
        <v>1937</v>
      </c>
      <c r="C1483" s="6">
        <v>932</v>
      </c>
      <c r="D1483" s="1051">
        <v>0</v>
      </c>
    </row>
    <row r="1484" spans="2:4">
      <c r="B1484" s="6" t="s">
        <v>1937</v>
      </c>
      <c r="C1484" s="6">
        <v>935</v>
      </c>
      <c r="D1484" s="1051">
        <v>0</v>
      </c>
    </row>
    <row r="1485" spans="2:4">
      <c r="B1485" s="6" t="s">
        <v>1104</v>
      </c>
      <c r="C1485" s="6">
        <v>801</v>
      </c>
      <c r="D1485" s="1051">
        <v>0</v>
      </c>
    </row>
    <row r="1486" spans="2:4">
      <c r="B1486" s="6" t="s">
        <v>1104</v>
      </c>
      <c r="C1486" s="6">
        <v>803</v>
      </c>
      <c r="D1486" s="1051">
        <v>0</v>
      </c>
    </row>
    <row r="1487" spans="2:4">
      <c r="B1487" s="6" t="s">
        <v>1104</v>
      </c>
      <c r="C1487" s="6">
        <v>804</v>
      </c>
      <c r="D1487" s="1051">
        <v>0</v>
      </c>
    </row>
    <row r="1488" spans="2:4">
      <c r="B1488" s="6" t="s">
        <v>1104</v>
      </c>
      <c r="C1488" s="6">
        <v>805</v>
      </c>
      <c r="D1488" s="1051">
        <v>0</v>
      </c>
    </row>
    <row r="1489" spans="2:4">
      <c r="B1489" s="6" t="s">
        <v>1104</v>
      </c>
      <c r="C1489" s="6">
        <v>806</v>
      </c>
      <c r="D1489" s="1051">
        <v>0</v>
      </c>
    </row>
    <row r="1490" spans="2:4">
      <c r="B1490" s="6" t="s">
        <v>1104</v>
      </c>
      <c r="C1490" s="6">
        <v>807</v>
      </c>
      <c r="D1490" s="1051">
        <v>0</v>
      </c>
    </row>
    <row r="1491" spans="2:4">
      <c r="B1491" s="6" t="s">
        <v>1104</v>
      </c>
      <c r="C1491" s="6">
        <v>808</v>
      </c>
      <c r="D1491" s="1051">
        <v>0</v>
      </c>
    </row>
    <row r="1492" spans="2:4">
      <c r="B1492" s="6" t="s">
        <v>1104</v>
      </c>
      <c r="C1492" s="6">
        <v>812</v>
      </c>
      <c r="D1492" s="1051">
        <v>0</v>
      </c>
    </row>
    <row r="1493" spans="2:4">
      <c r="B1493" s="6" t="s">
        <v>1104</v>
      </c>
      <c r="C1493" s="6">
        <v>870</v>
      </c>
      <c r="D1493" s="1051">
        <v>0</v>
      </c>
    </row>
    <row r="1494" spans="2:4">
      <c r="B1494" s="6" t="s">
        <v>1104</v>
      </c>
      <c r="C1494" s="6">
        <v>871</v>
      </c>
      <c r="D1494" s="1051">
        <v>0</v>
      </c>
    </row>
    <row r="1495" spans="2:4">
      <c r="B1495" s="6" t="s">
        <v>1104</v>
      </c>
      <c r="C1495" s="6">
        <v>874</v>
      </c>
      <c r="D1495" s="1051">
        <v>0</v>
      </c>
    </row>
    <row r="1496" spans="2:4">
      <c r="B1496" s="6" t="s">
        <v>1104</v>
      </c>
      <c r="C1496" s="6">
        <v>875</v>
      </c>
      <c r="D1496" s="1051">
        <v>0</v>
      </c>
    </row>
    <row r="1497" spans="2:4">
      <c r="B1497" s="6" t="s">
        <v>1104</v>
      </c>
      <c r="C1497" s="6">
        <v>876</v>
      </c>
      <c r="D1497" s="1051">
        <v>0</v>
      </c>
    </row>
    <row r="1498" spans="2:4">
      <c r="B1498" s="6" t="s">
        <v>1104</v>
      </c>
      <c r="C1498" s="6">
        <v>878</v>
      </c>
      <c r="D1498" s="1051">
        <v>0</v>
      </c>
    </row>
    <row r="1499" spans="2:4">
      <c r="B1499" s="6" t="s">
        <v>1104</v>
      </c>
      <c r="C1499" s="6">
        <v>879</v>
      </c>
      <c r="D1499" s="1051">
        <v>0</v>
      </c>
    </row>
    <row r="1500" spans="2:4">
      <c r="B1500" s="6" t="s">
        <v>1104</v>
      </c>
      <c r="C1500" s="6">
        <v>880</v>
      </c>
      <c r="D1500" s="1051">
        <v>0</v>
      </c>
    </row>
    <row r="1501" spans="2:4">
      <c r="B1501" s="6" t="s">
        <v>1104</v>
      </c>
      <c r="C1501" s="6">
        <v>881</v>
      </c>
      <c r="D1501" s="1051">
        <v>0</v>
      </c>
    </row>
    <row r="1502" spans="2:4">
      <c r="B1502" s="6" t="s">
        <v>1104</v>
      </c>
      <c r="C1502" s="6">
        <v>885</v>
      </c>
      <c r="D1502" s="1051">
        <v>0</v>
      </c>
    </row>
    <row r="1503" spans="2:4">
      <c r="B1503" s="6" t="s">
        <v>1104</v>
      </c>
      <c r="C1503" s="6">
        <v>886</v>
      </c>
      <c r="D1503" s="1051">
        <v>0</v>
      </c>
    </row>
    <row r="1504" spans="2:4">
      <c r="B1504" s="6" t="s">
        <v>1104</v>
      </c>
      <c r="C1504" s="6">
        <v>887</v>
      </c>
      <c r="D1504" s="1051">
        <v>0</v>
      </c>
    </row>
    <row r="1505" spans="2:4">
      <c r="B1505" s="6" t="s">
        <v>1104</v>
      </c>
      <c r="C1505" s="6">
        <v>889</v>
      </c>
      <c r="D1505" s="1051">
        <v>0</v>
      </c>
    </row>
    <row r="1506" spans="2:4">
      <c r="B1506" s="6" t="s">
        <v>1104</v>
      </c>
      <c r="C1506" s="6">
        <v>890</v>
      </c>
      <c r="D1506" s="1051">
        <v>0</v>
      </c>
    </row>
    <row r="1507" spans="2:4">
      <c r="B1507" s="6" t="s">
        <v>1104</v>
      </c>
      <c r="C1507" s="6">
        <v>892</v>
      </c>
      <c r="D1507" s="1051">
        <v>0</v>
      </c>
    </row>
    <row r="1508" spans="2:4">
      <c r="B1508" s="6" t="s">
        <v>1104</v>
      </c>
      <c r="C1508" s="6">
        <v>893</v>
      </c>
      <c r="D1508" s="1051">
        <v>0</v>
      </c>
    </row>
    <row r="1509" spans="2:4">
      <c r="B1509" s="6" t="s">
        <v>1104</v>
      </c>
      <c r="C1509" s="6">
        <v>894</v>
      </c>
      <c r="D1509" s="1051">
        <v>0</v>
      </c>
    </row>
    <row r="1510" spans="2:4">
      <c r="B1510" s="6" t="s">
        <v>1104</v>
      </c>
      <c r="C1510" s="6">
        <v>902</v>
      </c>
      <c r="D1510" s="1051">
        <v>0</v>
      </c>
    </row>
    <row r="1511" spans="2:4">
      <c r="B1511" s="6" t="s">
        <v>1104</v>
      </c>
      <c r="C1511" s="6">
        <v>903</v>
      </c>
      <c r="D1511" s="1051">
        <v>0</v>
      </c>
    </row>
    <row r="1512" spans="2:4">
      <c r="B1512" s="6" t="s">
        <v>1104</v>
      </c>
      <c r="C1512" s="6">
        <v>904</v>
      </c>
      <c r="D1512" s="1051">
        <v>0</v>
      </c>
    </row>
    <row r="1513" spans="2:4">
      <c r="B1513" s="6" t="s">
        <v>1104</v>
      </c>
      <c r="C1513" s="6">
        <v>905</v>
      </c>
      <c r="D1513" s="1051">
        <v>0</v>
      </c>
    </row>
    <row r="1514" spans="2:4">
      <c r="B1514" s="6" t="s">
        <v>1104</v>
      </c>
      <c r="C1514" s="6">
        <v>907</v>
      </c>
      <c r="D1514" s="1051">
        <v>0</v>
      </c>
    </row>
    <row r="1515" spans="2:4">
      <c r="B1515" s="6" t="s">
        <v>1104</v>
      </c>
      <c r="C1515" s="6">
        <v>908</v>
      </c>
      <c r="D1515" s="1051">
        <v>0</v>
      </c>
    </row>
    <row r="1516" spans="2:4">
      <c r="B1516" s="6" t="s">
        <v>1104</v>
      </c>
      <c r="C1516" s="6">
        <v>909</v>
      </c>
      <c r="D1516" s="1051">
        <v>0</v>
      </c>
    </row>
    <row r="1517" spans="2:4">
      <c r="B1517" s="6" t="s">
        <v>1104</v>
      </c>
      <c r="C1517" s="6">
        <v>910</v>
      </c>
      <c r="D1517" s="1051">
        <v>0</v>
      </c>
    </row>
    <row r="1518" spans="2:4">
      <c r="B1518" s="6" t="s">
        <v>1104</v>
      </c>
      <c r="C1518" s="6">
        <v>911</v>
      </c>
      <c r="D1518" s="1051">
        <v>0</v>
      </c>
    </row>
    <row r="1519" spans="2:4">
      <c r="B1519" s="6" t="s">
        <v>1104</v>
      </c>
      <c r="C1519" s="6">
        <v>912</v>
      </c>
      <c r="D1519" s="1051">
        <v>0</v>
      </c>
    </row>
    <row r="1520" spans="2:4">
      <c r="B1520" s="6" t="s">
        <v>1104</v>
      </c>
      <c r="C1520" s="6">
        <v>913</v>
      </c>
      <c r="D1520" s="1051">
        <v>0</v>
      </c>
    </row>
    <row r="1521" spans="2:4">
      <c r="B1521" s="6" t="s">
        <v>1104</v>
      </c>
      <c r="C1521" s="6">
        <v>920</v>
      </c>
      <c r="D1521" s="1051">
        <v>0.98410911312315508</v>
      </c>
    </row>
    <row r="1522" spans="2:4">
      <c r="B1522" s="6" t="s">
        <v>1104</v>
      </c>
      <c r="C1522" s="6">
        <v>921</v>
      </c>
      <c r="D1522" s="1051">
        <v>0</v>
      </c>
    </row>
    <row r="1523" spans="2:4">
      <c r="B1523" s="6" t="s">
        <v>1104</v>
      </c>
      <c r="C1523" s="6">
        <v>923</v>
      </c>
      <c r="D1523" s="1051">
        <v>0</v>
      </c>
    </row>
    <row r="1524" spans="2:4">
      <c r="B1524" s="6" t="s">
        <v>1104</v>
      </c>
      <c r="C1524" s="6">
        <v>924</v>
      </c>
      <c r="D1524" s="1051">
        <v>0</v>
      </c>
    </row>
    <row r="1525" spans="2:4">
      <c r="B1525" s="6" t="s">
        <v>1104</v>
      </c>
      <c r="C1525" s="6">
        <v>925</v>
      </c>
      <c r="D1525" s="1051">
        <v>0</v>
      </c>
    </row>
    <row r="1526" spans="2:4">
      <c r="B1526" s="6" t="s">
        <v>1104</v>
      </c>
      <c r="C1526" s="6">
        <v>926</v>
      </c>
      <c r="D1526" s="1051">
        <v>1.5890886876844798E-2</v>
      </c>
    </row>
    <row r="1527" spans="2:4">
      <c r="B1527" s="6" t="s">
        <v>1104</v>
      </c>
      <c r="C1527" s="6">
        <v>928</v>
      </c>
      <c r="D1527" s="1051">
        <v>0</v>
      </c>
    </row>
    <row r="1528" spans="2:4">
      <c r="B1528" s="6" t="s">
        <v>1104</v>
      </c>
      <c r="C1528" s="6">
        <v>930</v>
      </c>
      <c r="D1528" s="1051">
        <v>0</v>
      </c>
    </row>
    <row r="1529" spans="2:4">
      <c r="B1529" s="6" t="s">
        <v>1104</v>
      </c>
      <c r="C1529" s="6">
        <v>931</v>
      </c>
      <c r="D1529" s="1051">
        <v>0</v>
      </c>
    </row>
    <row r="1530" spans="2:4">
      <c r="B1530" s="6" t="s">
        <v>1104</v>
      </c>
      <c r="C1530" s="6">
        <v>932</v>
      </c>
      <c r="D1530" s="1051">
        <v>0</v>
      </c>
    </row>
    <row r="1531" spans="2:4">
      <c r="B1531" s="6" t="s">
        <v>1104</v>
      </c>
      <c r="C1531" s="6">
        <v>935</v>
      </c>
      <c r="D1531" s="1051">
        <v>0</v>
      </c>
    </row>
    <row r="1532" spans="2:4">
      <c r="B1532" s="6" t="s">
        <v>1904</v>
      </c>
      <c r="C1532" s="6">
        <v>801</v>
      </c>
      <c r="D1532" s="1051">
        <v>0</v>
      </c>
    </row>
    <row r="1533" spans="2:4">
      <c r="B1533" s="6" t="s">
        <v>1904</v>
      </c>
      <c r="C1533" s="6">
        <v>803</v>
      </c>
      <c r="D1533" s="1051">
        <v>0</v>
      </c>
    </row>
    <row r="1534" spans="2:4">
      <c r="B1534" s="6" t="s">
        <v>1904</v>
      </c>
      <c r="C1534" s="6">
        <v>804</v>
      </c>
      <c r="D1534" s="1051">
        <v>0</v>
      </c>
    </row>
    <row r="1535" spans="2:4">
      <c r="B1535" s="6" t="s">
        <v>1904</v>
      </c>
      <c r="C1535" s="6">
        <v>805</v>
      </c>
      <c r="D1535" s="1051">
        <v>0</v>
      </c>
    </row>
    <row r="1536" spans="2:4">
      <c r="B1536" s="6" t="s">
        <v>1904</v>
      </c>
      <c r="C1536" s="6">
        <v>806</v>
      </c>
      <c r="D1536" s="1051">
        <v>0</v>
      </c>
    </row>
    <row r="1537" spans="2:4">
      <c r="B1537" s="6" t="s">
        <v>1904</v>
      </c>
      <c r="C1537" s="6">
        <v>807</v>
      </c>
      <c r="D1537" s="1051">
        <v>0</v>
      </c>
    </row>
    <row r="1538" spans="2:4">
      <c r="B1538" s="6" t="s">
        <v>1904</v>
      </c>
      <c r="C1538" s="6">
        <v>808</v>
      </c>
      <c r="D1538" s="1051">
        <v>0</v>
      </c>
    </row>
    <row r="1539" spans="2:4">
      <c r="B1539" s="6" t="s">
        <v>1904</v>
      </c>
      <c r="C1539" s="6">
        <v>812</v>
      </c>
      <c r="D1539" s="1051">
        <v>0</v>
      </c>
    </row>
    <row r="1540" spans="2:4">
      <c r="B1540" s="6" t="s">
        <v>1904</v>
      </c>
      <c r="C1540" s="6">
        <v>870</v>
      </c>
      <c r="D1540" s="1051">
        <v>0</v>
      </c>
    </row>
    <row r="1541" spans="2:4">
      <c r="B1541" s="6" t="s">
        <v>1904</v>
      </c>
      <c r="C1541" s="6">
        <v>871</v>
      </c>
      <c r="D1541" s="1051">
        <v>0</v>
      </c>
    </row>
    <row r="1542" spans="2:4">
      <c r="B1542" s="6" t="s">
        <v>1904</v>
      </c>
      <c r="C1542" s="6">
        <v>874</v>
      </c>
      <c r="D1542" s="1051">
        <v>0</v>
      </c>
    </row>
    <row r="1543" spans="2:4">
      <c r="B1543" s="6" t="s">
        <v>1904</v>
      </c>
      <c r="C1543" s="6">
        <v>875</v>
      </c>
      <c r="D1543" s="1051">
        <v>0</v>
      </c>
    </row>
    <row r="1544" spans="2:4">
      <c r="B1544" s="6" t="s">
        <v>1904</v>
      </c>
      <c r="C1544" s="6">
        <v>876</v>
      </c>
      <c r="D1544" s="1051">
        <v>0</v>
      </c>
    </row>
    <row r="1545" spans="2:4">
      <c r="B1545" s="6" t="s">
        <v>1904</v>
      </c>
      <c r="C1545" s="6">
        <v>878</v>
      </c>
      <c r="D1545" s="1051">
        <v>0</v>
      </c>
    </row>
    <row r="1546" spans="2:4">
      <c r="B1546" s="6" t="s">
        <v>1904</v>
      </c>
      <c r="C1546" s="6">
        <v>879</v>
      </c>
      <c r="D1546" s="1051">
        <v>0</v>
      </c>
    </row>
    <row r="1547" spans="2:4">
      <c r="B1547" s="6" t="s">
        <v>1904</v>
      </c>
      <c r="C1547" s="6">
        <v>880</v>
      </c>
      <c r="D1547" s="1051">
        <v>0</v>
      </c>
    </row>
    <row r="1548" spans="2:4">
      <c r="B1548" s="6" t="s">
        <v>1904</v>
      </c>
      <c r="C1548" s="6">
        <v>881</v>
      </c>
      <c r="D1548" s="1051">
        <v>0</v>
      </c>
    </row>
    <row r="1549" spans="2:4">
      <c r="B1549" s="6" t="s">
        <v>1904</v>
      </c>
      <c r="C1549" s="6">
        <v>885</v>
      </c>
      <c r="D1549" s="1051">
        <v>0</v>
      </c>
    </row>
    <row r="1550" spans="2:4">
      <c r="B1550" s="6" t="s">
        <v>1904</v>
      </c>
      <c r="C1550" s="6">
        <v>886</v>
      </c>
      <c r="D1550" s="1051">
        <v>0</v>
      </c>
    </row>
    <row r="1551" spans="2:4">
      <c r="B1551" s="6" t="s">
        <v>1904</v>
      </c>
      <c r="C1551" s="6">
        <v>887</v>
      </c>
      <c r="D1551" s="1051">
        <v>0</v>
      </c>
    </row>
    <row r="1552" spans="2:4">
      <c r="B1552" s="6" t="s">
        <v>1904</v>
      </c>
      <c r="C1552" s="6">
        <v>889</v>
      </c>
      <c r="D1552" s="1051">
        <v>0</v>
      </c>
    </row>
    <row r="1553" spans="2:4">
      <c r="B1553" s="6" t="s">
        <v>1904</v>
      </c>
      <c r="C1553" s="6">
        <v>890</v>
      </c>
      <c r="D1553" s="1051">
        <v>0</v>
      </c>
    </row>
    <row r="1554" spans="2:4">
      <c r="B1554" s="6" t="s">
        <v>1904</v>
      </c>
      <c r="C1554" s="6">
        <v>892</v>
      </c>
      <c r="D1554" s="1051">
        <v>0</v>
      </c>
    </row>
    <row r="1555" spans="2:4">
      <c r="B1555" s="6" t="s">
        <v>1904</v>
      </c>
      <c r="C1555" s="6">
        <v>893</v>
      </c>
      <c r="D1555" s="1051">
        <v>0</v>
      </c>
    </row>
    <row r="1556" spans="2:4">
      <c r="B1556" s="6" t="s">
        <v>1904</v>
      </c>
      <c r="C1556" s="6">
        <v>894</v>
      </c>
      <c r="D1556" s="1051">
        <v>0</v>
      </c>
    </row>
    <row r="1557" spans="2:4">
      <c r="B1557" s="6" t="s">
        <v>1904</v>
      </c>
      <c r="C1557" s="6">
        <v>902</v>
      </c>
      <c r="D1557" s="1051">
        <v>0</v>
      </c>
    </row>
    <row r="1558" spans="2:4">
      <c r="B1558" s="6" t="s">
        <v>1904</v>
      </c>
      <c r="C1558" s="6">
        <v>903</v>
      </c>
      <c r="D1558" s="1051">
        <v>0</v>
      </c>
    </row>
    <row r="1559" spans="2:4">
      <c r="B1559" s="6" t="s">
        <v>1904</v>
      </c>
      <c r="C1559" s="6">
        <v>904</v>
      </c>
      <c r="D1559" s="1051">
        <v>1</v>
      </c>
    </row>
    <row r="1560" spans="2:4">
      <c r="B1560" s="6" t="s">
        <v>1904</v>
      </c>
      <c r="C1560" s="6">
        <v>905</v>
      </c>
      <c r="D1560" s="1051">
        <v>0</v>
      </c>
    </row>
    <row r="1561" spans="2:4">
      <c r="B1561" s="6" t="s">
        <v>1904</v>
      </c>
      <c r="C1561" s="6">
        <v>907</v>
      </c>
      <c r="D1561" s="1051">
        <v>0</v>
      </c>
    </row>
    <row r="1562" spans="2:4">
      <c r="B1562" s="6" t="s">
        <v>1904</v>
      </c>
      <c r="C1562" s="6">
        <v>908</v>
      </c>
      <c r="D1562" s="1051">
        <v>0</v>
      </c>
    </row>
    <row r="1563" spans="2:4">
      <c r="B1563" s="6" t="s">
        <v>1904</v>
      </c>
      <c r="C1563" s="6">
        <v>909</v>
      </c>
      <c r="D1563" s="1051">
        <v>0</v>
      </c>
    </row>
    <row r="1564" spans="2:4">
      <c r="B1564" s="6" t="s">
        <v>1904</v>
      </c>
      <c r="C1564" s="6">
        <v>910</v>
      </c>
      <c r="D1564" s="1051">
        <v>0</v>
      </c>
    </row>
    <row r="1565" spans="2:4">
      <c r="B1565" s="6" t="s">
        <v>1904</v>
      </c>
      <c r="C1565" s="6">
        <v>911</v>
      </c>
      <c r="D1565" s="1051">
        <v>0</v>
      </c>
    </row>
    <row r="1566" spans="2:4">
      <c r="B1566" s="6" t="s">
        <v>1904</v>
      </c>
      <c r="C1566" s="6">
        <v>912</v>
      </c>
      <c r="D1566" s="1051">
        <v>0</v>
      </c>
    </row>
    <row r="1567" spans="2:4">
      <c r="B1567" s="6" t="s">
        <v>1904</v>
      </c>
      <c r="C1567" s="6">
        <v>913</v>
      </c>
      <c r="D1567" s="1051">
        <v>0</v>
      </c>
    </row>
    <row r="1568" spans="2:4">
      <c r="B1568" s="6" t="s">
        <v>1904</v>
      </c>
      <c r="C1568" s="6">
        <v>920</v>
      </c>
      <c r="D1568" s="1051">
        <v>0</v>
      </c>
    </row>
    <row r="1569" spans="2:4">
      <c r="B1569" s="6" t="s">
        <v>1904</v>
      </c>
      <c r="C1569" s="6">
        <v>921</v>
      </c>
      <c r="D1569" s="1051">
        <v>0</v>
      </c>
    </row>
    <row r="1570" spans="2:4">
      <c r="B1570" s="6" t="s">
        <v>1904</v>
      </c>
      <c r="C1570" s="6">
        <v>923</v>
      </c>
      <c r="D1570" s="1051">
        <v>0</v>
      </c>
    </row>
    <row r="1571" spans="2:4">
      <c r="B1571" s="6" t="s">
        <v>1904</v>
      </c>
      <c r="C1571" s="6">
        <v>924</v>
      </c>
      <c r="D1571" s="1051">
        <v>0</v>
      </c>
    </row>
    <row r="1572" spans="2:4">
      <c r="B1572" s="6" t="s">
        <v>1904</v>
      </c>
      <c r="C1572" s="6">
        <v>925</v>
      </c>
      <c r="D1572" s="1051">
        <v>0</v>
      </c>
    </row>
    <row r="1573" spans="2:4">
      <c r="B1573" s="6" t="s">
        <v>1904</v>
      </c>
      <c r="C1573" s="6">
        <v>926</v>
      </c>
      <c r="D1573" s="1051">
        <v>0</v>
      </c>
    </row>
    <row r="1574" spans="2:4">
      <c r="B1574" s="6" t="s">
        <v>1904</v>
      </c>
      <c r="C1574" s="6">
        <v>928</v>
      </c>
      <c r="D1574" s="1051">
        <v>0</v>
      </c>
    </row>
    <row r="1575" spans="2:4">
      <c r="B1575" s="6" t="s">
        <v>1904</v>
      </c>
      <c r="C1575" s="6">
        <v>930</v>
      </c>
      <c r="D1575" s="1051">
        <v>0</v>
      </c>
    </row>
    <row r="1576" spans="2:4">
      <c r="B1576" s="6" t="s">
        <v>1904</v>
      </c>
      <c r="C1576" s="6">
        <v>931</v>
      </c>
      <c r="D1576" s="1051">
        <v>0</v>
      </c>
    </row>
    <row r="1577" spans="2:4">
      <c r="B1577" s="6" t="s">
        <v>1904</v>
      </c>
      <c r="C1577" s="6">
        <v>932</v>
      </c>
      <c r="D1577" s="1051">
        <v>0</v>
      </c>
    </row>
    <row r="1578" spans="2:4">
      <c r="B1578" s="6" t="s">
        <v>1904</v>
      </c>
      <c r="C1578" s="6">
        <v>935</v>
      </c>
      <c r="D1578" s="1051">
        <v>0</v>
      </c>
    </row>
    <row r="1579" spans="2:4">
      <c r="B1579" s="6" t="s">
        <v>1905</v>
      </c>
      <c r="C1579" s="6">
        <v>801</v>
      </c>
      <c r="D1579" s="1051">
        <v>0</v>
      </c>
    </row>
    <row r="1580" spans="2:4">
      <c r="B1580" s="6" t="s">
        <v>1905</v>
      </c>
      <c r="C1580" s="6">
        <v>803</v>
      </c>
      <c r="D1580" s="1051">
        <v>0</v>
      </c>
    </row>
    <row r="1581" spans="2:4">
      <c r="B1581" s="6" t="s">
        <v>1905</v>
      </c>
      <c r="C1581" s="6">
        <v>804</v>
      </c>
      <c r="D1581" s="1051">
        <v>0</v>
      </c>
    </row>
    <row r="1582" spans="2:4">
      <c r="B1582" s="6" t="s">
        <v>1905</v>
      </c>
      <c r="C1582" s="6">
        <v>805</v>
      </c>
      <c r="D1582" s="1051">
        <v>0</v>
      </c>
    </row>
    <row r="1583" spans="2:4">
      <c r="B1583" s="6" t="s">
        <v>1905</v>
      </c>
      <c r="C1583" s="6">
        <v>806</v>
      </c>
      <c r="D1583" s="1051">
        <v>0</v>
      </c>
    </row>
    <row r="1584" spans="2:4">
      <c r="B1584" s="6" t="s">
        <v>1905</v>
      </c>
      <c r="C1584" s="6">
        <v>807</v>
      </c>
      <c r="D1584" s="1051">
        <v>0</v>
      </c>
    </row>
    <row r="1585" spans="2:4">
      <c r="B1585" s="6" t="s">
        <v>1905</v>
      </c>
      <c r="C1585" s="6">
        <v>808</v>
      </c>
      <c r="D1585" s="1051">
        <v>0</v>
      </c>
    </row>
    <row r="1586" spans="2:4">
      <c r="B1586" s="6" t="s">
        <v>1905</v>
      </c>
      <c r="C1586" s="6">
        <v>812</v>
      </c>
      <c r="D1586" s="1051">
        <v>0</v>
      </c>
    </row>
    <row r="1587" spans="2:4">
      <c r="B1587" s="6" t="s">
        <v>1905</v>
      </c>
      <c r="C1587" s="6">
        <v>870</v>
      </c>
      <c r="D1587" s="1051">
        <v>0</v>
      </c>
    </row>
    <row r="1588" spans="2:4">
      <c r="B1588" s="6" t="s">
        <v>1905</v>
      </c>
      <c r="C1588" s="6">
        <v>871</v>
      </c>
      <c r="D1588" s="1051">
        <v>0</v>
      </c>
    </row>
    <row r="1589" spans="2:4">
      <c r="B1589" s="6" t="s">
        <v>1905</v>
      </c>
      <c r="C1589" s="6">
        <v>874</v>
      </c>
      <c r="D1589" s="1051">
        <v>0</v>
      </c>
    </row>
    <row r="1590" spans="2:4">
      <c r="B1590" s="6" t="s">
        <v>1905</v>
      </c>
      <c r="C1590" s="6">
        <v>875</v>
      </c>
      <c r="D1590" s="1051">
        <v>0</v>
      </c>
    </row>
    <row r="1591" spans="2:4">
      <c r="B1591" s="6" t="s">
        <v>1905</v>
      </c>
      <c r="C1591" s="6">
        <v>876</v>
      </c>
      <c r="D1591" s="1051">
        <v>0</v>
      </c>
    </row>
    <row r="1592" spans="2:4">
      <c r="B1592" s="6" t="s">
        <v>1905</v>
      </c>
      <c r="C1592" s="6">
        <v>878</v>
      </c>
      <c r="D1592" s="1051">
        <v>0</v>
      </c>
    </row>
    <row r="1593" spans="2:4">
      <c r="B1593" s="6" t="s">
        <v>1905</v>
      </c>
      <c r="C1593" s="6">
        <v>879</v>
      </c>
      <c r="D1593" s="1051">
        <v>0</v>
      </c>
    </row>
    <row r="1594" spans="2:4">
      <c r="B1594" s="6" t="s">
        <v>1905</v>
      </c>
      <c r="C1594" s="6">
        <v>880</v>
      </c>
      <c r="D1594" s="1051">
        <v>0</v>
      </c>
    </row>
    <row r="1595" spans="2:4">
      <c r="B1595" s="6" t="s">
        <v>1905</v>
      </c>
      <c r="C1595" s="6">
        <v>881</v>
      </c>
      <c r="D1595" s="1051">
        <v>0</v>
      </c>
    </row>
    <row r="1596" spans="2:4">
      <c r="B1596" s="6" t="s">
        <v>1905</v>
      </c>
      <c r="C1596" s="6">
        <v>885</v>
      </c>
      <c r="D1596" s="1051">
        <v>0</v>
      </c>
    </row>
    <row r="1597" spans="2:4">
      <c r="B1597" s="6" t="s">
        <v>1905</v>
      </c>
      <c r="C1597" s="6">
        <v>886</v>
      </c>
      <c r="D1597" s="1051">
        <v>0</v>
      </c>
    </row>
    <row r="1598" spans="2:4">
      <c r="B1598" s="6" t="s">
        <v>1905</v>
      </c>
      <c r="C1598" s="6">
        <v>887</v>
      </c>
      <c r="D1598" s="1051">
        <v>0</v>
      </c>
    </row>
    <row r="1599" spans="2:4">
      <c r="B1599" s="6" t="s">
        <v>1905</v>
      </c>
      <c r="C1599" s="6">
        <v>889</v>
      </c>
      <c r="D1599" s="1051">
        <v>0</v>
      </c>
    </row>
    <row r="1600" spans="2:4">
      <c r="B1600" s="6" t="s">
        <v>1905</v>
      </c>
      <c r="C1600" s="6">
        <v>890</v>
      </c>
      <c r="D1600" s="1051">
        <v>0</v>
      </c>
    </row>
    <row r="1601" spans="2:4">
      <c r="B1601" s="6" t="s">
        <v>1905</v>
      </c>
      <c r="C1601" s="6">
        <v>892</v>
      </c>
      <c r="D1601" s="1051">
        <v>0</v>
      </c>
    </row>
    <row r="1602" spans="2:4">
      <c r="B1602" s="6" t="s">
        <v>1905</v>
      </c>
      <c r="C1602" s="6">
        <v>893</v>
      </c>
      <c r="D1602" s="1051">
        <v>0</v>
      </c>
    </row>
    <row r="1603" spans="2:4">
      <c r="B1603" s="6" t="s">
        <v>1905</v>
      </c>
      <c r="C1603" s="6">
        <v>894</v>
      </c>
      <c r="D1603" s="1051">
        <v>0</v>
      </c>
    </row>
    <row r="1604" spans="2:4">
      <c r="B1604" s="6" t="s">
        <v>1905</v>
      </c>
      <c r="C1604" s="6">
        <v>902</v>
      </c>
      <c r="D1604" s="1051">
        <v>0</v>
      </c>
    </row>
    <row r="1605" spans="2:4">
      <c r="B1605" s="6" t="s">
        <v>1905</v>
      </c>
      <c r="C1605" s="6">
        <v>903</v>
      </c>
      <c r="D1605" s="1051">
        <v>0</v>
      </c>
    </row>
    <row r="1606" spans="2:4">
      <c r="B1606" s="6" t="s">
        <v>1905</v>
      </c>
      <c r="C1606" s="6">
        <v>904</v>
      </c>
      <c r="D1606" s="1051">
        <v>1</v>
      </c>
    </row>
    <row r="1607" spans="2:4">
      <c r="B1607" s="6" t="s">
        <v>1905</v>
      </c>
      <c r="C1607" s="6">
        <v>905</v>
      </c>
      <c r="D1607" s="1051">
        <v>0</v>
      </c>
    </row>
    <row r="1608" spans="2:4">
      <c r="B1608" s="6" t="s">
        <v>1905</v>
      </c>
      <c r="C1608" s="6">
        <v>907</v>
      </c>
      <c r="D1608" s="1051">
        <v>0</v>
      </c>
    </row>
    <row r="1609" spans="2:4">
      <c r="B1609" s="6" t="s">
        <v>1905</v>
      </c>
      <c r="C1609" s="6">
        <v>908</v>
      </c>
      <c r="D1609" s="1051">
        <v>0</v>
      </c>
    </row>
    <row r="1610" spans="2:4">
      <c r="B1610" s="6" t="s">
        <v>1905</v>
      </c>
      <c r="C1610" s="6">
        <v>909</v>
      </c>
      <c r="D1610" s="1051">
        <v>0</v>
      </c>
    </row>
    <row r="1611" spans="2:4">
      <c r="B1611" s="6" t="s">
        <v>1905</v>
      </c>
      <c r="C1611" s="6">
        <v>910</v>
      </c>
      <c r="D1611" s="1051">
        <v>0</v>
      </c>
    </row>
    <row r="1612" spans="2:4">
      <c r="B1612" s="6" t="s">
        <v>1905</v>
      </c>
      <c r="C1612" s="6">
        <v>911</v>
      </c>
      <c r="D1612" s="1051">
        <v>0</v>
      </c>
    </row>
    <row r="1613" spans="2:4">
      <c r="B1613" s="6" t="s">
        <v>1905</v>
      </c>
      <c r="C1613" s="6">
        <v>912</v>
      </c>
      <c r="D1613" s="1051">
        <v>0</v>
      </c>
    </row>
    <row r="1614" spans="2:4">
      <c r="B1614" s="6" t="s">
        <v>1905</v>
      </c>
      <c r="C1614" s="6">
        <v>913</v>
      </c>
      <c r="D1614" s="1051">
        <v>0</v>
      </c>
    </row>
    <row r="1615" spans="2:4">
      <c r="B1615" s="6" t="s">
        <v>1905</v>
      </c>
      <c r="C1615" s="6">
        <v>920</v>
      </c>
      <c r="D1615" s="1051">
        <v>0</v>
      </c>
    </row>
    <row r="1616" spans="2:4">
      <c r="B1616" s="6" t="s">
        <v>1905</v>
      </c>
      <c r="C1616" s="6">
        <v>921</v>
      </c>
      <c r="D1616" s="1051">
        <v>0</v>
      </c>
    </row>
    <row r="1617" spans="2:4">
      <c r="B1617" s="6" t="s">
        <v>1905</v>
      </c>
      <c r="C1617" s="6">
        <v>923</v>
      </c>
      <c r="D1617" s="1051">
        <v>0</v>
      </c>
    </row>
    <row r="1618" spans="2:4">
      <c r="B1618" s="6" t="s">
        <v>1905</v>
      </c>
      <c r="C1618" s="6">
        <v>924</v>
      </c>
      <c r="D1618" s="1051">
        <v>0</v>
      </c>
    </row>
    <row r="1619" spans="2:4">
      <c r="B1619" s="6" t="s">
        <v>1905</v>
      </c>
      <c r="C1619" s="6">
        <v>925</v>
      </c>
      <c r="D1619" s="1051">
        <v>0</v>
      </c>
    </row>
    <row r="1620" spans="2:4">
      <c r="B1620" s="6" t="s">
        <v>1905</v>
      </c>
      <c r="C1620" s="6">
        <v>926</v>
      </c>
      <c r="D1620" s="1051">
        <v>0</v>
      </c>
    </row>
    <row r="1621" spans="2:4">
      <c r="B1621" s="6" t="s">
        <v>1905</v>
      </c>
      <c r="C1621" s="6">
        <v>928</v>
      </c>
      <c r="D1621" s="1051">
        <v>0</v>
      </c>
    </row>
    <row r="1622" spans="2:4">
      <c r="B1622" s="6" t="s">
        <v>1905</v>
      </c>
      <c r="C1622" s="6">
        <v>930</v>
      </c>
      <c r="D1622" s="1051">
        <v>0</v>
      </c>
    </row>
    <row r="1623" spans="2:4">
      <c r="B1623" s="6" t="s">
        <v>1905</v>
      </c>
      <c r="C1623" s="6">
        <v>931</v>
      </c>
      <c r="D1623" s="1051">
        <v>0</v>
      </c>
    </row>
    <row r="1624" spans="2:4">
      <c r="B1624" s="6" t="s">
        <v>1905</v>
      </c>
      <c r="C1624" s="6">
        <v>932</v>
      </c>
      <c r="D1624" s="1051">
        <v>0</v>
      </c>
    </row>
    <row r="1625" spans="2:4">
      <c r="B1625" s="6" t="s">
        <v>1905</v>
      </c>
      <c r="C1625" s="6">
        <v>935</v>
      </c>
      <c r="D1625" s="1051">
        <v>0</v>
      </c>
    </row>
    <row r="1626" spans="2:4">
      <c r="B1626" s="6" t="s">
        <v>1031</v>
      </c>
      <c r="C1626" s="6">
        <v>801</v>
      </c>
      <c r="D1626" s="1051">
        <v>0</v>
      </c>
    </row>
    <row r="1627" spans="2:4">
      <c r="B1627" s="6" t="s">
        <v>1031</v>
      </c>
      <c r="C1627" s="6">
        <v>803</v>
      </c>
      <c r="D1627" s="1051">
        <v>0</v>
      </c>
    </row>
    <row r="1628" spans="2:4">
      <c r="B1628" s="6" t="s">
        <v>1031</v>
      </c>
      <c r="C1628" s="6">
        <v>804</v>
      </c>
      <c r="D1628" s="1051">
        <v>0</v>
      </c>
    </row>
    <row r="1629" spans="2:4">
      <c r="B1629" s="6" t="s">
        <v>1031</v>
      </c>
      <c r="C1629" s="6">
        <v>805</v>
      </c>
      <c r="D1629" s="1051">
        <v>0</v>
      </c>
    </row>
    <row r="1630" spans="2:4">
      <c r="B1630" s="6" t="s">
        <v>1031</v>
      </c>
      <c r="C1630" s="6">
        <v>806</v>
      </c>
      <c r="D1630" s="1051">
        <v>0</v>
      </c>
    </row>
    <row r="1631" spans="2:4">
      <c r="B1631" s="6" t="s">
        <v>1031</v>
      </c>
      <c r="C1631" s="6">
        <v>807</v>
      </c>
      <c r="D1631" s="1051">
        <v>0</v>
      </c>
    </row>
    <row r="1632" spans="2:4">
      <c r="B1632" s="6" t="s">
        <v>1031</v>
      </c>
      <c r="C1632" s="6">
        <v>808</v>
      </c>
      <c r="D1632" s="1051">
        <v>0</v>
      </c>
    </row>
    <row r="1633" spans="2:4">
      <c r="B1633" s="6" t="s">
        <v>1031</v>
      </c>
      <c r="C1633" s="6">
        <v>812</v>
      </c>
      <c r="D1633" s="1051">
        <v>0</v>
      </c>
    </row>
    <row r="1634" spans="2:4">
      <c r="B1634" s="6" t="s">
        <v>1031</v>
      </c>
      <c r="C1634" s="6">
        <v>813</v>
      </c>
      <c r="D1634" s="1051">
        <v>0</v>
      </c>
    </row>
    <row r="1635" spans="2:4">
      <c r="B1635" s="6" t="s">
        <v>1031</v>
      </c>
      <c r="C1635" s="6">
        <v>852</v>
      </c>
      <c r="D1635" s="1051">
        <v>4.8802692216465278E-5</v>
      </c>
    </row>
    <row r="1636" spans="2:4">
      <c r="B1636" s="6" t="s">
        <v>1031</v>
      </c>
      <c r="C1636" s="6">
        <v>870</v>
      </c>
      <c r="D1636" s="1051">
        <v>0</v>
      </c>
    </row>
    <row r="1637" spans="2:4">
      <c r="B1637" s="6" t="s">
        <v>1031</v>
      </c>
      <c r="C1637" s="6">
        <v>871</v>
      </c>
      <c r="D1637" s="1051">
        <v>0</v>
      </c>
    </row>
    <row r="1638" spans="2:4">
      <c r="B1638" s="6" t="s">
        <v>1031</v>
      </c>
      <c r="C1638" s="6">
        <v>874</v>
      </c>
      <c r="D1638" s="1051">
        <v>3.16697744764649E-2</v>
      </c>
    </row>
    <row r="1639" spans="2:4">
      <c r="B1639" s="6" t="s">
        <v>1031</v>
      </c>
      <c r="C1639" s="6">
        <v>875</v>
      </c>
      <c r="D1639" s="1051">
        <v>3.6602530899771707E-3</v>
      </c>
    </row>
    <row r="1640" spans="2:4">
      <c r="B1640" s="6" t="s">
        <v>1031</v>
      </c>
      <c r="C1640" s="6">
        <v>876</v>
      </c>
      <c r="D1640" s="1051">
        <v>0</v>
      </c>
    </row>
    <row r="1641" spans="2:4">
      <c r="B1641" s="6" t="s">
        <v>1031</v>
      </c>
      <c r="C1641" s="6">
        <v>878</v>
      </c>
      <c r="D1641" s="1051">
        <v>0</v>
      </c>
    </row>
    <row r="1642" spans="2:4">
      <c r="B1642" s="6" t="s">
        <v>1031</v>
      </c>
      <c r="C1642" s="6">
        <v>879</v>
      </c>
      <c r="D1642" s="1051">
        <v>0</v>
      </c>
    </row>
    <row r="1643" spans="2:4">
      <c r="B1643" s="6" t="s">
        <v>1031</v>
      </c>
      <c r="C1643" s="6">
        <v>880</v>
      </c>
      <c r="D1643" s="1051">
        <v>0.18712116398429549</v>
      </c>
    </row>
    <row r="1644" spans="2:4">
      <c r="B1644" s="6" t="s">
        <v>1031</v>
      </c>
      <c r="C1644" s="6">
        <v>881</v>
      </c>
      <c r="D1644" s="1051">
        <v>0</v>
      </c>
    </row>
    <row r="1645" spans="2:4">
      <c r="B1645" s="6" t="s">
        <v>1031</v>
      </c>
      <c r="C1645" s="6">
        <v>885</v>
      </c>
      <c r="D1645" s="1051">
        <v>0</v>
      </c>
    </row>
    <row r="1646" spans="2:4">
      <c r="B1646" s="6" t="s">
        <v>1031</v>
      </c>
      <c r="C1646" s="6">
        <v>886</v>
      </c>
      <c r="D1646" s="1051">
        <v>5.8229151412271633E-3</v>
      </c>
    </row>
    <row r="1647" spans="2:4">
      <c r="B1647" s="6" t="s">
        <v>1031</v>
      </c>
      <c r="C1647" s="6">
        <v>887</v>
      </c>
      <c r="D1647" s="1051">
        <v>2.7168335939924754E-2</v>
      </c>
    </row>
    <row r="1648" spans="2:4">
      <c r="B1648" s="6" t="s">
        <v>1031</v>
      </c>
      <c r="C1648" s="6">
        <v>889</v>
      </c>
      <c r="D1648" s="1051">
        <v>0</v>
      </c>
    </row>
    <row r="1649" spans="2:4">
      <c r="B1649" s="6" t="s">
        <v>1031</v>
      </c>
      <c r="C1649" s="6">
        <v>890</v>
      </c>
      <c r="D1649" s="1051">
        <v>0</v>
      </c>
    </row>
    <row r="1650" spans="2:4">
      <c r="B1650" s="6" t="s">
        <v>1031</v>
      </c>
      <c r="C1650" s="6">
        <v>892</v>
      </c>
      <c r="D1650" s="1051">
        <v>0</v>
      </c>
    </row>
    <row r="1651" spans="2:4">
      <c r="B1651" s="6" t="s">
        <v>1031</v>
      </c>
      <c r="C1651" s="6">
        <v>893</v>
      </c>
      <c r="D1651" s="1051">
        <v>0</v>
      </c>
    </row>
    <row r="1652" spans="2:4">
      <c r="B1652" s="6" t="s">
        <v>1031</v>
      </c>
      <c r="C1652" s="6">
        <v>894</v>
      </c>
      <c r="D1652" s="1051">
        <v>0</v>
      </c>
    </row>
    <row r="1653" spans="2:4">
      <c r="B1653" s="6" t="s">
        <v>1031</v>
      </c>
      <c r="C1653" s="6">
        <v>902</v>
      </c>
      <c r="D1653" s="1051">
        <v>0</v>
      </c>
    </row>
    <row r="1654" spans="2:4">
      <c r="B1654" s="6" t="s">
        <v>1031</v>
      </c>
      <c r="C1654" s="6">
        <v>903</v>
      </c>
      <c r="D1654" s="1051">
        <v>0</v>
      </c>
    </row>
    <row r="1655" spans="2:4">
      <c r="B1655" s="6" t="s">
        <v>1031</v>
      </c>
      <c r="C1655" s="6">
        <v>904</v>
      </c>
      <c r="D1655" s="1051">
        <v>0</v>
      </c>
    </row>
    <row r="1656" spans="2:4">
      <c r="B1656" s="6" t="s">
        <v>1031</v>
      </c>
      <c r="C1656" s="6">
        <v>905</v>
      </c>
      <c r="D1656" s="1051">
        <v>7.9725790619392493E-3</v>
      </c>
    </row>
    <row r="1657" spans="2:4">
      <c r="B1657" s="6" t="s">
        <v>1031</v>
      </c>
      <c r="C1657" s="6">
        <v>907</v>
      </c>
      <c r="D1657" s="1051">
        <v>0</v>
      </c>
    </row>
    <row r="1658" spans="2:4">
      <c r="B1658" s="6" t="s">
        <v>1031</v>
      </c>
      <c r="C1658" s="6">
        <v>908</v>
      </c>
      <c r="D1658" s="1051">
        <v>0</v>
      </c>
    </row>
    <row r="1659" spans="2:4">
      <c r="B1659" s="6" t="s">
        <v>1031</v>
      </c>
      <c r="C1659" s="6">
        <v>909</v>
      </c>
      <c r="D1659" s="1051">
        <v>0</v>
      </c>
    </row>
    <row r="1660" spans="2:4">
      <c r="B1660" s="6" t="s">
        <v>1031</v>
      </c>
      <c r="C1660" s="6">
        <v>910</v>
      </c>
      <c r="D1660" s="1051">
        <v>0</v>
      </c>
    </row>
    <row r="1661" spans="2:4">
      <c r="B1661" s="6" t="s">
        <v>1031</v>
      </c>
      <c r="C1661" s="6">
        <v>911</v>
      </c>
      <c r="D1661" s="1051">
        <v>0</v>
      </c>
    </row>
    <row r="1662" spans="2:4">
      <c r="B1662" s="6" t="s">
        <v>1031</v>
      </c>
      <c r="C1662" s="6">
        <v>912</v>
      </c>
      <c r="D1662" s="1051">
        <v>0</v>
      </c>
    </row>
    <row r="1663" spans="2:4">
      <c r="B1663" s="6" t="s">
        <v>1031</v>
      </c>
      <c r="C1663" s="6">
        <v>913</v>
      </c>
      <c r="D1663" s="1051">
        <v>0</v>
      </c>
    </row>
    <row r="1664" spans="2:4">
      <c r="B1664" s="6" t="s">
        <v>1031</v>
      </c>
      <c r="C1664" s="6">
        <v>920</v>
      </c>
      <c r="D1664" s="1051">
        <v>0</v>
      </c>
    </row>
    <row r="1665" spans="2:4">
      <c r="B1665" s="6" t="s">
        <v>1031</v>
      </c>
      <c r="C1665" s="6">
        <v>921</v>
      </c>
      <c r="D1665" s="1051">
        <v>0.73619501733212012</v>
      </c>
    </row>
    <row r="1666" spans="2:4">
      <c r="B1666" s="6" t="s">
        <v>1031</v>
      </c>
      <c r="C1666" s="6">
        <v>923</v>
      </c>
      <c r="D1666" s="1051">
        <v>3.4115828183478E-4</v>
      </c>
    </row>
    <row r="1667" spans="2:4">
      <c r="B1667" s="6" t="s">
        <v>1031</v>
      </c>
      <c r="C1667" s="6">
        <v>924</v>
      </c>
      <c r="D1667" s="1051">
        <v>0</v>
      </c>
    </row>
    <row r="1668" spans="2:4">
      <c r="B1668" s="6" t="s">
        <v>1031</v>
      </c>
      <c r="C1668" s="6">
        <v>925</v>
      </c>
      <c r="D1668" s="1051">
        <v>0</v>
      </c>
    </row>
    <row r="1669" spans="2:4">
      <c r="B1669" s="6" t="s">
        <v>1031</v>
      </c>
      <c r="C1669" s="6">
        <v>926</v>
      </c>
      <c r="D1669" s="1051">
        <v>0</v>
      </c>
    </row>
    <row r="1670" spans="2:4">
      <c r="B1670" s="6" t="s">
        <v>1031</v>
      </c>
      <c r="C1670" s="6">
        <v>928</v>
      </c>
      <c r="D1670" s="1051">
        <v>0</v>
      </c>
    </row>
    <row r="1671" spans="2:4">
      <c r="B1671" s="6" t="s">
        <v>1031</v>
      </c>
      <c r="C1671" s="6">
        <v>930</v>
      </c>
      <c r="D1671" s="1051">
        <v>0</v>
      </c>
    </row>
    <row r="1672" spans="2:4">
      <c r="B1672" s="6" t="s">
        <v>1031</v>
      </c>
      <c r="C1672" s="6">
        <v>931</v>
      </c>
      <c r="D1672" s="1051">
        <v>0</v>
      </c>
    </row>
    <row r="1673" spans="2:4">
      <c r="B1673" s="6" t="s">
        <v>1031</v>
      </c>
      <c r="C1673" s="6">
        <v>932</v>
      </c>
      <c r="D1673" s="1051">
        <v>0</v>
      </c>
    </row>
    <row r="1674" spans="2:4">
      <c r="B1674" s="6" t="s">
        <v>1031</v>
      </c>
      <c r="C1674" s="6">
        <v>935</v>
      </c>
      <c r="D1674" s="1051">
        <v>0</v>
      </c>
    </row>
  </sheetData>
  <mergeCells count="3">
    <mergeCell ref="E2:G2"/>
    <mergeCell ref="J2:Q2"/>
    <mergeCell ref="J3:Q3"/>
  </mergeCells>
  <hyperlinks>
    <hyperlink ref="C1" r:id="rId1" xr:uid="{A09C141E-93F5-4B12-95ED-266314C4CEFD}"/>
  </hyperlinks>
  <pageMargins left="0.7" right="0.7" top="0.75" bottom="0.75" header="0.3" footer="0.3"/>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AR31"/>
  <sheetViews>
    <sheetView zoomScaleNormal="100" zoomScaleSheetLayoutView="100" workbookViewId="0">
      <selection activeCell="A3" sqref="A3:J3"/>
    </sheetView>
  </sheetViews>
  <sheetFormatPr defaultColWidth="9.1640625" defaultRowHeight="12"/>
  <cols>
    <col min="1" max="1" width="5.1640625" style="209" bestFit="1" customWidth="1"/>
    <col min="2" max="2" width="8.1640625" style="209" customWidth="1"/>
    <col min="3" max="3" width="61" style="209" customWidth="1"/>
    <col min="4" max="9" width="15.5" style="209" customWidth="1"/>
    <col min="10" max="10" width="25.6640625" style="209" customWidth="1"/>
    <col min="11" max="44" width="9.1640625" style="948"/>
    <col min="45" max="16384" width="9.1640625" style="644"/>
  </cols>
  <sheetData>
    <row r="1" spans="1:44" s="133" customFormat="1">
      <c r="A1" s="1328" t="str">
        <f>'General Headers Index'!B4</f>
        <v>COLUMBIA GAS OF KENTUCKY, INC.</v>
      </c>
      <c r="B1" s="1328"/>
      <c r="C1" s="1328"/>
      <c r="D1" s="1328"/>
      <c r="E1" s="1328"/>
      <c r="F1" s="1328"/>
      <c r="G1" s="1328"/>
      <c r="H1" s="1328"/>
      <c r="I1" s="1328"/>
      <c r="J1" s="1328"/>
    </row>
    <row r="2" spans="1:44" s="133" customFormat="1">
      <c r="A2" s="1328" t="str">
        <f>'General Headers Index'!B6</f>
        <v>CASE NO. 2024 - 00092</v>
      </c>
      <c r="B2" s="1328"/>
      <c r="C2" s="1328"/>
      <c r="D2" s="1328"/>
      <c r="E2" s="1328"/>
      <c r="F2" s="1328"/>
      <c r="G2" s="1328"/>
      <c r="H2" s="1328"/>
      <c r="I2" s="1328"/>
      <c r="J2" s="1328"/>
    </row>
    <row r="3" spans="1:44" s="133" customFormat="1">
      <c r="A3" s="1328" t="str">
        <f>'Index D'!C24</f>
        <v>DETAILED ADJUSTMENTS</v>
      </c>
      <c r="B3" s="1328"/>
      <c r="C3" s="1328"/>
      <c r="D3" s="1328"/>
      <c r="E3" s="1328"/>
      <c r="F3" s="1328"/>
      <c r="G3" s="1328"/>
      <c r="H3" s="1328"/>
      <c r="I3" s="1328"/>
      <c r="J3" s="1328"/>
    </row>
    <row r="4" spans="1:44" s="133" customFormat="1">
      <c r="A4" s="1328" t="str">
        <f>'General Headers Index'!B22</f>
        <v>FOR THE TWELVE MONTHS ENDED AUGUST 31, 2024 AND THE TWELVE MONTHS ENDED DECEMBER 31, 2025</v>
      </c>
      <c r="B4" s="1328"/>
      <c r="C4" s="1328"/>
      <c r="D4" s="1328"/>
      <c r="E4" s="1328"/>
      <c r="F4" s="1328"/>
      <c r="G4" s="1328"/>
      <c r="H4" s="1328"/>
      <c r="I4" s="1328"/>
      <c r="J4" s="1328"/>
    </row>
    <row r="5" spans="1:44">
      <c r="A5" s="623"/>
      <c r="B5" s="133"/>
      <c r="C5" s="133"/>
      <c r="D5" s="133"/>
      <c r="E5" s="133"/>
      <c r="F5" s="133"/>
      <c r="G5" s="133"/>
      <c r="H5" s="133"/>
      <c r="I5" s="133"/>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row>
    <row r="6" spans="1:44">
      <c r="A6" s="625" t="s">
        <v>2834</v>
      </c>
      <c r="B6" s="133"/>
      <c r="C6" s="133"/>
      <c r="D6" s="133"/>
      <c r="E6" s="133"/>
      <c r="F6" s="133"/>
      <c r="G6" s="133"/>
      <c r="H6" s="133"/>
      <c r="I6" s="133"/>
      <c r="J6" s="645" t="s">
        <v>2985</v>
      </c>
      <c r="K6" s="644"/>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row>
    <row r="7" spans="1:44" s="209" customFormat="1">
      <c r="A7" s="625" t="str">
        <f>'General Headers Index'!B37</f>
        <v>TYPE OF FILING:___X___ORIGINAL______UPDATED</v>
      </c>
      <c r="B7" s="133"/>
      <c r="C7" s="133"/>
      <c r="J7" s="624" t="s">
        <v>50</v>
      </c>
    </row>
    <row r="8" spans="1:44" s="209" customFormat="1">
      <c r="A8" s="625" t="s">
        <v>58</v>
      </c>
      <c r="B8" s="133"/>
      <c r="C8" s="133"/>
      <c r="D8" s="647"/>
      <c r="E8" s="647"/>
      <c r="F8" s="647"/>
      <c r="G8" s="647"/>
      <c r="H8" s="647"/>
      <c r="I8" s="647"/>
      <c r="J8" s="624" t="str">
        <f>"WITNESS: "&amp;'General Headers Index'!B47</f>
        <v>WITNESS: WOZNIAK</v>
      </c>
    </row>
    <row r="9" spans="1:44" s="209" customFormat="1">
      <c r="A9" s="864"/>
      <c r="B9" s="862"/>
      <c r="C9" s="862"/>
      <c r="D9" s="865"/>
      <c r="E9" s="865"/>
      <c r="F9" s="865"/>
      <c r="G9" s="865"/>
      <c r="H9" s="865"/>
      <c r="I9" s="865"/>
      <c r="J9" s="866"/>
    </row>
    <row r="10" spans="1:44" s="209" customFormat="1">
      <c r="A10" s="266" t="s">
        <v>641</v>
      </c>
      <c r="D10" s="646" t="str">
        <f>+'C-2.2.A Total Co Accts Activ '!D10</f>
        <v>Actual</v>
      </c>
      <c r="E10" s="646" t="str">
        <f>+'C-2.2.A Total Co Accts Activ '!E10</f>
        <v>Actual</v>
      </c>
      <c r="F10" s="646" t="str">
        <f>+'C-2.2.A Total Co Accts Activ '!F10</f>
        <v>Actual</v>
      </c>
      <c r="G10" s="646" t="str">
        <f>+'C-2.2.A Total Co Accts Activ '!G10</f>
        <v>Actual</v>
      </c>
      <c r="H10" s="646" t="str">
        <f>+'C-2.2.A Total Co Accts Activ '!H10</f>
        <v>Actual</v>
      </c>
      <c r="I10" s="646" t="s">
        <v>648</v>
      </c>
      <c r="J10" s="646" t="s">
        <v>2430</v>
      </c>
    </row>
    <row r="11" spans="1:44" s="209" customFormat="1">
      <c r="A11" s="1040" t="s">
        <v>642</v>
      </c>
      <c r="B11" s="1041" t="s">
        <v>43</v>
      </c>
      <c r="C11" s="1041"/>
      <c r="D11" s="1042" t="str">
        <f>+'C-2.2.A Total Co Accts Activ '!D11</f>
        <v>SEP</v>
      </c>
      <c r="E11" s="1042" t="str">
        <f>+'C-2.2.A Total Co Accts Activ '!E11</f>
        <v>OCT</v>
      </c>
      <c r="F11" s="1042" t="str">
        <f>+'C-2.2.A Total Co Accts Activ '!F11</f>
        <v>NOV</v>
      </c>
      <c r="G11" s="1042" t="str">
        <f>+'C-2.2.A Total Co Accts Activ '!G11</f>
        <v>DEC</v>
      </c>
      <c r="H11" s="1042" t="str">
        <f>+'C-2.2.A Total Co Accts Activ '!H11</f>
        <v>JAN</v>
      </c>
      <c r="I11" s="1042" t="s">
        <v>891</v>
      </c>
      <c r="J11" s="1042" t="s">
        <v>349</v>
      </c>
    </row>
    <row r="12" spans="1:44" s="209" customFormat="1">
      <c r="A12" s="266"/>
      <c r="B12" s="648"/>
      <c r="C12" s="648"/>
      <c r="D12" s="649" t="s">
        <v>532</v>
      </c>
      <c r="E12" s="649" t="s">
        <v>541</v>
      </c>
      <c r="F12" s="649" t="s">
        <v>542</v>
      </c>
      <c r="G12" s="649" t="s">
        <v>668</v>
      </c>
      <c r="H12" s="649" t="s">
        <v>669</v>
      </c>
      <c r="I12" s="649" t="s">
        <v>670</v>
      </c>
      <c r="J12" s="649" t="s">
        <v>2431</v>
      </c>
    </row>
    <row r="13" spans="1:44" s="209" customFormat="1">
      <c r="A13" s="266"/>
      <c r="B13" s="648"/>
      <c r="C13" s="648"/>
      <c r="D13" s="537" t="s">
        <v>320</v>
      </c>
      <c r="E13" s="537" t="s">
        <v>320</v>
      </c>
      <c r="F13" s="537" t="s">
        <v>320</v>
      </c>
      <c r="G13" s="537" t="s">
        <v>320</v>
      </c>
      <c r="H13" s="537" t="s">
        <v>320</v>
      </c>
      <c r="I13" s="537" t="s">
        <v>320</v>
      </c>
      <c r="J13" s="537" t="s">
        <v>320</v>
      </c>
    </row>
    <row r="14" spans="1:44" s="209" customFormat="1">
      <c r="A14" s="266"/>
      <c r="B14" s="659" t="s">
        <v>761</v>
      </c>
      <c r="C14" s="659"/>
      <c r="D14" s="647"/>
      <c r="E14" s="647"/>
      <c r="F14" s="647"/>
      <c r="G14" s="647"/>
      <c r="H14" s="647"/>
      <c r="I14" s="647"/>
      <c r="J14" s="647"/>
    </row>
    <row r="15" spans="1:44" s="209" customFormat="1">
      <c r="A15" s="266"/>
      <c r="B15" s="214" t="s">
        <v>964</v>
      </c>
      <c r="C15" s="214"/>
      <c r="D15" s="647"/>
      <c r="E15" s="647"/>
      <c r="F15" s="647"/>
      <c r="G15" s="647"/>
      <c r="H15" s="647"/>
      <c r="I15" s="647"/>
      <c r="J15" s="647"/>
    </row>
    <row r="16" spans="1:44" s="209" customFormat="1">
      <c r="A16" s="651">
        <v>1</v>
      </c>
      <c r="B16" s="214" t="s">
        <v>1802</v>
      </c>
      <c r="C16" s="133" t="s">
        <v>2432</v>
      </c>
      <c r="D16" s="1216">
        <v>13685.269999999999</v>
      </c>
      <c r="E16" s="1216">
        <v>20541.129999999997</v>
      </c>
      <c r="F16" s="1216">
        <v>57205.18</v>
      </c>
      <c r="G16" s="1216">
        <v>134221.16</v>
      </c>
      <c r="H16" s="1216">
        <v>864861.24</v>
      </c>
      <c r="I16" s="1216">
        <v>765995.86</v>
      </c>
      <c r="J16" s="1216">
        <f>SUM(D16:I16)</f>
        <v>1856509.8399999999</v>
      </c>
    </row>
    <row r="17" spans="1:44" s="209" customFormat="1">
      <c r="A17" s="651">
        <f>+A16+1</f>
        <v>2</v>
      </c>
      <c r="B17" s="214" t="s">
        <v>1803</v>
      </c>
      <c r="C17" s="133" t="s">
        <v>2433</v>
      </c>
      <c r="D17" s="1216">
        <v>12469.240000000002</v>
      </c>
      <c r="E17" s="1216">
        <v>14795.559999999998</v>
      </c>
      <c r="F17" s="1216">
        <v>26493.480000000003</v>
      </c>
      <c r="G17" s="1216">
        <v>54627.520000000004</v>
      </c>
      <c r="H17" s="1216">
        <v>349835.32</v>
      </c>
      <c r="I17" s="1216">
        <v>303209.36</v>
      </c>
      <c r="J17" s="1216">
        <f>SUM(D17:I17)</f>
        <v>761430.48</v>
      </c>
    </row>
    <row r="18" spans="1:44" s="209" customFormat="1">
      <c r="A18" s="651">
        <f>+A17+1</f>
        <v>3</v>
      </c>
      <c r="B18" s="214" t="s">
        <v>1804</v>
      </c>
      <c r="C18" s="133" t="s">
        <v>2434</v>
      </c>
      <c r="D18" s="1216">
        <v>138.01</v>
      </c>
      <c r="E18" s="1216">
        <v>894.18999999999994</v>
      </c>
      <c r="F18" s="1216">
        <v>1717.2100000000003</v>
      </c>
      <c r="G18" s="1216">
        <v>-2049.8900000000003</v>
      </c>
      <c r="H18" s="1216">
        <v>2550.46</v>
      </c>
      <c r="I18" s="1216">
        <v>-556.17000000000007</v>
      </c>
      <c r="J18" s="1216">
        <f>SUM(D18:I18)</f>
        <v>2693.8099999999995</v>
      </c>
    </row>
    <row r="19" spans="1:44" s="209" customFormat="1">
      <c r="A19" s="651">
        <f>+A18+1</f>
        <v>4</v>
      </c>
      <c r="B19" s="214" t="s">
        <v>1805</v>
      </c>
      <c r="C19" s="133" t="s">
        <v>2435</v>
      </c>
      <c r="D19" s="1216">
        <v>0</v>
      </c>
      <c r="E19" s="1216">
        <v>0</v>
      </c>
      <c r="F19" s="1216">
        <v>0</v>
      </c>
      <c r="G19" s="1216">
        <v>0</v>
      </c>
      <c r="H19" s="1216">
        <v>0</v>
      </c>
      <c r="I19" s="1216">
        <v>0</v>
      </c>
      <c r="J19" s="1216">
        <f>SUM(D19:I19)</f>
        <v>0</v>
      </c>
    </row>
    <row r="20" spans="1:44" s="209" customFormat="1">
      <c r="A20" s="651">
        <f>+A19+1</f>
        <v>5</v>
      </c>
      <c r="B20" s="214" t="s">
        <v>1806</v>
      </c>
      <c r="C20" s="133" t="s">
        <v>2436</v>
      </c>
      <c r="D20" s="1217">
        <v>0.39999999999999858</v>
      </c>
      <c r="E20" s="1217">
        <v>5.6999999999999993</v>
      </c>
      <c r="F20" s="1217">
        <v>28.320000000000004</v>
      </c>
      <c r="G20" s="1217">
        <v>14.549999999999997</v>
      </c>
      <c r="H20" s="1217">
        <v>311.52</v>
      </c>
      <c r="I20" s="1217">
        <v>-34.19</v>
      </c>
      <c r="J20" s="1217">
        <f>SUM(D20:I20)</f>
        <v>326.3</v>
      </c>
    </row>
    <row r="21" spans="1:44" s="209" customFormat="1">
      <c r="A21" s="651">
        <f>+A20+1</f>
        <v>6</v>
      </c>
      <c r="B21" s="214" t="s">
        <v>965</v>
      </c>
      <c r="C21" s="133"/>
      <c r="D21" s="1216">
        <f t="shared" ref="D21:I21" si="0">SUM(D16:D20)</f>
        <v>26292.920000000002</v>
      </c>
      <c r="E21" s="1216">
        <f t="shared" si="0"/>
        <v>36236.579999999994</v>
      </c>
      <c r="F21" s="1216">
        <f t="shared" si="0"/>
        <v>85444.190000000017</v>
      </c>
      <c r="G21" s="1216">
        <f t="shared" si="0"/>
        <v>186813.33999999997</v>
      </c>
      <c r="H21" s="1216">
        <f t="shared" si="0"/>
        <v>1217558.54</v>
      </c>
      <c r="I21" s="1216">
        <f t="shared" si="0"/>
        <v>1068614.8600000001</v>
      </c>
      <c r="J21" s="1216">
        <f>SUM(J16:J20)</f>
        <v>2620960.4299999997</v>
      </c>
    </row>
    <row r="22" spans="1:44">
      <c r="D22" s="1216"/>
      <c r="E22" s="1216"/>
      <c r="F22" s="1216"/>
      <c r="G22" s="1216"/>
      <c r="H22" s="1216"/>
      <c r="I22" s="1216"/>
      <c r="J22" s="1216"/>
      <c r="K22" s="644"/>
      <c r="L22" s="644"/>
      <c r="M22" s="644"/>
      <c r="N22" s="644"/>
      <c r="O22" s="644"/>
      <c r="P22" s="644"/>
      <c r="Q22" s="644"/>
      <c r="R22" s="644"/>
      <c r="S22" s="644"/>
      <c r="T22" s="644"/>
      <c r="U22" s="644"/>
      <c r="V22" s="644"/>
      <c r="W22" s="644"/>
      <c r="X22" s="644"/>
      <c r="Y22" s="644"/>
      <c r="Z22" s="644"/>
      <c r="AA22" s="644"/>
      <c r="AB22" s="644"/>
      <c r="AC22" s="644"/>
      <c r="AD22" s="644"/>
      <c r="AE22" s="644"/>
      <c r="AF22" s="644"/>
      <c r="AG22" s="644"/>
      <c r="AH22" s="644"/>
      <c r="AI22" s="644"/>
      <c r="AJ22" s="644"/>
      <c r="AK22" s="644"/>
      <c r="AL22" s="644"/>
      <c r="AM22" s="644"/>
      <c r="AN22" s="644"/>
      <c r="AO22" s="644"/>
      <c r="AP22" s="644"/>
      <c r="AQ22" s="644"/>
      <c r="AR22" s="644"/>
    </row>
    <row r="23" spans="1:44">
      <c r="A23" s="205">
        <f>A21+1</f>
        <v>7</v>
      </c>
      <c r="B23" s="214" t="s">
        <v>966</v>
      </c>
      <c r="C23" s="133"/>
      <c r="D23" s="1216"/>
      <c r="E23" s="1216"/>
      <c r="F23" s="1216"/>
      <c r="G23" s="1216"/>
      <c r="H23" s="1216"/>
      <c r="I23" s="1216"/>
      <c r="J23" s="1216"/>
      <c r="K23" s="644"/>
      <c r="L23" s="644"/>
      <c r="M23" s="644"/>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44"/>
      <c r="AQ23" s="644"/>
      <c r="AR23" s="644"/>
    </row>
    <row r="24" spans="1:44" ht="24">
      <c r="A24" s="205">
        <f>+A23+1</f>
        <v>8</v>
      </c>
      <c r="B24" s="214" t="s">
        <v>1810</v>
      </c>
      <c r="C24" s="658" t="s">
        <v>2437</v>
      </c>
      <c r="D24" s="1217">
        <v>9030.1399999999976</v>
      </c>
      <c r="E24" s="1217">
        <v>11569.3</v>
      </c>
      <c r="F24" s="1217">
        <v>13441.110000000002</v>
      </c>
      <c r="G24" s="1217">
        <v>13799.28</v>
      </c>
      <c r="H24" s="1217">
        <v>77210.490000000005</v>
      </c>
      <c r="I24" s="1217">
        <v>67860.91</v>
      </c>
      <c r="J24" s="1217">
        <f>SUM(D24:I24)</f>
        <v>192911.23</v>
      </c>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row>
    <row r="25" spans="1:44">
      <c r="A25" s="205">
        <f>+A24+1</f>
        <v>9</v>
      </c>
      <c r="B25" s="214" t="s">
        <v>775</v>
      </c>
      <c r="C25" s="133"/>
      <c r="D25" s="1216">
        <f t="shared" ref="D25:I25" si="1">SUM(D24)</f>
        <v>9030.1399999999976</v>
      </c>
      <c r="E25" s="1216">
        <f t="shared" si="1"/>
        <v>11569.3</v>
      </c>
      <c r="F25" s="1216">
        <f t="shared" si="1"/>
        <v>13441.110000000002</v>
      </c>
      <c r="G25" s="1216">
        <f t="shared" si="1"/>
        <v>13799.28</v>
      </c>
      <c r="H25" s="1216">
        <f t="shared" si="1"/>
        <v>77210.490000000005</v>
      </c>
      <c r="I25" s="1216">
        <f t="shared" si="1"/>
        <v>67860.91</v>
      </c>
      <c r="J25" s="1216">
        <f>SUM(J24)</f>
        <v>192911.23</v>
      </c>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644"/>
      <c r="AK25" s="644"/>
      <c r="AL25" s="644"/>
      <c r="AM25" s="644"/>
      <c r="AN25" s="644"/>
      <c r="AO25" s="644"/>
      <c r="AP25" s="644"/>
      <c r="AQ25" s="644"/>
      <c r="AR25" s="644"/>
    </row>
    <row r="26" spans="1:44">
      <c r="A26" s="205"/>
      <c r="B26" s="660"/>
      <c r="C26" s="133"/>
      <c r="D26" s="1216"/>
      <c r="E26" s="1216"/>
      <c r="F26" s="1216"/>
      <c r="G26" s="1216"/>
      <c r="H26" s="1216"/>
      <c r="I26" s="1216"/>
      <c r="J26" s="1216"/>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row>
    <row r="27" spans="1:44">
      <c r="A27" s="205">
        <f>A25+1</f>
        <v>10</v>
      </c>
      <c r="B27" s="214" t="s">
        <v>967</v>
      </c>
      <c r="C27" s="133"/>
      <c r="D27" s="1216">
        <f t="shared" ref="D27:J27" si="2">+D21+D25</f>
        <v>35323.06</v>
      </c>
      <c r="E27" s="1216">
        <f t="shared" si="2"/>
        <v>47805.87999999999</v>
      </c>
      <c r="F27" s="1216">
        <f t="shared" si="2"/>
        <v>98885.300000000017</v>
      </c>
      <c r="G27" s="1216">
        <f t="shared" si="2"/>
        <v>200612.61999999997</v>
      </c>
      <c r="H27" s="1216">
        <f t="shared" si="2"/>
        <v>1294769.03</v>
      </c>
      <c r="I27" s="1216">
        <f t="shared" si="2"/>
        <v>1136475.77</v>
      </c>
      <c r="J27" s="1216">
        <f t="shared" si="2"/>
        <v>2813871.6599999997</v>
      </c>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row>
    <row r="28" spans="1: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row>
    <row r="29" spans="1: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row>
    <row r="30" spans="1: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row>
    <row r="31" spans="1: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row>
  </sheetData>
  <mergeCells count="4">
    <mergeCell ref="A1:J1"/>
    <mergeCell ref="A2:J2"/>
    <mergeCell ref="A3:J3"/>
    <mergeCell ref="A4:J4"/>
  </mergeCells>
  <printOptions horizontalCentered="1"/>
  <pageMargins left="0.5" right="0.5" top="0.75" bottom="0.5" header="0.3" footer="0.3"/>
  <pageSetup scale="8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AY295"/>
  <sheetViews>
    <sheetView zoomScaleNormal="100" zoomScaleSheetLayoutView="100" workbookViewId="0">
      <selection activeCell="A3" sqref="A3:U3"/>
    </sheetView>
  </sheetViews>
  <sheetFormatPr defaultColWidth="8.33203125" defaultRowHeight="12"/>
  <cols>
    <col min="1" max="11" width="8.33203125" style="133"/>
    <col min="12" max="12" width="6.33203125" style="133" customWidth="1"/>
    <col min="13" max="14" width="8.33203125" style="133" hidden="1" customWidth="1"/>
    <col min="15" max="15" width="30.83203125" style="133" customWidth="1"/>
    <col min="16" max="16" width="14.33203125" style="133" customWidth="1"/>
    <col min="17" max="17" width="5" style="133" customWidth="1"/>
    <col min="18" max="18" width="13.5" style="133" customWidth="1"/>
    <col min="19" max="19" width="11.5" style="133" customWidth="1"/>
    <col min="20" max="20" width="10" style="133" customWidth="1"/>
    <col min="21" max="21" width="15.6640625" style="133" customWidth="1"/>
    <col min="22" max="22" width="8.33203125" style="133"/>
    <col min="23" max="23" width="14.6640625" style="133" bestFit="1" customWidth="1"/>
    <col min="24" max="24" width="13.33203125" style="133" bestFit="1" customWidth="1"/>
    <col min="25" max="25" width="11.6640625" style="133" customWidth="1"/>
    <col min="26" max="28" width="8.33203125" style="133"/>
    <col min="29" max="29" width="9.1640625" style="133" customWidth="1"/>
    <col min="30" max="30" width="10" style="133" customWidth="1"/>
    <col min="31" max="16384" width="8.33203125" style="133"/>
  </cols>
  <sheetData>
    <row r="1" spans="1:34"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c r="S1" s="1328"/>
      <c r="T1" s="1328"/>
      <c r="U1" s="1328"/>
    </row>
    <row r="2" spans="1:34"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c r="S2" s="1328"/>
      <c r="T2" s="1328"/>
      <c r="U2" s="1328"/>
    </row>
    <row r="3" spans="1:34" ht="12.75" customHeight="1">
      <c r="A3" s="1328" t="str">
        <f>'Index D'!C25</f>
        <v>DETAILED ADJUSTMENTS</v>
      </c>
      <c r="B3" s="1328"/>
      <c r="C3" s="1328"/>
      <c r="D3" s="1328"/>
      <c r="E3" s="1328"/>
      <c r="F3" s="1328"/>
      <c r="G3" s="1328"/>
      <c r="H3" s="1328"/>
      <c r="I3" s="1328"/>
      <c r="J3" s="1328"/>
      <c r="K3" s="1328"/>
      <c r="L3" s="1328"/>
      <c r="M3" s="1328"/>
      <c r="N3" s="1328"/>
      <c r="O3" s="1328"/>
      <c r="P3" s="1328"/>
      <c r="Q3" s="1328"/>
      <c r="R3" s="1328"/>
      <c r="S3" s="1328"/>
      <c r="T3" s="1328"/>
      <c r="U3" s="1328"/>
    </row>
    <row r="4" spans="1:34" ht="12.75" customHeigh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c r="P4" s="1328"/>
      <c r="Q4" s="1328"/>
      <c r="R4" s="1328"/>
      <c r="S4" s="1328"/>
      <c r="T4" s="1328"/>
      <c r="U4" s="1328"/>
    </row>
    <row r="5" spans="1:34">
      <c r="C5" s="623"/>
      <c r="J5" s="622"/>
    </row>
    <row r="6" spans="1:34">
      <c r="A6" s="625" t="s">
        <v>2834</v>
      </c>
      <c r="U6" s="624" t="s">
        <v>48</v>
      </c>
    </row>
    <row r="7" spans="1:34">
      <c r="A7" s="625" t="str">
        <f>'General Headers Index'!B37</f>
        <v>TYPE OF FILING:___X___ORIGINAL______UPDATED</v>
      </c>
      <c r="U7" s="624" t="s">
        <v>50</v>
      </c>
    </row>
    <row r="8" spans="1:34">
      <c r="A8" s="625" t="s">
        <v>58</v>
      </c>
      <c r="U8" s="624" t="str">
        <f>"WITNESS: "&amp;'General Headers Index'!B48</f>
        <v>WITNESS: INSCHO</v>
      </c>
    </row>
    <row r="9" spans="1:34">
      <c r="A9" s="623"/>
      <c r="C9" s="623"/>
      <c r="H9" s="623"/>
      <c r="J9" s="623"/>
      <c r="L9" s="623"/>
    </row>
    <row r="10" spans="1:34">
      <c r="A10" s="626"/>
      <c r="B10" s="626"/>
      <c r="C10" s="626"/>
      <c r="D10" s="626"/>
      <c r="E10" s="626"/>
      <c r="F10" s="626"/>
      <c r="G10" s="626"/>
      <c r="H10" s="626"/>
      <c r="I10" s="626"/>
      <c r="J10" s="626"/>
      <c r="K10" s="626"/>
      <c r="L10" s="626"/>
      <c r="M10" s="626"/>
      <c r="N10" s="626"/>
      <c r="O10" s="627"/>
      <c r="P10" s="1330" t="s">
        <v>42</v>
      </c>
      <c r="Q10" s="1330"/>
      <c r="R10" s="1330"/>
      <c r="S10" s="626"/>
      <c r="T10" s="626"/>
      <c r="U10" s="626"/>
    </row>
    <row r="11" spans="1:34">
      <c r="A11" s="1038" t="s">
        <v>43</v>
      </c>
      <c r="B11" s="1031"/>
      <c r="C11" s="1039"/>
      <c r="D11" s="1031"/>
      <c r="E11" s="1031"/>
      <c r="F11" s="1031"/>
      <c r="G11" s="1031"/>
      <c r="H11" s="1031"/>
      <c r="I11" s="1031"/>
      <c r="J11" s="1031"/>
      <c r="K11" s="1031"/>
      <c r="L11" s="1031"/>
      <c r="M11" s="1031"/>
      <c r="N11" s="1031"/>
      <c r="O11" s="1029"/>
      <c r="P11" s="1329" t="s">
        <v>2351</v>
      </c>
      <c r="Q11" s="1329"/>
      <c r="R11" s="1329"/>
      <c r="S11" s="1031"/>
      <c r="T11" s="1031"/>
      <c r="U11" s="1029" t="s">
        <v>45</v>
      </c>
    </row>
    <row r="13" spans="1:34">
      <c r="A13" s="630" t="s">
        <v>960</v>
      </c>
    </row>
    <row r="14" spans="1:34" ht="11.45" customHeight="1">
      <c r="A14" s="1331" t="s">
        <v>2350</v>
      </c>
      <c r="B14" s="1331"/>
      <c r="C14" s="1331"/>
      <c r="D14" s="1331"/>
      <c r="E14" s="1331"/>
      <c r="F14" s="1331"/>
      <c r="G14" s="1331"/>
      <c r="H14" s="1331"/>
      <c r="I14" s="1331"/>
      <c r="J14" s="1331"/>
      <c r="K14" s="1331"/>
      <c r="L14" s="1331"/>
      <c r="M14" s="1331"/>
      <c r="N14" s="1331"/>
      <c r="O14" s="1331"/>
      <c r="P14" s="658"/>
      <c r="Q14" s="205" t="str">
        <f>'D-1.A (BP IS Adj Summary)'!$P$7</f>
        <v>SCHEDULE D-1.A</v>
      </c>
      <c r="R14" s="658"/>
      <c r="S14" s="625" t="s">
        <v>2352</v>
      </c>
      <c r="U14" s="629">
        <v>0</v>
      </c>
      <c r="Y14" s="631"/>
      <c r="AA14" s="631"/>
      <c r="AB14" s="631"/>
      <c r="AC14" s="631"/>
      <c r="AD14" s="631"/>
      <c r="AE14" s="631"/>
      <c r="AF14" s="631"/>
      <c r="AG14" s="631"/>
      <c r="AH14" s="631"/>
    </row>
    <row r="15" spans="1:34">
      <c r="A15" s="1331"/>
      <c r="B15" s="1331"/>
      <c r="C15" s="1331"/>
      <c r="D15" s="1331"/>
      <c r="E15" s="1331"/>
      <c r="F15" s="1331"/>
      <c r="G15" s="1331"/>
      <c r="H15" s="1331"/>
      <c r="I15" s="1331"/>
      <c r="J15" s="1331"/>
      <c r="K15" s="1331"/>
      <c r="L15" s="1331"/>
      <c r="M15" s="1331"/>
      <c r="N15" s="1331"/>
      <c r="O15" s="1331"/>
      <c r="P15" s="658"/>
      <c r="Q15" s="205" t="str">
        <f>'D-1.A (BP IS Adj Summary)'!$P$7</f>
        <v>SCHEDULE D-1.A</v>
      </c>
      <c r="R15" s="658"/>
      <c r="S15" s="625" t="s">
        <v>3074</v>
      </c>
      <c r="U15" s="631">
        <f>'D-1.A (BP IS Adj Summary)'!D66</f>
        <v>10.0300000000002</v>
      </c>
      <c r="Y15" s="631"/>
      <c r="AA15" s="631"/>
      <c r="AB15" s="631"/>
      <c r="AC15" s="631"/>
      <c r="AD15" s="631"/>
      <c r="AE15" s="631"/>
      <c r="AF15" s="631"/>
      <c r="AG15" s="631"/>
      <c r="AH15" s="631"/>
    </row>
    <row r="16" spans="1:34">
      <c r="A16" s="1331"/>
      <c r="B16" s="1331"/>
      <c r="C16" s="1331"/>
      <c r="D16" s="1331"/>
      <c r="E16" s="1331"/>
      <c r="F16" s="1331"/>
      <c r="G16" s="1331"/>
      <c r="H16" s="1331"/>
      <c r="I16" s="1331"/>
      <c r="J16" s="1331"/>
      <c r="K16" s="1331"/>
      <c r="L16" s="1331"/>
      <c r="M16" s="1331"/>
      <c r="N16" s="1331"/>
      <c r="O16" s="1331"/>
      <c r="P16" s="658"/>
      <c r="Q16" s="658"/>
      <c r="R16" s="658"/>
      <c r="S16" s="625" t="s">
        <v>433</v>
      </c>
      <c r="U16" s="640">
        <f>U14-U15</f>
        <v>-10.0300000000002</v>
      </c>
      <c r="Y16" s="631"/>
      <c r="Z16" s="631"/>
      <c r="AA16" s="631"/>
      <c r="AB16" s="631"/>
      <c r="AC16" s="631"/>
      <c r="AD16" s="631"/>
      <c r="AE16" s="631"/>
      <c r="AF16" s="631"/>
      <c r="AG16" s="631"/>
      <c r="AH16" s="631"/>
    </row>
    <row r="17" spans="1:30">
      <c r="A17" s="1331"/>
      <c r="B17" s="1331"/>
      <c r="C17" s="1331"/>
      <c r="D17" s="1331"/>
      <c r="E17" s="1331"/>
      <c r="F17" s="1331"/>
      <c r="G17" s="1331"/>
      <c r="H17" s="1331"/>
      <c r="I17" s="1331"/>
      <c r="J17" s="1331"/>
      <c r="K17" s="1331"/>
      <c r="L17" s="1331"/>
      <c r="M17" s="1331"/>
      <c r="N17" s="1331"/>
      <c r="O17" s="1331"/>
      <c r="P17" s="658"/>
      <c r="Q17" s="658"/>
      <c r="R17" s="658"/>
      <c r="U17" s="641">
        <f>IFERROR(ROUND(U16/U15,4),0)</f>
        <v>-1</v>
      </c>
      <c r="AD17" s="642"/>
    </row>
    <row r="18" spans="1:30">
      <c r="A18" s="639"/>
      <c r="B18" s="639"/>
      <c r="C18" s="639"/>
      <c r="D18" s="639"/>
      <c r="E18" s="639"/>
      <c r="F18" s="639"/>
      <c r="G18" s="639"/>
      <c r="H18" s="639"/>
      <c r="I18" s="639"/>
      <c r="J18" s="639"/>
      <c r="K18" s="639"/>
      <c r="L18" s="639"/>
      <c r="M18" s="639"/>
      <c r="N18" s="639"/>
      <c r="O18" s="639"/>
      <c r="P18" s="658"/>
      <c r="Q18" s="658"/>
      <c r="R18" s="658"/>
      <c r="S18" s="658"/>
      <c r="X18" s="641"/>
      <c r="AD18" s="642"/>
    </row>
    <row r="19" spans="1:30">
      <c r="A19" s="630" t="s">
        <v>961</v>
      </c>
    </row>
    <row r="20" spans="1:30">
      <c r="A20" s="1332" t="s">
        <v>2353</v>
      </c>
      <c r="B20" s="1332"/>
      <c r="C20" s="1332"/>
      <c r="D20" s="1332"/>
      <c r="E20" s="1332"/>
      <c r="F20" s="1332"/>
      <c r="G20" s="1332"/>
      <c r="H20" s="1332"/>
      <c r="I20" s="1332"/>
      <c r="J20" s="1332"/>
      <c r="K20" s="1332"/>
      <c r="L20" s="1332"/>
      <c r="M20" s="1332"/>
      <c r="N20" s="1332"/>
      <c r="O20" s="1332"/>
      <c r="Q20" s="205" t="str">
        <f>_xlfn.CONCAT("Workpaper ",'WPB-2.1.B Summary'!N6)</f>
        <v>Workpaper WPB-2.1.B</v>
      </c>
      <c r="S20" s="625" t="s">
        <v>2352</v>
      </c>
      <c r="U20" s="629">
        <f>'WPB-2.1.B Summary'!I57</f>
        <v>21467696.683611367</v>
      </c>
      <c r="W20" s="629"/>
      <c r="X20" s="631"/>
      <c r="Y20" s="629"/>
    </row>
    <row r="21" spans="1:30">
      <c r="A21" s="1332"/>
      <c r="B21" s="1332"/>
      <c r="C21" s="1332"/>
      <c r="D21" s="1332"/>
      <c r="E21" s="1332"/>
      <c r="F21" s="1332"/>
      <c r="G21" s="1332"/>
      <c r="H21" s="1332"/>
      <c r="I21" s="1332"/>
      <c r="J21" s="1332"/>
      <c r="K21" s="1332"/>
      <c r="L21" s="1332"/>
      <c r="M21" s="1332"/>
      <c r="N21" s="1332"/>
      <c r="O21" s="1332"/>
      <c r="Q21" s="205" t="str">
        <f>Q15</f>
        <v>SCHEDULE D-1.A</v>
      </c>
      <c r="S21" s="625" t="str">
        <f>$S$15</f>
        <v>BASE-UNADJUSTED</v>
      </c>
      <c r="U21" s="631">
        <f>'D-1.A (BP IS Adj Summary)'!D135</f>
        <v>22462921.900000002</v>
      </c>
      <c r="W21" s="629"/>
      <c r="X21" s="631"/>
      <c r="Y21" s="629"/>
    </row>
    <row r="22" spans="1:30">
      <c r="A22" s="1332"/>
      <c r="B22" s="1332"/>
      <c r="C22" s="1332"/>
      <c r="D22" s="1332"/>
      <c r="E22" s="1332"/>
      <c r="F22" s="1332"/>
      <c r="G22" s="1332"/>
      <c r="H22" s="1332"/>
      <c r="I22" s="1332"/>
      <c r="J22" s="1332"/>
      <c r="K22" s="1332"/>
      <c r="L22" s="1332"/>
      <c r="M22" s="1332"/>
      <c r="N22" s="1332"/>
      <c r="O22" s="1332"/>
      <c r="S22" s="625" t="s">
        <v>433</v>
      </c>
      <c r="U22" s="640">
        <f>U20-U21</f>
        <v>-995225.21638863534</v>
      </c>
      <c r="W22" s="629"/>
      <c r="X22" s="631"/>
      <c r="Y22" s="629"/>
    </row>
    <row r="23" spans="1:30">
      <c r="A23" s="1332"/>
      <c r="B23" s="1332"/>
      <c r="C23" s="1332"/>
      <c r="D23" s="1332"/>
      <c r="E23" s="1332"/>
      <c r="F23" s="1332"/>
      <c r="G23" s="1332"/>
      <c r="H23" s="1332"/>
      <c r="I23" s="1332"/>
      <c r="J23" s="1332"/>
      <c r="K23" s="1332"/>
      <c r="L23" s="1332"/>
      <c r="M23" s="1332"/>
      <c r="N23" s="1332"/>
      <c r="O23" s="1332"/>
      <c r="U23" s="641">
        <f>IFERROR(ROUND(U22/U21,4),0)</f>
        <v>-4.4299999999999999E-2</v>
      </c>
    </row>
    <row r="24" spans="1:30">
      <c r="U24" s="629"/>
    </row>
    <row r="25" spans="1:30">
      <c r="A25" s="630" t="s">
        <v>962</v>
      </c>
    </row>
    <row r="26" spans="1:30">
      <c r="A26" s="1331" t="s">
        <v>2354</v>
      </c>
      <c r="B26" s="1331"/>
      <c r="C26" s="1331"/>
      <c r="D26" s="1331"/>
      <c r="E26" s="1331"/>
      <c r="F26" s="1331"/>
      <c r="G26" s="1331"/>
      <c r="H26" s="1331"/>
      <c r="I26" s="1331"/>
      <c r="J26" s="1331"/>
      <c r="K26" s="1331"/>
      <c r="L26" s="1331"/>
      <c r="M26" s="1331"/>
      <c r="N26" s="1331"/>
      <c r="O26" s="1331"/>
      <c r="S26" s="625" t="s">
        <v>2352</v>
      </c>
      <c r="U26" s="629">
        <f>U27+U28</f>
        <v>5007996.589045343</v>
      </c>
    </row>
    <row r="27" spans="1:30">
      <c r="A27" s="1331"/>
      <c r="B27" s="1331"/>
      <c r="C27" s="1331"/>
      <c r="D27" s="1331"/>
      <c r="E27" s="1331"/>
      <c r="F27" s="1331"/>
      <c r="G27" s="1331"/>
      <c r="H27" s="1331"/>
      <c r="I27" s="1331"/>
      <c r="J27" s="1331"/>
      <c r="K27" s="1331"/>
      <c r="L27" s="1331"/>
      <c r="M27" s="1331"/>
      <c r="N27" s="1331"/>
      <c r="O27" s="1331"/>
      <c r="Q27" s="205" t="str">
        <f>Q15</f>
        <v>SCHEDULE D-1.A</v>
      </c>
      <c r="S27" s="625" t="str">
        <f>$S$15</f>
        <v>BASE-UNADJUSTED</v>
      </c>
      <c r="U27" s="631">
        <f>'D-1.A (BP IS Adj Summary)'!D137</f>
        <v>5687907.7400000002</v>
      </c>
    </row>
    <row r="28" spans="1:30">
      <c r="A28" s="1331"/>
      <c r="B28" s="1331"/>
      <c r="C28" s="1331"/>
      <c r="D28" s="1331"/>
      <c r="E28" s="1331"/>
      <c r="F28" s="1331"/>
      <c r="G28" s="1331"/>
      <c r="H28" s="1331"/>
      <c r="I28" s="1331"/>
      <c r="J28" s="1331"/>
      <c r="K28" s="1331"/>
      <c r="L28" s="1331"/>
      <c r="M28" s="1331"/>
      <c r="N28" s="1331"/>
      <c r="O28" s="1331"/>
      <c r="Q28" s="205" t="str">
        <f>'WPD-2.2.A BP Property Tax Adj.'!J7</f>
        <v>Workpaper WPD-2.2.A</v>
      </c>
      <c r="S28" s="625" t="s">
        <v>433</v>
      </c>
      <c r="U28" s="640">
        <f>-'WPD-2.2.A BP Property Tax Adj.'!J25</f>
        <v>-679911.150954657</v>
      </c>
    </row>
    <row r="29" spans="1:30">
      <c r="A29" s="1331"/>
      <c r="B29" s="1331"/>
      <c r="C29" s="1331"/>
      <c r="D29" s="1331"/>
      <c r="E29" s="1331"/>
      <c r="F29" s="1331"/>
      <c r="G29" s="1331"/>
      <c r="H29" s="1331"/>
      <c r="I29" s="1331"/>
      <c r="J29" s="1331"/>
      <c r="K29" s="1331"/>
      <c r="L29" s="1331"/>
      <c r="M29" s="1331"/>
      <c r="N29" s="1331"/>
      <c r="O29" s="1331"/>
      <c r="U29" s="641">
        <f>IFERROR(ROUND(U28/U27,4),0)</f>
        <v>-0.1195</v>
      </c>
    </row>
    <row r="30" spans="1:30">
      <c r="C30" s="631"/>
      <c r="D30" s="631"/>
      <c r="E30" s="631"/>
      <c r="F30" s="631"/>
      <c r="G30" s="631"/>
      <c r="H30" s="631"/>
      <c r="I30" s="631"/>
      <c r="J30" s="631"/>
      <c r="K30" s="631"/>
      <c r="L30" s="631"/>
      <c r="M30" s="631"/>
      <c r="N30" s="631"/>
      <c r="O30" s="631"/>
    </row>
    <row r="31" spans="1:30">
      <c r="C31" s="631"/>
      <c r="D31" s="631"/>
      <c r="E31" s="631"/>
      <c r="F31" s="631"/>
      <c r="G31" s="631"/>
      <c r="H31" s="631"/>
      <c r="I31" s="631"/>
      <c r="J31" s="631"/>
      <c r="K31" s="631"/>
      <c r="L31" s="631"/>
      <c r="M31" s="631"/>
      <c r="N31" s="631"/>
      <c r="O31" s="631"/>
      <c r="S31" s="625"/>
    </row>
    <row r="32" spans="1:30">
      <c r="A32" s="623"/>
      <c r="H32" s="633"/>
      <c r="J32" s="634"/>
      <c r="L32" s="633"/>
      <c r="N32" s="623"/>
      <c r="S32" s="625"/>
    </row>
    <row r="33" spans="1:38">
      <c r="C33" s="631"/>
      <c r="D33" s="631"/>
      <c r="E33" s="631"/>
      <c r="F33" s="631"/>
      <c r="G33" s="631"/>
      <c r="H33" s="631"/>
      <c r="I33" s="631"/>
      <c r="J33" s="631"/>
      <c r="K33" s="631"/>
      <c r="L33" s="631"/>
      <c r="M33" s="631"/>
      <c r="N33" s="631"/>
      <c r="O33" s="631"/>
      <c r="U33" s="631"/>
    </row>
    <row r="34" spans="1:38">
      <c r="C34" s="631"/>
      <c r="D34" s="631"/>
      <c r="E34" s="631"/>
      <c r="F34" s="631"/>
      <c r="G34" s="631"/>
      <c r="H34" s="631"/>
      <c r="I34" s="631"/>
      <c r="J34" s="631"/>
      <c r="K34" s="631"/>
      <c r="L34" s="631"/>
      <c r="M34" s="631"/>
      <c r="N34" s="631"/>
      <c r="O34" s="631"/>
      <c r="U34" s="631"/>
    </row>
    <row r="35" spans="1:38">
      <c r="A35" s="623"/>
      <c r="H35" s="633"/>
      <c r="J35" s="635"/>
      <c r="L35" s="633"/>
      <c r="S35" s="625"/>
    </row>
    <row r="36" spans="1:38">
      <c r="C36" s="631"/>
      <c r="D36" s="631"/>
      <c r="E36" s="631"/>
      <c r="F36" s="631"/>
      <c r="G36" s="631"/>
      <c r="H36" s="631"/>
      <c r="I36" s="631"/>
      <c r="J36" s="631"/>
      <c r="K36" s="631"/>
      <c r="L36" s="631"/>
      <c r="M36" s="631"/>
      <c r="N36" s="631"/>
      <c r="O36" s="631"/>
      <c r="S36" s="625"/>
      <c r="U36" s="631"/>
      <c r="V36" s="631"/>
      <c r="W36" s="631"/>
      <c r="X36" s="631"/>
      <c r="Y36" s="631"/>
      <c r="Z36" s="631"/>
      <c r="AA36" s="631"/>
      <c r="AB36" s="631"/>
      <c r="AC36" s="631"/>
      <c r="AD36" s="631"/>
      <c r="AE36" s="631"/>
      <c r="AF36" s="631"/>
    </row>
    <row r="37" spans="1:38">
      <c r="C37" s="631"/>
      <c r="D37" s="631"/>
      <c r="E37" s="631"/>
      <c r="F37" s="631"/>
      <c r="G37" s="631"/>
      <c r="H37" s="631"/>
      <c r="I37" s="631"/>
      <c r="J37" s="631"/>
      <c r="K37" s="631"/>
      <c r="L37" s="631"/>
      <c r="M37" s="631"/>
      <c r="N37" s="631"/>
      <c r="O37" s="631"/>
      <c r="S37" s="625"/>
      <c r="U37" s="631"/>
      <c r="V37" s="631"/>
      <c r="W37" s="631"/>
      <c r="X37" s="631"/>
      <c r="Y37" s="631"/>
      <c r="Z37" s="631"/>
      <c r="AA37" s="631"/>
      <c r="AB37" s="631"/>
      <c r="AC37" s="631"/>
      <c r="AD37" s="631"/>
      <c r="AE37" s="631"/>
      <c r="AF37" s="631"/>
    </row>
    <row r="38" spans="1:38">
      <c r="C38" s="631"/>
      <c r="D38" s="631"/>
      <c r="E38" s="631"/>
      <c r="F38" s="631"/>
      <c r="G38" s="631"/>
      <c r="H38" s="631"/>
      <c r="I38" s="631"/>
      <c r="J38" s="631"/>
      <c r="K38" s="631"/>
      <c r="L38" s="631"/>
      <c r="M38" s="631"/>
      <c r="N38" s="631"/>
      <c r="O38" s="631"/>
      <c r="U38" s="631"/>
      <c r="V38" s="631"/>
      <c r="W38" s="631"/>
      <c r="X38" s="631"/>
      <c r="Y38" s="631"/>
      <c r="Z38" s="631"/>
      <c r="AA38" s="631"/>
      <c r="AB38" s="631"/>
      <c r="AC38" s="631"/>
      <c r="AD38" s="631"/>
      <c r="AE38" s="631"/>
      <c r="AF38" s="631"/>
    </row>
    <row r="39" spans="1:38">
      <c r="AB39" s="642"/>
    </row>
    <row r="40" spans="1:38">
      <c r="A40" s="623"/>
      <c r="H40" s="633"/>
      <c r="J40" s="635"/>
      <c r="L40" s="633"/>
      <c r="S40" s="625"/>
    </row>
    <row r="41" spans="1:38">
      <c r="C41" s="631"/>
      <c r="D41" s="631"/>
      <c r="E41" s="631"/>
      <c r="F41" s="631"/>
      <c r="G41" s="631"/>
      <c r="H41" s="631"/>
      <c r="I41" s="631"/>
      <c r="J41" s="631"/>
      <c r="K41" s="631"/>
      <c r="L41" s="631"/>
      <c r="M41" s="631"/>
      <c r="N41" s="631"/>
      <c r="O41" s="631"/>
      <c r="S41" s="625"/>
      <c r="U41" s="631"/>
      <c r="V41" s="631"/>
      <c r="W41" s="631"/>
      <c r="X41" s="631"/>
      <c r="Y41" s="631"/>
      <c r="Z41" s="631"/>
      <c r="AA41" s="631"/>
      <c r="AB41" s="631"/>
      <c r="AC41" s="631"/>
      <c r="AD41" s="631"/>
      <c r="AE41" s="631"/>
      <c r="AF41" s="631"/>
      <c r="AG41" s="631"/>
      <c r="AH41" s="631"/>
      <c r="AI41" s="631"/>
      <c r="AJ41" s="631"/>
      <c r="AK41" s="631"/>
      <c r="AL41" s="631"/>
    </row>
    <row r="42" spans="1:38">
      <c r="C42" s="631"/>
      <c r="D42" s="631"/>
      <c r="E42" s="631"/>
      <c r="F42" s="631"/>
      <c r="G42" s="631"/>
      <c r="H42" s="631"/>
      <c r="I42" s="631"/>
      <c r="J42" s="631"/>
      <c r="K42" s="631"/>
      <c r="L42" s="631"/>
      <c r="M42" s="631"/>
      <c r="N42" s="631"/>
      <c r="O42" s="631"/>
      <c r="S42" s="625"/>
      <c r="U42" s="631"/>
      <c r="V42" s="631"/>
      <c r="W42" s="631"/>
      <c r="X42" s="631"/>
      <c r="Y42" s="631"/>
      <c r="Z42" s="631"/>
      <c r="AA42" s="631"/>
      <c r="AB42" s="631"/>
      <c r="AC42" s="631"/>
      <c r="AD42" s="631"/>
      <c r="AE42" s="631"/>
      <c r="AF42" s="631"/>
      <c r="AG42" s="631"/>
      <c r="AH42" s="631"/>
      <c r="AI42" s="631"/>
      <c r="AJ42" s="631"/>
      <c r="AK42" s="631"/>
      <c r="AL42" s="631"/>
    </row>
    <row r="43" spans="1:38">
      <c r="C43" s="631"/>
      <c r="D43" s="631"/>
      <c r="E43" s="631"/>
      <c r="F43" s="631"/>
      <c r="G43" s="631"/>
      <c r="H43" s="631"/>
      <c r="I43" s="631"/>
      <c r="J43" s="631"/>
      <c r="K43" s="631"/>
      <c r="L43" s="631"/>
      <c r="M43" s="631"/>
      <c r="N43" s="631"/>
      <c r="O43" s="631"/>
      <c r="U43" s="631"/>
      <c r="V43" s="631"/>
      <c r="W43" s="631"/>
      <c r="X43" s="631"/>
      <c r="Y43" s="631"/>
      <c r="Z43" s="631"/>
      <c r="AA43" s="631"/>
      <c r="AB43" s="631"/>
      <c r="AC43" s="631"/>
      <c r="AD43" s="631"/>
      <c r="AE43" s="631"/>
      <c r="AF43" s="631"/>
      <c r="AG43" s="631"/>
      <c r="AH43" s="631"/>
      <c r="AI43" s="631"/>
      <c r="AJ43" s="631"/>
      <c r="AK43" s="631"/>
      <c r="AL43" s="631"/>
    </row>
    <row r="44" spans="1:38">
      <c r="P44" s="631"/>
      <c r="Q44" s="631"/>
      <c r="R44" s="631"/>
      <c r="S44" s="631"/>
      <c r="T44" s="631"/>
      <c r="AB44" s="642"/>
    </row>
    <row r="45" spans="1:38">
      <c r="A45" s="623"/>
      <c r="H45" s="633"/>
      <c r="J45" s="635"/>
      <c r="L45" s="633"/>
    </row>
    <row r="46" spans="1:38">
      <c r="C46" s="631"/>
      <c r="D46" s="631"/>
      <c r="E46" s="631"/>
      <c r="F46" s="631"/>
      <c r="G46" s="631"/>
      <c r="H46" s="631"/>
      <c r="I46" s="631"/>
      <c r="J46" s="631"/>
      <c r="K46" s="631"/>
      <c r="L46" s="631"/>
      <c r="M46" s="631"/>
      <c r="N46" s="631"/>
      <c r="O46" s="631"/>
      <c r="U46" s="631"/>
      <c r="V46" s="631"/>
      <c r="W46" s="631"/>
      <c r="X46" s="631"/>
      <c r="Y46" s="631"/>
      <c r="Z46" s="631"/>
      <c r="AA46" s="631"/>
      <c r="AB46" s="631"/>
      <c r="AC46" s="631"/>
      <c r="AD46" s="631"/>
      <c r="AE46" s="631"/>
      <c r="AF46" s="631"/>
    </row>
    <row r="47" spans="1:38">
      <c r="C47" s="631"/>
      <c r="D47" s="631"/>
      <c r="E47" s="631"/>
      <c r="F47" s="631"/>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row>
    <row r="48" spans="1:38">
      <c r="C48" s="631"/>
      <c r="D48" s="631"/>
      <c r="E48" s="631"/>
      <c r="F48" s="631"/>
      <c r="G48" s="631"/>
      <c r="H48" s="631"/>
      <c r="I48" s="631"/>
      <c r="J48" s="631"/>
      <c r="K48" s="631"/>
      <c r="L48" s="631"/>
      <c r="M48" s="631"/>
      <c r="N48" s="631"/>
      <c r="O48" s="631"/>
      <c r="P48" s="631"/>
      <c r="Q48" s="631"/>
      <c r="R48" s="631"/>
      <c r="S48" s="631"/>
      <c r="T48" s="631"/>
      <c r="U48" s="631"/>
      <c r="V48" s="631"/>
      <c r="W48" s="631"/>
      <c r="X48" s="631"/>
      <c r="Y48" s="631"/>
      <c r="Z48" s="631"/>
      <c r="AA48" s="631"/>
      <c r="AB48" s="631"/>
      <c r="AC48" s="631"/>
      <c r="AD48" s="631"/>
      <c r="AE48" s="631"/>
      <c r="AF48" s="631"/>
    </row>
    <row r="49" spans="1:32">
      <c r="P49" s="631"/>
      <c r="Q49" s="631"/>
      <c r="R49" s="631"/>
      <c r="S49" s="631"/>
      <c r="T49" s="631"/>
      <c r="AB49" s="642"/>
    </row>
    <row r="50" spans="1:32">
      <c r="A50" s="623"/>
      <c r="H50" s="633"/>
      <c r="J50" s="635"/>
      <c r="K50" s="623"/>
      <c r="L50" s="633"/>
    </row>
    <row r="51" spans="1:32">
      <c r="C51" s="631"/>
      <c r="D51" s="631"/>
      <c r="E51" s="631"/>
      <c r="F51" s="631"/>
      <c r="G51" s="631"/>
      <c r="H51" s="631"/>
      <c r="I51" s="631"/>
      <c r="J51" s="631"/>
      <c r="K51" s="631"/>
      <c r="L51" s="631"/>
      <c r="M51" s="631"/>
      <c r="N51" s="631"/>
      <c r="O51" s="631"/>
      <c r="U51" s="631"/>
      <c r="V51" s="631"/>
      <c r="W51" s="631"/>
      <c r="X51" s="631"/>
      <c r="Y51" s="631"/>
      <c r="Z51" s="631"/>
      <c r="AA51" s="631"/>
      <c r="AB51" s="631"/>
      <c r="AC51" s="631"/>
      <c r="AD51" s="631"/>
      <c r="AE51" s="631"/>
      <c r="AF51" s="631"/>
    </row>
    <row r="52" spans="1:32">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631"/>
    </row>
    <row r="53" spans="1:32">
      <c r="C53" s="631"/>
      <c r="D53" s="631"/>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row>
    <row r="54" spans="1:32">
      <c r="P54" s="631"/>
      <c r="Q54" s="631"/>
      <c r="R54" s="631"/>
      <c r="S54" s="631"/>
      <c r="T54" s="631"/>
      <c r="AB54" s="642"/>
    </row>
    <row r="55" spans="1:32">
      <c r="A55" s="623"/>
      <c r="H55" s="633"/>
      <c r="J55" s="635"/>
      <c r="L55" s="633"/>
    </row>
    <row r="57" spans="1:32">
      <c r="P57" s="631"/>
      <c r="Q57" s="631"/>
      <c r="R57" s="631"/>
      <c r="S57" s="631"/>
      <c r="T57" s="631"/>
    </row>
    <row r="58" spans="1:32">
      <c r="P58" s="631"/>
      <c r="Q58" s="631"/>
      <c r="R58" s="631"/>
      <c r="S58" s="631"/>
      <c r="T58" s="631"/>
    </row>
    <row r="59" spans="1:32">
      <c r="P59" s="631"/>
      <c r="Q59" s="631"/>
      <c r="R59" s="631"/>
      <c r="S59" s="631"/>
      <c r="T59" s="631"/>
    </row>
    <row r="60" spans="1:32">
      <c r="A60" s="623"/>
      <c r="H60" s="633"/>
      <c r="J60" s="635"/>
      <c r="L60" s="633"/>
    </row>
    <row r="61" spans="1:32">
      <c r="C61" s="631"/>
      <c r="D61" s="631"/>
      <c r="E61" s="631"/>
      <c r="F61" s="631"/>
      <c r="G61" s="631"/>
      <c r="H61" s="631"/>
      <c r="I61" s="631"/>
      <c r="J61" s="631"/>
      <c r="K61" s="631"/>
      <c r="L61" s="631"/>
      <c r="M61" s="631"/>
      <c r="N61" s="631"/>
      <c r="O61" s="631"/>
      <c r="U61" s="631"/>
      <c r="V61" s="631"/>
      <c r="W61" s="631"/>
      <c r="X61" s="631"/>
      <c r="Y61" s="631"/>
      <c r="Z61" s="631"/>
      <c r="AA61" s="631"/>
      <c r="AB61" s="631"/>
      <c r="AC61" s="631"/>
      <c r="AD61" s="631"/>
      <c r="AE61" s="631"/>
      <c r="AF61" s="631"/>
    </row>
    <row r="62" spans="1:32">
      <c r="C62" s="631"/>
      <c r="D62" s="631"/>
      <c r="E62" s="631"/>
      <c r="F62" s="631"/>
      <c r="G62" s="631"/>
      <c r="H62" s="631"/>
      <c r="I62" s="631"/>
      <c r="J62" s="631"/>
      <c r="K62" s="631"/>
      <c r="L62" s="631"/>
      <c r="M62" s="631"/>
      <c r="N62" s="631"/>
      <c r="O62" s="631"/>
      <c r="P62" s="631"/>
      <c r="Q62" s="631"/>
      <c r="R62" s="631"/>
      <c r="S62" s="631"/>
      <c r="T62" s="631"/>
      <c r="U62" s="631"/>
      <c r="V62" s="631"/>
      <c r="W62" s="631"/>
      <c r="X62" s="631"/>
      <c r="Y62" s="631"/>
      <c r="Z62" s="631"/>
      <c r="AA62" s="631"/>
      <c r="AB62" s="631"/>
      <c r="AC62" s="631"/>
      <c r="AD62" s="631"/>
      <c r="AE62" s="631"/>
      <c r="AF62" s="631"/>
    </row>
    <row r="63" spans="1:32">
      <c r="C63" s="631"/>
      <c r="D63" s="631"/>
      <c r="E63" s="631"/>
      <c r="F63" s="631"/>
      <c r="G63" s="631"/>
      <c r="H63" s="631"/>
      <c r="I63" s="631"/>
      <c r="J63" s="631"/>
      <c r="K63" s="631"/>
      <c r="L63" s="631"/>
      <c r="M63" s="631"/>
      <c r="N63" s="631"/>
      <c r="O63" s="631"/>
      <c r="P63" s="631"/>
      <c r="Q63" s="631"/>
      <c r="R63" s="631"/>
      <c r="S63" s="631"/>
      <c r="T63" s="631"/>
      <c r="U63" s="631"/>
      <c r="V63" s="631"/>
      <c r="W63" s="631"/>
      <c r="X63" s="631"/>
      <c r="Y63" s="631"/>
      <c r="Z63" s="631"/>
      <c r="AA63" s="631"/>
      <c r="AB63" s="631"/>
      <c r="AC63" s="631"/>
      <c r="AD63" s="631"/>
      <c r="AE63" s="631"/>
      <c r="AF63" s="631"/>
    </row>
    <row r="64" spans="1:32">
      <c r="P64" s="631"/>
      <c r="Q64" s="631"/>
      <c r="R64" s="631"/>
      <c r="S64" s="631"/>
      <c r="T64" s="631"/>
      <c r="AB64" s="642"/>
    </row>
    <row r="65" spans="1:45">
      <c r="A65" s="623"/>
      <c r="F65" s="623"/>
      <c r="H65" s="631"/>
      <c r="J65" s="635"/>
      <c r="L65" s="631"/>
    </row>
    <row r="66" spans="1:45">
      <c r="C66" s="631"/>
      <c r="D66" s="631"/>
      <c r="E66" s="631"/>
      <c r="F66" s="631"/>
      <c r="G66" s="631"/>
      <c r="H66" s="631"/>
      <c r="I66" s="631"/>
      <c r="J66" s="631"/>
      <c r="K66" s="631"/>
      <c r="L66" s="631"/>
      <c r="M66" s="631"/>
      <c r="N66" s="631"/>
      <c r="O66" s="631"/>
      <c r="U66" s="631"/>
      <c r="V66" s="631"/>
      <c r="W66" s="631"/>
      <c r="X66" s="631"/>
      <c r="Y66" s="631"/>
      <c r="Z66" s="631"/>
      <c r="AA66" s="631"/>
      <c r="AB66" s="631"/>
      <c r="AC66" s="631"/>
      <c r="AD66" s="631"/>
      <c r="AE66" s="631"/>
      <c r="AF66" s="631"/>
    </row>
    <row r="67" spans="1:45">
      <c r="C67" s="631"/>
      <c r="D67" s="631"/>
      <c r="E67" s="631"/>
      <c r="F67" s="631"/>
      <c r="G67" s="631"/>
      <c r="H67" s="631"/>
      <c r="I67" s="631"/>
      <c r="J67" s="631"/>
      <c r="K67" s="631"/>
      <c r="L67" s="631"/>
      <c r="M67" s="631"/>
      <c r="N67" s="631"/>
      <c r="O67" s="631"/>
      <c r="U67" s="631"/>
      <c r="V67" s="631"/>
      <c r="W67" s="631"/>
      <c r="X67" s="631"/>
      <c r="Y67" s="631"/>
      <c r="Z67" s="631"/>
      <c r="AA67" s="631"/>
      <c r="AB67" s="631"/>
      <c r="AC67" s="631"/>
      <c r="AD67" s="631"/>
      <c r="AE67" s="631"/>
      <c r="AF67" s="631"/>
    </row>
    <row r="68" spans="1:45">
      <c r="C68" s="631"/>
      <c r="D68" s="631"/>
      <c r="E68" s="631"/>
      <c r="F68" s="631"/>
      <c r="G68" s="631"/>
      <c r="H68" s="631"/>
      <c r="I68" s="631"/>
      <c r="J68" s="631"/>
      <c r="K68" s="631"/>
      <c r="L68" s="631"/>
      <c r="M68" s="631"/>
      <c r="N68" s="631"/>
      <c r="O68" s="631"/>
      <c r="U68" s="631"/>
      <c r="V68" s="631"/>
      <c r="W68" s="631"/>
      <c r="X68" s="631"/>
      <c r="Y68" s="631"/>
      <c r="Z68" s="631"/>
      <c r="AA68" s="631"/>
      <c r="AB68" s="631"/>
      <c r="AC68" s="631"/>
      <c r="AD68" s="631"/>
      <c r="AE68" s="631"/>
      <c r="AF68" s="631"/>
    </row>
    <row r="69" spans="1:45">
      <c r="AB69" s="642"/>
    </row>
    <row r="72" spans="1:45">
      <c r="C72" s="637"/>
      <c r="P72" s="631"/>
      <c r="Q72" s="631"/>
      <c r="R72" s="631"/>
      <c r="S72" s="631"/>
      <c r="T72" s="631"/>
    </row>
    <row r="73" spans="1:45">
      <c r="C73" s="638"/>
      <c r="J73" s="628"/>
      <c r="K73" s="628"/>
      <c r="P73" s="631"/>
      <c r="Q73" s="631"/>
      <c r="R73" s="631"/>
      <c r="S73" s="631"/>
      <c r="T73" s="631"/>
    </row>
    <row r="74" spans="1:45">
      <c r="C74" s="623"/>
      <c r="P74" s="631"/>
      <c r="Q74" s="631"/>
      <c r="R74" s="631"/>
      <c r="S74" s="631"/>
      <c r="T74" s="631"/>
    </row>
    <row r="75" spans="1:45">
      <c r="P75" s="631"/>
      <c r="Q75" s="631"/>
      <c r="R75" s="631"/>
      <c r="S75" s="631"/>
      <c r="T75" s="631"/>
      <c r="AB75" s="642"/>
    </row>
    <row r="76" spans="1:45">
      <c r="A76" s="623"/>
      <c r="C76" s="623"/>
      <c r="H76" s="633"/>
      <c r="J76" s="635"/>
      <c r="L76" s="633"/>
    </row>
    <row r="77" spans="1:45">
      <c r="C77" s="631"/>
      <c r="D77" s="631"/>
      <c r="E77" s="631"/>
      <c r="F77" s="631"/>
      <c r="G77" s="631"/>
      <c r="H77" s="631"/>
      <c r="I77" s="631"/>
      <c r="J77" s="631"/>
      <c r="K77" s="631"/>
      <c r="L77" s="631"/>
      <c r="M77" s="631"/>
      <c r="N77" s="631"/>
      <c r="O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row>
    <row r="78" spans="1:45">
      <c r="C78" s="631"/>
      <c r="D78" s="631"/>
      <c r="E78" s="631"/>
      <c r="F78" s="631"/>
      <c r="G78" s="631"/>
      <c r="H78" s="631"/>
      <c r="I78" s="631"/>
      <c r="J78" s="631"/>
      <c r="K78" s="631"/>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c r="AJ78" s="631"/>
      <c r="AK78" s="631"/>
      <c r="AL78" s="631"/>
      <c r="AM78" s="631"/>
      <c r="AN78" s="631"/>
      <c r="AO78" s="631"/>
      <c r="AP78" s="631"/>
      <c r="AQ78" s="631"/>
      <c r="AR78" s="631"/>
      <c r="AS78" s="631"/>
    </row>
    <row r="79" spans="1:45">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631"/>
      <c r="AD79" s="631"/>
      <c r="AE79" s="631"/>
      <c r="AF79" s="631"/>
      <c r="AG79" s="631"/>
      <c r="AH79" s="631"/>
      <c r="AI79" s="631"/>
      <c r="AJ79" s="631"/>
      <c r="AK79" s="631"/>
      <c r="AL79" s="631"/>
      <c r="AM79" s="631"/>
      <c r="AN79" s="631"/>
      <c r="AO79" s="631"/>
      <c r="AP79" s="631"/>
      <c r="AQ79" s="631"/>
      <c r="AR79" s="631"/>
      <c r="AS79" s="631"/>
    </row>
    <row r="80" spans="1:45">
      <c r="P80" s="631"/>
      <c r="Q80" s="631"/>
      <c r="R80" s="631"/>
      <c r="S80" s="631"/>
      <c r="T80" s="631"/>
      <c r="AB80" s="642"/>
    </row>
    <row r="81" spans="1:51">
      <c r="A81" s="623"/>
      <c r="C81" s="623"/>
      <c r="H81" s="633"/>
      <c r="J81" s="635"/>
      <c r="L81" s="633"/>
    </row>
    <row r="82" spans="1:51">
      <c r="C82" s="631"/>
      <c r="D82" s="631"/>
      <c r="E82" s="631"/>
      <c r="F82" s="631"/>
      <c r="G82" s="631"/>
      <c r="H82" s="631"/>
      <c r="I82" s="631"/>
      <c r="J82" s="631"/>
      <c r="K82" s="631"/>
      <c r="L82" s="631"/>
      <c r="M82" s="631"/>
      <c r="N82" s="631"/>
      <c r="O82" s="631"/>
      <c r="U82" s="631"/>
      <c r="V82" s="631"/>
      <c r="W82" s="631"/>
      <c r="X82" s="631"/>
      <c r="Y82" s="631"/>
      <c r="Z82" s="631"/>
      <c r="AA82" s="631"/>
      <c r="AB82" s="631"/>
      <c r="AC82" s="631"/>
      <c r="AD82" s="631"/>
      <c r="AE82" s="631"/>
      <c r="AF82" s="631"/>
      <c r="AG82" s="631"/>
      <c r="AH82" s="631"/>
      <c r="AI82" s="631"/>
      <c r="AJ82" s="631"/>
      <c r="AK82" s="631"/>
      <c r="AL82" s="631"/>
      <c r="AM82" s="631"/>
      <c r="AN82" s="631"/>
      <c r="AO82" s="631"/>
      <c r="AP82" s="631"/>
      <c r="AQ82" s="631"/>
      <c r="AR82" s="631"/>
      <c r="AS82" s="631"/>
      <c r="AT82" s="631"/>
      <c r="AU82" s="631"/>
      <c r="AV82" s="631"/>
      <c r="AW82" s="631"/>
      <c r="AX82" s="631"/>
      <c r="AY82" s="631"/>
    </row>
    <row r="83" spans="1:5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631"/>
      <c r="AD83" s="631"/>
      <c r="AE83" s="631"/>
      <c r="AF83" s="631"/>
      <c r="AG83" s="631"/>
      <c r="AH83" s="631"/>
      <c r="AI83" s="631"/>
      <c r="AJ83" s="631"/>
      <c r="AK83" s="631"/>
      <c r="AL83" s="631"/>
      <c r="AM83" s="631"/>
      <c r="AN83" s="631"/>
      <c r="AO83" s="631"/>
      <c r="AP83" s="631"/>
      <c r="AQ83" s="631"/>
      <c r="AR83" s="631"/>
      <c r="AS83" s="631"/>
      <c r="AT83" s="631"/>
      <c r="AU83" s="631"/>
      <c r="AV83" s="631"/>
      <c r="AW83" s="631"/>
      <c r="AX83" s="631"/>
      <c r="AY83" s="631"/>
    </row>
    <row r="84" spans="1:5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row>
    <row r="85" spans="1:51">
      <c r="P85" s="631"/>
      <c r="Q85" s="631"/>
      <c r="R85" s="631"/>
      <c r="S85" s="631"/>
      <c r="T85" s="631"/>
      <c r="AB85" s="642"/>
    </row>
    <row r="86" spans="1:51">
      <c r="A86" s="623"/>
      <c r="C86" s="623"/>
      <c r="H86" s="633"/>
      <c r="I86" s="623"/>
      <c r="J86" s="635"/>
      <c r="L86" s="633"/>
    </row>
    <row r="87" spans="1:51">
      <c r="C87" s="631"/>
      <c r="D87" s="631"/>
      <c r="E87" s="631"/>
      <c r="F87" s="631"/>
      <c r="G87" s="631"/>
      <c r="H87" s="631"/>
      <c r="I87" s="631"/>
      <c r="J87" s="631"/>
      <c r="K87" s="631"/>
      <c r="L87" s="631"/>
      <c r="M87" s="631"/>
      <c r="N87" s="631"/>
      <c r="O87" s="631"/>
      <c r="U87" s="631"/>
      <c r="V87" s="631"/>
      <c r="W87" s="631"/>
      <c r="X87" s="631"/>
      <c r="Y87" s="631"/>
      <c r="Z87" s="631"/>
      <c r="AA87" s="631"/>
      <c r="AB87" s="631"/>
      <c r="AC87" s="631"/>
      <c r="AD87" s="631"/>
      <c r="AE87" s="631"/>
      <c r="AF87" s="631"/>
    </row>
    <row r="88" spans="1:5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631"/>
    </row>
    <row r="89" spans="1:51">
      <c r="C89" s="631"/>
      <c r="D89" s="631"/>
      <c r="E89" s="631"/>
      <c r="F89" s="631"/>
      <c r="G89" s="631"/>
      <c r="H89" s="631"/>
      <c r="I89" s="631"/>
      <c r="J89" s="631"/>
      <c r="K89" s="631"/>
      <c r="L89" s="631"/>
      <c r="M89" s="631"/>
      <c r="N89" s="631"/>
      <c r="O89" s="631"/>
      <c r="P89" s="631"/>
      <c r="Q89" s="631"/>
      <c r="R89" s="631"/>
      <c r="S89" s="631"/>
      <c r="T89" s="631"/>
      <c r="U89" s="631"/>
      <c r="V89" s="631"/>
      <c r="W89" s="631"/>
      <c r="X89" s="631"/>
      <c r="Y89" s="631"/>
      <c r="Z89" s="631"/>
      <c r="AA89" s="631"/>
      <c r="AB89" s="631"/>
      <c r="AC89" s="631"/>
      <c r="AD89" s="631"/>
      <c r="AE89" s="631"/>
      <c r="AF89" s="631"/>
    </row>
    <row r="90" spans="1:51">
      <c r="P90" s="631"/>
      <c r="Q90" s="631"/>
      <c r="R90" s="631"/>
      <c r="S90" s="631"/>
      <c r="T90" s="631"/>
      <c r="AB90" s="642"/>
    </row>
    <row r="91" spans="1:51">
      <c r="A91" s="623"/>
      <c r="C91" s="623"/>
      <c r="H91" s="633"/>
      <c r="J91" s="635"/>
      <c r="L91" s="633"/>
    </row>
    <row r="92" spans="1:51">
      <c r="C92" s="631"/>
      <c r="D92" s="631"/>
      <c r="E92" s="631"/>
      <c r="F92" s="631"/>
      <c r="G92" s="631"/>
      <c r="H92" s="631"/>
      <c r="I92" s="631"/>
      <c r="J92" s="631"/>
      <c r="K92" s="631"/>
      <c r="L92" s="631"/>
      <c r="M92" s="631"/>
      <c r="N92" s="631"/>
      <c r="O92" s="631"/>
      <c r="U92" s="631"/>
      <c r="V92" s="631"/>
      <c r="W92" s="631"/>
      <c r="X92" s="631"/>
      <c r="Y92" s="631"/>
      <c r="Z92" s="631"/>
      <c r="AA92" s="631"/>
      <c r="AB92" s="631"/>
      <c r="AC92" s="631"/>
      <c r="AD92" s="631"/>
      <c r="AE92" s="631"/>
      <c r="AF92" s="631"/>
    </row>
    <row r="93" spans="1:51">
      <c r="C93" s="631"/>
      <c r="D93" s="631"/>
      <c r="E93" s="631"/>
      <c r="F93" s="631"/>
      <c r="G93" s="631"/>
      <c r="H93" s="631"/>
      <c r="I93" s="631"/>
      <c r="J93" s="631"/>
      <c r="K93" s="631"/>
      <c r="L93" s="631"/>
      <c r="M93" s="631"/>
      <c r="N93" s="631"/>
      <c r="O93" s="631"/>
      <c r="P93" s="631"/>
      <c r="Q93" s="631"/>
      <c r="R93" s="631"/>
      <c r="S93" s="631"/>
      <c r="T93" s="631"/>
      <c r="U93" s="631"/>
      <c r="V93" s="631"/>
      <c r="W93" s="631"/>
      <c r="X93" s="631"/>
      <c r="Y93" s="631"/>
      <c r="Z93" s="631"/>
      <c r="AA93" s="631"/>
      <c r="AB93" s="631"/>
      <c r="AC93" s="631"/>
      <c r="AD93" s="631"/>
      <c r="AE93" s="631"/>
      <c r="AF93" s="631"/>
    </row>
    <row r="94" spans="1:51">
      <c r="C94" s="631"/>
      <c r="D94" s="631"/>
      <c r="E94" s="631"/>
      <c r="F94" s="631"/>
      <c r="G94" s="631"/>
      <c r="H94" s="631"/>
      <c r="I94" s="631"/>
      <c r="J94" s="631"/>
      <c r="K94" s="631"/>
      <c r="L94" s="631"/>
      <c r="M94" s="631"/>
      <c r="N94" s="631"/>
      <c r="O94" s="631"/>
      <c r="P94" s="631"/>
      <c r="Q94" s="631"/>
      <c r="R94" s="631"/>
      <c r="S94" s="631"/>
      <c r="T94" s="631"/>
      <c r="U94" s="631"/>
      <c r="V94" s="631"/>
      <c r="W94" s="631"/>
      <c r="X94" s="631"/>
      <c r="Y94" s="631"/>
      <c r="Z94" s="631"/>
      <c r="AA94" s="631"/>
      <c r="AB94" s="631"/>
      <c r="AC94" s="631"/>
      <c r="AD94" s="631"/>
      <c r="AE94" s="631"/>
      <c r="AF94" s="631"/>
    </row>
    <row r="95" spans="1:51">
      <c r="P95" s="631"/>
      <c r="Q95" s="631"/>
      <c r="R95" s="631"/>
      <c r="S95" s="631"/>
      <c r="T95" s="631"/>
      <c r="AB95" s="642"/>
    </row>
    <row r="96" spans="1:51">
      <c r="A96" s="623"/>
      <c r="C96" s="623"/>
      <c r="H96" s="633"/>
      <c r="J96" s="635"/>
      <c r="L96" s="633"/>
    </row>
    <row r="97" spans="1:33">
      <c r="C97" s="631"/>
      <c r="D97" s="631"/>
      <c r="E97" s="631"/>
      <c r="F97" s="631"/>
      <c r="G97" s="631"/>
      <c r="H97" s="631"/>
      <c r="I97" s="631"/>
      <c r="J97" s="631"/>
      <c r="K97" s="631"/>
      <c r="L97" s="631"/>
      <c r="M97" s="631"/>
      <c r="N97" s="631"/>
      <c r="O97" s="631"/>
      <c r="U97" s="631"/>
      <c r="V97" s="631"/>
      <c r="W97" s="631"/>
      <c r="X97" s="631"/>
      <c r="Y97" s="631"/>
      <c r="Z97" s="631"/>
      <c r="AA97" s="631"/>
      <c r="AB97" s="631"/>
      <c r="AC97" s="631"/>
      <c r="AD97" s="631"/>
      <c r="AE97" s="631"/>
      <c r="AF97" s="631"/>
    </row>
    <row r="98" spans="1:33">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631"/>
      <c r="AD98" s="631"/>
      <c r="AE98" s="631"/>
      <c r="AF98" s="631"/>
    </row>
    <row r="99" spans="1:33">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631"/>
      <c r="AD99" s="631"/>
      <c r="AE99" s="631"/>
      <c r="AF99" s="631"/>
    </row>
    <row r="100" spans="1:33">
      <c r="P100" s="631"/>
      <c r="Q100" s="631"/>
      <c r="R100" s="631"/>
      <c r="S100" s="631"/>
      <c r="T100" s="631"/>
      <c r="AB100" s="642"/>
    </row>
    <row r="103" spans="1:33">
      <c r="C103" s="637"/>
      <c r="P103" s="631"/>
      <c r="Q103" s="631"/>
      <c r="R103" s="631"/>
      <c r="S103" s="631"/>
      <c r="T103" s="631"/>
    </row>
    <row r="104" spans="1:33">
      <c r="C104" s="638"/>
      <c r="J104" s="628"/>
      <c r="K104" s="628"/>
      <c r="P104" s="631"/>
      <c r="Q104" s="631"/>
      <c r="R104" s="631"/>
      <c r="S104" s="631"/>
      <c r="T104" s="631"/>
    </row>
    <row r="105" spans="1:33">
      <c r="C105" s="631"/>
      <c r="D105" s="631"/>
      <c r="E105" s="631"/>
      <c r="F105" s="631"/>
      <c r="G105" s="631"/>
      <c r="H105" s="631"/>
      <c r="I105" s="631"/>
      <c r="J105" s="631"/>
      <c r="K105" s="631"/>
      <c r="L105" s="631"/>
      <c r="M105" s="631"/>
      <c r="N105" s="631"/>
      <c r="O105" s="631"/>
      <c r="U105" s="631"/>
      <c r="V105" s="631"/>
      <c r="W105" s="631"/>
      <c r="X105" s="631"/>
      <c r="Y105" s="631"/>
      <c r="Z105" s="631"/>
      <c r="AA105" s="631"/>
      <c r="AB105" s="631"/>
      <c r="AC105" s="631"/>
      <c r="AD105" s="631"/>
      <c r="AE105" s="631"/>
    </row>
    <row r="106" spans="1:33">
      <c r="C106" s="631"/>
      <c r="D106" s="631"/>
      <c r="E106" s="631"/>
      <c r="F106" s="631"/>
      <c r="G106" s="631"/>
      <c r="H106" s="631"/>
      <c r="I106" s="631"/>
      <c r="J106" s="631"/>
      <c r="K106" s="631"/>
      <c r="L106" s="631"/>
      <c r="M106" s="631"/>
      <c r="N106" s="631"/>
      <c r="O106" s="631"/>
      <c r="P106" s="631"/>
      <c r="Q106" s="631"/>
      <c r="R106" s="631"/>
      <c r="S106" s="631"/>
      <c r="T106" s="631"/>
      <c r="U106" s="631"/>
      <c r="V106" s="631"/>
      <c r="W106" s="631"/>
      <c r="X106" s="631"/>
      <c r="Y106" s="631"/>
      <c r="Z106" s="631"/>
      <c r="AA106" s="631"/>
      <c r="AB106" s="631"/>
      <c r="AC106" s="631"/>
      <c r="AD106" s="631"/>
      <c r="AE106" s="631"/>
    </row>
    <row r="107" spans="1:33">
      <c r="C107" s="631"/>
      <c r="D107" s="631"/>
      <c r="E107" s="631"/>
      <c r="F107" s="631"/>
      <c r="G107" s="631"/>
      <c r="H107" s="631"/>
      <c r="I107" s="631"/>
      <c r="J107" s="631"/>
      <c r="K107" s="631"/>
      <c r="L107" s="631"/>
      <c r="M107" s="631"/>
      <c r="N107" s="631"/>
      <c r="O107" s="631"/>
      <c r="P107" s="631"/>
      <c r="Q107" s="631"/>
      <c r="R107" s="631"/>
      <c r="S107" s="631"/>
      <c r="T107" s="631"/>
      <c r="U107" s="631"/>
      <c r="V107" s="631"/>
      <c r="W107" s="631"/>
      <c r="X107" s="631"/>
      <c r="Y107" s="631"/>
      <c r="Z107" s="631"/>
      <c r="AA107" s="631"/>
      <c r="AB107" s="631"/>
      <c r="AC107" s="631"/>
      <c r="AD107" s="631"/>
      <c r="AE107" s="631"/>
    </row>
    <row r="108" spans="1:33">
      <c r="P108" s="631"/>
      <c r="Q108" s="631"/>
      <c r="R108" s="631"/>
      <c r="S108" s="631"/>
      <c r="T108" s="631"/>
      <c r="AB108" s="642"/>
    </row>
    <row r="109" spans="1:33">
      <c r="A109" s="623"/>
      <c r="H109" s="633"/>
      <c r="J109" s="635"/>
      <c r="L109" s="633"/>
    </row>
    <row r="110" spans="1:33">
      <c r="C110" s="631"/>
      <c r="D110" s="631"/>
      <c r="E110" s="631"/>
      <c r="F110" s="631"/>
      <c r="G110" s="631"/>
      <c r="H110" s="631"/>
      <c r="I110" s="631"/>
      <c r="J110" s="631"/>
      <c r="K110" s="631"/>
      <c r="L110" s="631"/>
      <c r="M110" s="631"/>
      <c r="N110" s="631"/>
      <c r="O110" s="631"/>
      <c r="U110" s="631"/>
      <c r="V110" s="631"/>
      <c r="W110" s="631"/>
      <c r="X110" s="631"/>
      <c r="Y110" s="631"/>
      <c r="Z110" s="631"/>
      <c r="AA110" s="631"/>
      <c r="AB110" s="631"/>
      <c r="AC110" s="631"/>
      <c r="AD110" s="631"/>
      <c r="AE110" s="631"/>
      <c r="AF110" s="631"/>
      <c r="AG110" s="631"/>
    </row>
    <row r="111" spans="1:33">
      <c r="C111" s="631"/>
      <c r="D111" s="631"/>
      <c r="E111" s="631"/>
      <c r="F111" s="631"/>
      <c r="G111" s="631"/>
      <c r="H111" s="631"/>
      <c r="I111" s="631"/>
      <c r="J111" s="631"/>
      <c r="K111" s="631"/>
      <c r="L111" s="631"/>
      <c r="M111" s="631"/>
      <c r="N111" s="631"/>
      <c r="O111" s="631"/>
      <c r="P111" s="631"/>
      <c r="Q111" s="631"/>
      <c r="R111" s="631"/>
      <c r="S111" s="631"/>
      <c r="T111" s="631"/>
      <c r="U111" s="631"/>
      <c r="V111" s="631"/>
      <c r="W111" s="631"/>
      <c r="X111" s="631"/>
      <c r="Y111" s="631"/>
      <c r="Z111" s="631"/>
      <c r="AA111" s="631"/>
      <c r="AB111" s="631"/>
      <c r="AC111" s="631"/>
      <c r="AD111" s="631"/>
      <c r="AE111" s="631"/>
      <c r="AF111" s="631"/>
      <c r="AG111" s="631"/>
    </row>
    <row r="112" spans="1:33">
      <c r="C112" s="631"/>
      <c r="D112" s="631"/>
      <c r="E112" s="631"/>
      <c r="F112" s="631"/>
      <c r="G112" s="631"/>
      <c r="H112" s="631"/>
      <c r="I112" s="631"/>
      <c r="J112" s="631"/>
      <c r="K112" s="631"/>
      <c r="L112" s="631"/>
      <c r="M112" s="631"/>
      <c r="N112" s="631"/>
      <c r="O112" s="631"/>
      <c r="P112" s="631"/>
      <c r="Q112" s="631"/>
      <c r="R112" s="631"/>
      <c r="S112" s="631"/>
      <c r="T112" s="631"/>
      <c r="U112" s="631"/>
      <c r="V112" s="631"/>
      <c r="W112" s="631"/>
      <c r="X112" s="631"/>
      <c r="Y112" s="631"/>
      <c r="Z112" s="631"/>
      <c r="AA112" s="631"/>
      <c r="AB112" s="631"/>
      <c r="AC112" s="631"/>
      <c r="AD112" s="631"/>
      <c r="AE112" s="631"/>
      <c r="AF112" s="631"/>
      <c r="AG112" s="631"/>
    </row>
    <row r="113" spans="1:32">
      <c r="P113" s="631"/>
      <c r="Q113" s="631"/>
      <c r="R113" s="631"/>
      <c r="S113" s="631"/>
      <c r="T113" s="631"/>
      <c r="AB113" s="642"/>
    </row>
    <row r="114" spans="1:32">
      <c r="A114" s="623"/>
      <c r="F114" s="623"/>
      <c r="H114" s="631"/>
      <c r="J114" s="635"/>
      <c r="L114" s="631"/>
    </row>
    <row r="115" spans="1:32">
      <c r="C115" s="631"/>
      <c r="D115" s="631"/>
      <c r="E115" s="631"/>
      <c r="F115" s="631"/>
      <c r="G115" s="631"/>
      <c r="H115" s="631"/>
      <c r="I115" s="631"/>
      <c r="J115" s="631"/>
      <c r="K115" s="631"/>
      <c r="L115" s="631"/>
      <c r="M115" s="631"/>
      <c r="N115" s="631"/>
      <c r="O115" s="631"/>
      <c r="U115" s="631"/>
      <c r="V115" s="631"/>
      <c r="W115" s="631"/>
      <c r="X115" s="631"/>
      <c r="Y115" s="631"/>
      <c r="Z115" s="631"/>
      <c r="AA115" s="631"/>
      <c r="AB115" s="631"/>
      <c r="AC115" s="631"/>
      <c r="AD115" s="631"/>
      <c r="AE115" s="631"/>
      <c r="AF115" s="631"/>
    </row>
    <row r="116" spans="1:32">
      <c r="C116" s="631"/>
      <c r="D116" s="631"/>
      <c r="E116" s="631"/>
      <c r="F116" s="631"/>
      <c r="G116" s="631"/>
      <c r="H116" s="631"/>
      <c r="I116" s="631"/>
      <c r="J116" s="631"/>
      <c r="K116" s="631"/>
      <c r="L116" s="631"/>
      <c r="M116" s="631"/>
      <c r="N116" s="631"/>
      <c r="O116" s="631"/>
      <c r="P116" s="631"/>
      <c r="Q116" s="631"/>
      <c r="R116" s="631"/>
      <c r="S116" s="631"/>
      <c r="T116" s="631"/>
      <c r="U116" s="631"/>
      <c r="V116" s="631"/>
      <c r="W116" s="631"/>
      <c r="X116" s="631"/>
      <c r="Y116" s="631"/>
      <c r="Z116" s="631"/>
      <c r="AA116" s="631"/>
      <c r="AB116" s="631"/>
      <c r="AC116" s="631"/>
      <c r="AD116" s="631"/>
      <c r="AE116" s="631"/>
      <c r="AF116" s="631"/>
    </row>
    <row r="117" spans="1:32">
      <c r="C117" s="631"/>
      <c r="D117" s="631"/>
      <c r="E117" s="631"/>
      <c r="F117" s="631"/>
      <c r="G117" s="631"/>
      <c r="H117" s="631"/>
      <c r="I117" s="631"/>
      <c r="J117" s="631"/>
      <c r="K117" s="631"/>
      <c r="L117" s="631"/>
      <c r="M117" s="631"/>
      <c r="N117" s="631"/>
      <c r="O117" s="631"/>
      <c r="P117" s="631"/>
      <c r="Q117" s="631"/>
      <c r="R117" s="631"/>
      <c r="S117" s="631"/>
      <c r="T117" s="631"/>
      <c r="U117" s="631"/>
      <c r="V117" s="631"/>
      <c r="W117" s="631"/>
      <c r="X117" s="631"/>
      <c r="Y117" s="631"/>
      <c r="Z117" s="631"/>
      <c r="AA117" s="631"/>
      <c r="AB117" s="631"/>
      <c r="AC117" s="631"/>
      <c r="AD117" s="631"/>
      <c r="AE117" s="631"/>
      <c r="AF117" s="631"/>
    </row>
    <row r="118" spans="1:32">
      <c r="P118" s="631"/>
      <c r="Q118" s="631"/>
      <c r="R118" s="631"/>
      <c r="S118" s="631"/>
      <c r="T118" s="631"/>
      <c r="AB118" s="642"/>
    </row>
    <row r="119" spans="1:32">
      <c r="A119" s="623"/>
      <c r="G119" s="623"/>
    </row>
    <row r="120" spans="1:32">
      <c r="C120" s="631"/>
      <c r="D120" s="631"/>
      <c r="E120" s="631"/>
      <c r="F120" s="631"/>
      <c r="G120" s="631"/>
      <c r="H120" s="631"/>
      <c r="I120" s="631"/>
      <c r="J120" s="631"/>
      <c r="K120" s="631"/>
      <c r="L120" s="631"/>
      <c r="M120" s="631"/>
      <c r="N120" s="631"/>
      <c r="O120" s="631"/>
      <c r="U120" s="631"/>
      <c r="V120" s="631"/>
      <c r="W120" s="631"/>
      <c r="X120" s="631"/>
      <c r="Y120" s="631"/>
      <c r="Z120" s="631"/>
      <c r="AA120" s="631"/>
      <c r="AB120" s="631"/>
      <c r="AC120" s="631"/>
      <c r="AD120" s="631"/>
      <c r="AE120" s="631"/>
      <c r="AF120" s="631"/>
    </row>
    <row r="121" spans="1:32">
      <c r="C121" s="631"/>
      <c r="D121" s="631"/>
      <c r="E121" s="631"/>
      <c r="F121" s="631"/>
      <c r="G121" s="631"/>
      <c r="H121" s="631"/>
      <c r="I121" s="631"/>
      <c r="J121" s="631"/>
      <c r="K121" s="631"/>
      <c r="L121" s="631"/>
      <c r="M121" s="631"/>
      <c r="N121" s="631"/>
      <c r="O121" s="631"/>
      <c r="P121" s="631"/>
      <c r="Q121" s="631"/>
      <c r="R121" s="631"/>
      <c r="S121" s="631"/>
      <c r="T121" s="631"/>
      <c r="U121" s="631"/>
      <c r="V121" s="631"/>
      <c r="W121" s="631"/>
      <c r="X121" s="631"/>
      <c r="Y121" s="631"/>
      <c r="Z121" s="631"/>
      <c r="AA121" s="631"/>
      <c r="AB121" s="631"/>
      <c r="AC121" s="631"/>
      <c r="AD121" s="631"/>
      <c r="AE121" s="631"/>
      <c r="AF121" s="631"/>
    </row>
    <row r="122" spans="1:32">
      <c r="C122" s="631"/>
      <c r="D122" s="631"/>
      <c r="E122" s="631"/>
      <c r="F122" s="631"/>
      <c r="G122" s="631"/>
      <c r="H122" s="631"/>
      <c r="I122" s="631"/>
      <c r="J122" s="631"/>
      <c r="K122" s="631"/>
      <c r="L122" s="631"/>
      <c r="M122" s="631"/>
      <c r="N122" s="631"/>
      <c r="O122" s="631"/>
      <c r="P122" s="631"/>
      <c r="Q122" s="631"/>
      <c r="R122" s="631"/>
      <c r="S122" s="631"/>
      <c r="T122" s="631"/>
      <c r="U122" s="631"/>
      <c r="V122" s="631"/>
      <c r="W122" s="631"/>
      <c r="X122" s="631"/>
      <c r="Y122" s="631"/>
      <c r="Z122" s="631"/>
      <c r="AA122" s="631"/>
      <c r="AB122" s="631"/>
      <c r="AC122" s="631"/>
      <c r="AD122" s="631"/>
      <c r="AE122" s="631"/>
      <c r="AF122" s="631"/>
    </row>
    <row r="123" spans="1:32">
      <c r="P123" s="631"/>
      <c r="Q123" s="631"/>
      <c r="R123" s="631"/>
      <c r="S123" s="631"/>
      <c r="T123" s="631"/>
      <c r="AB123" s="642"/>
    </row>
    <row r="124" spans="1:32">
      <c r="A124" s="623"/>
      <c r="C124" s="623"/>
      <c r="H124" s="633"/>
      <c r="J124" s="635"/>
      <c r="L124" s="633"/>
      <c r="AB124" s="631"/>
    </row>
    <row r="125" spans="1:32">
      <c r="A125" s="623"/>
      <c r="C125" s="623"/>
      <c r="H125" s="633"/>
      <c r="J125" s="635"/>
      <c r="L125" s="633"/>
      <c r="AB125" s="631"/>
      <c r="AC125" s="631"/>
      <c r="AD125" s="631"/>
    </row>
    <row r="126" spans="1:32">
      <c r="A126" s="623"/>
      <c r="C126" s="623"/>
      <c r="H126" s="633"/>
      <c r="J126" s="635"/>
      <c r="L126" s="633"/>
      <c r="P126" s="631"/>
      <c r="Q126" s="631"/>
      <c r="R126" s="631"/>
      <c r="S126" s="631"/>
      <c r="T126" s="631"/>
      <c r="AB126" s="631"/>
      <c r="AC126" s="631"/>
      <c r="AD126" s="631"/>
    </row>
    <row r="127" spans="1:32">
      <c r="H127" s="631"/>
      <c r="J127" s="635"/>
      <c r="L127" s="631"/>
      <c r="P127" s="631"/>
      <c r="Q127" s="631"/>
      <c r="R127" s="631"/>
      <c r="S127" s="631"/>
      <c r="T127" s="631"/>
    </row>
    <row r="128" spans="1:32">
      <c r="A128" s="623"/>
      <c r="C128" s="623"/>
      <c r="J128" s="636"/>
      <c r="P128" s="631"/>
      <c r="Q128" s="631"/>
      <c r="R128" s="631"/>
      <c r="S128" s="631"/>
      <c r="T128" s="631"/>
    </row>
    <row r="129" spans="1:20">
      <c r="F129" s="623"/>
      <c r="H129" s="631"/>
      <c r="J129" s="635"/>
      <c r="L129" s="631"/>
    </row>
    <row r="130" spans="1:20">
      <c r="C130" s="623"/>
    </row>
    <row r="131" spans="1:20">
      <c r="F131" s="623"/>
      <c r="H131" s="631"/>
      <c r="J131" s="635"/>
      <c r="L131" s="631"/>
      <c r="P131" s="631"/>
      <c r="Q131" s="631"/>
      <c r="R131" s="631"/>
      <c r="S131" s="631"/>
      <c r="T131" s="631"/>
    </row>
    <row r="132" spans="1:20">
      <c r="C132" s="637"/>
      <c r="G132" s="623"/>
      <c r="P132" s="631"/>
      <c r="Q132" s="631"/>
      <c r="R132" s="631"/>
      <c r="S132" s="631"/>
      <c r="T132" s="631"/>
    </row>
    <row r="133" spans="1:20">
      <c r="C133" s="638"/>
      <c r="G133" s="623"/>
      <c r="P133" s="631"/>
      <c r="Q133" s="631"/>
      <c r="R133" s="631"/>
      <c r="S133" s="631"/>
      <c r="T133" s="631"/>
    </row>
    <row r="134" spans="1:20">
      <c r="C134" s="623"/>
      <c r="G134" s="623"/>
    </row>
    <row r="135" spans="1:20">
      <c r="G135" s="623"/>
    </row>
    <row r="136" spans="1:20">
      <c r="M136" s="623"/>
    </row>
    <row r="137" spans="1:20">
      <c r="M137" s="623"/>
    </row>
    <row r="138" spans="1:20">
      <c r="M138" s="623"/>
    </row>
    <row r="139" spans="1:20">
      <c r="A139" s="623"/>
      <c r="C139" s="623"/>
      <c r="H139" s="623"/>
    </row>
    <row r="140" spans="1:20">
      <c r="A140" s="623"/>
      <c r="C140" s="623"/>
      <c r="F140" s="623"/>
      <c r="H140" s="623"/>
      <c r="J140" s="623"/>
      <c r="L140" s="623"/>
    </row>
    <row r="141" spans="1:20">
      <c r="F141" s="623"/>
      <c r="H141" s="623"/>
      <c r="J141" s="623"/>
      <c r="L141" s="623"/>
    </row>
    <row r="142" spans="1:20">
      <c r="H142" s="623"/>
      <c r="J142" s="623"/>
      <c r="L142" s="623"/>
    </row>
    <row r="143" spans="1:20">
      <c r="A143" s="623"/>
      <c r="C143" s="623"/>
      <c r="H143" s="623"/>
      <c r="J143" s="623"/>
      <c r="L143" s="623"/>
    </row>
    <row r="144" spans="1:20">
      <c r="A144" s="623"/>
      <c r="C144" s="623"/>
      <c r="F144" s="623"/>
    </row>
    <row r="145" spans="1:12">
      <c r="A145" s="623"/>
      <c r="C145" s="623"/>
      <c r="F145" s="623"/>
    </row>
    <row r="146" spans="1:12">
      <c r="A146" s="623"/>
      <c r="C146" s="623"/>
      <c r="F146" s="623"/>
      <c r="H146" s="633"/>
      <c r="J146" s="634"/>
      <c r="L146" s="633"/>
    </row>
    <row r="147" spans="1:12">
      <c r="A147" s="623"/>
      <c r="C147" s="623"/>
      <c r="F147" s="623"/>
      <c r="H147" s="633"/>
      <c r="J147" s="634"/>
      <c r="L147" s="633"/>
    </row>
    <row r="148" spans="1:12">
      <c r="A148" s="623"/>
      <c r="C148" s="623"/>
      <c r="F148" s="623"/>
      <c r="H148" s="633"/>
      <c r="J148" s="634"/>
      <c r="L148" s="633"/>
    </row>
    <row r="149" spans="1:12">
      <c r="A149" s="623"/>
      <c r="C149" s="623"/>
      <c r="F149" s="623"/>
      <c r="H149" s="633"/>
      <c r="J149" s="634"/>
      <c r="L149" s="633"/>
    </row>
    <row r="150" spans="1:12">
      <c r="A150" s="623"/>
      <c r="C150" s="623"/>
      <c r="F150" s="623"/>
      <c r="H150" s="633"/>
      <c r="J150" s="634"/>
      <c r="L150" s="633"/>
    </row>
    <row r="151" spans="1:12">
      <c r="A151" s="623"/>
      <c r="F151" s="623"/>
      <c r="H151" s="633"/>
      <c r="J151" s="634"/>
      <c r="L151" s="633"/>
    </row>
    <row r="152" spans="1:12">
      <c r="F152" s="623"/>
      <c r="H152" s="631"/>
      <c r="J152" s="634"/>
      <c r="L152" s="631"/>
    </row>
    <row r="153" spans="1:12">
      <c r="A153" s="623"/>
      <c r="H153" s="633"/>
      <c r="J153" s="643"/>
      <c r="L153" s="633"/>
    </row>
    <row r="154" spans="1:12">
      <c r="A154" s="623"/>
      <c r="C154" s="623"/>
      <c r="F154" s="623"/>
      <c r="H154" s="633"/>
      <c r="J154" s="643"/>
      <c r="L154" s="633"/>
    </row>
    <row r="155" spans="1:12">
      <c r="A155" s="623"/>
      <c r="C155" s="623"/>
      <c r="F155" s="623"/>
      <c r="H155" s="633"/>
      <c r="J155" s="634"/>
      <c r="L155" s="633"/>
    </row>
    <row r="156" spans="1:12">
      <c r="A156" s="623"/>
      <c r="C156" s="623"/>
      <c r="F156" s="623"/>
      <c r="H156" s="633"/>
      <c r="J156" s="634"/>
      <c r="L156" s="633"/>
    </row>
    <row r="157" spans="1:12">
      <c r="A157" s="623"/>
      <c r="C157" s="623"/>
      <c r="F157" s="623"/>
      <c r="H157" s="633"/>
      <c r="J157" s="634"/>
      <c r="L157" s="633"/>
    </row>
    <row r="158" spans="1:12">
      <c r="A158" s="623"/>
      <c r="C158" s="623"/>
      <c r="F158" s="623"/>
      <c r="H158" s="633"/>
      <c r="J158" s="634"/>
      <c r="L158" s="633"/>
    </row>
    <row r="159" spans="1:12">
      <c r="A159" s="623"/>
      <c r="F159" s="623"/>
      <c r="H159" s="633"/>
      <c r="J159" s="634"/>
      <c r="L159" s="633"/>
    </row>
    <row r="160" spans="1:12">
      <c r="F160" s="623"/>
      <c r="H160" s="631"/>
      <c r="J160" s="634"/>
      <c r="L160" s="631"/>
    </row>
    <row r="161" spans="1:12">
      <c r="A161" s="623"/>
      <c r="C161" s="623"/>
      <c r="H161" s="633"/>
      <c r="J161" s="643"/>
      <c r="L161" s="633"/>
    </row>
    <row r="162" spans="1:12">
      <c r="F162" s="623"/>
      <c r="H162" s="631"/>
      <c r="J162" s="634"/>
      <c r="L162" s="631"/>
    </row>
    <row r="163" spans="1:12">
      <c r="A163" s="623"/>
      <c r="H163" s="633"/>
      <c r="J163" s="643"/>
      <c r="L163" s="633"/>
    </row>
    <row r="164" spans="1:12">
      <c r="F164" s="623"/>
      <c r="H164" s="633"/>
      <c r="J164" s="643"/>
      <c r="L164" s="633"/>
    </row>
    <row r="165" spans="1:12">
      <c r="A165" s="623"/>
      <c r="H165" s="633"/>
      <c r="J165" s="643"/>
      <c r="L165" s="633"/>
    </row>
    <row r="166" spans="1:12">
      <c r="A166" s="623"/>
    </row>
    <row r="167" spans="1:12">
      <c r="A167" s="623"/>
      <c r="F167" s="623"/>
      <c r="H167" s="631"/>
      <c r="J167" s="634"/>
      <c r="L167" s="631"/>
    </row>
    <row r="168" spans="1:12">
      <c r="A168" s="623"/>
      <c r="F168" s="623"/>
      <c r="H168" s="631"/>
      <c r="J168" s="634"/>
      <c r="L168" s="631"/>
    </row>
    <row r="169" spans="1:12">
      <c r="A169" s="623"/>
      <c r="F169" s="623"/>
      <c r="H169" s="631"/>
      <c r="J169" s="634"/>
      <c r="L169" s="631"/>
    </row>
    <row r="170" spans="1:12">
      <c r="A170" s="623"/>
      <c r="F170" s="623"/>
      <c r="H170" s="631"/>
      <c r="J170" s="634"/>
      <c r="L170" s="631"/>
    </row>
    <row r="171" spans="1:12">
      <c r="A171" s="623"/>
      <c r="F171" s="623"/>
      <c r="H171" s="631"/>
      <c r="J171" s="634"/>
      <c r="L171" s="631"/>
    </row>
    <row r="172" spans="1:12">
      <c r="H172" s="631"/>
      <c r="L172" s="631"/>
    </row>
    <row r="173" spans="1:12">
      <c r="C173" s="637"/>
      <c r="G173" s="623"/>
    </row>
    <row r="174" spans="1:12">
      <c r="C174" s="638"/>
      <c r="G174" s="623"/>
    </row>
    <row r="175" spans="1:12">
      <c r="C175" s="623"/>
      <c r="G175" s="623"/>
    </row>
    <row r="176" spans="1:12">
      <c r="G176" s="623"/>
    </row>
    <row r="177" spans="1:14">
      <c r="M177" s="623"/>
    </row>
    <row r="178" spans="1:14">
      <c r="M178" s="623"/>
    </row>
    <row r="179" spans="1:14">
      <c r="M179" s="623"/>
    </row>
    <row r="180" spans="1:14">
      <c r="A180" s="623"/>
      <c r="C180" s="623"/>
      <c r="H180" s="623"/>
    </row>
    <row r="181" spans="1:14">
      <c r="A181" s="623"/>
      <c r="C181" s="623"/>
      <c r="F181" s="623"/>
      <c r="H181" s="623"/>
      <c r="J181" s="623"/>
      <c r="L181" s="623"/>
    </row>
    <row r="182" spans="1:14">
      <c r="F182" s="623"/>
      <c r="H182" s="623"/>
      <c r="J182" s="623"/>
      <c r="L182" s="623"/>
    </row>
    <row r="183" spans="1:14">
      <c r="A183" s="623"/>
      <c r="C183" s="623"/>
      <c r="H183" s="623"/>
      <c r="J183" s="623"/>
      <c r="L183" s="623"/>
    </row>
    <row r="184" spans="1:14">
      <c r="A184" s="623"/>
      <c r="F184" s="623"/>
      <c r="H184" s="623"/>
      <c r="J184" s="623"/>
      <c r="L184" s="623"/>
    </row>
    <row r="185" spans="1:14">
      <c r="A185" s="623"/>
      <c r="F185" s="623"/>
      <c r="H185" s="633"/>
      <c r="J185" s="643"/>
      <c r="L185" s="633"/>
    </row>
    <row r="186" spans="1:14">
      <c r="A186" s="623"/>
      <c r="C186" s="623"/>
      <c r="F186" s="623"/>
      <c r="H186" s="633"/>
      <c r="J186" s="643"/>
      <c r="L186" s="633"/>
    </row>
    <row r="187" spans="1:14">
      <c r="A187" s="623"/>
      <c r="C187" s="623"/>
      <c r="F187" s="623"/>
      <c r="H187" s="633"/>
      <c r="J187" s="634"/>
      <c r="L187" s="633"/>
      <c r="N187" s="623"/>
    </row>
    <row r="188" spans="1:14">
      <c r="A188" s="623"/>
      <c r="C188" s="623"/>
      <c r="F188" s="623"/>
      <c r="H188" s="633"/>
      <c r="J188" s="634"/>
      <c r="L188" s="633"/>
    </row>
    <row r="189" spans="1:14">
      <c r="A189" s="623"/>
      <c r="C189" s="623"/>
      <c r="F189" s="623"/>
      <c r="H189" s="633"/>
      <c r="J189" s="634"/>
      <c r="L189" s="633"/>
    </row>
    <row r="190" spans="1:14">
      <c r="A190" s="623"/>
      <c r="C190" s="623"/>
      <c r="F190" s="623"/>
      <c r="H190" s="633"/>
      <c r="J190" s="634"/>
      <c r="L190" s="633"/>
    </row>
    <row r="191" spans="1:14">
      <c r="A191" s="623"/>
      <c r="C191" s="623"/>
      <c r="F191" s="623"/>
      <c r="H191" s="633"/>
      <c r="J191" s="634"/>
      <c r="L191" s="633"/>
    </row>
    <row r="192" spans="1:14">
      <c r="A192" s="623"/>
      <c r="C192" s="623"/>
      <c r="F192" s="623"/>
      <c r="H192" s="633"/>
      <c r="J192" s="634"/>
      <c r="L192" s="633"/>
    </row>
    <row r="193" spans="1:12">
      <c r="A193" s="623"/>
      <c r="F193" s="623"/>
      <c r="H193" s="633"/>
      <c r="J193" s="634"/>
      <c r="L193" s="633"/>
    </row>
    <row r="194" spans="1:12">
      <c r="F194" s="623"/>
      <c r="H194" s="631"/>
      <c r="J194" s="634"/>
      <c r="L194" s="631"/>
    </row>
    <row r="195" spans="1:12">
      <c r="A195" s="623"/>
    </row>
    <row r="196" spans="1:12">
      <c r="A196" s="623"/>
      <c r="C196" s="623"/>
      <c r="F196" s="623"/>
    </row>
    <row r="197" spans="1:12">
      <c r="A197" s="623"/>
      <c r="C197" s="623"/>
      <c r="F197" s="623"/>
      <c r="H197" s="633"/>
      <c r="J197" s="635"/>
      <c r="L197" s="633"/>
    </row>
    <row r="198" spans="1:12">
      <c r="A198" s="623"/>
      <c r="C198" s="623"/>
      <c r="F198" s="623"/>
      <c r="H198" s="633"/>
      <c r="J198" s="635"/>
      <c r="L198" s="633"/>
    </row>
    <row r="199" spans="1:12">
      <c r="A199" s="623"/>
      <c r="C199" s="623"/>
      <c r="F199" s="623"/>
      <c r="H199" s="633"/>
      <c r="J199" s="635"/>
      <c r="L199" s="633"/>
    </row>
    <row r="200" spans="1:12">
      <c r="A200" s="623"/>
      <c r="C200" s="623"/>
      <c r="F200" s="623"/>
      <c r="H200" s="633"/>
      <c r="J200" s="635"/>
      <c r="K200" s="623"/>
      <c r="L200" s="633"/>
    </row>
    <row r="201" spans="1:12">
      <c r="A201" s="623"/>
      <c r="C201" s="623"/>
      <c r="F201" s="623"/>
      <c r="H201" s="633"/>
      <c r="J201" s="635"/>
      <c r="L201" s="633"/>
    </row>
    <row r="202" spans="1:12">
      <c r="A202" s="623"/>
      <c r="F202" s="623"/>
      <c r="H202" s="633"/>
      <c r="J202" s="635"/>
      <c r="L202" s="633"/>
    </row>
    <row r="203" spans="1:12">
      <c r="F203" s="623"/>
      <c r="H203" s="631"/>
      <c r="J203" s="635"/>
      <c r="L203" s="631"/>
    </row>
    <row r="204" spans="1:12">
      <c r="A204" s="623"/>
      <c r="C204" s="623"/>
      <c r="J204" s="636"/>
    </row>
    <row r="205" spans="1:12">
      <c r="A205" s="623"/>
      <c r="C205" s="623"/>
      <c r="F205" s="623"/>
      <c r="H205" s="633"/>
      <c r="J205" s="636"/>
      <c r="L205" s="633"/>
    </row>
    <row r="206" spans="1:12">
      <c r="A206" s="623"/>
      <c r="C206" s="623"/>
      <c r="F206" s="623"/>
      <c r="H206" s="633"/>
      <c r="J206" s="635"/>
      <c r="L206" s="633"/>
    </row>
    <row r="207" spans="1:12">
      <c r="A207" s="623"/>
      <c r="C207" s="623"/>
      <c r="F207" s="623"/>
      <c r="H207" s="633"/>
      <c r="J207" s="635"/>
      <c r="L207" s="633"/>
    </row>
    <row r="208" spans="1:12">
      <c r="A208" s="623"/>
      <c r="C208" s="623"/>
      <c r="F208" s="623"/>
      <c r="H208" s="633"/>
      <c r="J208" s="635"/>
      <c r="L208" s="633"/>
    </row>
    <row r="209" spans="1:13">
      <c r="A209" s="623"/>
      <c r="C209" s="623"/>
      <c r="F209" s="623"/>
      <c r="H209" s="633"/>
      <c r="I209" s="623"/>
      <c r="J209" s="635"/>
      <c r="L209" s="633"/>
    </row>
    <row r="210" spans="1:13">
      <c r="A210" s="623"/>
      <c r="C210" s="623"/>
      <c r="F210" s="623"/>
      <c r="H210" s="633"/>
      <c r="J210" s="635"/>
      <c r="L210" s="633"/>
    </row>
    <row r="211" spans="1:13">
      <c r="A211" s="623"/>
      <c r="C211" s="623"/>
      <c r="F211" s="623"/>
      <c r="H211" s="633"/>
      <c r="J211" s="635"/>
      <c r="L211" s="633"/>
    </row>
    <row r="212" spans="1:13">
      <c r="C212" s="623"/>
      <c r="F212" s="623"/>
      <c r="H212" s="633"/>
      <c r="J212" s="635"/>
      <c r="L212" s="633"/>
    </row>
    <row r="213" spans="1:13">
      <c r="C213" s="623"/>
      <c r="F213" s="623"/>
      <c r="H213" s="633"/>
      <c r="J213" s="635"/>
      <c r="L213" s="633"/>
    </row>
    <row r="214" spans="1:13">
      <c r="F214" s="623"/>
      <c r="H214" s="633"/>
      <c r="J214" s="635"/>
      <c r="L214" s="633"/>
    </row>
    <row r="215" spans="1:13">
      <c r="F215" s="623"/>
      <c r="H215" s="631"/>
      <c r="J215" s="635"/>
      <c r="L215" s="631"/>
    </row>
    <row r="216" spans="1:13">
      <c r="C216" s="637"/>
      <c r="G216" s="623"/>
    </row>
    <row r="217" spans="1:13">
      <c r="C217" s="623"/>
      <c r="G217" s="623"/>
    </row>
    <row r="218" spans="1:13">
      <c r="G218" s="623"/>
    </row>
    <row r="219" spans="1:13">
      <c r="M219" s="623"/>
    </row>
    <row r="220" spans="1:13">
      <c r="M220" s="623"/>
    </row>
    <row r="221" spans="1:13">
      <c r="M221" s="623"/>
    </row>
    <row r="222" spans="1:13">
      <c r="A222" s="623"/>
      <c r="C222" s="623"/>
      <c r="H222" s="623"/>
    </row>
    <row r="223" spans="1:13">
      <c r="A223" s="623"/>
      <c r="C223" s="623"/>
      <c r="F223" s="623"/>
      <c r="H223" s="623"/>
      <c r="J223" s="623"/>
      <c r="L223" s="623"/>
    </row>
    <row r="224" spans="1:13">
      <c r="F224" s="623"/>
      <c r="H224" s="623"/>
      <c r="J224" s="623"/>
      <c r="L224" s="623"/>
    </row>
    <row r="225" spans="1:13">
      <c r="A225" s="623"/>
      <c r="C225" s="623"/>
      <c r="H225" s="623"/>
      <c r="J225" s="623"/>
      <c r="L225" s="623"/>
    </row>
    <row r="226" spans="1:13">
      <c r="A226" s="623"/>
      <c r="C226" s="623"/>
      <c r="F226" s="623"/>
      <c r="H226" s="633"/>
      <c r="J226" s="636"/>
      <c r="L226" s="633"/>
    </row>
    <row r="227" spans="1:13">
      <c r="A227" s="623"/>
      <c r="C227" s="623"/>
      <c r="F227" s="623"/>
      <c r="H227" s="633"/>
      <c r="J227" s="635"/>
      <c r="L227" s="633"/>
      <c r="M227" s="623"/>
    </row>
    <row r="228" spans="1:13">
      <c r="A228" s="623"/>
      <c r="C228" s="623"/>
      <c r="F228" s="623"/>
      <c r="H228" s="633"/>
      <c r="J228" s="635"/>
      <c r="L228" s="633"/>
    </row>
    <row r="229" spans="1:13">
      <c r="A229" s="623"/>
      <c r="C229" s="623"/>
      <c r="F229" s="623"/>
      <c r="H229" s="633"/>
      <c r="J229" s="635"/>
      <c r="L229" s="633"/>
    </row>
    <row r="230" spans="1:13">
      <c r="A230" s="623"/>
      <c r="C230" s="623"/>
      <c r="F230" s="623"/>
      <c r="H230" s="633"/>
      <c r="J230" s="635"/>
      <c r="L230" s="633"/>
    </row>
    <row r="231" spans="1:13">
      <c r="A231" s="623"/>
      <c r="C231" s="623"/>
      <c r="F231" s="623"/>
      <c r="H231" s="633"/>
      <c r="J231" s="635"/>
      <c r="L231" s="633"/>
    </row>
    <row r="232" spans="1:13">
      <c r="F232" s="623"/>
      <c r="H232" s="631"/>
      <c r="J232" s="635"/>
      <c r="L232" s="631"/>
    </row>
    <row r="234" spans="1:13">
      <c r="A234" s="623"/>
    </row>
    <row r="235" spans="1:13">
      <c r="A235" s="623"/>
      <c r="C235" s="623"/>
      <c r="F235" s="623"/>
    </row>
    <row r="236" spans="1:13">
      <c r="A236" s="623"/>
      <c r="C236" s="623"/>
      <c r="F236" s="623"/>
      <c r="H236" s="633"/>
      <c r="J236" s="635"/>
      <c r="L236" s="633"/>
    </row>
    <row r="237" spans="1:13">
      <c r="A237" s="623"/>
      <c r="C237" s="623"/>
      <c r="F237" s="623"/>
      <c r="H237" s="633"/>
      <c r="J237" s="635"/>
      <c r="L237" s="633"/>
    </row>
    <row r="238" spans="1:13">
      <c r="A238" s="623"/>
      <c r="C238" s="623"/>
      <c r="F238" s="623"/>
      <c r="H238" s="633"/>
      <c r="J238" s="635"/>
      <c r="K238" s="633"/>
      <c r="L238" s="633"/>
    </row>
    <row r="239" spans="1:13">
      <c r="A239" s="623"/>
      <c r="C239" s="623"/>
      <c r="F239" s="623"/>
      <c r="H239" s="633"/>
      <c r="J239" s="635"/>
      <c r="L239" s="633"/>
    </row>
    <row r="240" spans="1:13">
      <c r="A240" s="623"/>
      <c r="C240" s="623"/>
      <c r="F240" s="623"/>
      <c r="H240" s="631"/>
      <c r="J240" s="635"/>
      <c r="L240" s="631"/>
    </row>
    <row r="241" spans="1:12">
      <c r="A241" s="623"/>
      <c r="C241" s="623"/>
      <c r="F241" s="623"/>
      <c r="H241" s="633"/>
      <c r="J241" s="636"/>
      <c r="L241" s="633"/>
    </row>
    <row r="242" spans="1:12">
      <c r="A242" s="623"/>
      <c r="C242" s="623"/>
      <c r="F242" s="623"/>
      <c r="H242" s="633"/>
      <c r="J242" s="636"/>
      <c r="L242" s="633"/>
    </row>
    <row r="243" spans="1:12">
      <c r="A243" s="623"/>
      <c r="C243" s="623"/>
      <c r="F243" s="623"/>
      <c r="H243" s="633"/>
      <c r="J243" s="635"/>
      <c r="L243" s="633"/>
    </row>
    <row r="244" spans="1:12">
      <c r="A244" s="623"/>
      <c r="C244" s="623"/>
      <c r="F244" s="623"/>
      <c r="H244" s="633"/>
      <c r="J244" s="635"/>
      <c r="L244" s="633"/>
    </row>
    <row r="245" spans="1:12">
      <c r="A245" s="623"/>
      <c r="C245" s="623"/>
      <c r="F245" s="623"/>
      <c r="H245" s="633"/>
      <c r="J245" s="635"/>
      <c r="L245" s="633"/>
    </row>
    <row r="246" spans="1:12">
      <c r="A246" s="623"/>
      <c r="C246" s="623"/>
      <c r="F246" s="623"/>
      <c r="H246" s="633"/>
      <c r="J246" s="635"/>
      <c r="L246" s="633"/>
    </row>
    <row r="247" spans="1:12">
      <c r="F247" s="623"/>
      <c r="H247" s="631"/>
      <c r="J247" s="635"/>
      <c r="L247" s="631"/>
    </row>
    <row r="248" spans="1:12">
      <c r="A248" s="623"/>
      <c r="C248" s="623"/>
      <c r="H248" s="633"/>
      <c r="J248" s="636"/>
      <c r="L248" s="633"/>
    </row>
    <row r="249" spans="1:12">
      <c r="A249" s="623"/>
      <c r="C249" s="623"/>
      <c r="F249" s="623"/>
      <c r="H249" s="633"/>
      <c r="J249" s="636"/>
      <c r="L249" s="633"/>
    </row>
    <row r="250" spans="1:12">
      <c r="A250" s="623"/>
      <c r="C250" s="623"/>
      <c r="F250" s="623"/>
      <c r="H250" s="633"/>
      <c r="I250" s="623"/>
      <c r="J250" s="635"/>
      <c r="L250" s="633"/>
    </row>
    <row r="251" spans="1:12">
      <c r="A251" s="623"/>
      <c r="C251" s="623"/>
      <c r="F251" s="623"/>
      <c r="H251" s="633"/>
      <c r="J251" s="635"/>
      <c r="L251" s="633"/>
    </row>
    <row r="252" spans="1:12">
      <c r="A252" s="623"/>
      <c r="C252" s="623"/>
      <c r="F252" s="623"/>
      <c r="H252" s="633"/>
      <c r="J252" s="635"/>
      <c r="L252" s="633"/>
    </row>
    <row r="253" spans="1:12">
      <c r="A253" s="623"/>
      <c r="C253" s="623"/>
      <c r="F253" s="623"/>
      <c r="H253" s="633"/>
      <c r="J253" s="635"/>
      <c r="L253" s="633"/>
    </row>
    <row r="254" spans="1:12">
      <c r="A254" s="623"/>
      <c r="C254" s="623"/>
      <c r="F254" s="623"/>
      <c r="H254" s="633"/>
      <c r="J254" s="635"/>
      <c r="L254" s="633"/>
    </row>
    <row r="255" spans="1:12">
      <c r="A255" s="623"/>
      <c r="C255" s="623"/>
      <c r="F255" s="623"/>
      <c r="H255" s="633"/>
      <c r="J255" s="635"/>
      <c r="L255" s="633"/>
    </row>
    <row r="256" spans="1:12">
      <c r="A256" s="623"/>
      <c r="C256" s="623"/>
      <c r="F256" s="623"/>
      <c r="H256" s="633"/>
      <c r="J256" s="635"/>
      <c r="L256" s="633"/>
    </row>
    <row r="257" spans="1:13">
      <c r="A257" s="623"/>
      <c r="C257" s="623"/>
      <c r="F257" s="623"/>
      <c r="H257" s="633"/>
      <c r="J257" s="635"/>
      <c r="L257" s="633"/>
    </row>
    <row r="258" spans="1:13">
      <c r="A258" s="623"/>
      <c r="C258" s="623"/>
      <c r="F258" s="623"/>
      <c r="H258" s="633"/>
      <c r="J258" s="635"/>
      <c r="L258" s="633"/>
    </row>
    <row r="259" spans="1:13">
      <c r="F259" s="623"/>
      <c r="H259" s="631"/>
      <c r="J259" s="635"/>
      <c r="L259" s="631"/>
      <c r="M259" s="623"/>
    </row>
    <row r="260" spans="1:13">
      <c r="C260" s="637"/>
      <c r="G260" s="623"/>
    </row>
    <row r="261" spans="1:13">
      <c r="C261" s="638"/>
      <c r="G261" s="623"/>
    </row>
    <row r="262" spans="1:13">
      <c r="C262" s="623"/>
      <c r="G262" s="623"/>
    </row>
    <row r="263" spans="1:13">
      <c r="G263" s="623"/>
    </row>
    <row r="264" spans="1:13">
      <c r="M264" s="623"/>
    </row>
    <row r="265" spans="1:13">
      <c r="M265" s="623"/>
    </row>
    <row r="266" spans="1:13">
      <c r="M266" s="623"/>
    </row>
    <row r="267" spans="1:13">
      <c r="A267" s="623"/>
      <c r="C267" s="623"/>
      <c r="H267" s="623"/>
    </row>
    <row r="268" spans="1:13">
      <c r="A268" s="623"/>
      <c r="C268" s="623"/>
      <c r="F268" s="623"/>
      <c r="H268" s="623"/>
      <c r="J268" s="623"/>
      <c r="L268" s="623"/>
    </row>
    <row r="269" spans="1:13">
      <c r="F269" s="623"/>
      <c r="H269" s="623"/>
      <c r="J269" s="623"/>
      <c r="L269" s="623"/>
    </row>
    <row r="270" spans="1:13">
      <c r="A270" s="623"/>
      <c r="C270" s="623"/>
      <c r="H270" s="623"/>
      <c r="J270" s="623"/>
      <c r="L270" s="623"/>
    </row>
    <row r="271" spans="1:13">
      <c r="A271" s="623"/>
      <c r="F271" s="623"/>
      <c r="H271" s="623"/>
      <c r="J271" s="623"/>
      <c r="L271" s="623"/>
    </row>
    <row r="272" spans="1:13">
      <c r="A272" s="623"/>
      <c r="C272" s="623"/>
      <c r="F272" s="623"/>
    </row>
    <row r="273" spans="1:12">
      <c r="A273" s="623"/>
      <c r="C273" s="623"/>
      <c r="F273" s="623"/>
      <c r="H273" s="633"/>
      <c r="J273" s="636"/>
      <c r="L273" s="633"/>
    </row>
    <row r="274" spans="1:12">
      <c r="A274" s="623"/>
      <c r="C274" s="623"/>
      <c r="F274" s="623"/>
      <c r="H274" s="633"/>
      <c r="J274" s="636"/>
      <c r="L274" s="633"/>
    </row>
    <row r="275" spans="1:12">
      <c r="A275" s="623"/>
      <c r="C275" s="623"/>
      <c r="F275" s="623"/>
      <c r="H275" s="633"/>
      <c r="J275" s="635"/>
      <c r="L275" s="633"/>
    </row>
    <row r="276" spans="1:12">
      <c r="F276" s="623"/>
      <c r="H276" s="633"/>
      <c r="J276" s="635"/>
      <c r="L276" s="631"/>
    </row>
    <row r="277" spans="1:12">
      <c r="A277" s="623"/>
      <c r="C277" s="623"/>
    </row>
    <row r="278" spans="1:12">
      <c r="F278" s="623"/>
      <c r="H278" s="631"/>
      <c r="J278" s="635"/>
      <c r="L278" s="631"/>
    </row>
    <row r="279" spans="1:12">
      <c r="A279" s="623"/>
      <c r="C279" s="623"/>
    </row>
    <row r="280" spans="1:12">
      <c r="A280" s="623"/>
      <c r="C280" s="623"/>
      <c r="F280" s="623"/>
      <c r="H280" s="633"/>
      <c r="J280" s="635"/>
      <c r="L280" s="633"/>
    </row>
    <row r="281" spans="1:12">
      <c r="A281" s="623"/>
      <c r="C281" s="623"/>
      <c r="F281" s="623"/>
      <c r="H281" s="633"/>
      <c r="J281" s="635"/>
      <c r="L281" s="633"/>
    </row>
    <row r="282" spans="1:12">
      <c r="A282" s="623"/>
      <c r="C282" s="623"/>
      <c r="F282" s="623"/>
      <c r="H282" s="633"/>
      <c r="J282" s="635"/>
      <c r="L282" s="633"/>
    </row>
    <row r="283" spans="1:12">
      <c r="F283" s="623"/>
      <c r="H283" s="631"/>
      <c r="J283" s="635"/>
      <c r="L283" s="631"/>
    </row>
    <row r="284" spans="1:12">
      <c r="A284" s="623"/>
      <c r="C284" s="623"/>
      <c r="J284" s="636"/>
    </row>
    <row r="285" spans="1:12">
      <c r="F285" s="623"/>
      <c r="H285" s="631"/>
      <c r="J285" s="635"/>
      <c r="L285" s="631"/>
    </row>
    <row r="286" spans="1:12">
      <c r="C286" s="623"/>
    </row>
    <row r="290" spans="1:1">
      <c r="A290" s="623"/>
    </row>
    <row r="291" spans="1:1">
      <c r="A291" s="623"/>
    </row>
    <row r="292" spans="1:1">
      <c r="A292" s="623"/>
    </row>
    <row r="293" spans="1:1">
      <c r="A293" s="623"/>
    </row>
    <row r="295" spans="1:1">
      <c r="A295" s="623"/>
    </row>
  </sheetData>
  <mergeCells count="9">
    <mergeCell ref="A14:O17"/>
    <mergeCell ref="A20:O23"/>
    <mergeCell ref="A26:O29"/>
    <mergeCell ref="A1:U1"/>
    <mergeCell ref="A2:U2"/>
    <mergeCell ref="A3:U3"/>
    <mergeCell ref="A4:U4"/>
    <mergeCell ref="P10:R10"/>
    <mergeCell ref="P11:R11"/>
  </mergeCells>
  <printOptions horizontalCentered="1"/>
  <pageMargins left="0.5" right="0.5" top="0.75" bottom="0.5" header="0.3" footer="0.3"/>
  <pageSetup scale="8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K29"/>
  <sheetViews>
    <sheetView zoomScaleNormal="100" zoomScaleSheetLayoutView="100" workbookViewId="0">
      <selection activeCell="A3" sqref="A3:J3"/>
    </sheetView>
  </sheetViews>
  <sheetFormatPr defaultColWidth="8.5" defaultRowHeight="15"/>
  <cols>
    <col min="1" max="1" width="8.5" style="36"/>
    <col min="2" max="2" width="108.33203125" style="38" customWidth="1"/>
    <col min="3" max="3" width="1.83203125" style="38" customWidth="1"/>
    <col min="4" max="4" width="37.6640625" style="38" bestFit="1" customWidth="1"/>
    <col min="5" max="5" width="1.83203125" style="38" customWidth="1"/>
    <col min="6" max="6" width="18" style="38" customWidth="1"/>
    <col min="7" max="7" width="1.83203125" style="38" customWidth="1"/>
    <col min="8" max="8" width="17.6640625" style="38" bestFit="1" customWidth="1"/>
    <col min="9" max="9" width="1.83203125" style="38" customWidth="1"/>
    <col min="10" max="10" width="18.83203125" style="38" customWidth="1"/>
    <col min="11" max="11" width="4.1640625" style="38" customWidth="1"/>
    <col min="12" max="16384" width="8.5" style="38"/>
  </cols>
  <sheetData>
    <row r="1" spans="1:11" ht="15.75">
      <c r="A1" s="1333" t="str">
        <f>+'General Headers Index'!B4</f>
        <v>COLUMBIA GAS OF KENTUCKY, INC.</v>
      </c>
      <c r="B1" s="1333"/>
      <c r="C1" s="1333"/>
      <c r="D1" s="1333"/>
      <c r="E1" s="1333"/>
      <c r="F1" s="1333"/>
      <c r="G1" s="1333"/>
      <c r="H1" s="1333"/>
      <c r="I1" s="1333"/>
      <c r="J1" s="1333"/>
      <c r="K1" s="606"/>
    </row>
    <row r="2" spans="1:11" ht="15.75">
      <c r="A2" s="1333" t="str">
        <f>+'General Headers Index'!B6</f>
        <v>CASE NO. 2024 - 00092</v>
      </c>
      <c r="B2" s="1333"/>
      <c r="C2" s="1333"/>
      <c r="D2" s="1333"/>
      <c r="E2" s="1333"/>
      <c r="F2" s="1333"/>
      <c r="G2" s="1333"/>
      <c r="H2" s="1333"/>
      <c r="I2" s="1333"/>
      <c r="J2" s="1333"/>
      <c r="K2" s="606"/>
    </row>
    <row r="3" spans="1:11" ht="15.75">
      <c r="A3" s="1333" t="str">
        <f>'Index D'!C26</f>
        <v>PROPERTY TAX ADJUSTMENTS</v>
      </c>
      <c r="B3" s="1333"/>
      <c r="C3" s="1333"/>
      <c r="D3" s="1333"/>
      <c r="E3" s="1333"/>
      <c r="F3" s="1333"/>
      <c r="G3" s="1333"/>
      <c r="H3" s="1333"/>
      <c r="I3" s="1333"/>
      <c r="J3" s="1333"/>
      <c r="K3" s="606"/>
    </row>
    <row r="4" spans="1:11" ht="15.75">
      <c r="A4" s="1333" t="str">
        <f>+'General Headers Index'!B15</f>
        <v>FOR THE TWELVE MONTHS ENDED DECEMBER 31, 2025</v>
      </c>
      <c r="B4" s="1333"/>
      <c r="C4" s="1333"/>
      <c r="D4" s="1333"/>
      <c r="E4" s="1333"/>
      <c r="F4" s="1333"/>
      <c r="G4" s="1333"/>
      <c r="H4" s="1333"/>
      <c r="I4" s="1333"/>
      <c r="J4" s="1333"/>
      <c r="K4" s="607"/>
    </row>
    <row r="5" spans="1:11" ht="15.75">
      <c r="B5" s="36"/>
      <c r="C5" s="36"/>
      <c r="D5" s="36"/>
      <c r="E5" s="36"/>
      <c r="F5" s="36"/>
      <c r="G5" s="36"/>
      <c r="H5" s="36"/>
      <c r="I5" s="36"/>
      <c r="J5" s="36"/>
      <c r="K5" s="607"/>
    </row>
    <row r="6" spans="1:11" ht="15.75">
      <c r="K6" s="606"/>
    </row>
    <row r="7" spans="1:11" ht="15.75">
      <c r="A7" s="588" t="s">
        <v>3062</v>
      </c>
      <c r="J7" s="589" t="s">
        <v>2986</v>
      </c>
      <c r="K7" s="606"/>
    </row>
    <row r="8" spans="1:11" ht="15.75">
      <c r="A8" s="588" t="s">
        <v>3060</v>
      </c>
      <c r="J8" s="589" t="str">
        <f>"WITNESS: "&amp;'General Headers Index'!B58</f>
        <v>WITNESS: HARDING</v>
      </c>
      <c r="K8" s="606"/>
    </row>
    <row r="10" spans="1:11">
      <c r="A10" s="612" t="s">
        <v>313</v>
      </c>
      <c r="B10" s="612"/>
      <c r="C10" s="612"/>
      <c r="D10" s="612"/>
      <c r="E10" s="612"/>
      <c r="F10" s="612" t="s">
        <v>1297</v>
      </c>
      <c r="G10" s="612"/>
      <c r="H10" s="612" t="s">
        <v>169</v>
      </c>
      <c r="I10" s="612"/>
      <c r="J10" s="613"/>
    </row>
    <row r="11" spans="1:11">
      <c r="A11" s="867" t="s">
        <v>316</v>
      </c>
      <c r="B11" s="867" t="s">
        <v>451</v>
      </c>
      <c r="C11" s="867"/>
      <c r="D11" s="1241" t="s">
        <v>318</v>
      </c>
      <c r="E11" s="1241"/>
      <c r="F11" s="867" t="s">
        <v>444</v>
      </c>
      <c r="G11" s="867"/>
      <c r="H11" s="867" t="s">
        <v>1298</v>
      </c>
      <c r="I11" s="867"/>
      <c r="J11" s="867" t="s">
        <v>1299</v>
      </c>
    </row>
    <row r="12" spans="1:11" ht="15.75">
      <c r="A12" s="590"/>
      <c r="B12" s="590"/>
      <c r="C12" s="590"/>
      <c r="D12" s="590"/>
      <c r="E12" s="590"/>
      <c r="F12" s="607" t="s">
        <v>320</v>
      </c>
      <c r="G12" s="607"/>
      <c r="H12" s="657"/>
      <c r="I12" s="657"/>
      <c r="J12" s="607" t="s">
        <v>320</v>
      </c>
    </row>
    <row r="13" spans="1:11">
      <c r="A13" s="36">
        <v>1</v>
      </c>
      <c r="B13" s="591" t="s">
        <v>2515</v>
      </c>
      <c r="K13" s="597"/>
    </row>
    <row r="14" spans="1:11" ht="17.25">
      <c r="A14" s="36">
        <f>+A13+1</f>
        <v>2</v>
      </c>
      <c r="B14" s="38" t="s">
        <v>2516</v>
      </c>
      <c r="F14" s="592">
        <v>42177685</v>
      </c>
      <c r="G14" s="592"/>
      <c r="K14" s="598"/>
    </row>
    <row r="15" spans="1:11">
      <c r="A15" s="36">
        <f>+A14+1</f>
        <v>3</v>
      </c>
      <c r="B15" s="38" t="s">
        <v>2517</v>
      </c>
      <c r="F15" s="600">
        <f>+F14</f>
        <v>42177685</v>
      </c>
      <c r="G15" s="594"/>
      <c r="K15" s="597"/>
    </row>
    <row r="16" spans="1:11">
      <c r="A16" s="36">
        <f>A15+1</f>
        <v>4</v>
      </c>
      <c r="B16" s="38" t="s">
        <v>1301</v>
      </c>
      <c r="H16" s="595">
        <v>1.52971184E-2</v>
      </c>
      <c r="I16" s="596"/>
      <c r="K16" s="269"/>
    </row>
    <row r="17" spans="1:11" ht="17.25">
      <c r="A17" s="36">
        <f>A16+1</f>
        <v>5</v>
      </c>
      <c r="B17" s="38" t="s">
        <v>2519</v>
      </c>
      <c r="F17" s="592"/>
      <c r="G17" s="592"/>
      <c r="H17" s="594"/>
      <c r="I17" s="594"/>
      <c r="J17" s="608">
        <f>(F15*H16)*(4/12)</f>
        <v>215065.68042763465</v>
      </c>
      <c r="K17" s="601"/>
    </row>
    <row r="18" spans="1:11" ht="17.25">
      <c r="F18" s="592"/>
      <c r="G18" s="592"/>
      <c r="H18" s="594"/>
      <c r="I18" s="594"/>
      <c r="J18" s="269"/>
      <c r="K18" s="601"/>
    </row>
    <row r="19" spans="1:11">
      <c r="A19" s="36">
        <f>+A17+1</f>
        <v>6</v>
      </c>
      <c r="B19" s="591" t="s">
        <v>2512</v>
      </c>
      <c r="K19" s="597"/>
    </row>
    <row r="20" spans="1:11" ht="17.25">
      <c r="A20" s="36">
        <f>+A19+1</f>
        <v>7</v>
      </c>
      <c r="B20" s="38" t="s">
        <v>2000</v>
      </c>
      <c r="D20" s="36" t="str">
        <f>+'WPB-2.1.B Summary'!$N$6&amp;", Line "&amp;'WPB-2.1.B Summary'!$A$85&amp;", Col. F - M"</f>
        <v>WPB-2.1.B, Line 12, Col. F - M</v>
      </c>
      <c r="F20" s="592">
        <f>+'WPB-2.1.B Summary'!$F$85-'WPB-2.1.B Summary'!$M$85</f>
        <v>45581670.191592</v>
      </c>
      <c r="G20" s="592"/>
      <c r="K20" s="598"/>
    </row>
    <row r="21" spans="1:11">
      <c r="A21" s="36">
        <f>+A20+1</f>
        <v>8</v>
      </c>
      <c r="B21" s="38" t="s">
        <v>2513</v>
      </c>
      <c r="F21" s="600">
        <f>+F20</f>
        <v>45581670.191592</v>
      </c>
      <c r="G21" s="594"/>
      <c r="K21" s="597"/>
    </row>
    <row r="22" spans="1:11">
      <c r="A22" s="36">
        <f>+A21+1</f>
        <v>9</v>
      </c>
      <c r="B22" s="38" t="s">
        <v>1301</v>
      </c>
      <c r="H22" s="595">
        <v>1.52971184E-2</v>
      </c>
      <c r="I22" s="596"/>
      <c r="K22" s="269"/>
    </row>
    <row r="23" spans="1:11" ht="17.25">
      <c r="A23" s="36">
        <f>+A22+1</f>
        <v>10</v>
      </c>
      <c r="B23" s="38" t="s">
        <v>2518</v>
      </c>
      <c r="F23" s="592"/>
      <c r="G23" s="592"/>
      <c r="H23" s="594"/>
      <c r="I23" s="594"/>
      <c r="J23" s="608">
        <f>(F21*H22)*(8/12)</f>
        <v>464845.47052702238</v>
      </c>
      <c r="K23" s="601"/>
    </row>
    <row r="25" spans="1:11">
      <c r="A25" s="36">
        <f>+A23+1</f>
        <v>11</v>
      </c>
      <c r="B25" s="38" t="s">
        <v>2514</v>
      </c>
      <c r="J25" s="608">
        <f>+J17+J23</f>
        <v>679911.150954657</v>
      </c>
    </row>
    <row r="29" spans="1:11">
      <c r="F29" s="592"/>
    </row>
  </sheetData>
  <mergeCells count="4">
    <mergeCell ref="A1:J1"/>
    <mergeCell ref="A2:J2"/>
    <mergeCell ref="A3:J3"/>
    <mergeCell ref="A4:J4"/>
  </mergeCells>
  <printOptions horizontalCentered="1"/>
  <pageMargins left="0.5" right="0.5" top="0.75" bottom="0.5" header="0.3" footer="0.3"/>
  <pageSetup scale="7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G319"/>
  <sheetViews>
    <sheetView topLeftCell="A39" zoomScaleNormal="100" zoomScaleSheetLayoutView="100" workbookViewId="0">
      <selection activeCell="A72" sqref="A72:T72"/>
    </sheetView>
  </sheetViews>
  <sheetFormatPr defaultColWidth="8.33203125" defaultRowHeight="12"/>
  <cols>
    <col min="1" max="9" width="8.33203125" style="133"/>
    <col min="10" max="10" width="3" style="133" customWidth="1"/>
    <col min="11" max="11" width="8.33203125" style="133"/>
    <col min="12" max="12" width="2.33203125" style="133" customWidth="1"/>
    <col min="13" max="13" width="1.1640625" style="133" customWidth="1"/>
    <col min="14" max="14" width="6.1640625" style="133" customWidth="1"/>
    <col min="15" max="15" width="14.33203125" style="133" customWidth="1"/>
    <col min="16" max="16" width="5" style="205" customWidth="1"/>
    <col min="17" max="17" width="13.5" style="133" customWidth="1"/>
    <col min="18" max="18" width="11.33203125" style="133" customWidth="1"/>
    <col min="19" max="19" width="10" style="133" customWidth="1"/>
    <col min="20" max="20" width="22" style="133" bestFit="1" customWidth="1"/>
    <col min="21" max="22" width="8.33203125" style="133"/>
    <col min="23" max="23" width="14.6640625" style="133" bestFit="1" customWidth="1"/>
    <col min="24" max="24" width="13.33203125" style="133" bestFit="1" customWidth="1"/>
    <col min="25" max="25" width="11.6640625" style="133" customWidth="1"/>
    <col min="26" max="28" width="8.33203125" style="133"/>
    <col min="29" max="29" width="9.1640625" style="133" customWidth="1"/>
    <col min="30" max="30" width="10" style="133" customWidth="1"/>
    <col min="31" max="16384" width="8.33203125" style="133"/>
  </cols>
  <sheetData>
    <row r="1" spans="1:25"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c r="S1" s="1328"/>
      <c r="T1" s="1328"/>
    </row>
    <row r="2" spans="1:25"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c r="S2" s="1328"/>
      <c r="T2" s="1328"/>
    </row>
    <row r="3" spans="1:25" ht="12.75" customHeight="1">
      <c r="A3" s="1328" t="str">
        <f>'Index D'!C27</f>
        <v>DETAILED ADJUSTMENTS</v>
      </c>
      <c r="B3" s="1328"/>
      <c r="C3" s="1328"/>
      <c r="D3" s="1328"/>
      <c r="E3" s="1328"/>
      <c r="F3" s="1328"/>
      <c r="G3" s="1328"/>
      <c r="H3" s="1328"/>
      <c r="I3" s="1328"/>
      <c r="J3" s="1328"/>
      <c r="K3" s="1328"/>
      <c r="L3" s="1328"/>
      <c r="M3" s="1328"/>
      <c r="N3" s="1328"/>
      <c r="O3" s="1328"/>
      <c r="P3" s="1328"/>
      <c r="Q3" s="1328"/>
      <c r="R3" s="1328"/>
      <c r="S3" s="1328"/>
      <c r="T3" s="1328"/>
    </row>
    <row r="4" spans="1:25" ht="12.75" customHeigh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c r="P4" s="1328"/>
      <c r="Q4" s="1328"/>
      <c r="R4" s="1328"/>
      <c r="S4" s="1328"/>
      <c r="T4" s="1328"/>
    </row>
    <row r="5" spans="1:25">
      <c r="C5" s="623"/>
      <c r="J5" s="622"/>
    </row>
    <row r="6" spans="1:25">
      <c r="A6" s="625" t="s">
        <v>2786</v>
      </c>
      <c r="T6" s="624" t="s">
        <v>49</v>
      </c>
    </row>
    <row r="7" spans="1:25">
      <c r="A7" s="625" t="str">
        <f>'General Headers Index'!B37</f>
        <v>TYPE OF FILING:___X___ORIGINAL______UPDATED</v>
      </c>
      <c r="T7" s="624" t="s">
        <v>883</v>
      </c>
    </row>
    <row r="8" spans="1:25">
      <c r="A8" s="625" t="s">
        <v>58</v>
      </c>
      <c r="T8" s="624" t="str">
        <f>"WITNESS: "&amp;'General Headers Index'!B47</f>
        <v>WITNESS: WOZNIAK</v>
      </c>
    </row>
    <row r="9" spans="1:25">
      <c r="A9" s="623"/>
      <c r="C9" s="623"/>
      <c r="H9" s="623"/>
      <c r="J9" s="623"/>
      <c r="L9" s="623"/>
    </row>
    <row r="10" spans="1:25">
      <c r="A10" s="626"/>
      <c r="B10" s="626"/>
      <c r="C10" s="626"/>
      <c r="D10" s="626"/>
      <c r="E10" s="626"/>
      <c r="F10" s="626"/>
      <c r="G10" s="626"/>
      <c r="H10" s="626"/>
      <c r="I10" s="626"/>
      <c r="J10" s="626"/>
      <c r="K10" s="626"/>
      <c r="L10" s="626"/>
      <c r="M10" s="626"/>
      <c r="N10" s="626"/>
      <c r="O10" s="1330" t="s">
        <v>42</v>
      </c>
      <c r="P10" s="1330"/>
      <c r="Q10" s="1330"/>
      <c r="R10" s="626"/>
      <c r="S10" s="626"/>
      <c r="T10" s="626"/>
    </row>
    <row r="11" spans="1:25">
      <c r="A11" s="1038" t="s">
        <v>43</v>
      </c>
      <c r="B11" s="1031"/>
      <c r="C11" s="1039"/>
      <c r="D11" s="1031"/>
      <c r="E11" s="1031"/>
      <c r="F11" s="1031"/>
      <c r="G11" s="1031"/>
      <c r="H11" s="1031"/>
      <c r="I11" s="1031"/>
      <c r="J11" s="1031"/>
      <c r="K11" s="1031"/>
      <c r="L11" s="1031"/>
      <c r="M11" s="1031"/>
      <c r="N11" s="1031"/>
      <c r="O11" s="1329" t="s">
        <v>2351</v>
      </c>
      <c r="P11" s="1329"/>
      <c r="Q11" s="1329"/>
      <c r="R11" s="1031"/>
      <c r="S11" s="1031"/>
      <c r="T11" s="1029" t="s">
        <v>45</v>
      </c>
    </row>
    <row r="13" spans="1:25">
      <c r="A13" s="630" t="s">
        <v>960</v>
      </c>
    </row>
    <row r="14" spans="1:25">
      <c r="A14" s="625" t="s">
        <v>2748</v>
      </c>
      <c r="P14" s="205" t="str">
        <f>'D-1.B (FTP IS Adj Summary)'!R7</f>
        <v>SCHEDULE D-1.B</v>
      </c>
      <c r="R14" s="625" t="s">
        <v>651</v>
      </c>
      <c r="T14" s="629">
        <f>'D-1.B (FTP IS Adj Summary)'!D18</f>
        <v>88658517.700000018</v>
      </c>
      <c r="W14" s="629"/>
      <c r="X14" s="631"/>
      <c r="Y14" s="629"/>
    </row>
    <row r="15" spans="1:25">
      <c r="A15" s="625" t="s">
        <v>2750</v>
      </c>
      <c r="P15" s="205" t="str">
        <f>'D-1.A (BP IS Adj Summary)'!P7</f>
        <v>SCHEDULE D-1.A</v>
      </c>
      <c r="R15" s="625" t="s">
        <v>2352</v>
      </c>
      <c r="T15" s="631">
        <f>'D-1.A (BP IS Adj Summary)'!H18</f>
        <v>93794571.11999999</v>
      </c>
      <c r="W15" s="629"/>
      <c r="X15" s="631"/>
      <c r="Y15" s="629"/>
    </row>
    <row r="16" spans="1:25">
      <c r="A16" s="133" t="s">
        <v>2749</v>
      </c>
      <c r="R16" s="625" t="s">
        <v>433</v>
      </c>
      <c r="T16" s="640">
        <f>T14-T15</f>
        <v>-5136053.419999972</v>
      </c>
      <c r="W16" s="629"/>
      <c r="X16" s="631"/>
      <c r="Y16" s="629"/>
    </row>
    <row r="17" spans="1:20">
      <c r="T17" s="641">
        <f>IFERROR(ROUND(T16/T15,4),0)</f>
        <v>-5.4800000000000001E-2</v>
      </c>
    </row>
    <row r="18" spans="1:20">
      <c r="T18" s="641"/>
    </row>
    <row r="20" spans="1:20">
      <c r="A20" s="625" t="s">
        <v>2751</v>
      </c>
      <c r="P20" s="205" t="str">
        <f>P14</f>
        <v>SCHEDULE D-1.B</v>
      </c>
      <c r="R20" s="625" t="s">
        <v>651</v>
      </c>
      <c r="T20" s="629">
        <f>'D-1.B (FTP IS Adj Summary)'!D19</f>
        <v>37370258.980000004</v>
      </c>
    </row>
    <row r="21" spans="1:20">
      <c r="A21" s="625" t="s">
        <v>2752</v>
      </c>
      <c r="P21" s="205" t="str">
        <f>P15</f>
        <v>SCHEDULE D-1.A</v>
      </c>
      <c r="R21" s="625" t="s">
        <v>2352</v>
      </c>
      <c r="T21" s="631">
        <f>'D-1.A (BP IS Adj Summary)'!H19</f>
        <v>41319820.99000001</v>
      </c>
    </row>
    <row r="22" spans="1:20">
      <c r="A22" s="133" t="s">
        <v>2749</v>
      </c>
      <c r="R22" s="625" t="s">
        <v>433</v>
      </c>
      <c r="T22" s="640">
        <f>T20-T21</f>
        <v>-3949562.0100000054</v>
      </c>
    </row>
    <row r="23" spans="1:20">
      <c r="T23" s="641">
        <f>IFERROR(ROUND(T22/T21,4),0)</f>
        <v>-9.5600000000000004E-2</v>
      </c>
    </row>
    <row r="24" spans="1:20">
      <c r="T24" s="641"/>
    </row>
    <row r="26" spans="1:20">
      <c r="A26" s="625" t="s">
        <v>2753</v>
      </c>
      <c r="P26" s="205" t="str">
        <f>P14</f>
        <v>SCHEDULE D-1.B</v>
      </c>
      <c r="R26" s="625" t="s">
        <v>651</v>
      </c>
      <c r="T26" s="629">
        <f>'D-1.B (FTP IS Adj Summary)'!D20</f>
        <v>1175359.8599999999</v>
      </c>
    </row>
    <row r="27" spans="1:20">
      <c r="A27" s="625" t="s">
        <v>2752</v>
      </c>
      <c r="P27" s="205" t="str">
        <f>P15</f>
        <v>SCHEDULE D-1.A</v>
      </c>
      <c r="R27" s="625" t="s">
        <v>2352</v>
      </c>
      <c r="T27" s="631">
        <f>'D-1.A (BP IS Adj Summary)'!H20</f>
        <v>1458834.41</v>
      </c>
    </row>
    <row r="28" spans="1:20">
      <c r="A28" s="133" t="s">
        <v>2749</v>
      </c>
      <c r="R28" s="625" t="s">
        <v>433</v>
      </c>
      <c r="T28" s="640">
        <f>T26-T27</f>
        <v>-283474.55000000005</v>
      </c>
    </row>
    <row r="29" spans="1:20">
      <c r="T29" s="641">
        <f>IFERROR(ROUND(T28/T27,4),0)</f>
        <v>-0.1943</v>
      </c>
    </row>
    <row r="30" spans="1:20">
      <c r="T30" s="641"/>
    </row>
    <row r="32" spans="1:20">
      <c r="A32" s="625" t="s">
        <v>2754</v>
      </c>
      <c r="P32" s="205" t="str">
        <f>P14</f>
        <v>SCHEDULE D-1.B</v>
      </c>
      <c r="R32" s="625" t="s">
        <v>651</v>
      </c>
      <c r="T32" s="629">
        <f>'D-1.B (FTP IS Adj Summary)'!D21</f>
        <v>0</v>
      </c>
    </row>
    <row r="33" spans="1:20">
      <c r="A33" s="625" t="s">
        <v>2752</v>
      </c>
      <c r="P33" s="205" t="str">
        <f>P15</f>
        <v>SCHEDULE D-1.A</v>
      </c>
      <c r="R33" s="625" t="s">
        <v>2352</v>
      </c>
      <c r="T33" s="631">
        <f>'D-1.A (BP IS Adj Summary)'!H21</f>
        <v>8154.5900000000011</v>
      </c>
    </row>
    <row r="34" spans="1:20">
      <c r="A34" s="133" t="s">
        <v>2749</v>
      </c>
      <c r="R34" s="625" t="s">
        <v>433</v>
      </c>
      <c r="T34" s="640">
        <f>T32-T33</f>
        <v>-8154.5900000000011</v>
      </c>
    </row>
    <row r="35" spans="1:20">
      <c r="T35" s="641">
        <f>IFERROR(ROUND(T34/T33,4),0)</f>
        <v>-1</v>
      </c>
    </row>
    <row r="36" spans="1:20">
      <c r="T36" s="641"/>
    </row>
    <row r="38" spans="1:20">
      <c r="A38" s="625" t="s">
        <v>2755</v>
      </c>
      <c r="P38" s="205" t="str">
        <f>P14</f>
        <v>SCHEDULE D-1.B</v>
      </c>
      <c r="R38" s="625" t="s">
        <v>651</v>
      </c>
      <c r="T38" s="629">
        <f>'D-1.B (FTP IS Adj Summary)'!D22</f>
        <v>65884.3</v>
      </c>
    </row>
    <row r="39" spans="1:20">
      <c r="A39" s="625" t="s">
        <v>2752</v>
      </c>
      <c r="P39" s="205" t="str">
        <f>P15</f>
        <v>SCHEDULE D-1.A</v>
      </c>
      <c r="R39" s="625" t="s">
        <v>2352</v>
      </c>
      <c r="T39" s="631">
        <f>'D-1.A (BP IS Adj Summary)'!H22</f>
        <v>67375.94</v>
      </c>
    </row>
    <row r="40" spans="1:20">
      <c r="A40" s="133" t="s">
        <v>2749</v>
      </c>
      <c r="R40" s="625" t="s">
        <v>433</v>
      </c>
      <c r="T40" s="640">
        <f>T38-T39</f>
        <v>-1491.6399999999994</v>
      </c>
    </row>
    <row r="41" spans="1:20">
      <c r="R41" s="625"/>
      <c r="T41" s="629"/>
    </row>
    <row r="42" spans="1:20">
      <c r="T42" s="641">
        <f>IFERROR(ROUND(T40/T39,4),0)</f>
        <v>-2.2100000000000002E-2</v>
      </c>
    </row>
    <row r="44" spans="1:20">
      <c r="A44" s="630" t="s">
        <v>961</v>
      </c>
    </row>
    <row r="45" spans="1:20">
      <c r="A45" s="625" t="s">
        <v>2756</v>
      </c>
      <c r="P45" s="205" t="str">
        <f>P14</f>
        <v>SCHEDULE D-1.B</v>
      </c>
      <c r="R45" s="625" t="s">
        <v>651</v>
      </c>
      <c r="T45" s="629">
        <f>'D-1.B (FTP IS Adj Summary)'!D26</f>
        <v>590096.80666666676</v>
      </c>
    </row>
    <row r="46" spans="1:20">
      <c r="A46" s="625" t="s">
        <v>2758</v>
      </c>
      <c r="P46" s="205" t="str">
        <f>P39</f>
        <v>SCHEDULE D-1.A</v>
      </c>
      <c r="R46" s="625" t="s">
        <v>3074</v>
      </c>
      <c r="T46" s="631">
        <f>'D-1.A (BP IS Adj Summary)'!D26</f>
        <v>592900.87966927944</v>
      </c>
    </row>
    <row r="47" spans="1:20">
      <c r="A47" s="133" t="s">
        <v>2757</v>
      </c>
      <c r="R47" s="625" t="s">
        <v>433</v>
      </c>
      <c r="T47" s="640">
        <f>T45-T46</f>
        <v>-2804.0730026126839</v>
      </c>
    </row>
    <row r="48" spans="1:20">
      <c r="T48" s="641">
        <f>IFERROR(ROUND(T47/T46,4),0)</f>
        <v>-4.7000000000000002E-3</v>
      </c>
    </row>
    <row r="50" spans="1:20">
      <c r="A50" s="625" t="s">
        <v>2759</v>
      </c>
      <c r="C50" s="623"/>
      <c r="P50" s="205" t="str">
        <f>P14</f>
        <v>SCHEDULE D-1.B</v>
      </c>
      <c r="R50" s="625" t="s">
        <v>651</v>
      </c>
      <c r="T50" s="629">
        <f>'D-1.B (FTP IS Adj Summary)'!D27</f>
        <v>128280.12333333342</v>
      </c>
    </row>
    <row r="51" spans="1:20">
      <c r="A51" s="625" t="s">
        <v>2758</v>
      </c>
      <c r="P51" s="205" t="str">
        <f>P46</f>
        <v>SCHEDULE D-1.A</v>
      </c>
      <c r="R51" s="625" t="str">
        <f>$R$46</f>
        <v>BASE-UNADJUSTED</v>
      </c>
      <c r="T51" s="631">
        <f>'D-1.A (BP IS Adj Summary)'!D27</f>
        <v>104673.74882649933</v>
      </c>
    </row>
    <row r="52" spans="1:20">
      <c r="A52" s="133" t="s">
        <v>2760</v>
      </c>
      <c r="R52" s="625" t="s">
        <v>433</v>
      </c>
      <c r="T52" s="640">
        <f>T50-T51</f>
        <v>23606.374506834094</v>
      </c>
    </row>
    <row r="53" spans="1:20">
      <c r="T53" s="641">
        <f>IFERROR(ROUND(T52/T51,4),0)</f>
        <v>0.22550000000000001</v>
      </c>
    </row>
    <row r="54" spans="1:20">
      <c r="T54" s="641"/>
    </row>
    <row r="56" spans="1:20">
      <c r="A56" s="625" t="s">
        <v>2761</v>
      </c>
      <c r="P56" s="205" t="str">
        <f>P14</f>
        <v>SCHEDULE D-1.B</v>
      </c>
      <c r="R56" s="625" t="s">
        <v>651</v>
      </c>
      <c r="T56" s="629">
        <f>'D-1.B (FTP IS Adj Summary)'!D28</f>
        <v>22584729.709999997</v>
      </c>
    </row>
    <row r="57" spans="1:20">
      <c r="A57" s="625" t="s">
        <v>2763</v>
      </c>
      <c r="P57" s="205" t="str">
        <f>P51</f>
        <v>SCHEDULE D-1.A</v>
      </c>
      <c r="R57" s="625" t="s">
        <v>2352</v>
      </c>
      <c r="T57" s="631">
        <f>'D-1.A (BP IS Adj Summary)'!H28</f>
        <v>23293584.179999996</v>
      </c>
    </row>
    <row r="58" spans="1:20">
      <c r="A58" s="625" t="s">
        <v>2762</v>
      </c>
      <c r="R58" s="625" t="s">
        <v>433</v>
      </c>
      <c r="T58" s="640">
        <f>T56-T57</f>
        <v>-708854.46999999881</v>
      </c>
    </row>
    <row r="59" spans="1:20">
      <c r="T59" s="641">
        <f>IFERROR(ROUND(T58/T57,4),0)</f>
        <v>-3.04E-2</v>
      </c>
    </row>
    <row r="60" spans="1:20">
      <c r="T60" s="641"/>
    </row>
    <row r="61" spans="1:20">
      <c r="T61" s="641"/>
    </row>
    <row r="62" spans="1:20">
      <c r="A62" s="625" t="s">
        <v>2765</v>
      </c>
      <c r="P62" s="205" t="str">
        <f>P14</f>
        <v>SCHEDULE D-1.B</v>
      </c>
      <c r="R62" s="625" t="s">
        <v>651</v>
      </c>
      <c r="T62" s="629">
        <f>'D-1.B (FTP IS Adj Summary)'!D29</f>
        <v>99708.809999999983</v>
      </c>
    </row>
    <row r="63" spans="1:20">
      <c r="A63" s="625" t="s">
        <v>2764</v>
      </c>
      <c r="P63" s="205" t="str">
        <f>P57</f>
        <v>SCHEDULE D-1.A</v>
      </c>
      <c r="R63" s="625" t="str">
        <f>$R$46</f>
        <v>BASE-UNADJUSTED</v>
      </c>
      <c r="T63" s="631">
        <f>'D-1.A (BP IS Adj Summary)'!D29</f>
        <v>85170.734978536449</v>
      </c>
    </row>
    <row r="64" spans="1:20">
      <c r="A64" s="625"/>
      <c r="R64" s="625" t="s">
        <v>433</v>
      </c>
      <c r="T64" s="640">
        <f>T62-T63</f>
        <v>14538.075021463534</v>
      </c>
    </row>
    <row r="65" spans="1:25">
      <c r="A65" s="625"/>
      <c r="R65" s="625"/>
      <c r="T65" s="641">
        <f>IFERROR(ROUND(T64/T63,4),0)</f>
        <v>0.17069999999999999</v>
      </c>
    </row>
    <row r="66" spans="1:25">
      <c r="A66" s="625"/>
      <c r="R66" s="625"/>
      <c r="T66" s="641"/>
    </row>
    <row r="67" spans="1:25">
      <c r="A67" s="625"/>
      <c r="R67" s="625"/>
      <c r="T67" s="631"/>
    </row>
    <row r="68" spans="1:25">
      <c r="A68" s="625" t="s">
        <v>2766</v>
      </c>
      <c r="P68" s="205" t="str">
        <f>P14</f>
        <v>SCHEDULE D-1.B</v>
      </c>
      <c r="R68" s="625" t="s">
        <v>651</v>
      </c>
      <c r="T68" s="629">
        <f>'D-1.B (FTP IS Adj Summary)'!D30</f>
        <v>147849.33666666667</v>
      </c>
      <c r="W68" s="629"/>
      <c r="X68" s="631"/>
      <c r="Y68" s="629"/>
    </row>
    <row r="69" spans="1:25">
      <c r="A69" s="625" t="s">
        <v>2768</v>
      </c>
      <c r="P69" s="205" t="str">
        <f>P15</f>
        <v>SCHEDULE D-1.A</v>
      </c>
      <c r="R69" s="625" t="str">
        <f>$R$46</f>
        <v>BASE-UNADJUSTED</v>
      </c>
      <c r="T69" s="631">
        <f>'D-1.A (BP IS Adj Summary)'!D30</f>
        <v>6679553.4991233917</v>
      </c>
      <c r="W69" s="655"/>
      <c r="X69" s="656"/>
      <c r="Y69" s="655"/>
    </row>
    <row r="70" spans="1:25">
      <c r="A70" s="625" t="s">
        <v>2767</v>
      </c>
      <c r="R70" s="625" t="s">
        <v>433</v>
      </c>
      <c r="T70" s="640">
        <f>T68-T69</f>
        <v>-6531704.1624567248</v>
      </c>
      <c r="W70" s="629"/>
      <c r="X70" s="631"/>
      <c r="Y70" s="629"/>
    </row>
    <row r="71" spans="1:25">
      <c r="A71" s="625"/>
      <c r="R71" s="625"/>
      <c r="T71" s="641">
        <f>IFERROR(ROUND(T70/T69,4),0)</f>
        <v>-0.97789999999999999</v>
      </c>
    </row>
    <row r="72" spans="1:25" ht="12.75" customHeight="1">
      <c r="A72" s="1328" t="str">
        <f>A1</f>
        <v>COLUMBIA GAS OF KENTUCKY, INC.</v>
      </c>
      <c r="B72" s="1328"/>
      <c r="C72" s="1328"/>
      <c r="D72" s="1328"/>
      <c r="E72" s="1328"/>
      <c r="F72" s="1328"/>
      <c r="G72" s="1328"/>
      <c r="H72" s="1328"/>
      <c r="I72" s="1328"/>
      <c r="J72" s="1328"/>
      <c r="K72" s="1328"/>
      <c r="L72" s="1328"/>
      <c r="M72" s="1328"/>
      <c r="N72" s="1328"/>
      <c r="O72" s="1328"/>
      <c r="P72" s="1328"/>
      <c r="Q72" s="1328"/>
      <c r="R72" s="1328"/>
      <c r="S72" s="1328"/>
      <c r="T72" s="1328"/>
    </row>
    <row r="73" spans="1:25" ht="12.75" customHeight="1">
      <c r="A73" s="1328" t="str">
        <f>A2</f>
        <v>CASE NO. 2024 - 00092</v>
      </c>
      <c r="B73" s="1328"/>
      <c r="C73" s="1328"/>
      <c r="D73" s="1328"/>
      <c r="E73" s="1328"/>
      <c r="F73" s="1328"/>
      <c r="G73" s="1328"/>
      <c r="H73" s="1328"/>
      <c r="I73" s="1328"/>
      <c r="J73" s="1328"/>
      <c r="K73" s="1328"/>
      <c r="L73" s="1328"/>
      <c r="M73" s="1328"/>
      <c r="N73" s="1328"/>
      <c r="O73" s="1328"/>
      <c r="P73" s="1328"/>
      <c r="Q73" s="1328"/>
      <c r="R73" s="1328"/>
      <c r="S73" s="1328"/>
      <c r="T73" s="1328"/>
    </row>
    <row r="74" spans="1:25" ht="12.75" customHeight="1">
      <c r="A74" s="1328" t="str">
        <f>A3</f>
        <v>DETAILED ADJUSTMENTS</v>
      </c>
      <c r="B74" s="1328"/>
      <c r="C74" s="1328"/>
      <c r="D74" s="1328"/>
      <c r="E74" s="1328"/>
      <c r="F74" s="1328"/>
      <c r="G74" s="1328"/>
      <c r="H74" s="1328"/>
      <c r="I74" s="1328"/>
      <c r="J74" s="1328"/>
      <c r="K74" s="1328"/>
      <c r="L74" s="1328"/>
      <c r="M74" s="1328"/>
      <c r="N74" s="1328"/>
      <c r="O74" s="1328"/>
      <c r="P74" s="1328"/>
      <c r="Q74" s="1328"/>
      <c r="R74" s="1328"/>
      <c r="S74" s="1328"/>
      <c r="T74" s="1328"/>
    </row>
    <row r="75" spans="1:25" ht="12.75" customHeight="1">
      <c r="A75" s="1328" t="str">
        <f>A4</f>
        <v>FOR THE TWELVE MONTHS ENDED AUGUST 31, 2024 AND THE TWELVE MONTHS ENDED DECEMBER 31, 2025</v>
      </c>
      <c r="B75" s="1328"/>
      <c r="C75" s="1328"/>
      <c r="D75" s="1328"/>
      <c r="E75" s="1328"/>
      <c r="F75" s="1328"/>
      <c r="G75" s="1328"/>
      <c r="H75" s="1328"/>
      <c r="I75" s="1328"/>
      <c r="J75" s="1328"/>
      <c r="K75" s="1328"/>
      <c r="L75" s="1328"/>
      <c r="M75" s="1328"/>
      <c r="N75" s="1328"/>
      <c r="O75" s="1328"/>
      <c r="P75" s="1328"/>
      <c r="Q75" s="1328"/>
      <c r="R75" s="1328"/>
      <c r="S75" s="1328"/>
      <c r="T75" s="1328"/>
    </row>
    <row r="76" spans="1:25">
      <c r="C76" s="623"/>
      <c r="J76" s="622"/>
    </row>
    <row r="77" spans="1:25">
      <c r="A77" s="625" t="str">
        <f>A6</f>
        <v>DATA:___X___BASE PERIOD___X___FORECASTED PERIOD</v>
      </c>
      <c r="T77" s="624" t="str">
        <f>T6</f>
        <v>SCHEDULE D-2.3</v>
      </c>
    </row>
    <row r="78" spans="1:25">
      <c r="A78" s="625" t="str">
        <f>A7</f>
        <v>TYPE OF FILING:___X___ORIGINAL______UPDATED</v>
      </c>
      <c r="T78" s="624" t="s">
        <v>832</v>
      </c>
    </row>
    <row r="79" spans="1:25">
      <c r="A79" s="625" t="s">
        <v>58</v>
      </c>
      <c r="T79" s="624" t="s">
        <v>3085</v>
      </c>
    </row>
    <row r="80" spans="1:25">
      <c r="A80" s="625"/>
      <c r="T80" s="624" t="s">
        <v>2934</v>
      </c>
    </row>
    <row r="81" spans="1:28">
      <c r="A81" s="623"/>
      <c r="C81" s="623"/>
      <c r="H81" s="623"/>
      <c r="J81" s="623"/>
      <c r="L81" s="623"/>
    </row>
    <row r="82" spans="1:28">
      <c r="A82" s="626"/>
      <c r="B82" s="626"/>
      <c r="C82" s="626"/>
      <c r="D82" s="626"/>
      <c r="E82" s="626"/>
      <c r="F82" s="626"/>
      <c r="G82" s="626"/>
      <c r="H82" s="626"/>
      <c r="I82" s="626"/>
      <c r="J82" s="626"/>
      <c r="K82" s="626"/>
      <c r="L82" s="626"/>
      <c r="M82" s="626"/>
      <c r="N82" s="626"/>
      <c r="O82" s="1330" t="s">
        <v>42</v>
      </c>
      <c r="P82" s="1330"/>
      <c r="Q82" s="1330"/>
      <c r="R82" s="626"/>
      <c r="S82" s="626"/>
      <c r="T82" s="626"/>
    </row>
    <row r="83" spans="1:28">
      <c r="A83" s="1038" t="s">
        <v>43</v>
      </c>
      <c r="B83" s="1031"/>
      <c r="C83" s="1039"/>
      <c r="D83" s="1031"/>
      <c r="E83" s="1031"/>
      <c r="F83" s="1031"/>
      <c r="G83" s="1031"/>
      <c r="H83" s="1031"/>
      <c r="I83" s="1031"/>
      <c r="J83" s="1031"/>
      <c r="K83" s="1031"/>
      <c r="L83" s="1031"/>
      <c r="M83" s="1031"/>
      <c r="N83" s="1031"/>
      <c r="O83" s="1329" t="s">
        <v>44</v>
      </c>
      <c r="P83" s="1329"/>
      <c r="Q83" s="1329"/>
      <c r="R83" s="1031"/>
      <c r="S83" s="1031"/>
      <c r="T83" s="1029" t="s">
        <v>45</v>
      </c>
    </row>
    <row r="86" spans="1:28">
      <c r="A86" s="630" t="s">
        <v>962</v>
      </c>
    </row>
    <row r="87" spans="1:28">
      <c r="A87" s="625" t="s">
        <v>2769</v>
      </c>
      <c r="P87" s="205" t="str">
        <f>P68</f>
        <v>SCHEDULE D-1.B</v>
      </c>
      <c r="R87" s="625" t="s">
        <v>651</v>
      </c>
      <c r="T87" s="629">
        <f>'D-1.B (FTP IS Adj Summary)'!D37</f>
        <v>17663997.75</v>
      </c>
    </row>
    <row r="88" spans="1:28">
      <c r="A88" s="625" t="s">
        <v>2771</v>
      </c>
      <c r="P88" s="205" t="str">
        <f>P69</f>
        <v>SCHEDULE D-1.A</v>
      </c>
      <c r="R88" s="625" t="s">
        <v>2352</v>
      </c>
      <c r="T88" s="631">
        <f>'D-1.A (BP IS Adj Summary)'!D37</f>
        <v>19976867.719999999</v>
      </c>
    </row>
    <row r="89" spans="1:28">
      <c r="A89" s="133" t="s">
        <v>2770</v>
      </c>
      <c r="R89" s="625" t="s">
        <v>433</v>
      </c>
      <c r="T89" s="640">
        <f>T87-T88</f>
        <v>-2312869.9699999988</v>
      </c>
    </row>
    <row r="90" spans="1:28">
      <c r="T90" s="641">
        <f>IFERROR(ROUND(T89/T88,4),0)</f>
        <v>-0.1158</v>
      </c>
    </row>
    <row r="92" spans="1:28">
      <c r="A92" s="625" t="s">
        <v>2772</v>
      </c>
      <c r="P92" s="205" t="str">
        <f>P87</f>
        <v>SCHEDULE D-1.B</v>
      </c>
      <c r="R92" s="625" t="s">
        <v>651</v>
      </c>
      <c r="T92" s="629">
        <f>'D-1.B (FTP IS Adj Summary)'!D38</f>
        <v>1158900.76</v>
      </c>
    </row>
    <row r="93" spans="1:28">
      <c r="A93" s="625" t="s">
        <v>2773</v>
      </c>
      <c r="P93" s="205" t="str">
        <f>P88</f>
        <v>SCHEDULE D-1.A</v>
      </c>
      <c r="R93" s="625" t="s">
        <v>2352</v>
      </c>
      <c r="T93" s="631">
        <f>'D-1.A (BP IS Adj Summary)'!D38</f>
        <v>2024269.0700000003</v>
      </c>
    </row>
    <row r="94" spans="1:28">
      <c r="A94" s="133" t="s">
        <v>2770</v>
      </c>
      <c r="R94" s="625" t="s">
        <v>433</v>
      </c>
      <c r="T94" s="640">
        <f>T92-T93</f>
        <v>-865368.31000000029</v>
      </c>
    </row>
    <row r="95" spans="1:28">
      <c r="C95" s="631"/>
      <c r="D95" s="631"/>
      <c r="E95" s="631"/>
      <c r="F95" s="631"/>
      <c r="G95" s="631"/>
      <c r="H95" s="631"/>
      <c r="I95" s="631"/>
      <c r="J95" s="631"/>
      <c r="K95" s="631"/>
      <c r="L95" s="631"/>
      <c r="M95" s="631"/>
      <c r="N95" s="631"/>
      <c r="O95" s="631"/>
      <c r="P95" s="654"/>
      <c r="Q95" s="631"/>
      <c r="T95" s="641">
        <f>IFERROR(ROUND(T94/T93,4),0)</f>
        <v>-0.42749999999999999</v>
      </c>
      <c r="U95" s="631"/>
      <c r="V95" s="631"/>
      <c r="W95" s="631"/>
      <c r="X95" s="631"/>
      <c r="Y95" s="631"/>
      <c r="Z95" s="631"/>
      <c r="AA95" s="631"/>
      <c r="AB95" s="631"/>
    </row>
    <row r="96" spans="1:28">
      <c r="C96" s="631"/>
      <c r="D96" s="631"/>
      <c r="E96" s="631"/>
      <c r="F96" s="631"/>
      <c r="G96" s="631"/>
      <c r="H96" s="631"/>
      <c r="I96" s="631"/>
      <c r="J96" s="631"/>
      <c r="K96" s="631"/>
      <c r="L96" s="631"/>
      <c r="M96" s="631"/>
      <c r="N96" s="631"/>
      <c r="O96" s="631"/>
      <c r="P96" s="654"/>
      <c r="Q96" s="631"/>
      <c r="T96" s="629"/>
      <c r="U96" s="631"/>
      <c r="V96" s="631"/>
      <c r="W96" s="631"/>
      <c r="X96" s="631"/>
      <c r="Y96" s="631"/>
      <c r="Z96" s="631"/>
      <c r="AA96" s="631"/>
      <c r="AB96" s="631"/>
    </row>
    <row r="97" spans="1:32">
      <c r="A97" s="625" t="s">
        <v>46</v>
      </c>
      <c r="C97" s="631"/>
      <c r="D97" s="631"/>
      <c r="E97" s="631"/>
      <c r="F97" s="631"/>
      <c r="G97" s="631"/>
      <c r="H97" s="631"/>
      <c r="I97" s="631"/>
      <c r="J97" s="631"/>
      <c r="K97" s="631"/>
      <c r="L97" s="631"/>
      <c r="M97" s="631"/>
      <c r="N97" s="631"/>
      <c r="O97" s="631"/>
      <c r="P97" s="654" t="str">
        <f>P87</f>
        <v>SCHEDULE D-1.B</v>
      </c>
      <c r="Q97" s="631"/>
      <c r="R97" s="625" t="s">
        <v>651</v>
      </c>
      <c r="T97" s="629">
        <f>'D-1.B (FTP IS Adj Summary)'!D39</f>
        <v>15343424.85</v>
      </c>
      <c r="U97" s="631"/>
      <c r="V97" s="631"/>
      <c r="W97" s="631"/>
      <c r="X97" s="631"/>
      <c r="Y97" s="631"/>
      <c r="Z97" s="631"/>
      <c r="AA97" s="631"/>
      <c r="AB97" s="631"/>
    </row>
    <row r="98" spans="1:32">
      <c r="A98" s="625" t="s">
        <v>2774</v>
      </c>
      <c r="H98" s="631"/>
      <c r="J98" s="634"/>
      <c r="L98" s="631"/>
      <c r="P98" s="205" t="str">
        <f>P88</f>
        <v>SCHEDULE D-1.A</v>
      </c>
      <c r="R98" s="625" t="s">
        <v>2352</v>
      </c>
      <c r="T98" s="631">
        <f>'D-1.A (BP IS Adj Summary)'!D39</f>
        <v>13411248.760000004</v>
      </c>
    </row>
    <row r="99" spans="1:32">
      <c r="A99" s="133" t="s">
        <v>2770</v>
      </c>
      <c r="C99" s="631"/>
      <c r="D99" s="631"/>
      <c r="E99" s="631"/>
      <c r="F99" s="631"/>
      <c r="G99" s="631"/>
      <c r="H99" s="631"/>
      <c r="I99" s="631"/>
      <c r="J99" s="631"/>
      <c r="K99" s="631"/>
      <c r="L99" s="631"/>
      <c r="M99" s="631"/>
      <c r="N99" s="631"/>
      <c r="O99" s="631"/>
      <c r="P99" s="654"/>
      <c r="Q99" s="631"/>
      <c r="R99" s="625" t="s">
        <v>433</v>
      </c>
      <c r="T99" s="640">
        <f>T97-T98</f>
        <v>1932176.0899999961</v>
      </c>
      <c r="U99" s="631"/>
      <c r="V99" s="631"/>
      <c r="W99" s="631"/>
      <c r="X99" s="631"/>
      <c r="Y99" s="631"/>
      <c r="Z99" s="631"/>
      <c r="AA99" s="631"/>
      <c r="AB99" s="631"/>
      <c r="AC99" s="631"/>
    </row>
    <row r="100" spans="1:32">
      <c r="C100" s="631"/>
      <c r="D100" s="631"/>
      <c r="E100" s="631"/>
      <c r="F100" s="631"/>
      <c r="G100" s="631"/>
      <c r="H100" s="631"/>
      <c r="I100" s="631"/>
      <c r="J100" s="631"/>
      <c r="K100" s="631"/>
      <c r="L100" s="631"/>
      <c r="M100" s="631"/>
      <c r="N100" s="631"/>
      <c r="O100" s="631"/>
      <c r="P100" s="654"/>
      <c r="Q100" s="631"/>
      <c r="T100" s="641">
        <f>IFERROR(ROUND(T99/T98,4),0)</f>
        <v>0.14410000000000001</v>
      </c>
      <c r="U100" s="631"/>
      <c r="V100" s="631"/>
      <c r="W100" s="631"/>
      <c r="X100" s="631"/>
      <c r="Y100" s="631"/>
      <c r="Z100" s="631"/>
      <c r="AA100" s="631"/>
      <c r="AB100" s="631"/>
      <c r="AC100" s="631"/>
    </row>
    <row r="101" spans="1:32">
      <c r="C101" s="631"/>
      <c r="D101" s="631"/>
      <c r="E101" s="631"/>
      <c r="F101" s="631"/>
      <c r="G101" s="631"/>
      <c r="H101" s="631"/>
      <c r="I101" s="631"/>
      <c r="J101" s="631"/>
      <c r="K101" s="631"/>
      <c r="L101" s="631"/>
      <c r="M101" s="631"/>
      <c r="N101" s="631"/>
      <c r="O101" s="631"/>
      <c r="P101" s="654"/>
      <c r="Q101" s="631"/>
      <c r="R101" s="631"/>
      <c r="S101" s="631"/>
      <c r="T101" s="631"/>
      <c r="U101" s="631"/>
      <c r="V101" s="631"/>
      <c r="W101" s="631"/>
      <c r="X101" s="631"/>
      <c r="Y101" s="631"/>
      <c r="Z101" s="631"/>
      <c r="AA101" s="631"/>
      <c r="AB101" s="631"/>
      <c r="AC101" s="631"/>
    </row>
    <row r="102" spans="1:32">
      <c r="A102" s="625" t="s">
        <v>47</v>
      </c>
      <c r="P102" s="205" t="str">
        <f>P87</f>
        <v>SCHEDULE D-1.B</v>
      </c>
      <c r="R102" s="625" t="s">
        <v>651</v>
      </c>
      <c r="T102" s="629">
        <f>'D-1.B (FTP IS Adj Summary)'!D40</f>
        <v>1674085.1700000004</v>
      </c>
      <c r="AB102" s="642"/>
    </row>
    <row r="103" spans="1:32">
      <c r="A103" s="625" t="s">
        <v>2775</v>
      </c>
      <c r="P103" s="205" t="str">
        <f>P88</f>
        <v>SCHEDULE D-1.A</v>
      </c>
      <c r="R103" s="625" t="s">
        <v>2352</v>
      </c>
      <c r="T103" s="631">
        <f>'D-1.A (BP IS Adj Summary)'!D40</f>
        <v>1697539.09</v>
      </c>
    </row>
    <row r="104" spans="1:32">
      <c r="A104" s="133" t="s">
        <v>2770</v>
      </c>
      <c r="R104" s="625" t="s">
        <v>433</v>
      </c>
      <c r="T104" s="640">
        <f>T102-T103</f>
        <v>-23453.919999999693</v>
      </c>
      <c r="U104" s="631"/>
      <c r="V104" s="631"/>
      <c r="W104" s="631"/>
      <c r="X104" s="631"/>
      <c r="Y104" s="631"/>
      <c r="Z104" s="631"/>
      <c r="AA104" s="631"/>
      <c r="AB104" s="631"/>
      <c r="AC104" s="631"/>
      <c r="AD104" s="631"/>
      <c r="AE104" s="631"/>
      <c r="AF104" s="631"/>
    </row>
    <row r="105" spans="1:32">
      <c r="T105" s="641">
        <f>IFERROR(ROUND(T104/T103,4),0)</f>
        <v>-1.38E-2</v>
      </c>
      <c r="U105" s="631"/>
      <c r="V105" s="631"/>
      <c r="W105" s="631"/>
      <c r="X105" s="631"/>
      <c r="Y105" s="631"/>
      <c r="Z105" s="631"/>
      <c r="AA105" s="631"/>
      <c r="AB105" s="631"/>
      <c r="AC105" s="631"/>
      <c r="AD105" s="631"/>
      <c r="AE105" s="631"/>
      <c r="AF105" s="631"/>
    </row>
    <row r="106" spans="1:32">
      <c r="T106" s="631"/>
      <c r="U106" s="631"/>
      <c r="V106" s="631"/>
      <c r="W106" s="631"/>
      <c r="X106" s="631"/>
      <c r="Y106" s="631"/>
      <c r="Z106" s="631"/>
      <c r="AA106" s="631"/>
      <c r="AB106" s="631"/>
      <c r="AC106" s="631"/>
      <c r="AD106" s="631"/>
      <c r="AE106" s="631"/>
      <c r="AF106" s="631"/>
    </row>
    <row r="107" spans="1:32">
      <c r="A107" s="625" t="s">
        <v>2776</v>
      </c>
      <c r="P107" s="205" t="str">
        <f>P87</f>
        <v>SCHEDULE D-1.B</v>
      </c>
      <c r="R107" s="625" t="s">
        <v>651</v>
      </c>
      <c r="T107" s="629">
        <f>'D-1.B (FTP IS Adj Summary)'!D41</f>
        <v>-386972.68999999971</v>
      </c>
      <c r="W107" s="629"/>
      <c r="X107" s="631"/>
      <c r="Y107" s="629"/>
      <c r="AB107" s="642"/>
    </row>
    <row r="108" spans="1:32">
      <c r="A108" s="625" t="s">
        <v>2777</v>
      </c>
      <c r="P108" s="205" t="str">
        <f>P88</f>
        <v>SCHEDULE D-1.A</v>
      </c>
      <c r="R108" s="625" t="s">
        <v>2352</v>
      </c>
      <c r="T108" s="631">
        <f>'D-1.A (BP IS Adj Summary)'!D41</f>
        <v>9272733.4800000004</v>
      </c>
      <c r="W108" s="655"/>
      <c r="X108" s="656"/>
      <c r="Y108" s="655"/>
    </row>
    <row r="109" spans="1:32">
      <c r="A109" s="133" t="s">
        <v>2770</v>
      </c>
      <c r="R109" s="625" t="s">
        <v>433</v>
      </c>
      <c r="T109" s="640">
        <f>T107-T108</f>
        <v>-9659706.1699999999</v>
      </c>
      <c r="U109" s="631"/>
      <c r="W109" s="629"/>
      <c r="X109" s="631"/>
      <c r="Y109" s="629"/>
      <c r="Z109" s="631"/>
      <c r="AA109" s="631"/>
      <c r="AB109" s="631"/>
      <c r="AC109" s="631"/>
      <c r="AD109" s="631"/>
      <c r="AE109" s="631"/>
      <c r="AF109" s="631"/>
    </row>
    <row r="110" spans="1:32">
      <c r="T110" s="641">
        <f>IFERROR(ROUND(T109/T108,4),0)</f>
        <v>-1.0417000000000001</v>
      </c>
      <c r="U110" s="631"/>
      <c r="V110" s="631"/>
      <c r="W110" s="631"/>
      <c r="X110" s="631"/>
      <c r="Y110" s="631"/>
      <c r="Z110" s="631"/>
      <c r="AA110" s="631"/>
      <c r="AB110" s="631"/>
      <c r="AC110" s="631"/>
      <c r="AD110" s="631"/>
      <c r="AE110" s="631"/>
      <c r="AF110" s="631"/>
    </row>
    <row r="111" spans="1:32">
      <c r="U111" s="631"/>
      <c r="V111" s="631"/>
      <c r="W111" s="631"/>
      <c r="X111" s="631"/>
      <c r="Y111" s="631"/>
      <c r="Z111" s="631"/>
      <c r="AA111" s="631"/>
      <c r="AB111" s="631"/>
      <c r="AC111" s="631"/>
      <c r="AD111" s="631"/>
      <c r="AE111" s="631"/>
      <c r="AF111" s="631"/>
    </row>
    <row r="112" spans="1:32">
      <c r="A112" s="625" t="s">
        <v>2778</v>
      </c>
      <c r="P112" s="205" t="str">
        <f>P87</f>
        <v>SCHEDULE D-1.B</v>
      </c>
      <c r="R112" s="625" t="s">
        <v>651</v>
      </c>
      <c r="T112" s="629">
        <f>'D-1.B (FTP IS Adj Summary)'!D42</f>
        <v>-40414.18</v>
      </c>
      <c r="W112" s="629"/>
      <c r="X112" s="631"/>
      <c r="Y112" s="629"/>
      <c r="AB112" s="642"/>
    </row>
    <row r="113" spans="1:33">
      <c r="A113" s="625" t="s">
        <v>2777</v>
      </c>
      <c r="P113" s="205" t="str">
        <f>P88</f>
        <v>SCHEDULE D-1.A</v>
      </c>
      <c r="R113" s="625" t="s">
        <v>2352</v>
      </c>
      <c r="T113" s="631">
        <f>'D-1.A (BP IS Adj Summary)'!D42</f>
        <v>-52668.530000000006</v>
      </c>
      <c r="W113" s="655"/>
      <c r="X113" s="656"/>
      <c r="Y113" s="655"/>
    </row>
    <row r="114" spans="1:33">
      <c r="A114" s="133" t="s">
        <v>2770</v>
      </c>
      <c r="R114" s="625" t="s">
        <v>433</v>
      </c>
      <c r="T114" s="640">
        <f>T112-T113</f>
        <v>12254.350000000006</v>
      </c>
      <c r="U114" s="631"/>
      <c r="W114" s="629"/>
      <c r="X114" s="631"/>
      <c r="Y114" s="629"/>
      <c r="Z114" s="631"/>
      <c r="AA114" s="631"/>
      <c r="AB114" s="631"/>
      <c r="AC114" s="631"/>
      <c r="AD114" s="631"/>
      <c r="AE114" s="631"/>
      <c r="AF114" s="631"/>
    </row>
    <row r="115" spans="1:33">
      <c r="T115" s="641">
        <f>IFERROR(ROUND(T114/T113,4),0)</f>
        <v>-0.23269999999999999</v>
      </c>
      <c r="U115" s="631"/>
      <c r="V115" s="631"/>
      <c r="W115" s="631"/>
      <c r="X115" s="631"/>
      <c r="Y115" s="631"/>
      <c r="Z115" s="631"/>
      <c r="AA115" s="631"/>
      <c r="AB115" s="631"/>
      <c r="AC115" s="631"/>
      <c r="AD115" s="631"/>
      <c r="AE115" s="631"/>
      <c r="AF115" s="631"/>
    </row>
    <row r="116" spans="1:33">
      <c r="U116" s="631"/>
      <c r="V116" s="631"/>
      <c r="W116" s="631"/>
      <c r="X116" s="631"/>
      <c r="Y116" s="631"/>
      <c r="Z116" s="631"/>
      <c r="AA116" s="631"/>
      <c r="AB116" s="631"/>
      <c r="AC116" s="631"/>
      <c r="AD116" s="631"/>
      <c r="AE116" s="631"/>
      <c r="AF116" s="631"/>
    </row>
    <row r="117" spans="1:33">
      <c r="A117" s="625" t="s">
        <v>2779</v>
      </c>
      <c r="P117" s="205" t="str">
        <f>P87</f>
        <v>SCHEDULE D-1.B</v>
      </c>
      <c r="R117" s="625" t="s">
        <v>651</v>
      </c>
      <c r="T117" s="629">
        <f>'D-1.B (FTP IS Adj Summary)'!D43</f>
        <v>0</v>
      </c>
      <c r="U117" s="631"/>
      <c r="V117" s="631"/>
      <c r="W117" s="631"/>
      <c r="X117" s="631"/>
      <c r="Y117" s="631"/>
      <c r="Z117" s="631"/>
      <c r="AA117" s="631"/>
      <c r="AB117" s="631"/>
      <c r="AC117" s="631"/>
      <c r="AD117" s="631"/>
      <c r="AE117" s="631"/>
      <c r="AF117" s="631"/>
    </row>
    <row r="118" spans="1:33">
      <c r="A118" s="625" t="s">
        <v>2780</v>
      </c>
      <c r="P118" s="205" t="str">
        <f>P88</f>
        <v>SCHEDULE D-1.A</v>
      </c>
      <c r="R118" s="625" t="s">
        <v>2352</v>
      </c>
      <c r="T118" s="631">
        <f>'D-1.A (BP IS Adj Summary)'!D43</f>
        <v>0</v>
      </c>
      <c r="U118" s="631"/>
      <c r="V118" s="631"/>
      <c r="W118" s="631"/>
      <c r="X118" s="631"/>
      <c r="Y118" s="631"/>
      <c r="Z118" s="631"/>
      <c r="AA118" s="631"/>
      <c r="AB118" s="631"/>
      <c r="AC118" s="631"/>
      <c r="AD118" s="631"/>
      <c r="AE118" s="631"/>
      <c r="AF118" s="631"/>
    </row>
    <row r="119" spans="1:33">
      <c r="A119" s="133" t="s">
        <v>2770</v>
      </c>
      <c r="R119" s="625" t="s">
        <v>433</v>
      </c>
      <c r="T119" s="640">
        <f>T117-T118</f>
        <v>0</v>
      </c>
      <c r="U119" s="631"/>
      <c r="V119" s="631"/>
      <c r="W119" s="631"/>
      <c r="X119" s="631"/>
      <c r="Y119" s="631"/>
      <c r="Z119" s="631"/>
      <c r="AA119" s="631"/>
      <c r="AB119" s="631"/>
      <c r="AC119" s="631"/>
      <c r="AD119" s="631"/>
      <c r="AE119" s="631"/>
      <c r="AF119" s="631"/>
    </row>
    <row r="120" spans="1:33">
      <c r="T120" s="641">
        <f>IFERROR(ROUND(T119/T118,4),0)</f>
        <v>0</v>
      </c>
      <c r="AB120" s="642"/>
    </row>
    <row r="121" spans="1:33">
      <c r="A121" s="623"/>
      <c r="H121" s="633"/>
      <c r="J121" s="634"/>
      <c r="L121" s="633"/>
    </row>
    <row r="124" spans="1:33">
      <c r="C124" s="631"/>
      <c r="D124" s="631"/>
      <c r="E124" s="631"/>
      <c r="F124" s="631"/>
      <c r="G124" s="631"/>
      <c r="H124" s="631"/>
      <c r="I124" s="631"/>
      <c r="J124" s="631"/>
      <c r="K124" s="631"/>
      <c r="L124" s="631"/>
      <c r="M124" s="631"/>
      <c r="N124" s="631"/>
      <c r="O124" s="631"/>
      <c r="P124" s="654"/>
      <c r="Q124" s="631"/>
      <c r="R124" s="631"/>
      <c r="S124" s="631"/>
      <c r="T124" s="631"/>
      <c r="U124" s="631"/>
      <c r="V124" s="631"/>
      <c r="W124" s="631"/>
      <c r="X124" s="631"/>
      <c r="Y124" s="631"/>
      <c r="Z124" s="631"/>
      <c r="AA124" s="631"/>
      <c r="AB124" s="631"/>
      <c r="AC124" s="631"/>
      <c r="AD124" s="631"/>
      <c r="AE124" s="631"/>
      <c r="AF124" s="631"/>
      <c r="AG124" s="631"/>
    </row>
    <row r="125" spans="1:33">
      <c r="C125" s="631"/>
      <c r="D125" s="631"/>
      <c r="E125" s="631"/>
      <c r="F125" s="631"/>
      <c r="G125" s="631"/>
      <c r="H125" s="631"/>
      <c r="I125" s="631"/>
      <c r="J125" s="631"/>
      <c r="K125" s="631"/>
      <c r="L125" s="631"/>
      <c r="M125" s="631"/>
      <c r="N125" s="631"/>
      <c r="O125" s="631"/>
      <c r="P125" s="654"/>
      <c r="Q125" s="631"/>
      <c r="R125" s="631"/>
      <c r="S125" s="631"/>
      <c r="T125" s="631"/>
      <c r="U125" s="631"/>
      <c r="V125" s="631"/>
      <c r="W125" s="631"/>
      <c r="X125" s="631"/>
      <c r="Y125" s="631"/>
      <c r="Z125" s="631"/>
      <c r="AA125" s="631"/>
      <c r="AB125" s="631"/>
      <c r="AC125" s="631"/>
      <c r="AD125" s="631"/>
      <c r="AE125" s="631"/>
      <c r="AF125" s="631"/>
      <c r="AG125" s="631"/>
    </row>
    <row r="126" spans="1:33">
      <c r="C126" s="631"/>
      <c r="D126" s="631"/>
      <c r="E126" s="631"/>
      <c r="F126" s="631"/>
      <c r="G126" s="631"/>
      <c r="H126" s="631"/>
      <c r="I126" s="631"/>
      <c r="J126" s="631"/>
      <c r="K126" s="631"/>
      <c r="L126" s="631"/>
      <c r="M126" s="631"/>
      <c r="N126" s="631"/>
      <c r="O126" s="631"/>
      <c r="P126" s="654"/>
      <c r="Q126" s="631"/>
      <c r="R126" s="631"/>
      <c r="S126" s="631"/>
      <c r="T126" s="631"/>
      <c r="U126" s="631"/>
      <c r="V126" s="631"/>
      <c r="W126" s="631"/>
      <c r="X126" s="631"/>
      <c r="Y126" s="631"/>
      <c r="Z126" s="631"/>
      <c r="AA126" s="631"/>
      <c r="AB126" s="631"/>
      <c r="AC126" s="631"/>
      <c r="AD126" s="631"/>
      <c r="AE126" s="631"/>
      <c r="AF126" s="631"/>
      <c r="AG126" s="631"/>
    </row>
    <row r="127" spans="1:33">
      <c r="AB127" s="642"/>
    </row>
    <row r="128" spans="1:33">
      <c r="A128" s="623"/>
      <c r="C128" s="623"/>
      <c r="H128" s="633"/>
      <c r="J128" s="635"/>
      <c r="L128" s="633"/>
    </row>
    <row r="129" spans="1:33">
      <c r="C129" s="631"/>
      <c r="D129" s="631"/>
      <c r="E129" s="631"/>
      <c r="F129" s="631"/>
      <c r="G129" s="631"/>
      <c r="H129" s="631"/>
      <c r="I129" s="631"/>
      <c r="J129" s="631"/>
      <c r="K129" s="631"/>
      <c r="L129" s="631"/>
      <c r="M129" s="631"/>
      <c r="N129" s="631"/>
      <c r="O129" s="631"/>
      <c r="P129" s="654"/>
      <c r="Q129" s="631"/>
      <c r="R129" s="631"/>
      <c r="S129" s="631"/>
      <c r="T129" s="631"/>
      <c r="U129" s="631"/>
      <c r="V129" s="631"/>
      <c r="W129" s="631"/>
      <c r="X129" s="631"/>
      <c r="Y129" s="631"/>
      <c r="Z129" s="631"/>
      <c r="AA129" s="631"/>
      <c r="AB129" s="631"/>
      <c r="AC129" s="631"/>
      <c r="AD129" s="631"/>
      <c r="AE129" s="631"/>
    </row>
    <row r="130" spans="1:33">
      <c r="C130" s="631"/>
      <c r="D130" s="631"/>
      <c r="E130" s="631"/>
      <c r="F130" s="631"/>
      <c r="G130" s="631"/>
      <c r="H130" s="631"/>
      <c r="I130" s="631"/>
      <c r="J130" s="631"/>
      <c r="K130" s="631"/>
      <c r="L130" s="631"/>
      <c r="M130" s="631"/>
      <c r="N130" s="631"/>
      <c r="O130" s="631"/>
      <c r="P130" s="654"/>
      <c r="Q130" s="631"/>
      <c r="R130" s="631"/>
      <c r="S130" s="631"/>
      <c r="T130" s="631"/>
      <c r="U130" s="631"/>
      <c r="V130" s="631"/>
      <c r="W130" s="631"/>
      <c r="X130" s="631"/>
      <c r="Y130" s="631"/>
      <c r="Z130" s="631"/>
      <c r="AA130" s="631"/>
      <c r="AB130" s="631"/>
      <c r="AC130" s="631"/>
      <c r="AD130" s="631"/>
      <c r="AE130" s="631"/>
    </row>
    <row r="131" spans="1:33">
      <c r="C131" s="631"/>
      <c r="D131" s="631"/>
      <c r="E131" s="631"/>
      <c r="F131" s="631"/>
      <c r="G131" s="631"/>
      <c r="H131" s="631"/>
      <c r="I131" s="631"/>
      <c r="J131" s="631"/>
      <c r="K131" s="631"/>
      <c r="L131" s="631"/>
      <c r="M131" s="631"/>
      <c r="N131" s="631"/>
      <c r="O131" s="631"/>
      <c r="P131" s="654"/>
      <c r="Q131" s="631"/>
      <c r="R131" s="631"/>
      <c r="S131" s="631"/>
      <c r="T131" s="631"/>
      <c r="U131" s="631"/>
      <c r="V131" s="631"/>
      <c r="W131" s="631"/>
      <c r="X131" s="631"/>
      <c r="Y131" s="631"/>
      <c r="Z131" s="631"/>
      <c r="AA131" s="631"/>
      <c r="AB131" s="631"/>
      <c r="AC131" s="631"/>
      <c r="AD131" s="631"/>
      <c r="AE131" s="631"/>
    </row>
    <row r="132" spans="1:33">
      <c r="AB132" s="642"/>
    </row>
    <row r="133" spans="1:33">
      <c r="A133" s="623"/>
      <c r="H133" s="633"/>
      <c r="J133" s="635"/>
      <c r="L133" s="633"/>
    </row>
    <row r="134" spans="1:33">
      <c r="C134" s="631"/>
      <c r="D134" s="631"/>
      <c r="E134" s="631"/>
      <c r="F134" s="631"/>
      <c r="G134" s="631"/>
      <c r="H134" s="631"/>
      <c r="I134" s="631"/>
      <c r="J134" s="631"/>
      <c r="K134" s="631"/>
      <c r="L134" s="631"/>
      <c r="M134" s="631"/>
      <c r="N134" s="631"/>
      <c r="O134" s="631"/>
      <c r="P134" s="654"/>
      <c r="Q134" s="631"/>
      <c r="R134" s="631"/>
      <c r="S134" s="631"/>
      <c r="T134" s="631"/>
      <c r="U134" s="631"/>
      <c r="V134" s="631"/>
      <c r="W134" s="631"/>
      <c r="X134" s="631"/>
      <c r="Y134" s="631"/>
      <c r="Z134" s="631"/>
      <c r="AA134" s="631"/>
      <c r="AB134" s="631"/>
      <c r="AC134" s="631"/>
      <c r="AD134" s="631"/>
      <c r="AE134" s="631"/>
      <c r="AF134" s="631"/>
      <c r="AG134" s="631"/>
    </row>
    <row r="135" spans="1:33">
      <c r="C135" s="631"/>
      <c r="D135" s="631"/>
      <c r="E135" s="631"/>
      <c r="F135" s="631"/>
      <c r="G135" s="631"/>
      <c r="H135" s="631"/>
      <c r="I135" s="631"/>
      <c r="J135" s="631"/>
      <c r="K135" s="631"/>
      <c r="L135" s="631"/>
      <c r="M135" s="631"/>
      <c r="N135" s="631"/>
      <c r="O135" s="631"/>
      <c r="P135" s="654"/>
      <c r="Q135" s="631"/>
      <c r="R135" s="631"/>
      <c r="S135" s="631"/>
      <c r="T135" s="631"/>
      <c r="U135" s="631"/>
      <c r="V135" s="631"/>
      <c r="W135" s="631"/>
      <c r="X135" s="631"/>
      <c r="Y135" s="631"/>
      <c r="Z135" s="631"/>
      <c r="AA135" s="631"/>
      <c r="AB135" s="631"/>
      <c r="AC135" s="631"/>
      <c r="AD135" s="631"/>
      <c r="AE135" s="631"/>
      <c r="AF135" s="631"/>
      <c r="AG135" s="631"/>
    </row>
    <row r="136" spans="1:33">
      <c r="C136" s="631"/>
      <c r="D136" s="631"/>
      <c r="E136" s="631"/>
      <c r="F136" s="631"/>
      <c r="G136" s="631"/>
      <c r="H136" s="631"/>
      <c r="I136" s="631"/>
      <c r="J136" s="631"/>
      <c r="K136" s="631"/>
      <c r="L136" s="631"/>
      <c r="M136" s="631"/>
      <c r="N136" s="631"/>
      <c r="O136" s="631"/>
      <c r="P136" s="654"/>
      <c r="Q136" s="631"/>
      <c r="R136" s="631"/>
      <c r="S136" s="631"/>
      <c r="T136" s="631"/>
      <c r="U136" s="631"/>
      <c r="V136" s="631"/>
      <c r="W136" s="631"/>
      <c r="X136" s="631"/>
      <c r="Y136" s="631"/>
      <c r="Z136" s="631"/>
      <c r="AA136" s="631"/>
      <c r="AB136" s="631"/>
      <c r="AC136" s="631"/>
      <c r="AD136" s="631"/>
      <c r="AE136" s="631"/>
      <c r="AF136" s="631"/>
      <c r="AG136" s="631"/>
    </row>
    <row r="137" spans="1:33">
      <c r="AB137" s="642"/>
    </row>
    <row r="138" spans="1:33">
      <c r="A138" s="623"/>
      <c r="F138" s="623"/>
      <c r="H138" s="631"/>
      <c r="J138" s="635"/>
      <c r="L138" s="631"/>
    </row>
    <row r="139" spans="1:33">
      <c r="C139" s="631"/>
      <c r="D139" s="631"/>
      <c r="E139" s="631"/>
      <c r="F139" s="631"/>
      <c r="G139" s="631"/>
      <c r="H139" s="631"/>
      <c r="I139" s="631"/>
      <c r="J139" s="631"/>
      <c r="K139" s="631"/>
      <c r="L139" s="631"/>
      <c r="M139" s="631"/>
      <c r="N139" s="631"/>
      <c r="O139" s="631"/>
      <c r="P139" s="654"/>
      <c r="Q139" s="631"/>
      <c r="R139" s="631"/>
      <c r="S139" s="631"/>
      <c r="T139" s="631"/>
      <c r="U139" s="631"/>
      <c r="V139" s="631"/>
      <c r="W139" s="631"/>
      <c r="X139" s="631"/>
      <c r="Y139" s="631"/>
      <c r="Z139" s="631"/>
      <c r="AA139" s="631"/>
      <c r="AB139" s="631"/>
      <c r="AC139" s="631"/>
      <c r="AD139" s="631"/>
      <c r="AE139" s="631"/>
      <c r="AF139" s="631"/>
    </row>
    <row r="140" spans="1:33">
      <c r="C140" s="631"/>
      <c r="D140" s="631"/>
      <c r="E140" s="631"/>
      <c r="F140" s="631"/>
      <c r="G140" s="631"/>
      <c r="H140" s="631"/>
      <c r="I140" s="631"/>
      <c r="J140" s="631"/>
      <c r="K140" s="631"/>
      <c r="L140" s="631"/>
      <c r="M140" s="631"/>
      <c r="N140" s="631"/>
      <c r="O140" s="631"/>
      <c r="P140" s="654"/>
      <c r="Q140" s="631"/>
      <c r="R140" s="631"/>
      <c r="S140" s="631"/>
      <c r="T140" s="631"/>
      <c r="U140" s="631"/>
      <c r="V140" s="631"/>
      <c r="W140" s="631"/>
      <c r="X140" s="631"/>
      <c r="Y140" s="631"/>
      <c r="Z140" s="631"/>
      <c r="AA140" s="631"/>
      <c r="AB140" s="631"/>
      <c r="AC140" s="631"/>
      <c r="AD140" s="631"/>
      <c r="AE140" s="631"/>
      <c r="AF140" s="631"/>
    </row>
    <row r="141" spans="1:33">
      <c r="C141" s="631"/>
      <c r="D141" s="631"/>
      <c r="E141" s="631"/>
      <c r="F141" s="631"/>
      <c r="G141" s="631"/>
      <c r="H141" s="631"/>
      <c r="I141" s="631"/>
      <c r="J141" s="631"/>
      <c r="K141" s="631"/>
      <c r="L141" s="631"/>
      <c r="M141" s="631"/>
      <c r="N141" s="631"/>
      <c r="O141" s="631"/>
      <c r="P141" s="654"/>
      <c r="Q141" s="631"/>
      <c r="R141" s="631"/>
      <c r="S141" s="631"/>
      <c r="T141" s="631"/>
      <c r="U141" s="631"/>
      <c r="V141" s="631"/>
      <c r="W141" s="631"/>
      <c r="X141" s="631"/>
      <c r="Y141" s="631"/>
      <c r="Z141" s="631"/>
      <c r="AA141" s="631"/>
      <c r="AB141" s="631"/>
      <c r="AC141" s="631"/>
      <c r="AD141" s="631"/>
      <c r="AE141" s="631"/>
      <c r="AF141" s="631"/>
    </row>
    <row r="142" spans="1:33">
      <c r="AB142" s="642"/>
    </row>
    <row r="143" spans="1:33">
      <c r="A143" s="623"/>
      <c r="G143" s="623"/>
    </row>
    <row r="144" spans="1:33">
      <c r="C144" s="631"/>
      <c r="D144" s="631"/>
      <c r="E144" s="631"/>
      <c r="F144" s="631"/>
      <c r="G144" s="631"/>
      <c r="H144" s="631"/>
      <c r="I144" s="631"/>
      <c r="J144" s="631"/>
      <c r="K144" s="631"/>
      <c r="L144" s="631"/>
      <c r="M144" s="631"/>
      <c r="N144" s="631"/>
      <c r="O144" s="631"/>
      <c r="P144" s="654"/>
      <c r="Q144" s="631"/>
      <c r="R144" s="631"/>
      <c r="S144" s="631"/>
      <c r="T144" s="631"/>
      <c r="U144" s="631"/>
      <c r="V144" s="631"/>
      <c r="W144" s="631"/>
      <c r="X144" s="631"/>
      <c r="Y144" s="631"/>
      <c r="Z144" s="631"/>
      <c r="AA144" s="631"/>
      <c r="AB144" s="631"/>
      <c r="AC144" s="631"/>
      <c r="AD144" s="631"/>
      <c r="AE144" s="631"/>
      <c r="AF144" s="631"/>
    </row>
    <row r="145" spans="1:32">
      <c r="C145" s="631"/>
      <c r="D145" s="631"/>
      <c r="E145" s="631"/>
      <c r="F145" s="631"/>
      <c r="G145" s="631"/>
      <c r="H145" s="631"/>
      <c r="I145" s="631"/>
      <c r="J145" s="631"/>
      <c r="K145" s="631"/>
      <c r="L145" s="631"/>
      <c r="M145" s="631"/>
      <c r="N145" s="631"/>
      <c r="O145" s="631"/>
      <c r="P145" s="654"/>
      <c r="Q145" s="631"/>
      <c r="R145" s="631"/>
      <c r="S145" s="631"/>
      <c r="T145" s="631"/>
      <c r="U145" s="631"/>
      <c r="V145" s="631"/>
      <c r="W145" s="631"/>
      <c r="X145" s="631"/>
      <c r="Y145" s="631"/>
      <c r="Z145" s="631"/>
      <c r="AA145" s="631"/>
      <c r="AB145" s="631"/>
      <c r="AC145" s="631"/>
      <c r="AD145" s="631"/>
      <c r="AE145" s="631"/>
      <c r="AF145" s="631"/>
    </row>
    <row r="146" spans="1:32">
      <c r="C146" s="631"/>
      <c r="D146" s="631"/>
      <c r="E146" s="631"/>
      <c r="F146" s="631"/>
      <c r="G146" s="631"/>
      <c r="H146" s="631"/>
      <c r="I146" s="631"/>
      <c r="J146" s="631"/>
      <c r="K146" s="631"/>
      <c r="L146" s="631"/>
      <c r="M146" s="631"/>
      <c r="N146" s="631"/>
      <c r="O146" s="631"/>
      <c r="P146" s="654"/>
      <c r="Q146" s="631"/>
      <c r="R146" s="631"/>
      <c r="S146" s="631"/>
      <c r="T146" s="631"/>
      <c r="U146" s="631"/>
      <c r="V146" s="631"/>
      <c r="W146" s="631"/>
      <c r="X146" s="631"/>
      <c r="Y146" s="631"/>
      <c r="Z146" s="631"/>
      <c r="AA146" s="631"/>
      <c r="AB146" s="631"/>
      <c r="AC146" s="631"/>
      <c r="AD146" s="631"/>
      <c r="AE146" s="631"/>
      <c r="AF146" s="631"/>
    </row>
    <row r="147" spans="1:32">
      <c r="AB147" s="642"/>
    </row>
    <row r="148" spans="1:32">
      <c r="A148" s="623"/>
      <c r="C148" s="623"/>
      <c r="H148" s="633"/>
      <c r="J148" s="635"/>
      <c r="L148" s="633"/>
      <c r="AB148" s="631"/>
    </row>
    <row r="149" spans="1:32">
      <c r="A149" s="623"/>
      <c r="C149" s="623"/>
      <c r="H149" s="633"/>
      <c r="J149" s="635"/>
      <c r="L149" s="633"/>
      <c r="AB149" s="631"/>
      <c r="AC149" s="631"/>
      <c r="AD149" s="631"/>
    </row>
    <row r="150" spans="1:32">
      <c r="A150" s="623"/>
      <c r="C150" s="623"/>
      <c r="H150" s="633"/>
      <c r="J150" s="635"/>
      <c r="L150" s="633"/>
      <c r="AB150" s="631"/>
      <c r="AC150" s="631"/>
      <c r="AD150" s="631"/>
    </row>
    <row r="151" spans="1:32">
      <c r="H151" s="631"/>
      <c r="J151" s="635"/>
      <c r="L151" s="631"/>
    </row>
    <row r="152" spans="1:32">
      <c r="A152" s="623"/>
      <c r="C152" s="623"/>
      <c r="J152" s="636"/>
    </row>
    <row r="153" spans="1:32">
      <c r="F153" s="623"/>
      <c r="H153" s="631"/>
      <c r="J153" s="635"/>
      <c r="L153" s="631"/>
    </row>
    <row r="154" spans="1:32">
      <c r="C154" s="623"/>
    </row>
    <row r="155" spans="1:32">
      <c r="F155" s="623"/>
      <c r="H155" s="631"/>
      <c r="J155" s="635"/>
      <c r="L155" s="631"/>
    </row>
    <row r="156" spans="1:32">
      <c r="C156" s="637"/>
      <c r="G156" s="623"/>
    </row>
    <row r="157" spans="1:32">
      <c r="C157" s="638"/>
      <c r="G157" s="623"/>
    </row>
    <row r="158" spans="1:32">
      <c r="C158" s="623"/>
      <c r="G158" s="623"/>
    </row>
    <row r="159" spans="1:32">
      <c r="G159" s="623"/>
    </row>
    <row r="160" spans="1:32">
      <c r="M160" s="623"/>
    </row>
    <row r="161" spans="1:13">
      <c r="M161" s="623"/>
    </row>
    <row r="162" spans="1:13">
      <c r="M162" s="623"/>
    </row>
    <row r="163" spans="1:13">
      <c r="A163" s="623"/>
      <c r="C163" s="623"/>
      <c r="H163" s="623"/>
    </row>
    <row r="164" spans="1:13">
      <c r="A164" s="623"/>
      <c r="C164" s="623"/>
      <c r="F164" s="623"/>
      <c r="H164" s="623"/>
      <c r="J164" s="623"/>
      <c r="L164" s="623"/>
    </row>
    <row r="165" spans="1:13">
      <c r="F165" s="623"/>
      <c r="H165" s="623"/>
      <c r="J165" s="623"/>
      <c r="L165" s="623"/>
    </row>
    <row r="166" spans="1:13">
      <c r="H166" s="623"/>
      <c r="J166" s="623"/>
      <c r="L166" s="623"/>
    </row>
    <row r="167" spans="1:13">
      <c r="A167" s="623"/>
      <c r="C167" s="623"/>
      <c r="H167" s="623"/>
      <c r="J167" s="623"/>
      <c r="L167" s="623"/>
    </row>
    <row r="168" spans="1:13">
      <c r="A168" s="623"/>
      <c r="C168" s="623"/>
      <c r="F168" s="623"/>
    </row>
    <row r="169" spans="1:13">
      <c r="A169" s="623"/>
      <c r="C169" s="623"/>
      <c r="F169" s="623"/>
    </row>
    <row r="170" spans="1:13">
      <c r="A170" s="623"/>
      <c r="C170" s="623"/>
      <c r="F170" s="623"/>
      <c r="H170" s="633"/>
      <c r="J170" s="634"/>
      <c r="L170" s="633"/>
    </row>
    <row r="171" spans="1:13">
      <c r="A171" s="623"/>
      <c r="C171" s="623"/>
      <c r="F171" s="623"/>
      <c r="H171" s="633"/>
      <c r="J171" s="634"/>
      <c r="L171" s="633"/>
    </row>
    <row r="172" spans="1:13">
      <c r="A172" s="623"/>
      <c r="C172" s="623"/>
      <c r="F172" s="623"/>
      <c r="H172" s="633"/>
      <c r="J172" s="634"/>
      <c r="L172" s="633"/>
    </row>
    <row r="173" spans="1:13">
      <c r="A173" s="623"/>
      <c r="C173" s="623"/>
      <c r="F173" s="623"/>
      <c r="H173" s="633"/>
      <c r="J173" s="634"/>
      <c r="L173" s="633"/>
    </row>
    <row r="174" spans="1:13">
      <c r="A174" s="623"/>
      <c r="C174" s="623"/>
      <c r="F174" s="623"/>
      <c r="H174" s="633"/>
      <c r="J174" s="634"/>
      <c r="L174" s="633"/>
    </row>
    <row r="175" spans="1:13">
      <c r="A175" s="623"/>
      <c r="F175" s="623"/>
      <c r="H175" s="633"/>
      <c r="J175" s="634"/>
      <c r="L175" s="633"/>
    </row>
    <row r="176" spans="1:13">
      <c r="F176" s="623"/>
      <c r="H176" s="631"/>
      <c r="J176" s="634"/>
      <c r="L176" s="631"/>
    </row>
    <row r="177" spans="1:12">
      <c r="A177" s="623"/>
      <c r="H177" s="633"/>
      <c r="J177" s="643"/>
      <c r="L177" s="633"/>
    </row>
    <row r="178" spans="1:12">
      <c r="A178" s="623"/>
      <c r="C178" s="623"/>
      <c r="F178" s="623"/>
      <c r="H178" s="633"/>
      <c r="J178" s="643"/>
      <c r="L178" s="633"/>
    </row>
    <row r="179" spans="1:12">
      <c r="A179" s="623"/>
      <c r="C179" s="623"/>
      <c r="F179" s="623"/>
      <c r="H179" s="633"/>
      <c r="J179" s="634"/>
      <c r="L179" s="633"/>
    </row>
    <row r="180" spans="1:12">
      <c r="A180" s="623"/>
      <c r="C180" s="623"/>
      <c r="F180" s="623"/>
      <c r="H180" s="633"/>
      <c r="J180" s="634"/>
      <c r="L180" s="633"/>
    </row>
    <row r="181" spans="1:12">
      <c r="A181" s="623"/>
      <c r="C181" s="623"/>
      <c r="F181" s="623"/>
      <c r="H181" s="633"/>
      <c r="J181" s="634"/>
      <c r="L181" s="633"/>
    </row>
    <row r="182" spans="1:12">
      <c r="A182" s="623"/>
      <c r="C182" s="623"/>
      <c r="F182" s="623"/>
      <c r="H182" s="633"/>
      <c r="J182" s="634"/>
      <c r="L182" s="633"/>
    </row>
    <row r="183" spans="1:12">
      <c r="A183" s="623"/>
      <c r="F183" s="623"/>
      <c r="H183" s="633"/>
      <c r="J183" s="634"/>
      <c r="L183" s="633"/>
    </row>
    <row r="184" spans="1:12">
      <c r="F184" s="623"/>
      <c r="H184" s="631"/>
      <c r="J184" s="634"/>
      <c r="L184" s="631"/>
    </row>
    <row r="185" spans="1:12">
      <c r="A185" s="623"/>
      <c r="C185" s="623"/>
      <c r="H185" s="633"/>
      <c r="J185" s="643"/>
      <c r="L185" s="633"/>
    </row>
    <row r="186" spans="1:12">
      <c r="F186" s="623"/>
      <c r="H186" s="631"/>
      <c r="J186" s="634"/>
      <c r="L186" s="631"/>
    </row>
    <row r="187" spans="1:12">
      <c r="A187" s="623"/>
      <c r="H187" s="633"/>
      <c r="J187" s="643"/>
      <c r="L187" s="633"/>
    </row>
    <row r="188" spans="1:12">
      <c r="F188" s="623"/>
      <c r="H188" s="633"/>
      <c r="J188" s="643"/>
      <c r="L188" s="633"/>
    </row>
    <row r="189" spans="1:12">
      <c r="A189" s="623"/>
      <c r="H189" s="633"/>
      <c r="J189" s="643"/>
      <c r="L189" s="633"/>
    </row>
    <row r="190" spans="1:12">
      <c r="A190" s="623"/>
    </row>
    <row r="191" spans="1:12">
      <c r="A191" s="623"/>
      <c r="F191" s="623"/>
      <c r="H191" s="631"/>
      <c r="J191" s="634"/>
      <c r="L191" s="631"/>
    </row>
    <row r="192" spans="1:12">
      <c r="A192" s="623"/>
      <c r="F192" s="623"/>
      <c r="H192" s="631"/>
      <c r="J192" s="634"/>
      <c r="L192" s="631"/>
    </row>
    <row r="193" spans="1:13">
      <c r="A193" s="623"/>
      <c r="F193" s="623"/>
      <c r="H193" s="631"/>
      <c r="J193" s="634"/>
      <c r="L193" s="631"/>
    </row>
    <row r="194" spans="1:13">
      <c r="A194" s="623"/>
      <c r="F194" s="623"/>
      <c r="H194" s="631"/>
      <c r="J194" s="634"/>
      <c r="L194" s="631"/>
    </row>
    <row r="195" spans="1:13">
      <c r="A195" s="623"/>
      <c r="F195" s="623"/>
      <c r="H195" s="631"/>
      <c r="J195" s="634"/>
      <c r="L195" s="631"/>
    </row>
    <row r="196" spans="1:13">
      <c r="H196" s="631"/>
      <c r="L196" s="631"/>
    </row>
    <row r="197" spans="1:13">
      <c r="C197" s="637"/>
      <c r="G197" s="623"/>
    </row>
    <row r="198" spans="1:13">
      <c r="C198" s="638"/>
      <c r="G198" s="623"/>
    </row>
    <row r="199" spans="1:13">
      <c r="C199" s="623"/>
      <c r="G199" s="623"/>
    </row>
    <row r="200" spans="1:13">
      <c r="G200" s="623"/>
    </row>
    <row r="201" spans="1:13">
      <c r="M201" s="623"/>
    </row>
    <row r="202" spans="1:13">
      <c r="M202" s="623"/>
    </row>
    <row r="203" spans="1:13">
      <c r="M203" s="623"/>
    </row>
    <row r="204" spans="1:13">
      <c r="A204" s="623"/>
      <c r="C204" s="623"/>
      <c r="H204" s="623"/>
    </row>
    <row r="205" spans="1:13">
      <c r="A205" s="623"/>
      <c r="C205" s="623"/>
      <c r="F205" s="623"/>
      <c r="H205" s="623"/>
      <c r="J205" s="623"/>
      <c r="L205" s="623"/>
    </row>
    <row r="206" spans="1:13">
      <c r="F206" s="623"/>
      <c r="H206" s="623"/>
      <c r="J206" s="623"/>
      <c r="L206" s="623"/>
    </row>
    <row r="207" spans="1:13">
      <c r="A207" s="623"/>
      <c r="C207" s="623"/>
      <c r="H207" s="623"/>
      <c r="J207" s="623"/>
      <c r="L207" s="623"/>
    </row>
    <row r="208" spans="1:13">
      <c r="A208" s="623"/>
      <c r="F208" s="623"/>
      <c r="H208" s="623"/>
      <c r="J208" s="623"/>
      <c r="L208" s="623"/>
    </row>
    <row r="209" spans="1:14">
      <c r="A209" s="623"/>
      <c r="F209" s="623"/>
      <c r="H209" s="633"/>
      <c r="J209" s="643"/>
      <c r="L209" s="633"/>
    </row>
    <row r="210" spans="1:14">
      <c r="A210" s="623"/>
      <c r="C210" s="623"/>
      <c r="F210" s="623"/>
      <c r="H210" s="633"/>
      <c r="J210" s="643"/>
      <c r="L210" s="633"/>
    </row>
    <row r="211" spans="1:14">
      <c r="A211" s="623"/>
      <c r="C211" s="623"/>
      <c r="F211" s="623"/>
      <c r="H211" s="633"/>
      <c r="J211" s="634"/>
      <c r="L211" s="633"/>
      <c r="N211" s="623"/>
    </row>
    <row r="212" spans="1:14">
      <c r="A212" s="623"/>
      <c r="C212" s="623"/>
      <c r="F212" s="623"/>
      <c r="H212" s="633"/>
      <c r="J212" s="634"/>
      <c r="L212" s="633"/>
    </row>
    <row r="213" spans="1:14">
      <c r="A213" s="623"/>
      <c r="C213" s="623"/>
      <c r="F213" s="623"/>
      <c r="H213" s="633"/>
      <c r="J213" s="634"/>
      <c r="L213" s="633"/>
    </row>
    <row r="214" spans="1:14">
      <c r="A214" s="623"/>
      <c r="C214" s="623"/>
      <c r="F214" s="623"/>
      <c r="H214" s="633"/>
      <c r="J214" s="634"/>
      <c r="L214" s="633"/>
    </row>
    <row r="215" spans="1:14">
      <c r="A215" s="623"/>
      <c r="C215" s="623"/>
      <c r="F215" s="623"/>
      <c r="H215" s="633"/>
      <c r="J215" s="634"/>
      <c r="L215" s="633"/>
    </row>
    <row r="216" spans="1:14">
      <c r="A216" s="623"/>
      <c r="C216" s="623"/>
      <c r="F216" s="623"/>
      <c r="H216" s="633"/>
      <c r="J216" s="634"/>
      <c r="L216" s="633"/>
    </row>
    <row r="217" spans="1:14">
      <c r="A217" s="623"/>
      <c r="F217" s="623"/>
      <c r="H217" s="633"/>
      <c r="J217" s="634"/>
      <c r="L217" s="633"/>
    </row>
    <row r="218" spans="1:14">
      <c r="F218" s="623"/>
      <c r="H218" s="631"/>
      <c r="J218" s="634"/>
      <c r="L218" s="631"/>
    </row>
    <row r="219" spans="1:14">
      <c r="A219" s="623"/>
    </row>
    <row r="220" spans="1:14">
      <c r="A220" s="623"/>
      <c r="C220" s="623"/>
      <c r="F220" s="623"/>
    </row>
    <row r="221" spans="1:14">
      <c r="A221" s="623"/>
      <c r="C221" s="623"/>
      <c r="F221" s="623"/>
      <c r="H221" s="633"/>
      <c r="J221" s="635"/>
      <c r="L221" s="633"/>
    </row>
    <row r="222" spans="1:14">
      <c r="A222" s="623"/>
      <c r="C222" s="623"/>
      <c r="F222" s="623"/>
      <c r="H222" s="633"/>
      <c r="J222" s="635"/>
      <c r="L222" s="633"/>
    </row>
    <row r="223" spans="1:14">
      <c r="A223" s="623"/>
      <c r="C223" s="623"/>
      <c r="F223" s="623"/>
      <c r="H223" s="633"/>
      <c r="J223" s="635"/>
      <c r="L223" s="633"/>
    </row>
    <row r="224" spans="1:14">
      <c r="A224" s="623"/>
      <c r="C224" s="623"/>
      <c r="F224" s="623"/>
      <c r="H224" s="633"/>
      <c r="J224" s="635"/>
      <c r="K224" s="623"/>
      <c r="L224" s="633"/>
    </row>
    <row r="225" spans="1:12">
      <c r="A225" s="623"/>
      <c r="C225" s="623"/>
      <c r="F225" s="623"/>
      <c r="H225" s="633"/>
      <c r="J225" s="635"/>
      <c r="L225" s="633"/>
    </row>
    <row r="226" spans="1:12">
      <c r="A226" s="623"/>
      <c r="F226" s="623"/>
      <c r="H226" s="633"/>
      <c r="J226" s="635"/>
      <c r="L226" s="633"/>
    </row>
    <row r="227" spans="1:12">
      <c r="F227" s="623"/>
      <c r="H227" s="631"/>
      <c r="J227" s="635"/>
      <c r="L227" s="631"/>
    </row>
    <row r="228" spans="1:12">
      <c r="A228" s="623"/>
      <c r="C228" s="623"/>
      <c r="J228" s="636"/>
    </row>
    <row r="229" spans="1:12">
      <c r="A229" s="623"/>
      <c r="C229" s="623"/>
      <c r="F229" s="623"/>
      <c r="H229" s="633"/>
      <c r="J229" s="636"/>
      <c r="L229" s="633"/>
    </row>
    <row r="230" spans="1:12">
      <c r="A230" s="623"/>
      <c r="C230" s="623"/>
      <c r="F230" s="623"/>
      <c r="H230" s="633"/>
      <c r="J230" s="635"/>
      <c r="L230" s="633"/>
    </row>
    <row r="231" spans="1:12">
      <c r="A231" s="623"/>
      <c r="C231" s="623"/>
      <c r="F231" s="623"/>
      <c r="H231" s="633"/>
      <c r="J231" s="635"/>
      <c r="L231" s="633"/>
    </row>
    <row r="232" spans="1:12">
      <c r="A232" s="623"/>
      <c r="C232" s="623"/>
      <c r="F232" s="623"/>
      <c r="H232" s="633"/>
      <c r="J232" s="635"/>
      <c r="L232" s="633"/>
    </row>
    <row r="233" spans="1:12">
      <c r="A233" s="623"/>
      <c r="C233" s="623"/>
      <c r="F233" s="623"/>
      <c r="H233" s="633"/>
      <c r="I233" s="623"/>
      <c r="J233" s="635"/>
      <c r="L233" s="633"/>
    </row>
    <row r="234" spans="1:12">
      <c r="A234" s="623"/>
      <c r="C234" s="623"/>
      <c r="F234" s="623"/>
      <c r="H234" s="633"/>
      <c r="J234" s="635"/>
      <c r="L234" s="633"/>
    </row>
    <row r="235" spans="1:12">
      <c r="A235" s="623"/>
      <c r="C235" s="623"/>
      <c r="F235" s="623"/>
      <c r="H235" s="633"/>
      <c r="J235" s="635"/>
      <c r="L235" s="633"/>
    </row>
    <row r="236" spans="1:12">
      <c r="C236" s="623"/>
      <c r="F236" s="623"/>
      <c r="H236" s="633"/>
      <c r="J236" s="635"/>
      <c r="L236" s="633"/>
    </row>
    <row r="237" spans="1:12">
      <c r="C237" s="623"/>
      <c r="F237" s="623"/>
      <c r="H237" s="633"/>
      <c r="J237" s="635"/>
      <c r="L237" s="633"/>
    </row>
    <row r="238" spans="1:12">
      <c r="F238" s="623"/>
      <c r="H238" s="633"/>
      <c r="J238" s="635"/>
      <c r="L238" s="633"/>
    </row>
    <row r="239" spans="1:12">
      <c r="F239" s="623"/>
      <c r="H239" s="631"/>
      <c r="J239" s="635"/>
      <c r="L239" s="631"/>
    </row>
    <row r="240" spans="1:12">
      <c r="C240" s="637"/>
      <c r="G240" s="623"/>
    </row>
    <row r="241" spans="1:13">
      <c r="C241" s="623"/>
      <c r="G241" s="623"/>
    </row>
    <row r="242" spans="1:13">
      <c r="G242" s="623"/>
    </row>
    <row r="243" spans="1:13">
      <c r="M243" s="623"/>
    </row>
    <row r="244" spans="1:13">
      <c r="M244" s="623"/>
    </row>
    <row r="245" spans="1:13">
      <c r="M245" s="623"/>
    </row>
    <row r="246" spans="1:13">
      <c r="A246" s="623"/>
      <c r="C246" s="623"/>
      <c r="H246" s="623"/>
    </row>
    <row r="247" spans="1:13">
      <c r="A247" s="623"/>
      <c r="C247" s="623"/>
      <c r="F247" s="623"/>
      <c r="H247" s="623"/>
      <c r="J247" s="623"/>
      <c r="L247" s="623"/>
    </row>
    <row r="248" spans="1:13">
      <c r="F248" s="623"/>
      <c r="H248" s="623"/>
      <c r="J248" s="623"/>
      <c r="L248" s="623"/>
    </row>
    <row r="249" spans="1:13">
      <c r="A249" s="623"/>
      <c r="C249" s="623"/>
      <c r="H249" s="623"/>
      <c r="J249" s="623"/>
      <c r="L249" s="623"/>
    </row>
    <row r="250" spans="1:13">
      <c r="A250" s="623"/>
      <c r="C250" s="623"/>
      <c r="F250" s="623"/>
      <c r="H250" s="633"/>
      <c r="J250" s="636"/>
      <c r="L250" s="633"/>
    </row>
    <row r="251" spans="1:13">
      <c r="A251" s="623"/>
      <c r="C251" s="623"/>
      <c r="F251" s="623"/>
      <c r="H251" s="633"/>
      <c r="J251" s="635"/>
      <c r="L251" s="633"/>
      <c r="M251" s="623"/>
    </row>
    <row r="252" spans="1:13">
      <c r="A252" s="623"/>
      <c r="C252" s="623"/>
      <c r="F252" s="623"/>
      <c r="H252" s="633"/>
      <c r="J252" s="635"/>
      <c r="L252" s="633"/>
    </row>
    <row r="253" spans="1:13">
      <c r="A253" s="623"/>
      <c r="C253" s="623"/>
      <c r="F253" s="623"/>
      <c r="H253" s="633"/>
      <c r="J253" s="635"/>
      <c r="L253" s="633"/>
    </row>
    <row r="254" spans="1:13">
      <c r="A254" s="623"/>
      <c r="C254" s="623"/>
      <c r="F254" s="623"/>
      <c r="H254" s="633"/>
      <c r="J254" s="635"/>
      <c r="L254" s="633"/>
    </row>
    <row r="255" spans="1:13">
      <c r="A255" s="623"/>
      <c r="C255" s="623"/>
      <c r="F255" s="623"/>
      <c r="H255" s="633"/>
      <c r="J255" s="635"/>
      <c r="L255" s="633"/>
    </row>
    <row r="256" spans="1:13">
      <c r="F256" s="623"/>
      <c r="H256" s="631"/>
      <c r="J256" s="635"/>
      <c r="L256" s="631"/>
    </row>
    <row r="258" spans="1:12">
      <c r="A258" s="623"/>
    </row>
    <row r="259" spans="1:12">
      <c r="A259" s="623"/>
      <c r="C259" s="623"/>
      <c r="F259" s="623"/>
    </row>
    <row r="260" spans="1:12">
      <c r="A260" s="623"/>
      <c r="C260" s="623"/>
      <c r="F260" s="623"/>
      <c r="H260" s="633"/>
      <c r="J260" s="635"/>
      <c r="L260" s="633"/>
    </row>
    <row r="261" spans="1:12">
      <c r="A261" s="623"/>
      <c r="C261" s="623"/>
      <c r="F261" s="623"/>
      <c r="H261" s="633"/>
      <c r="J261" s="635"/>
      <c r="L261" s="633"/>
    </row>
    <row r="262" spans="1:12">
      <c r="A262" s="623"/>
      <c r="C262" s="623"/>
      <c r="F262" s="623"/>
      <c r="H262" s="633"/>
      <c r="J262" s="635"/>
      <c r="K262" s="633"/>
      <c r="L262" s="633"/>
    </row>
    <row r="263" spans="1:12">
      <c r="A263" s="623"/>
      <c r="C263" s="623"/>
      <c r="F263" s="623"/>
      <c r="H263" s="633"/>
      <c r="J263" s="635"/>
      <c r="L263" s="633"/>
    </row>
    <row r="264" spans="1:12">
      <c r="A264" s="623"/>
      <c r="C264" s="623"/>
      <c r="F264" s="623"/>
      <c r="H264" s="631"/>
      <c r="J264" s="635"/>
      <c r="L264" s="631"/>
    </row>
    <row r="265" spans="1:12">
      <c r="A265" s="623"/>
      <c r="C265" s="623"/>
      <c r="F265" s="623"/>
      <c r="H265" s="633"/>
      <c r="J265" s="636"/>
      <c r="L265" s="633"/>
    </row>
    <row r="266" spans="1:12">
      <c r="A266" s="623"/>
      <c r="C266" s="623"/>
      <c r="F266" s="623"/>
      <c r="H266" s="633"/>
      <c r="J266" s="636"/>
      <c r="L266" s="633"/>
    </row>
    <row r="267" spans="1:12">
      <c r="A267" s="623"/>
      <c r="C267" s="623"/>
      <c r="F267" s="623"/>
      <c r="H267" s="633"/>
      <c r="J267" s="635"/>
      <c r="L267" s="633"/>
    </row>
    <row r="268" spans="1:12">
      <c r="A268" s="623"/>
      <c r="C268" s="623"/>
      <c r="F268" s="623"/>
      <c r="H268" s="633"/>
      <c r="J268" s="635"/>
      <c r="L268" s="633"/>
    </row>
    <row r="269" spans="1:12">
      <c r="A269" s="623"/>
      <c r="C269" s="623"/>
      <c r="F269" s="623"/>
      <c r="H269" s="633"/>
      <c r="J269" s="635"/>
      <c r="L269" s="633"/>
    </row>
    <row r="270" spans="1:12">
      <c r="A270" s="623"/>
      <c r="C270" s="623"/>
      <c r="F270" s="623"/>
      <c r="H270" s="633"/>
      <c r="J270" s="635"/>
      <c r="L270" s="633"/>
    </row>
    <row r="271" spans="1:12">
      <c r="F271" s="623"/>
      <c r="H271" s="631"/>
      <c r="J271" s="635"/>
      <c r="L271" s="631"/>
    </row>
    <row r="272" spans="1:12">
      <c r="A272" s="623"/>
      <c r="C272" s="623"/>
      <c r="H272" s="633"/>
      <c r="J272" s="636"/>
      <c r="L272" s="633"/>
    </row>
    <row r="273" spans="1:13">
      <c r="A273" s="623"/>
      <c r="C273" s="623"/>
      <c r="F273" s="623"/>
      <c r="H273" s="633"/>
      <c r="J273" s="636"/>
      <c r="L273" s="633"/>
    </row>
    <row r="274" spans="1:13">
      <c r="A274" s="623"/>
      <c r="C274" s="623"/>
      <c r="F274" s="623"/>
      <c r="H274" s="633"/>
      <c r="I274" s="623"/>
      <c r="J274" s="635"/>
      <c r="L274" s="633"/>
    </row>
    <row r="275" spans="1:13">
      <c r="A275" s="623"/>
      <c r="C275" s="623"/>
      <c r="F275" s="623"/>
      <c r="H275" s="633"/>
      <c r="J275" s="635"/>
      <c r="L275" s="633"/>
    </row>
    <row r="276" spans="1:13">
      <c r="A276" s="623"/>
      <c r="C276" s="623"/>
      <c r="F276" s="623"/>
      <c r="H276" s="633"/>
      <c r="J276" s="635"/>
      <c r="L276" s="633"/>
    </row>
    <row r="277" spans="1:13">
      <c r="A277" s="623"/>
      <c r="C277" s="623"/>
      <c r="F277" s="623"/>
      <c r="H277" s="633"/>
      <c r="J277" s="635"/>
      <c r="L277" s="633"/>
    </row>
    <row r="278" spans="1:13">
      <c r="A278" s="623"/>
      <c r="C278" s="623"/>
      <c r="F278" s="623"/>
      <c r="H278" s="633"/>
      <c r="J278" s="635"/>
      <c r="L278" s="633"/>
    </row>
    <row r="279" spans="1:13">
      <c r="A279" s="623"/>
      <c r="C279" s="623"/>
      <c r="F279" s="623"/>
      <c r="H279" s="633"/>
      <c r="J279" s="635"/>
      <c r="L279" s="633"/>
    </row>
    <row r="280" spans="1:13">
      <c r="A280" s="623"/>
      <c r="C280" s="623"/>
      <c r="F280" s="623"/>
      <c r="H280" s="633"/>
      <c r="J280" s="635"/>
      <c r="L280" s="633"/>
    </row>
    <row r="281" spans="1:13">
      <c r="A281" s="623"/>
      <c r="C281" s="623"/>
      <c r="F281" s="623"/>
      <c r="H281" s="633"/>
      <c r="J281" s="635"/>
      <c r="L281" s="633"/>
    </row>
    <row r="282" spans="1:13">
      <c r="A282" s="623"/>
      <c r="C282" s="623"/>
      <c r="F282" s="623"/>
      <c r="H282" s="633"/>
      <c r="J282" s="635"/>
      <c r="L282" s="633"/>
    </row>
    <row r="283" spans="1:13">
      <c r="F283" s="623"/>
      <c r="H283" s="631"/>
      <c r="J283" s="635"/>
      <c r="L283" s="631"/>
      <c r="M283" s="623"/>
    </row>
    <row r="284" spans="1:13">
      <c r="C284" s="637"/>
      <c r="G284" s="623"/>
    </row>
    <row r="285" spans="1:13">
      <c r="C285" s="638"/>
      <c r="G285" s="623"/>
    </row>
    <row r="286" spans="1:13">
      <c r="C286" s="623"/>
      <c r="G286" s="623"/>
    </row>
    <row r="287" spans="1:13">
      <c r="G287" s="623"/>
    </row>
    <row r="288" spans="1:13">
      <c r="M288" s="623"/>
    </row>
    <row r="289" spans="1:13">
      <c r="M289" s="623"/>
    </row>
    <row r="290" spans="1:13">
      <c r="M290" s="623"/>
    </row>
    <row r="291" spans="1:13">
      <c r="A291" s="623"/>
      <c r="C291" s="623"/>
      <c r="H291" s="623"/>
    </row>
    <row r="292" spans="1:13">
      <c r="A292" s="623"/>
      <c r="C292" s="623"/>
      <c r="F292" s="623"/>
      <c r="H292" s="623"/>
      <c r="J292" s="623"/>
      <c r="L292" s="623"/>
    </row>
    <row r="293" spans="1:13">
      <c r="F293" s="623"/>
      <c r="H293" s="623"/>
      <c r="J293" s="623"/>
      <c r="L293" s="623"/>
    </row>
    <row r="294" spans="1:13">
      <c r="A294" s="623"/>
      <c r="C294" s="623"/>
      <c r="H294" s="623"/>
      <c r="J294" s="623"/>
      <c r="L294" s="623"/>
    </row>
    <row r="295" spans="1:13">
      <c r="A295" s="623"/>
      <c r="F295" s="623"/>
      <c r="H295" s="623"/>
      <c r="J295" s="623"/>
      <c r="L295" s="623"/>
    </row>
    <row r="296" spans="1:13">
      <c r="A296" s="623"/>
      <c r="C296" s="623"/>
      <c r="F296" s="623"/>
    </row>
    <row r="297" spans="1:13">
      <c r="A297" s="623"/>
      <c r="C297" s="623"/>
      <c r="F297" s="623"/>
      <c r="H297" s="633"/>
      <c r="J297" s="636"/>
      <c r="L297" s="633"/>
    </row>
    <row r="298" spans="1:13">
      <c r="A298" s="623"/>
      <c r="C298" s="623"/>
      <c r="F298" s="623"/>
      <c r="H298" s="633"/>
      <c r="J298" s="636"/>
      <c r="L298" s="633"/>
    </row>
    <row r="299" spans="1:13">
      <c r="A299" s="623"/>
      <c r="C299" s="623"/>
      <c r="F299" s="623"/>
      <c r="H299" s="633"/>
      <c r="J299" s="635"/>
      <c r="L299" s="633"/>
    </row>
    <row r="300" spans="1:13">
      <c r="F300" s="623"/>
      <c r="H300" s="633"/>
      <c r="J300" s="635"/>
      <c r="L300" s="631"/>
    </row>
    <row r="301" spans="1:13">
      <c r="A301" s="623"/>
      <c r="C301" s="623"/>
    </row>
    <row r="302" spans="1:13">
      <c r="F302" s="623"/>
      <c r="H302" s="631"/>
      <c r="J302" s="635"/>
      <c r="L302" s="631"/>
    </row>
    <row r="303" spans="1:13">
      <c r="A303" s="623"/>
      <c r="C303" s="623"/>
    </row>
    <row r="304" spans="1:13">
      <c r="A304" s="623"/>
      <c r="C304" s="623"/>
      <c r="F304" s="623"/>
      <c r="H304" s="633"/>
      <c r="J304" s="635"/>
      <c r="L304" s="633"/>
    </row>
    <row r="305" spans="1:12">
      <c r="A305" s="623"/>
      <c r="C305" s="623"/>
      <c r="F305" s="623"/>
      <c r="H305" s="633"/>
      <c r="J305" s="635"/>
      <c r="L305" s="633"/>
    </row>
    <row r="306" spans="1:12">
      <c r="A306" s="623"/>
      <c r="C306" s="623"/>
      <c r="F306" s="623"/>
      <c r="H306" s="633"/>
      <c r="J306" s="635"/>
      <c r="L306" s="633"/>
    </row>
    <row r="307" spans="1:12">
      <c r="F307" s="623"/>
      <c r="H307" s="631"/>
      <c r="J307" s="635"/>
      <c r="L307" s="631"/>
    </row>
    <row r="308" spans="1:12">
      <c r="A308" s="623"/>
      <c r="C308" s="623"/>
      <c r="J308" s="636"/>
    </row>
    <row r="309" spans="1:12">
      <c r="F309" s="623"/>
      <c r="H309" s="631"/>
      <c r="J309" s="635"/>
      <c r="L309" s="631"/>
    </row>
    <row r="310" spans="1:12">
      <c r="C310" s="623"/>
    </row>
    <row r="314" spans="1:12">
      <c r="A314" s="623"/>
    </row>
    <row r="315" spans="1:12">
      <c r="A315" s="623"/>
    </row>
    <row r="316" spans="1:12">
      <c r="A316" s="623"/>
    </row>
    <row r="317" spans="1:12">
      <c r="A317" s="623"/>
    </row>
    <row r="319" spans="1:12">
      <c r="A319" s="623"/>
    </row>
  </sheetData>
  <mergeCells count="12">
    <mergeCell ref="O83:Q83"/>
    <mergeCell ref="A1:T1"/>
    <mergeCell ref="A2:T2"/>
    <mergeCell ref="A3:T3"/>
    <mergeCell ref="A4:T4"/>
    <mergeCell ref="O10:Q10"/>
    <mergeCell ref="O11:Q11"/>
    <mergeCell ref="A72:T72"/>
    <mergeCell ref="A73:T73"/>
    <mergeCell ref="A74:T74"/>
    <mergeCell ref="A75:T75"/>
    <mergeCell ref="O82:Q82"/>
  </mergeCells>
  <printOptions horizontalCentered="1"/>
  <pageMargins left="0.5" right="0.5" top="0.75" bottom="0.5" header="0.3" footer="0.3"/>
  <pageSetup scale="68" fitToHeight="2" orientation="portrait" r:id="rId1"/>
  <rowBreaks count="1" manualBreakCount="1">
    <brk id="71" max="19"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A555"/>
  <sheetViews>
    <sheetView zoomScaleNormal="100" zoomScaleSheetLayoutView="100" workbookViewId="0">
      <selection activeCell="A3" sqref="A3:X3"/>
    </sheetView>
  </sheetViews>
  <sheetFormatPr defaultColWidth="8.33203125" defaultRowHeight="12"/>
  <cols>
    <col min="1" max="9" width="8.33203125" style="133"/>
    <col min="10" max="10" width="3.33203125" style="133" customWidth="1"/>
    <col min="11" max="11" width="1.6640625" style="133" customWidth="1"/>
    <col min="12" max="12" width="2.5" style="133" customWidth="1"/>
    <col min="13" max="13" width="1.33203125" style="133" customWidth="1"/>
    <col min="14" max="15" width="8.33203125" style="133"/>
    <col min="16" max="16" width="5" style="133" customWidth="1"/>
    <col min="17" max="17" width="8.33203125" style="133"/>
    <col min="18" max="18" width="5" style="133" customWidth="1"/>
    <col min="19" max="19" width="14.33203125" style="133" customWidth="1"/>
    <col min="20" max="20" width="2.5" style="205" customWidth="1"/>
    <col min="21" max="21" width="13.5" style="133" customWidth="1"/>
    <col min="22" max="22" width="11.6640625" style="133" customWidth="1"/>
    <col min="23" max="23" width="10" style="133" customWidth="1"/>
    <col min="24" max="24" width="17" style="133" bestFit="1" customWidth="1"/>
    <col min="25" max="25" width="8.33203125" style="133"/>
    <col min="26" max="26" width="10.5" style="133" bestFit="1" customWidth="1"/>
    <col min="27" max="27" width="14.1640625" style="133" bestFit="1" customWidth="1"/>
    <col min="28" max="28" width="14.1640625" style="133" customWidth="1"/>
    <col min="29" max="30" width="8.33203125" style="133"/>
    <col min="31" max="31" width="9.1640625" style="133" customWidth="1"/>
    <col min="32" max="32" width="10" style="133" customWidth="1"/>
    <col min="33" max="16384" width="8.33203125" style="133"/>
  </cols>
  <sheetData>
    <row r="1" spans="1:24"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row>
    <row r="2" spans="1:24"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c r="S2" s="1328"/>
      <c r="T2" s="1328"/>
      <c r="U2" s="1328"/>
      <c r="V2" s="1328"/>
      <c r="W2" s="1328"/>
      <c r="X2" s="1328"/>
    </row>
    <row r="3" spans="1:24" ht="12.75" customHeight="1">
      <c r="A3" s="1328" t="str">
        <f>'Index D'!C28</f>
        <v>DETAILED ADJUSTMENTS</v>
      </c>
      <c r="B3" s="1328"/>
      <c r="C3" s="1328"/>
      <c r="D3" s="1328"/>
      <c r="E3" s="1328"/>
      <c r="F3" s="1328"/>
      <c r="G3" s="1328"/>
      <c r="H3" s="1328"/>
      <c r="I3" s="1328"/>
      <c r="J3" s="1328"/>
      <c r="K3" s="1328"/>
      <c r="L3" s="1328"/>
      <c r="M3" s="1328"/>
      <c r="N3" s="1328"/>
      <c r="O3" s="1328"/>
      <c r="P3" s="1328"/>
      <c r="Q3" s="1328"/>
      <c r="R3" s="1328"/>
      <c r="S3" s="1328"/>
      <c r="T3" s="1328"/>
      <c r="U3" s="1328"/>
      <c r="V3" s="1328"/>
      <c r="W3" s="1328"/>
      <c r="X3" s="1328"/>
    </row>
    <row r="4" spans="1:24" ht="12.75" customHeigh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c r="P4" s="1328"/>
      <c r="Q4" s="1328"/>
      <c r="R4" s="1328"/>
      <c r="S4" s="1328"/>
      <c r="T4" s="1328"/>
      <c r="U4" s="1328"/>
      <c r="V4" s="1328"/>
      <c r="W4" s="1328"/>
      <c r="X4" s="1328"/>
    </row>
    <row r="5" spans="1:24">
      <c r="C5" s="623"/>
      <c r="J5" s="622"/>
    </row>
    <row r="6" spans="1:24">
      <c r="A6" s="285" t="s">
        <v>2786</v>
      </c>
      <c r="X6" s="624" t="s">
        <v>51</v>
      </c>
    </row>
    <row r="7" spans="1:24">
      <c r="A7" s="625" t="str">
        <f>'General Headers Index'!B37</f>
        <v>TYPE OF FILING:___X___ORIGINAL______UPDATED</v>
      </c>
      <c r="X7" s="624" t="s">
        <v>883</v>
      </c>
    </row>
    <row r="8" spans="1:24">
      <c r="A8" s="625" t="s">
        <v>58</v>
      </c>
      <c r="X8" s="624" t="str">
        <f>"WITNESS: "&amp;'General Headers Index'!B48</f>
        <v>WITNESS: INSCHO</v>
      </c>
    </row>
    <row r="9" spans="1:24">
      <c r="A9" s="623"/>
      <c r="C9" s="623"/>
      <c r="H9" s="623"/>
      <c r="J9" s="623"/>
      <c r="L9" s="623"/>
      <c r="M9" s="623"/>
      <c r="N9" s="623"/>
      <c r="O9" s="623"/>
      <c r="P9" s="623"/>
    </row>
    <row r="10" spans="1:24">
      <c r="A10" s="626"/>
      <c r="B10" s="626"/>
      <c r="C10" s="626"/>
      <c r="D10" s="626"/>
      <c r="E10" s="626"/>
      <c r="F10" s="626"/>
      <c r="G10" s="626"/>
      <c r="H10" s="626"/>
      <c r="I10" s="626"/>
      <c r="J10" s="626"/>
      <c r="K10" s="626"/>
      <c r="L10" s="626"/>
      <c r="M10" s="626"/>
      <c r="N10" s="626"/>
      <c r="O10" s="626"/>
      <c r="P10" s="626"/>
      <c r="Q10" s="626"/>
      <c r="R10" s="626"/>
      <c r="S10" s="1330" t="s">
        <v>42</v>
      </c>
      <c r="T10" s="1330"/>
      <c r="U10" s="1330"/>
      <c r="V10" s="626"/>
      <c r="W10" s="626"/>
      <c r="X10" s="626"/>
    </row>
    <row r="11" spans="1:24">
      <c r="A11" s="1038" t="s">
        <v>43</v>
      </c>
      <c r="B11" s="1031"/>
      <c r="C11" s="1039"/>
      <c r="D11" s="1031"/>
      <c r="E11" s="1031"/>
      <c r="F11" s="1031"/>
      <c r="G11" s="1031"/>
      <c r="H11" s="1031"/>
      <c r="I11" s="1031"/>
      <c r="J11" s="1031"/>
      <c r="K11" s="1031"/>
      <c r="L11" s="1031"/>
      <c r="M11" s="1031"/>
      <c r="N11" s="1031"/>
      <c r="O11" s="1031"/>
      <c r="P11" s="1031"/>
      <c r="Q11" s="1031"/>
      <c r="R11" s="1031"/>
      <c r="S11" s="1329" t="s">
        <v>2351</v>
      </c>
      <c r="T11" s="1329"/>
      <c r="U11" s="1329"/>
      <c r="V11" s="1031"/>
      <c r="W11" s="1031"/>
      <c r="X11" s="1029" t="s">
        <v>45</v>
      </c>
    </row>
    <row r="13" spans="1:24">
      <c r="A13" s="630" t="s">
        <v>960</v>
      </c>
    </row>
    <row r="14" spans="1:24" ht="11.45" customHeight="1">
      <c r="A14" s="1331" t="s">
        <v>3066</v>
      </c>
      <c r="B14" s="1331"/>
      <c r="C14" s="1331"/>
      <c r="D14" s="1331"/>
      <c r="E14" s="1331"/>
      <c r="F14" s="1331"/>
      <c r="G14" s="1331"/>
      <c r="H14" s="1331"/>
      <c r="I14" s="1331"/>
      <c r="J14" s="1331"/>
      <c r="K14" s="1331"/>
      <c r="L14" s="1331"/>
      <c r="M14" s="1331"/>
      <c r="N14" s="1331"/>
      <c r="O14" s="1331"/>
      <c r="P14" s="1331"/>
      <c r="Q14" s="1331"/>
      <c r="R14" s="1331"/>
      <c r="T14" s="205" t="str">
        <f>'WPD-2.4.B FTP O&amp;M by Category'!O6</f>
        <v>Workpaper WPD-2.4.B</v>
      </c>
      <c r="V14" s="625" t="s">
        <v>651</v>
      </c>
      <c r="X14" s="629">
        <f>'WPD-2.4.B FTP O&amp;M by Category'!O16+'WPD-2.4.B FTP O&amp;M by Category'!O17+'WPD-2.4.B FTP O&amp;M by Category'!O18+'WPD-2.4.B FTP O&amp;M by Category'!O19</f>
        <v>13336592.054538978</v>
      </c>
    </row>
    <row r="15" spans="1:24">
      <c r="A15" s="1331"/>
      <c r="B15" s="1331"/>
      <c r="C15" s="1331"/>
      <c r="D15" s="1331"/>
      <c r="E15" s="1331"/>
      <c r="F15" s="1331"/>
      <c r="G15" s="1331"/>
      <c r="H15" s="1331"/>
      <c r="I15" s="1331"/>
      <c r="J15" s="1331"/>
      <c r="K15" s="1331"/>
      <c r="L15" s="1331"/>
      <c r="M15" s="1331"/>
      <c r="N15" s="1331"/>
      <c r="O15" s="1331"/>
      <c r="P15" s="1331"/>
      <c r="Q15" s="1331"/>
      <c r="R15" s="1331"/>
      <c r="T15" s="205" t="str">
        <f>'WPD-2.4.A BP O&amp;M by Category'!O6</f>
        <v>Workpaper WPD-2.4.A</v>
      </c>
      <c r="V15" s="625" t="s">
        <v>3074</v>
      </c>
      <c r="X15" s="631">
        <f>'WPD-2.4.A BP O&amp;M by Category'!O16+'WPD-2.4.A BP O&amp;M by Category'!O17+'WPD-2.4.A BP O&amp;M by Category'!O18+'WPD-2.4.A BP O&amp;M by Category'!O19</f>
        <v>13646812.152092418</v>
      </c>
    </row>
    <row r="16" spans="1:24">
      <c r="A16" s="1331"/>
      <c r="B16" s="1331"/>
      <c r="C16" s="1331"/>
      <c r="D16" s="1331"/>
      <c r="E16" s="1331"/>
      <c r="F16" s="1331"/>
      <c r="G16" s="1331"/>
      <c r="H16" s="1331"/>
      <c r="I16" s="1331"/>
      <c r="J16" s="1331"/>
      <c r="K16" s="1331"/>
      <c r="L16" s="1331"/>
      <c r="M16" s="1331"/>
      <c r="N16" s="1331"/>
      <c r="O16" s="1331"/>
      <c r="P16" s="1331"/>
      <c r="Q16" s="1331"/>
      <c r="R16" s="1331"/>
      <c r="V16" s="625" t="s">
        <v>433</v>
      </c>
      <c r="X16" s="640">
        <f>X14-X15</f>
        <v>-310220.09755343944</v>
      </c>
    </row>
    <row r="17" spans="1:34">
      <c r="A17" s="1331"/>
      <c r="B17" s="1331"/>
      <c r="C17" s="1331"/>
      <c r="D17" s="1331"/>
      <c r="E17" s="1331"/>
      <c r="F17" s="1331"/>
      <c r="G17" s="1331"/>
      <c r="H17" s="1331"/>
      <c r="I17" s="1331"/>
      <c r="J17" s="1331"/>
      <c r="K17" s="1331"/>
      <c r="L17" s="1331"/>
      <c r="M17" s="1331"/>
      <c r="N17" s="1331"/>
      <c r="O17" s="1331"/>
      <c r="P17" s="1331"/>
      <c r="Q17" s="1331"/>
      <c r="R17" s="1331"/>
      <c r="X17" s="641">
        <f>IFERROR(ROUND(X16/X15,4),0)</f>
        <v>-2.2700000000000001E-2</v>
      </c>
    </row>
    <row r="18" spans="1:34">
      <c r="A18" s="1331"/>
      <c r="B18" s="1331"/>
      <c r="C18" s="1331"/>
      <c r="D18" s="1331"/>
      <c r="E18" s="1331"/>
      <c r="F18" s="1331"/>
      <c r="G18" s="1331"/>
      <c r="H18" s="1331"/>
      <c r="I18" s="1331"/>
      <c r="J18" s="1331"/>
      <c r="K18" s="1331"/>
      <c r="L18" s="1331"/>
      <c r="M18" s="1331"/>
      <c r="N18" s="1331"/>
      <c r="O18" s="1331"/>
      <c r="P18" s="1331"/>
      <c r="Q18" s="1331"/>
      <c r="R18" s="1331"/>
      <c r="X18" s="641"/>
    </row>
    <row r="19" spans="1:34">
      <c r="A19" s="625"/>
      <c r="X19" s="641"/>
    </row>
    <row r="20" spans="1:34">
      <c r="A20" s="630" t="s">
        <v>961</v>
      </c>
      <c r="AD20" s="642"/>
    </row>
    <row r="21" spans="1:34">
      <c r="A21" s="1332" t="s">
        <v>2310</v>
      </c>
      <c r="B21" s="1332"/>
      <c r="C21" s="1332"/>
      <c r="D21" s="1332"/>
      <c r="E21" s="1332"/>
      <c r="F21" s="1332"/>
      <c r="G21" s="1332"/>
      <c r="H21" s="1332"/>
      <c r="I21" s="1332"/>
      <c r="J21" s="1332"/>
      <c r="K21" s="1332"/>
      <c r="L21" s="1332"/>
      <c r="M21" s="1332"/>
      <c r="N21" s="1332"/>
      <c r="O21" s="1332"/>
      <c r="P21" s="1332"/>
      <c r="Q21" s="1332"/>
      <c r="R21" s="1332"/>
      <c r="T21" s="205" t="str">
        <f>T14</f>
        <v>Workpaper WPD-2.4.B</v>
      </c>
      <c r="V21" s="625" t="s">
        <v>651</v>
      </c>
      <c r="X21" s="629">
        <f>'WPD-2.4.B FTP O&amp;M by Category'!O27-X14</f>
        <v>2977449.9409452677</v>
      </c>
    </row>
    <row r="22" spans="1:34">
      <c r="A22" s="1332"/>
      <c r="B22" s="1332"/>
      <c r="C22" s="1332"/>
      <c r="D22" s="1332"/>
      <c r="E22" s="1332"/>
      <c r="F22" s="1332"/>
      <c r="G22" s="1332"/>
      <c r="H22" s="1332"/>
      <c r="I22" s="1332"/>
      <c r="J22" s="1332"/>
      <c r="K22" s="1332"/>
      <c r="L22" s="1332"/>
      <c r="M22" s="1332"/>
      <c r="N22" s="1332"/>
      <c r="O22" s="1332"/>
      <c r="P22" s="1332"/>
      <c r="Q22" s="1332"/>
      <c r="R22" s="1332"/>
      <c r="T22" s="205" t="str">
        <f>T15</f>
        <v>Workpaper WPD-2.4.A</v>
      </c>
      <c r="V22" s="625" t="str">
        <f>$V$15</f>
        <v>BASE-UNADJUSTED</v>
      </c>
      <c r="X22" s="631">
        <f>'WPD-2.4.A BP O&amp;M by Category'!O27-X15</f>
        <v>2754178.7629222777</v>
      </c>
      <c r="Y22" s="631"/>
      <c r="Z22" s="631"/>
      <c r="AA22" s="631"/>
      <c r="AB22" s="631"/>
      <c r="AC22" s="631"/>
      <c r="AD22" s="631"/>
      <c r="AE22" s="631"/>
      <c r="AF22" s="631"/>
      <c r="AG22" s="631"/>
      <c r="AH22" s="631"/>
    </row>
    <row r="23" spans="1:34">
      <c r="A23" s="1332"/>
      <c r="B23" s="1332"/>
      <c r="C23" s="1332"/>
      <c r="D23" s="1332"/>
      <c r="E23" s="1332"/>
      <c r="F23" s="1332"/>
      <c r="G23" s="1332"/>
      <c r="H23" s="1332"/>
      <c r="I23" s="1332"/>
      <c r="J23" s="1332"/>
      <c r="K23" s="1332"/>
      <c r="L23" s="1332"/>
      <c r="M23" s="1332"/>
      <c r="N23" s="1332"/>
      <c r="O23" s="1332"/>
      <c r="P23" s="1332"/>
      <c r="Q23" s="1332"/>
      <c r="R23" s="1332"/>
      <c r="V23" s="625" t="s">
        <v>433</v>
      </c>
      <c r="X23" s="640">
        <f>X21-X22</f>
        <v>223271.17802299</v>
      </c>
      <c r="Y23" s="631"/>
      <c r="Z23" s="631"/>
      <c r="AA23" s="631"/>
      <c r="AB23" s="631"/>
      <c r="AC23" s="631"/>
      <c r="AD23" s="631"/>
      <c r="AE23" s="631"/>
      <c r="AF23" s="631"/>
      <c r="AG23" s="631"/>
      <c r="AH23" s="631"/>
    </row>
    <row r="24" spans="1:34">
      <c r="A24" s="1332"/>
      <c r="B24" s="1332"/>
      <c r="C24" s="1332"/>
      <c r="D24" s="1332"/>
      <c r="E24" s="1332"/>
      <c r="F24" s="1332"/>
      <c r="G24" s="1332"/>
      <c r="H24" s="1332"/>
      <c r="I24" s="1332"/>
      <c r="J24" s="1332"/>
      <c r="K24" s="1332"/>
      <c r="L24" s="1332"/>
      <c r="M24" s="1332"/>
      <c r="N24" s="1332"/>
      <c r="O24" s="1332"/>
      <c r="P24" s="1332"/>
      <c r="Q24" s="1332"/>
      <c r="R24" s="1332"/>
      <c r="X24" s="641">
        <f>IFERROR(ROUND(X23/X22,4),0)</f>
        <v>8.1100000000000005E-2</v>
      </c>
      <c r="Y24" s="631"/>
      <c r="Z24" s="631"/>
      <c r="AA24" s="631"/>
      <c r="AB24" s="631"/>
      <c r="AC24" s="631"/>
      <c r="AD24" s="631"/>
      <c r="AE24" s="631"/>
      <c r="AF24" s="631"/>
      <c r="AG24" s="631"/>
      <c r="AH24" s="631"/>
    </row>
    <row r="25" spans="1:34">
      <c r="A25" s="1332"/>
      <c r="B25" s="1332"/>
      <c r="C25" s="1332"/>
      <c r="D25" s="1332"/>
      <c r="E25" s="1332"/>
      <c r="F25" s="1332"/>
      <c r="G25" s="1332"/>
      <c r="H25" s="1332"/>
      <c r="I25" s="1332"/>
      <c r="J25" s="1332"/>
      <c r="K25" s="1332"/>
      <c r="L25" s="1332"/>
      <c r="M25" s="1332"/>
      <c r="N25" s="1332"/>
      <c r="O25" s="1332"/>
      <c r="P25" s="1332"/>
      <c r="Q25" s="1332"/>
      <c r="R25" s="1332"/>
      <c r="V25" s="631"/>
      <c r="W25" s="631"/>
      <c r="X25" s="631"/>
      <c r="AD25" s="642"/>
    </row>
    <row r="26" spans="1:34">
      <c r="A26" s="625"/>
      <c r="C26" s="631"/>
      <c r="D26" s="631"/>
      <c r="E26" s="631"/>
      <c r="F26" s="631"/>
      <c r="G26" s="631"/>
      <c r="H26" s="631"/>
      <c r="I26" s="631"/>
      <c r="J26" s="631"/>
      <c r="K26" s="631"/>
      <c r="L26" s="631"/>
      <c r="M26" s="631"/>
      <c r="N26" s="631"/>
      <c r="O26" s="631"/>
      <c r="P26" s="631"/>
      <c r="Q26" s="631"/>
      <c r="R26" s="631"/>
      <c r="V26" s="631"/>
      <c r="W26" s="631"/>
      <c r="X26" s="631"/>
      <c r="AD26" s="642"/>
    </row>
    <row r="27" spans="1:34">
      <c r="A27" s="630" t="s">
        <v>962</v>
      </c>
      <c r="C27" s="623"/>
    </row>
    <row r="28" spans="1:34">
      <c r="A28" s="1332" t="s">
        <v>1344</v>
      </c>
      <c r="B28" s="1332"/>
      <c r="C28" s="1332"/>
      <c r="D28" s="1332"/>
      <c r="E28" s="1332"/>
      <c r="F28" s="1332"/>
      <c r="G28" s="1332"/>
      <c r="H28" s="1332"/>
      <c r="I28" s="1332"/>
      <c r="J28" s="1332"/>
      <c r="K28" s="1332"/>
      <c r="L28" s="1332"/>
      <c r="M28" s="1332"/>
      <c r="N28" s="1332"/>
      <c r="O28" s="1332"/>
      <c r="P28" s="1332"/>
      <c r="Q28" s="1332"/>
      <c r="R28" s="1332"/>
      <c r="T28" s="205" t="str">
        <f>T14</f>
        <v>Workpaper WPD-2.4.B</v>
      </c>
      <c r="V28" s="625" t="s">
        <v>651</v>
      </c>
      <c r="X28" s="629">
        <f>'WPD-2.4.B FTP O&amp;M by Category'!O29</f>
        <v>1530825.7115050755</v>
      </c>
    </row>
    <row r="29" spans="1:34">
      <c r="A29" s="1332"/>
      <c r="B29" s="1332"/>
      <c r="C29" s="1332"/>
      <c r="D29" s="1332"/>
      <c r="E29" s="1332"/>
      <c r="F29" s="1332"/>
      <c r="G29" s="1332"/>
      <c r="H29" s="1332"/>
      <c r="I29" s="1332"/>
      <c r="J29" s="1332"/>
      <c r="K29" s="1332"/>
      <c r="L29" s="1332"/>
      <c r="M29" s="1332"/>
      <c r="N29" s="1332"/>
      <c r="O29" s="1332"/>
      <c r="P29" s="1332"/>
      <c r="Q29" s="1332"/>
      <c r="R29" s="1332"/>
      <c r="T29" s="205" t="str">
        <f>T15</f>
        <v>Workpaper WPD-2.4.A</v>
      </c>
      <c r="V29" s="625" t="str">
        <f>$V$15</f>
        <v>BASE-UNADJUSTED</v>
      </c>
      <c r="X29" s="631">
        <f>'WPD-2.4.A BP O&amp;M by Category'!O29</f>
        <v>1564275.6709769326</v>
      </c>
    </row>
    <row r="30" spans="1:34">
      <c r="A30" s="1332"/>
      <c r="B30" s="1332"/>
      <c r="C30" s="1332"/>
      <c r="D30" s="1332"/>
      <c r="E30" s="1332"/>
      <c r="F30" s="1332"/>
      <c r="G30" s="1332"/>
      <c r="H30" s="1332"/>
      <c r="I30" s="1332"/>
      <c r="J30" s="1332"/>
      <c r="K30" s="1332"/>
      <c r="L30" s="1332"/>
      <c r="M30" s="1332"/>
      <c r="N30" s="1332"/>
      <c r="O30" s="1332"/>
      <c r="P30" s="1332"/>
      <c r="Q30" s="1332"/>
      <c r="R30" s="1332"/>
      <c r="V30" s="625" t="s">
        <v>433</v>
      </c>
      <c r="X30" s="640">
        <f>X28-X29</f>
        <v>-33449.959471857175</v>
      </c>
    </row>
    <row r="31" spans="1:34">
      <c r="A31" s="625"/>
      <c r="X31" s="641">
        <f>IFERROR(ROUND(X30/X29,4),0)</f>
        <v>-2.1399999999999999E-2</v>
      </c>
    </row>
    <row r="33" spans="1:30">
      <c r="A33" s="630" t="s">
        <v>27</v>
      </c>
    </row>
    <row r="34" spans="1:30">
      <c r="A34" s="1331" t="s">
        <v>2333</v>
      </c>
      <c r="B34" s="1331"/>
      <c r="C34" s="1331"/>
      <c r="D34" s="1331"/>
      <c r="E34" s="1331"/>
      <c r="F34" s="1331"/>
      <c r="G34" s="1331"/>
      <c r="H34" s="1331"/>
      <c r="I34" s="1331"/>
      <c r="J34" s="1331"/>
      <c r="K34" s="1331"/>
      <c r="L34" s="1331"/>
      <c r="M34" s="1331"/>
      <c r="N34" s="1331"/>
      <c r="O34" s="1331"/>
      <c r="P34" s="1331"/>
      <c r="Q34" s="1331"/>
      <c r="R34" s="1331"/>
      <c r="T34" s="205" t="str">
        <f>T14</f>
        <v>Workpaper WPD-2.4.B</v>
      </c>
      <c r="V34" s="625" t="s">
        <v>651</v>
      </c>
      <c r="X34" s="629">
        <f>'WPD-2.4.B FTP O&amp;M by Category'!O30</f>
        <v>1299.9999999999993</v>
      </c>
    </row>
    <row r="35" spans="1:30">
      <c r="A35" s="1331"/>
      <c r="B35" s="1331"/>
      <c r="C35" s="1331"/>
      <c r="D35" s="1331"/>
      <c r="E35" s="1331"/>
      <c r="F35" s="1331"/>
      <c r="G35" s="1331"/>
      <c r="H35" s="1331"/>
      <c r="I35" s="1331"/>
      <c r="J35" s="1331"/>
      <c r="K35" s="1331"/>
      <c r="L35" s="1331"/>
      <c r="M35" s="1331"/>
      <c r="N35" s="1331"/>
      <c r="O35" s="1331"/>
      <c r="P35" s="1331"/>
      <c r="Q35" s="1331"/>
      <c r="R35" s="1331"/>
      <c r="T35" s="205" t="str">
        <f>T15</f>
        <v>Workpaper WPD-2.4.A</v>
      </c>
      <c r="V35" s="625" t="str">
        <f>$V$15</f>
        <v>BASE-UNADJUSTED</v>
      </c>
      <c r="X35" s="631">
        <f>'WPD-2.4.A BP O&amp;M by Category'!O30</f>
        <v>4141.630000000001</v>
      </c>
    </row>
    <row r="36" spans="1:30">
      <c r="A36" s="1331"/>
      <c r="B36" s="1331"/>
      <c r="C36" s="1331"/>
      <c r="D36" s="1331"/>
      <c r="E36" s="1331"/>
      <c r="F36" s="1331"/>
      <c r="G36" s="1331"/>
      <c r="H36" s="1331"/>
      <c r="I36" s="1331"/>
      <c r="J36" s="1331"/>
      <c r="K36" s="1331"/>
      <c r="L36" s="1331"/>
      <c r="M36" s="1331"/>
      <c r="N36" s="1331"/>
      <c r="O36" s="1331"/>
      <c r="P36" s="1331"/>
      <c r="Q36" s="1331"/>
      <c r="R36" s="1331"/>
      <c r="V36" s="625" t="s">
        <v>433</v>
      </c>
      <c r="X36" s="640">
        <f>X34-X35</f>
        <v>-2841.6300000000019</v>
      </c>
    </row>
    <row r="37" spans="1:30">
      <c r="A37" s="1331"/>
      <c r="B37" s="1331"/>
      <c r="C37" s="1331"/>
      <c r="D37" s="1331"/>
      <c r="E37" s="1331"/>
      <c r="F37" s="1331"/>
      <c r="G37" s="1331"/>
      <c r="H37" s="1331"/>
      <c r="I37" s="1331"/>
      <c r="J37" s="1331"/>
      <c r="K37" s="1331"/>
      <c r="L37" s="1331"/>
      <c r="M37" s="1331"/>
      <c r="N37" s="1331"/>
      <c r="O37" s="1331"/>
      <c r="P37" s="1331"/>
      <c r="Q37" s="1331"/>
      <c r="R37" s="1331"/>
      <c r="X37" s="641">
        <f>IFERROR(ROUND(X36/X35,4),0)</f>
        <v>-0.68610000000000004</v>
      </c>
    </row>
    <row r="38" spans="1:30">
      <c r="A38" s="1331"/>
      <c r="B38" s="1331"/>
      <c r="C38" s="1331"/>
      <c r="D38" s="1331"/>
      <c r="E38" s="1331"/>
      <c r="F38" s="1331"/>
      <c r="G38" s="1331"/>
      <c r="H38" s="1331"/>
      <c r="I38" s="1331"/>
      <c r="J38" s="1331"/>
      <c r="K38" s="1331"/>
      <c r="L38" s="1331"/>
      <c r="M38" s="1331"/>
      <c r="N38" s="1331"/>
      <c r="O38" s="1331"/>
      <c r="P38" s="1331"/>
      <c r="Q38" s="1331"/>
      <c r="R38" s="1331"/>
    </row>
    <row r="39" spans="1:30">
      <c r="A39" s="625"/>
    </row>
    <row r="40" spans="1:30">
      <c r="A40" s="630" t="s">
        <v>28</v>
      </c>
    </row>
    <row r="41" spans="1:30">
      <c r="A41" s="1331" t="s">
        <v>1345</v>
      </c>
      <c r="B41" s="1331"/>
      <c r="C41" s="1331"/>
      <c r="D41" s="1331"/>
      <c r="E41" s="1331"/>
      <c r="F41" s="1331"/>
      <c r="G41" s="1331"/>
      <c r="H41" s="1331"/>
      <c r="I41" s="1331"/>
      <c r="J41" s="1331"/>
      <c r="K41" s="1331"/>
      <c r="L41" s="1331"/>
      <c r="M41" s="1331"/>
      <c r="N41" s="1331"/>
      <c r="O41" s="1331"/>
      <c r="P41" s="1331"/>
      <c r="Q41" s="1331"/>
      <c r="R41" s="1331"/>
      <c r="T41" s="205" t="str">
        <f>T14</f>
        <v>Workpaper WPD-2.4.B</v>
      </c>
      <c r="V41" s="625" t="s">
        <v>651</v>
      </c>
      <c r="X41" s="629">
        <f>'WPD-2.4.B FTP O&amp;M by Category'!O31+'WPD-2.4.B FTP O&amp;M by Category'!O32+'WPD-2.4.B FTP O&amp;M by Category'!O33</f>
        <v>6332099.1331950556</v>
      </c>
    </row>
    <row r="42" spans="1:30">
      <c r="A42" s="1331"/>
      <c r="B42" s="1331"/>
      <c r="C42" s="1331"/>
      <c r="D42" s="1331"/>
      <c r="E42" s="1331"/>
      <c r="F42" s="1331"/>
      <c r="G42" s="1331"/>
      <c r="H42" s="1331"/>
      <c r="I42" s="1331"/>
      <c r="J42" s="1331"/>
      <c r="K42" s="1331"/>
      <c r="L42" s="1331"/>
      <c r="M42" s="1331"/>
      <c r="N42" s="1331"/>
      <c r="O42" s="1331"/>
      <c r="P42" s="1331"/>
      <c r="Q42" s="1331"/>
      <c r="R42" s="1331"/>
      <c r="T42" s="205" t="str">
        <f>T15</f>
        <v>Workpaper WPD-2.4.A</v>
      </c>
      <c r="V42" s="625" t="str">
        <f>$V$15</f>
        <v>BASE-UNADJUSTED</v>
      </c>
      <c r="X42" s="631">
        <f>'WPD-2.4.A BP O&amp;M by Category'!O31+'WPD-2.4.A BP O&amp;M by Category'!O32+'WPD-2.4.A BP O&amp;M by Category'!O33</f>
        <v>6446553.3109067781</v>
      </c>
    </row>
    <row r="43" spans="1:30">
      <c r="A43" s="1331"/>
      <c r="B43" s="1331"/>
      <c r="C43" s="1331"/>
      <c r="D43" s="1331"/>
      <c r="E43" s="1331"/>
      <c r="F43" s="1331"/>
      <c r="G43" s="1331"/>
      <c r="H43" s="1331"/>
      <c r="I43" s="1331"/>
      <c r="J43" s="1331"/>
      <c r="K43" s="1331"/>
      <c r="L43" s="1331"/>
      <c r="M43" s="1331"/>
      <c r="N43" s="1331"/>
      <c r="O43" s="1331"/>
      <c r="P43" s="1331"/>
      <c r="Q43" s="1331"/>
      <c r="R43" s="1331"/>
      <c r="V43" s="625" t="s">
        <v>433</v>
      </c>
      <c r="X43" s="640">
        <f>X41-X42</f>
        <v>-114454.17771172244</v>
      </c>
    </row>
    <row r="44" spans="1:30">
      <c r="A44" s="1331"/>
      <c r="B44" s="1331"/>
      <c r="C44" s="1331"/>
      <c r="D44" s="1331"/>
      <c r="E44" s="1331"/>
      <c r="F44" s="1331"/>
      <c r="G44" s="1331"/>
      <c r="H44" s="1331"/>
      <c r="I44" s="1331"/>
      <c r="J44" s="1331"/>
      <c r="K44" s="1331"/>
      <c r="L44" s="1331"/>
      <c r="M44" s="1331"/>
      <c r="N44" s="1331"/>
      <c r="O44" s="1331"/>
      <c r="P44" s="1331"/>
      <c r="Q44" s="1331"/>
      <c r="R44" s="1331"/>
      <c r="X44" s="641">
        <f>IFERROR(ROUND(X43/X42,4),0)</f>
        <v>-1.78E-2</v>
      </c>
    </row>
    <row r="45" spans="1:30">
      <c r="A45" s="1331"/>
      <c r="B45" s="1331"/>
      <c r="C45" s="1331"/>
      <c r="D45" s="1331"/>
      <c r="E45" s="1331"/>
      <c r="F45" s="1331"/>
      <c r="G45" s="1331"/>
      <c r="H45" s="1331"/>
      <c r="I45" s="1331"/>
      <c r="J45" s="1331"/>
      <c r="K45" s="1331"/>
      <c r="L45" s="1331"/>
      <c r="M45" s="1331"/>
      <c r="N45" s="1331"/>
      <c r="O45" s="1331"/>
      <c r="P45" s="1331"/>
      <c r="Q45" s="1331"/>
      <c r="R45" s="1331"/>
    </row>
    <row r="46" spans="1:30">
      <c r="A46" s="625"/>
    </row>
    <row r="47" spans="1:30">
      <c r="A47" s="630" t="s">
        <v>29</v>
      </c>
    </row>
    <row r="48" spans="1:30" ht="11.45" customHeight="1">
      <c r="A48" s="1331" t="s">
        <v>1346</v>
      </c>
      <c r="B48" s="1331"/>
      <c r="C48" s="1331"/>
      <c r="D48" s="1331"/>
      <c r="E48" s="1331"/>
      <c r="F48" s="1331"/>
      <c r="G48" s="1331"/>
      <c r="H48" s="1331"/>
      <c r="I48" s="1331"/>
      <c r="J48" s="1331"/>
      <c r="K48" s="1331"/>
      <c r="L48" s="1331"/>
      <c r="M48" s="1331"/>
      <c r="N48" s="1331"/>
      <c r="O48" s="1331"/>
      <c r="P48" s="1331"/>
      <c r="Q48" s="1331"/>
      <c r="R48" s="1331"/>
      <c r="T48" s="205" t="str">
        <f>T14</f>
        <v>Workpaper WPD-2.4.B</v>
      </c>
      <c r="V48" s="625" t="s">
        <v>651</v>
      </c>
      <c r="X48" s="629">
        <f>'WPD-2.4.B FTP O&amp;M by Category'!O34+'WPD-2.4.B FTP O&amp;M by Category'!O35</f>
        <v>115928.9</v>
      </c>
      <c r="Y48" s="631"/>
      <c r="Z48" s="631"/>
      <c r="AA48" s="631"/>
      <c r="AB48" s="631"/>
      <c r="AC48" s="631"/>
      <c r="AD48" s="631"/>
    </row>
    <row r="49" spans="1:34">
      <c r="A49" s="1331"/>
      <c r="B49" s="1331"/>
      <c r="C49" s="1331"/>
      <c r="D49" s="1331"/>
      <c r="E49" s="1331"/>
      <c r="F49" s="1331"/>
      <c r="G49" s="1331"/>
      <c r="H49" s="1331"/>
      <c r="I49" s="1331"/>
      <c r="J49" s="1331"/>
      <c r="K49" s="1331"/>
      <c r="L49" s="1331"/>
      <c r="M49" s="1331"/>
      <c r="N49" s="1331"/>
      <c r="O49" s="1331"/>
      <c r="P49" s="1331"/>
      <c r="Q49" s="1331"/>
      <c r="R49" s="1331"/>
      <c r="T49" s="205" t="str">
        <f>T15</f>
        <v>Workpaper WPD-2.4.A</v>
      </c>
      <c r="V49" s="625" t="str">
        <f>$V$15</f>
        <v>BASE-UNADJUSTED</v>
      </c>
      <c r="X49" s="631">
        <f>'WPD-2.4.A BP O&amp;M by Category'!O34+'WPD-2.4.A BP O&amp;M by Category'!O35</f>
        <v>82293.399999999994</v>
      </c>
      <c r="Y49" s="631"/>
      <c r="Z49" s="631"/>
      <c r="AA49" s="631"/>
      <c r="AB49" s="631"/>
      <c r="AC49" s="631"/>
      <c r="AD49" s="631"/>
    </row>
    <row r="50" spans="1:34">
      <c r="A50" s="1331"/>
      <c r="B50" s="1331"/>
      <c r="C50" s="1331"/>
      <c r="D50" s="1331"/>
      <c r="E50" s="1331"/>
      <c r="F50" s="1331"/>
      <c r="G50" s="1331"/>
      <c r="H50" s="1331"/>
      <c r="I50" s="1331"/>
      <c r="J50" s="1331"/>
      <c r="K50" s="1331"/>
      <c r="L50" s="1331"/>
      <c r="M50" s="1331"/>
      <c r="N50" s="1331"/>
      <c r="O50" s="1331"/>
      <c r="P50" s="1331"/>
      <c r="Q50" s="1331"/>
      <c r="R50" s="1331"/>
      <c r="V50" s="625" t="s">
        <v>433</v>
      </c>
      <c r="X50" s="640">
        <f>X48-X49</f>
        <v>33635.5</v>
      </c>
    </row>
    <row r="51" spans="1:34">
      <c r="A51" s="1331"/>
      <c r="B51" s="1331"/>
      <c r="C51" s="1331"/>
      <c r="D51" s="1331"/>
      <c r="E51" s="1331"/>
      <c r="F51" s="1331"/>
      <c r="G51" s="1331"/>
      <c r="H51" s="1331"/>
      <c r="I51" s="1331"/>
      <c r="J51" s="1331"/>
      <c r="K51" s="1331"/>
      <c r="L51" s="1331"/>
      <c r="M51" s="1331"/>
      <c r="N51" s="1331"/>
      <c r="O51" s="1331"/>
      <c r="P51" s="1331"/>
      <c r="Q51" s="1331"/>
      <c r="R51" s="1331"/>
      <c r="X51" s="641">
        <f>IFERROR(ROUND(X50/X49,4),0)</f>
        <v>0.40870000000000001</v>
      </c>
      <c r="Y51" s="631"/>
      <c r="Z51" s="631"/>
      <c r="AA51" s="631"/>
      <c r="AB51" s="631"/>
      <c r="AC51" s="631"/>
      <c r="AD51" s="631"/>
      <c r="AE51" s="631"/>
    </row>
    <row r="52" spans="1:34">
      <c r="A52" s="625"/>
    </row>
    <row r="53" spans="1:34">
      <c r="A53" s="630" t="s">
        <v>30</v>
      </c>
      <c r="Y53" s="631"/>
      <c r="Z53" s="631"/>
      <c r="AA53" s="631"/>
      <c r="AB53" s="631"/>
      <c r="AC53" s="631"/>
      <c r="AD53" s="631"/>
      <c r="AE53" s="631"/>
      <c r="AF53" s="631"/>
      <c r="AG53" s="631"/>
      <c r="AH53" s="631"/>
    </row>
    <row r="54" spans="1:34">
      <c r="A54" s="1331" t="s">
        <v>2334</v>
      </c>
      <c r="B54" s="1331"/>
      <c r="C54" s="1331"/>
      <c r="D54" s="1331"/>
      <c r="E54" s="1331"/>
      <c r="F54" s="1331"/>
      <c r="G54" s="1331"/>
      <c r="H54" s="1331"/>
      <c r="I54" s="1331"/>
      <c r="J54" s="1331"/>
      <c r="K54" s="1331"/>
      <c r="L54" s="1331"/>
      <c r="M54" s="1331"/>
      <c r="N54" s="1331"/>
      <c r="O54" s="1331"/>
      <c r="P54" s="1331"/>
      <c r="Q54" s="1331"/>
      <c r="R54" s="1331"/>
      <c r="T54" s="205" t="str">
        <f>T14</f>
        <v>Workpaper WPD-2.4.B</v>
      </c>
      <c r="V54" s="625" t="s">
        <v>651</v>
      </c>
      <c r="X54" s="629">
        <f>'WPD-2.4.B FTP O&amp;M by Category'!O36</f>
        <v>1683193.4065644466</v>
      </c>
      <c r="Y54" s="631"/>
      <c r="Z54" s="631"/>
      <c r="AA54" s="631"/>
      <c r="AB54" s="631"/>
      <c r="AC54" s="631"/>
      <c r="AD54" s="631"/>
      <c r="AE54" s="631"/>
      <c r="AF54" s="631"/>
      <c r="AG54" s="631"/>
      <c r="AH54" s="631"/>
    </row>
    <row r="55" spans="1:34">
      <c r="A55" s="1331"/>
      <c r="B55" s="1331"/>
      <c r="C55" s="1331"/>
      <c r="D55" s="1331"/>
      <c r="E55" s="1331"/>
      <c r="F55" s="1331"/>
      <c r="G55" s="1331"/>
      <c r="H55" s="1331"/>
      <c r="I55" s="1331"/>
      <c r="J55" s="1331"/>
      <c r="K55" s="1331"/>
      <c r="L55" s="1331"/>
      <c r="M55" s="1331"/>
      <c r="N55" s="1331"/>
      <c r="O55" s="1331"/>
      <c r="P55" s="1331"/>
      <c r="Q55" s="1331"/>
      <c r="R55" s="1331"/>
      <c r="T55" s="205" t="str">
        <f>T15</f>
        <v>Workpaper WPD-2.4.A</v>
      </c>
      <c r="V55" s="625" t="str">
        <f>$V$15</f>
        <v>BASE-UNADJUSTED</v>
      </c>
      <c r="X55" s="631">
        <f>'WPD-2.4.A BP O&amp;M by Category'!O36</f>
        <v>1545001.0674673363</v>
      </c>
      <c r="Y55" s="631"/>
      <c r="Z55" s="631"/>
      <c r="AA55" s="631"/>
      <c r="AB55" s="631"/>
      <c r="AC55" s="631"/>
      <c r="AD55" s="631"/>
      <c r="AE55" s="631"/>
      <c r="AF55" s="631"/>
      <c r="AG55" s="631"/>
      <c r="AH55" s="631"/>
    </row>
    <row r="56" spans="1:34">
      <c r="A56" s="1331"/>
      <c r="B56" s="1331"/>
      <c r="C56" s="1331"/>
      <c r="D56" s="1331"/>
      <c r="E56" s="1331"/>
      <c r="F56" s="1331"/>
      <c r="G56" s="1331"/>
      <c r="H56" s="1331"/>
      <c r="I56" s="1331"/>
      <c r="J56" s="1331"/>
      <c r="K56" s="1331"/>
      <c r="L56" s="1331"/>
      <c r="M56" s="1331"/>
      <c r="N56" s="1331"/>
      <c r="O56" s="1331"/>
      <c r="P56" s="1331"/>
      <c r="Q56" s="1331"/>
      <c r="R56" s="1331"/>
      <c r="V56" s="625" t="s">
        <v>433</v>
      </c>
      <c r="X56" s="640">
        <f>X54-X55</f>
        <v>138192.33909711032</v>
      </c>
      <c r="AD56" s="642"/>
    </row>
    <row r="57" spans="1:34">
      <c r="A57" s="1331"/>
      <c r="B57" s="1331"/>
      <c r="C57" s="1331"/>
      <c r="D57" s="1331"/>
      <c r="E57" s="1331"/>
      <c r="F57" s="1331"/>
      <c r="G57" s="1331"/>
      <c r="H57" s="1331"/>
      <c r="I57" s="1331"/>
      <c r="J57" s="1331"/>
      <c r="K57" s="1331"/>
      <c r="L57" s="1331"/>
      <c r="M57" s="1331"/>
      <c r="N57" s="1331"/>
      <c r="O57" s="1331"/>
      <c r="P57" s="1331"/>
      <c r="Q57" s="1331"/>
      <c r="R57" s="1331"/>
      <c r="X57" s="641">
        <f>IFERROR(ROUND(X56/X55,4),0)</f>
        <v>8.9399999999999993E-2</v>
      </c>
    </row>
    <row r="58" spans="1:34">
      <c r="A58" s="1331"/>
      <c r="B58" s="1331"/>
      <c r="C58" s="1331"/>
      <c r="D58" s="1331"/>
      <c r="E58" s="1331"/>
      <c r="F58" s="1331"/>
      <c r="G58" s="1331"/>
      <c r="H58" s="1331"/>
      <c r="I58" s="1331"/>
      <c r="J58" s="1331"/>
      <c r="K58" s="1331"/>
      <c r="L58" s="1331"/>
      <c r="M58" s="1331"/>
      <c r="N58" s="1331"/>
      <c r="O58" s="1331"/>
      <c r="P58" s="1331"/>
      <c r="Q58" s="1331"/>
      <c r="R58" s="1331"/>
      <c r="X58" s="641"/>
    </row>
    <row r="59" spans="1:34">
      <c r="A59" s="1331"/>
      <c r="B59" s="1331"/>
      <c r="C59" s="1331"/>
      <c r="D59" s="1331"/>
      <c r="E59" s="1331"/>
      <c r="F59" s="1331"/>
      <c r="G59" s="1331"/>
      <c r="H59" s="1331"/>
      <c r="I59" s="1331"/>
      <c r="J59" s="1331"/>
      <c r="K59" s="1331"/>
      <c r="L59" s="1331"/>
      <c r="M59" s="1331"/>
      <c r="N59" s="1331"/>
      <c r="O59" s="1331"/>
      <c r="P59" s="1331"/>
      <c r="Q59" s="1331"/>
      <c r="R59" s="1331"/>
      <c r="X59" s="641"/>
    </row>
    <row r="60" spans="1:34">
      <c r="A60" s="630" t="s">
        <v>31</v>
      </c>
    </row>
    <row r="61" spans="1:34">
      <c r="A61" s="1331" t="s">
        <v>2311</v>
      </c>
      <c r="B61" s="1331"/>
      <c r="C61" s="1331"/>
      <c r="D61" s="1331"/>
      <c r="E61" s="1331"/>
      <c r="F61" s="1331"/>
      <c r="G61" s="1331"/>
      <c r="H61" s="1331"/>
      <c r="I61" s="1331"/>
      <c r="J61" s="1331"/>
      <c r="K61" s="1331"/>
      <c r="L61" s="1331"/>
      <c r="M61" s="1331"/>
      <c r="N61" s="1331"/>
      <c r="O61" s="1331"/>
      <c r="P61" s="1331"/>
      <c r="Q61" s="1331"/>
      <c r="R61" s="1331"/>
      <c r="S61" s="631"/>
      <c r="T61" s="654" t="str">
        <f>T14</f>
        <v>Workpaper WPD-2.4.B</v>
      </c>
      <c r="U61" s="631"/>
      <c r="V61" s="625" t="s">
        <v>651</v>
      </c>
      <c r="X61" s="629">
        <f>'WPD-2.4.B FTP O&amp;M by Category'!O45</f>
        <v>144435.90427315596</v>
      </c>
      <c r="Y61" s="631"/>
      <c r="Z61" s="631"/>
      <c r="AA61" s="631"/>
      <c r="AB61" s="631"/>
      <c r="AC61" s="631"/>
      <c r="AD61" s="631"/>
    </row>
    <row r="62" spans="1:34">
      <c r="A62" s="1331"/>
      <c r="B62" s="1331"/>
      <c r="C62" s="1331"/>
      <c r="D62" s="1331"/>
      <c r="E62" s="1331"/>
      <c r="F62" s="1331"/>
      <c r="G62" s="1331"/>
      <c r="H62" s="1331"/>
      <c r="I62" s="1331"/>
      <c r="J62" s="1331"/>
      <c r="K62" s="1331"/>
      <c r="L62" s="1331"/>
      <c r="M62" s="1331"/>
      <c r="N62" s="1331"/>
      <c r="O62" s="1331"/>
      <c r="P62" s="1331"/>
      <c r="Q62" s="1331"/>
      <c r="R62" s="1331"/>
      <c r="S62" s="631"/>
      <c r="T62" s="654" t="str">
        <f>T15</f>
        <v>Workpaper WPD-2.4.A</v>
      </c>
      <c r="U62" s="631"/>
      <c r="V62" s="625" t="str">
        <f>$V$15</f>
        <v>BASE-UNADJUSTED</v>
      </c>
      <c r="X62" s="631">
        <f>'WPD-2.4.A BP O&amp;M by Category'!O45</f>
        <v>196712.78213657791</v>
      </c>
      <c r="Y62" s="631"/>
      <c r="Z62" s="631"/>
      <c r="AA62" s="631"/>
      <c r="AB62" s="631"/>
      <c r="AC62" s="631"/>
      <c r="AD62" s="631"/>
    </row>
    <row r="63" spans="1:34">
      <c r="A63" s="1331"/>
      <c r="B63" s="1331"/>
      <c r="C63" s="1331"/>
      <c r="D63" s="1331"/>
      <c r="E63" s="1331"/>
      <c r="F63" s="1331"/>
      <c r="G63" s="1331"/>
      <c r="H63" s="1331"/>
      <c r="I63" s="1331"/>
      <c r="J63" s="1331"/>
      <c r="K63" s="1331"/>
      <c r="L63" s="1331"/>
      <c r="M63" s="1331"/>
      <c r="N63" s="1331"/>
      <c r="O63" s="1331"/>
      <c r="P63" s="1331"/>
      <c r="Q63" s="1331"/>
      <c r="R63" s="1331"/>
      <c r="V63" s="625" t="s">
        <v>433</v>
      </c>
      <c r="X63" s="640">
        <f>X61-X62</f>
        <v>-52276.877863421949</v>
      </c>
    </row>
    <row r="64" spans="1:34">
      <c r="A64" s="625"/>
      <c r="C64" s="631"/>
      <c r="D64" s="631"/>
      <c r="E64" s="631"/>
      <c r="F64" s="631"/>
      <c r="G64" s="631"/>
      <c r="H64" s="631"/>
      <c r="I64" s="631"/>
      <c r="J64" s="631"/>
      <c r="K64" s="631"/>
      <c r="L64" s="631"/>
      <c r="M64" s="631"/>
      <c r="N64" s="631"/>
      <c r="O64" s="631"/>
      <c r="P64" s="631"/>
      <c r="Q64" s="631"/>
      <c r="R64" s="631"/>
      <c r="S64" s="631"/>
      <c r="T64" s="654"/>
      <c r="U64" s="631"/>
      <c r="X64" s="641">
        <f>IFERROR(ROUND(X63/X62,4),0)</f>
        <v>-0.26579999999999998</v>
      </c>
      <c r="Y64" s="631"/>
      <c r="Z64" s="631"/>
      <c r="AA64" s="631"/>
      <c r="AB64" s="631"/>
      <c r="AC64" s="631"/>
      <c r="AD64" s="631"/>
      <c r="AE64" s="631"/>
    </row>
    <row r="66" spans="1:34">
      <c r="A66" s="630" t="s">
        <v>32</v>
      </c>
      <c r="C66" s="631"/>
      <c r="D66" s="631"/>
      <c r="E66" s="631"/>
      <c r="F66" s="631"/>
      <c r="G66" s="631"/>
      <c r="H66" s="631"/>
      <c r="I66" s="631"/>
      <c r="J66" s="631"/>
      <c r="K66" s="631"/>
      <c r="L66" s="631"/>
      <c r="M66" s="631"/>
      <c r="N66" s="631"/>
      <c r="O66" s="631"/>
      <c r="P66" s="631"/>
      <c r="Q66" s="631"/>
      <c r="R66" s="631"/>
      <c r="V66" s="631"/>
      <c r="W66" s="631"/>
      <c r="X66" s="631"/>
      <c r="Y66" s="631"/>
      <c r="Z66" s="631"/>
      <c r="AA66" s="631"/>
      <c r="AB66" s="631"/>
      <c r="AC66" s="631"/>
      <c r="AD66" s="631"/>
      <c r="AE66" s="631"/>
      <c r="AF66" s="631"/>
      <c r="AG66" s="631"/>
      <c r="AH66" s="631"/>
    </row>
    <row r="67" spans="1:34">
      <c r="A67" s="1331" t="s">
        <v>2335</v>
      </c>
      <c r="B67" s="1331"/>
      <c r="C67" s="1331"/>
      <c r="D67" s="1331"/>
      <c r="E67" s="1331"/>
      <c r="F67" s="1331"/>
      <c r="G67" s="1331"/>
      <c r="H67" s="1331"/>
      <c r="I67" s="1331"/>
      <c r="J67" s="1331"/>
      <c r="K67" s="1331"/>
      <c r="L67" s="1331"/>
      <c r="M67" s="1331"/>
      <c r="N67" s="1331"/>
      <c r="O67" s="1331"/>
      <c r="P67" s="1331"/>
      <c r="Q67" s="1331"/>
      <c r="R67" s="1331"/>
      <c r="T67" s="654" t="str">
        <f>T61</f>
        <v>Workpaper WPD-2.4.B</v>
      </c>
      <c r="V67" s="625" t="s">
        <v>651</v>
      </c>
      <c r="X67" s="629">
        <f>'WPD-2.4.B FTP O&amp;M by Category'!O37</f>
        <v>772541.48929086886</v>
      </c>
      <c r="Y67" s="631"/>
      <c r="Z67" s="631"/>
      <c r="AA67" s="631"/>
      <c r="AB67" s="631"/>
      <c r="AC67" s="631"/>
      <c r="AD67" s="631"/>
      <c r="AE67" s="631"/>
      <c r="AF67" s="631"/>
      <c r="AG67" s="631"/>
      <c r="AH67" s="631"/>
    </row>
    <row r="68" spans="1:34">
      <c r="A68" s="1331"/>
      <c r="B68" s="1331"/>
      <c r="C68" s="1331"/>
      <c r="D68" s="1331"/>
      <c r="E68" s="1331"/>
      <c r="F68" s="1331"/>
      <c r="G68" s="1331"/>
      <c r="H68" s="1331"/>
      <c r="I68" s="1331"/>
      <c r="J68" s="1331"/>
      <c r="K68" s="1331"/>
      <c r="L68" s="1331"/>
      <c r="M68" s="1331"/>
      <c r="N68" s="1331"/>
      <c r="O68" s="1331"/>
      <c r="P68" s="1331"/>
      <c r="Q68" s="1331"/>
      <c r="R68" s="1331"/>
      <c r="T68" s="654" t="str">
        <f>T62</f>
        <v>Workpaper WPD-2.4.A</v>
      </c>
      <c r="V68" s="625" t="str">
        <f>$V$15</f>
        <v>BASE-UNADJUSTED</v>
      </c>
      <c r="X68" s="631">
        <f>'WPD-2.4.A BP O&amp;M by Category'!O37</f>
        <v>819318.1418696011</v>
      </c>
      <c r="Y68" s="631"/>
      <c r="Z68" s="631"/>
      <c r="AA68" s="631"/>
      <c r="AB68" s="631"/>
      <c r="AC68" s="631"/>
      <c r="AD68" s="631"/>
      <c r="AE68" s="631"/>
      <c r="AF68" s="631"/>
      <c r="AG68" s="631"/>
      <c r="AH68" s="631"/>
    </row>
    <row r="69" spans="1:34">
      <c r="A69" s="1331"/>
      <c r="B69" s="1331"/>
      <c r="C69" s="1331"/>
      <c r="D69" s="1331"/>
      <c r="E69" s="1331"/>
      <c r="F69" s="1331"/>
      <c r="G69" s="1331"/>
      <c r="H69" s="1331"/>
      <c r="I69" s="1331"/>
      <c r="J69" s="1331"/>
      <c r="K69" s="1331"/>
      <c r="L69" s="1331"/>
      <c r="M69" s="1331"/>
      <c r="N69" s="1331"/>
      <c r="O69" s="1331"/>
      <c r="P69" s="1331"/>
      <c r="Q69" s="1331"/>
      <c r="R69" s="1331"/>
      <c r="S69" s="631"/>
      <c r="T69" s="654"/>
      <c r="U69" s="631"/>
      <c r="V69" s="625" t="s">
        <v>433</v>
      </c>
      <c r="X69" s="640">
        <f>X67-X68</f>
        <v>-46776.652578732232</v>
      </c>
      <c r="AD69" s="642"/>
    </row>
    <row r="70" spans="1:34">
      <c r="A70" s="1331"/>
      <c r="B70" s="1331"/>
      <c r="C70" s="1331"/>
      <c r="D70" s="1331"/>
      <c r="E70" s="1331"/>
      <c r="F70" s="1331"/>
      <c r="G70" s="1331"/>
      <c r="H70" s="1331"/>
      <c r="I70" s="1331"/>
      <c r="J70" s="1331"/>
      <c r="K70" s="1331"/>
      <c r="L70" s="1331"/>
      <c r="M70" s="1331"/>
      <c r="N70" s="1331"/>
      <c r="O70" s="1331"/>
      <c r="P70" s="1331"/>
      <c r="Q70" s="1331"/>
      <c r="R70" s="1331"/>
      <c r="S70" s="631"/>
      <c r="T70" s="654"/>
      <c r="U70" s="631"/>
      <c r="V70" s="625"/>
      <c r="X70" s="641">
        <f>IFERROR(ROUND(X69/X68,4),0)</f>
        <v>-5.7099999999999998E-2</v>
      </c>
      <c r="AD70" s="642"/>
    </row>
    <row r="71" spans="1:34">
      <c r="A71" s="1331"/>
      <c r="B71" s="1331"/>
      <c r="C71" s="1331"/>
      <c r="D71" s="1331"/>
      <c r="E71" s="1331"/>
      <c r="F71" s="1331"/>
      <c r="G71" s="1331"/>
      <c r="H71" s="1331"/>
      <c r="I71" s="1331"/>
      <c r="J71" s="1331"/>
      <c r="K71" s="1331"/>
      <c r="L71" s="1331"/>
      <c r="M71" s="1331"/>
      <c r="N71" s="1331"/>
      <c r="O71" s="1331"/>
      <c r="P71" s="1331"/>
      <c r="Q71" s="1331"/>
      <c r="R71" s="1331"/>
      <c r="S71" s="631"/>
      <c r="T71" s="654"/>
      <c r="U71" s="631"/>
      <c r="V71" s="625"/>
      <c r="X71" s="641"/>
      <c r="AD71" s="642"/>
    </row>
    <row r="72" spans="1:34">
      <c r="A72" s="630" t="s">
        <v>33</v>
      </c>
      <c r="S72" s="631"/>
      <c r="T72" s="654"/>
      <c r="U72" s="631"/>
    </row>
    <row r="73" spans="1:34">
      <c r="A73" s="1331" t="s">
        <v>2336</v>
      </c>
      <c r="B73" s="1331"/>
      <c r="C73" s="1331"/>
      <c r="D73" s="1331"/>
      <c r="E73" s="1331"/>
      <c r="F73" s="1331"/>
      <c r="G73" s="1331"/>
      <c r="H73" s="1331"/>
      <c r="I73" s="1331"/>
      <c r="J73" s="1331"/>
      <c r="K73" s="1331"/>
      <c r="L73" s="1331"/>
      <c r="M73" s="1331"/>
      <c r="N73" s="1331"/>
      <c r="O73" s="1331"/>
      <c r="P73" s="1331"/>
      <c r="Q73" s="1331"/>
      <c r="R73" s="1331"/>
      <c r="S73" s="631"/>
      <c r="T73" s="654" t="str">
        <f>T67</f>
        <v>Workpaper WPD-2.4.B</v>
      </c>
      <c r="U73" s="631"/>
      <c r="V73" s="625" t="s">
        <v>651</v>
      </c>
      <c r="X73" s="629">
        <f>'WPD-2.4.B FTP O&amp;M by Category'!O38</f>
        <v>103936.18655000004</v>
      </c>
      <c r="AD73" s="631"/>
    </row>
    <row r="74" spans="1:34">
      <c r="A74" s="1331"/>
      <c r="B74" s="1331"/>
      <c r="C74" s="1331"/>
      <c r="D74" s="1331"/>
      <c r="E74" s="1331"/>
      <c r="F74" s="1331"/>
      <c r="G74" s="1331"/>
      <c r="H74" s="1331"/>
      <c r="I74" s="1331"/>
      <c r="J74" s="1331"/>
      <c r="K74" s="1331"/>
      <c r="L74" s="1331"/>
      <c r="M74" s="1331"/>
      <c r="N74" s="1331"/>
      <c r="O74" s="1331"/>
      <c r="P74" s="1331"/>
      <c r="Q74" s="1331"/>
      <c r="R74" s="1331"/>
      <c r="S74" s="631"/>
      <c r="T74" s="654" t="str">
        <f>T68</f>
        <v>Workpaper WPD-2.4.A</v>
      </c>
      <c r="U74" s="631"/>
      <c r="V74" s="625" t="str">
        <f>$V$15</f>
        <v>BASE-UNADJUSTED</v>
      </c>
      <c r="X74" s="631">
        <f>'WPD-2.4.A BP O&amp;M by Category'!O38</f>
        <v>112816.37327500005</v>
      </c>
    </row>
    <row r="75" spans="1:34">
      <c r="A75" s="1331"/>
      <c r="B75" s="1331"/>
      <c r="C75" s="1331"/>
      <c r="D75" s="1331"/>
      <c r="E75" s="1331"/>
      <c r="F75" s="1331"/>
      <c r="G75" s="1331"/>
      <c r="H75" s="1331"/>
      <c r="I75" s="1331"/>
      <c r="J75" s="1331"/>
      <c r="K75" s="1331"/>
      <c r="L75" s="1331"/>
      <c r="M75" s="1331"/>
      <c r="N75" s="1331"/>
      <c r="O75" s="1331"/>
      <c r="P75" s="1331"/>
      <c r="Q75" s="1331"/>
      <c r="R75" s="1331"/>
      <c r="V75" s="625" t="s">
        <v>433</v>
      </c>
      <c r="X75" s="640">
        <f>X73-X74</f>
        <v>-8880.1867250000068</v>
      </c>
    </row>
    <row r="76" spans="1:34">
      <c r="A76" s="1331"/>
      <c r="B76" s="1331"/>
      <c r="C76" s="1331"/>
      <c r="D76" s="1331"/>
      <c r="E76" s="1331"/>
      <c r="F76" s="1331"/>
      <c r="G76" s="1331"/>
      <c r="H76" s="1331"/>
      <c r="I76" s="1331"/>
      <c r="J76" s="1331"/>
      <c r="K76" s="1331"/>
      <c r="L76" s="1331"/>
      <c r="M76" s="1331"/>
      <c r="N76" s="1331"/>
      <c r="O76" s="1331"/>
      <c r="P76" s="1331"/>
      <c r="Q76" s="1331"/>
      <c r="R76" s="1331"/>
      <c r="X76" s="641">
        <f>IFERROR(ROUND(X75/X74,4),0)</f>
        <v>-7.8700000000000006E-2</v>
      </c>
    </row>
    <row r="77" spans="1:34">
      <c r="A77" s="1331"/>
      <c r="B77" s="1331"/>
      <c r="C77" s="1331"/>
      <c r="D77" s="1331"/>
      <c r="E77" s="1331"/>
      <c r="F77" s="1331"/>
      <c r="G77" s="1331"/>
      <c r="H77" s="1331"/>
      <c r="I77" s="1331"/>
      <c r="J77" s="1331"/>
      <c r="K77" s="1331"/>
      <c r="L77" s="1331"/>
      <c r="M77" s="1331"/>
      <c r="N77" s="1331"/>
      <c r="O77" s="1331"/>
      <c r="P77" s="1331"/>
      <c r="Q77" s="1331"/>
      <c r="R77" s="1331"/>
    </row>
    <row r="78" spans="1:34">
      <c r="A78" s="630" t="s">
        <v>35</v>
      </c>
    </row>
    <row r="79" spans="1:34">
      <c r="A79" s="1331" t="s">
        <v>2337</v>
      </c>
      <c r="B79" s="1331"/>
      <c r="C79" s="1331"/>
      <c r="D79" s="1331"/>
      <c r="E79" s="1331"/>
      <c r="F79" s="1331"/>
      <c r="G79" s="1331"/>
      <c r="H79" s="1331"/>
      <c r="I79" s="1331"/>
      <c r="J79" s="1331"/>
      <c r="K79" s="1331"/>
      <c r="L79" s="1331"/>
      <c r="M79" s="1331"/>
      <c r="N79" s="1331"/>
      <c r="O79" s="1331"/>
      <c r="P79" s="1331"/>
      <c r="Q79" s="1331"/>
      <c r="R79" s="1331"/>
      <c r="T79" s="654" t="str">
        <f>T73</f>
        <v>Workpaper WPD-2.4.B</v>
      </c>
      <c r="V79" s="625" t="s">
        <v>651</v>
      </c>
      <c r="X79" s="629">
        <f>'WPD-2.4.B FTP O&amp;M by Category'!O40</f>
        <v>19868316.424337421</v>
      </c>
    </row>
    <row r="80" spans="1:34">
      <c r="A80" s="1331"/>
      <c r="B80" s="1331"/>
      <c r="C80" s="1331"/>
      <c r="D80" s="1331"/>
      <c r="E80" s="1331"/>
      <c r="F80" s="1331"/>
      <c r="G80" s="1331"/>
      <c r="H80" s="1331"/>
      <c r="I80" s="1331"/>
      <c r="J80" s="1331"/>
      <c r="K80" s="1331"/>
      <c r="L80" s="1331"/>
      <c r="M80" s="1331"/>
      <c r="N80" s="1331"/>
      <c r="O80" s="1331"/>
      <c r="P80" s="1331"/>
      <c r="Q80" s="1331"/>
      <c r="R80" s="1331"/>
      <c r="T80" s="654" t="str">
        <f>T74</f>
        <v>Workpaper WPD-2.4.A</v>
      </c>
      <c r="V80" s="625" t="str">
        <f>$V$15</f>
        <v>BASE-UNADJUSTED</v>
      </c>
      <c r="X80" s="631">
        <f>'WPD-2.4.A BP O&amp;M by Category'!O40</f>
        <v>22282492.989827022</v>
      </c>
    </row>
    <row r="81" spans="1:34">
      <c r="A81" s="1331"/>
      <c r="B81" s="1331"/>
      <c r="C81" s="1331"/>
      <c r="D81" s="1331"/>
      <c r="E81" s="1331"/>
      <c r="F81" s="1331"/>
      <c r="G81" s="1331"/>
      <c r="H81" s="1331"/>
      <c r="I81" s="1331"/>
      <c r="J81" s="1331"/>
      <c r="K81" s="1331"/>
      <c r="L81" s="1331"/>
      <c r="M81" s="1331"/>
      <c r="N81" s="1331"/>
      <c r="O81" s="1331"/>
      <c r="P81" s="1331"/>
      <c r="Q81" s="1331"/>
      <c r="R81" s="1331"/>
      <c r="V81" s="625" t="s">
        <v>433</v>
      </c>
      <c r="X81" s="640">
        <f>X79-X80</f>
        <v>-2414176.5654896013</v>
      </c>
    </row>
    <row r="82" spans="1:34">
      <c r="A82" s="1331"/>
      <c r="B82" s="1331"/>
      <c r="C82" s="1331"/>
      <c r="D82" s="1331"/>
      <c r="E82" s="1331"/>
      <c r="F82" s="1331"/>
      <c r="G82" s="1331"/>
      <c r="H82" s="1331"/>
      <c r="I82" s="1331"/>
      <c r="J82" s="1331"/>
      <c r="K82" s="1331"/>
      <c r="L82" s="1331"/>
      <c r="M82" s="1331"/>
      <c r="N82" s="1331"/>
      <c r="O82" s="1331"/>
      <c r="P82" s="1331"/>
      <c r="Q82" s="1331"/>
      <c r="R82" s="1331"/>
      <c r="X82" s="641">
        <f>IFERROR(ROUND(X81/X80,4),0)</f>
        <v>-0.10829999999999999</v>
      </c>
      <c r="Y82" s="631"/>
      <c r="Z82" s="631"/>
      <c r="AA82" s="631"/>
      <c r="AB82" s="631"/>
      <c r="AC82" s="631"/>
      <c r="AD82" s="631"/>
      <c r="AE82" s="631"/>
      <c r="AF82" s="631"/>
      <c r="AG82" s="631"/>
      <c r="AH82" s="631"/>
    </row>
    <row r="83" spans="1:34">
      <c r="A83" s="1331"/>
      <c r="B83" s="1331"/>
      <c r="C83" s="1331"/>
      <c r="D83" s="1331"/>
      <c r="E83" s="1331"/>
      <c r="F83" s="1331"/>
      <c r="G83" s="1331"/>
      <c r="H83" s="1331"/>
      <c r="I83" s="1331"/>
      <c r="J83" s="1331"/>
      <c r="K83" s="1331"/>
      <c r="L83" s="1331"/>
      <c r="M83" s="1331"/>
      <c r="N83" s="1331"/>
      <c r="O83" s="1331"/>
      <c r="P83" s="1331"/>
      <c r="Q83" s="1331"/>
      <c r="R83" s="1331"/>
      <c r="Y83" s="631"/>
      <c r="Z83" s="631"/>
      <c r="AA83" s="631"/>
      <c r="AB83" s="631"/>
      <c r="AC83" s="631"/>
      <c r="AD83" s="631"/>
      <c r="AE83" s="631"/>
      <c r="AF83" s="631"/>
      <c r="AG83" s="631"/>
      <c r="AH83" s="631"/>
    </row>
    <row r="84" spans="1:34">
      <c r="A84" s="1331"/>
      <c r="B84" s="1331"/>
      <c r="C84" s="1331"/>
      <c r="D84" s="1331"/>
      <c r="E84" s="1331"/>
      <c r="F84" s="1331"/>
      <c r="G84" s="1331"/>
      <c r="H84" s="1331"/>
      <c r="I84" s="1331"/>
      <c r="J84" s="1331"/>
      <c r="K84" s="1331"/>
      <c r="L84" s="1331"/>
      <c r="M84" s="1331"/>
      <c r="N84" s="1331"/>
      <c r="O84" s="1331"/>
      <c r="P84" s="1331"/>
      <c r="Q84" s="1331"/>
      <c r="R84" s="1331"/>
      <c r="Y84" s="631"/>
      <c r="Z84" s="631"/>
      <c r="AA84" s="631"/>
      <c r="AB84" s="631"/>
      <c r="AC84" s="631"/>
      <c r="AD84" s="631"/>
      <c r="AE84" s="631"/>
      <c r="AF84" s="631"/>
      <c r="AG84" s="631"/>
      <c r="AH84" s="631"/>
    </row>
    <row r="85" spans="1:34">
      <c r="A85" s="1331"/>
      <c r="B85" s="1331"/>
      <c r="C85" s="1331"/>
      <c r="D85" s="1331"/>
      <c r="E85" s="1331"/>
      <c r="F85" s="1331"/>
      <c r="G85" s="1331"/>
      <c r="H85" s="1331"/>
      <c r="I85" s="1331"/>
      <c r="J85" s="1331"/>
      <c r="K85" s="1331"/>
      <c r="L85" s="1331"/>
      <c r="M85" s="1331"/>
      <c r="N85" s="1331"/>
      <c r="O85" s="1331"/>
      <c r="P85" s="1331"/>
      <c r="Q85" s="1331"/>
      <c r="R85" s="1331"/>
      <c r="Y85" s="631"/>
      <c r="Z85" s="631"/>
      <c r="AA85" s="631"/>
      <c r="AB85" s="631"/>
      <c r="AC85" s="631"/>
      <c r="AD85" s="631"/>
      <c r="AE85" s="631"/>
      <c r="AF85" s="631"/>
      <c r="AG85" s="631"/>
      <c r="AH85" s="631"/>
    </row>
    <row r="86" spans="1:34" ht="12.75" customHeight="1">
      <c r="A86" s="1328" t="str">
        <f>A1</f>
        <v>COLUMBIA GAS OF KENTUCKY, INC.</v>
      </c>
      <c r="B86" s="1328"/>
      <c r="C86" s="1328"/>
      <c r="D86" s="1328"/>
      <c r="E86" s="1328"/>
      <c r="F86" s="1328"/>
      <c r="G86" s="1328"/>
      <c r="H86" s="1328"/>
      <c r="I86" s="1328"/>
      <c r="J86" s="1328"/>
      <c r="K86" s="1328"/>
      <c r="L86" s="1328"/>
      <c r="M86" s="1328"/>
      <c r="N86" s="1328"/>
      <c r="O86" s="1328"/>
      <c r="P86" s="1328"/>
      <c r="Q86" s="1328"/>
      <c r="R86" s="1328"/>
      <c r="S86" s="1328"/>
      <c r="T86" s="1328"/>
      <c r="U86" s="1328"/>
      <c r="V86" s="1328"/>
      <c r="W86" s="1328"/>
      <c r="X86" s="1328"/>
    </row>
    <row r="87" spans="1:34" ht="12.75" customHeight="1">
      <c r="A87" s="1328" t="str">
        <f>A2</f>
        <v>CASE NO. 2024 - 00092</v>
      </c>
      <c r="B87" s="1328"/>
      <c r="C87" s="1328"/>
      <c r="D87" s="1328"/>
      <c r="E87" s="1328"/>
      <c r="F87" s="1328"/>
      <c r="G87" s="1328"/>
      <c r="H87" s="1328"/>
      <c r="I87" s="1328"/>
      <c r="J87" s="1328"/>
      <c r="K87" s="1328"/>
      <c r="L87" s="1328"/>
      <c r="M87" s="1328"/>
      <c r="N87" s="1328"/>
      <c r="O87" s="1328"/>
      <c r="P87" s="1328"/>
      <c r="Q87" s="1328"/>
      <c r="R87" s="1328"/>
      <c r="S87" s="1328"/>
      <c r="T87" s="1328"/>
      <c r="U87" s="1328"/>
      <c r="V87" s="1328"/>
      <c r="W87" s="1328"/>
      <c r="X87" s="1328"/>
    </row>
    <row r="88" spans="1:34" ht="12.75" customHeight="1">
      <c r="A88" s="1328" t="str">
        <f>A3</f>
        <v>DETAILED ADJUSTMENTS</v>
      </c>
      <c r="B88" s="1328"/>
      <c r="C88" s="1328"/>
      <c r="D88" s="1328"/>
      <c r="E88" s="1328"/>
      <c r="F88" s="1328"/>
      <c r="G88" s="1328"/>
      <c r="H88" s="1328"/>
      <c r="I88" s="1328"/>
      <c r="J88" s="1328"/>
      <c r="K88" s="1328"/>
      <c r="L88" s="1328"/>
      <c r="M88" s="1328"/>
      <c r="N88" s="1328"/>
      <c r="O88" s="1328"/>
      <c r="P88" s="1328"/>
      <c r="Q88" s="1328"/>
      <c r="R88" s="1328"/>
      <c r="S88" s="1328"/>
      <c r="T88" s="1328"/>
      <c r="U88" s="1328"/>
      <c r="V88" s="1328"/>
      <c r="W88" s="1328"/>
      <c r="X88" s="1328"/>
    </row>
    <row r="89" spans="1:34" ht="12.75" customHeight="1">
      <c r="A89" s="1328" t="str">
        <f>A4</f>
        <v>FOR THE TWELVE MONTHS ENDED AUGUST 31, 2024 AND THE TWELVE MONTHS ENDED DECEMBER 31, 2025</v>
      </c>
      <c r="B89" s="1328"/>
      <c r="C89" s="1328"/>
      <c r="D89" s="1328"/>
      <c r="E89" s="1328"/>
      <c r="F89" s="1328"/>
      <c r="G89" s="1328"/>
      <c r="H89" s="1328"/>
      <c r="I89" s="1328"/>
      <c r="J89" s="1328"/>
      <c r="K89" s="1328"/>
      <c r="L89" s="1328"/>
      <c r="M89" s="1328"/>
      <c r="N89" s="1328"/>
      <c r="O89" s="1328"/>
      <c r="P89" s="1328"/>
      <c r="Q89" s="1328"/>
      <c r="R89" s="1328"/>
      <c r="S89" s="1328"/>
      <c r="T89" s="1328"/>
      <c r="U89" s="1328"/>
      <c r="V89" s="1328"/>
      <c r="W89" s="1328"/>
      <c r="X89" s="1328"/>
    </row>
    <row r="90" spans="1:34">
      <c r="C90" s="623"/>
      <c r="J90" s="622"/>
      <c r="S90" s="631"/>
      <c r="T90" s="654"/>
      <c r="U90" s="631"/>
    </row>
    <row r="91" spans="1:34">
      <c r="A91" s="285" t="str">
        <f>A6</f>
        <v>DATA:___X___BASE PERIOD___X___FORECASTED PERIOD</v>
      </c>
      <c r="X91" s="624" t="str">
        <f>X6</f>
        <v>SCHEDULE D-2.4</v>
      </c>
      <c r="Z91" s="623"/>
    </row>
    <row r="92" spans="1:34">
      <c r="A92" s="285" t="str">
        <f>A7</f>
        <v>TYPE OF FILING:___X___ORIGINAL______UPDATED</v>
      </c>
      <c r="X92" s="624" t="s">
        <v>832</v>
      </c>
      <c r="Z92" s="623"/>
    </row>
    <row r="93" spans="1:34">
      <c r="A93" s="625" t="s">
        <v>58</v>
      </c>
      <c r="S93" s="631"/>
      <c r="T93" s="654"/>
      <c r="U93" s="631"/>
      <c r="X93" s="624" t="str">
        <f>X8</f>
        <v>WITNESS: INSCHO</v>
      </c>
      <c r="Z93" s="623"/>
    </row>
    <row r="94" spans="1:34">
      <c r="A94" s="623"/>
      <c r="C94" s="623"/>
      <c r="H94" s="623"/>
      <c r="J94" s="623"/>
      <c r="L94" s="623"/>
      <c r="M94" s="623"/>
      <c r="N94" s="623"/>
      <c r="O94" s="623"/>
      <c r="P94" s="623"/>
      <c r="S94" s="631"/>
      <c r="T94" s="654"/>
      <c r="U94" s="631"/>
    </row>
    <row r="95" spans="1:34">
      <c r="A95" s="626"/>
      <c r="B95" s="626"/>
      <c r="C95" s="626"/>
      <c r="D95" s="626"/>
      <c r="E95" s="626"/>
      <c r="F95" s="626"/>
      <c r="G95" s="626"/>
      <c r="H95" s="626"/>
      <c r="I95" s="626"/>
      <c r="J95" s="626"/>
      <c r="K95" s="626"/>
      <c r="L95" s="626"/>
      <c r="M95" s="626"/>
      <c r="N95" s="626"/>
      <c r="O95" s="626"/>
      <c r="P95" s="626"/>
      <c r="Q95" s="626"/>
      <c r="R95" s="627"/>
      <c r="S95" s="1330" t="s">
        <v>42</v>
      </c>
      <c r="T95" s="1330"/>
      <c r="U95" s="1330"/>
      <c r="V95" s="626"/>
      <c r="W95" s="626"/>
      <c r="X95" s="626"/>
    </row>
    <row r="96" spans="1:34">
      <c r="A96" s="1038" t="s">
        <v>43</v>
      </c>
      <c r="B96" s="1031"/>
      <c r="C96" s="1039"/>
      <c r="D96" s="1031"/>
      <c r="E96" s="1031"/>
      <c r="F96" s="1031"/>
      <c r="G96" s="1031"/>
      <c r="H96" s="1031"/>
      <c r="I96" s="1031"/>
      <c r="J96" s="1031"/>
      <c r="K96" s="1031"/>
      <c r="L96" s="1031"/>
      <c r="M96" s="1031"/>
      <c r="N96" s="1031"/>
      <c r="O96" s="1031"/>
      <c r="P96" s="1031"/>
      <c r="Q96" s="1031"/>
      <c r="R96" s="1029"/>
      <c r="S96" s="1329" t="s">
        <v>44</v>
      </c>
      <c r="T96" s="1329"/>
      <c r="U96" s="1329"/>
      <c r="V96" s="1031"/>
      <c r="W96" s="1031"/>
      <c r="X96" s="1029" t="s">
        <v>45</v>
      </c>
    </row>
    <row r="98" spans="1:30">
      <c r="A98" s="630" t="s">
        <v>36</v>
      </c>
      <c r="AD98" s="642"/>
    </row>
    <row r="99" spans="1:30">
      <c r="A99" s="1331" t="s">
        <v>3067</v>
      </c>
      <c r="B99" s="1331"/>
      <c r="C99" s="1331"/>
      <c r="D99" s="1331"/>
      <c r="E99" s="1331"/>
      <c r="F99" s="1331"/>
      <c r="G99" s="1331"/>
      <c r="H99" s="1331"/>
      <c r="I99" s="1331"/>
      <c r="J99" s="1331"/>
      <c r="K99" s="1331"/>
      <c r="L99" s="1331"/>
      <c r="M99" s="1331"/>
      <c r="N99" s="1331"/>
      <c r="O99" s="1331"/>
      <c r="P99" s="1331"/>
      <c r="Q99" s="1331"/>
      <c r="R99" s="1331"/>
      <c r="T99" s="654" t="str">
        <f>T79</f>
        <v>Workpaper WPD-2.4.B</v>
      </c>
      <c r="V99" s="625" t="s">
        <v>651</v>
      </c>
      <c r="X99" s="629">
        <f>'WPD-2.4.B FTP O&amp;M by Category'!O41+'WPD-2.4.B FTP O&amp;M by Category'!O42</f>
        <v>1037848.9199100002</v>
      </c>
      <c r="Z99" s="629"/>
    </row>
    <row r="100" spans="1:30">
      <c r="A100" s="1331"/>
      <c r="B100" s="1331"/>
      <c r="C100" s="1331"/>
      <c r="D100" s="1331"/>
      <c r="E100" s="1331"/>
      <c r="F100" s="1331"/>
      <c r="G100" s="1331"/>
      <c r="H100" s="1331"/>
      <c r="I100" s="1331"/>
      <c r="J100" s="1331"/>
      <c r="K100" s="1331"/>
      <c r="L100" s="1331"/>
      <c r="M100" s="1331"/>
      <c r="N100" s="1331"/>
      <c r="O100" s="1331"/>
      <c r="P100" s="1331"/>
      <c r="Q100" s="1331"/>
      <c r="R100" s="1331"/>
      <c r="T100" s="654" t="str">
        <f>T80</f>
        <v>Workpaper WPD-2.4.A</v>
      </c>
      <c r="V100" s="625" t="str">
        <f>$V$15</f>
        <v>BASE-UNADJUSTED</v>
      </c>
      <c r="X100" s="631">
        <f>'WPD-2.4.A BP O&amp;M by Category'!O41+'WPD-2.4.A BP O&amp;M by Category'!O42</f>
        <v>899254.27022999991</v>
      </c>
      <c r="Z100" s="631"/>
    </row>
    <row r="101" spans="1:30">
      <c r="A101" s="1331"/>
      <c r="B101" s="1331"/>
      <c r="C101" s="1331"/>
      <c r="D101" s="1331"/>
      <c r="E101" s="1331"/>
      <c r="F101" s="1331"/>
      <c r="G101" s="1331"/>
      <c r="H101" s="1331"/>
      <c r="I101" s="1331"/>
      <c r="J101" s="1331"/>
      <c r="K101" s="1331"/>
      <c r="L101" s="1331"/>
      <c r="M101" s="1331"/>
      <c r="N101" s="1331"/>
      <c r="O101" s="1331"/>
      <c r="P101" s="1331"/>
      <c r="Q101" s="1331"/>
      <c r="R101" s="1331"/>
      <c r="V101" s="625" t="s">
        <v>433</v>
      </c>
      <c r="X101" s="640">
        <f>X99-X100</f>
        <v>138594.64968000026</v>
      </c>
      <c r="AD101" s="631"/>
    </row>
    <row r="102" spans="1:30">
      <c r="A102" s="1331"/>
      <c r="B102" s="1331"/>
      <c r="C102" s="1331"/>
      <c r="D102" s="1331"/>
      <c r="E102" s="1331"/>
      <c r="F102" s="1331"/>
      <c r="G102" s="1331"/>
      <c r="H102" s="1331"/>
      <c r="I102" s="1331"/>
      <c r="J102" s="1331"/>
      <c r="K102" s="1331"/>
      <c r="L102" s="1331"/>
      <c r="M102" s="1331"/>
      <c r="N102" s="1331"/>
      <c r="O102" s="1331"/>
      <c r="P102" s="1331"/>
      <c r="Q102" s="1331"/>
      <c r="R102" s="1331"/>
      <c r="X102" s="641">
        <f>IFERROR(ROUND(X101/X100,4),0)</f>
        <v>0.15409999999999999</v>
      </c>
    </row>
    <row r="103" spans="1:30">
      <c r="A103" s="1331"/>
      <c r="B103" s="1331"/>
      <c r="C103" s="1331"/>
      <c r="D103" s="1331"/>
      <c r="E103" s="1331"/>
      <c r="F103" s="1331"/>
      <c r="G103" s="1331"/>
      <c r="H103" s="1331"/>
      <c r="I103" s="1331"/>
      <c r="J103" s="1331"/>
      <c r="K103" s="1331"/>
      <c r="L103" s="1331"/>
      <c r="M103" s="1331"/>
      <c r="N103" s="1331"/>
      <c r="O103" s="1331"/>
      <c r="P103" s="1331"/>
      <c r="Q103" s="1331"/>
      <c r="R103" s="1331"/>
      <c r="X103" s="641"/>
    </row>
    <row r="104" spans="1:30">
      <c r="A104" s="1331"/>
      <c r="B104" s="1331"/>
      <c r="C104" s="1331"/>
      <c r="D104" s="1331"/>
      <c r="E104" s="1331"/>
      <c r="F104" s="1331"/>
      <c r="G104" s="1331"/>
      <c r="H104" s="1331"/>
      <c r="I104" s="1331"/>
      <c r="J104" s="1331"/>
      <c r="K104" s="1331"/>
      <c r="L104" s="1331"/>
      <c r="M104" s="1331"/>
      <c r="N104" s="1331"/>
      <c r="O104" s="1331"/>
      <c r="P104" s="1331"/>
      <c r="Q104" s="1331"/>
      <c r="R104" s="1331"/>
    </row>
    <row r="106" spans="1:30">
      <c r="A106" s="630" t="s">
        <v>37</v>
      </c>
      <c r="G106" s="623"/>
      <c r="S106" s="631"/>
      <c r="T106" s="654"/>
      <c r="U106" s="631"/>
    </row>
    <row r="107" spans="1:30">
      <c r="A107" s="1332" t="s">
        <v>1347</v>
      </c>
      <c r="B107" s="1332"/>
      <c r="C107" s="1332"/>
      <c r="D107" s="1332"/>
      <c r="E107" s="1332"/>
      <c r="F107" s="1332"/>
      <c r="G107" s="1332"/>
      <c r="H107" s="1332"/>
      <c r="I107" s="1332"/>
      <c r="J107" s="1332"/>
      <c r="K107" s="1332"/>
      <c r="L107" s="1332"/>
      <c r="M107" s="1332"/>
      <c r="N107" s="1332"/>
      <c r="O107" s="1332"/>
      <c r="P107" s="1332"/>
      <c r="Q107" s="1332"/>
      <c r="R107" s="1332"/>
      <c r="S107" s="631"/>
      <c r="T107" s="654" t="str">
        <f>T99</f>
        <v>Workpaper WPD-2.4.B</v>
      </c>
      <c r="U107" s="631"/>
      <c r="V107" s="625" t="s">
        <v>651</v>
      </c>
      <c r="X107" s="629">
        <f>'WPD-2.4.B FTP O&amp;M by Category'!O43</f>
        <v>-88619.91</v>
      </c>
      <c r="AA107" s="629"/>
    </row>
    <row r="108" spans="1:30">
      <c r="A108" s="1332"/>
      <c r="B108" s="1332"/>
      <c r="C108" s="1332"/>
      <c r="D108" s="1332"/>
      <c r="E108" s="1332"/>
      <c r="F108" s="1332"/>
      <c r="G108" s="1332"/>
      <c r="H108" s="1332"/>
      <c r="I108" s="1332"/>
      <c r="J108" s="1332"/>
      <c r="K108" s="1332"/>
      <c r="L108" s="1332"/>
      <c r="M108" s="1332"/>
      <c r="N108" s="1332"/>
      <c r="O108" s="1332"/>
      <c r="P108" s="1332"/>
      <c r="Q108" s="1332"/>
      <c r="R108" s="1332"/>
      <c r="T108" s="654" t="str">
        <f>T100</f>
        <v>Workpaper WPD-2.4.A</v>
      </c>
      <c r="V108" s="625" t="str">
        <f>$V$15</f>
        <v>BASE-UNADJUSTED</v>
      </c>
      <c r="X108" s="631">
        <f>'WPD-2.4.A BP O&amp;M by Category'!O43</f>
        <v>-93850.410000000018</v>
      </c>
      <c r="AA108" s="631"/>
    </row>
    <row r="109" spans="1:30">
      <c r="A109" s="1332"/>
      <c r="B109" s="1332"/>
      <c r="C109" s="1332"/>
      <c r="D109" s="1332"/>
      <c r="E109" s="1332"/>
      <c r="F109" s="1332"/>
      <c r="G109" s="1332"/>
      <c r="H109" s="1332"/>
      <c r="I109" s="1332"/>
      <c r="J109" s="1332"/>
      <c r="K109" s="1332"/>
      <c r="L109" s="1332"/>
      <c r="M109" s="1332"/>
      <c r="N109" s="1332"/>
      <c r="O109" s="1332"/>
      <c r="P109" s="1332"/>
      <c r="Q109" s="1332"/>
      <c r="R109" s="1332"/>
      <c r="V109" s="625" t="s">
        <v>433</v>
      </c>
      <c r="X109" s="640">
        <f>X107-X108</f>
        <v>5230.5000000000146</v>
      </c>
    </row>
    <row r="110" spans="1:30">
      <c r="A110" s="623"/>
      <c r="G110" s="623"/>
      <c r="S110" s="631"/>
      <c r="T110" s="654"/>
      <c r="U110" s="631"/>
      <c r="X110" s="641">
        <f>IFERROR(ROUND(X109/X108,4),0)</f>
        <v>-5.57E-2</v>
      </c>
    </row>
    <row r="111" spans="1:30">
      <c r="A111" s="623"/>
      <c r="G111" s="623"/>
      <c r="S111" s="631"/>
      <c r="T111" s="654"/>
      <c r="U111" s="631"/>
      <c r="X111" s="641"/>
    </row>
    <row r="112" spans="1:30">
      <c r="A112" s="630" t="s">
        <v>38</v>
      </c>
      <c r="S112" s="631"/>
      <c r="T112" s="654"/>
      <c r="U112" s="631"/>
    </row>
    <row r="113" spans="1:30" ht="11.45" customHeight="1">
      <c r="A113" s="1332" t="s">
        <v>2338</v>
      </c>
      <c r="B113" s="1332"/>
      <c r="C113" s="1332"/>
      <c r="D113" s="1332"/>
      <c r="E113" s="1332"/>
      <c r="F113" s="1332"/>
      <c r="G113" s="1332"/>
      <c r="H113" s="1332"/>
      <c r="I113" s="1332"/>
      <c r="J113" s="1332"/>
      <c r="K113" s="1332"/>
      <c r="L113" s="1332"/>
      <c r="M113" s="1332"/>
      <c r="N113" s="1332"/>
      <c r="O113" s="1332"/>
      <c r="P113" s="1332"/>
      <c r="Q113" s="1332"/>
      <c r="R113" s="1332"/>
      <c r="T113" s="654" t="str">
        <f>T107</f>
        <v>Workpaper WPD-2.4.B</v>
      </c>
      <c r="V113" s="625" t="s">
        <v>651</v>
      </c>
      <c r="X113" s="629">
        <f>'WPD-2.4.B FTP O&amp;M by Category'!O46+'WPD-2.4.B FTP O&amp;M by Category'!O47</f>
        <v>572156.3668965518</v>
      </c>
    </row>
    <row r="114" spans="1:30">
      <c r="A114" s="1332"/>
      <c r="B114" s="1332"/>
      <c r="C114" s="1332"/>
      <c r="D114" s="1332"/>
      <c r="E114" s="1332"/>
      <c r="F114" s="1332"/>
      <c r="G114" s="1332"/>
      <c r="H114" s="1332"/>
      <c r="I114" s="1332"/>
      <c r="J114" s="1332"/>
      <c r="K114" s="1332"/>
      <c r="L114" s="1332"/>
      <c r="M114" s="1332"/>
      <c r="N114" s="1332"/>
      <c r="O114" s="1332"/>
      <c r="P114" s="1332"/>
      <c r="Q114" s="1332"/>
      <c r="R114" s="1332"/>
      <c r="T114" s="654" t="str">
        <f>T108</f>
        <v>Workpaper WPD-2.4.A</v>
      </c>
      <c r="V114" s="625" t="str">
        <f>$V$15</f>
        <v>BASE-UNADJUSTED</v>
      </c>
      <c r="X114" s="631">
        <f>'WPD-2.4.A BP O&amp;M by Category'!O46+'WPD-2.4.A BP O&amp;M by Category'!O47</f>
        <v>526830.72834124882</v>
      </c>
    </row>
    <row r="115" spans="1:30">
      <c r="A115" s="1332"/>
      <c r="B115" s="1332"/>
      <c r="C115" s="1332"/>
      <c r="D115" s="1332"/>
      <c r="E115" s="1332"/>
      <c r="F115" s="1332"/>
      <c r="G115" s="1332"/>
      <c r="H115" s="1332"/>
      <c r="I115" s="1332"/>
      <c r="J115" s="1332"/>
      <c r="K115" s="1332"/>
      <c r="L115" s="1332"/>
      <c r="M115" s="1332"/>
      <c r="N115" s="1332"/>
      <c r="O115" s="1332"/>
      <c r="P115" s="1332"/>
      <c r="Q115" s="1332"/>
      <c r="R115" s="1332"/>
      <c r="S115" s="631"/>
      <c r="T115" s="654"/>
      <c r="U115" s="631"/>
      <c r="V115" s="625" t="s">
        <v>433</v>
      </c>
      <c r="X115" s="640">
        <f>X113-X114</f>
        <v>45325.638555302983</v>
      </c>
    </row>
    <row r="116" spans="1:30">
      <c r="A116" s="1332"/>
      <c r="B116" s="1332"/>
      <c r="C116" s="1332"/>
      <c r="D116" s="1332"/>
      <c r="E116" s="1332"/>
      <c r="F116" s="1332"/>
      <c r="G116" s="1332"/>
      <c r="H116" s="1332"/>
      <c r="I116" s="1332"/>
      <c r="J116" s="1332"/>
      <c r="K116" s="1332"/>
      <c r="L116" s="1332"/>
      <c r="M116" s="1332"/>
      <c r="N116" s="1332"/>
      <c r="O116" s="1332"/>
      <c r="P116" s="1332"/>
      <c r="Q116" s="1332"/>
      <c r="R116" s="1332"/>
      <c r="S116" s="631"/>
      <c r="T116" s="654"/>
      <c r="U116" s="631"/>
      <c r="X116" s="641">
        <f>IFERROR(ROUND(X115/X114,4),0)</f>
        <v>8.5999999999999993E-2</v>
      </c>
    </row>
    <row r="117" spans="1:30">
      <c r="A117" s="1332"/>
      <c r="B117" s="1332"/>
      <c r="C117" s="1332"/>
      <c r="D117" s="1332"/>
      <c r="E117" s="1332"/>
      <c r="F117" s="1332"/>
      <c r="G117" s="1332"/>
      <c r="H117" s="1332"/>
      <c r="I117" s="1332"/>
      <c r="J117" s="1332"/>
      <c r="K117" s="1332"/>
      <c r="L117" s="1332"/>
      <c r="M117" s="1332"/>
      <c r="N117" s="1332"/>
      <c r="O117" s="1332"/>
      <c r="P117" s="1332"/>
      <c r="Q117" s="1332"/>
      <c r="R117" s="1332"/>
      <c r="S117" s="631"/>
      <c r="T117" s="654"/>
      <c r="U117" s="631"/>
      <c r="X117" s="641"/>
    </row>
    <row r="118" spans="1:30">
      <c r="S118" s="631"/>
      <c r="T118" s="654"/>
      <c r="U118" s="631"/>
    </row>
    <row r="119" spans="1:30">
      <c r="A119" s="630" t="s">
        <v>39</v>
      </c>
      <c r="C119" s="631"/>
      <c r="D119" s="631"/>
      <c r="E119" s="631"/>
      <c r="F119" s="631"/>
      <c r="G119" s="631"/>
      <c r="H119" s="631"/>
      <c r="I119" s="631"/>
      <c r="J119" s="631"/>
      <c r="K119" s="631"/>
      <c r="L119" s="631"/>
      <c r="M119" s="631"/>
      <c r="N119" s="631"/>
      <c r="O119" s="631"/>
      <c r="P119" s="631"/>
      <c r="Q119" s="631"/>
      <c r="R119" s="631"/>
      <c r="V119" s="631"/>
      <c r="W119" s="631"/>
      <c r="X119" s="631"/>
      <c r="AA119" s="629"/>
    </row>
    <row r="120" spans="1:30" ht="11.45" customHeight="1">
      <c r="A120" s="1331" t="s">
        <v>1349</v>
      </c>
      <c r="B120" s="1331"/>
      <c r="C120" s="1331"/>
      <c r="D120" s="1331"/>
      <c r="E120" s="1331"/>
      <c r="F120" s="1331"/>
      <c r="G120" s="1331"/>
      <c r="H120" s="1331"/>
      <c r="I120" s="1331"/>
      <c r="J120" s="1331"/>
      <c r="K120" s="1331"/>
      <c r="L120" s="1331"/>
      <c r="M120" s="1331"/>
      <c r="N120" s="1331"/>
      <c r="O120" s="1331"/>
      <c r="P120" s="1331"/>
      <c r="Q120" s="1331"/>
      <c r="R120" s="1331"/>
      <c r="S120" s="631"/>
      <c r="T120" s="654" t="str">
        <f>T113</f>
        <v>Workpaper WPD-2.4.B</v>
      </c>
      <c r="U120" s="631"/>
      <c r="V120" s="625" t="s">
        <v>651</v>
      </c>
      <c r="X120" s="629">
        <f>'WPD-2.4.B FTP O&amp;M by Category'!O48</f>
        <v>2191049.85906104</v>
      </c>
      <c r="AA120" s="629"/>
      <c r="AD120" s="631"/>
    </row>
    <row r="121" spans="1:30">
      <c r="A121" s="1331"/>
      <c r="B121" s="1331"/>
      <c r="C121" s="1331"/>
      <c r="D121" s="1331"/>
      <c r="E121" s="1331"/>
      <c r="F121" s="1331"/>
      <c r="G121" s="1331"/>
      <c r="H121" s="1331"/>
      <c r="I121" s="1331"/>
      <c r="J121" s="1331"/>
      <c r="K121" s="1331"/>
      <c r="L121" s="1331"/>
      <c r="M121" s="1331"/>
      <c r="N121" s="1331"/>
      <c r="O121" s="1331"/>
      <c r="P121" s="1331"/>
      <c r="Q121" s="1331"/>
      <c r="R121" s="1331"/>
      <c r="S121" s="631"/>
      <c r="T121" s="654" t="str">
        <f>T114</f>
        <v>Workpaper WPD-2.4.A</v>
      </c>
      <c r="U121" s="631"/>
      <c r="V121" s="625" t="str">
        <f>$V$15</f>
        <v>BASE-UNADJUSTED</v>
      </c>
      <c r="X121" s="631">
        <f>'WPD-2.4.A BP O&amp;M by Category'!O48</f>
        <v>2513118.2090403116</v>
      </c>
      <c r="AA121" s="629"/>
    </row>
    <row r="122" spans="1:30">
      <c r="A122" s="1331"/>
      <c r="B122" s="1331"/>
      <c r="C122" s="1331"/>
      <c r="D122" s="1331"/>
      <c r="E122" s="1331"/>
      <c r="F122" s="1331"/>
      <c r="G122" s="1331"/>
      <c r="H122" s="1331"/>
      <c r="I122" s="1331"/>
      <c r="J122" s="1331"/>
      <c r="K122" s="1331"/>
      <c r="L122" s="1331"/>
      <c r="M122" s="1331"/>
      <c r="N122" s="1331"/>
      <c r="O122" s="1331"/>
      <c r="P122" s="1331"/>
      <c r="Q122" s="1331"/>
      <c r="R122" s="1331"/>
      <c r="S122" s="631"/>
      <c r="T122" s="654"/>
      <c r="U122" s="631"/>
      <c r="V122" s="625" t="s">
        <v>433</v>
      </c>
      <c r="X122" s="640">
        <f>X120-X121</f>
        <v>-322068.34997927165</v>
      </c>
      <c r="AA122" s="629"/>
    </row>
    <row r="123" spans="1:30">
      <c r="A123" s="1331"/>
      <c r="B123" s="1331"/>
      <c r="C123" s="1331"/>
      <c r="D123" s="1331"/>
      <c r="E123" s="1331"/>
      <c r="F123" s="1331"/>
      <c r="G123" s="1331"/>
      <c r="H123" s="1331"/>
      <c r="I123" s="1331"/>
      <c r="J123" s="1331"/>
      <c r="K123" s="1331"/>
      <c r="L123" s="1331"/>
      <c r="M123" s="1331"/>
      <c r="N123" s="1331"/>
      <c r="O123" s="1331"/>
      <c r="P123" s="1331"/>
      <c r="Q123" s="1331"/>
      <c r="R123" s="1331"/>
      <c r="X123" s="641">
        <f>IFERROR(ROUND(X122/X121,4),0)</f>
        <v>-0.12820000000000001</v>
      </c>
      <c r="AA123" s="655"/>
    </row>
    <row r="124" spans="1:30">
      <c r="A124" s="639"/>
      <c r="B124" s="639"/>
      <c r="C124" s="639"/>
      <c r="D124" s="639"/>
      <c r="E124" s="639"/>
      <c r="F124" s="639"/>
      <c r="G124" s="639"/>
      <c r="H124" s="639"/>
      <c r="I124" s="639"/>
      <c r="J124" s="639"/>
      <c r="K124" s="639"/>
      <c r="L124" s="639"/>
      <c r="M124" s="639"/>
      <c r="N124" s="639"/>
      <c r="O124" s="639"/>
      <c r="P124" s="639"/>
      <c r="Q124" s="639"/>
      <c r="R124" s="639"/>
      <c r="X124" s="641"/>
      <c r="AA124" s="655"/>
    </row>
    <row r="125" spans="1:30">
      <c r="A125" s="630" t="s">
        <v>1105</v>
      </c>
    </row>
    <row r="126" spans="1:30" ht="11.45" customHeight="1">
      <c r="A126" s="1331" t="s">
        <v>2313</v>
      </c>
      <c r="B126" s="1331"/>
      <c r="C126" s="1331"/>
      <c r="D126" s="1331"/>
      <c r="E126" s="1331"/>
      <c r="F126" s="1331"/>
      <c r="G126" s="1331"/>
      <c r="H126" s="1331"/>
      <c r="I126" s="1331"/>
      <c r="J126" s="1331"/>
      <c r="K126" s="1331"/>
      <c r="L126" s="1331"/>
      <c r="M126" s="1331"/>
      <c r="N126" s="1331"/>
      <c r="O126" s="1331"/>
      <c r="P126" s="1331"/>
      <c r="Q126" s="1331"/>
      <c r="R126" s="1331"/>
      <c r="S126" s="631"/>
      <c r="T126" s="654" t="str">
        <f>T120</f>
        <v>Workpaper WPD-2.4.B</v>
      </c>
      <c r="U126" s="631"/>
      <c r="V126" s="625" t="s">
        <v>651</v>
      </c>
      <c r="X126" s="629">
        <f>'WPD-2.4.B FTP O&amp;M by Category'!O39</f>
        <v>1907411.44</v>
      </c>
      <c r="AA126" s="629"/>
    </row>
    <row r="127" spans="1:30">
      <c r="A127" s="1331"/>
      <c r="B127" s="1331"/>
      <c r="C127" s="1331"/>
      <c r="D127" s="1331"/>
      <c r="E127" s="1331"/>
      <c r="F127" s="1331"/>
      <c r="G127" s="1331"/>
      <c r="H127" s="1331"/>
      <c r="I127" s="1331"/>
      <c r="J127" s="1331"/>
      <c r="K127" s="1331"/>
      <c r="L127" s="1331"/>
      <c r="M127" s="1331"/>
      <c r="N127" s="1331"/>
      <c r="O127" s="1331"/>
      <c r="P127" s="1331"/>
      <c r="Q127" s="1331"/>
      <c r="R127" s="1331"/>
      <c r="S127" s="631"/>
      <c r="T127" s="654" t="str">
        <f>T121</f>
        <v>Workpaper WPD-2.4.A</v>
      </c>
      <c r="U127" s="631"/>
      <c r="V127" s="625" t="str">
        <f>$V$15</f>
        <v>BASE-UNADJUSTED</v>
      </c>
      <c r="X127" s="631">
        <f>'WPD-2.4.A BP O&amp;M by Category'!O39</f>
        <v>1346871.62</v>
      </c>
      <c r="AA127" s="629"/>
    </row>
    <row r="128" spans="1:30">
      <c r="A128" s="1331"/>
      <c r="B128" s="1331"/>
      <c r="C128" s="1331"/>
      <c r="D128" s="1331"/>
      <c r="E128" s="1331"/>
      <c r="F128" s="1331"/>
      <c r="G128" s="1331"/>
      <c r="H128" s="1331"/>
      <c r="I128" s="1331"/>
      <c r="J128" s="1331"/>
      <c r="K128" s="1331"/>
      <c r="L128" s="1331"/>
      <c r="M128" s="1331"/>
      <c r="N128" s="1331"/>
      <c r="O128" s="1331"/>
      <c r="P128" s="1331"/>
      <c r="Q128" s="1331"/>
      <c r="R128" s="1331"/>
      <c r="S128" s="631"/>
      <c r="T128" s="654"/>
      <c r="U128" s="631"/>
      <c r="V128" s="625" t="s">
        <v>433</v>
      </c>
      <c r="X128" s="640">
        <f>X126-X127</f>
        <v>560539.81999999983</v>
      </c>
      <c r="AA128" s="629"/>
    </row>
    <row r="129" spans="1:34">
      <c r="A129" s="625"/>
      <c r="X129" s="641">
        <f>IFERROR(ROUND(X128/X127,4),0)</f>
        <v>0.41620000000000001</v>
      </c>
      <c r="AA129" s="655"/>
    </row>
    <row r="130" spans="1:34">
      <c r="A130" s="625"/>
      <c r="X130" s="641"/>
      <c r="AA130" s="655"/>
    </row>
    <row r="131" spans="1:34">
      <c r="A131" s="630" t="s">
        <v>2312</v>
      </c>
    </row>
    <row r="132" spans="1:34" ht="11.45" customHeight="1">
      <c r="A132" s="1331" t="s">
        <v>1348</v>
      </c>
      <c r="B132" s="1331"/>
      <c r="C132" s="1331"/>
      <c r="D132" s="1331"/>
      <c r="E132" s="1331"/>
      <c r="F132" s="1331"/>
      <c r="G132" s="1331"/>
      <c r="H132" s="1331"/>
      <c r="I132" s="1331"/>
      <c r="J132" s="1331"/>
      <c r="K132" s="1331"/>
      <c r="L132" s="1331"/>
      <c r="M132" s="1331"/>
      <c r="N132" s="1331"/>
      <c r="O132" s="1331"/>
      <c r="P132" s="1331"/>
      <c r="Q132" s="1331"/>
      <c r="R132" s="1331"/>
      <c r="T132" s="654" t="str">
        <f>T126</f>
        <v>Workpaper WPD-2.4.B</v>
      </c>
      <c r="V132" s="625" t="s">
        <v>651</v>
      </c>
      <c r="X132" s="629">
        <f>'WPD-2.4.B FTP O&amp;M by Category'!O44+'WPD-2.4.B FTP O&amp;M by Category'!O49+'WPD-2.4.B FTP O&amp;M by Category'!O50</f>
        <v>604395.52819400514</v>
      </c>
      <c r="Y132" s="631"/>
      <c r="AA132" s="631"/>
      <c r="AB132" s="631"/>
      <c r="AC132" s="631"/>
      <c r="AD132" s="631"/>
      <c r="AE132" s="631"/>
      <c r="AF132" s="631"/>
      <c r="AG132" s="631"/>
      <c r="AH132" s="631"/>
    </row>
    <row r="133" spans="1:34">
      <c r="A133" s="1331"/>
      <c r="B133" s="1331"/>
      <c r="C133" s="1331"/>
      <c r="D133" s="1331"/>
      <c r="E133" s="1331"/>
      <c r="F133" s="1331"/>
      <c r="G133" s="1331"/>
      <c r="H133" s="1331"/>
      <c r="I133" s="1331"/>
      <c r="J133" s="1331"/>
      <c r="K133" s="1331"/>
      <c r="L133" s="1331"/>
      <c r="M133" s="1331"/>
      <c r="N133" s="1331"/>
      <c r="O133" s="1331"/>
      <c r="P133" s="1331"/>
      <c r="Q133" s="1331"/>
      <c r="R133" s="1331"/>
      <c r="T133" s="654" t="str">
        <f>T127</f>
        <v>Workpaper WPD-2.4.A</v>
      </c>
      <c r="V133" s="625" t="str">
        <f>$V$15</f>
        <v>BASE-UNADJUSTED</v>
      </c>
      <c r="X133" s="631">
        <f>'WPD-2.4.A BP O&amp;M by Category'!O44+'WPD-2.4.A BP O&amp;M by Category'!O49+'WPD-2.4.A BP O&amp;M by Category'!O50</f>
        <v>651223.20839827089</v>
      </c>
      <c r="Y133" s="631"/>
      <c r="AA133" s="631"/>
      <c r="AB133" s="631"/>
      <c r="AC133" s="631"/>
      <c r="AD133" s="631"/>
      <c r="AE133" s="631"/>
      <c r="AF133" s="631"/>
      <c r="AG133" s="631"/>
      <c r="AH133" s="631"/>
    </row>
    <row r="134" spans="1:34">
      <c r="A134" s="1331"/>
      <c r="B134" s="1331"/>
      <c r="C134" s="1331"/>
      <c r="D134" s="1331"/>
      <c r="E134" s="1331"/>
      <c r="F134" s="1331"/>
      <c r="G134" s="1331"/>
      <c r="H134" s="1331"/>
      <c r="I134" s="1331"/>
      <c r="J134" s="1331"/>
      <c r="K134" s="1331"/>
      <c r="L134" s="1331"/>
      <c r="M134" s="1331"/>
      <c r="N134" s="1331"/>
      <c r="O134" s="1331"/>
      <c r="P134" s="1331"/>
      <c r="Q134" s="1331"/>
      <c r="R134" s="1331"/>
      <c r="V134" s="625" t="s">
        <v>433</v>
      </c>
      <c r="X134" s="640">
        <f>X132-X133</f>
        <v>-46827.680204265751</v>
      </c>
      <c r="Y134" s="631"/>
      <c r="Z134" s="631"/>
      <c r="AA134" s="631"/>
      <c r="AB134" s="631"/>
      <c r="AC134" s="631"/>
      <c r="AD134" s="631"/>
      <c r="AE134" s="631"/>
      <c r="AF134" s="631"/>
      <c r="AG134" s="631"/>
      <c r="AH134" s="631"/>
    </row>
    <row r="135" spans="1:34">
      <c r="A135" s="1331"/>
      <c r="B135" s="1331"/>
      <c r="C135" s="1331"/>
      <c r="D135" s="1331"/>
      <c r="E135" s="1331"/>
      <c r="F135" s="1331"/>
      <c r="G135" s="1331"/>
      <c r="H135" s="1331"/>
      <c r="I135" s="1331"/>
      <c r="J135" s="1331"/>
      <c r="K135" s="1331"/>
      <c r="L135" s="1331"/>
      <c r="M135" s="1331"/>
      <c r="N135" s="1331"/>
      <c r="O135" s="1331"/>
      <c r="P135" s="1331"/>
      <c r="Q135" s="1331"/>
      <c r="R135" s="1331"/>
      <c r="X135" s="641">
        <f>IFERROR(ROUND(X134/X133,4),0)</f>
        <v>-7.1900000000000006E-2</v>
      </c>
      <c r="AD135" s="642"/>
    </row>
    <row r="136" spans="1:34">
      <c r="A136" s="639"/>
      <c r="B136" s="639"/>
      <c r="C136" s="639"/>
      <c r="D136" s="639"/>
      <c r="E136" s="639"/>
      <c r="F136" s="639"/>
      <c r="G136" s="639"/>
      <c r="H136" s="639"/>
      <c r="I136" s="639"/>
      <c r="J136" s="639"/>
      <c r="K136" s="639"/>
      <c r="L136" s="639"/>
      <c r="M136" s="639"/>
      <c r="N136" s="639"/>
      <c r="O136" s="639"/>
      <c r="P136" s="639"/>
      <c r="Q136" s="639"/>
      <c r="R136" s="639"/>
      <c r="X136" s="641"/>
      <c r="AD136" s="642"/>
    </row>
    <row r="142" spans="1:34" ht="9.9499999999999993" customHeight="1">
      <c r="X142" s="629"/>
      <c r="AA142" s="631"/>
      <c r="AD142" s="642"/>
    </row>
    <row r="143" spans="1:34">
      <c r="X143" s="629"/>
      <c r="AA143" s="631"/>
    </row>
    <row r="144" spans="1:34">
      <c r="A144" s="625"/>
      <c r="Q144" s="623"/>
      <c r="X144" s="629"/>
      <c r="AA144" s="631"/>
    </row>
    <row r="145" spans="1:34">
      <c r="C145" s="637"/>
      <c r="Q145" s="623"/>
      <c r="S145" s="631"/>
      <c r="T145" s="654"/>
      <c r="U145" s="631"/>
    </row>
    <row r="146" spans="1:34">
      <c r="C146" s="638"/>
      <c r="J146" s="628"/>
      <c r="K146" s="628"/>
      <c r="Q146" s="623"/>
      <c r="S146" s="631"/>
      <c r="T146" s="654"/>
      <c r="U146" s="631"/>
    </row>
    <row r="147" spans="1:34">
      <c r="C147" s="623"/>
      <c r="Q147" s="623"/>
      <c r="S147" s="631"/>
      <c r="T147" s="654"/>
      <c r="U147" s="631"/>
    </row>
    <row r="148" spans="1:34">
      <c r="Z148" s="623"/>
    </row>
    <row r="149" spans="1:34">
      <c r="X149" s="1055"/>
      <c r="Z149" s="623"/>
    </row>
    <row r="150" spans="1:34">
      <c r="S150" s="631"/>
      <c r="T150" s="654"/>
      <c r="U150" s="631"/>
      <c r="Z150" s="623"/>
    </row>
    <row r="151" spans="1:34">
      <c r="A151" s="623"/>
      <c r="C151" s="623"/>
      <c r="H151" s="623"/>
      <c r="J151" s="623"/>
      <c r="L151" s="623"/>
      <c r="M151" s="623"/>
      <c r="N151" s="623"/>
      <c r="O151" s="623"/>
      <c r="P151" s="623"/>
      <c r="S151" s="631"/>
      <c r="T151" s="654"/>
      <c r="U151" s="631"/>
    </row>
    <row r="152" spans="1:34">
      <c r="A152" s="623"/>
      <c r="C152" s="623"/>
      <c r="H152" s="623"/>
      <c r="J152" s="623"/>
      <c r="L152" s="623"/>
      <c r="M152" s="623"/>
      <c r="N152" s="623"/>
      <c r="O152" s="623"/>
      <c r="P152" s="623"/>
      <c r="Q152" s="623"/>
      <c r="S152" s="631"/>
      <c r="T152" s="654"/>
      <c r="U152" s="631"/>
    </row>
    <row r="155" spans="1:34">
      <c r="A155" s="623"/>
      <c r="F155" s="623"/>
      <c r="H155" s="623"/>
      <c r="J155" s="623"/>
      <c r="L155" s="623"/>
      <c r="M155" s="623"/>
      <c r="N155" s="623"/>
      <c r="O155" s="623"/>
      <c r="P155" s="623"/>
      <c r="S155" s="631"/>
      <c r="T155" s="654"/>
      <c r="U155" s="631"/>
    </row>
    <row r="156" spans="1:34">
      <c r="C156" s="631"/>
      <c r="D156" s="631"/>
      <c r="E156" s="631"/>
      <c r="F156" s="631"/>
      <c r="G156" s="631"/>
      <c r="H156" s="631"/>
      <c r="I156" s="631"/>
      <c r="J156" s="631"/>
      <c r="K156" s="631"/>
      <c r="L156" s="631"/>
      <c r="M156" s="631"/>
      <c r="N156" s="631"/>
      <c r="O156" s="631"/>
      <c r="P156" s="631"/>
      <c r="Q156" s="631"/>
      <c r="R156" s="631"/>
      <c r="S156" s="631"/>
      <c r="T156" s="654"/>
      <c r="U156" s="631"/>
      <c r="V156" s="631"/>
      <c r="W156" s="631"/>
      <c r="X156" s="631"/>
      <c r="Y156" s="631"/>
      <c r="Z156" s="631"/>
      <c r="AA156" s="631"/>
      <c r="AB156" s="631"/>
      <c r="AC156" s="631"/>
      <c r="AD156" s="631"/>
      <c r="AE156" s="631"/>
      <c r="AF156" s="631"/>
      <c r="AG156" s="631"/>
      <c r="AH156" s="631"/>
    </row>
    <row r="157" spans="1:34">
      <c r="C157" s="631"/>
      <c r="D157" s="631"/>
      <c r="E157" s="631"/>
      <c r="F157" s="631"/>
      <c r="G157" s="631"/>
      <c r="H157" s="631"/>
      <c r="I157" s="631"/>
      <c r="J157" s="631"/>
      <c r="K157" s="631"/>
      <c r="L157" s="631"/>
      <c r="M157" s="631"/>
      <c r="N157" s="631"/>
      <c r="O157" s="631"/>
      <c r="P157" s="631"/>
      <c r="Q157" s="631"/>
      <c r="R157" s="631"/>
      <c r="S157" s="631"/>
      <c r="T157" s="654"/>
      <c r="U157" s="631"/>
      <c r="V157" s="631"/>
      <c r="W157" s="631"/>
      <c r="X157" s="631"/>
      <c r="Y157" s="631"/>
      <c r="Z157" s="631"/>
      <c r="AA157" s="631"/>
      <c r="AB157" s="631"/>
      <c r="AC157" s="631"/>
      <c r="AD157" s="631"/>
      <c r="AE157" s="631"/>
      <c r="AF157" s="631"/>
      <c r="AG157" s="631"/>
      <c r="AH157" s="631"/>
    </row>
    <row r="158" spans="1:34">
      <c r="C158" s="631"/>
      <c r="D158" s="631"/>
      <c r="E158" s="631"/>
      <c r="F158" s="631"/>
      <c r="G158" s="631"/>
      <c r="H158" s="631"/>
      <c r="I158" s="631"/>
      <c r="J158" s="631"/>
      <c r="K158" s="631"/>
      <c r="L158" s="631"/>
      <c r="M158" s="631"/>
      <c r="N158" s="631"/>
      <c r="O158" s="631"/>
      <c r="P158" s="631"/>
      <c r="Q158" s="631"/>
      <c r="R158" s="631"/>
      <c r="V158" s="631"/>
      <c r="W158" s="631"/>
      <c r="X158" s="631"/>
      <c r="Y158" s="631"/>
      <c r="Z158" s="631"/>
      <c r="AA158" s="631"/>
      <c r="AB158" s="631"/>
      <c r="AC158" s="631"/>
      <c r="AD158" s="631"/>
      <c r="AE158" s="631"/>
      <c r="AF158" s="631"/>
      <c r="AG158" s="631"/>
      <c r="AH158" s="631"/>
    </row>
    <row r="159" spans="1:34">
      <c r="AD159" s="642"/>
    </row>
    <row r="160" spans="1:34">
      <c r="A160" s="623"/>
      <c r="F160" s="623"/>
      <c r="H160" s="633"/>
      <c r="J160" s="643"/>
      <c r="L160" s="633"/>
      <c r="M160" s="633"/>
      <c r="N160" s="633"/>
      <c r="O160" s="633"/>
      <c r="P160" s="633"/>
      <c r="Q160" s="623"/>
      <c r="S160" s="631"/>
      <c r="T160" s="654"/>
      <c r="U160" s="631"/>
    </row>
    <row r="161" spans="1:34">
      <c r="C161" s="631"/>
      <c r="D161" s="631"/>
      <c r="E161" s="631"/>
      <c r="F161" s="631"/>
      <c r="G161" s="631"/>
      <c r="H161" s="631"/>
      <c r="I161" s="631"/>
      <c r="J161" s="631"/>
      <c r="K161" s="631"/>
      <c r="L161" s="631"/>
      <c r="M161" s="631"/>
      <c r="N161" s="631"/>
      <c r="O161" s="631"/>
      <c r="P161" s="631"/>
      <c r="Q161" s="631"/>
      <c r="R161" s="631"/>
      <c r="S161" s="631"/>
      <c r="T161" s="654"/>
      <c r="U161" s="631"/>
      <c r="V161" s="631"/>
      <c r="W161" s="631"/>
      <c r="X161" s="631"/>
      <c r="Y161" s="631"/>
      <c r="Z161" s="631"/>
      <c r="AA161" s="631"/>
      <c r="AB161" s="631"/>
      <c r="AC161" s="631"/>
      <c r="AD161" s="631"/>
      <c r="AE161" s="631"/>
      <c r="AF161" s="631"/>
      <c r="AG161" s="631"/>
      <c r="AH161" s="631"/>
    </row>
    <row r="162" spans="1:34">
      <c r="C162" s="631"/>
      <c r="D162" s="631"/>
      <c r="E162" s="631"/>
      <c r="F162" s="631"/>
      <c r="G162" s="631"/>
      <c r="H162" s="631"/>
      <c r="I162" s="631"/>
      <c r="J162" s="631"/>
      <c r="K162" s="631"/>
      <c r="L162" s="631"/>
      <c r="M162" s="631"/>
      <c r="N162" s="631"/>
      <c r="O162" s="631"/>
      <c r="P162" s="631"/>
      <c r="Q162" s="631"/>
      <c r="R162" s="631"/>
      <c r="S162" s="631"/>
      <c r="T162" s="654"/>
      <c r="U162" s="631"/>
      <c r="V162" s="631"/>
      <c r="W162" s="631"/>
      <c r="X162" s="631"/>
      <c r="Y162" s="631"/>
      <c r="Z162" s="631"/>
      <c r="AA162" s="631"/>
      <c r="AB162" s="631"/>
      <c r="AC162" s="631"/>
      <c r="AD162" s="631"/>
      <c r="AE162" s="631"/>
      <c r="AF162" s="631"/>
      <c r="AG162" s="631"/>
      <c r="AH162" s="631"/>
    </row>
    <row r="163" spans="1:34">
      <c r="C163" s="631"/>
      <c r="D163" s="631"/>
      <c r="E163" s="631"/>
      <c r="F163" s="631"/>
      <c r="G163" s="631"/>
      <c r="H163" s="631"/>
      <c r="I163" s="631"/>
      <c r="J163" s="631"/>
      <c r="K163" s="631"/>
      <c r="L163" s="631"/>
      <c r="M163" s="631"/>
      <c r="N163" s="631"/>
      <c r="O163" s="631"/>
      <c r="P163" s="631"/>
      <c r="Q163" s="631"/>
      <c r="R163" s="631"/>
      <c r="V163" s="631"/>
      <c r="W163" s="631"/>
      <c r="X163" s="631"/>
      <c r="Y163" s="631"/>
      <c r="Z163" s="631"/>
      <c r="AA163" s="631"/>
      <c r="AB163" s="631"/>
      <c r="AC163" s="631"/>
      <c r="AD163" s="631"/>
      <c r="AE163" s="631"/>
      <c r="AF163" s="631"/>
      <c r="AG163" s="631"/>
      <c r="AH163" s="631"/>
    </row>
    <row r="164" spans="1:34">
      <c r="AD164" s="642"/>
    </row>
    <row r="165" spans="1:34">
      <c r="A165" s="623"/>
      <c r="F165" s="623"/>
      <c r="H165" s="633"/>
      <c r="J165" s="643"/>
      <c r="L165" s="633"/>
      <c r="M165" s="633"/>
      <c r="N165" s="633"/>
      <c r="O165" s="633"/>
      <c r="P165" s="633"/>
      <c r="S165" s="631"/>
      <c r="T165" s="654"/>
      <c r="U165" s="631"/>
    </row>
    <row r="166" spans="1:34">
      <c r="C166" s="631"/>
      <c r="D166" s="631"/>
      <c r="E166" s="631"/>
      <c r="F166" s="631"/>
      <c r="G166" s="631"/>
      <c r="H166" s="631"/>
      <c r="I166" s="631"/>
      <c r="J166" s="631"/>
      <c r="K166" s="631"/>
      <c r="L166" s="631"/>
      <c r="M166" s="631"/>
      <c r="N166" s="631"/>
      <c r="O166" s="631"/>
      <c r="P166" s="631"/>
      <c r="Q166" s="631"/>
      <c r="R166" s="631"/>
      <c r="S166" s="631"/>
      <c r="T166" s="654"/>
      <c r="U166" s="631"/>
      <c r="V166" s="631"/>
      <c r="W166" s="631"/>
      <c r="X166" s="631"/>
      <c r="Y166" s="631"/>
      <c r="Z166" s="631"/>
      <c r="AA166" s="631"/>
      <c r="AB166" s="631"/>
      <c r="AC166" s="631"/>
      <c r="AD166" s="631"/>
      <c r="AE166" s="631"/>
      <c r="AF166" s="631"/>
      <c r="AG166" s="631"/>
      <c r="AH166" s="631"/>
    </row>
    <row r="167" spans="1:34">
      <c r="C167" s="631"/>
      <c r="D167" s="631"/>
      <c r="E167" s="631"/>
      <c r="F167" s="631"/>
      <c r="G167" s="631"/>
      <c r="H167" s="631"/>
      <c r="I167" s="631"/>
      <c r="J167" s="631"/>
      <c r="K167" s="631"/>
      <c r="L167" s="631"/>
      <c r="M167" s="631"/>
      <c r="N167" s="631"/>
      <c r="O167" s="631"/>
      <c r="P167" s="631"/>
      <c r="Q167" s="631"/>
      <c r="R167" s="631"/>
      <c r="S167" s="631"/>
      <c r="T167" s="654"/>
      <c r="U167" s="631"/>
      <c r="V167" s="631"/>
      <c r="W167" s="631"/>
      <c r="X167" s="631"/>
      <c r="Y167" s="631"/>
      <c r="Z167" s="631"/>
      <c r="AA167" s="631"/>
      <c r="AB167" s="631"/>
      <c r="AC167" s="631"/>
      <c r="AD167" s="631"/>
      <c r="AE167" s="631"/>
      <c r="AF167" s="631"/>
      <c r="AG167" s="631"/>
      <c r="AH167" s="631"/>
    </row>
    <row r="168" spans="1:34">
      <c r="C168" s="631"/>
      <c r="D168" s="631"/>
      <c r="E168" s="631"/>
      <c r="F168" s="631"/>
      <c r="G168" s="631"/>
      <c r="H168" s="631"/>
      <c r="I168" s="631"/>
      <c r="J168" s="631"/>
      <c r="K168" s="631"/>
      <c r="L168" s="631"/>
      <c r="M168" s="631"/>
      <c r="N168" s="631"/>
      <c r="O168" s="631"/>
      <c r="P168" s="631"/>
      <c r="Q168" s="631"/>
      <c r="R168" s="631"/>
      <c r="V168" s="631"/>
      <c r="W168" s="631"/>
      <c r="X168" s="631"/>
      <c r="Y168" s="631"/>
      <c r="Z168" s="631"/>
      <c r="AA168" s="631"/>
      <c r="AB168" s="631"/>
      <c r="AC168" s="631"/>
      <c r="AD168" s="631"/>
      <c r="AE168" s="631"/>
      <c r="AF168" s="631"/>
      <c r="AG168" s="631"/>
      <c r="AH168" s="631"/>
    </row>
    <row r="169" spans="1:34">
      <c r="AD169" s="642"/>
    </row>
    <row r="170" spans="1:34">
      <c r="A170" s="623"/>
      <c r="H170" s="633"/>
      <c r="J170" s="634"/>
      <c r="L170" s="633"/>
      <c r="M170" s="633"/>
      <c r="N170" s="633"/>
      <c r="O170" s="633"/>
      <c r="P170" s="633"/>
      <c r="Q170" s="623"/>
    </row>
    <row r="171" spans="1:34">
      <c r="C171" s="631"/>
      <c r="D171" s="631"/>
      <c r="E171" s="631"/>
      <c r="F171" s="631"/>
      <c r="G171" s="631"/>
      <c r="H171" s="631"/>
      <c r="I171" s="631"/>
      <c r="J171" s="631"/>
      <c r="K171" s="631"/>
      <c r="L171" s="631"/>
      <c r="M171" s="631"/>
      <c r="N171" s="631"/>
      <c r="O171" s="631"/>
      <c r="P171" s="631"/>
      <c r="Q171" s="631"/>
      <c r="R171" s="631"/>
      <c r="V171" s="631"/>
      <c r="W171" s="631"/>
      <c r="X171" s="631"/>
      <c r="Y171" s="631"/>
      <c r="Z171" s="631"/>
      <c r="AA171" s="631"/>
      <c r="AB171" s="631"/>
      <c r="AC171" s="631"/>
      <c r="AD171" s="631"/>
      <c r="AE171" s="631"/>
      <c r="AF171" s="631"/>
      <c r="AG171" s="631"/>
      <c r="AH171" s="631"/>
    </row>
    <row r="172" spans="1:34">
      <c r="C172" s="631"/>
      <c r="D172" s="631"/>
      <c r="E172" s="631"/>
      <c r="F172" s="631"/>
      <c r="G172" s="631"/>
      <c r="H172" s="631"/>
      <c r="I172" s="631"/>
      <c r="J172" s="631"/>
      <c r="K172" s="631"/>
      <c r="L172" s="631"/>
      <c r="M172" s="631"/>
      <c r="N172" s="631"/>
      <c r="O172" s="631"/>
      <c r="P172" s="631"/>
      <c r="Q172" s="631"/>
      <c r="R172" s="631"/>
      <c r="V172" s="631"/>
      <c r="W172" s="631"/>
      <c r="X172" s="631"/>
      <c r="Y172" s="631"/>
      <c r="Z172" s="631"/>
      <c r="AA172" s="631"/>
      <c r="AB172" s="631"/>
      <c r="AC172" s="631"/>
      <c r="AD172" s="631"/>
      <c r="AE172" s="631"/>
      <c r="AF172" s="631"/>
      <c r="AG172" s="631"/>
      <c r="AH172" s="631"/>
    </row>
    <row r="173" spans="1:34">
      <c r="C173" s="631"/>
      <c r="D173" s="631"/>
      <c r="E173" s="631"/>
      <c r="F173" s="631"/>
      <c r="G173" s="631"/>
      <c r="H173" s="631"/>
      <c r="I173" s="631"/>
      <c r="J173" s="631"/>
      <c r="K173" s="631"/>
      <c r="L173" s="631"/>
      <c r="M173" s="631"/>
      <c r="N173" s="631"/>
      <c r="O173" s="631"/>
      <c r="P173" s="631"/>
      <c r="Q173" s="631"/>
      <c r="R173" s="631"/>
      <c r="V173" s="631"/>
      <c r="W173" s="631"/>
      <c r="X173" s="631"/>
      <c r="Y173" s="631"/>
      <c r="Z173" s="631"/>
      <c r="AA173" s="631"/>
      <c r="AB173" s="631"/>
      <c r="AC173" s="631"/>
      <c r="AD173" s="631"/>
      <c r="AE173" s="631"/>
      <c r="AF173" s="631"/>
      <c r="AG173" s="631"/>
      <c r="AH173" s="631"/>
    </row>
    <row r="174" spans="1:34">
      <c r="AD174" s="642"/>
    </row>
    <row r="175" spans="1:34">
      <c r="A175" s="623"/>
      <c r="H175" s="633"/>
      <c r="J175" s="634"/>
      <c r="L175" s="633"/>
      <c r="M175" s="633"/>
      <c r="N175" s="633"/>
      <c r="O175" s="633"/>
      <c r="P175" s="633"/>
      <c r="Q175" s="623"/>
      <c r="S175" s="631"/>
      <c r="T175" s="654"/>
      <c r="U175" s="631"/>
    </row>
    <row r="176" spans="1:34">
      <c r="C176" s="631"/>
      <c r="D176" s="631"/>
      <c r="E176" s="631"/>
      <c r="F176" s="631"/>
      <c r="G176" s="631"/>
      <c r="H176" s="631"/>
      <c r="I176" s="631"/>
      <c r="J176" s="631"/>
      <c r="K176" s="631"/>
      <c r="L176" s="631"/>
      <c r="M176" s="631"/>
      <c r="N176" s="631"/>
      <c r="O176" s="631"/>
      <c r="P176" s="631"/>
      <c r="Q176" s="631"/>
      <c r="R176" s="631"/>
      <c r="S176" s="631"/>
      <c r="T176" s="654"/>
      <c r="U176" s="631"/>
      <c r="V176" s="631"/>
      <c r="W176" s="631"/>
      <c r="X176" s="631"/>
      <c r="Y176" s="631"/>
      <c r="Z176" s="631"/>
      <c r="AA176" s="631"/>
      <c r="AB176" s="631"/>
      <c r="AC176" s="631"/>
      <c r="AD176" s="631"/>
      <c r="AE176" s="631"/>
      <c r="AF176" s="631"/>
      <c r="AG176" s="631"/>
      <c r="AH176" s="631"/>
    </row>
    <row r="177" spans="1:34">
      <c r="C177" s="631"/>
      <c r="D177" s="631"/>
      <c r="E177" s="631"/>
      <c r="F177" s="631"/>
      <c r="G177" s="631"/>
      <c r="H177" s="631"/>
      <c r="I177" s="631"/>
      <c r="J177" s="631"/>
      <c r="K177" s="631"/>
      <c r="L177" s="631"/>
      <c r="M177" s="631"/>
      <c r="N177" s="631"/>
      <c r="O177" s="631"/>
      <c r="P177" s="631"/>
      <c r="Q177" s="631"/>
      <c r="R177" s="631"/>
      <c r="S177" s="631"/>
      <c r="T177" s="654"/>
      <c r="U177" s="631"/>
      <c r="V177" s="631"/>
      <c r="W177" s="631"/>
      <c r="X177" s="631"/>
      <c r="Y177" s="631"/>
      <c r="Z177" s="631"/>
      <c r="AA177" s="631"/>
      <c r="AB177" s="631"/>
      <c r="AC177" s="631"/>
      <c r="AD177" s="631"/>
      <c r="AE177" s="631"/>
      <c r="AF177" s="631"/>
      <c r="AG177" s="631"/>
      <c r="AH177" s="631"/>
    </row>
    <row r="178" spans="1:34">
      <c r="C178" s="631"/>
      <c r="D178" s="631"/>
      <c r="E178" s="631"/>
      <c r="F178" s="631"/>
      <c r="G178" s="631"/>
      <c r="H178" s="631"/>
      <c r="I178" s="631"/>
      <c r="J178" s="631"/>
      <c r="K178" s="631"/>
      <c r="L178" s="631"/>
      <c r="M178" s="631"/>
      <c r="N178" s="631"/>
      <c r="O178" s="631"/>
      <c r="P178" s="631"/>
      <c r="Q178" s="631"/>
      <c r="R178" s="631"/>
      <c r="V178" s="631"/>
      <c r="W178" s="631"/>
      <c r="X178" s="631"/>
      <c r="Y178" s="631"/>
      <c r="Z178" s="631"/>
      <c r="AA178" s="631"/>
      <c r="AB178" s="631"/>
      <c r="AC178" s="631"/>
      <c r="AD178" s="631"/>
      <c r="AE178" s="631"/>
      <c r="AF178" s="631"/>
      <c r="AG178" s="631"/>
      <c r="AH178" s="631"/>
    </row>
    <row r="179" spans="1:34">
      <c r="AD179" s="642"/>
    </row>
    <row r="180" spans="1:34">
      <c r="A180" s="623"/>
      <c r="H180" s="633"/>
      <c r="J180" s="634"/>
      <c r="L180" s="633"/>
      <c r="M180" s="633"/>
      <c r="N180" s="633"/>
      <c r="O180" s="633"/>
      <c r="P180" s="633"/>
      <c r="Q180" s="623"/>
      <c r="S180" s="631"/>
      <c r="T180" s="654"/>
      <c r="U180" s="631"/>
    </row>
    <row r="181" spans="1:34">
      <c r="C181" s="631"/>
      <c r="D181" s="631"/>
      <c r="E181" s="631"/>
      <c r="F181" s="631"/>
      <c r="G181" s="631"/>
      <c r="H181" s="631"/>
      <c r="I181" s="631"/>
      <c r="J181" s="631"/>
      <c r="K181" s="631"/>
      <c r="L181" s="631"/>
      <c r="M181" s="631"/>
      <c r="N181" s="631"/>
      <c r="O181" s="631"/>
      <c r="P181" s="631"/>
      <c r="Q181" s="631"/>
      <c r="R181" s="631"/>
      <c r="S181" s="631"/>
      <c r="T181" s="654"/>
      <c r="U181" s="631"/>
      <c r="V181" s="631"/>
      <c r="W181" s="631"/>
      <c r="X181" s="631"/>
      <c r="Y181" s="631"/>
      <c r="Z181" s="631"/>
      <c r="AA181" s="631"/>
      <c r="AB181" s="631"/>
      <c r="AC181" s="631"/>
      <c r="AD181" s="631"/>
      <c r="AE181" s="631"/>
      <c r="AF181" s="631"/>
      <c r="AG181" s="631"/>
      <c r="AH181" s="631"/>
    </row>
    <row r="182" spans="1:34">
      <c r="C182" s="631"/>
      <c r="D182" s="631"/>
      <c r="E182" s="631"/>
      <c r="F182" s="631"/>
      <c r="G182" s="631"/>
      <c r="H182" s="631"/>
      <c r="I182" s="631"/>
      <c r="J182" s="631"/>
      <c r="K182" s="631"/>
      <c r="L182" s="631"/>
      <c r="M182" s="631"/>
      <c r="N182" s="631"/>
      <c r="O182" s="631"/>
      <c r="P182" s="631"/>
      <c r="Q182" s="631"/>
      <c r="R182" s="631"/>
      <c r="S182" s="631"/>
      <c r="T182" s="654"/>
      <c r="U182" s="631"/>
      <c r="V182" s="631"/>
      <c r="W182" s="631"/>
      <c r="X182" s="631"/>
      <c r="Y182" s="631"/>
      <c r="Z182" s="631"/>
      <c r="AA182" s="631"/>
      <c r="AB182" s="631"/>
      <c r="AC182" s="631"/>
      <c r="AD182" s="631"/>
      <c r="AE182" s="631"/>
      <c r="AF182" s="631"/>
      <c r="AG182" s="631"/>
      <c r="AH182" s="631"/>
    </row>
    <row r="183" spans="1:34">
      <c r="C183" s="631"/>
      <c r="D183" s="631"/>
      <c r="E183" s="631"/>
      <c r="F183" s="631"/>
      <c r="G183" s="631"/>
      <c r="H183" s="631"/>
      <c r="I183" s="631"/>
      <c r="J183" s="631"/>
      <c r="K183" s="631"/>
      <c r="L183" s="631"/>
      <c r="M183" s="631"/>
      <c r="N183" s="631"/>
      <c r="O183" s="631"/>
      <c r="P183" s="631"/>
      <c r="Q183" s="631"/>
      <c r="R183" s="631"/>
      <c r="V183" s="631"/>
      <c r="W183" s="631"/>
      <c r="X183" s="631"/>
      <c r="Y183" s="631"/>
      <c r="Z183" s="631"/>
      <c r="AA183" s="631"/>
      <c r="AB183" s="631"/>
      <c r="AC183" s="631"/>
      <c r="AD183" s="631"/>
      <c r="AE183" s="631"/>
      <c r="AF183" s="631"/>
      <c r="AG183" s="631"/>
      <c r="AH183" s="631"/>
    </row>
    <row r="184" spans="1:34">
      <c r="AD184" s="642"/>
    </row>
    <row r="185" spans="1:34">
      <c r="A185" s="623"/>
      <c r="H185" s="633"/>
      <c r="J185" s="634"/>
      <c r="L185" s="633"/>
      <c r="M185" s="633"/>
      <c r="N185" s="633"/>
      <c r="O185" s="633"/>
      <c r="P185" s="633"/>
      <c r="Q185" s="623"/>
    </row>
    <row r="186" spans="1:34">
      <c r="C186" s="631"/>
      <c r="D186" s="631"/>
      <c r="E186" s="631"/>
      <c r="F186" s="631"/>
      <c r="G186" s="631"/>
      <c r="H186" s="631"/>
      <c r="I186" s="631"/>
      <c r="J186" s="631"/>
      <c r="K186" s="631"/>
      <c r="L186" s="631"/>
      <c r="M186" s="631"/>
      <c r="N186" s="631"/>
      <c r="O186" s="631"/>
      <c r="P186" s="631"/>
      <c r="Q186" s="631"/>
      <c r="R186" s="631"/>
      <c r="V186" s="631"/>
      <c r="W186" s="631"/>
      <c r="X186" s="631"/>
      <c r="Y186" s="631"/>
      <c r="Z186" s="631"/>
      <c r="AA186" s="631"/>
      <c r="AB186" s="631"/>
      <c r="AC186" s="631"/>
      <c r="AD186" s="631"/>
      <c r="AE186" s="631"/>
      <c r="AF186" s="631"/>
      <c r="AG186" s="631"/>
      <c r="AH186" s="631"/>
    </row>
    <row r="187" spans="1:34">
      <c r="C187" s="631"/>
      <c r="D187" s="631"/>
      <c r="E187" s="631"/>
      <c r="F187" s="631"/>
      <c r="G187" s="631"/>
      <c r="H187" s="631"/>
      <c r="I187" s="631"/>
      <c r="J187" s="631"/>
      <c r="K187" s="631"/>
      <c r="L187" s="631"/>
      <c r="M187" s="631"/>
      <c r="N187" s="631"/>
      <c r="O187" s="631"/>
      <c r="P187" s="631"/>
      <c r="Q187" s="631"/>
      <c r="R187" s="631"/>
      <c r="V187" s="631"/>
      <c r="W187" s="631"/>
      <c r="X187" s="631"/>
      <c r="Y187" s="631"/>
      <c r="Z187" s="631"/>
      <c r="AA187" s="631"/>
      <c r="AB187" s="631"/>
      <c r="AC187" s="631"/>
      <c r="AD187" s="631"/>
      <c r="AE187" s="631"/>
      <c r="AF187" s="631"/>
      <c r="AG187" s="631"/>
      <c r="AH187" s="631"/>
    </row>
    <row r="188" spans="1:34">
      <c r="C188" s="631"/>
      <c r="D188" s="631"/>
      <c r="E188" s="631"/>
      <c r="F188" s="631"/>
      <c r="G188" s="631"/>
      <c r="H188" s="631"/>
      <c r="I188" s="631"/>
      <c r="J188" s="631"/>
      <c r="K188" s="631"/>
      <c r="L188" s="631"/>
      <c r="M188" s="631"/>
      <c r="N188" s="631"/>
      <c r="O188" s="631"/>
      <c r="P188" s="631"/>
      <c r="Q188" s="631"/>
      <c r="R188" s="631"/>
      <c r="V188" s="631"/>
      <c r="W188" s="631"/>
      <c r="X188" s="631"/>
      <c r="Y188" s="631"/>
      <c r="Z188" s="631"/>
      <c r="AA188" s="631"/>
      <c r="AB188" s="631"/>
      <c r="AC188" s="631"/>
      <c r="AD188" s="631"/>
      <c r="AE188" s="631"/>
      <c r="AF188" s="631"/>
      <c r="AG188" s="631"/>
      <c r="AH188" s="631"/>
    </row>
    <row r="189" spans="1:34">
      <c r="AD189" s="642"/>
    </row>
    <row r="191" spans="1:34">
      <c r="Q191" s="623"/>
    </row>
    <row r="192" spans="1:34">
      <c r="C192" s="637"/>
      <c r="Q192" s="623"/>
      <c r="S192" s="631"/>
      <c r="T192" s="654"/>
      <c r="U192" s="631"/>
    </row>
    <row r="193" spans="1:34">
      <c r="C193" s="638"/>
      <c r="J193" s="628"/>
      <c r="K193" s="628"/>
      <c r="Q193" s="623"/>
      <c r="S193" s="631"/>
      <c r="T193" s="654"/>
      <c r="U193" s="631"/>
    </row>
    <row r="194" spans="1:34">
      <c r="C194" s="623"/>
      <c r="Q194" s="623"/>
      <c r="S194" s="631"/>
      <c r="T194" s="654"/>
      <c r="U194" s="631"/>
    </row>
    <row r="195" spans="1:34">
      <c r="Z195" s="623"/>
    </row>
    <row r="196" spans="1:34">
      <c r="Z196" s="623"/>
    </row>
    <row r="197" spans="1:34">
      <c r="S197" s="631"/>
      <c r="T197" s="654"/>
      <c r="U197" s="631"/>
      <c r="Z197" s="623"/>
    </row>
    <row r="198" spans="1:34">
      <c r="A198" s="623"/>
      <c r="C198" s="623"/>
      <c r="H198" s="623"/>
      <c r="J198" s="623"/>
      <c r="L198" s="623"/>
      <c r="M198" s="623"/>
      <c r="N198" s="623"/>
      <c r="O198" s="623"/>
      <c r="P198" s="623"/>
      <c r="S198" s="631"/>
      <c r="T198" s="654"/>
      <c r="U198" s="631"/>
    </row>
    <row r="199" spans="1:34">
      <c r="A199" s="623"/>
      <c r="C199" s="623"/>
      <c r="H199" s="623"/>
      <c r="J199" s="623"/>
      <c r="L199" s="623"/>
      <c r="M199" s="623"/>
      <c r="N199" s="623"/>
      <c r="O199" s="623"/>
      <c r="P199" s="623"/>
      <c r="Q199" s="623"/>
      <c r="S199" s="631"/>
      <c r="T199" s="654"/>
      <c r="U199" s="631"/>
    </row>
    <row r="202" spans="1:34">
      <c r="A202" s="623"/>
      <c r="H202" s="633"/>
      <c r="J202" s="634"/>
      <c r="L202" s="633"/>
      <c r="M202" s="633"/>
      <c r="N202" s="633"/>
      <c r="O202" s="633"/>
      <c r="P202" s="633"/>
      <c r="Q202" s="623"/>
      <c r="S202" s="631"/>
      <c r="T202" s="654"/>
      <c r="U202" s="631"/>
    </row>
    <row r="203" spans="1:34">
      <c r="S203" s="631"/>
      <c r="T203" s="654"/>
      <c r="U203" s="631"/>
    </row>
    <row r="204" spans="1:34">
      <c r="S204" s="631"/>
      <c r="T204" s="654"/>
      <c r="U204" s="631"/>
      <c r="AD204" s="631"/>
    </row>
    <row r="207" spans="1:34">
      <c r="A207" s="623"/>
      <c r="H207" s="633"/>
      <c r="J207" s="634"/>
      <c r="L207" s="633"/>
      <c r="M207" s="633"/>
      <c r="N207" s="633"/>
      <c r="O207" s="633"/>
      <c r="P207" s="633"/>
      <c r="Q207" s="623"/>
      <c r="S207" s="631"/>
      <c r="T207" s="654"/>
      <c r="U207" s="631"/>
    </row>
    <row r="208" spans="1:34">
      <c r="C208" s="631"/>
      <c r="D208" s="631"/>
      <c r="E208" s="631"/>
      <c r="F208" s="631"/>
      <c r="G208" s="631"/>
      <c r="H208" s="631"/>
      <c r="I208" s="631"/>
      <c r="J208" s="631"/>
      <c r="K208" s="631"/>
      <c r="L208" s="631"/>
      <c r="M208" s="631"/>
      <c r="N208" s="631"/>
      <c r="O208" s="631"/>
      <c r="P208" s="631"/>
      <c r="Q208" s="631"/>
      <c r="R208" s="631"/>
      <c r="S208" s="631"/>
      <c r="T208" s="654"/>
      <c r="U208" s="631"/>
      <c r="V208" s="631"/>
      <c r="W208" s="631"/>
      <c r="X208" s="631"/>
      <c r="Y208" s="631"/>
      <c r="Z208" s="631"/>
      <c r="AA208" s="631"/>
      <c r="AB208" s="631"/>
      <c r="AC208" s="631"/>
      <c r="AD208" s="631"/>
      <c r="AE208" s="631"/>
      <c r="AF208" s="631"/>
      <c r="AG208" s="631"/>
      <c r="AH208" s="631"/>
    </row>
    <row r="209" spans="1:34">
      <c r="C209" s="631"/>
      <c r="D209" s="631"/>
      <c r="E209" s="631"/>
      <c r="F209" s="631"/>
      <c r="G209" s="631"/>
      <c r="H209" s="631"/>
      <c r="I209" s="631"/>
      <c r="J209" s="631"/>
      <c r="K209" s="631"/>
      <c r="L209" s="631"/>
      <c r="M209" s="631"/>
      <c r="N209" s="631"/>
      <c r="O209" s="631"/>
      <c r="P209" s="631"/>
      <c r="Q209" s="631"/>
      <c r="R209" s="631"/>
      <c r="S209" s="631"/>
      <c r="T209" s="654"/>
      <c r="U209" s="631"/>
      <c r="V209" s="631"/>
      <c r="W209" s="631"/>
      <c r="X209" s="631"/>
      <c r="Y209" s="631"/>
      <c r="Z209" s="631"/>
      <c r="AA209" s="631"/>
      <c r="AB209" s="631"/>
      <c r="AC209" s="631"/>
      <c r="AD209" s="631"/>
      <c r="AE209" s="631"/>
      <c r="AF209" s="631"/>
      <c r="AG209" s="631"/>
      <c r="AH209" s="631"/>
    </row>
    <row r="210" spans="1:34">
      <c r="C210" s="631"/>
      <c r="D210" s="631"/>
      <c r="E210" s="631"/>
      <c r="F210" s="631"/>
      <c r="G210" s="631"/>
      <c r="H210" s="631"/>
      <c r="I210" s="631"/>
      <c r="J210" s="631"/>
      <c r="K210" s="631"/>
      <c r="L210" s="631"/>
      <c r="M210" s="631"/>
      <c r="N210" s="631"/>
      <c r="O210" s="631"/>
      <c r="P210" s="631"/>
      <c r="Q210" s="631"/>
      <c r="R210" s="631"/>
      <c r="V210" s="631"/>
      <c r="W210" s="631"/>
      <c r="X210" s="631"/>
      <c r="Y210" s="631"/>
      <c r="Z210" s="631"/>
      <c r="AA210" s="631"/>
      <c r="AB210" s="631"/>
      <c r="AC210" s="631"/>
      <c r="AD210" s="631"/>
      <c r="AE210" s="631"/>
      <c r="AF210" s="631"/>
      <c r="AG210" s="631"/>
      <c r="AH210" s="631"/>
    </row>
    <row r="211" spans="1:34">
      <c r="AD211" s="642"/>
    </row>
    <row r="212" spans="1:34">
      <c r="A212" s="623"/>
      <c r="H212" s="631"/>
      <c r="J212" s="634"/>
      <c r="L212" s="631"/>
      <c r="M212" s="631"/>
      <c r="N212" s="631"/>
      <c r="O212" s="631"/>
      <c r="P212" s="631"/>
      <c r="Q212" s="623"/>
      <c r="S212" s="631"/>
      <c r="T212" s="654"/>
      <c r="U212" s="631"/>
    </row>
    <row r="213" spans="1:34">
      <c r="C213" s="631"/>
      <c r="D213" s="631"/>
      <c r="E213" s="631"/>
      <c r="F213" s="631"/>
      <c r="G213" s="631"/>
      <c r="H213" s="631"/>
      <c r="I213" s="631"/>
      <c r="J213" s="631"/>
      <c r="K213" s="631"/>
      <c r="L213" s="631"/>
      <c r="M213" s="631"/>
      <c r="N213" s="631"/>
      <c r="O213" s="631"/>
      <c r="P213" s="631"/>
      <c r="Q213" s="631"/>
      <c r="R213" s="631"/>
      <c r="S213" s="631"/>
      <c r="T213" s="654"/>
      <c r="U213" s="631"/>
      <c r="V213" s="631"/>
      <c r="W213" s="631"/>
      <c r="X213" s="631"/>
      <c r="Y213" s="631"/>
      <c r="Z213" s="631"/>
      <c r="AA213" s="631"/>
      <c r="AB213" s="631"/>
      <c r="AC213" s="631"/>
      <c r="AD213" s="631"/>
      <c r="AE213" s="631"/>
      <c r="AF213" s="631"/>
      <c r="AG213" s="631"/>
      <c r="AH213" s="631"/>
    </row>
    <row r="214" spans="1:34">
      <c r="C214" s="631"/>
      <c r="D214" s="631"/>
      <c r="E214" s="631"/>
      <c r="F214" s="631"/>
      <c r="G214" s="631"/>
      <c r="H214" s="631"/>
      <c r="I214" s="631"/>
      <c r="J214" s="631"/>
      <c r="K214" s="631"/>
      <c r="L214" s="631"/>
      <c r="M214" s="631"/>
      <c r="N214" s="631"/>
      <c r="O214" s="631"/>
      <c r="P214" s="631"/>
      <c r="Q214" s="631"/>
      <c r="R214" s="631"/>
      <c r="S214" s="631"/>
      <c r="T214" s="654"/>
      <c r="U214" s="631"/>
      <c r="V214" s="631"/>
      <c r="W214" s="631"/>
      <c r="X214" s="631"/>
      <c r="Y214" s="631"/>
      <c r="Z214" s="631"/>
      <c r="AA214" s="631"/>
      <c r="AB214" s="631"/>
      <c r="AC214" s="631"/>
      <c r="AD214" s="631"/>
      <c r="AE214" s="631"/>
      <c r="AF214" s="631"/>
      <c r="AG214" s="631"/>
      <c r="AH214" s="631"/>
    </row>
    <row r="215" spans="1:34">
      <c r="C215" s="631"/>
      <c r="D215" s="631"/>
      <c r="E215" s="631"/>
      <c r="F215" s="631"/>
      <c r="G215" s="631"/>
      <c r="H215" s="631"/>
      <c r="I215" s="631"/>
      <c r="J215" s="631"/>
      <c r="K215" s="631"/>
      <c r="L215" s="631"/>
      <c r="M215" s="631"/>
      <c r="N215" s="631"/>
      <c r="O215" s="631"/>
      <c r="P215" s="631"/>
      <c r="Q215" s="631"/>
      <c r="R215" s="631"/>
      <c r="V215" s="631"/>
      <c r="W215" s="631"/>
      <c r="X215" s="631"/>
      <c r="Y215" s="631"/>
      <c r="Z215" s="631"/>
      <c r="AA215" s="631"/>
      <c r="AB215" s="631"/>
      <c r="AC215" s="631"/>
      <c r="AD215" s="631"/>
      <c r="AE215" s="631"/>
      <c r="AF215" s="631"/>
      <c r="AG215" s="631"/>
      <c r="AH215" s="631"/>
    </row>
    <row r="216" spans="1:34">
      <c r="AD216" s="642"/>
    </row>
    <row r="217" spans="1:34">
      <c r="A217" s="623"/>
      <c r="S217" s="631"/>
      <c r="T217" s="654"/>
      <c r="U217" s="631"/>
    </row>
    <row r="218" spans="1:34">
      <c r="C218" s="631"/>
      <c r="D218" s="631"/>
      <c r="E218" s="631"/>
      <c r="F218" s="631"/>
      <c r="G218" s="631"/>
      <c r="H218" s="631"/>
      <c r="I218" s="631"/>
      <c r="J218" s="631"/>
      <c r="K218" s="631"/>
      <c r="L218" s="631"/>
      <c r="M218" s="631"/>
      <c r="N218" s="631"/>
      <c r="O218" s="631"/>
      <c r="P218" s="631"/>
      <c r="Q218" s="631"/>
      <c r="R218" s="631"/>
      <c r="S218" s="631"/>
      <c r="T218" s="654"/>
      <c r="U218" s="631"/>
      <c r="V218" s="631"/>
      <c r="W218" s="631"/>
      <c r="X218" s="631"/>
      <c r="Y218" s="631"/>
      <c r="Z218" s="631"/>
      <c r="AA218" s="631"/>
      <c r="AB218" s="631"/>
      <c r="AC218" s="631"/>
      <c r="AD218" s="631"/>
      <c r="AE218" s="631"/>
      <c r="AF218" s="631"/>
      <c r="AG218" s="631"/>
      <c r="AH218" s="631"/>
    </row>
    <row r="219" spans="1:34">
      <c r="C219" s="631"/>
      <c r="D219" s="631"/>
      <c r="E219" s="631"/>
      <c r="F219" s="631"/>
      <c r="G219" s="631"/>
      <c r="H219" s="631"/>
      <c r="I219" s="631"/>
      <c r="J219" s="631"/>
      <c r="K219" s="631"/>
      <c r="L219" s="631"/>
      <c r="M219" s="631"/>
      <c r="N219" s="631"/>
      <c r="O219" s="631"/>
      <c r="P219" s="631"/>
      <c r="Q219" s="631"/>
      <c r="R219" s="631"/>
      <c r="S219" s="631"/>
      <c r="T219" s="654"/>
      <c r="U219" s="631"/>
      <c r="V219" s="631"/>
      <c r="W219" s="631"/>
      <c r="X219" s="631"/>
      <c r="Y219" s="631"/>
      <c r="Z219" s="631"/>
      <c r="AA219" s="631"/>
      <c r="AB219" s="631"/>
      <c r="AC219" s="631"/>
      <c r="AD219" s="631"/>
      <c r="AE219" s="631"/>
      <c r="AF219" s="631"/>
      <c r="AG219" s="631"/>
      <c r="AH219" s="631"/>
    </row>
    <row r="220" spans="1:34">
      <c r="C220" s="631"/>
      <c r="D220" s="631"/>
      <c r="E220" s="631"/>
      <c r="F220" s="631"/>
      <c r="G220" s="631"/>
      <c r="H220" s="631"/>
      <c r="I220" s="631"/>
      <c r="J220" s="631"/>
      <c r="K220" s="631"/>
      <c r="L220" s="631"/>
      <c r="M220" s="631"/>
      <c r="N220" s="631"/>
      <c r="O220" s="631"/>
      <c r="P220" s="631"/>
      <c r="Q220" s="631"/>
      <c r="R220" s="631"/>
      <c r="V220" s="631"/>
      <c r="W220" s="631"/>
      <c r="X220" s="631"/>
      <c r="Y220" s="631"/>
      <c r="Z220" s="631"/>
      <c r="AA220" s="631"/>
      <c r="AB220" s="631"/>
      <c r="AC220" s="631"/>
      <c r="AD220" s="631"/>
      <c r="AE220" s="631"/>
      <c r="AF220" s="631"/>
      <c r="AG220" s="631"/>
      <c r="AH220" s="631"/>
    </row>
    <row r="221" spans="1:34">
      <c r="AD221" s="642"/>
    </row>
    <row r="222" spans="1:34">
      <c r="A222" s="623"/>
      <c r="S222" s="631"/>
      <c r="T222" s="654"/>
      <c r="U222" s="631"/>
    </row>
    <row r="223" spans="1:34">
      <c r="C223" s="631"/>
      <c r="D223" s="631"/>
      <c r="E223" s="631"/>
      <c r="F223" s="631"/>
      <c r="G223" s="631"/>
      <c r="H223" s="631"/>
      <c r="I223" s="631"/>
      <c r="J223" s="631"/>
      <c r="K223" s="631"/>
      <c r="L223" s="631"/>
      <c r="M223" s="631"/>
      <c r="N223" s="631"/>
      <c r="O223" s="631"/>
      <c r="P223" s="631"/>
      <c r="Q223" s="631"/>
      <c r="R223" s="631"/>
      <c r="S223" s="631"/>
      <c r="T223" s="654"/>
      <c r="U223" s="631"/>
      <c r="V223" s="631"/>
      <c r="W223" s="631"/>
      <c r="X223" s="631"/>
      <c r="Y223" s="631"/>
      <c r="Z223" s="631"/>
      <c r="AA223" s="631"/>
      <c r="AB223" s="631"/>
      <c r="AC223" s="631"/>
      <c r="AD223" s="631"/>
      <c r="AE223" s="631"/>
      <c r="AF223" s="631"/>
      <c r="AG223" s="631"/>
      <c r="AH223" s="631"/>
    </row>
    <row r="224" spans="1:34">
      <c r="C224" s="631"/>
      <c r="D224" s="631"/>
      <c r="E224" s="631"/>
      <c r="F224" s="631"/>
      <c r="G224" s="631"/>
      <c r="H224" s="631"/>
      <c r="I224" s="631"/>
      <c r="J224" s="631"/>
      <c r="K224" s="631"/>
      <c r="L224" s="631"/>
      <c r="M224" s="631"/>
      <c r="N224" s="631"/>
      <c r="O224" s="631"/>
      <c r="P224" s="631"/>
      <c r="Q224" s="631"/>
      <c r="R224" s="631"/>
      <c r="S224" s="631"/>
      <c r="T224" s="654"/>
      <c r="U224" s="631"/>
      <c r="V224" s="631"/>
      <c r="W224" s="631"/>
      <c r="X224" s="631"/>
      <c r="Y224" s="631"/>
      <c r="Z224" s="631"/>
      <c r="AA224" s="631"/>
      <c r="AB224" s="631"/>
      <c r="AC224" s="631"/>
      <c r="AD224" s="631"/>
      <c r="AE224" s="631"/>
      <c r="AF224" s="631"/>
      <c r="AG224" s="631"/>
      <c r="AH224" s="631"/>
    </row>
    <row r="225" spans="1:34">
      <c r="C225" s="631"/>
      <c r="D225" s="631"/>
      <c r="E225" s="631"/>
      <c r="F225" s="631"/>
      <c r="G225" s="631"/>
      <c r="H225" s="631"/>
      <c r="I225" s="631"/>
      <c r="J225" s="631"/>
      <c r="K225" s="631"/>
      <c r="L225" s="631"/>
      <c r="M225" s="631"/>
      <c r="N225" s="631"/>
      <c r="O225" s="631"/>
      <c r="P225" s="631"/>
      <c r="Q225" s="631"/>
      <c r="R225" s="631"/>
      <c r="V225" s="631"/>
      <c r="W225" s="631"/>
      <c r="X225" s="631"/>
      <c r="Y225" s="631"/>
      <c r="Z225" s="631"/>
      <c r="AA225" s="631"/>
      <c r="AB225" s="631"/>
      <c r="AC225" s="631"/>
      <c r="AD225" s="631"/>
      <c r="AE225" s="631"/>
      <c r="AF225" s="631"/>
      <c r="AG225" s="631"/>
      <c r="AH225" s="631"/>
    </row>
    <row r="226" spans="1:34">
      <c r="AD226" s="642"/>
    </row>
    <row r="227" spans="1:34">
      <c r="A227" s="623"/>
      <c r="H227" s="633"/>
      <c r="J227" s="635"/>
      <c r="L227" s="633"/>
      <c r="M227" s="633"/>
      <c r="N227" s="633"/>
      <c r="O227" s="633"/>
      <c r="P227" s="633"/>
      <c r="Q227" s="623"/>
      <c r="S227" s="631"/>
      <c r="T227" s="654"/>
      <c r="U227" s="631"/>
    </row>
    <row r="228" spans="1:34">
      <c r="C228" s="631"/>
      <c r="D228" s="631"/>
      <c r="E228" s="631"/>
      <c r="F228" s="631"/>
      <c r="G228" s="631"/>
      <c r="H228" s="631"/>
      <c r="I228" s="631"/>
      <c r="J228" s="631"/>
      <c r="K228" s="631"/>
      <c r="L228" s="631"/>
      <c r="M228" s="631"/>
      <c r="N228" s="631"/>
      <c r="O228" s="631"/>
      <c r="P228" s="631"/>
      <c r="Q228" s="631"/>
      <c r="R228" s="631"/>
      <c r="S228" s="631"/>
      <c r="T228" s="654"/>
      <c r="U228" s="631"/>
      <c r="V228" s="631"/>
      <c r="W228" s="631"/>
      <c r="X228" s="631"/>
      <c r="Y228" s="631"/>
      <c r="Z228" s="631"/>
      <c r="AA228" s="631"/>
      <c r="AB228" s="631"/>
      <c r="AC228" s="631"/>
      <c r="AD228" s="631"/>
      <c r="AE228" s="631"/>
      <c r="AF228" s="631"/>
      <c r="AG228" s="631"/>
      <c r="AH228" s="631"/>
    </row>
    <row r="229" spans="1:34">
      <c r="C229" s="631"/>
      <c r="D229" s="631"/>
      <c r="E229" s="631"/>
      <c r="F229" s="631"/>
      <c r="G229" s="631"/>
      <c r="H229" s="631"/>
      <c r="I229" s="631"/>
      <c r="J229" s="631"/>
      <c r="K229" s="631"/>
      <c r="L229" s="631"/>
      <c r="M229" s="631"/>
      <c r="N229" s="631"/>
      <c r="O229" s="631"/>
      <c r="P229" s="631"/>
      <c r="Q229" s="631"/>
      <c r="R229" s="631"/>
      <c r="S229" s="631"/>
      <c r="T229" s="654"/>
      <c r="U229" s="631"/>
      <c r="V229" s="631"/>
      <c r="W229" s="631"/>
      <c r="X229" s="631"/>
      <c r="Y229" s="631"/>
      <c r="Z229" s="631"/>
      <c r="AA229" s="631"/>
      <c r="AB229" s="631"/>
      <c r="AC229" s="631"/>
      <c r="AD229" s="631"/>
      <c r="AE229" s="631"/>
      <c r="AF229" s="631"/>
      <c r="AG229" s="631"/>
      <c r="AH229" s="631"/>
    </row>
    <row r="230" spans="1:34">
      <c r="C230" s="631"/>
      <c r="D230" s="631"/>
      <c r="E230" s="631"/>
      <c r="F230" s="631"/>
      <c r="G230" s="631"/>
      <c r="H230" s="631"/>
      <c r="I230" s="631"/>
      <c r="J230" s="631"/>
      <c r="K230" s="631"/>
      <c r="L230" s="631"/>
      <c r="M230" s="631"/>
      <c r="N230" s="631"/>
      <c r="O230" s="631"/>
      <c r="P230" s="631"/>
      <c r="Q230" s="631"/>
      <c r="R230" s="631"/>
      <c r="V230" s="631"/>
      <c r="W230" s="631"/>
      <c r="X230" s="631"/>
      <c r="Y230" s="631"/>
      <c r="Z230" s="631"/>
      <c r="AA230" s="631"/>
      <c r="AB230" s="631"/>
      <c r="AC230" s="631"/>
      <c r="AD230" s="631"/>
      <c r="AE230" s="631"/>
      <c r="AF230" s="631"/>
      <c r="AG230" s="631"/>
      <c r="AH230" s="631"/>
    </row>
    <row r="231" spans="1:34">
      <c r="AD231" s="642"/>
    </row>
    <row r="232" spans="1:34">
      <c r="A232" s="623"/>
      <c r="H232" s="633"/>
      <c r="J232" s="635"/>
      <c r="L232" s="633"/>
      <c r="M232" s="633"/>
      <c r="N232" s="633"/>
      <c r="O232" s="633"/>
      <c r="P232" s="633"/>
      <c r="Q232" s="623"/>
    </row>
    <row r="233" spans="1:34">
      <c r="C233" s="631"/>
      <c r="D233" s="631"/>
      <c r="E233" s="631"/>
      <c r="F233" s="631"/>
      <c r="G233" s="631"/>
      <c r="H233" s="631"/>
      <c r="I233" s="631"/>
      <c r="J233" s="631"/>
      <c r="K233" s="631"/>
      <c r="L233" s="631"/>
      <c r="M233" s="631"/>
      <c r="N233" s="631"/>
      <c r="O233" s="631"/>
      <c r="P233" s="631"/>
      <c r="Q233" s="631"/>
      <c r="R233" s="631"/>
      <c r="V233" s="631"/>
      <c r="W233" s="631"/>
      <c r="X233" s="631"/>
      <c r="Y233" s="631"/>
      <c r="Z233" s="631"/>
      <c r="AA233" s="631"/>
      <c r="AB233" s="631"/>
      <c r="AC233" s="631"/>
      <c r="AD233" s="631"/>
      <c r="AE233" s="631"/>
      <c r="AF233" s="631"/>
      <c r="AG233" s="631"/>
      <c r="AH233" s="631"/>
    </row>
    <row r="234" spans="1:34">
      <c r="C234" s="631"/>
      <c r="D234" s="631"/>
      <c r="E234" s="631"/>
      <c r="F234" s="631"/>
      <c r="G234" s="631"/>
      <c r="H234" s="631"/>
      <c r="I234" s="631"/>
      <c r="J234" s="631"/>
      <c r="K234" s="631"/>
      <c r="L234" s="631"/>
      <c r="M234" s="631"/>
      <c r="N234" s="631"/>
      <c r="O234" s="631"/>
      <c r="P234" s="631"/>
      <c r="Q234" s="631"/>
      <c r="R234" s="631"/>
      <c r="V234" s="631"/>
      <c r="W234" s="631"/>
      <c r="X234" s="631"/>
      <c r="Y234" s="631"/>
      <c r="Z234" s="631"/>
      <c r="AA234" s="631"/>
      <c r="AB234" s="631"/>
      <c r="AC234" s="631"/>
      <c r="AD234" s="631"/>
      <c r="AE234" s="631"/>
      <c r="AF234" s="631"/>
      <c r="AG234" s="631"/>
      <c r="AH234" s="631"/>
    </row>
    <row r="235" spans="1:34">
      <c r="C235" s="631"/>
      <c r="D235" s="631"/>
      <c r="E235" s="631"/>
      <c r="F235" s="631"/>
      <c r="G235" s="631"/>
      <c r="H235" s="631"/>
      <c r="I235" s="631"/>
      <c r="J235" s="631"/>
      <c r="K235" s="631"/>
      <c r="L235" s="631"/>
      <c r="M235" s="631"/>
      <c r="N235" s="631"/>
      <c r="O235" s="631"/>
      <c r="P235" s="631"/>
      <c r="Q235" s="631"/>
      <c r="R235" s="631"/>
      <c r="V235" s="631"/>
      <c r="W235" s="631"/>
      <c r="X235" s="631"/>
      <c r="Y235" s="631"/>
      <c r="Z235" s="631"/>
      <c r="AA235" s="631"/>
      <c r="AB235" s="631"/>
      <c r="AC235" s="631"/>
      <c r="AD235" s="631"/>
      <c r="AE235" s="631"/>
      <c r="AF235" s="631"/>
      <c r="AG235" s="631"/>
      <c r="AH235" s="631"/>
    </row>
    <row r="236" spans="1:34">
      <c r="AD236" s="642"/>
    </row>
    <row r="237" spans="1:34">
      <c r="AD237" s="642"/>
    </row>
    <row r="239" spans="1:34">
      <c r="Q239" s="623"/>
    </row>
    <row r="240" spans="1:34">
      <c r="C240" s="637"/>
      <c r="Q240" s="623"/>
      <c r="S240" s="631"/>
      <c r="T240" s="654"/>
      <c r="U240" s="631"/>
    </row>
    <row r="241" spans="1:34">
      <c r="C241" s="638"/>
      <c r="J241" s="628"/>
      <c r="K241" s="628"/>
      <c r="Q241" s="623"/>
      <c r="S241" s="631"/>
      <c r="T241" s="654"/>
      <c r="U241" s="631"/>
    </row>
    <row r="242" spans="1:34">
      <c r="C242" s="623"/>
      <c r="Q242" s="623"/>
      <c r="S242" s="631"/>
      <c r="T242" s="654"/>
      <c r="U242" s="631"/>
    </row>
    <row r="243" spans="1:34">
      <c r="Z243" s="623"/>
    </row>
    <row r="244" spans="1:34">
      <c r="Z244" s="623"/>
    </row>
    <row r="245" spans="1:34">
      <c r="S245" s="631"/>
      <c r="T245" s="654"/>
      <c r="U245" s="631"/>
      <c r="Z245" s="623"/>
    </row>
    <row r="246" spans="1:34">
      <c r="A246" s="623"/>
      <c r="C246" s="623"/>
      <c r="H246" s="623"/>
      <c r="J246" s="623"/>
      <c r="L246" s="623"/>
      <c r="M246" s="623"/>
      <c r="N246" s="623"/>
      <c r="O246" s="623"/>
      <c r="P246" s="623"/>
      <c r="S246" s="631"/>
      <c r="T246" s="654"/>
      <c r="U246" s="631"/>
    </row>
    <row r="247" spans="1:34">
      <c r="A247" s="623"/>
      <c r="C247" s="623"/>
      <c r="H247" s="623"/>
      <c r="J247" s="623"/>
      <c r="L247" s="623"/>
      <c r="M247" s="623"/>
      <c r="N247" s="623"/>
      <c r="O247" s="623"/>
      <c r="P247" s="623"/>
      <c r="Q247" s="623"/>
      <c r="S247" s="631"/>
      <c r="T247" s="654"/>
      <c r="U247" s="631"/>
    </row>
    <row r="250" spans="1:34">
      <c r="A250" s="623"/>
      <c r="H250" s="633"/>
      <c r="J250" s="635"/>
      <c r="K250" s="633"/>
      <c r="L250" s="633"/>
      <c r="M250" s="633"/>
      <c r="N250" s="633"/>
      <c r="O250" s="633"/>
      <c r="P250" s="633"/>
      <c r="Q250" s="623"/>
      <c r="S250" s="631"/>
      <c r="T250" s="654"/>
      <c r="U250" s="631"/>
    </row>
    <row r="251" spans="1:34">
      <c r="C251" s="631"/>
      <c r="D251" s="631"/>
      <c r="E251" s="631"/>
      <c r="F251" s="631"/>
      <c r="G251" s="631"/>
      <c r="H251" s="631"/>
      <c r="I251" s="631"/>
      <c r="J251" s="631"/>
      <c r="K251" s="631"/>
      <c r="L251" s="631"/>
      <c r="M251" s="631"/>
      <c r="N251" s="631"/>
      <c r="O251" s="631"/>
      <c r="P251" s="631"/>
      <c r="Q251" s="631"/>
      <c r="R251" s="631"/>
      <c r="S251" s="631"/>
      <c r="T251" s="654"/>
      <c r="U251" s="631"/>
      <c r="V251" s="631"/>
      <c r="W251" s="631"/>
      <c r="X251" s="631"/>
      <c r="Y251" s="631"/>
      <c r="Z251" s="631"/>
      <c r="AA251" s="631"/>
      <c r="AB251" s="631"/>
      <c r="AC251" s="631"/>
      <c r="AD251" s="631"/>
      <c r="AE251" s="631"/>
      <c r="AF251" s="631"/>
      <c r="AG251" s="631"/>
      <c r="AH251" s="631"/>
    </row>
    <row r="252" spans="1:34">
      <c r="C252" s="631"/>
      <c r="D252" s="631"/>
      <c r="E252" s="631"/>
      <c r="F252" s="631"/>
      <c r="G252" s="631"/>
      <c r="H252" s="631"/>
      <c r="I252" s="631"/>
      <c r="J252" s="631"/>
      <c r="K252" s="631"/>
      <c r="L252" s="631"/>
      <c r="M252" s="631"/>
      <c r="N252" s="631"/>
      <c r="O252" s="631"/>
      <c r="P252" s="631"/>
      <c r="Q252" s="631"/>
      <c r="R252" s="631"/>
      <c r="S252" s="631"/>
      <c r="T252" s="654"/>
      <c r="U252" s="631"/>
      <c r="V252" s="631"/>
      <c r="W252" s="631"/>
      <c r="X252" s="631"/>
      <c r="Y252" s="631"/>
      <c r="Z252" s="631"/>
      <c r="AA252" s="631"/>
      <c r="AB252" s="631"/>
      <c r="AC252" s="631"/>
      <c r="AD252" s="631"/>
      <c r="AE252" s="631"/>
      <c r="AF252" s="631"/>
      <c r="AG252" s="631"/>
      <c r="AH252" s="631"/>
    </row>
    <row r="253" spans="1:34">
      <c r="C253" s="631"/>
      <c r="D253" s="631"/>
      <c r="E253" s="631"/>
      <c r="F253" s="631"/>
      <c r="G253" s="631"/>
      <c r="H253" s="631"/>
      <c r="I253" s="631"/>
      <c r="J253" s="631"/>
      <c r="K253" s="631"/>
      <c r="L253" s="631"/>
      <c r="M253" s="631"/>
      <c r="N253" s="631"/>
      <c r="O253" s="631"/>
      <c r="P253" s="631"/>
      <c r="Q253" s="631"/>
      <c r="R253" s="631"/>
      <c r="V253" s="631"/>
      <c r="W253" s="631"/>
      <c r="X253" s="631"/>
      <c r="Y253" s="631"/>
      <c r="Z253" s="631"/>
      <c r="AA253" s="631"/>
      <c r="AB253" s="631"/>
      <c r="AC253" s="631"/>
      <c r="AD253" s="631"/>
      <c r="AE253" s="631"/>
      <c r="AF253" s="631"/>
      <c r="AG253" s="631"/>
      <c r="AH253" s="631"/>
    </row>
    <row r="254" spans="1:34">
      <c r="AD254" s="642"/>
    </row>
    <row r="255" spans="1:34">
      <c r="A255" s="623"/>
      <c r="H255" s="633"/>
      <c r="J255" s="635"/>
      <c r="L255" s="633"/>
      <c r="M255" s="633"/>
      <c r="N255" s="633"/>
      <c r="O255" s="633"/>
      <c r="P255" s="633"/>
      <c r="Q255" s="623"/>
      <c r="S255" s="631"/>
      <c r="T255" s="654"/>
      <c r="U255" s="631"/>
    </row>
    <row r="256" spans="1:34">
      <c r="C256" s="631"/>
      <c r="D256" s="631"/>
      <c r="E256" s="631"/>
      <c r="F256" s="631"/>
      <c r="G256" s="631"/>
      <c r="H256" s="631"/>
      <c r="I256" s="631"/>
      <c r="J256" s="631"/>
      <c r="K256" s="631"/>
      <c r="L256" s="631"/>
      <c r="M256" s="631"/>
      <c r="N256" s="631"/>
      <c r="O256" s="631"/>
      <c r="P256" s="631"/>
      <c r="Q256" s="631"/>
      <c r="R256" s="631"/>
      <c r="S256" s="631"/>
      <c r="T256" s="654"/>
      <c r="U256" s="631"/>
      <c r="V256" s="631"/>
      <c r="W256" s="631"/>
      <c r="X256" s="631"/>
      <c r="Y256" s="631"/>
      <c r="Z256" s="631"/>
      <c r="AA256" s="631"/>
      <c r="AB256" s="631"/>
      <c r="AC256" s="631"/>
      <c r="AD256" s="631"/>
      <c r="AE256" s="631"/>
      <c r="AF256" s="631"/>
      <c r="AG256" s="631"/>
      <c r="AH256" s="631"/>
    </row>
    <row r="257" spans="1:40">
      <c r="C257" s="631"/>
      <c r="D257" s="631"/>
      <c r="E257" s="631"/>
      <c r="F257" s="631"/>
      <c r="G257" s="631"/>
      <c r="H257" s="631"/>
      <c r="I257" s="631"/>
      <c r="J257" s="631"/>
      <c r="K257" s="631"/>
      <c r="L257" s="631"/>
      <c r="M257" s="631"/>
      <c r="N257" s="631"/>
      <c r="O257" s="631"/>
      <c r="P257" s="631"/>
      <c r="Q257" s="631"/>
      <c r="R257" s="631"/>
      <c r="S257" s="631"/>
      <c r="T257" s="654"/>
      <c r="U257" s="631"/>
      <c r="V257" s="631"/>
      <c r="W257" s="631"/>
      <c r="X257" s="631"/>
      <c r="Y257" s="631"/>
      <c r="Z257" s="631"/>
      <c r="AA257" s="631"/>
      <c r="AB257" s="631"/>
      <c r="AC257" s="631"/>
      <c r="AD257" s="631"/>
      <c r="AE257" s="631"/>
      <c r="AF257" s="631"/>
      <c r="AG257" s="631"/>
      <c r="AH257" s="631"/>
    </row>
    <row r="258" spans="1:40">
      <c r="C258" s="631"/>
      <c r="D258" s="631"/>
      <c r="E258" s="631"/>
      <c r="F258" s="631"/>
      <c r="G258" s="631"/>
      <c r="H258" s="631"/>
      <c r="I258" s="631"/>
      <c r="J258" s="631"/>
      <c r="K258" s="631"/>
      <c r="L258" s="631"/>
      <c r="M258" s="631"/>
      <c r="N258" s="631"/>
      <c r="O258" s="631"/>
      <c r="P258" s="631"/>
      <c r="Q258" s="631"/>
      <c r="R258" s="631"/>
      <c r="V258" s="631"/>
      <c r="W258" s="631"/>
      <c r="X258" s="631"/>
      <c r="Y258" s="631"/>
      <c r="Z258" s="631"/>
      <c r="AA258" s="631"/>
      <c r="AB258" s="631"/>
      <c r="AC258" s="631"/>
      <c r="AD258" s="631"/>
      <c r="AE258" s="631"/>
      <c r="AF258" s="631"/>
      <c r="AG258" s="631"/>
      <c r="AH258" s="631"/>
    </row>
    <row r="259" spans="1:40">
      <c r="AD259" s="642"/>
    </row>
    <row r="260" spans="1:40">
      <c r="A260" s="623"/>
      <c r="H260" s="633"/>
      <c r="J260" s="635"/>
      <c r="L260" s="633"/>
      <c r="M260" s="633"/>
      <c r="N260" s="633"/>
      <c r="O260" s="633"/>
      <c r="P260" s="633"/>
      <c r="Q260" s="623"/>
      <c r="S260" s="631"/>
      <c r="T260" s="654"/>
      <c r="U260" s="631"/>
    </row>
    <row r="261" spans="1:40">
      <c r="C261" s="631"/>
      <c r="D261" s="631"/>
      <c r="E261" s="631"/>
      <c r="F261" s="631"/>
      <c r="G261" s="631"/>
      <c r="H261" s="631"/>
      <c r="I261" s="631"/>
      <c r="J261" s="631"/>
      <c r="K261" s="631"/>
      <c r="L261" s="631"/>
      <c r="M261" s="631"/>
      <c r="N261" s="631"/>
      <c r="O261" s="631"/>
      <c r="P261" s="631"/>
      <c r="Q261" s="631"/>
      <c r="R261" s="631"/>
      <c r="S261" s="631"/>
      <c r="T261" s="654"/>
      <c r="U261" s="631"/>
      <c r="V261" s="631"/>
      <c r="W261" s="631"/>
      <c r="X261" s="631"/>
      <c r="Y261" s="631"/>
      <c r="Z261" s="631"/>
      <c r="AA261" s="631"/>
      <c r="AB261" s="631"/>
      <c r="AC261" s="631"/>
      <c r="AD261" s="631"/>
      <c r="AE261" s="631"/>
      <c r="AF261" s="631"/>
      <c r="AG261" s="631"/>
      <c r="AH261" s="631"/>
      <c r="AI261" s="631"/>
      <c r="AJ261" s="631"/>
      <c r="AK261" s="631"/>
      <c r="AL261" s="631"/>
      <c r="AM261" s="631"/>
      <c r="AN261" s="631"/>
    </row>
    <row r="262" spans="1:40">
      <c r="C262" s="631"/>
      <c r="D262" s="631"/>
      <c r="E262" s="631"/>
      <c r="F262" s="631"/>
      <c r="G262" s="631"/>
      <c r="H262" s="631"/>
      <c r="I262" s="631"/>
      <c r="J262" s="631"/>
      <c r="K262" s="631"/>
      <c r="L262" s="631"/>
      <c r="M262" s="631"/>
      <c r="N262" s="631"/>
      <c r="O262" s="631"/>
      <c r="P262" s="631"/>
      <c r="Q262" s="631"/>
      <c r="R262" s="631"/>
      <c r="S262" s="631"/>
      <c r="T262" s="654"/>
      <c r="U262" s="631"/>
      <c r="V262" s="631"/>
      <c r="W262" s="631"/>
      <c r="X262" s="631"/>
      <c r="Y262" s="631"/>
      <c r="Z262" s="631"/>
      <c r="AA262" s="631"/>
      <c r="AB262" s="631"/>
      <c r="AC262" s="631"/>
      <c r="AD262" s="631"/>
      <c r="AE262" s="631"/>
      <c r="AF262" s="631"/>
      <c r="AG262" s="631"/>
      <c r="AH262" s="631"/>
      <c r="AI262" s="631"/>
      <c r="AJ262" s="631"/>
      <c r="AK262" s="631"/>
      <c r="AL262" s="631"/>
      <c r="AM262" s="631"/>
      <c r="AN262" s="631"/>
    </row>
    <row r="263" spans="1:40">
      <c r="C263" s="631"/>
      <c r="D263" s="631"/>
      <c r="E263" s="631"/>
      <c r="F263" s="631"/>
      <c r="G263" s="631"/>
      <c r="H263" s="631"/>
      <c r="I263" s="631"/>
      <c r="J263" s="631"/>
      <c r="K263" s="631"/>
      <c r="L263" s="631"/>
      <c r="M263" s="631"/>
      <c r="N263" s="631"/>
      <c r="O263" s="631"/>
      <c r="P263" s="631"/>
      <c r="Q263" s="631"/>
      <c r="R263" s="631"/>
      <c r="V263" s="631"/>
      <c r="W263" s="631"/>
      <c r="X263" s="631"/>
      <c r="Y263" s="631"/>
      <c r="Z263" s="631"/>
      <c r="AA263" s="631"/>
      <c r="AB263" s="631"/>
      <c r="AC263" s="631"/>
      <c r="AD263" s="631"/>
      <c r="AE263" s="631"/>
      <c r="AF263" s="631"/>
      <c r="AG263" s="631"/>
      <c r="AH263" s="631"/>
      <c r="AI263" s="631"/>
      <c r="AJ263" s="631"/>
      <c r="AK263" s="631"/>
      <c r="AL263" s="631"/>
      <c r="AM263" s="631"/>
      <c r="AN263" s="631"/>
    </row>
    <row r="264" spans="1:40">
      <c r="AD264" s="642"/>
    </row>
    <row r="265" spans="1:40">
      <c r="A265" s="623"/>
      <c r="H265" s="633"/>
      <c r="J265" s="635"/>
      <c r="L265" s="633"/>
      <c r="M265" s="633"/>
      <c r="N265" s="633"/>
      <c r="O265" s="633"/>
      <c r="P265" s="633"/>
      <c r="Q265" s="623"/>
      <c r="S265" s="631"/>
      <c r="T265" s="654"/>
      <c r="U265" s="631"/>
    </row>
    <row r="266" spans="1:40">
      <c r="C266" s="631"/>
      <c r="D266" s="631"/>
      <c r="E266" s="631"/>
      <c r="F266" s="631"/>
      <c r="G266" s="631"/>
      <c r="H266" s="631"/>
      <c r="I266" s="631"/>
      <c r="J266" s="631"/>
      <c r="K266" s="631"/>
      <c r="L266" s="631"/>
      <c r="M266" s="631"/>
      <c r="N266" s="631"/>
      <c r="O266" s="631"/>
      <c r="P266" s="631"/>
      <c r="Q266" s="631"/>
      <c r="R266" s="631"/>
      <c r="S266" s="631"/>
      <c r="T266" s="654"/>
      <c r="U266" s="631"/>
      <c r="V266" s="631"/>
      <c r="W266" s="631"/>
      <c r="X266" s="631"/>
      <c r="Y266" s="631"/>
      <c r="Z266" s="631"/>
      <c r="AA266" s="631"/>
      <c r="AB266" s="631"/>
      <c r="AC266" s="631"/>
      <c r="AD266" s="631"/>
      <c r="AE266" s="631"/>
      <c r="AF266" s="631"/>
      <c r="AG266" s="631"/>
      <c r="AH266" s="631"/>
    </row>
    <row r="267" spans="1:40">
      <c r="C267" s="631"/>
      <c r="D267" s="631"/>
      <c r="E267" s="631"/>
      <c r="F267" s="631"/>
      <c r="G267" s="631"/>
      <c r="H267" s="631"/>
      <c r="I267" s="631"/>
      <c r="J267" s="631"/>
      <c r="K267" s="631"/>
      <c r="L267" s="631"/>
      <c r="M267" s="631"/>
      <c r="N267" s="631"/>
      <c r="O267" s="631"/>
      <c r="P267" s="631"/>
      <c r="Q267" s="631"/>
      <c r="R267" s="631"/>
      <c r="S267" s="631"/>
      <c r="T267" s="654"/>
      <c r="U267" s="631"/>
      <c r="V267" s="631"/>
      <c r="W267" s="631"/>
      <c r="X267" s="631"/>
      <c r="Y267" s="631"/>
      <c r="Z267" s="631"/>
      <c r="AA267" s="631"/>
      <c r="AB267" s="631"/>
      <c r="AC267" s="631"/>
      <c r="AD267" s="631"/>
      <c r="AE267" s="631"/>
      <c r="AF267" s="631"/>
      <c r="AG267" s="631"/>
      <c r="AH267" s="631"/>
    </row>
    <row r="268" spans="1:40">
      <c r="C268" s="631"/>
      <c r="D268" s="631"/>
      <c r="E268" s="631"/>
      <c r="F268" s="631"/>
      <c r="G268" s="631"/>
      <c r="H268" s="631"/>
      <c r="I268" s="631"/>
      <c r="J268" s="631"/>
      <c r="K268" s="631"/>
      <c r="L268" s="631"/>
      <c r="M268" s="631"/>
      <c r="N268" s="631"/>
      <c r="O268" s="631"/>
      <c r="P268" s="631"/>
      <c r="Q268" s="631"/>
      <c r="R268" s="631"/>
      <c r="V268" s="631"/>
      <c r="W268" s="631"/>
      <c r="X268" s="631"/>
      <c r="Y268" s="631"/>
      <c r="Z268" s="631"/>
      <c r="AA268" s="631"/>
      <c r="AB268" s="631"/>
      <c r="AC268" s="631"/>
      <c r="AD268" s="631"/>
      <c r="AE268" s="631"/>
      <c r="AF268" s="631"/>
      <c r="AG268" s="631"/>
      <c r="AH268" s="631"/>
    </row>
    <row r="269" spans="1:40">
      <c r="AD269" s="642"/>
    </row>
    <row r="270" spans="1:40">
      <c r="A270" s="623"/>
      <c r="H270" s="633"/>
      <c r="J270" s="635"/>
      <c r="K270" s="623"/>
      <c r="L270" s="633"/>
      <c r="M270" s="633"/>
      <c r="N270" s="633"/>
      <c r="O270" s="633"/>
      <c r="P270" s="633"/>
      <c r="Q270" s="623"/>
    </row>
    <row r="271" spans="1:40">
      <c r="C271" s="631"/>
      <c r="D271" s="631"/>
      <c r="E271" s="631"/>
      <c r="F271" s="631"/>
      <c r="G271" s="631"/>
      <c r="H271" s="631"/>
      <c r="I271" s="631"/>
      <c r="J271" s="631"/>
      <c r="K271" s="631"/>
      <c r="L271" s="631"/>
      <c r="M271" s="631"/>
      <c r="N271" s="631"/>
      <c r="O271" s="631"/>
      <c r="P271" s="631"/>
      <c r="Q271" s="631"/>
      <c r="R271" s="631"/>
      <c r="V271" s="631"/>
      <c r="W271" s="631"/>
      <c r="X271" s="631"/>
      <c r="Y271" s="631"/>
      <c r="Z271" s="631"/>
      <c r="AA271" s="631"/>
      <c r="AB271" s="631"/>
      <c r="AC271" s="631"/>
      <c r="AD271" s="631"/>
      <c r="AE271" s="631"/>
      <c r="AF271" s="631"/>
      <c r="AG271" s="631"/>
      <c r="AH271" s="631"/>
    </row>
    <row r="272" spans="1:40">
      <c r="C272" s="631"/>
      <c r="D272" s="631"/>
      <c r="E272" s="631"/>
      <c r="F272" s="631"/>
      <c r="G272" s="631"/>
      <c r="H272" s="631"/>
      <c r="I272" s="631"/>
      <c r="J272" s="631"/>
      <c r="K272" s="631"/>
      <c r="L272" s="631"/>
      <c r="M272" s="631"/>
      <c r="N272" s="631"/>
      <c r="O272" s="631"/>
      <c r="P272" s="631"/>
      <c r="Q272" s="631"/>
      <c r="R272" s="631"/>
      <c r="V272" s="631"/>
      <c r="W272" s="631"/>
      <c r="X272" s="631"/>
      <c r="Y272" s="631"/>
      <c r="Z272" s="631"/>
      <c r="AA272" s="631"/>
      <c r="AB272" s="631"/>
      <c r="AC272" s="631"/>
      <c r="AD272" s="631"/>
      <c r="AE272" s="631"/>
      <c r="AF272" s="631"/>
      <c r="AG272" s="631"/>
      <c r="AH272" s="631"/>
    </row>
    <row r="273" spans="1:34">
      <c r="C273" s="631"/>
      <c r="D273" s="631"/>
      <c r="E273" s="631"/>
      <c r="F273" s="631"/>
      <c r="G273" s="631"/>
      <c r="H273" s="631"/>
      <c r="I273" s="631"/>
      <c r="J273" s="631"/>
      <c r="K273" s="631"/>
      <c r="L273" s="631"/>
      <c r="M273" s="631"/>
      <c r="N273" s="631"/>
      <c r="O273" s="631"/>
      <c r="P273" s="631"/>
      <c r="Q273" s="631"/>
      <c r="R273" s="631"/>
      <c r="V273" s="631"/>
      <c r="W273" s="631"/>
      <c r="X273" s="631"/>
      <c r="Y273" s="631"/>
      <c r="Z273" s="631"/>
      <c r="AA273" s="631"/>
      <c r="AB273" s="631"/>
      <c r="AC273" s="631"/>
      <c r="AD273" s="631"/>
      <c r="AE273" s="631"/>
      <c r="AF273" s="631"/>
      <c r="AG273" s="631"/>
      <c r="AH273" s="631"/>
    </row>
    <row r="274" spans="1:34">
      <c r="AD274" s="642"/>
    </row>
    <row r="275" spans="1:34">
      <c r="A275" s="623"/>
      <c r="H275" s="633"/>
      <c r="J275" s="635"/>
      <c r="L275" s="633"/>
      <c r="M275" s="633"/>
      <c r="N275" s="633"/>
      <c r="O275" s="633"/>
      <c r="P275" s="633"/>
      <c r="Q275" s="623"/>
    </row>
    <row r="280" spans="1:34">
      <c r="A280" s="623"/>
      <c r="H280" s="633"/>
      <c r="J280" s="635"/>
      <c r="L280" s="633"/>
      <c r="M280" s="633"/>
      <c r="N280" s="633"/>
      <c r="O280" s="633"/>
      <c r="P280" s="633"/>
      <c r="Q280" s="623"/>
    </row>
    <row r="281" spans="1:34">
      <c r="C281" s="631"/>
      <c r="D281" s="631"/>
      <c r="E281" s="631"/>
      <c r="F281" s="631"/>
      <c r="G281" s="631"/>
      <c r="H281" s="631"/>
      <c r="I281" s="631"/>
      <c r="J281" s="631"/>
      <c r="K281" s="631"/>
      <c r="L281" s="631"/>
      <c r="M281" s="631"/>
      <c r="N281" s="631"/>
      <c r="O281" s="631"/>
      <c r="P281" s="631"/>
      <c r="Q281" s="631"/>
      <c r="R281" s="631"/>
      <c r="V281" s="631"/>
      <c r="W281" s="631"/>
      <c r="X281" s="631"/>
      <c r="Y281" s="631"/>
      <c r="Z281" s="631"/>
      <c r="AA281" s="631"/>
      <c r="AB281" s="631"/>
      <c r="AC281" s="631"/>
      <c r="AD281" s="631"/>
      <c r="AE281" s="631"/>
      <c r="AF281" s="631"/>
      <c r="AG281" s="631"/>
      <c r="AH281" s="631"/>
    </row>
    <row r="282" spans="1:34">
      <c r="C282" s="631"/>
      <c r="D282" s="631"/>
      <c r="E282" s="631"/>
      <c r="F282" s="631"/>
      <c r="G282" s="631"/>
      <c r="H282" s="631"/>
      <c r="I282" s="631"/>
      <c r="J282" s="631"/>
      <c r="K282" s="631"/>
      <c r="L282" s="631"/>
      <c r="M282" s="631"/>
      <c r="N282" s="631"/>
      <c r="O282" s="631"/>
      <c r="P282" s="631"/>
      <c r="Q282" s="631"/>
      <c r="R282" s="631"/>
      <c r="V282" s="631"/>
      <c r="W282" s="631"/>
      <c r="X282" s="631"/>
      <c r="Y282" s="631"/>
      <c r="Z282" s="631"/>
      <c r="AA282" s="631"/>
      <c r="AB282" s="631"/>
      <c r="AC282" s="631"/>
      <c r="AD282" s="631"/>
      <c r="AE282" s="631"/>
      <c r="AF282" s="631"/>
      <c r="AG282" s="631"/>
      <c r="AH282" s="631"/>
    </row>
    <row r="283" spans="1:34">
      <c r="C283" s="631"/>
      <c r="D283" s="631"/>
      <c r="E283" s="631"/>
      <c r="F283" s="631"/>
      <c r="G283" s="631"/>
      <c r="H283" s="631"/>
      <c r="I283" s="631"/>
      <c r="J283" s="631"/>
      <c r="K283" s="631"/>
      <c r="L283" s="631"/>
      <c r="M283" s="631"/>
      <c r="N283" s="631"/>
      <c r="O283" s="631"/>
      <c r="P283" s="631"/>
      <c r="Q283" s="631"/>
      <c r="R283" s="631"/>
      <c r="V283" s="631"/>
      <c r="W283" s="631"/>
      <c r="X283" s="631"/>
      <c r="Y283" s="631"/>
      <c r="Z283" s="631"/>
      <c r="AA283" s="631"/>
      <c r="AB283" s="631"/>
      <c r="AC283" s="631"/>
      <c r="AD283" s="631"/>
      <c r="AE283" s="631"/>
      <c r="AF283" s="631"/>
      <c r="AG283" s="631"/>
      <c r="AH283" s="631"/>
    </row>
    <row r="284" spans="1:34">
      <c r="AD284" s="642"/>
    </row>
    <row r="285" spans="1:34">
      <c r="A285" s="623"/>
      <c r="F285" s="623"/>
      <c r="H285" s="631"/>
      <c r="J285" s="635"/>
      <c r="L285" s="631"/>
      <c r="M285" s="631"/>
      <c r="N285" s="631"/>
      <c r="O285" s="631"/>
      <c r="P285" s="631"/>
      <c r="Q285" s="623"/>
    </row>
    <row r="286" spans="1:34">
      <c r="C286" s="631"/>
      <c r="D286" s="631"/>
      <c r="E286" s="631"/>
      <c r="F286" s="631"/>
      <c r="G286" s="631"/>
      <c r="H286" s="631"/>
      <c r="I286" s="631"/>
      <c r="J286" s="631"/>
      <c r="K286" s="631"/>
      <c r="L286" s="631"/>
      <c r="M286" s="631"/>
      <c r="N286" s="631"/>
      <c r="O286" s="631"/>
      <c r="P286" s="631"/>
      <c r="Q286" s="631"/>
      <c r="R286" s="631"/>
      <c r="V286" s="631"/>
      <c r="W286" s="631"/>
      <c r="X286" s="631"/>
      <c r="Y286" s="631"/>
      <c r="Z286" s="631"/>
      <c r="AA286" s="631"/>
      <c r="AB286" s="631"/>
      <c r="AC286" s="631"/>
      <c r="AD286" s="631"/>
      <c r="AE286" s="631"/>
      <c r="AF286" s="631"/>
      <c r="AG286" s="631"/>
      <c r="AH286" s="631"/>
    </row>
    <row r="287" spans="1:34">
      <c r="C287" s="631"/>
      <c r="D287" s="631"/>
      <c r="E287" s="631"/>
      <c r="F287" s="631"/>
      <c r="G287" s="631"/>
      <c r="H287" s="631"/>
      <c r="I287" s="631"/>
      <c r="J287" s="631"/>
      <c r="K287" s="631"/>
      <c r="L287" s="631"/>
      <c r="M287" s="631"/>
      <c r="N287" s="631"/>
      <c r="O287" s="631"/>
      <c r="P287" s="631"/>
      <c r="Q287" s="631"/>
      <c r="R287" s="631"/>
      <c r="V287" s="631"/>
      <c r="W287" s="631"/>
      <c r="X287" s="631"/>
      <c r="Y287" s="631"/>
      <c r="Z287" s="631"/>
      <c r="AA287" s="631"/>
      <c r="AB287" s="631"/>
      <c r="AC287" s="631"/>
      <c r="AD287" s="631"/>
      <c r="AE287" s="631"/>
      <c r="AF287" s="631"/>
      <c r="AG287" s="631"/>
      <c r="AH287" s="631"/>
    </row>
    <row r="288" spans="1:34">
      <c r="C288" s="631"/>
      <c r="D288" s="631"/>
      <c r="E288" s="631"/>
      <c r="F288" s="631"/>
      <c r="G288" s="631"/>
      <c r="H288" s="631"/>
      <c r="I288" s="631"/>
      <c r="J288" s="631"/>
      <c r="K288" s="631"/>
      <c r="L288" s="631"/>
      <c r="M288" s="631"/>
      <c r="N288" s="631"/>
      <c r="O288" s="631"/>
      <c r="P288" s="631"/>
      <c r="Q288" s="631"/>
      <c r="R288" s="631"/>
      <c r="V288" s="631"/>
      <c r="W288" s="631"/>
      <c r="X288" s="631"/>
      <c r="Y288" s="631"/>
      <c r="Z288" s="631"/>
      <c r="AA288" s="631"/>
      <c r="AB288" s="631"/>
      <c r="AC288" s="631"/>
      <c r="AD288" s="631"/>
      <c r="AE288" s="631"/>
      <c r="AF288" s="631"/>
      <c r="AG288" s="631"/>
      <c r="AH288" s="631"/>
    </row>
    <row r="289" spans="1:34">
      <c r="AD289" s="642"/>
    </row>
    <row r="291" spans="1:34">
      <c r="Q291" s="623"/>
    </row>
    <row r="292" spans="1:34">
      <c r="C292" s="637"/>
      <c r="Q292" s="623"/>
    </row>
    <row r="293" spans="1:34">
      <c r="C293" s="638"/>
      <c r="J293" s="628"/>
      <c r="K293" s="628"/>
      <c r="Q293" s="623"/>
    </row>
    <row r="294" spans="1:34">
      <c r="C294" s="623"/>
      <c r="Q294" s="623"/>
    </row>
    <row r="295" spans="1:34">
      <c r="Z295" s="623"/>
    </row>
    <row r="296" spans="1:34">
      <c r="Z296" s="623"/>
    </row>
    <row r="297" spans="1:34">
      <c r="Z297" s="623"/>
    </row>
    <row r="298" spans="1:34">
      <c r="A298" s="623"/>
      <c r="C298" s="623"/>
      <c r="H298" s="623"/>
      <c r="J298" s="623"/>
      <c r="L298" s="623"/>
      <c r="M298" s="623"/>
      <c r="N298" s="623"/>
      <c r="O298" s="623"/>
      <c r="P298" s="623"/>
    </row>
    <row r="299" spans="1:34">
      <c r="A299" s="623"/>
      <c r="C299" s="623"/>
      <c r="H299" s="623"/>
      <c r="J299" s="623"/>
      <c r="L299" s="623"/>
      <c r="M299" s="623"/>
      <c r="N299" s="623"/>
      <c r="O299" s="623"/>
      <c r="P299" s="623"/>
      <c r="Q299" s="623"/>
    </row>
    <row r="302" spans="1:34">
      <c r="A302" s="623"/>
      <c r="C302" s="623"/>
      <c r="J302" s="636"/>
      <c r="Q302" s="623"/>
    </row>
    <row r="303" spans="1:34">
      <c r="C303" s="631"/>
      <c r="D303" s="631"/>
      <c r="E303" s="631"/>
      <c r="F303" s="631"/>
      <c r="G303" s="631"/>
      <c r="H303" s="631"/>
      <c r="I303" s="631"/>
      <c r="J303" s="631"/>
      <c r="K303" s="631"/>
      <c r="L303" s="631"/>
      <c r="M303" s="631"/>
      <c r="N303" s="631"/>
      <c r="O303" s="631"/>
      <c r="P303" s="631"/>
      <c r="Q303" s="631"/>
      <c r="R303" s="631"/>
      <c r="V303" s="631"/>
      <c r="W303" s="631"/>
      <c r="X303" s="631"/>
      <c r="Y303" s="631"/>
      <c r="Z303" s="631"/>
      <c r="AA303" s="631"/>
      <c r="AB303" s="631"/>
      <c r="AC303" s="631"/>
      <c r="AD303" s="631"/>
      <c r="AE303" s="631"/>
      <c r="AF303" s="631"/>
      <c r="AG303" s="631"/>
      <c r="AH303" s="631"/>
    </row>
    <row r="304" spans="1:34">
      <c r="C304" s="631"/>
      <c r="D304" s="631"/>
      <c r="E304" s="631"/>
      <c r="F304" s="631"/>
      <c r="G304" s="631"/>
      <c r="H304" s="631"/>
      <c r="I304" s="631"/>
      <c r="J304" s="631"/>
      <c r="K304" s="631"/>
      <c r="L304" s="631"/>
      <c r="M304" s="631"/>
      <c r="N304" s="631"/>
      <c r="O304" s="631"/>
      <c r="P304" s="631"/>
      <c r="Q304" s="631"/>
      <c r="R304" s="631"/>
      <c r="V304" s="631"/>
      <c r="W304" s="631"/>
      <c r="X304" s="631"/>
      <c r="Y304" s="631"/>
      <c r="Z304" s="631"/>
      <c r="AA304" s="631"/>
      <c r="AB304" s="631"/>
      <c r="AC304" s="631"/>
      <c r="AD304" s="631"/>
      <c r="AE304" s="631"/>
      <c r="AF304" s="631"/>
      <c r="AG304" s="631"/>
      <c r="AH304" s="631"/>
    </row>
    <row r="305" spans="1:47">
      <c r="C305" s="631"/>
      <c r="D305" s="631"/>
      <c r="E305" s="631"/>
      <c r="F305" s="631"/>
      <c r="G305" s="631"/>
      <c r="H305" s="631"/>
      <c r="I305" s="631"/>
      <c r="J305" s="631"/>
      <c r="K305" s="631"/>
      <c r="L305" s="631"/>
      <c r="M305" s="631"/>
      <c r="N305" s="631"/>
      <c r="O305" s="631"/>
      <c r="P305" s="631"/>
      <c r="Q305" s="631"/>
      <c r="R305" s="631"/>
      <c r="V305" s="631"/>
      <c r="W305" s="631"/>
      <c r="X305" s="631"/>
      <c r="Y305" s="631"/>
      <c r="Z305" s="631"/>
      <c r="AA305" s="631"/>
      <c r="AB305" s="631"/>
      <c r="AC305" s="631"/>
      <c r="AD305" s="631"/>
      <c r="AE305" s="631"/>
      <c r="AF305" s="631"/>
      <c r="AG305" s="631"/>
      <c r="AH305" s="631"/>
    </row>
    <row r="306" spans="1:47">
      <c r="AD306" s="642"/>
    </row>
    <row r="307" spans="1:47">
      <c r="A307" s="623"/>
      <c r="C307" s="623"/>
      <c r="F307" s="623"/>
      <c r="H307" s="633"/>
      <c r="J307" s="636"/>
      <c r="L307" s="633"/>
      <c r="M307" s="633"/>
      <c r="N307" s="633"/>
      <c r="O307" s="633"/>
      <c r="P307" s="633"/>
      <c r="Q307" s="623"/>
    </row>
    <row r="308" spans="1:47">
      <c r="C308" s="631"/>
      <c r="D308" s="631"/>
      <c r="E308" s="631"/>
      <c r="F308" s="631"/>
      <c r="G308" s="631"/>
      <c r="H308" s="631"/>
      <c r="I308" s="631"/>
      <c r="J308" s="631"/>
      <c r="K308" s="631"/>
      <c r="L308" s="631"/>
      <c r="M308" s="631"/>
      <c r="N308" s="631"/>
      <c r="O308" s="631"/>
      <c r="P308" s="631"/>
      <c r="Q308" s="631"/>
      <c r="R308" s="631"/>
      <c r="V308" s="631"/>
      <c r="W308" s="631"/>
      <c r="X308" s="631"/>
      <c r="Y308" s="631"/>
      <c r="Z308" s="631"/>
      <c r="AA308" s="631"/>
      <c r="AB308" s="631"/>
      <c r="AC308" s="631"/>
      <c r="AD308" s="631"/>
      <c r="AE308" s="631"/>
      <c r="AF308" s="631"/>
      <c r="AG308" s="631"/>
      <c r="AH308" s="631"/>
    </row>
    <row r="309" spans="1:47">
      <c r="C309" s="631"/>
      <c r="D309" s="631"/>
      <c r="E309" s="631"/>
      <c r="F309" s="631"/>
      <c r="G309" s="631"/>
      <c r="H309" s="631"/>
      <c r="I309" s="631"/>
      <c r="J309" s="631"/>
      <c r="K309" s="631"/>
      <c r="L309" s="631"/>
      <c r="M309" s="631"/>
      <c r="N309" s="631"/>
      <c r="O309" s="631"/>
      <c r="P309" s="631"/>
      <c r="Q309" s="631"/>
      <c r="R309" s="631"/>
      <c r="V309" s="631"/>
      <c r="W309" s="631"/>
      <c r="X309" s="631"/>
      <c r="Y309" s="631"/>
      <c r="Z309" s="631"/>
      <c r="AA309" s="631"/>
      <c r="AB309" s="631"/>
      <c r="AC309" s="631"/>
      <c r="AD309" s="631"/>
      <c r="AE309" s="631"/>
      <c r="AF309" s="631"/>
      <c r="AG309" s="631"/>
      <c r="AH309" s="631"/>
    </row>
    <row r="310" spans="1:47">
      <c r="C310" s="631"/>
      <c r="D310" s="631"/>
      <c r="E310" s="631"/>
      <c r="F310" s="631"/>
      <c r="G310" s="631"/>
      <c r="H310" s="631"/>
      <c r="I310" s="631"/>
      <c r="J310" s="631"/>
      <c r="K310" s="631"/>
      <c r="L310" s="631"/>
      <c r="M310" s="631"/>
      <c r="N310" s="631"/>
      <c r="O310" s="631"/>
      <c r="P310" s="631"/>
      <c r="Q310" s="631"/>
      <c r="R310" s="631"/>
      <c r="V310" s="631"/>
      <c r="W310" s="631"/>
      <c r="X310" s="631"/>
      <c r="Y310" s="631"/>
      <c r="Z310" s="631"/>
      <c r="AA310" s="631"/>
      <c r="AB310" s="631"/>
      <c r="AC310" s="631"/>
      <c r="AD310" s="631"/>
      <c r="AE310" s="631"/>
      <c r="AF310" s="631"/>
      <c r="AG310" s="631"/>
      <c r="AH310" s="631"/>
    </row>
    <row r="311" spans="1:47">
      <c r="AD311" s="642"/>
    </row>
    <row r="312" spans="1:47">
      <c r="A312" s="623"/>
      <c r="C312" s="623"/>
      <c r="H312" s="633"/>
      <c r="J312" s="635"/>
      <c r="L312" s="633"/>
      <c r="M312" s="633"/>
      <c r="N312" s="633"/>
      <c r="O312" s="633"/>
      <c r="P312" s="633"/>
      <c r="Q312" s="623"/>
    </row>
    <row r="313" spans="1:47">
      <c r="C313" s="631"/>
      <c r="D313" s="631"/>
      <c r="E313" s="631"/>
      <c r="F313" s="631"/>
      <c r="G313" s="631"/>
      <c r="H313" s="631"/>
      <c r="I313" s="631"/>
      <c r="J313" s="631"/>
      <c r="K313" s="631"/>
      <c r="L313" s="631"/>
      <c r="M313" s="631"/>
      <c r="N313" s="631"/>
      <c r="O313" s="631"/>
      <c r="P313" s="631"/>
      <c r="Q313" s="631"/>
      <c r="R313" s="631"/>
      <c r="V313" s="631"/>
      <c r="W313" s="631"/>
      <c r="X313" s="631"/>
      <c r="Y313" s="631"/>
      <c r="Z313" s="631"/>
      <c r="AA313" s="631"/>
      <c r="AB313" s="631"/>
      <c r="AC313" s="631"/>
      <c r="AD313" s="631"/>
      <c r="AE313" s="631"/>
    </row>
    <row r="314" spans="1:47">
      <c r="C314" s="631"/>
      <c r="D314" s="631"/>
      <c r="E314" s="631"/>
      <c r="F314" s="631"/>
      <c r="G314" s="631"/>
      <c r="H314" s="631"/>
      <c r="I314" s="631"/>
      <c r="J314" s="631"/>
      <c r="K314" s="631"/>
      <c r="L314" s="631"/>
      <c r="M314" s="631"/>
      <c r="N314" s="631"/>
      <c r="O314" s="631"/>
      <c r="P314" s="631"/>
      <c r="Q314" s="631"/>
      <c r="R314" s="631"/>
      <c r="V314" s="631"/>
      <c r="W314" s="631"/>
      <c r="X314" s="631"/>
      <c r="Y314" s="631"/>
      <c r="Z314" s="631"/>
      <c r="AA314" s="631"/>
      <c r="AB314" s="631"/>
      <c r="AC314" s="631"/>
      <c r="AD314" s="631"/>
      <c r="AE314" s="631"/>
    </row>
    <row r="315" spans="1:47">
      <c r="C315" s="631"/>
      <c r="D315" s="631"/>
      <c r="E315" s="631"/>
      <c r="F315" s="631"/>
      <c r="G315" s="631"/>
      <c r="H315" s="631"/>
      <c r="I315" s="631"/>
      <c r="J315" s="631"/>
      <c r="K315" s="631"/>
      <c r="L315" s="631"/>
      <c r="M315" s="631"/>
      <c r="N315" s="631"/>
      <c r="O315" s="631"/>
      <c r="P315" s="631"/>
      <c r="Q315" s="631"/>
      <c r="R315" s="631"/>
      <c r="V315" s="631"/>
      <c r="W315" s="631"/>
      <c r="X315" s="631"/>
      <c r="Y315" s="631"/>
      <c r="Z315" s="631"/>
      <c r="AA315" s="631"/>
      <c r="AB315" s="631"/>
      <c r="AC315" s="631"/>
      <c r="AD315" s="631"/>
      <c r="AE315" s="631"/>
    </row>
    <row r="316" spans="1:47">
      <c r="AD316" s="642"/>
    </row>
    <row r="317" spans="1:47">
      <c r="A317" s="623"/>
      <c r="C317" s="623"/>
      <c r="H317" s="633"/>
      <c r="J317" s="635"/>
      <c r="L317" s="633"/>
      <c r="M317" s="633"/>
      <c r="N317" s="633"/>
      <c r="O317" s="633"/>
      <c r="P317" s="633"/>
      <c r="Q317" s="623"/>
    </row>
    <row r="318" spans="1:47">
      <c r="C318" s="631"/>
      <c r="D318" s="631"/>
      <c r="E318" s="631"/>
      <c r="F318" s="631"/>
      <c r="G318" s="631"/>
      <c r="H318" s="631"/>
      <c r="I318" s="631"/>
      <c r="J318" s="631"/>
      <c r="K318" s="631"/>
      <c r="L318" s="631"/>
      <c r="M318" s="631"/>
      <c r="N318" s="631"/>
      <c r="O318" s="631"/>
      <c r="P318" s="631"/>
      <c r="Q318" s="631"/>
      <c r="R318" s="631"/>
      <c r="V318" s="631"/>
      <c r="W318" s="631"/>
      <c r="X318" s="631"/>
      <c r="Y318" s="631"/>
      <c r="Z318" s="631"/>
      <c r="AA318" s="631"/>
      <c r="AB318" s="631"/>
      <c r="AC318" s="631"/>
      <c r="AD318" s="631"/>
      <c r="AE318" s="631"/>
      <c r="AF318" s="631"/>
      <c r="AG318" s="631"/>
      <c r="AH318" s="631"/>
      <c r="AI318" s="631"/>
      <c r="AJ318" s="631"/>
      <c r="AK318" s="631"/>
      <c r="AL318" s="631"/>
      <c r="AM318" s="631"/>
      <c r="AN318" s="631"/>
      <c r="AO318" s="631"/>
      <c r="AP318" s="631"/>
      <c r="AQ318" s="631"/>
      <c r="AR318" s="631"/>
      <c r="AS318" s="631"/>
      <c r="AT318" s="631"/>
      <c r="AU318" s="631"/>
    </row>
    <row r="319" spans="1:47">
      <c r="C319" s="631"/>
      <c r="D319" s="631"/>
      <c r="E319" s="631"/>
      <c r="F319" s="631"/>
      <c r="G319" s="631"/>
      <c r="H319" s="631"/>
      <c r="I319" s="631"/>
      <c r="J319" s="631"/>
      <c r="K319" s="631"/>
      <c r="L319" s="631"/>
      <c r="M319" s="631"/>
      <c r="N319" s="631"/>
      <c r="O319" s="631"/>
      <c r="P319" s="631"/>
      <c r="Q319" s="631"/>
      <c r="R319" s="631"/>
      <c r="V319" s="631"/>
      <c r="W319" s="631"/>
      <c r="X319" s="631"/>
      <c r="Y319" s="631"/>
      <c r="Z319" s="631"/>
      <c r="AA319" s="631"/>
      <c r="AB319" s="631"/>
      <c r="AC319" s="631"/>
      <c r="AD319" s="631"/>
      <c r="AE319" s="631"/>
      <c r="AF319" s="631"/>
      <c r="AG319" s="631"/>
      <c r="AH319" s="631"/>
      <c r="AI319" s="631"/>
      <c r="AJ319" s="631"/>
      <c r="AK319" s="631"/>
      <c r="AL319" s="631"/>
      <c r="AM319" s="631"/>
      <c r="AN319" s="631"/>
      <c r="AO319" s="631"/>
      <c r="AP319" s="631"/>
      <c r="AQ319" s="631"/>
      <c r="AR319" s="631"/>
      <c r="AS319" s="631"/>
      <c r="AT319" s="631"/>
      <c r="AU319" s="631"/>
    </row>
    <row r="320" spans="1:47">
      <c r="C320" s="631"/>
      <c r="D320" s="631"/>
      <c r="E320" s="631"/>
      <c r="F320" s="631"/>
      <c r="G320" s="631"/>
      <c r="H320" s="631"/>
      <c r="I320" s="631"/>
      <c r="J320" s="631"/>
      <c r="K320" s="631"/>
      <c r="L320" s="631"/>
      <c r="M320" s="631"/>
      <c r="N320" s="631"/>
      <c r="O320" s="631"/>
      <c r="P320" s="631"/>
      <c r="Q320" s="631"/>
      <c r="R320" s="631"/>
      <c r="V320" s="631"/>
      <c r="W320" s="631"/>
      <c r="X320" s="631"/>
      <c r="Y320" s="631"/>
      <c r="Z320" s="631"/>
      <c r="AA320" s="631"/>
      <c r="AB320" s="631"/>
      <c r="AC320" s="631"/>
      <c r="AD320" s="631"/>
      <c r="AE320" s="631"/>
      <c r="AF320" s="631"/>
      <c r="AG320" s="631"/>
      <c r="AH320" s="631"/>
      <c r="AI320" s="631"/>
      <c r="AJ320" s="631"/>
      <c r="AK320" s="631"/>
      <c r="AL320" s="631"/>
      <c r="AM320" s="631"/>
      <c r="AN320" s="631"/>
      <c r="AO320" s="631"/>
      <c r="AP320" s="631"/>
      <c r="AQ320" s="631"/>
      <c r="AR320" s="631"/>
      <c r="AS320" s="631"/>
      <c r="AT320" s="631"/>
      <c r="AU320" s="631"/>
    </row>
    <row r="321" spans="1:53">
      <c r="AD321" s="642"/>
    </row>
    <row r="322" spans="1:53">
      <c r="A322" s="623"/>
      <c r="C322" s="623"/>
      <c r="H322" s="633"/>
      <c r="J322" s="635"/>
      <c r="L322" s="633"/>
      <c r="M322" s="633"/>
      <c r="N322" s="633"/>
      <c r="O322" s="633"/>
      <c r="P322" s="633"/>
      <c r="Q322" s="623"/>
    </row>
    <row r="323" spans="1:53">
      <c r="C323" s="631"/>
      <c r="D323" s="631"/>
      <c r="E323" s="631"/>
      <c r="F323" s="631"/>
      <c r="G323" s="631"/>
      <c r="H323" s="631"/>
      <c r="I323" s="631"/>
      <c r="J323" s="631"/>
      <c r="K323" s="631"/>
      <c r="L323" s="631"/>
      <c r="M323" s="631"/>
      <c r="N323" s="631"/>
      <c r="O323" s="631"/>
      <c r="P323" s="631"/>
      <c r="Q323" s="631"/>
      <c r="R323" s="631"/>
      <c r="V323" s="631"/>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row>
    <row r="324" spans="1:53">
      <c r="C324" s="631"/>
      <c r="D324" s="631"/>
      <c r="E324" s="631"/>
      <c r="F324" s="631"/>
      <c r="G324" s="631"/>
      <c r="H324" s="631"/>
      <c r="I324" s="631"/>
      <c r="J324" s="631"/>
      <c r="K324" s="631"/>
      <c r="L324" s="631"/>
      <c r="M324" s="631"/>
      <c r="N324" s="631"/>
      <c r="O324" s="631"/>
      <c r="P324" s="631"/>
      <c r="Q324" s="631"/>
      <c r="R324" s="631"/>
      <c r="V324" s="631"/>
      <c r="W324" s="631"/>
      <c r="X324" s="631"/>
      <c r="Y324" s="631"/>
      <c r="Z324" s="631"/>
      <c r="AA324" s="631"/>
      <c r="AB324" s="631"/>
      <c r="AC324" s="631"/>
      <c r="AD324" s="631"/>
      <c r="AE324" s="631"/>
      <c r="AF324" s="631"/>
      <c r="AG324" s="631"/>
      <c r="AH324" s="631"/>
      <c r="AI324" s="631"/>
      <c r="AJ324" s="631"/>
      <c r="AK324" s="631"/>
      <c r="AL324" s="631"/>
      <c r="AM324" s="631"/>
      <c r="AN324" s="631"/>
      <c r="AO324" s="631"/>
      <c r="AP324" s="631"/>
      <c r="AQ324" s="631"/>
      <c r="AR324" s="631"/>
      <c r="AS324" s="631"/>
      <c r="AT324" s="631"/>
      <c r="AU324" s="631"/>
      <c r="AV324" s="631"/>
      <c r="AW324" s="631"/>
      <c r="AX324" s="631"/>
      <c r="AY324" s="631"/>
      <c r="AZ324" s="631"/>
      <c r="BA324" s="631"/>
    </row>
    <row r="325" spans="1:53">
      <c r="C325" s="631"/>
      <c r="D325" s="631"/>
      <c r="E325" s="631"/>
      <c r="F325" s="631"/>
      <c r="G325" s="631"/>
      <c r="H325" s="631"/>
      <c r="I325" s="631"/>
      <c r="J325" s="631"/>
      <c r="K325" s="631"/>
      <c r="L325" s="631"/>
      <c r="M325" s="631"/>
      <c r="N325" s="631"/>
      <c r="O325" s="631"/>
      <c r="P325" s="631"/>
      <c r="Q325" s="631"/>
      <c r="R325" s="631"/>
      <c r="V325" s="631"/>
      <c r="W325" s="631"/>
      <c r="X325" s="631"/>
      <c r="Y325" s="631"/>
      <c r="Z325" s="631"/>
      <c r="AA325" s="631"/>
      <c r="AB325" s="631"/>
      <c r="AC325" s="631"/>
      <c r="AD325" s="631"/>
      <c r="AE325" s="631"/>
      <c r="AF325" s="631"/>
      <c r="AG325" s="631"/>
      <c r="AH325" s="631"/>
      <c r="AI325" s="631"/>
      <c r="AJ325" s="631"/>
      <c r="AK325" s="631"/>
      <c r="AL325" s="631"/>
      <c r="AM325" s="631"/>
      <c r="AN325" s="631"/>
      <c r="AO325" s="631"/>
      <c r="AP325" s="631"/>
      <c r="AQ325" s="631"/>
      <c r="AR325" s="631"/>
      <c r="AS325" s="631"/>
      <c r="AT325" s="631"/>
      <c r="AU325" s="631"/>
      <c r="AV325" s="631"/>
      <c r="AW325" s="631"/>
      <c r="AX325" s="631"/>
      <c r="AY325" s="631"/>
      <c r="AZ325" s="631"/>
      <c r="BA325" s="631"/>
    </row>
    <row r="326" spans="1:53">
      <c r="AD326" s="642"/>
    </row>
    <row r="327" spans="1:53">
      <c r="A327" s="623"/>
      <c r="C327" s="623"/>
      <c r="H327" s="633"/>
      <c r="I327" s="623"/>
      <c r="J327" s="635"/>
      <c r="L327" s="633"/>
      <c r="M327" s="633"/>
      <c r="N327" s="633"/>
      <c r="O327" s="633"/>
      <c r="P327" s="633"/>
      <c r="Q327" s="623"/>
    </row>
    <row r="328" spans="1:53">
      <c r="C328" s="631"/>
      <c r="D328" s="631"/>
      <c r="E328" s="631"/>
      <c r="F328" s="631"/>
      <c r="G328" s="631"/>
      <c r="H328" s="631"/>
      <c r="I328" s="631"/>
      <c r="J328" s="631"/>
      <c r="K328" s="631"/>
      <c r="L328" s="631"/>
      <c r="M328" s="631"/>
      <c r="N328" s="631"/>
      <c r="O328" s="631"/>
      <c r="P328" s="631"/>
      <c r="Q328" s="631"/>
      <c r="R328" s="631"/>
      <c r="V328" s="631"/>
      <c r="W328" s="631"/>
      <c r="X328" s="631"/>
      <c r="Y328" s="631"/>
      <c r="Z328" s="631"/>
      <c r="AA328" s="631"/>
      <c r="AB328" s="631"/>
      <c r="AC328" s="631"/>
      <c r="AD328" s="631"/>
      <c r="AE328" s="631"/>
      <c r="AF328" s="631"/>
      <c r="AG328" s="631"/>
      <c r="AH328" s="631"/>
    </row>
    <row r="329" spans="1:53">
      <c r="C329" s="631"/>
      <c r="D329" s="631"/>
      <c r="E329" s="631"/>
      <c r="F329" s="631"/>
      <c r="G329" s="631"/>
      <c r="H329" s="631"/>
      <c r="I329" s="631"/>
      <c r="J329" s="631"/>
      <c r="K329" s="631"/>
      <c r="L329" s="631"/>
      <c r="M329" s="631"/>
      <c r="N329" s="631"/>
      <c r="O329" s="631"/>
      <c r="P329" s="631"/>
      <c r="Q329" s="631"/>
      <c r="R329" s="631"/>
      <c r="V329" s="631"/>
      <c r="W329" s="631"/>
      <c r="X329" s="631"/>
      <c r="Y329" s="631"/>
      <c r="Z329" s="631"/>
      <c r="AA329" s="631"/>
      <c r="AB329" s="631"/>
      <c r="AC329" s="631"/>
      <c r="AD329" s="631"/>
      <c r="AE329" s="631"/>
      <c r="AF329" s="631"/>
      <c r="AG329" s="631"/>
      <c r="AH329" s="631"/>
    </row>
    <row r="330" spans="1:53">
      <c r="C330" s="631"/>
      <c r="D330" s="631"/>
      <c r="E330" s="631"/>
      <c r="F330" s="631"/>
      <c r="G330" s="631"/>
      <c r="H330" s="631"/>
      <c r="I330" s="631"/>
      <c r="J330" s="631"/>
      <c r="K330" s="631"/>
      <c r="L330" s="631"/>
      <c r="M330" s="631"/>
      <c r="N330" s="631"/>
      <c r="O330" s="631"/>
      <c r="P330" s="631"/>
      <c r="Q330" s="631"/>
      <c r="R330" s="631"/>
      <c r="V330" s="631"/>
      <c r="W330" s="631"/>
      <c r="X330" s="631"/>
      <c r="Y330" s="631"/>
      <c r="Z330" s="631"/>
      <c r="AA330" s="631"/>
      <c r="AB330" s="631"/>
      <c r="AC330" s="631"/>
      <c r="AD330" s="631"/>
      <c r="AE330" s="631"/>
      <c r="AF330" s="631"/>
      <c r="AG330" s="631"/>
      <c r="AH330" s="631"/>
    </row>
    <row r="331" spans="1:53">
      <c r="AD331" s="642"/>
    </row>
    <row r="332" spans="1:53">
      <c r="A332" s="623"/>
      <c r="C332" s="623"/>
      <c r="H332" s="633"/>
      <c r="J332" s="635"/>
      <c r="L332" s="633"/>
      <c r="M332" s="633"/>
      <c r="N332" s="633"/>
      <c r="O332" s="633"/>
      <c r="P332" s="633"/>
      <c r="Q332" s="623"/>
    </row>
    <row r="333" spans="1:53">
      <c r="C333" s="631"/>
      <c r="D333" s="631"/>
      <c r="E333" s="631"/>
      <c r="F333" s="631"/>
      <c r="G333" s="631"/>
      <c r="H333" s="631"/>
      <c r="I333" s="631"/>
      <c r="J333" s="631"/>
      <c r="K333" s="631"/>
      <c r="L333" s="631"/>
      <c r="M333" s="631"/>
      <c r="N333" s="631"/>
      <c r="O333" s="631"/>
      <c r="P333" s="631"/>
      <c r="Q333" s="631"/>
      <c r="R333" s="631"/>
      <c r="V333" s="631"/>
      <c r="W333" s="631"/>
      <c r="X333" s="631"/>
      <c r="Y333" s="631"/>
      <c r="Z333" s="631"/>
      <c r="AA333" s="631"/>
      <c r="AB333" s="631"/>
      <c r="AC333" s="631"/>
      <c r="AD333" s="631"/>
      <c r="AE333" s="631"/>
      <c r="AF333" s="631"/>
      <c r="AG333" s="631"/>
      <c r="AH333" s="631"/>
    </row>
    <row r="334" spans="1:53">
      <c r="C334" s="631"/>
      <c r="D334" s="631"/>
      <c r="E334" s="631"/>
      <c r="F334" s="631"/>
      <c r="G334" s="631"/>
      <c r="H334" s="631"/>
      <c r="I334" s="631"/>
      <c r="J334" s="631"/>
      <c r="K334" s="631"/>
      <c r="L334" s="631"/>
      <c r="M334" s="631"/>
      <c r="N334" s="631"/>
      <c r="O334" s="631"/>
      <c r="P334" s="631"/>
      <c r="Q334" s="631"/>
      <c r="R334" s="631"/>
      <c r="V334" s="631"/>
      <c r="W334" s="631"/>
      <c r="X334" s="631"/>
      <c r="Y334" s="631"/>
      <c r="Z334" s="631"/>
      <c r="AA334" s="631"/>
      <c r="AB334" s="631"/>
      <c r="AC334" s="631"/>
      <c r="AD334" s="631"/>
      <c r="AE334" s="631"/>
      <c r="AF334" s="631"/>
      <c r="AG334" s="631"/>
      <c r="AH334" s="631"/>
    </row>
    <row r="335" spans="1:53">
      <c r="C335" s="631"/>
      <c r="D335" s="631"/>
      <c r="E335" s="631"/>
      <c r="F335" s="631"/>
      <c r="G335" s="631"/>
      <c r="H335" s="631"/>
      <c r="I335" s="631"/>
      <c r="J335" s="631"/>
      <c r="K335" s="631"/>
      <c r="L335" s="631"/>
      <c r="M335" s="631"/>
      <c r="N335" s="631"/>
      <c r="O335" s="631"/>
      <c r="P335" s="631"/>
      <c r="Q335" s="631"/>
      <c r="R335" s="631"/>
      <c r="V335" s="631"/>
      <c r="W335" s="631"/>
      <c r="X335" s="631"/>
      <c r="Y335" s="631"/>
      <c r="Z335" s="631"/>
      <c r="AA335" s="631"/>
      <c r="AB335" s="631"/>
      <c r="AC335" s="631"/>
      <c r="AD335" s="631"/>
      <c r="AE335" s="631"/>
      <c r="AF335" s="631"/>
      <c r="AG335" s="631"/>
      <c r="AH335" s="631"/>
    </row>
    <row r="336" spans="1:53">
      <c r="AD336" s="642"/>
    </row>
    <row r="337" spans="1:34">
      <c r="A337" s="623"/>
      <c r="C337" s="623"/>
      <c r="H337" s="633"/>
      <c r="J337" s="635"/>
      <c r="L337" s="633"/>
      <c r="M337" s="633"/>
      <c r="N337" s="633"/>
      <c r="O337" s="633"/>
      <c r="P337" s="633"/>
      <c r="Q337" s="623"/>
    </row>
    <row r="338" spans="1:34">
      <c r="C338" s="631"/>
      <c r="D338" s="631"/>
      <c r="E338" s="631"/>
      <c r="F338" s="631"/>
      <c r="G338" s="631"/>
      <c r="H338" s="631"/>
      <c r="I338" s="631"/>
      <c r="J338" s="631"/>
      <c r="K338" s="631"/>
      <c r="L338" s="631"/>
      <c r="M338" s="631"/>
      <c r="N338" s="631"/>
      <c r="O338" s="631"/>
      <c r="P338" s="631"/>
      <c r="Q338" s="631"/>
      <c r="R338" s="631"/>
      <c r="V338" s="631"/>
      <c r="W338" s="631"/>
      <c r="X338" s="631"/>
      <c r="Y338" s="631"/>
      <c r="Z338" s="631"/>
      <c r="AA338" s="631"/>
      <c r="AB338" s="631"/>
      <c r="AC338" s="631"/>
      <c r="AD338" s="631"/>
      <c r="AE338" s="631"/>
      <c r="AF338" s="631"/>
      <c r="AG338" s="631"/>
      <c r="AH338" s="631"/>
    </row>
    <row r="339" spans="1:34">
      <c r="C339" s="631"/>
      <c r="D339" s="631"/>
      <c r="E339" s="631"/>
      <c r="F339" s="631"/>
      <c r="G339" s="631"/>
      <c r="H339" s="631"/>
      <c r="I339" s="631"/>
      <c r="J339" s="631"/>
      <c r="K339" s="631"/>
      <c r="L339" s="631"/>
      <c r="M339" s="631"/>
      <c r="N339" s="631"/>
      <c r="O339" s="631"/>
      <c r="P339" s="631"/>
      <c r="Q339" s="631"/>
      <c r="R339" s="631"/>
      <c r="V339" s="631"/>
      <c r="W339" s="631"/>
      <c r="X339" s="631"/>
      <c r="Y339" s="631"/>
      <c r="Z339" s="631"/>
      <c r="AA339" s="631"/>
      <c r="AB339" s="631"/>
      <c r="AC339" s="631"/>
      <c r="AD339" s="631"/>
      <c r="AE339" s="631"/>
      <c r="AF339" s="631"/>
      <c r="AG339" s="631"/>
      <c r="AH339" s="631"/>
    </row>
    <row r="340" spans="1:34">
      <c r="C340" s="631"/>
      <c r="D340" s="631"/>
      <c r="E340" s="631"/>
      <c r="F340" s="631"/>
      <c r="G340" s="631"/>
      <c r="H340" s="631"/>
      <c r="I340" s="631"/>
      <c r="J340" s="631"/>
      <c r="K340" s="631"/>
      <c r="L340" s="631"/>
      <c r="M340" s="631"/>
      <c r="N340" s="631"/>
      <c r="O340" s="631"/>
      <c r="P340" s="631"/>
      <c r="Q340" s="631"/>
      <c r="R340" s="631"/>
      <c r="V340" s="631"/>
      <c r="W340" s="631"/>
      <c r="X340" s="631"/>
      <c r="Y340" s="631"/>
      <c r="Z340" s="631"/>
      <c r="AA340" s="631"/>
      <c r="AB340" s="631"/>
      <c r="AC340" s="631"/>
      <c r="AD340" s="631"/>
      <c r="AE340" s="631"/>
      <c r="AF340" s="631"/>
      <c r="AG340" s="631"/>
      <c r="AH340" s="631"/>
    </row>
    <row r="341" spans="1:34">
      <c r="AD341" s="642"/>
    </row>
    <row r="343" spans="1:34">
      <c r="Q343" s="623"/>
    </row>
    <row r="344" spans="1:34">
      <c r="C344" s="637"/>
      <c r="Q344" s="623"/>
    </row>
    <row r="345" spans="1:34">
      <c r="C345" s="638"/>
      <c r="J345" s="628"/>
      <c r="K345" s="628"/>
      <c r="Q345" s="623"/>
    </row>
    <row r="346" spans="1:34">
      <c r="C346" s="623"/>
      <c r="Q346" s="623"/>
    </row>
    <row r="347" spans="1:34">
      <c r="Z347" s="623"/>
    </row>
    <row r="348" spans="1:34">
      <c r="Z348" s="623"/>
    </row>
    <row r="349" spans="1:34">
      <c r="Z349" s="623"/>
    </row>
    <row r="350" spans="1:34">
      <c r="A350" s="623"/>
      <c r="C350" s="623"/>
      <c r="H350" s="623"/>
      <c r="J350" s="623"/>
      <c r="L350" s="623"/>
      <c r="M350" s="623"/>
      <c r="N350" s="623"/>
      <c r="O350" s="623"/>
      <c r="P350" s="623"/>
    </row>
    <row r="351" spans="1:34">
      <c r="A351" s="623"/>
      <c r="C351" s="623"/>
      <c r="H351" s="623"/>
      <c r="J351" s="623"/>
      <c r="L351" s="623"/>
      <c r="M351" s="623"/>
      <c r="N351" s="623"/>
      <c r="O351" s="623"/>
      <c r="P351" s="623"/>
      <c r="Q351" s="623"/>
    </row>
    <row r="354" spans="1:53">
      <c r="A354" s="623"/>
    </row>
    <row r="355" spans="1:53">
      <c r="C355" s="631"/>
      <c r="D355" s="631"/>
      <c r="E355" s="631"/>
      <c r="F355" s="631"/>
      <c r="G355" s="631"/>
      <c r="H355" s="631"/>
      <c r="I355" s="631"/>
      <c r="J355" s="631"/>
      <c r="K355" s="631"/>
      <c r="L355" s="631"/>
      <c r="M355" s="631"/>
      <c r="N355" s="631"/>
      <c r="O355" s="631"/>
      <c r="P355" s="631"/>
      <c r="Q355" s="631"/>
      <c r="R355" s="631"/>
      <c r="V355" s="631"/>
      <c r="W355" s="631"/>
      <c r="X355" s="631"/>
      <c r="Y355" s="631"/>
      <c r="Z355" s="631"/>
      <c r="AA355" s="631"/>
      <c r="AB355" s="631"/>
      <c r="AC355" s="631"/>
      <c r="AD355" s="631"/>
      <c r="AE355" s="631"/>
      <c r="AF355" s="631"/>
      <c r="AG355" s="631"/>
      <c r="AH355" s="631"/>
      <c r="AI355" s="631"/>
      <c r="AJ355" s="631"/>
      <c r="AK355" s="631"/>
      <c r="AL355" s="631"/>
      <c r="AM355" s="631"/>
      <c r="AN355" s="631"/>
      <c r="AO355" s="631"/>
      <c r="AP355" s="631"/>
      <c r="AQ355" s="631"/>
      <c r="AR355" s="631"/>
      <c r="AS355" s="631"/>
      <c r="AT355" s="631"/>
      <c r="AU355" s="631"/>
      <c r="AV355" s="631"/>
      <c r="AW355" s="631"/>
      <c r="AX355" s="631"/>
      <c r="AY355" s="631"/>
      <c r="AZ355" s="631"/>
      <c r="BA355" s="631"/>
    </row>
    <row r="356" spans="1:53">
      <c r="C356" s="631"/>
      <c r="D356" s="631"/>
      <c r="E356" s="631"/>
      <c r="F356" s="631"/>
      <c r="G356" s="631"/>
      <c r="H356" s="631"/>
      <c r="I356" s="631"/>
      <c r="J356" s="631"/>
      <c r="K356" s="631"/>
      <c r="L356" s="631"/>
      <c r="M356" s="631"/>
      <c r="N356" s="631"/>
      <c r="O356" s="631"/>
      <c r="P356" s="631"/>
      <c r="Q356" s="631"/>
      <c r="R356" s="631"/>
      <c r="V356" s="631"/>
      <c r="W356" s="631"/>
      <c r="X356" s="631"/>
      <c r="Y356" s="631"/>
      <c r="Z356" s="631"/>
      <c r="AA356" s="631"/>
      <c r="AB356" s="631"/>
      <c r="AC356" s="631"/>
      <c r="AD356" s="631"/>
      <c r="AE356" s="631"/>
      <c r="AF356" s="631"/>
      <c r="AG356" s="631"/>
      <c r="AH356" s="631"/>
      <c r="AI356" s="631"/>
      <c r="AJ356" s="631"/>
      <c r="AK356" s="631"/>
      <c r="AL356" s="631"/>
      <c r="AM356" s="631"/>
      <c r="AN356" s="631"/>
      <c r="AO356" s="631"/>
      <c r="AP356" s="631"/>
      <c r="AQ356" s="631"/>
      <c r="AR356" s="631"/>
      <c r="AS356" s="631"/>
      <c r="AT356" s="631"/>
      <c r="AU356" s="631"/>
      <c r="AV356" s="631"/>
      <c r="AW356" s="631"/>
      <c r="AX356" s="631"/>
      <c r="AY356" s="631"/>
      <c r="AZ356" s="631"/>
      <c r="BA356" s="631"/>
    </row>
    <row r="357" spans="1:53">
      <c r="C357" s="631"/>
      <c r="D357" s="631"/>
      <c r="E357" s="631"/>
      <c r="F357" s="631"/>
      <c r="G357" s="631"/>
      <c r="H357" s="631"/>
      <c r="I357" s="631"/>
      <c r="J357" s="631"/>
      <c r="K357" s="631"/>
      <c r="L357" s="631"/>
      <c r="M357" s="631"/>
      <c r="N357" s="631"/>
      <c r="O357" s="631"/>
      <c r="P357" s="631"/>
      <c r="Q357" s="631"/>
      <c r="R357" s="631"/>
      <c r="V357" s="631"/>
      <c r="W357" s="631"/>
      <c r="X357" s="631"/>
      <c r="Y357" s="631"/>
      <c r="Z357" s="631"/>
      <c r="AA357" s="631"/>
      <c r="AB357" s="631"/>
      <c r="AC357" s="631"/>
      <c r="AD357" s="631"/>
      <c r="AE357" s="631"/>
      <c r="AF357" s="631"/>
      <c r="AG357" s="631"/>
      <c r="AH357" s="631"/>
      <c r="AI357" s="631"/>
      <c r="AJ357" s="631"/>
      <c r="AK357" s="631"/>
      <c r="AL357" s="631"/>
      <c r="AM357" s="631"/>
      <c r="AN357" s="631"/>
      <c r="AO357" s="631"/>
      <c r="AP357" s="631"/>
      <c r="AQ357" s="631"/>
      <c r="AR357" s="631"/>
      <c r="AS357" s="631"/>
      <c r="AT357" s="631"/>
      <c r="AU357" s="631"/>
      <c r="AV357" s="631"/>
      <c r="AW357" s="631"/>
      <c r="AX357" s="631"/>
      <c r="AY357" s="631"/>
      <c r="AZ357" s="631"/>
      <c r="BA357" s="631"/>
    </row>
    <row r="358" spans="1:53">
      <c r="AD358" s="642"/>
    </row>
    <row r="359" spans="1:53">
      <c r="A359" s="623"/>
      <c r="C359" s="623"/>
      <c r="H359" s="633"/>
      <c r="J359" s="635"/>
      <c r="L359" s="633"/>
      <c r="M359" s="633"/>
      <c r="N359" s="633"/>
      <c r="O359" s="633"/>
      <c r="P359" s="633"/>
      <c r="Q359" s="623"/>
    </row>
    <row r="360" spans="1:53">
      <c r="C360" s="631"/>
      <c r="D360" s="631"/>
      <c r="E360" s="631"/>
      <c r="F360" s="631"/>
      <c r="G360" s="631"/>
      <c r="H360" s="631"/>
      <c r="I360" s="631"/>
      <c r="J360" s="631"/>
      <c r="K360" s="631"/>
      <c r="L360" s="631"/>
      <c r="M360" s="631"/>
      <c r="N360" s="631"/>
      <c r="O360" s="631"/>
      <c r="P360" s="631"/>
      <c r="Q360" s="631"/>
      <c r="R360" s="631"/>
      <c r="V360" s="631"/>
      <c r="W360" s="631"/>
      <c r="X360" s="631"/>
      <c r="Y360" s="631"/>
      <c r="Z360" s="631"/>
      <c r="AA360" s="631"/>
      <c r="AB360" s="631"/>
      <c r="AC360" s="631"/>
      <c r="AD360" s="631"/>
      <c r="AE360" s="631"/>
      <c r="AF360" s="631"/>
      <c r="AG360" s="631"/>
      <c r="AH360" s="631"/>
      <c r="AI360" s="631"/>
    </row>
    <row r="361" spans="1:53">
      <c r="C361" s="631"/>
      <c r="D361" s="631"/>
      <c r="E361" s="631"/>
      <c r="F361" s="631"/>
      <c r="G361" s="631"/>
      <c r="H361" s="631"/>
      <c r="I361" s="631"/>
      <c r="J361" s="631"/>
      <c r="K361" s="631"/>
      <c r="L361" s="631"/>
      <c r="M361" s="631"/>
      <c r="N361" s="631"/>
      <c r="O361" s="631"/>
      <c r="P361" s="631"/>
      <c r="Q361" s="631"/>
      <c r="R361" s="631"/>
      <c r="V361" s="631"/>
      <c r="W361" s="631"/>
      <c r="X361" s="631"/>
      <c r="Y361" s="631"/>
      <c r="Z361" s="631"/>
      <c r="AA361" s="631"/>
      <c r="AB361" s="631"/>
      <c r="AC361" s="631"/>
      <c r="AD361" s="631"/>
      <c r="AE361" s="631"/>
      <c r="AF361" s="631"/>
      <c r="AG361" s="631"/>
      <c r="AH361" s="631"/>
      <c r="AI361" s="631"/>
    </row>
    <row r="362" spans="1:53">
      <c r="C362" s="631"/>
      <c r="D362" s="631"/>
      <c r="E362" s="631"/>
      <c r="F362" s="631"/>
      <c r="G362" s="631"/>
      <c r="H362" s="631"/>
      <c r="I362" s="631"/>
      <c r="J362" s="631"/>
      <c r="K362" s="631"/>
      <c r="L362" s="631"/>
      <c r="M362" s="631"/>
      <c r="N362" s="631"/>
      <c r="O362" s="631"/>
      <c r="P362" s="631"/>
      <c r="Q362" s="631"/>
      <c r="R362" s="631"/>
      <c r="V362" s="631"/>
      <c r="W362" s="631"/>
      <c r="X362" s="631"/>
      <c r="Y362" s="631"/>
      <c r="Z362" s="631"/>
      <c r="AA362" s="631"/>
      <c r="AB362" s="631"/>
      <c r="AC362" s="631"/>
      <c r="AD362" s="631"/>
      <c r="AE362" s="631"/>
      <c r="AF362" s="631"/>
      <c r="AG362" s="631"/>
      <c r="AH362" s="631"/>
      <c r="AI362" s="631"/>
    </row>
    <row r="363" spans="1:53">
      <c r="AD363" s="642"/>
    </row>
    <row r="364" spans="1:53">
      <c r="A364" s="623"/>
      <c r="C364" s="623"/>
      <c r="H364" s="633"/>
      <c r="J364" s="635"/>
      <c r="L364" s="633"/>
      <c r="M364" s="633"/>
      <c r="N364" s="633"/>
      <c r="O364" s="633"/>
      <c r="P364" s="633"/>
      <c r="Q364" s="623"/>
    </row>
    <row r="365" spans="1:53">
      <c r="C365" s="631"/>
      <c r="D365" s="631"/>
      <c r="E365" s="631"/>
      <c r="F365" s="631"/>
      <c r="G365" s="631"/>
      <c r="H365" s="631"/>
      <c r="I365" s="631"/>
      <c r="J365" s="631"/>
      <c r="K365" s="631"/>
      <c r="L365" s="631"/>
      <c r="M365" s="631"/>
      <c r="N365" s="631"/>
      <c r="O365" s="631"/>
      <c r="P365" s="631"/>
      <c r="Q365" s="631"/>
      <c r="R365" s="631"/>
      <c r="V365" s="631"/>
      <c r="W365" s="631"/>
      <c r="X365" s="631"/>
      <c r="Y365" s="631"/>
      <c r="Z365" s="631"/>
      <c r="AA365" s="631"/>
      <c r="AB365" s="631"/>
      <c r="AC365" s="631"/>
      <c r="AD365" s="631"/>
      <c r="AE365" s="631"/>
      <c r="AF365" s="631"/>
      <c r="AG365" s="631"/>
    </row>
    <row r="366" spans="1:53">
      <c r="C366" s="631"/>
      <c r="D366" s="631"/>
      <c r="E366" s="631"/>
      <c r="F366" s="631"/>
      <c r="G366" s="631"/>
      <c r="H366" s="631"/>
      <c r="I366" s="631"/>
      <c r="J366" s="631"/>
      <c r="K366" s="631"/>
      <c r="L366" s="631"/>
      <c r="M366" s="631"/>
      <c r="N366" s="631"/>
      <c r="O366" s="631"/>
      <c r="P366" s="631"/>
      <c r="Q366" s="631"/>
      <c r="R366" s="631"/>
      <c r="V366" s="631"/>
      <c r="W366" s="631"/>
      <c r="X366" s="631"/>
      <c r="Y366" s="631"/>
      <c r="Z366" s="631"/>
      <c r="AA366" s="631"/>
      <c r="AB366" s="631"/>
      <c r="AC366" s="631"/>
      <c r="AD366" s="631"/>
      <c r="AE366" s="631"/>
      <c r="AF366" s="631"/>
      <c r="AG366" s="631"/>
    </row>
    <row r="367" spans="1:53">
      <c r="C367" s="631"/>
      <c r="D367" s="631"/>
      <c r="E367" s="631"/>
      <c r="F367" s="631"/>
      <c r="G367" s="631"/>
      <c r="H367" s="631"/>
      <c r="I367" s="631"/>
      <c r="J367" s="631"/>
      <c r="K367" s="631"/>
      <c r="L367" s="631"/>
      <c r="M367" s="631"/>
      <c r="N367" s="631"/>
      <c r="O367" s="631"/>
      <c r="P367" s="631"/>
      <c r="Q367" s="631"/>
      <c r="R367" s="631"/>
      <c r="V367" s="631"/>
      <c r="W367" s="631"/>
      <c r="X367" s="631"/>
      <c r="Y367" s="631"/>
      <c r="Z367" s="631"/>
      <c r="AA367" s="631"/>
      <c r="AB367" s="631"/>
      <c r="AC367" s="631"/>
      <c r="AD367" s="631"/>
      <c r="AE367" s="631"/>
      <c r="AF367" s="631"/>
      <c r="AG367" s="631"/>
    </row>
    <row r="368" spans="1:53">
      <c r="AD368" s="642"/>
    </row>
    <row r="369" spans="1:35">
      <c r="A369" s="623"/>
      <c r="H369" s="633"/>
      <c r="J369" s="635"/>
      <c r="L369" s="633"/>
      <c r="M369" s="633"/>
      <c r="N369" s="633"/>
      <c r="O369" s="633"/>
      <c r="P369" s="633"/>
      <c r="Q369" s="623"/>
    </row>
    <row r="370" spans="1:35">
      <c r="C370" s="631"/>
      <c r="D370" s="631"/>
      <c r="E370" s="631"/>
      <c r="F370" s="631"/>
      <c r="G370" s="631"/>
      <c r="H370" s="631"/>
      <c r="I370" s="631"/>
      <c r="J370" s="631"/>
      <c r="K370" s="631"/>
      <c r="L370" s="631"/>
      <c r="M370" s="631"/>
      <c r="N370" s="631"/>
      <c r="O370" s="631"/>
      <c r="P370" s="631"/>
      <c r="Q370" s="631"/>
      <c r="R370" s="631"/>
      <c r="V370" s="631"/>
      <c r="W370" s="631"/>
      <c r="X370" s="631"/>
      <c r="Y370" s="631"/>
      <c r="Z370" s="631"/>
      <c r="AA370" s="631"/>
      <c r="AB370" s="631"/>
      <c r="AC370" s="631"/>
      <c r="AD370" s="631"/>
      <c r="AE370" s="631"/>
      <c r="AF370" s="631"/>
      <c r="AG370" s="631"/>
      <c r="AH370" s="631"/>
      <c r="AI370" s="631"/>
    </row>
    <row r="371" spans="1:35">
      <c r="C371" s="631"/>
      <c r="D371" s="631"/>
      <c r="E371" s="631"/>
      <c r="F371" s="631"/>
      <c r="G371" s="631"/>
      <c r="H371" s="631"/>
      <c r="I371" s="631"/>
      <c r="J371" s="631"/>
      <c r="K371" s="631"/>
      <c r="L371" s="631"/>
      <c r="M371" s="631"/>
      <c r="N371" s="631"/>
      <c r="O371" s="631"/>
      <c r="P371" s="631"/>
      <c r="Q371" s="631"/>
      <c r="R371" s="631"/>
      <c r="V371" s="631"/>
      <c r="W371" s="631"/>
      <c r="X371" s="631"/>
      <c r="Y371" s="631"/>
      <c r="Z371" s="631"/>
      <c r="AA371" s="631"/>
      <c r="AB371" s="631"/>
      <c r="AC371" s="631"/>
      <c r="AD371" s="631"/>
      <c r="AE371" s="631"/>
      <c r="AF371" s="631"/>
      <c r="AG371" s="631"/>
      <c r="AH371" s="631"/>
      <c r="AI371" s="631"/>
    </row>
    <row r="372" spans="1:35">
      <c r="C372" s="631"/>
      <c r="D372" s="631"/>
      <c r="E372" s="631"/>
      <c r="F372" s="631"/>
      <c r="G372" s="631"/>
      <c r="H372" s="631"/>
      <c r="I372" s="631"/>
      <c r="J372" s="631"/>
      <c r="K372" s="631"/>
      <c r="L372" s="631"/>
      <c r="M372" s="631"/>
      <c r="N372" s="631"/>
      <c r="O372" s="631"/>
      <c r="P372" s="631"/>
      <c r="Q372" s="631"/>
      <c r="R372" s="631"/>
      <c r="V372" s="631"/>
      <c r="W372" s="631"/>
      <c r="X372" s="631"/>
      <c r="Y372" s="631"/>
      <c r="Z372" s="631"/>
      <c r="AA372" s="631"/>
      <c r="AB372" s="631"/>
      <c r="AC372" s="631"/>
      <c r="AD372" s="631"/>
      <c r="AE372" s="631"/>
      <c r="AF372" s="631"/>
      <c r="AG372" s="631"/>
      <c r="AH372" s="631"/>
      <c r="AI372" s="631"/>
    </row>
    <row r="373" spans="1:35">
      <c r="AD373" s="642"/>
    </row>
    <row r="374" spans="1:35">
      <c r="A374" s="623"/>
      <c r="F374" s="623"/>
      <c r="H374" s="631"/>
      <c r="J374" s="635"/>
      <c r="L374" s="631"/>
      <c r="M374" s="631"/>
      <c r="N374" s="631"/>
      <c r="O374" s="631"/>
      <c r="P374" s="631"/>
      <c r="Q374" s="623"/>
    </row>
    <row r="375" spans="1:35">
      <c r="C375" s="631"/>
      <c r="D375" s="631"/>
      <c r="E375" s="631"/>
      <c r="F375" s="631"/>
      <c r="G375" s="631"/>
      <c r="H375" s="631"/>
      <c r="I375" s="631"/>
      <c r="J375" s="631"/>
      <c r="K375" s="631"/>
      <c r="L375" s="631"/>
      <c r="M375" s="631"/>
      <c r="N375" s="631"/>
      <c r="O375" s="631"/>
      <c r="P375" s="631"/>
      <c r="Q375" s="631"/>
      <c r="R375" s="631"/>
      <c r="V375" s="631"/>
      <c r="W375" s="631"/>
      <c r="X375" s="631"/>
      <c r="Y375" s="631"/>
      <c r="Z375" s="631"/>
      <c r="AA375" s="631"/>
      <c r="AB375" s="631"/>
      <c r="AC375" s="631"/>
      <c r="AD375" s="631"/>
      <c r="AE375" s="631"/>
      <c r="AF375" s="631"/>
      <c r="AG375" s="631"/>
      <c r="AH375" s="631"/>
    </row>
    <row r="376" spans="1:35">
      <c r="C376" s="631"/>
      <c r="D376" s="631"/>
      <c r="E376" s="631"/>
      <c r="F376" s="631"/>
      <c r="G376" s="631"/>
      <c r="H376" s="631"/>
      <c r="I376" s="631"/>
      <c r="J376" s="631"/>
      <c r="K376" s="631"/>
      <c r="L376" s="631"/>
      <c r="M376" s="631"/>
      <c r="N376" s="631"/>
      <c r="O376" s="631"/>
      <c r="P376" s="631"/>
      <c r="Q376" s="631"/>
      <c r="R376" s="631"/>
      <c r="V376" s="631"/>
      <c r="W376" s="631"/>
      <c r="X376" s="631"/>
      <c r="Y376" s="631"/>
      <c r="Z376" s="631"/>
      <c r="AA376" s="631"/>
      <c r="AB376" s="631"/>
      <c r="AC376" s="631"/>
      <c r="AD376" s="631"/>
      <c r="AE376" s="631"/>
      <c r="AF376" s="631"/>
      <c r="AG376" s="631"/>
      <c r="AH376" s="631"/>
    </row>
    <row r="377" spans="1:35">
      <c r="C377" s="631"/>
      <c r="D377" s="631"/>
      <c r="E377" s="631"/>
      <c r="F377" s="631"/>
      <c r="G377" s="631"/>
      <c r="H377" s="631"/>
      <c r="I377" s="631"/>
      <c r="J377" s="631"/>
      <c r="K377" s="631"/>
      <c r="L377" s="631"/>
      <c r="M377" s="631"/>
      <c r="N377" s="631"/>
      <c r="O377" s="631"/>
      <c r="P377" s="631"/>
      <c r="Q377" s="631"/>
      <c r="R377" s="631"/>
      <c r="V377" s="631"/>
      <c r="W377" s="631"/>
      <c r="X377" s="631"/>
      <c r="Y377" s="631"/>
      <c r="Z377" s="631"/>
      <c r="AA377" s="631"/>
      <c r="AB377" s="631"/>
      <c r="AC377" s="631"/>
      <c r="AD377" s="631"/>
      <c r="AE377" s="631"/>
      <c r="AF377" s="631"/>
      <c r="AG377" s="631"/>
      <c r="AH377" s="631"/>
    </row>
    <row r="378" spans="1:35">
      <c r="AD378" s="642"/>
    </row>
    <row r="379" spans="1:35">
      <c r="A379" s="623"/>
      <c r="G379" s="623"/>
    </row>
    <row r="380" spans="1:35">
      <c r="C380" s="631"/>
      <c r="D380" s="631"/>
      <c r="E380" s="631"/>
      <c r="F380" s="631"/>
      <c r="G380" s="631"/>
      <c r="H380" s="631"/>
      <c r="I380" s="631"/>
      <c r="J380" s="631"/>
      <c r="K380" s="631"/>
      <c r="L380" s="631"/>
      <c r="M380" s="631"/>
      <c r="N380" s="631"/>
      <c r="O380" s="631"/>
      <c r="P380" s="631"/>
      <c r="Q380" s="631"/>
      <c r="R380" s="631"/>
      <c r="V380" s="631"/>
      <c r="W380" s="631"/>
      <c r="X380" s="631"/>
      <c r="Y380" s="631"/>
      <c r="Z380" s="631"/>
      <c r="AA380" s="631"/>
      <c r="AB380" s="631"/>
      <c r="AC380" s="631"/>
      <c r="AD380" s="631"/>
      <c r="AE380" s="631"/>
      <c r="AF380" s="631"/>
      <c r="AG380" s="631"/>
      <c r="AH380" s="631"/>
    </row>
    <row r="381" spans="1:35">
      <c r="C381" s="631"/>
      <c r="D381" s="631"/>
      <c r="E381" s="631"/>
      <c r="F381" s="631"/>
      <c r="G381" s="631"/>
      <c r="H381" s="631"/>
      <c r="I381" s="631"/>
      <c r="J381" s="631"/>
      <c r="K381" s="631"/>
      <c r="L381" s="631"/>
      <c r="M381" s="631"/>
      <c r="N381" s="631"/>
      <c r="O381" s="631"/>
      <c r="P381" s="631"/>
      <c r="Q381" s="631"/>
      <c r="R381" s="631"/>
      <c r="V381" s="631"/>
      <c r="W381" s="631"/>
      <c r="X381" s="631"/>
      <c r="Y381" s="631"/>
      <c r="Z381" s="631"/>
      <c r="AA381" s="631"/>
      <c r="AB381" s="631"/>
      <c r="AC381" s="631"/>
      <c r="AD381" s="631"/>
      <c r="AE381" s="631"/>
      <c r="AF381" s="631"/>
      <c r="AG381" s="631"/>
      <c r="AH381" s="631"/>
    </row>
    <row r="382" spans="1:35">
      <c r="C382" s="631"/>
      <c r="D382" s="631"/>
      <c r="E382" s="631"/>
      <c r="F382" s="631"/>
      <c r="G382" s="631"/>
      <c r="H382" s="631"/>
      <c r="I382" s="631"/>
      <c r="J382" s="631"/>
      <c r="K382" s="631"/>
      <c r="L382" s="631"/>
      <c r="M382" s="631"/>
      <c r="N382" s="631"/>
      <c r="O382" s="631"/>
      <c r="P382" s="631"/>
      <c r="Q382" s="631"/>
      <c r="R382" s="631"/>
      <c r="V382" s="631"/>
      <c r="W382" s="631"/>
      <c r="X382" s="631"/>
      <c r="Y382" s="631"/>
      <c r="Z382" s="631"/>
      <c r="AA382" s="631"/>
      <c r="AB382" s="631"/>
      <c r="AC382" s="631"/>
      <c r="AD382" s="631"/>
      <c r="AE382" s="631"/>
      <c r="AF382" s="631"/>
      <c r="AG382" s="631"/>
      <c r="AH382" s="631"/>
    </row>
    <row r="383" spans="1:35">
      <c r="AD383" s="642"/>
    </row>
    <row r="384" spans="1:35">
      <c r="A384" s="623"/>
      <c r="C384" s="623"/>
      <c r="H384" s="633"/>
      <c r="J384" s="635"/>
      <c r="L384" s="633"/>
      <c r="M384" s="633"/>
      <c r="N384" s="633"/>
      <c r="O384" s="633"/>
      <c r="P384" s="633"/>
      <c r="Q384" s="623"/>
      <c r="AD384" s="631"/>
    </row>
    <row r="385" spans="1:32">
      <c r="A385" s="623"/>
      <c r="C385" s="623"/>
      <c r="H385" s="633"/>
      <c r="J385" s="635"/>
      <c r="L385" s="633"/>
      <c r="M385" s="633"/>
      <c r="N385" s="633"/>
      <c r="O385" s="633"/>
      <c r="P385" s="633"/>
      <c r="Q385" s="623"/>
      <c r="AD385" s="631"/>
      <c r="AE385" s="631"/>
      <c r="AF385" s="631"/>
    </row>
    <row r="386" spans="1:32">
      <c r="A386" s="623"/>
      <c r="C386" s="623"/>
      <c r="H386" s="633"/>
      <c r="J386" s="635"/>
      <c r="L386" s="633"/>
      <c r="M386" s="633"/>
      <c r="N386" s="633"/>
      <c r="O386" s="633"/>
      <c r="P386" s="633"/>
      <c r="Q386" s="623"/>
      <c r="AD386" s="631"/>
      <c r="AE386" s="631"/>
      <c r="AF386" s="631"/>
    </row>
    <row r="387" spans="1:32">
      <c r="H387" s="631"/>
      <c r="J387" s="635"/>
      <c r="L387" s="631"/>
      <c r="M387" s="631"/>
      <c r="N387" s="631"/>
      <c r="O387" s="631"/>
      <c r="P387" s="631"/>
      <c r="Q387" s="623"/>
    </row>
    <row r="388" spans="1:32">
      <c r="A388" s="623"/>
      <c r="C388" s="623"/>
      <c r="J388" s="636"/>
    </row>
    <row r="389" spans="1:32">
      <c r="F389" s="623"/>
      <c r="H389" s="631"/>
      <c r="J389" s="635"/>
      <c r="L389" s="631"/>
      <c r="M389" s="631"/>
      <c r="N389" s="631"/>
      <c r="O389" s="631"/>
      <c r="P389" s="631"/>
      <c r="Q389" s="623"/>
    </row>
    <row r="390" spans="1:32">
      <c r="C390" s="623"/>
    </row>
    <row r="391" spans="1:32">
      <c r="F391" s="623"/>
      <c r="H391" s="631"/>
      <c r="J391" s="635"/>
      <c r="L391" s="631"/>
      <c r="M391" s="631"/>
      <c r="N391" s="631"/>
      <c r="O391" s="631"/>
      <c r="P391" s="631"/>
      <c r="Q391" s="623"/>
    </row>
    <row r="392" spans="1:32">
      <c r="C392" s="637"/>
      <c r="G392" s="623"/>
    </row>
    <row r="393" spans="1:32">
      <c r="C393" s="638"/>
      <c r="G393" s="623"/>
    </row>
    <row r="394" spans="1:32">
      <c r="C394" s="623"/>
      <c r="G394" s="623"/>
    </row>
    <row r="395" spans="1:32">
      <c r="G395" s="623"/>
    </row>
    <row r="399" spans="1:32">
      <c r="A399" s="623"/>
      <c r="C399" s="623"/>
      <c r="H399" s="623"/>
    </row>
    <row r="400" spans="1:32">
      <c r="A400" s="623"/>
      <c r="C400" s="623"/>
      <c r="F400" s="623"/>
      <c r="H400" s="623"/>
      <c r="J400" s="623"/>
      <c r="L400" s="623"/>
      <c r="M400" s="623"/>
      <c r="N400" s="623"/>
      <c r="O400" s="623"/>
      <c r="P400" s="623"/>
    </row>
    <row r="401" spans="1:17">
      <c r="F401" s="623"/>
      <c r="H401" s="623"/>
      <c r="J401" s="623"/>
      <c r="L401" s="623"/>
      <c r="M401" s="623"/>
      <c r="N401" s="623"/>
      <c r="O401" s="623"/>
      <c r="P401" s="623"/>
      <c r="Q401" s="623"/>
    </row>
    <row r="402" spans="1:17">
      <c r="H402" s="623"/>
      <c r="J402" s="623"/>
      <c r="L402" s="623"/>
      <c r="M402" s="623"/>
      <c r="N402" s="623"/>
      <c r="O402" s="623"/>
      <c r="P402" s="623"/>
      <c r="Q402" s="623"/>
    </row>
    <row r="403" spans="1:17">
      <c r="A403" s="623"/>
      <c r="C403" s="623"/>
      <c r="H403" s="623"/>
      <c r="J403" s="623"/>
      <c r="L403" s="623"/>
      <c r="M403" s="623"/>
      <c r="N403" s="623"/>
      <c r="O403" s="623"/>
      <c r="P403" s="623"/>
    </row>
    <row r="404" spans="1:17">
      <c r="A404" s="623"/>
      <c r="C404" s="623"/>
      <c r="F404" s="623"/>
    </row>
    <row r="405" spans="1:17">
      <c r="A405" s="623"/>
      <c r="C405" s="623"/>
      <c r="F405" s="623"/>
    </row>
    <row r="406" spans="1:17">
      <c r="A406" s="623"/>
      <c r="C406" s="623"/>
      <c r="F406" s="623"/>
      <c r="H406" s="633"/>
      <c r="J406" s="634"/>
      <c r="L406" s="633"/>
      <c r="M406" s="633"/>
      <c r="N406" s="633"/>
      <c r="O406" s="633"/>
      <c r="P406" s="633"/>
      <c r="Q406" s="623"/>
    </row>
    <row r="407" spans="1:17">
      <c r="A407" s="623"/>
      <c r="C407" s="623"/>
      <c r="F407" s="623"/>
      <c r="H407" s="633"/>
      <c r="J407" s="634"/>
      <c r="L407" s="633"/>
      <c r="M407" s="633"/>
      <c r="N407" s="633"/>
      <c r="O407" s="633"/>
      <c r="P407" s="633"/>
      <c r="Q407" s="623"/>
    </row>
    <row r="408" spans="1:17">
      <c r="A408" s="623"/>
      <c r="C408" s="623"/>
      <c r="F408" s="623"/>
      <c r="H408" s="633"/>
      <c r="J408" s="634"/>
      <c r="L408" s="633"/>
      <c r="M408" s="633"/>
      <c r="N408" s="633"/>
      <c r="O408" s="633"/>
      <c r="P408" s="633"/>
      <c r="Q408" s="623"/>
    </row>
    <row r="409" spans="1:17">
      <c r="A409" s="623"/>
      <c r="C409" s="623"/>
      <c r="F409" s="623"/>
      <c r="H409" s="633"/>
      <c r="J409" s="634"/>
      <c r="L409" s="633"/>
      <c r="M409" s="633"/>
      <c r="N409" s="633"/>
      <c r="O409" s="633"/>
      <c r="P409" s="633"/>
      <c r="Q409" s="623"/>
    </row>
    <row r="410" spans="1:17">
      <c r="A410" s="623"/>
      <c r="C410" s="623"/>
      <c r="F410" s="623"/>
      <c r="H410" s="633"/>
      <c r="J410" s="634"/>
      <c r="L410" s="633"/>
      <c r="M410" s="633"/>
      <c r="N410" s="633"/>
      <c r="O410" s="633"/>
      <c r="P410" s="633"/>
      <c r="Q410" s="623"/>
    </row>
    <row r="411" spans="1:17">
      <c r="A411" s="623"/>
      <c r="F411" s="623"/>
      <c r="H411" s="633"/>
      <c r="J411" s="634"/>
      <c r="L411" s="633"/>
      <c r="M411" s="633"/>
      <c r="N411" s="633"/>
      <c r="O411" s="633"/>
      <c r="P411" s="633"/>
      <c r="Q411" s="623"/>
    </row>
    <row r="412" spans="1:17">
      <c r="F412" s="623"/>
      <c r="H412" s="631"/>
      <c r="J412" s="634"/>
      <c r="L412" s="631"/>
      <c r="M412" s="631"/>
      <c r="N412" s="631"/>
      <c r="O412" s="631"/>
      <c r="P412" s="631"/>
      <c r="Q412" s="623"/>
    </row>
    <row r="413" spans="1:17">
      <c r="A413" s="623"/>
      <c r="H413" s="633"/>
      <c r="J413" s="643"/>
      <c r="L413" s="633"/>
      <c r="M413" s="633"/>
      <c r="N413" s="633"/>
      <c r="O413" s="633"/>
      <c r="P413" s="633"/>
      <c r="Q413" s="623"/>
    </row>
    <row r="414" spans="1:17">
      <c r="A414" s="623"/>
      <c r="C414" s="623"/>
      <c r="F414" s="623"/>
      <c r="H414" s="633"/>
      <c r="J414" s="643"/>
      <c r="L414" s="633"/>
      <c r="M414" s="633"/>
      <c r="N414" s="633"/>
      <c r="O414" s="633"/>
      <c r="P414" s="633"/>
      <c r="Q414" s="623"/>
    </row>
    <row r="415" spans="1:17">
      <c r="A415" s="623"/>
      <c r="C415" s="623"/>
      <c r="F415" s="623"/>
      <c r="H415" s="633"/>
      <c r="J415" s="634"/>
      <c r="L415" s="633"/>
      <c r="M415" s="633"/>
      <c r="N415" s="633"/>
      <c r="O415" s="633"/>
      <c r="P415" s="633"/>
      <c r="Q415" s="623"/>
    </row>
    <row r="416" spans="1:17">
      <c r="A416" s="623"/>
      <c r="C416" s="623"/>
      <c r="F416" s="623"/>
      <c r="H416" s="633"/>
      <c r="J416" s="634"/>
      <c r="L416" s="633"/>
      <c r="M416" s="633"/>
      <c r="N416" s="633"/>
      <c r="O416" s="633"/>
      <c r="P416" s="633"/>
      <c r="Q416" s="623"/>
    </row>
    <row r="417" spans="1:17">
      <c r="A417" s="623"/>
      <c r="C417" s="623"/>
      <c r="F417" s="623"/>
      <c r="H417" s="633"/>
      <c r="J417" s="634"/>
      <c r="L417" s="633"/>
      <c r="M417" s="633"/>
      <c r="N417" s="633"/>
      <c r="O417" s="633"/>
      <c r="P417" s="633"/>
      <c r="Q417" s="623"/>
    </row>
    <row r="418" spans="1:17">
      <c r="A418" s="623"/>
      <c r="C418" s="623"/>
      <c r="F418" s="623"/>
      <c r="H418" s="633"/>
      <c r="J418" s="634"/>
      <c r="L418" s="633"/>
      <c r="M418" s="633"/>
      <c r="N418" s="633"/>
      <c r="O418" s="633"/>
      <c r="P418" s="633"/>
      <c r="Q418" s="623"/>
    </row>
    <row r="419" spans="1:17">
      <c r="A419" s="623"/>
      <c r="F419" s="623"/>
      <c r="H419" s="633"/>
      <c r="J419" s="634"/>
      <c r="L419" s="633"/>
      <c r="M419" s="633"/>
      <c r="N419" s="633"/>
      <c r="O419" s="633"/>
      <c r="P419" s="633"/>
      <c r="Q419" s="623"/>
    </row>
    <row r="420" spans="1:17">
      <c r="F420" s="623"/>
      <c r="H420" s="631"/>
      <c r="J420" s="634"/>
      <c r="L420" s="631"/>
      <c r="M420" s="631"/>
      <c r="N420" s="631"/>
      <c r="O420" s="631"/>
      <c r="P420" s="631"/>
      <c r="Q420" s="623"/>
    </row>
    <row r="421" spans="1:17">
      <c r="A421" s="623"/>
      <c r="C421" s="623"/>
      <c r="H421" s="633"/>
      <c r="J421" s="643"/>
      <c r="L421" s="633"/>
      <c r="M421" s="633"/>
      <c r="N421" s="633"/>
      <c r="O421" s="633"/>
      <c r="P421" s="633"/>
      <c r="Q421" s="623"/>
    </row>
    <row r="422" spans="1:17">
      <c r="F422" s="623"/>
      <c r="H422" s="631"/>
      <c r="J422" s="634"/>
      <c r="L422" s="631"/>
      <c r="M422" s="631"/>
      <c r="N422" s="631"/>
      <c r="O422" s="631"/>
      <c r="P422" s="631"/>
      <c r="Q422" s="623"/>
    </row>
    <row r="423" spans="1:17">
      <c r="A423" s="623"/>
      <c r="H423" s="633"/>
      <c r="J423" s="643"/>
      <c r="L423" s="633"/>
      <c r="M423" s="633"/>
      <c r="N423" s="633"/>
      <c r="O423" s="633"/>
      <c r="P423" s="633"/>
    </row>
    <row r="424" spans="1:17">
      <c r="F424" s="623"/>
      <c r="H424" s="633"/>
      <c r="J424" s="643"/>
      <c r="L424" s="633"/>
      <c r="M424" s="633"/>
      <c r="N424" s="633"/>
      <c r="O424" s="633"/>
      <c r="P424" s="633"/>
    </row>
    <row r="425" spans="1:17">
      <c r="A425" s="623"/>
      <c r="H425" s="633"/>
      <c r="J425" s="643"/>
      <c r="L425" s="633"/>
      <c r="M425" s="633"/>
      <c r="N425" s="633"/>
      <c r="O425" s="633"/>
      <c r="P425" s="633"/>
      <c r="Q425" s="631"/>
    </row>
    <row r="426" spans="1:17">
      <c r="A426" s="623"/>
    </row>
    <row r="427" spans="1:17">
      <c r="A427" s="623"/>
      <c r="F427" s="623"/>
      <c r="H427" s="631"/>
      <c r="J427" s="634"/>
      <c r="L427" s="631"/>
      <c r="M427" s="631"/>
      <c r="N427" s="631"/>
      <c r="O427" s="631"/>
      <c r="P427" s="631"/>
      <c r="Q427" s="623"/>
    </row>
    <row r="428" spans="1:17">
      <c r="A428" s="623"/>
      <c r="F428" s="623"/>
      <c r="H428" s="631"/>
      <c r="J428" s="634"/>
      <c r="L428" s="631"/>
      <c r="M428" s="631"/>
      <c r="N428" s="631"/>
      <c r="O428" s="631"/>
      <c r="P428" s="631"/>
      <c r="Q428" s="623"/>
    </row>
    <row r="429" spans="1:17">
      <c r="A429" s="623"/>
      <c r="F429" s="623"/>
      <c r="H429" s="631"/>
      <c r="J429" s="634"/>
      <c r="L429" s="631"/>
      <c r="M429" s="631"/>
      <c r="N429" s="631"/>
      <c r="O429" s="631"/>
      <c r="P429" s="631"/>
      <c r="Q429" s="623"/>
    </row>
    <row r="430" spans="1:17">
      <c r="A430" s="623"/>
      <c r="F430" s="623"/>
      <c r="H430" s="631"/>
      <c r="J430" s="634"/>
      <c r="L430" s="631"/>
      <c r="M430" s="631"/>
      <c r="N430" s="631"/>
      <c r="O430" s="631"/>
      <c r="P430" s="631"/>
      <c r="Q430" s="623"/>
    </row>
    <row r="431" spans="1:17">
      <c r="A431" s="623"/>
      <c r="F431" s="623"/>
      <c r="H431" s="631"/>
      <c r="J431" s="634"/>
      <c r="L431" s="631"/>
      <c r="M431" s="631"/>
      <c r="N431" s="631"/>
      <c r="O431" s="631"/>
      <c r="P431" s="631"/>
      <c r="Q431" s="623"/>
    </row>
    <row r="432" spans="1:17">
      <c r="H432" s="631"/>
      <c r="L432" s="631"/>
      <c r="M432" s="631"/>
      <c r="N432" s="631"/>
      <c r="O432" s="631"/>
      <c r="P432" s="631"/>
    </row>
    <row r="433" spans="1:17">
      <c r="C433" s="637"/>
      <c r="G433" s="623"/>
    </row>
    <row r="434" spans="1:17">
      <c r="C434" s="638"/>
      <c r="G434" s="623"/>
    </row>
    <row r="435" spans="1:17">
      <c r="C435" s="623"/>
      <c r="G435" s="623"/>
    </row>
    <row r="436" spans="1:17">
      <c r="G436" s="623"/>
    </row>
    <row r="440" spans="1:17">
      <c r="A440" s="623"/>
      <c r="C440" s="623"/>
      <c r="H440" s="623"/>
    </row>
    <row r="441" spans="1:17">
      <c r="A441" s="623"/>
      <c r="C441" s="623"/>
      <c r="F441" s="623"/>
      <c r="H441" s="623"/>
      <c r="J441" s="623"/>
      <c r="L441" s="623"/>
      <c r="M441" s="623"/>
      <c r="N441" s="623"/>
      <c r="O441" s="623"/>
      <c r="P441" s="623"/>
    </row>
    <row r="442" spans="1:17">
      <c r="F442" s="623"/>
      <c r="H442" s="623"/>
      <c r="J442" s="623"/>
      <c r="L442" s="623"/>
      <c r="M442" s="623"/>
      <c r="N442" s="623"/>
      <c r="O442" s="623"/>
      <c r="P442" s="623"/>
      <c r="Q442" s="623"/>
    </row>
    <row r="443" spans="1:17">
      <c r="A443" s="623"/>
      <c r="C443" s="623"/>
      <c r="H443" s="623"/>
      <c r="J443" s="623"/>
      <c r="L443" s="623"/>
      <c r="M443" s="623"/>
      <c r="N443" s="623"/>
      <c r="O443" s="623"/>
      <c r="P443" s="623"/>
      <c r="Q443" s="623"/>
    </row>
    <row r="444" spans="1:17">
      <c r="A444" s="623"/>
      <c r="F444" s="623"/>
      <c r="H444" s="623"/>
      <c r="J444" s="623"/>
      <c r="L444" s="623"/>
      <c r="M444" s="623"/>
      <c r="N444" s="623"/>
      <c r="O444" s="623"/>
      <c r="P444" s="623"/>
    </row>
    <row r="445" spans="1:17">
      <c r="A445" s="623"/>
      <c r="F445" s="623"/>
      <c r="H445" s="633"/>
      <c r="J445" s="643"/>
      <c r="L445" s="633"/>
      <c r="M445" s="633"/>
      <c r="N445" s="633"/>
      <c r="O445" s="633"/>
      <c r="P445" s="633"/>
      <c r="Q445" s="623"/>
    </row>
    <row r="446" spans="1:17">
      <c r="A446" s="623"/>
      <c r="C446" s="623"/>
      <c r="F446" s="623"/>
      <c r="H446" s="633"/>
      <c r="J446" s="643"/>
      <c r="L446" s="633"/>
      <c r="M446" s="633"/>
      <c r="N446" s="633"/>
      <c r="O446" s="633"/>
      <c r="P446" s="633"/>
    </row>
    <row r="447" spans="1:17">
      <c r="A447" s="623"/>
      <c r="C447" s="623"/>
      <c r="F447" s="623"/>
      <c r="H447" s="633"/>
      <c r="J447" s="634"/>
      <c r="L447" s="633"/>
      <c r="M447" s="633"/>
      <c r="N447" s="633"/>
      <c r="O447" s="633"/>
      <c r="P447" s="633"/>
      <c r="Q447" s="623"/>
    </row>
    <row r="448" spans="1:17">
      <c r="A448" s="623"/>
      <c r="C448" s="623"/>
      <c r="F448" s="623"/>
      <c r="H448" s="633"/>
      <c r="J448" s="634"/>
      <c r="L448" s="633"/>
      <c r="M448" s="633"/>
      <c r="N448" s="633"/>
      <c r="O448" s="633"/>
      <c r="P448" s="633"/>
      <c r="Q448" s="623"/>
    </row>
    <row r="449" spans="1:17">
      <c r="A449" s="623"/>
      <c r="C449" s="623"/>
      <c r="F449" s="623"/>
      <c r="H449" s="633"/>
      <c r="J449" s="634"/>
      <c r="L449" s="633"/>
      <c r="M449" s="633"/>
      <c r="N449" s="633"/>
      <c r="O449" s="633"/>
      <c r="P449" s="633"/>
      <c r="Q449" s="623"/>
    </row>
    <row r="450" spans="1:17">
      <c r="A450" s="623"/>
      <c r="C450" s="623"/>
      <c r="F450" s="623"/>
      <c r="H450" s="633"/>
      <c r="J450" s="634"/>
      <c r="L450" s="633"/>
      <c r="M450" s="633"/>
      <c r="N450" s="633"/>
      <c r="O450" s="633"/>
      <c r="P450" s="633"/>
      <c r="Q450" s="623"/>
    </row>
    <row r="451" spans="1:17">
      <c r="A451" s="623"/>
      <c r="C451" s="623"/>
      <c r="F451" s="623"/>
      <c r="H451" s="633"/>
      <c r="J451" s="634"/>
      <c r="L451" s="633"/>
      <c r="M451" s="633"/>
      <c r="N451" s="633"/>
      <c r="O451" s="633"/>
      <c r="P451" s="633"/>
      <c r="Q451" s="623"/>
    </row>
    <row r="452" spans="1:17">
      <c r="A452" s="623"/>
      <c r="C452" s="623"/>
      <c r="F452" s="623"/>
      <c r="H452" s="633"/>
      <c r="J452" s="634"/>
      <c r="L452" s="633"/>
      <c r="M452" s="633"/>
      <c r="N452" s="633"/>
      <c r="O452" s="633"/>
      <c r="P452" s="633"/>
      <c r="Q452" s="623"/>
    </row>
    <row r="453" spans="1:17">
      <c r="A453" s="623"/>
      <c r="F453" s="623"/>
      <c r="H453" s="633"/>
      <c r="J453" s="634"/>
      <c r="L453" s="633"/>
      <c r="M453" s="633"/>
      <c r="N453" s="633"/>
      <c r="O453" s="633"/>
      <c r="P453" s="633"/>
      <c r="Q453" s="623"/>
    </row>
    <row r="454" spans="1:17">
      <c r="F454" s="623"/>
      <c r="H454" s="631"/>
      <c r="J454" s="634"/>
      <c r="L454" s="631"/>
      <c r="M454" s="631"/>
      <c r="N454" s="631"/>
      <c r="O454" s="631"/>
      <c r="P454" s="631"/>
      <c r="Q454" s="623"/>
    </row>
    <row r="455" spans="1:17">
      <c r="A455" s="623"/>
    </row>
    <row r="456" spans="1:17">
      <c r="A456" s="623"/>
      <c r="C456" s="623"/>
      <c r="F456" s="623"/>
    </row>
    <row r="457" spans="1:17">
      <c r="A457" s="623"/>
      <c r="C457" s="623"/>
      <c r="F457" s="623"/>
      <c r="H457" s="633"/>
      <c r="J457" s="635"/>
      <c r="L457" s="633"/>
      <c r="M457" s="633"/>
      <c r="N457" s="633"/>
      <c r="O457" s="633"/>
      <c r="P457" s="633"/>
      <c r="Q457" s="623"/>
    </row>
    <row r="458" spans="1:17">
      <c r="A458" s="623"/>
      <c r="C458" s="623"/>
      <c r="F458" s="623"/>
      <c r="H458" s="633"/>
      <c r="J458" s="635"/>
      <c r="L458" s="633"/>
      <c r="M458" s="633"/>
      <c r="N458" s="633"/>
      <c r="O458" s="633"/>
      <c r="P458" s="633"/>
      <c r="Q458" s="623"/>
    </row>
    <row r="459" spans="1:17">
      <c r="A459" s="623"/>
      <c r="C459" s="623"/>
      <c r="F459" s="623"/>
      <c r="H459" s="633"/>
      <c r="J459" s="635"/>
      <c r="L459" s="633"/>
      <c r="M459" s="633"/>
      <c r="N459" s="633"/>
      <c r="O459" s="633"/>
      <c r="P459" s="633"/>
      <c r="Q459" s="623"/>
    </row>
    <row r="460" spans="1:17">
      <c r="A460" s="623"/>
      <c r="C460" s="623"/>
      <c r="F460" s="623"/>
      <c r="H460" s="633"/>
      <c r="J460" s="635"/>
      <c r="K460" s="623"/>
      <c r="L460" s="633"/>
      <c r="M460" s="633"/>
      <c r="N460" s="633"/>
      <c r="O460" s="633"/>
      <c r="P460" s="633"/>
      <c r="Q460" s="623"/>
    </row>
    <row r="461" spans="1:17">
      <c r="A461" s="623"/>
      <c r="C461" s="623"/>
      <c r="F461" s="623"/>
      <c r="H461" s="633"/>
      <c r="J461" s="635"/>
      <c r="L461" s="633"/>
      <c r="M461" s="633"/>
      <c r="N461" s="633"/>
      <c r="O461" s="633"/>
      <c r="P461" s="633"/>
      <c r="Q461" s="623"/>
    </row>
    <row r="462" spans="1:17">
      <c r="A462" s="623"/>
      <c r="F462" s="623"/>
      <c r="H462" s="633"/>
      <c r="J462" s="635"/>
      <c r="L462" s="633"/>
      <c r="M462" s="633"/>
      <c r="N462" s="633"/>
      <c r="O462" s="633"/>
      <c r="P462" s="633"/>
      <c r="Q462" s="623"/>
    </row>
    <row r="463" spans="1:17">
      <c r="F463" s="623"/>
      <c r="H463" s="631"/>
      <c r="J463" s="635"/>
      <c r="L463" s="631"/>
      <c r="M463" s="631"/>
      <c r="N463" s="631"/>
      <c r="O463" s="631"/>
      <c r="P463" s="631"/>
      <c r="Q463" s="623"/>
    </row>
    <row r="464" spans="1:17">
      <c r="A464" s="623"/>
      <c r="C464" s="623"/>
      <c r="J464" s="636"/>
      <c r="Q464" s="623"/>
    </row>
    <row r="465" spans="1:17">
      <c r="A465" s="623"/>
      <c r="C465" s="623"/>
      <c r="F465" s="623"/>
      <c r="H465" s="633"/>
      <c r="J465" s="636"/>
      <c r="L465" s="633"/>
      <c r="M465" s="633"/>
      <c r="N465" s="633"/>
      <c r="O465" s="633"/>
      <c r="P465" s="633"/>
      <c r="Q465" s="623"/>
    </row>
    <row r="466" spans="1:17">
      <c r="A466" s="623"/>
      <c r="C466" s="623"/>
      <c r="F466" s="623"/>
      <c r="H466" s="633"/>
      <c r="J466" s="635"/>
      <c r="L466" s="633"/>
      <c r="M466" s="633"/>
      <c r="N466" s="633"/>
      <c r="O466" s="633"/>
      <c r="P466" s="633"/>
      <c r="Q466" s="623"/>
    </row>
    <row r="467" spans="1:17">
      <c r="A467" s="623"/>
      <c r="C467" s="623"/>
      <c r="F467" s="623"/>
      <c r="H467" s="633"/>
      <c r="J467" s="635"/>
      <c r="L467" s="633"/>
      <c r="M467" s="633"/>
      <c r="N467" s="633"/>
      <c r="O467" s="633"/>
      <c r="P467" s="633"/>
      <c r="Q467" s="623"/>
    </row>
    <row r="468" spans="1:17">
      <c r="A468" s="623"/>
      <c r="C468" s="623"/>
      <c r="F468" s="623"/>
      <c r="H468" s="633"/>
      <c r="J468" s="635"/>
      <c r="L468" s="633"/>
      <c r="M468" s="633"/>
      <c r="N468" s="633"/>
      <c r="O468" s="633"/>
      <c r="P468" s="633"/>
      <c r="Q468" s="623"/>
    </row>
    <row r="469" spans="1:17">
      <c r="A469" s="623"/>
      <c r="C469" s="623"/>
      <c r="F469" s="623"/>
      <c r="H469" s="633"/>
      <c r="I469" s="623"/>
      <c r="J469" s="635"/>
      <c r="L469" s="633"/>
      <c r="M469" s="633"/>
      <c r="N469" s="633"/>
      <c r="O469" s="633"/>
      <c r="P469" s="633"/>
      <c r="Q469" s="623"/>
    </row>
    <row r="470" spans="1:17">
      <c r="A470" s="623"/>
      <c r="C470" s="623"/>
      <c r="F470" s="623"/>
      <c r="H470" s="633"/>
      <c r="J470" s="635"/>
      <c r="L470" s="633"/>
      <c r="M470" s="633"/>
      <c r="N470" s="633"/>
      <c r="O470" s="633"/>
      <c r="P470" s="633"/>
      <c r="Q470" s="623"/>
    </row>
    <row r="471" spans="1:17">
      <c r="A471" s="623"/>
      <c r="C471" s="623"/>
      <c r="F471" s="623"/>
      <c r="H471" s="633"/>
      <c r="J471" s="635"/>
      <c r="L471" s="633"/>
      <c r="M471" s="633"/>
      <c r="N471" s="633"/>
      <c r="O471" s="633"/>
      <c r="P471" s="633"/>
      <c r="Q471" s="623"/>
    </row>
    <row r="472" spans="1:17">
      <c r="C472" s="623"/>
      <c r="F472" s="623"/>
      <c r="H472" s="633"/>
      <c r="J472" s="635"/>
      <c r="L472" s="633"/>
      <c r="M472" s="633"/>
      <c r="N472" s="633"/>
      <c r="O472" s="633"/>
      <c r="P472" s="633"/>
      <c r="Q472" s="623"/>
    </row>
    <row r="473" spans="1:17">
      <c r="C473" s="623"/>
      <c r="F473" s="623"/>
      <c r="H473" s="633"/>
      <c r="J473" s="635"/>
      <c r="L473" s="633"/>
      <c r="M473" s="633"/>
      <c r="N473" s="633"/>
      <c r="O473" s="633"/>
      <c r="P473" s="633"/>
      <c r="Q473" s="623"/>
    </row>
    <row r="474" spans="1:17">
      <c r="F474" s="623"/>
      <c r="H474" s="633"/>
      <c r="J474" s="635"/>
      <c r="L474" s="633"/>
      <c r="M474" s="633"/>
      <c r="N474" s="633"/>
      <c r="O474" s="633"/>
      <c r="P474" s="633"/>
      <c r="Q474" s="623"/>
    </row>
    <row r="475" spans="1:17">
      <c r="F475" s="623"/>
      <c r="H475" s="631"/>
      <c r="J475" s="635"/>
      <c r="L475" s="631"/>
      <c r="M475" s="631"/>
      <c r="N475" s="631"/>
      <c r="O475" s="631"/>
      <c r="P475" s="631"/>
      <c r="Q475" s="623"/>
    </row>
    <row r="476" spans="1:17">
      <c r="C476" s="637"/>
      <c r="G476" s="623"/>
    </row>
    <row r="477" spans="1:17">
      <c r="C477" s="623"/>
      <c r="G477" s="623"/>
    </row>
    <row r="478" spans="1:17">
      <c r="G478" s="623"/>
    </row>
    <row r="482" spans="1:17">
      <c r="A482" s="623"/>
      <c r="C482" s="623"/>
      <c r="H482" s="623"/>
    </row>
    <row r="483" spans="1:17">
      <c r="A483" s="623"/>
      <c r="C483" s="623"/>
      <c r="F483" s="623"/>
      <c r="H483" s="623"/>
      <c r="J483" s="623"/>
      <c r="L483" s="623"/>
      <c r="M483" s="623"/>
      <c r="N483" s="623"/>
      <c r="O483" s="623"/>
      <c r="P483" s="623"/>
    </row>
    <row r="484" spans="1:17">
      <c r="F484" s="623"/>
      <c r="H484" s="623"/>
      <c r="J484" s="623"/>
      <c r="L484" s="623"/>
      <c r="M484" s="623"/>
      <c r="N484" s="623"/>
      <c r="O484" s="623"/>
      <c r="P484" s="623"/>
      <c r="Q484" s="623"/>
    </row>
    <row r="485" spans="1:17">
      <c r="A485" s="623"/>
      <c r="C485" s="623"/>
      <c r="H485" s="623"/>
      <c r="J485" s="623"/>
      <c r="L485" s="623"/>
      <c r="M485" s="623"/>
      <c r="N485" s="623"/>
      <c r="O485" s="623"/>
      <c r="P485" s="623"/>
      <c r="Q485" s="623"/>
    </row>
    <row r="486" spans="1:17">
      <c r="A486" s="623"/>
      <c r="C486" s="623"/>
      <c r="F486" s="623"/>
      <c r="H486" s="633"/>
      <c r="J486" s="636"/>
      <c r="L486" s="633"/>
      <c r="M486" s="633"/>
      <c r="N486" s="633"/>
      <c r="O486" s="633"/>
      <c r="P486" s="633"/>
    </row>
    <row r="487" spans="1:17">
      <c r="A487" s="623"/>
      <c r="C487" s="623"/>
      <c r="F487" s="623"/>
      <c r="H487" s="633"/>
      <c r="J487" s="635"/>
      <c r="L487" s="633"/>
      <c r="M487" s="633"/>
      <c r="N487" s="633"/>
      <c r="O487" s="633"/>
      <c r="P487" s="633"/>
      <c r="Q487" s="623"/>
    </row>
    <row r="488" spans="1:17">
      <c r="A488" s="623"/>
      <c r="C488" s="623"/>
      <c r="F488" s="623"/>
      <c r="H488" s="633"/>
      <c r="J488" s="635"/>
      <c r="L488" s="633"/>
      <c r="M488" s="633"/>
      <c r="N488" s="633"/>
      <c r="O488" s="633"/>
      <c r="P488" s="633"/>
      <c r="Q488" s="623"/>
    </row>
    <row r="489" spans="1:17">
      <c r="A489" s="623"/>
      <c r="C489" s="623"/>
      <c r="F489" s="623"/>
      <c r="H489" s="633"/>
      <c r="J489" s="635"/>
      <c r="L489" s="633"/>
      <c r="M489" s="633"/>
      <c r="N489" s="633"/>
      <c r="O489" s="633"/>
      <c r="P489" s="633"/>
      <c r="Q489" s="623"/>
    </row>
    <row r="490" spans="1:17">
      <c r="A490" s="623"/>
      <c r="C490" s="623"/>
      <c r="F490" s="623"/>
      <c r="H490" s="633"/>
      <c r="J490" s="635"/>
      <c r="L490" s="633"/>
      <c r="M490" s="633"/>
      <c r="N490" s="633"/>
      <c r="O490" s="633"/>
      <c r="P490" s="633"/>
      <c r="Q490" s="623"/>
    </row>
    <row r="491" spans="1:17">
      <c r="A491" s="623"/>
      <c r="C491" s="623"/>
      <c r="F491" s="623"/>
      <c r="H491" s="633"/>
      <c r="J491" s="635"/>
      <c r="L491" s="633"/>
      <c r="M491" s="633"/>
      <c r="N491" s="633"/>
      <c r="O491" s="633"/>
      <c r="P491" s="633"/>
      <c r="Q491" s="623"/>
    </row>
    <row r="492" spans="1:17">
      <c r="F492" s="623"/>
      <c r="H492" s="631"/>
      <c r="J492" s="635"/>
      <c r="L492" s="631"/>
      <c r="M492" s="631"/>
      <c r="N492" s="631"/>
      <c r="O492" s="631"/>
      <c r="P492" s="631"/>
      <c r="Q492" s="623"/>
    </row>
    <row r="494" spans="1:17">
      <c r="A494" s="623"/>
    </row>
    <row r="495" spans="1:17">
      <c r="A495" s="623"/>
      <c r="C495" s="623"/>
      <c r="F495" s="623"/>
    </row>
    <row r="496" spans="1:17">
      <c r="A496" s="623"/>
      <c r="C496" s="623"/>
      <c r="F496" s="623"/>
      <c r="H496" s="633"/>
      <c r="J496" s="635"/>
      <c r="L496" s="633"/>
      <c r="M496" s="633"/>
      <c r="N496" s="633"/>
      <c r="O496" s="633"/>
      <c r="P496" s="633"/>
      <c r="Q496" s="623"/>
    </row>
    <row r="497" spans="1:17">
      <c r="A497" s="623"/>
      <c r="C497" s="623"/>
      <c r="F497" s="623"/>
      <c r="H497" s="633"/>
      <c r="J497" s="635"/>
      <c r="L497" s="633"/>
      <c r="M497" s="633"/>
      <c r="N497" s="633"/>
      <c r="O497" s="633"/>
      <c r="P497" s="633"/>
      <c r="Q497" s="623"/>
    </row>
    <row r="498" spans="1:17">
      <c r="A498" s="623"/>
      <c r="C498" s="623"/>
      <c r="F498" s="623"/>
      <c r="H498" s="633"/>
      <c r="J498" s="635"/>
      <c r="K498" s="633"/>
      <c r="L498" s="633"/>
      <c r="M498" s="633"/>
      <c r="N498" s="633"/>
      <c r="O498" s="633"/>
      <c r="P498" s="633"/>
      <c r="Q498" s="623"/>
    </row>
    <row r="499" spans="1:17">
      <c r="A499" s="623"/>
      <c r="C499" s="623"/>
      <c r="F499" s="623"/>
      <c r="H499" s="633"/>
      <c r="J499" s="635"/>
      <c r="L499" s="633"/>
      <c r="M499" s="633"/>
      <c r="N499" s="633"/>
      <c r="O499" s="633"/>
      <c r="P499" s="633"/>
      <c r="Q499" s="623"/>
    </row>
    <row r="500" spans="1:17">
      <c r="A500" s="623"/>
      <c r="C500" s="623"/>
      <c r="F500" s="623"/>
      <c r="H500" s="631"/>
      <c r="J500" s="635"/>
      <c r="L500" s="631"/>
      <c r="M500" s="631"/>
      <c r="N500" s="631"/>
      <c r="O500" s="631"/>
      <c r="P500" s="631"/>
      <c r="Q500" s="623"/>
    </row>
    <row r="501" spans="1:17">
      <c r="A501" s="623"/>
      <c r="C501" s="623"/>
      <c r="F501" s="623"/>
      <c r="H501" s="633"/>
      <c r="J501" s="636"/>
      <c r="L501" s="633"/>
      <c r="M501" s="633"/>
      <c r="N501" s="633"/>
      <c r="O501" s="633"/>
      <c r="P501" s="633"/>
      <c r="Q501" s="623"/>
    </row>
    <row r="502" spans="1:17">
      <c r="A502" s="623"/>
      <c r="C502" s="623"/>
      <c r="F502" s="623"/>
      <c r="H502" s="633"/>
      <c r="J502" s="636"/>
      <c r="L502" s="633"/>
      <c r="M502" s="633"/>
      <c r="N502" s="633"/>
      <c r="O502" s="633"/>
      <c r="P502" s="633"/>
      <c r="Q502" s="623"/>
    </row>
    <row r="503" spans="1:17">
      <c r="A503" s="623"/>
      <c r="C503" s="623"/>
      <c r="F503" s="623"/>
      <c r="H503" s="633"/>
      <c r="J503" s="635"/>
      <c r="L503" s="633"/>
      <c r="M503" s="633"/>
      <c r="N503" s="633"/>
      <c r="O503" s="633"/>
      <c r="P503" s="633"/>
      <c r="Q503" s="623"/>
    </row>
    <row r="504" spans="1:17">
      <c r="A504" s="623"/>
      <c r="C504" s="623"/>
      <c r="F504" s="623"/>
      <c r="H504" s="633"/>
      <c r="J504" s="635"/>
      <c r="L504" s="633"/>
      <c r="M504" s="633"/>
      <c r="N504" s="633"/>
      <c r="O504" s="633"/>
      <c r="P504" s="633"/>
      <c r="Q504" s="623"/>
    </row>
    <row r="505" spans="1:17">
      <c r="A505" s="623"/>
      <c r="C505" s="623"/>
      <c r="F505" s="623"/>
      <c r="H505" s="633"/>
      <c r="J505" s="635"/>
      <c r="L505" s="633"/>
      <c r="M505" s="633"/>
      <c r="N505" s="633"/>
      <c r="O505" s="633"/>
      <c r="P505" s="633"/>
      <c r="Q505" s="623"/>
    </row>
    <row r="506" spans="1:17">
      <c r="A506" s="623"/>
      <c r="C506" s="623"/>
      <c r="F506" s="623"/>
      <c r="H506" s="633"/>
      <c r="J506" s="635"/>
      <c r="L506" s="633"/>
      <c r="M506" s="633"/>
      <c r="N506" s="633"/>
      <c r="O506" s="633"/>
      <c r="P506" s="633"/>
      <c r="Q506" s="623"/>
    </row>
    <row r="507" spans="1:17">
      <c r="F507" s="623"/>
      <c r="H507" s="631"/>
      <c r="J507" s="635"/>
      <c r="L507" s="631"/>
      <c r="M507" s="631"/>
      <c r="N507" s="631"/>
      <c r="O507" s="631"/>
      <c r="P507" s="631"/>
      <c r="Q507" s="623"/>
    </row>
    <row r="508" spans="1:17">
      <c r="A508" s="623"/>
      <c r="C508" s="623"/>
      <c r="H508" s="633"/>
      <c r="J508" s="636"/>
      <c r="L508" s="633"/>
      <c r="M508" s="633"/>
      <c r="N508" s="633"/>
      <c r="O508" s="633"/>
      <c r="P508" s="633"/>
      <c r="Q508" s="623"/>
    </row>
    <row r="509" spans="1:17">
      <c r="A509" s="623"/>
      <c r="C509" s="623"/>
      <c r="F509" s="623"/>
      <c r="H509" s="633"/>
      <c r="J509" s="636"/>
      <c r="L509" s="633"/>
      <c r="M509" s="633"/>
      <c r="N509" s="633"/>
      <c r="O509" s="633"/>
      <c r="P509" s="633"/>
      <c r="Q509" s="623"/>
    </row>
    <row r="510" spans="1:17">
      <c r="A510" s="623"/>
      <c r="C510" s="623"/>
      <c r="F510" s="623"/>
      <c r="H510" s="633"/>
      <c r="I510" s="623"/>
      <c r="J510" s="635"/>
      <c r="L510" s="633"/>
      <c r="M510" s="633"/>
      <c r="N510" s="633"/>
      <c r="O510" s="633"/>
      <c r="P510" s="633"/>
      <c r="Q510" s="623"/>
    </row>
    <row r="511" spans="1:17">
      <c r="A511" s="623"/>
      <c r="C511" s="623"/>
      <c r="F511" s="623"/>
      <c r="H511" s="633"/>
      <c r="J511" s="635"/>
      <c r="L511" s="633"/>
      <c r="M511" s="633"/>
      <c r="N511" s="633"/>
      <c r="O511" s="633"/>
      <c r="P511" s="633"/>
      <c r="Q511" s="623"/>
    </row>
    <row r="512" spans="1:17">
      <c r="A512" s="623"/>
      <c r="C512" s="623"/>
      <c r="F512" s="623"/>
      <c r="H512" s="633"/>
      <c r="J512" s="635"/>
      <c r="L512" s="633"/>
      <c r="M512" s="633"/>
      <c r="N512" s="633"/>
      <c r="O512" s="633"/>
      <c r="P512" s="633"/>
      <c r="Q512" s="623"/>
    </row>
    <row r="513" spans="1:17">
      <c r="A513" s="623"/>
      <c r="C513" s="623"/>
      <c r="F513" s="623"/>
      <c r="H513" s="633"/>
      <c r="J513" s="635"/>
      <c r="L513" s="633"/>
      <c r="M513" s="633"/>
      <c r="N513" s="633"/>
      <c r="O513" s="633"/>
      <c r="P513" s="633"/>
      <c r="Q513" s="623"/>
    </row>
    <row r="514" spans="1:17">
      <c r="A514" s="623"/>
      <c r="C514" s="623"/>
      <c r="F514" s="623"/>
      <c r="H514" s="633"/>
      <c r="J514" s="635"/>
      <c r="L514" s="633"/>
      <c r="M514" s="633"/>
      <c r="N514" s="633"/>
      <c r="O514" s="633"/>
      <c r="P514" s="633"/>
      <c r="Q514" s="623"/>
    </row>
    <row r="515" spans="1:17">
      <c r="A515" s="623"/>
      <c r="C515" s="623"/>
      <c r="F515" s="623"/>
      <c r="H515" s="633"/>
      <c r="J515" s="635"/>
      <c r="L515" s="633"/>
      <c r="M515" s="633"/>
      <c r="N515" s="633"/>
      <c r="O515" s="633"/>
      <c r="P515" s="633"/>
      <c r="Q515" s="623"/>
    </row>
    <row r="516" spans="1:17">
      <c r="A516" s="623"/>
      <c r="C516" s="623"/>
      <c r="F516" s="623"/>
      <c r="H516" s="633"/>
      <c r="J516" s="635"/>
      <c r="L516" s="633"/>
      <c r="M516" s="633"/>
      <c r="N516" s="633"/>
      <c r="O516" s="633"/>
      <c r="P516" s="633"/>
      <c r="Q516" s="623"/>
    </row>
    <row r="517" spans="1:17">
      <c r="A517" s="623"/>
      <c r="C517" s="623"/>
      <c r="F517" s="623"/>
      <c r="H517" s="633"/>
      <c r="J517" s="635"/>
      <c r="L517" s="633"/>
      <c r="M517" s="633"/>
      <c r="N517" s="633"/>
      <c r="O517" s="633"/>
      <c r="P517" s="633"/>
      <c r="Q517" s="623"/>
    </row>
    <row r="518" spans="1:17">
      <c r="A518" s="623"/>
      <c r="C518" s="623"/>
      <c r="F518" s="623"/>
      <c r="H518" s="633"/>
      <c r="J518" s="635"/>
      <c r="L518" s="633"/>
      <c r="M518" s="633"/>
      <c r="N518" s="633"/>
      <c r="O518" s="633"/>
      <c r="P518" s="633"/>
      <c r="Q518" s="623"/>
    </row>
    <row r="519" spans="1:17">
      <c r="F519" s="623"/>
      <c r="H519" s="631"/>
      <c r="J519" s="635"/>
      <c r="L519" s="631"/>
      <c r="M519" s="631"/>
      <c r="N519" s="631"/>
      <c r="O519" s="631"/>
      <c r="P519" s="631"/>
      <c r="Q519" s="623"/>
    </row>
    <row r="520" spans="1:17">
      <c r="C520" s="637"/>
      <c r="G520" s="623"/>
    </row>
    <row r="521" spans="1:17">
      <c r="C521" s="638"/>
      <c r="G521" s="623"/>
    </row>
    <row r="522" spans="1:17">
      <c r="C522" s="623"/>
      <c r="G522" s="623"/>
    </row>
    <row r="523" spans="1:17">
      <c r="G523" s="623"/>
    </row>
    <row r="527" spans="1:17">
      <c r="A527" s="623"/>
      <c r="C527" s="623"/>
      <c r="H527" s="623"/>
    </row>
    <row r="528" spans="1:17">
      <c r="A528" s="623"/>
      <c r="C528" s="623"/>
      <c r="F528" s="623"/>
      <c r="H528" s="623"/>
      <c r="J528" s="623"/>
      <c r="L528" s="623"/>
      <c r="M528" s="623"/>
      <c r="N528" s="623"/>
      <c r="O528" s="623"/>
      <c r="P528" s="623"/>
    </row>
    <row r="529" spans="1:17">
      <c r="F529" s="623"/>
      <c r="H529" s="623"/>
      <c r="J529" s="623"/>
      <c r="L529" s="623"/>
      <c r="M529" s="623"/>
      <c r="N529" s="623"/>
      <c r="O529" s="623"/>
      <c r="P529" s="623"/>
      <c r="Q529" s="623"/>
    </row>
    <row r="530" spans="1:17">
      <c r="A530" s="623"/>
      <c r="C530" s="623"/>
      <c r="H530" s="623"/>
      <c r="J530" s="623"/>
      <c r="L530" s="623"/>
      <c r="M530" s="623"/>
      <c r="N530" s="623"/>
      <c r="O530" s="623"/>
      <c r="P530" s="623"/>
      <c r="Q530" s="623"/>
    </row>
    <row r="531" spans="1:17">
      <c r="A531" s="623"/>
      <c r="F531" s="623"/>
      <c r="H531" s="623"/>
      <c r="J531" s="623"/>
      <c r="L531" s="623"/>
      <c r="M531" s="623"/>
      <c r="N531" s="623"/>
      <c r="O531" s="623"/>
      <c r="P531" s="623"/>
    </row>
    <row r="532" spans="1:17">
      <c r="A532" s="623"/>
      <c r="C532" s="623"/>
      <c r="F532" s="623"/>
    </row>
    <row r="533" spans="1:17">
      <c r="A533" s="623"/>
      <c r="C533" s="623"/>
      <c r="F533" s="623"/>
      <c r="H533" s="633"/>
      <c r="J533" s="636"/>
      <c r="L533" s="633"/>
      <c r="M533" s="633"/>
      <c r="N533" s="633"/>
      <c r="O533" s="633"/>
      <c r="P533" s="633"/>
      <c r="Q533" s="623"/>
    </row>
    <row r="534" spans="1:17">
      <c r="A534" s="623"/>
      <c r="C534" s="623"/>
      <c r="F534" s="623"/>
      <c r="H534" s="633"/>
      <c r="J534" s="636"/>
      <c r="L534" s="633"/>
      <c r="M534" s="633"/>
      <c r="N534" s="633"/>
      <c r="O534" s="633"/>
      <c r="P534" s="633"/>
      <c r="Q534" s="623"/>
    </row>
    <row r="535" spans="1:17">
      <c r="A535" s="623"/>
      <c r="C535" s="623"/>
      <c r="F535" s="623"/>
      <c r="H535" s="633"/>
      <c r="J535" s="635"/>
      <c r="L535" s="633"/>
      <c r="M535" s="633"/>
      <c r="N535" s="633"/>
      <c r="O535" s="633"/>
      <c r="P535" s="633"/>
      <c r="Q535" s="623"/>
    </row>
    <row r="536" spans="1:17">
      <c r="F536" s="623"/>
      <c r="H536" s="633"/>
      <c r="J536" s="635"/>
      <c r="L536" s="631"/>
      <c r="M536" s="631"/>
      <c r="N536" s="631"/>
      <c r="O536" s="631"/>
      <c r="P536" s="631"/>
      <c r="Q536" s="623"/>
    </row>
    <row r="537" spans="1:17">
      <c r="A537" s="623"/>
      <c r="C537" s="623"/>
    </row>
    <row r="538" spans="1:17">
      <c r="F538" s="623"/>
      <c r="H538" s="631"/>
      <c r="J538" s="635"/>
      <c r="L538" s="631"/>
      <c r="M538" s="631"/>
      <c r="N538" s="631"/>
      <c r="O538" s="631"/>
      <c r="P538" s="631"/>
      <c r="Q538" s="623"/>
    </row>
    <row r="539" spans="1:17">
      <c r="A539" s="623"/>
      <c r="C539" s="623"/>
    </row>
    <row r="540" spans="1:17">
      <c r="A540" s="623"/>
      <c r="C540" s="623"/>
      <c r="F540" s="623"/>
      <c r="H540" s="633"/>
      <c r="J540" s="635"/>
      <c r="L540" s="633"/>
      <c r="M540" s="633"/>
      <c r="N540" s="633"/>
      <c r="O540" s="633"/>
      <c r="P540" s="633"/>
      <c r="Q540" s="623"/>
    </row>
    <row r="541" spans="1:17">
      <c r="A541" s="623"/>
      <c r="C541" s="623"/>
      <c r="F541" s="623"/>
      <c r="H541" s="633"/>
      <c r="J541" s="635"/>
      <c r="L541" s="633"/>
      <c r="M541" s="633"/>
      <c r="N541" s="633"/>
      <c r="O541" s="633"/>
      <c r="P541" s="633"/>
      <c r="Q541" s="623"/>
    </row>
    <row r="542" spans="1:17">
      <c r="A542" s="623"/>
      <c r="C542" s="623"/>
      <c r="F542" s="623"/>
      <c r="H542" s="633"/>
      <c r="J542" s="635"/>
      <c r="L542" s="633"/>
      <c r="M542" s="633"/>
      <c r="N542" s="633"/>
      <c r="O542" s="633"/>
      <c r="P542" s="633"/>
      <c r="Q542" s="623"/>
    </row>
    <row r="543" spans="1:17">
      <c r="F543" s="623"/>
      <c r="H543" s="631"/>
      <c r="J543" s="635"/>
      <c r="L543" s="631"/>
      <c r="M543" s="631"/>
      <c r="N543" s="631"/>
      <c r="O543" s="631"/>
      <c r="P543" s="631"/>
      <c r="Q543" s="623"/>
    </row>
    <row r="544" spans="1:17">
      <c r="A544" s="623"/>
      <c r="C544" s="623"/>
      <c r="J544" s="636"/>
    </row>
    <row r="545" spans="1:17">
      <c r="F545" s="623"/>
      <c r="H545" s="631"/>
      <c r="J545" s="635"/>
      <c r="L545" s="631"/>
      <c r="M545" s="631"/>
      <c r="N545" s="631"/>
      <c r="O545" s="631"/>
      <c r="P545" s="631"/>
      <c r="Q545" s="623"/>
    </row>
    <row r="546" spans="1:17">
      <c r="C546" s="623"/>
    </row>
    <row r="550" spans="1:17">
      <c r="A550" s="623"/>
    </row>
    <row r="551" spans="1:17">
      <c r="A551" s="623"/>
    </row>
    <row r="552" spans="1:17">
      <c r="A552" s="623"/>
    </row>
    <row r="553" spans="1:17">
      <c r="A553" s="623"/>
    </row>
    <row r="555" spans="1:17">
      <c r="A555" s="623"/>
    </row>
  </sheetData>
  <mergeCells count="29">
    <mergeCell ref="A107:R109"/>
    <mergeCell ref="A113:R117"/>
    <mergeCell ref="A120:R123"/>
    <mergeCell ref="A126:R128"/>
    <mergeCell ref="A132:R135"/>
    <mergeCell ref="A99:R104"/>
    <mergeCell ref="A54:R59"/>
    <mergeCell ref="A61:R63"/>
    <mergeCell ref="A67:R71"/>
    <mergeCell ref="A73:R77"/>
    <mergeCell ref="A79:R85"/>
    <mergeCell ref="A86:X86"/>
    <mergeCell ref="A87:X87"/>
    <mergeCell ref="A88:X88"/>
    <mergeCell ref="A89:X89"/>
    <mergeCell ref="S95:U95"/>
    <mergeCell ref="S96:U96"/>
    <mergeCell ref="A48:R51"/>
    <mergeCell ref="A1:X1"/>
    <mergeCell ref="A2:X2"/>
    <mergeCell ref="A3:X3"/>
    <mergeCell ref="A4:X4"/>
    <mergeCell ref="S10:U10"/>
    <mergeCell ref="S11:U11"/>
    <mergeCell ref="A14:R18"/>
    <mergeCell ref="A21:R25"/>
    <mergeCell ref="A28:R30"/>
    <mergeCell ref="A34:R38"/>
    <mergeCell ref="A41:R45"/>
  </mergeCells>
  <printOptions horizontalCentered="1"/>
  <pageMargins left="0.5" right="0.5" top="0.75" bottom="0.5" header="0.3" footer="0.3"/>
  <pageSetup scale="62" fitToHeight="2" orientation="portrait" r:id="rId1"/>
  <rowBreaks count="1" manualBreakCount="1">
    <brk id="8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AS72"/>
  <sheetViews>
    <sheetView zoomScaleNormal="100" zoomScaleSheetLayoutView="100" workbookViewId="0">
      <selection activeCell="A3" sqref="A3:O3"/>
    </sheetView>
  </sheetViews>
  <sheetFormatPr defaultColWidth="9.1640625" defaultRowHeight="12"/>
  <cols>
    <col min="1" max="1" width="5.1640625" style="209" bestFit="1" customWidth="1"/>
    <col min="2" max="2" width="38.1640625" style="209" customWidth="1"/>
    <col min="3" max="14" width="12.1640625" style="209" customWidth="1"/>
    <col min="15" max="15" width="16.6640625" style="209" customWidth="1"/>
    <col min="16" max="45" width="9.1640625" style="948"/>
    <col min="46" max="16384" width="9.1640625" style="644"/>
  </cols>
  <sheetData>
    <row r="1" spans="1:45" s="133" customFormat="1">
      <c r="A1" s="1328" t="str">
        <f>'General Headers Index'!B4</f>
        <v>COLUMBIA GAS OF KENTUCKY, INC.</v>
      </c>
      <c r="B1" s="1328"/>
      <c r="C1" s="1328"/>
      <c r="D1" s="1328"/>
      <c r="E1" s="1328"/>
      <c r="F1" s="1328"/>
      <c r="G1" s="1328"/>
      <c r="H1" s="1328"/>
      <c r="I1" s="1328"/>
      <c r="J1" s="1328"/>
      <c r="K1" s="1328"/>
      <c r="L1" s="1328"/>
      <c r="M1" s="1328"/>
      <c r="N1" s="1328"/>
      <c r="O1" s="1328"/>
    </row>
    <row r="2" spans="1:45" s="133" customFormat="1">
      <c r="A2" s="1328" t="str">
        <f>'General Headers Index'!B6</f>
        <v>CASE NO. 2024 - 00092</v>
      </c>
      <c r="B2" s="1328"/>
      <c r="C2" s="1328"/>
      <c r="D2" s="1328"/>
      <c r="E2" s="1328"/>
      <c r="F2" s="1328"/>
      <c r="G2" s="1328"/>
      <c r="H2" s="1328"/>
      <c r="I2" s="1328"/>
      <c r="J2" s="1328"/>
      <c r="K2" s="1328"/>
      <c r="L2" s="1328"/>
      <c r="M2" s="1328"/>
      <c r="N2" s="1328"/>
      <c r="O2" s="1328"/>
    </row>
    <row r="3" spans="1:45" s="133" customFormat="1">
      <c r="A3" s="1328" t="str">
        <f>'Index D'!C29</f>
        <v>DETAILED ADJUSTMENTS</v>
      </c>
      <c r="B3" s="1328"/>
      <c r="C3" s="1328"/>
      <c r="D3" s="1328"/>
      <c r="E3" s="1328"/>
      <c r="F3" s="1328"/>
      <c r="G3" s="1328"/>
      <c r="H3" s="1328"/>
      <c r="I3" s="1328"/>
      <c r="J3" s="1328"/>
      <c r="K3" s="1328"/>
      <c r="L3" s="1328"/>
      <c r="M3" s="1328"/>
      <c r="N3" s="1328"/>
      <c r="O3" s="1328"/>
    </row>
    <row r="4" spans="1:45" s="133" customForma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row>
    <row r="5" spans="1:45">
      <c r="A5" s="623"/>
      <c r="B5" s="133"/>
      <c r="C5" s="133"/>
      <c r="D5" s="133"/>
      <c r="E5" s="133"/>
      <c r="F5" s="133"/>
      <c r="G5" s="133"/>
      <c r="P5" s="644"/>
      <c r="Q5" s="644"/>
      <c r="R5" s="644"/>
      <c r="S5" s="644"/>
      <c r="T5" s="644"/>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c r="A6" s="625" t="s">
        <v>2834</v>
      </c>
      <c r="B6" s="133"/>
      <c r="C6" s="133"/>
      <c r="D6" s="133"/>
      <c r="E6" s="133"/>
      <c r="F6" s="133"/>
      <c r="G6" s="133"/>
      <c r="O6" s="645" t="s">
        <v>2987</v>
      </c>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209" customFormat="1">
      <c r="A7" s="625" t="str">
        <f>'General Headers Index'!B37</f>
        <v>TYPE OF FILING:___X___ORIGINAL______UPDATED</v>
      </c>
      <c r="B7" s="133"/>
      <c r="O7" s="624" t="s">
        <v>50</v>
      </c>
    </row>
    <row r="8" spans="1:45" s="209" customFormat="1">
      <c r="A8" s="625" t="s">
        <v>58</v>
      </c>
      <c r="B8" s="133"/>
      <c r="C8" s="647"/>
      <c r="D8" s="647"/>
      <c r="E8" s="647"/>
      <c r="F8" s="647"/>
      <c r="G8" s="647"/>
      <c r="H8" s="647"/>
      <c r="I8" s="647"/>
      <c r="J8" s="647"/>
      <c r="K8" s="647"/>
      <c r="L8" s="647"/>
      <c r="M8" s="647"/>
      <c r="N8" s="647"/>
      <c r="O8" s="645" t="str">
        <f>"WITNESSES: "&amp;'General Headers Index'!$B$52</f>
        <v>WITNESSES: SHAEFFER</v>
      </c>
    </row>
    <row r="9" spans="1:45" s="209" customFormat="1">
      <c r="A9" s="625"/>
      <c r="B9" s="133"/>
      <c r="C9" s="647"/>
      <c r="D9" s="647"/>
      <c r="E9" s="647"/>
      <c r="F9" s="647"/>
      <c r="G9" s="647"/>
      <c r="H9" s="647"/>
      <c r="I9" s="647"/>
      <c r="J9" s="647"/>
      <c r="K9" s="647"/>
      <c r="L9" s="647"/>
      <c r="M9" s="647"/>
      <c r="N9" s="647"/>
      <c r="O9" s="645" t="str">
        <f>+'General Headers Index'!$B$54</f>
        <v>INSCHO</v>
      </c>
    </row>
    <row r="10" spans="1:45" s="209" customFormat="1">
      <c r="A10" s="864"/>
      <c r="B10" s="862"/>
      <c r="C10" s="865"/>
      <c r="D10" s="865"/>
      <c r="E10" s="865"/>
      <c r="F10" s="865"/>
      <c r="G10" s="865"/>
      <c r="H10" s="865"/>
      <c r="I10" s="865"/>
      <c r="J10" s="865"/>
      <c r="K10" s="865"/>
      <c r="L10" s="865"/>
      <c r="M10" s="865"/>
      <c r="N10" s="865"/>
      <c r="O10" s="866"/>
    </row>
    <row r="11" spans="1:45" s="209" customFormat="1">
      <c r="A11" s="266" t="s">
        <v>641</v>
      </c>
      <c r="C11" s="646" t="str">
        <f>+'C-2.2.A Total Co Accts Activ '!D10</f>
        <v>Actual</v>
      </c>
      <c r="D11" s="646" t="str">
        <f>+'C-2.2.A Total Co Accts Activ '!E10</f>
        <v>Actual</v>
      </c>
      <c r="E11" s="646" t="str">
        <f>+'C-2.2.A Total Co Accts Activ '!F10</f>
        <v>Actual</v>
      </c>
      <c r="F11" s="646" t="str">
        <f>+'C-2.2.A Total Co Accts Activ '!G10</f>
        <v>Actual</v>
      </c>
      <c r="G11" s="646" t="str">
        <f>+'C-2.2.A Total Co Accts Activ '!H10</f>
        <v>Actual</v>
      </c>
      <c r="H11" s="646" t="str">
        <f>+'C-2.2.A Total Co Accts Activ '!I10</f>
        <v>Actual</v>
      </c>
      <c r="I11" s="646" t="str">
        <f>+'C-2.2.A Total Co Accts Activ '!J10</f>
        <v>Forecasted</v>
      </c>
      <c r="J11" s="646" t="str">
        <f>+'C-2.2.A Total Co Accts Activ '!K10</f>
        <v>Forecasted</v>
      </c>
      <c r="K11" s="646" t="str">
        <f>+'C-2.2.A Total Co Accts Activ '!L10</f>
        <v>Forecasted</v>
      </c>
      <c r="L11" s="646" t="str">
        <f>+'C-2.2.A Total Co Accts Activ '!M10</f>
        <v>Forecasted</v>
      </c>
      <c r="M11" s="646" t="str">
        <f>+'C-2.2.A Total Co Accts Activ '!N10</f>
        <v>Forecasted</v>
      </c>
      <c r="N11" s="646" t="str">
        <f>+'C-2.2.A Total Co Accts Activ '!O10</f>
        <v>Forecasted</v>
      </c>
      <c r="O11" s="647"/>
    </row>
    <row r="12" spans="1:45" s="209" customFormat="1">
      <c r="A12" s="1040" t="s">
        <v>642</v>
      </c>
      <c r="B12" s="1041" t="s">
        <v>43</v>
      </c>
      <c r="C12" s="1042" t="str">
        <f>+'C-2.2.A Total Co Accts Activ '!D11</f>
        <v>SEP</v>
      </c>
      <c r="D12" s="1042" t="str">
        <f>+'C-2.2.A Total Co Accts Activ '!E11</f>
        <v>OCT</v>
      </c>
      <c r="E12" s="1042" t="str">
        <f>+'C-2.2.A Total Co Accts Activ '!F11</f>
        <v>NOV</v>
      </c>
      <c r="F12" s="1042" t="str">
        <f>+'C-2.2.A Total Co Accts Activ '!G11</f>
        <v>DEC</v>
      </c>
      <c r="G12" s="1042" t="str">
        <f>+'C-2.2.A Total Co Accts Activ '!H11</f>
        <v>JAN</v>
      </c>
      <c r="H12" s="1042" t="str">
        <f>+'C-2.2.A Total Co Accts Activ '!I11</f>
        <v>FEB</v>
      </c>
      <c r="I12" s="1042" t="str">
        <f>+'C-2.2.A Total Co Accts Activ '!J11</f>
        <v>MAR</v>
      </c>
      <c r="J12" s="1042" t="str">
        <f>+'C-2.2.A Total Co Accts Activ '!K11</f>
        <v>APR</v>
      </c>
      <c r="K12" s="1042" t="str">
        <f>+'C-2.2.A Total Co Accts Activ '!L11</f>
        <v>MAY</v>
      </c>
      <c r="L12" s="1042" t="str">
        <f>+'C-2.2.A Total Co Accts Activ '!M11</f>
        <v>JUN</v>
      </c>
      <c r="M12" s="1042" t="str">
        <f>+'C-2.2.A Total Co Accts Activ '!N11</f>
        <v>JUL</v>
      </c>
      <c r="N12" s="1042" t="str">
        <f>+'C-2.2.A Total Co Accts Activ '!O11</f>
        <v>AUG</v>
      </c>
      <c r="O12" s="1042" t="str">
        <f>+'C-2.2.A Total Co Accts Activ '!P11</f>
        <v>TOTAL</v>
      </c>
    </row>
    <row r="13" spans="1:45" s="209" customFormat="1">
      <c r="A13" s="266"/>
      <c r="B13" s="648"/>
      <c r="C13" s="649" t="s">
        <v>532</v>
      </c>
      <c r="D13" s="649" t="s">
        <v>541</v>
      </c>
      <c r="E13" s="649" t="s">
        <v>542</v>
      </c>
      <c r="F13" s="649" t="s">
        <v>668</v>
      </c>
      <c r="G13" s="649" t="s">
        <v>669</v>
      </c>
      <c r="H13" s="649" t="s">
        <v>670</v>
      </c>
      <c r="I13" s="649" t="s">
        <v>984</v>
      </c>
      <c r="J13" s="649" t="s">
        <v>985</v>
      </c>
      <c r="K13" s="649" t="s">
        <v>986</v>
      </c>
      <c r="L13" s="649" t="s">
        <v>987</v>
      </c>
      <c r="M13" s="649" t="s">
        <v>988</v>
      </c>
      <c r="N13" s="649" t="s">
        <v>989</v>
      </c>
      <c r="O13" s="649" t="s">
        <v>2356</v>
      </c>
    </row>
    <row r="14" spans="1:45" s="209" customFormat="1">
      <c r="A14" s="266"/>
      <c r="B14" s="650" t="s">
        <v>1261</v>
      </c>
      <c r="C14" s="647"/>
      <c r="D14" s="647"/>
      <c r="E14" s="647"/>
      <c r="F14" s="647"/>
      <c r="G14" s="647"/>
      <c r="H14" s="647"/>
      <c r="I14" s="647"/>
      <c r="J14" s="647"/>
      <c r="K14" s="647"/>
      <c r="L14" s="647"/>
      <c r="M14" s="647"/>
      <c r="N14" s="647"/>
      <c r="O14" s="647"/>
    </row>
    <row r="15" spans="1:45" s="209" customFormat="1">
      <c r="A15" s="266"/>
      <c r="B15" s="650" t="s">
        <v>1935</v>
      </c>
      <c r="C15" s="647"/>
      <c r="D15" s="647"/>
      <c r="E15" s="647"/>
      <c r="F15" s="647"/>
      <c r="G15" s="647"/>
      <c r="H15" s="647"/>
      <c r="I15" s="647"/>
      <c r="J15" s="647"/>
      <c r="K15" s="647"/>
      <c r="L15" s="647"/>
      <c r="M15" s="647"/>
      <c r="N15" s="647"/>
      <c r="O15" s="647"/>
    </row>
    <row r="16" spans="1:45" s="209" customFormat="1">
      <c r="A16" s="651">
        <v>1</v>
      </c>
      <c r="B16" s="209" t="s">
        <v>1096</v>
      </c>
      <c r="C16" s="1216">
        <v>868031.57999999973</v>
      </c>
      <c r="D16" s="1216">
        <v>824009.72999999975</v>
      </c>
      <c r="E16" s="1216">
        <v>877325.23</v>
      </c>
      <c r="F16" s="1216">
        <v>917275.03</v>
      </c>
      <c r="G16" s="1216">
        <v>1058629.33</v>
      </c>
      <c r="H16" s="1216">
        <v>1021797.9999999999</v>
      </c>
      <c r="I16" s="1216">
        <v>998593.94457848556</v>
      </c>
      <c r="J16" s="1216">
        <v>1044580.6420696481</v>
      </c>
      <c r="K16" s="1216">
        <v>947117.58644064807</v>
      </c>
      <c r="L16" s="1216">
        <v>989157.63941564807</v>
      </c>
      <c r="M16" s="1216">
        <v>1041756.3039486357</v>
      </c>
      <c r="N16" s="1216">
        <v>908762.23318263562</v>
      </c>
      <c r="O16" s="1216">
        <f t="shared" ref="O16:O26" si="0">SUM(C16:N16)</f>
        <v>11497037.2496357</v>
      </c>
    </row>
    <row r="17" spans="1:15" s="209" customFormat="1">
      <c r="A17" s="651">
        <f t="shared" ref="A17:A27" si="1">+A16+1</f>
        <v>2</v>
      </c>
      <c r="B17" s="209" t="s">
        <v>1104</v>
      </c>
      <c r="C17" s="1216">
        <v>48320</v>
      </c>
      <c r="D17" s="1216">
        <v>45098.55</v>
      </c>
      <c r="E17" s="1216">
        <v>41835</v>
      </c>
      <c r="F17" s="1216">
        <v>61137</v>
      </c>
      <c r="G17" s="1216">
        <v>45814.33</v>
      </c>
      <c r="H17" s="1216">
        <v>58682</v>
      </c>
      <c r="I17" s="1216">
        <v>68206</v>
      </c>
      <c r="J17" s="1216">
        <v>68172</v>
      </c>
      <c r="K17" s="1216">
        <v>68185</v>
      </c>
      <c r="L17" s="1216">
        <v>66733</v>
      </c>
      <c r="M17" s="1216">
        <v>67042</v>
      </c>
      <c r="N17" s="1216">
        <v>65448</v>
      </c>
      <c r="O17" s="1216">
        <f t="shared" si="0"/>
        <v>704672.88</v>
      </c>
    </row>
    <row r="18" spans="1:15" s="209" customFormat="1">
      <c r="A18" s="651">
        <f t="shared" si="1"/>
        <v>3</v>
      </c>
      <c r="B18" s="209" t="s">
        <v>1094</v>
      </c>
      <c r="C18" s="1216">
        <v>171302.81</v>
      </c>
      <c r="D18" s="1216">
        <v>95064.639999999999</v>
      </c>
      <c r="E18" s="1216">
        <v>95064.639999999999</v>
      </c>
      <c r="F18" s="1216">
        <v>359794.68</v>
      </c>
      <c r="G18" s="1216">
        <v>71710.850000000006</v>
      </c>
      <c r="H18" s="1216">
        <v>71710.850000000006</v>
      </c>
      <c r="I18" s="1216">
        <v>67419.553826119518</v>
      </c>
      <c r="J18" s="1216">
        <v>67419.553826119518</v>
      </c>
      <c r="K18" s="1216">
        <v>67419.553826119518</v>
      </c>
      <c r="L18" s="1216">
        <v>67419.553826119518</v>
      </c>
      <c r="M18" s="1216">
        <v>67419.553826119518</v>
      </c>
      <c r="N18" s="1216">
        <v>67419.553826119518</v>
      </c>
      <c r="O18" s="1216">
        <f t="shared" si="0"/>
        <v>1269165.7929567171</v>
      </c>
    </row>
    <row r="19" spans="1:15" s="209" customFormat="1">
      <c r="A19" s="651">
        <f t="shared" si="1"/>
        <v>4</v>
      </c>
      <c r="B19" s="209" t="s">
        <v>1028</v>
      </c>
      <c r="C19" s="1216">
        <v>21195.39</v>
      </c>
      <c r="D19" s="1216">
        <v>12681.52</v>
      </c>
      <c r="E19" s="1216">
        <v>12681.52</v>
      </c>
      <c r="F19" s="1216">
        <v>54180.62</v>
      </c>
      <c r="G19" s="1216">
        <v>9722.1</v>
      </c>
      <c r="H19" s="1216">
        <v>9784.11</v>
      </c>
      <c r="I19" s="1216">
        <v>9281.8282499999987</v>
      </c>
      <c r="J19" s="1216">
        <v>9281.8282499999987</v>
      </c>
      <c r="K19" s="1216">
        <v>9281.8282499999987</v>
      </c>
      <c r="L19" s="1216">
        <v>9281.8282499999987</v>
      </c>
      <c r="M19" s="1216">
        <v>9281.8282499999987</v>
      </c>
      <c r="N19" s="1216">
        <v>9281.8282499999987</v>
      </c>
      <c r="O19" s="1216">
        <f t="shared" si="0"/>
        <v>175936.22949999999</v>
      </c>
    </row>
    <row r="20" spans="1:15" s="209" customFormat="1">
      <c r="A20" s="651">
        <f t="shared" si="1"/>
        <v>5</v>
      </c>
      <c r="B20" s="208" t="s">
        <v>1550</v>
      </c>
      <c r="C20" s="1216">
        <v>156435.27000000011</v>
      </c>
      <c r="D20" s="1216">
        <v>13127.59000000022</v>
      </c>
      <c r="E20" s="1216">
        <v>165757.70000000001</v>
      </c>
      <c r="F20" s="1216">
        <v>158993.73999999996</v>
      </c>
      <c r="G20" s="1216">
        <v>129030.26000000002</v>
      </c>
      <c r="H20" s="1216">
        <v>170538.02999999994</v>
      </c>
      <c r="I20" s="1216">
        <v>124150.62128429611</v>
      </c>
      <c r="J20" s="1216">
        <v>105307.0662384594</v>
      </c>
      <c r="K20" s="1216">
        <v>135190.30872037497</v>
      </c>
      <c r="L20" s="1216">
        <v>138523.46522318819</v>
      </c>
      <c r="M20" s="1216">
        <v>113673.0210301359</v>
      </c>
      <c r="N20" s="1216">
        <v>142210.40789157839</v>
      </c>
      <c r="O20" s="1216">
        <f t="shared" si="0"/>
        <v>1552937.4803880332</v>
      </c>
    </row>
    <row r="21" spans="1:15" s="209" customFormat="1">
      <c r="A21" s="651">
        <f t="shared" si="1"/>
        <v>6</v>
      </c>
      <c r="B21" s="208" t="s">
        <v>1551</v>
      </c>
      <c r="C21" s="1216">
        <v>3629.2</v>
      </c>
      <c r="D21" s="1216">
        <v>3444.2200000000003</v>
      </c>
      <c r="E21" s="1216">
        <v>3583.6000000000004</v>
      </c>
      <c r="F21" s="1216">
        <v>3516.6200000000003</v>
      </c>
      <c r="G21" s="1216">
        <v>3715.49</v>
      </c>
      <c r="H21" s="1216">
        <v>3356.1000000000004</v>
      </c>
      <c r="I21" s="1216">
        <v>3601.9034999999999</v>
      </c>
      <c r="J21" s="1216">
        <v>3601.9034999999999</v>
      </c>
      <c r="K21" s="1216">
        <v>3601.9034999999999</v>
      </c>
      <c r="L21" s="1216">
        <v>3601.9034999999999</v>
      </c>
      <c r="M21" s="1216">
        <v>3601.9034999999999</v>
      </c>
      <c r="N21" s="1216">
        <v>3601.9034999999999</v>
      </c>
      <c r="O21" s="1216">
        <f t="shared" si="0"/>
        <v>42856.651000000005</v>
      </c>
    </row>
    <row r="22" spans="1:15" s="209" customFormat="1">
      <c r="A22" s="651">
        <f t="shared" si="1"/>
        <v>7</v>
      </c>
      <c r="B22" s="208" t="s">
        <v>1552</v>
      </c>
      <c r="C22" s="1216">
        <v>5017.66</v>
      </c>
      <c r="D22" s="1216">
        <v>5017.66</v>
      </c>
      <c r="E22" s="1216">
        <v>5017.66</v>
      </c>
      <c r="F22" s="1216">
        <v>3793.5300000000007</v>
      </c>
      <c r="G22" s="1216">
        <v>2076</v>
      </c>
      <c r="H22" s="1216">
        <v>2076</v>
      </c>
      <c r="I22" s="1216">
        <v>3166.67</v>
      </c>
      <c r="J22" s="1216">
        <v>3166.67</v>
      </c>
      <c r="K22" s="1216">
        <v>3166.67</v>
      </c>
      <c r="L22" s="1216">
        <v>3166.67</v>
      </c>
      <c r="M22" s="1216">
        <v>3166.67</v>
      </c>
      <c r="N22" s="1216">
        <v>3166.67</v>
      </c>
      <c r="O22" s="1216">
        <f t="shared" si="0"/>
        <v>41998.529999999992</v>
      </c>
    </row>
    <row r="23" spans="1:15" s="209" customFormat="1">
      <c r="A23" s="651">
        <f t="shared" si="1"/>
        <v>8</v>
      </c>
      <c r="B23" s="208" t="s">
        <v>1553</v>
      </c>
      <c r="C23" s="1216">
        <v>0</v>
      </c>
      <c r="D23" s="1216">
        <v>0</v>
      </c>
      <c r="E23" s="1216">
        <v>20233.37</v>
      </c>
      <c r="F23" s="1216">
        <v>0</v>
      </c>
      <c r="G23" s="1216">
        <v>0</v>
      </c>
      <c r="H23" s="1216">
        <v>0</v>
      </c>
      <c r="I23" s="1216">
        <v>0</v>
      </c>
      <c r="J23" s="1216">
        <v>0</v>
      </c>
      <c r="K23" s="1216">
        <v>0</v>
      </c>
      <c r="L23" s="1216">
        <v>0</v>
      </c>
      <c r="M23" s="1216">
        <v>0</v>
      </c>
      <c r="N23" s="1216">
        <v>0</v>
      </c>
      <c r="O23" s="1216">
        <f t="shared" si="0"/>
        <v>20233.37</v>
      </c>
    </row>
    <row r="24" spans="1:15" s="209" customFormat="1">
      <c r="A24" s="651">
        <f t="shared" si="1"/>
        <v>9</v>
      </c>
      <c r="B24" s="208" t="s">
        <v>1554</v>
      </c>
      <c r="C24" s="1216">
        <v>12469.34</v>
      </c>
      <c r="D24" s="1216">
        <v>11808.5</v>
      </c>
      <c r="E24" s="1216">
        <v>12286.66</v>
      </c>
      <c r="F24" s="1216">
        <v>12106.5</v>
      </c>
      <c r="G24" s="1216">
        <v>14446.279999999997</v>
      </c>
      <c r="H24" s="1216">
        <v>13072.999999999998</v>
      </c>
      <c r="I24" s="1216">
        <v>13206.977652870002</v>
      </c>
      <c r="J24" s="1216">
        <v>13206.977652870002</v>
      </c>
      <c r="K24" s="1216">
        <v>13206.977652870002</v>
      </c>
      <c r="L24" s="1216">
        <v>13206.977652870002</v>
      </c>
      <c r="M24" s="1216">
        <v>13206.977652870002</v>
      </c>
      <c r="N24" s="1216">
        <v>13206.977652870002</v>
      </c>
      <c r="O24" s="1216">
        <f t="shared" si="0"/>
        <v>155432.14591722001</v>
      </c>
    </row>
    <row r="25" spans="1:15" s="209" customFormat="1">
      <c r="A25" s="651">
        <f t="shared" si="1"/>
        <v>10</v>
      </c>
      <c r="B25" s="208" t="s">
        <v>1555</v>
      </c>
      <c r="C25" s="1216">
        <v>205324.25</v>
      </c>
      <c r="D25" s="1216">
        <v>5519.25</v>
      </c>
      <c r="E25" s="1216">
        <v>5519.25</v>
      </c>
      <c r="F25" s="1216">
        <v>5519.25</v>
      </c>
      <c r="G25" s="1216">
        <v>-3540</v>
      </c>
      <c r="H25" s="1216">
        <v>-3540</v>
      </c>
      <c r="I25" s="1216">
        <v>1083.33</v>
      </c>
      <c r="J25" s="1216">
        <v>1083.33</v>
      </c>
      <c r="K25" s="1216">
        <v>1083.33</v>
      </c>
      <c r="L25" s="1216">
        <v>1083.33</v>
      </c>
      <c r="M25" s="1216">
        <v>1083.33</v>
      </c>
      <c r="N25" s="1216">
        <v>1083.33</v>
      </c>
      <c r="O25" s="1216">
        <f t="shared" si="0"/>
        <v>221301.97999999992</v>
      </c>
    </row>
    <row r="26" spans="1:15" s="209" customFormat="1">
      <c r="A26" s="651">
        <f t="shared" si="1"/>
        <v>11</v>
      </c>
      <c r="B26" s="209" t="s">
        <v>1087</v>
      </c>
      <c r="C26" s="1216">
        <v>49531.029999999977</v>
      </c>
      <c r="D26" s="1216">
        <v>47756.900000000016</v>
      </c>
      <c r="E26" s="1216">
        <v>49372.67</v>
      </c>
      <c r="F26" s="1216">
        <v>84238.680000000008</v>
      </c>
      <c r="G26" s="1216">
        <v>39813</v>
      </c>
      <c r="H26" s="1216">
        <v>58514.430000000008</v>
      </c>
      <c r="I26" s="1216">
        <v>66999.041249290196</v>
      </c>
      <c r="J26" s="1216">
        <v>65012.270955042601</v>
      </c>
      <c r="K26" s="1216">
        <v>63966.972902706904</v>
      </c>
      <c r="L26" s="1216">
        <v>63788.351017066205</v>
      </c>
      <c r="M26" s="1216">
        <v>53168.717400915601</v>
      </c>
      <c r="N26" s="1216">
        <v>77256.542092004092</v>
      </c>
      <c r="O26" s="1216">
        <f t="shared" si="0"/>
        <v>719418.60561702552</v>
      </c>
    </row>
    <row r="27" spans="1:15" s="209" customFormat="1">
      <c r="A27" s="651">
        <f t="shared" si="1"/>
        <v>12</v>
      </c>
      <c r="B27" s="209" t="s">
        <v>1350</v>
      </c>
      <c r="C27" s="1218">
        <f t="shared" ref="C27:O27" si="2">SUM(C16:C26)</f>
        <v>1541256.5299999996</v>
      </c>
      <c r="D27" s="1218">
        <f t="shared" si="2"/>
        <v>1063528.56</v>
      </c>
      <c r="E27" s="1218">
        <f t="shared" si="2"/>
        <v>1288677.3</v>
      </c>
      <c r="F27" s="1218">
        <f t="shared" si="2"/>
        <v>1660555.6500000001</v>
      </c>
      <c r="G27" s="1218">
        <f t="shared" si="2"/>
        <v>1371417.6400000004</v>
      </c>
      <c r="H27" s="1218">
        <f t="shared" si="2"/>
        <v>1405992.5200000003</v>
      </c>
      <c r="I27" s="1218">
        <f t="shared" si="2"/>
        <v>1355709.8703410611</v>
      </c>
      <c r="J27" s="1218">
        <f t="shared" si="2"/>
        <v>1380832.2424921396</v>
      </c>
      <c r="K27" s="1218">
        <f t="shared" si="2"/>
        <v>1312220.1312927194</v>
      </c>
      <c r="L27" s="1218">
        <f t="shared" si="2"/>
        <v>1355962.7188848923</v>
      </c>
      <c r="M27" s="1218">
        <f t="shared" si="2"/>
        <v>1373400.305608677</v>
      </c>
      <c r="N27" s="1218">
        <f t="shared" si="2"/>
        <v>1291437.4463952079</v>
      </c>
      <c r="O27" s="1218">
        <f t="shared" si="2"/>
        <v>16400990.915014695</v>
      </c>
    </row>
    <row r="28" spans="1:15" s="209" customFormat="1">
      <c r="C28" s="1219"/>
      <c r="D28" s="1219"/>
      <c r="E28" s="1219"/>
      <c r="F28" s="1219"/>
      <c r="G28" s="1219"/>
      <c r="H28" s="1219"/>
      <c r="I28" s="1219"/>
      <c r="J28" s="1219"/>
      <c r="K28" s="1219"/>
      <c r="L28" s="1219"/>
      <c r="M28" s="1219"/>
      <c r="N28" s="1219"/>
      <c r="O28" s="1219"/>
    </row>
    <row r="29" spans="1:15" s="209" customFormat="1">
      <c r="A29" s="651">
        <f>+A27+1</f>
        <v>13</v>
      </c>
      <c r="B29" s="209" t="s">
        <v>1029</v>
      </c>
      <c r="C29" s="1216">
        <v>88572.739999999991</v>
      </c>
      <c r="D29" s="1216">
        <v>130107.65999999999</v>
      </c>
      <c r="E29" s="1216">
        <v>114146.25000000001</v>
      </c>
      <c r="F29" s="1216">
        <v>76427.22</v>
      </c>
      <c r="G29" s="1216">
        <v>106455.86</v>
      </c>
      <c r="H29" s="1216">
        <v>168368.34999999998</v>
      </c>
      <c r="I29" s="1216">
        <v>102548.26343635103</v>
      </c>
      <c r="J29" s="1216">
        <v>105060.45505474959</v>
      </c>
      <c r="K29" s="1216">
        <v>137554.7313708686</v>
      </c>
      <c r="L29" s="1216">
        <v>250468.3630024704</v>
      </c>
      <c r="M29" s="1216">
        <v>162276.1507400077</v>
      </c>
      <c r="N29" s="1216">
        <v>122289.62737248535</v>
      </c>
      <c r="O29" s="1216">
        <f t="shared" ref="O29:O50" si="3">SUM(C29:N29)</f>
        <v>1564275.6709769326</v>
      </c>
    </row>
    <row r="30" spans="1:15" s="209" customFormat="1">
      <c r="A30" s="651">
        <f t="shared" ref="A30:A51" si="4">+A29+1</f>
        <v>14</v>
      </c>
      <c r="B30" s="209" t="s">
        <v>1088</v>
      </c>
      <c r="C30" s="1216">
        <v>199.98</v>
      </c>
      <c r="D30" s="1216">
        <v>1193.6099999999999</v>
      </c>
      <c r="E30" s="1216">
        <v>0</v>
      </c>
      <c r="F30" s="1216">
        <v>1585.66</v>
      </c>
      <c r="G30" s="1216">
        <v>0</v>
      </c>
      <c r="H30" s="1216">
        <v>512.38</v>
      </c>
      <c r="I30" s="1216">
        <v>108.3333333333333</v>
      </c>
      <c r="J30" s="1216">
        <v>108.3333333333333</v>
      </c>
      <c r="K30" s="1216">
        <v>108.3333333333333</v>
      </c>
      <c r="L30" s="1216">
        <v>108.3333333333333</v>
      </c>
      <c r="M30" s="1216">
        <v>108.3333333333333</v>
      </c>
      <c r="N30" s="1216">
        <v>108.3333333333333</v>
      </c>
      <c r="O30" s="1216">
        <f t="shared" si="3"/>
        <v>4141.630000000001</v>
      </c>
    </row>
    <row r="31" spans="1:15" s="209" customFormat="1">
      <c r="A31" s="651">
        <f t="shared" si="4"/>
        <v>15</v>
      </c>
      <c r="B31" s="209" t="s">
        <v>1099</v>
      </c>
      <c r="C31" s="1216">
        <v>0</v>
      </c>
      <c r="D31" s="1216">
        <v>900</v>
      </c>
      <c r="E31" s="1216">
        <v>0</v>
      </c>
      <c r="F31" s="1216">
        <v>0</v>
      </c>
      <c r="G31" s="1216">
        <v>0</v>
      </c>
      <c r="H31" s="1216">
        <v>0</v>
      </c>
      <c r="I31" s="1216">
        <v>0</v>
      </c>
      <c r="J31" s="1216">
        <v>0</v>
      </c>
      <c r="K31" s="1216">
        <v>0</v>
      </c>
      <c r="L31" s="1216">
        <v>0</v>
      </c>
      <c r="M31" s="1216">
        <v>0</v>
      </c>
      <c r="N31" s="1216">
        <v>0</v>
      </c>
      <c r="O31" s="1216">
        <f t="shared" si="3"/>
        <v>900</v>
      </c>
    </row>
    <row r="32" spans="1:15" s="209" customFormat="1">
      <c r="A32" s="651">
        <f t="shared" si="4"/>
        <v>16</v>
      </c>
      <c r="B32" s="209" t="s">
        <v>1090</v>
      </c>
      <c r="C32" s="1216">
        <v>15160.41</v>
      </c>
      <c r="D32" s="1216">
        <v>16748.41</v>
      </c>
      <c r="E32" s="1216">
        <v>16861.87</v>
      </c>
      <c r="F32" s="1216">
        <v>15160.41</v>
      </c>
      <c r="G32" s="1216">
        <v>19742.759999999998</v>
      </c>
      <c r="H32" s="1216">
        <v>17360.759999999998</v>
      </c>
      <c r="I32" s="1216">
        <v>17251.818048271001</v>
      </c>
      <c r="J32" s="1216">
        <v>17251.818048271001</v>
      </c>
      <c r="K32" s="1216">
        <v>17251.818048271001</v>
      </c>
      <c r="L32" s="1216">
        <v>17251.818048271001</v>
      </c>
      <c r="M32" s="1216">
        <v>17251.818048271001</v>
      </c>
      <c r="N32" s="1216">
        <v>17251.818048271001</v>
      </c>
      <c r="O32" s="1216">
        <f t="shared" si="3"/>
        <v>204545.528289626</v>
      </c>
    </row>
    <row r="33" spans="1:15" s="209" customFormat="1">
      <c r="A33" s="651">
        <f t="shared" si="4"/>
        <v>17</v>
      </c>
      <c r="B33" s="209" t="s">
        <v>1084</v>
      </c>
      <c r="C33" s="1216">
        <v>462126.46000000014</v>
      </c>
      <c r="D33" s="1216">
        <v>440113.23999999993</v>
      </c>
      <c r="E33" s="1216">
        <v>465993.33000000013</v>
      </c>
      <c r="F33" s="1216">
        <v>303975.06</v>
      </c>
      <c r="G33" s="1216">
        <v>229456.43</v>
      </c>
      <c r="H33" s="1216">
        <v>573001.24000000011</v>
      </c>
      <c r="I33" s="1216">
        <v>630518.26337301487</v>
      </c>
      <c r="J33" s="1216">
        <v>615471.87305258797</v>
      </c>
      <c r="K33" s="1216">
        <v>640310.24544826546</v>
      </c>
      <c r="L33" s="1216">
        <v>660441.52488130901</v>
      </c>
      <c r="M33" s="1216">
        <v>579481.30701394146</v>
      </c>
      <c r="N33" s="1216">
        <v>640218.80884803284</v>
      </c>
      <c r="O33" s="1216">
        <f t="shared" si="3"/>
        <v>6241107.7826171517</v>
      </c>
    </row>
    <row r="34" spans="1:15" s="209" customFormat="1">
      <c r="A34" s="651">
        <f t="shared" si="4"/>
        <v>18</v>
      </c>
      <c r="B34" s="209" t="s">
        <v>1097</v>
      </c>
      <c r="C34" s="1216">
        <v>-105.96999999999935</v>
      </c>
      <c r="D34" s="1216">
        <v>2306.8899999999994</v>
      </c>
      <c r="E34" s="1216">
        <v>-137.11000000000013</v>
      </c>
      <c r="F34" s="1216">
        <v>1945.3899999999999</v>
      </c>
      <c r="G34" s="1216">
        <v>-136.400000000001</v>
      </c>
      <c r="H34" s="1216">
        <v>-8436.0999999999985</v>
      </c>
      <c r="I34" s="1216">
        <v>4571.3933333333334</v>
      </c>
      <c r="J34" s="1216">
        <v>4579.6833333333343</v>
      </c>
      <c r="K34" s="1216">
        <v>4569.6833333333343</v>
      </c>
      <c r="L34" s="1216">
        <v>2311.1833333333325</v>
      </c>
      <c r="M34" s="1216">
        <v>4549.6833333333343</v>
      </c>
      <c r="N34" s="1216">
        <v>4539.6833333333343</v>
      </c>
      <c r="O34" s="1216">
        <f t="shared" si="3"/>
        <v>20558.010000000002</v>
      </c>
    </row>
    <row r="35" spans="1:15" s="209" customFormat="1">
      <c r="A35" s="651">
        <f t="shared" si="4"/>
        <v>19</v>
      </c>
      <c r="B35" s="209" t="s">
        <v>1098</v>
      </c>
      <c r="C35" s="1216">
        <v>4752.09</v>
      </c>
      <c r="D35" s="1216">
        <v>6856.0500000000011</v>
      </c>
      <c r="E35" s="1216">
        <v>7434.7199999999993</v>
      </c>
      <c r="F35" s="1216">
        <v>5479.3600000000006</v>
      </c>
      <c r="G35" s="1216">
        <v>1251.83</v>
      </c>
      <c r="H35" s="1216">
        <v>3309.2599999999998</v>
      </c>
      <c r="I35" s="1216">
        <v>2702.0099999999948</v>
      </c>
      <c r="J35" s="1216">
        <v>5404.0599999999977</v>
      </c>
      <c r="K35" s="1216">
        <v>7467.6399999999994</v>
      </c>
      <c r="L35" s="1216">
        <v>9253.6900000000023</v>
      </c>
      <c r="M35" s="1216">
        <v>4467.679999999993</v>
      </c>
      <c r="N35" s="1216">
        <v>3357</v>
      </c>
      <c r="O35" s="1216">
        <f t="shared" si="3"/>
        <v>61735.389999999985</v>
      </c>
    </row>
    <row r="36" spans="1:15" s="209" customFormat="1">
      <c r="A36" s="651">
        <f t="shared" si="4"/>
        <v>20</v>
      </c>
      <c r="B36" s="209" t="s">
        <v>1085</v>
      </c>
      <c r="C36" s="1216">
        <v>141032.87000000002</v>
      </c>
      <c r="D36" s="1216">
        <v>125051.09999999999</v>
      </c>
      <c r="E36" s="1216">
        <v>123251.69</v>
      </c>
      <c r="F36" s="1216">
        <v>125008.11000000002</v>
      </c>
      <c r="G36" s="1216">
        <v>118440.73000000001</v>
      </c>
      <c r="H36" s="1216">
        <v>118770.03999999998</v>
      </c>
      <c r="I36" s="1216">
        <v>129980.29470077946</v>
      </c>
      <c r="J36" s="1216">
        <v>130012.70893826768</v>
      </c>
      <c r="K36" s="1216">
        <v>130037.41377889497</v>
      </c>
      <c r="L36" s="1216">
        <v>129996.2387496912</v>
      </c>
      <c r="M36" s="1216">
        <v>136710.24423301913</v>
      </c>
      <c r="N36" s="1216">
        <v>136709.62706668381</v>
      </c>
      <c r="O36" s="1216">
        <f t="shared" si="3"/>
        <v>1545001.0674673363</v>
      </c>
    </row>
    <row r="37" spans="1:15" s="209" customFormat="1">
      <c r="A37" s="651">
        <f t="shared" si="4"/>
        <v>21</v>
      </c>
      <c r="B37" s="209" t="s">
        <v>1030</v>
      </c>
      <c r="C37" s="1216">
        <v>159991.79999999999</v>
      </c>
      <c r="D37" s="1216">
        <v>16188.84</v>
      </c>
      <c r="E37" s="1216">
        <v>36426.410000000003</v>
      </c>
      <c r="F37" s="1216">
        <v>156488.47999999998</v>
      </c>
      <c r="G37" s="1216">
        <v>11632.039999999999</v>
      </c>
      <c r="H37" s="1216">
        <v>48817.619999999995</v>
      </c>
      <c r="I37" s="1216">
        <v>66129.796858155736</v>
      </c>
      <c r="J37" s="1216">
        <v>66129.796858155736</v>
      </c>
      <c r="K37" s="1216">
        <v>62388.452894155736</v>
      </c>
      <c r="L37" s="1216">
        <v>66129.796858155736</v>
      </c>
      <c r="M37" s="1216">
        <v>65433.130191489072</v>
      </c>
      <c r="N37" s="1216">
        <v>63561.978209489076</v>
      </c>
      <c r="O37" s="1216">
        <f t="shared" si="3"/>
        <v>819318.1418696011</v>
      </c>
    </row>
    <row r="38" spans="1:15" s="209" customFormat="1">
      <c r="A38" s="651">
        <f t="shared" si="4"/>
        <v>22</v>
      </c>
      <c r="B38" s="209" t="s">
        <v>1092</v>
      </c>
      <c r="C38" s="1216">
        <v>11517.02</v>
      </c>
      <c r="D38" s="1216">
        <v>11925.880000000001</v>
      </c>
      <c r="E38" s="1216">
        <v>1400</v>
      </c>
      <c r="F38" s="1216">
        <v>18670.379999999997</v>
      </c>
      <c r="G38" s="1216">
        <v>6060</v>
      </c>
      <c r="H38" s="1216">
        <v>11275</v>
      </c>
      <c r="I38" s="1216">
        <v>8661.3488791666678</v>
      </c>
      <c r="J38" s="1216">
        <v>8661.3488791666678</v>
      </c>
      <c r="K38" s="1216">
        <v>8661.3488791666678</v>
      </c>
      <c r="L38" s="1216">
        <v>8661.3488791666678</v>
      </c>
      <c r="M38" s="1216">
        <v>8661.3488791666678</v>
      </c>
      <c r="N38" s="1216">
        <v>8661.3488791666678</v>
      </c>
      <c r="O38" s="1216">
        <f t="shared" si="3"/>
        <v>112816.37327500005</v>
      </c>
    </row>
    <row r="39" spans="1:15" s="209" customFormat="1">
      <c r="A39" s="651">
        <f t="shared" si="4"/>
        <v>23</v>
      </c>
      <c r="B39" s="209" t="s">
        <v>1031</v>
      </c>
      <c r="C39" s="1216">
        <v>58344.100000000006</v>
      </c>
      <c r="D39" s="1216">
        <v>71123.390000000014</v>
      </c>
      <c r="E39" s="1216">
        <v>68516.200000000012</v>
      </c>
      <c r="F39" s="1216">
        <v>85244.38</v>
      </c>
      <c r="G39" s="1216">
        <v>55744.15</v>
      </c>
      <c r="H39" s="1216">
        <v>92215.370000000024</v>
      </c>
      <c r="I39" s="1216">
        <v>155027.54999999999</v>
      </c>
      <c r="J39" s="1216">
        <v>154595.41</v>
      </c>
      <c r="K39" s="1216">
        <v>161169.28</v>
      </c>
      <c r="L39" s="1216">
        <v>155816.87</v>
      </c>
      <c r="M39" s="1216">
        <v>144363.66999999998</v>
      </c>
      <c r="N39" s="1216">
        <v>144711.25</v>
      </c>
      <c r="O39" s="1216">
        <f t="shared" si="3"/>
        <v>1346871.62</v>
      </c>
    </row>
    <row r="40" spans="1:15" s="209" customFormat="1">
      <c r="A40" s="651">
        <f t="shared" si="4"/>
        <v>24</v>
      </c>
      <c r="B40" s="209" t="s">
        <v>1091</v>
      </c>
      <c r="C40" s="1216">
        <v>1895553.2700000003</v>
      </c>
      <c r="D40" s="1216">
        <v>1608784.2200000002</v>
      </c>
      <c r="E40" s="1216">
        <v>1876933.9500000002</v>
      </c>
      <c r="F40" s="1216">
        <v>2426361.69</v>
      </c>
      <c r="G40" s="1216">
        <v>1850401.3499999999</v>
      </c>
      <c r="H40" s="1216">
        <v>2302675.3200000003</v>
      </c>
      <c r="I40" s="1216">
        <v>1784053.1343812884</v>
      </c>
      <c r="J40" s="1216">
        <v>1736655.0192383174</v>
      </c>
      <c r="K40" s="1216">
        <v>1737447.3378476459</v>
      </c>
      <c r="L40" s="1216">
        <v>1755383.7951772329</v>
      </c>
      <c r="M40" s="1216">
        <v>1651633.2248197009</v>
      </c>
      <c r="N40" s="1216">
        <v>1656610.6783628371</v>
      </c>
      <c r="O40" s="1216">
        <f t="shared" si="3"/>
        <v>22282492.989827022</v>
      </c>
    </row>
    <row r="41" spans="1:15" s="209" customFormat="1">
      <c r="A41" s="651">
        <f t="shared" si="4"/>
        <v>25</v>
      </c>
      <c r="B41" s="208" t="s">
        <v>1556</v>
      </c>
      <c r="C41" s="1216">
        <v>105811.77000000002</v>
      </c>
      <c r="D41" s="1216">
        <v>44700.56</v>
      </c>
      <c r="E41" s="1216">
        <v>-22690.459999999992</v>
      </c>
      <c r="F41" s="1216">
        <v>12723.91</v>
      </c>
      <c r="G41" s="1216">
        <v>192437.86</v>
      </c>
      <c r="H41" s="1216">
        <v>148416.75</v>
      </c>
      <c r="I41" s="1216">
        <v>81075.042727837223</v>
      </c>
      <c r="J41" s="1216">
        <v>44465.097462149337</v>
      </c>
      <c r="K41" s="1216">
        <v>41034.72548490452</v>
      </c>
      <c r="L41" s="1216">
        <v>30053.285927549179</v>
      </c>
      <c r="M41" s="1216">
        <v>42208.947523496572</v>
      </c>
      <c r="N41" s="1216">
        <v>31488.783552935129</v>
      </c>
      <c r="O41" s="1216">
        <f t="shared" si="3"/>
        <v>751726.27267887187</v>
      </c>
    </row>
    <row r="42" spans="1:15" s="209" customFormat="1">
      <c r="A42" s="651">
        <f t="shared" si="4"/>
        <v>26</v>
      </c>
      <c r="B42" s="208" t="s">
        <v>1557</v>
      </c>
      <c r="C42" s="1216">
        <v>2003.8200000000004</v>
      </c>
      <c r="D42" s="1216">
        <v>5275.34</v>
      </c>
      <c r="E42" s="1216">
        <v>15353.32</v>
      </c>
      <c r="F42" s="1216">
        <v>17951.28</v>
      </c>
      <c r="G42" s="1216">
        <v>25291.79</v>
      </c>
      <c r="H42" s="1216">
        <v>18602.349999999999</v>
      </c>
      <c r="I42" s="1216">
        <v>21855.639872162781</v>
      </c>
      <c r="J42" s="1216">
        <v>19452.005017850661</v>
      </c>
      <c r="K42" s="1216">
        <v>5148.7556550954814</v>
      </c>
      <c r="L42" s="1216">
        <v>6651.2930024508223</v>
      </c>
      <c r="M42" s="1216">
        <v>2313.6660565034249</v>
      </c>
      <c r="N42" s="1216">
        <v>7628.7379470648739</v>
      </c>
      <c r="O42" s="1216">
        <f t="shared" si="3"/>
        <v>147527.99755112804</v>
      </c>
    </row>
    <row r="43" spans="1:15" s="209" customFormat="1">
      <c r="A43" s="651">
        <f t="shared" si="4"/>
        <v>27</v>
      </c>
      <c r="B43" s="209" t="s">
        <v>1101</v>
      </c>
      <c r="C43" s="1216">
        <v>-12592.9</v>
      </c>
      <c r="D43" s="1216">
        <v>-18979.77</v>
      </c>
      <c r="E43" s="1216">
        <v>-29728.93</v>
      </c>
      <c r="F43" s="1216">
        <v>-5006.7</v>
      </c>
      <c r="G43" s="1216">
        <v>21698.080000000002</v>
      </c>
      <c r="H43" s="1216">
        <v>-5816.51</v>
      </c>
      <c r="I43" s="1216">
        <v>-6498.72</v>
      </c>
      <c r="J43" s="1216">
        <v>-6941.85</v>
      </c>
      <c r="K43" s="1216">
        <v>-8271.27</v>
      </c>
      <c r="L43" s="1216">
        <v>-6498.72</v>
      </c>
      <c r="M43" s="1216">
        <v>-6941.85</v>
      </c>
      <c r="N43" s="1216">
        <v>-8271.27</v>
      </c>
      <c r="O43" s="1216">
        <f t="shared" si="3"/>
        <v>-93850.410000000018</v>
      </c>
    </row>
    <row r="44" spans="1:15" s="209" customFormat="1">
      <c r="A44" s="651">
        <f t="shared" si="4"/>
        <v>28</v>
      </c>
      <c r="B44" s="209" t="s">
        <v>1089</v>
      </c>
      <c r="C44" s="1216">
        <v>16375.29</v>
      </c>
      <c r="D44" s="1216">
        <v>16375.29</v>
      </c>
      <c r="E44" s="1216">
        <v>16375.29</v>
      </c>
      <c r="F44" s="1216">
        <v>16375.29</v>
      </c>
      <c r="G44" s="1216">
        <v>16375.29</v>
      </c>
      <c r="H44" s="1216">
        <v>16375.29</v>
      </c>
      <c r="I44" s="1216">
        <v>16375.25</v>
      </c>
      <c r="J44" s="1216">
        <v>16375.25</v>
      </c>
      <c r="K44" s="1216">
        <v>16375.25</v>
      </c>
      <c r="L44" s="1216">
        <v>16375.25</v>
      </c>
      <c r="M44" s="1216">
        <v>16375.25</v>
      </c>
      <c r="N44" s="1216">
        <v>16375.25</v>
      </c>
      <c r="O44" s="1216">
        <f t="shared" si="3"/>
        <v>196503.24000000002</v>
      </c>
    </row>
    <row r="45" spans="1:15" s="209" customFormat="1">
      <c r="A45" s="651">
        <f t="shared" si="4"/>
        <v>29</v>
      </c>
      <c r="B45" s="209" t="s">
        <v>1095</v>
      </c>
      <c r="C45" s="1216">
        <v>22512.989999999998</v>
      </c>
      <c r="D45" s="1216">
        <v>58134.559999999998</v>
      </c>
      <c r="E45" s="1216">
        <v>9742.61</v>
      </c>
      <c r="F45" s="1216">
        <v>17774.03</v>
      </c>
      <c r="G45" s="1216">
        <v>-2919.22</v>
      </c>
      <c r="H45" s="1216">
        <v>19249.86</v>
      </c>
      <c r="I45" s="1216">
        <v>12036.325356096329</v>
      </c>
      <c r="J45" s="1216">
        <v>12036.325356096329</v>
      </c>
      <c r="K45" s="1216">
        <v>12036.325356096329</v>
      </c>
      <c r="L45" s="1216">
        <v>12036.325356096329</v>
      </c>
      <c r="M45" s="1216">
        <v>12036.325356096329</v>
      </c>
      <c r="N45" s="1216">
        <v>12036.325356096329</v>
      </c>
      <c r="O45" s="1216">
        <f t="shared" si="3"/>
        <v>196712.78213657791</v>
      </c>
    </row>
    <row r="46" spans="1:15" s="209" customFormat="1">
      <c r="A46" s="651">
        <f t="shared" si="4"/>
        <v>30</v>
      </c>
      <c r="B46" s="208" t="s">
        <v>1541</v>
      </c>
      <c r="C46" s="1216">
        <v>37009.199999999997</v>
      </c>
      <c r="D46" s="1216">
        <v>37163.999999999993</v>
      </c>
      <c r="E46" s="1216">
        <v>37782.300000000003</v>
      </c>
      <c r="F46" s="1216">
        <v>38002.5</v>
      </c>
      <c r="G46" s="1216">
        <v>37890</v>
      </c>
      <c r="H46" s="1216">
        <v>37890.300000000003</v>
      </c>
      <c r="I46" s="1216">
        <v>39057.807353015502</v>
      </c>
      <c r="J46" s="1216">
        <v>38843.353996721067</v>
      </c>
      <c r="K46" s="1216">
        <v>38691.055339290637</v>
      </c>
      <c r="L46" s="1216">
        <v>38504.225910654794</v>
      </c>
      <c r="M46" s="1216">
        <v>38460.809988419613</v>
      </c>
      <c r="N46" s="1216">
        <v>38387.80734042207</v>
      </c>
      <c r="O46" s="1216">
        <f t="shared" si="3"/>
        <v>457683.35992852366</v>
      </c>
    </row>
    <row r="47" spans="1:15" s="209" customFormat="1">
      <c r="A47" s="651">
        <f t="shared" si="4"/>
        <v>31</v>
      </c>
      <c r="B47" s="209" t="s">
        <v>1102</v>
      </c>
      <c r="C47" s="1216">
        <v>0</v>
      </c>
      <c r="D47" s="1216">
        <v>0</v>
      </c>
      <c r="E47" s="1216">
        <v>13180</v>
      </c>
      <c r="F47" s="1216">
        <v>3295</v>
      </c>
      <c r="G47" s="1216">
        <v>16475</v>
      </c>
      <c r="H47" s="1216">
        <v>0</v>
      </c>
      <c r="I47" s="1216">
        <v>11787.92609004587</v>
      </c>
      <c r="J47" s="1216">
        <v>11787.92609004587</v>
      </c>
      <c r="K47" s="1216">
        <v>2720.2906361644318</v>
      </c>
      <c r="L47" s="1216">
        <v>906.76354538814394</v>
      </c>
      <c r="M47" s="1216">
        <v>7942.9700599772996</v>
      </c>
      <c r="N47" s="1216">
        <v>1051.491991103484</v>
      </c>
      <c r="O47" s="1216">
        <f t="shared" si="3"/>
        <v>69147.368412725104</v>
      </c>
    </row>
    <row r="48" spans="1:15" s="209" customFormat="1">
      <c r="A48" s="651">
        <f t="shared" si="4"/>
        <v>32</v>
      </c>
      <c r="B48" s="209" t="s">
        <v>1086</v>
      </c>
      <c r="C48" s="1216">
        <v>212652.01</v>
      </c>
      <c r="D48" s="1216">
        <v>204815.84</v>
      </c>
      <c r="E48" s="1216">
        <v>211468.78</v>
      </c>
      <c r="F48" s="1216">
        <v>225487.70999999996</v>
      </c>
      <c r="G48" s="1216">
        <v>187605.00000000003</v>
      </c>
      <c r="H48" s="1216">
        <v>325948.06</v>
      </c>
      <c r="I48" s="1216">
        <v>202114.95947687858</v>
      </c>
      <c r="J48" s="1216">
        <v>197506.02004608561</v>
      </c>
      <c r="K48" s="1216">
        <v>191746.44430741519</v>
      </c>
      <c r="L48" s="1216">
        <v>181031.13440141079</v>
      </c>
      <c r="M48" s="1216">
        <v>181478.39862658843</v>
      </c>
      <c r="N48" s="1216">
        <v>191263.85218193347</v>
      </c>
      <c r="O48" s="1216">
        <f t="shared" si="3"/>
        <v>2513118.2090403116</v>
      </c>
    </row>
    <row r="49" spans="1:45" s="209" customFormat="1">
      <c r="A49" s="651">
        <f t="shared" si="4"/>
        <v>33</v>
      </c>
      <c r="B49" s="209" t="s">
        <v>1558</v>
      </c>
      <c r="C49" s="1216">
        <v>22402.67</v>
      </c>
      <c r="D49" s="1216">
        <v>22402.67</v>
      </c>
      <c r="E49" s="1216">
        <v>22402.67</v>
      </c>
      <c r="F49" s="1216">
        <v>22402.67</v>
      </c>
      <c r="G49" s="1216">
        <v>22402.67</v>
      </c>
      <c r="H49" s="1216">
        <v>22402.67</v>
      </c>
      <c r="I49" s="1216">
        <v>22402.67</v>
      </c>
      <c r="J49" s="1216">
        <v>22402.67</v>
      </c>
      <c r="K49" s="1216">
        <v>22402.67</v>
      </c>
      <c r="L49" s="1216">
        <v>22402.67</v>
      </c>
      <c r="M49" s="1216">
        <v>22402.67</v>
      </c>
      <c r="N49" s="1216">
        <v>22402.67</v>
      </c>
      <c r="O49" s="1216">
        <f t="shared" si="3"/>
        <v>268832.03999999992</v>
      </c>
    </row>
    <row r="50" spans="1:45" s="209" customFormat="1">
      <c r="A50" s="651">
        <f t="shared" si="4"/>
        <v>34</v>
      </c>
      <c r="B50" s="209" t="s">
        <v>1100</v>
      </c>
      <c r="C50" s="1216">
        <v>8073.8800000000028</v>
      </c>
      <c r="D50" s="1216">
        <v>916.27000000000089</v>
      </c>
      <c r="E50" s="1216">
        <v>-7666.88</v>
      </c>
      <c r="F50" s="1216">
        <v>-4829.2400000000025</v>
      </c>
      <c r="G50" s="1216">
        <v>480.17000000000019</v>
      </c>
      <c r="H50" s="1216">
        <v>22214.129999999997</v>
      </c>
      <c r="I50" s="1216">
        <v>42655.623646962784</v>
      </c>
      <c r="J50" s="1216">
        <v>25432.592030312764</v>
      </c>
      <c r="K50" s="1216">
        <v>27128.770447302959</v>
      </c>
      <c r="L50" s="1216">
        <v>23694.453460716599</v>
      </c>
      <c r="M50" s="1216">
        <v>23954.390687639985</v>
      </c>
      <c r="N50" s="1216">
        <v>23833.768125335795</v>
      </c>
      <c r="O50" s="1216">
        <f t="shared" si="3"/>
        <v>185887.92839827092</v>
      </c>
    </row>
    <row r="51" spans="1:45" s="209" customFormat="1">
      <c r="A51" s="651">
        <f t="shared" si="4"/>
        <v>35</v>
      </c>
      <c r="B51" s="209" t="s">
        <v>1262</v>
      </c>
      <c r="C51" s="1220">
        <f t="shared" ref="C51:O51" si="5">SUM(C29:C50)</f>
        <v>3251393.5000000009</v>
      </c>
      <c r="D51" s="1220">
        <f t="shared" si="5"/>
        <v>2802104.05</v>
      </c>
      <c r="E51" s="1220">
        <f t="shared" si="5"/>
        <v>2977046.01</v>
      </c>
      <c r="F51" s="1220">
        <f t="shared" si="5"/>
        <v>3560522.5899999989</v>
      </c>
      <c r="G51" s="1220">
        <f t="shared" si="5"/>
        <v>2916785.3899999997</v>
      </c>
      <c r="H51" s="1220">
        <f t="shared" si="5"/>
        <v>3933152.14</v>
      </c>
      <c r="I51" s="1220">
        <f t="shared" si="5"/>
        <v>3344414.7308666925</v>
      </c>
      <c r="J51" s="1220">
        <f t="shared" si="5"/>
        <v>3225289.8967354442</v>
      </c>
      <c r="K51" s="1220">
        <f t="shared" si="5"/>
        <v>3255979.3021602049</v>
      </c>
      <c r="L51" s="1220">
        <f t="shared" si="5"/>
        <v>3380979.64386723</v>
      </c>
      <c r="M51" s="1220">
        <f t="shared" si="5"/>
        <v>3115168.1688909838</v>
      </c>
      <c r="N51" s="1220">
        <f t="shared" si="5"/>
        <v>3134217.5699485238</v>
      </c>
      <c r="O51" s="1220">
        <f t="shared" si="5"/>
        <v>38897052.992469087</v>
      </c>
    </row>
    <row r="52" spans="1:45" s="209" customFormat="1">
      <c r="C52" s="1216"/>
      <c r="D52" s="1216"/>
      <c r="E52" s="1216"/>
      <c r="F52" s="1216"/>
      <c r="G52" s="1216"/>
      <c r="H52" s="1216"/>
      <c r="I52" s="1216"/>
      <c r="J52" s="1216"/>
      <c r="K52" s="1216"/>
      <c r="L52" s="1216"/>
      <c r="M52" s="1216"/>
      <c r="N52" s="1216"/>
      <c r="O52" s="1216"/>
    </row>
    <row r="53" spans="1:45" s="209" customFormat="1">
      <c r="A53" s="651">
        <f>+A51+1</f>
        <v>36</v>
      </c>
      <c r="B53" s="209" t="s">
        <v>2355</v>
      </c>
      <c r="C53" s="1218">
        <f t="shared" ref="C53:O53" si="6">C27+C51</f>
        <v>4792650.03</v>
      </c>
      <c r="D53" s="1218">
        <f t="shared" si="6"/>
        <v>3865632.61</v>
      </c>
      <c r="E53" s="1218">
        <f t="shared" si="6"/>
        <v>4265723.3099999996</v>
      </c>
      <c r="F53" s="1218">
        <f t="shared" si="6"/>
        <v>5221078.2399999993</v>
      </c>
      <c r="G53" s="1218">
        <f t="shared" si="6"/>
        <v>4288203.03</v>
      </c>
      <c r="H53" s="1218">
        <f t="shared" si="6"/>
        <v>5339144.66</v>
      </c>
      <c r="I53" s="1218">
        <f t="shared" si="6"/>
        <v>4700124.6012077536</v>
      </c>
      <c r="J53" s="1218">
        <f t="shared" si="6"/>
        <v>4606122.139227584</v>
      </c>
      <c r="K53" s="1218">
        <f t="shared" si="6"/>
        <v>4568199.4334529247</v>
      </c>
      <c r="L53" s="1218">
        <f t="shared" si="6"/>
        <v>4736942.3627521228</v>
      </c>
      <c r="M53" s="1218">
        <f t="shared" si="6"/>
        <v>4488568.4744996605</v>
      </c>
      <c r="N53" s="1218">
        <f t="shared" si="6"/>
        <v>4425655.0163437314</v>
      </c>
      <c r="O53" s="1218">
        <f t="shared" si="6"/>
        <v>55298043.907483786</v>
      </c>
    </row>
    <row r="54" spans="1:45">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row>
    <row r="55" spans="1:45">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row>
    <row r="56" spans="1:45">
      <c r="P56" s="644"/>
      <c r="Q56" s="644"/>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row>
    <row r="57" spans="1:45" s="209" customFormat="1">
      <c r="A57" s="651"/>
      <c r="B57" s="653"/>
      <c r="C57" s="652"/>
      <c r="D57" s="652"/>
      <c r="E57" s="652"/>
      <c r="F57" s="652"/>
      <c r="G57" s="652"/>
      <c r="H57" s="652"/>
      <c r="I57" s="652"/>
      <c r="J57" s="652"/>
      <c r="K57" s="652"/>
      <c r="L57" s="652"/>
      <c r="M57" s="652"/>
      <c r="N57" s="652"/>
      <c r="O57" s="652"/>
    </row>
    <row r="58" spans="1:45">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row>
    <row r="59" spans="1:45">
      <c r="P59" s="644"/>
      <c r="Q59" s="644"/>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row>
    <row r="60" spans="1:45">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row>
    <row r="61" spans="1:45">
      <c r="P61" s="644"/>
      <c r="Q61" s="644"/>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row>
    <row r="62" spans="1:45">
      <c r="P62" s="644"/>
      <c r="Q62" s="644"/>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row>
    <row r="63" spans="1:45">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row>
    <row r="64" spans="1:45">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row>
    <row r="65" spans="16:45">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row>
    <row r="66" spans="16:45">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row>
    <row r="67" spans="16:45">
      <c r="P67" s="644"/>
      <c r="Q67" s="644"/>
      <c r="R67" s="644"/>
      <c r="S67" s="644"/>
      <c r="T67" s="644"/>
      <c r="U67" s="644"/>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row>
    <row r="68" spans="16:45">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row>
    <row r="69" spans="16:45">
      <c r="P69" s="644"/>
      <c r="Q69" s="644"/>
      <c r="R69" s="644"/>
      <c r="S69" s="644"/>
      <c r="T69" s="644"/>
      <c r="U69" s="644"/>
      <c r="V69" s="644"/>
      <c r="W69" s="644"/>
      <c r="X69" s="644"/>
      <c r="Y69" s="644"/>
      <c r="Z69" s="644"/>
      <c r="AA69" s="644"/>
      <c r="AB69" s="644"/>
      <c r="AC69" s="644"/>
      <c r="AD69" s="644"/>
      <c r="AE69" s="644"/>
      <c r="AF69" s="644"/>
      <c r="AG69" s="644"/>
      <c r="AH69" s="644"/>
      <c r="AI69" s="644"/>
      <c r="AJ69" s="644"/>
      <c r="AK69" s="644"/>
      <c r="AL69" s="644"/>
      <c r="AM69" s="644"/>
      <c r="AN69" s="644"/>
      <c r="AO69" s="644"/>
      <c r="AP69" s="644"/>
      <c r="AQ69" s="644"/>
      <c r="AR69" s="644"/>
      <c r="AS69" s="644"/>
    </row>
    <row r="70" spans="16:45">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row>
    <row r="71" spans="16:45">
      <c r="P71" s="644"/>
      <c r="Q71" s="644"/>
      <c r="R71" s="644"/>
      <c r="S71" s="644"/>
      <c r="T71" s="644"/>
      <c r="U71" s="644"/>
      <c r="V71" s="644"/>
      <c r="W71" s="644"/>
      <c r="X71" s="644"/>
      <c r="Y71" s="644"/>
      <c r="Z71" s="644"/>
      <c r="AA71" s="644"/>
      <c r="AB71" s="644"/>
      <c r="AC71" s="644"/>
      <c r="AD71" s="644"/>
      <c r="AE71" s="644"/>
      <c r="AF71" s="644"/>
      <c r="AG71" s="644"/>
      <c r="AH71" s="644"/>
      <c r="AI71" s="644"/>
      <c r="AJ71" s="644"/>
      <c r="AK71" s="644"/>
      <c r="AL71" s="644"/>
      <c r="AM71" s="644"/>
      <c r="AN71" s="644"/>
      <c r="AO71" s="644"/>
      <c r="AP71" s="644"/>
      <c r="AQ71" s="644"/>
      <c r="AR71" s="644"/>
      <c r="AS71" s="644"/>
    </row>
    <row r="72" spans="16:45">
      <c r="P72" s="644"/>
      <c r="Q72" s="644"/>
      <c r="R72" s="644"/>
      <c r="S72" s="644"/>
      <c r="T72" s="644"/>
      <c r="U72" s="644"/>
      <c r="V72" s="644"/>
      <c r="W72" s="644"/>
      <c r="X72" s="644"/>
      <c r="Y72" s="644"/>
      <c r="Z72" s="644"/>
      <c r="AA72" s="644"/>
      <c r="AB72" s="644"/>
      <c r="AC72" s="644"/>
      <c r="AD72" s="644"/>
      <c r="AE72" s="644"/>
      <c r="AF72" s="644"/>
      <c r="AG72" s="644"/>
      <c r="AH72" s="644"/>
      <c r="AI72" s="644"/>
      <c r="AJ72" s="644"/>
      <c r="AK72" s="644"/>
      <c r="AL72" s="644"/>
      <c r="AM72" s="644"/>
      <c r="AN72" s="644"/>
      <c r="AO72" s="644"/>
      <c r="AP72" s="644"/>
      <c r="AQ72" s="644"/>
      <c r="AR72" s="644"/>
      <c r="AS72" s="644"/>
    </row>
  </sheetData>
  <mergeCells count="4">
    <mergeCell ref="A1:O1"/>
    <mergeCell ref="A2:O2"/>
    <mergeCell ref="A3:O3"/>
    <mergeCell ref="A4:O4"/>
  </mergeCells>
  <printOptions horizontalCentered="1"/>
  <pageMargins left="0.5" right="0.5" top="0.75" bottom="0.5" header="0.3" footer="0.3"/>
  <pageSetup scale="7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57"/>
  <sheetViews>
    <sheetView zoomScaleNormal="100" zoomScaleSheetLayoutView="100" workbookViewId="0">
      <selection activeCell="A3" sqref="A3:O3"/>
    </sheetView>
  </sheetViews>
  <sheetFormatPr defaultColWidth="9.1640625" defaultRowHeight="12"/>
  <cols>
    <col min="1" max="1" width="5.1640625" style="209" bestFit="1" customWidth="1"/>
    <col min="2" max="2" width="41.1640625" style="209" customWidth="1"/>
    <col min="3" max="14" width="12.1640625" style="209" customWidth="1"/>
    <col min="15" max="15" width="17.6640625" style="209" customWidth="1"/>
    <col min="16" max="16384" width="9.1640625" style="644"/>
  </cols>
  <sheetData>
    <row r="1" spans="1:15" s="133" customFormat="1">
      <c r="A1" s="1328" t="str">
        <f>'General Headers Index'!B4</f>
        <v>COLUMBIA GAS OF KENTUCKY, INC.</v>
      </c>
      <c r="B1" s="1328"/>
      <c r="C1" s="1328"/>
      <c r="D1" s="1328"/>
      <c r="E1" s="1328"/>
      <c r="F1" s="1328"/>
      <c r="G1" s="1328"/>
      <c r="H1" s="1328"/>
      <c r="I1" s="1328"/>
      <c r="J1" s="1328"/>
      <c r="K1" s="1328"/>
      <c r="L1" s="1328"/>
      <c r="M1" s="1328"/>
      <c r="N1" s="1328"/>
      <c r="O1" s="1328"/>
    </row>
    <row r="2" spans="1:15" s="133" customFormat="1">
      <c r="A2" s="1328" t="str">
        <f>'General Headers Index'!B6</f>
        <v>CASE NO. 2024 - 00092</v>
      </c>
      <c r="B2" s="1328"/>
      <c r="C2" s="1328"/>
      <c r="D2" s="1328"/>
      <c r="E2" s="1328"/>
      <c r="F2" s="1328"/>
      <c r="G2" s="1328"/>
      <c r="H2" s="1328"/>
      <c r="I2" s="1328"/>
      <c r="J2" s="1328"/>
      <c r="K2" s="1328"/>
      <c r="L2" s="1328"/>
      <c r="M2" s="1328"/>
      <c r="N2" s="1328"/>
      <c r="O2" s="1328"/>
    </row>
    <row r="3" spans="1:15" s="133" customFormat="1">
      <c r="A3" s="1328" t="str">
        <f>'Index D'!C30</f>
        <v>DETAILED ADJUSTMENTS</v>
      </c>
      <c r="B3" s="1328"/>
      <c r="C3" s="1328"/>
      <c r="D3" s="1328"/>
      <c r="E3" s="1328"/>
      <c r="F3" s="1328"/>
      <c r="G3" s="1328"/>
      <c r="H3" s="1328"/>
      <c r="I3" s="1328"/>
      <c r="J3" s="1328"/>
      <c r="K3" s="1328"/>
      <c r="L3" s="1328"/>
      <c r="M3" s="1328"/>
      <c r="N3" s="1328"/>
      <c r="O3" s="1328"/>
    </row>
    <row r="4" spans="1:15" s="133" customForma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row>
    <row r="5" spans="1:15">
      <c r="A5" s="623"/>
      <c r="B5" s="133"/>
      <c r="C5" s="133"/>
      <c r="D5" s="133"/>
      <c r="E5" s="133"/>
      <c r="F5" s="133"/>
      <c r="G5" s="133"/>
    </row>
    <row r="6" spans="1:15">
      <c r="A6" s="625" t="s">
        <v>2835</v>
      </c>
      <c r="B6" s="133"/>
      <c r="C6" s="133"/>
      <c r="D6" s="133"/>
      <c r="E6" s="133"/>
      <c r="F6" s="133"/>
      <c r="G6" s="133"/>
      <c r="O6" s="645" t="s">
        <v>2988</v>
      </c>
    </row>
    <row r="7" spans="1:15" s="209" customFormat="1">
      <c r="A7" s="625" t="str">
        <f>'General Headers Index'!B37</f>
        <v>TYPE OF FILING:___X___ORIGINAL______UPDATED</v>
      </c>
      <c r="B7" s="133"/>
      <c r="O7" s="624" t="s">
        <v>50</v>
      </c>
    </row>
    <row r="8" spans="1:15" s="209" customFormat="1">
      <c r="A8" s="625" t="s">
        <v>58</v>
      </c>
      <c r="B8" s="133"/>
      <c r="C8" s="647"/>
      <c r="D8" s="647"/>
      <c r="E8" s="647"/>
      <c r="F8" s="647"/>
      <c r="G8" s="647"/>
      <c r="H8" s="647"/>
      <c r="I8" s="647"/>
      <c r="J8" s="647"/>
      <c r="K8" s="647"/>
      <c r="L8" s="647"/>
      <c r="M8" s="647"/>
      <c r="N8" s="647"/>
      <c r="O8" s="645" t="str">
        <f>"WITNESSES: "&amp;'General Headers Index'!$B$52</f>
        <v>WITNESSES: SHAEFFER</v>
      </c>
    </row>
    <row r="9" spans="1:15" s="209" customFormat="1">
      <c r="A9" s="625"/>
      <c r="B9" s="133"/>
      <c r="C9" s="647"/>
      <c r="D9" s="647"/>
      <c r="E9" s="647"/>
      <c r="F9" s="647"/>
      <c r="G9" s="647"/>
      <c r="H9" s="647"/>
      <c r="I9" s="647"/>
      <c r="J9" s="647"/>
      <c r="K9" s="647"/>
      <c r="L9" s="647"/>
      <c r="M9" s="647"/>
      <c r="N9" s="647"/>
      <c r="O9" s="645" t="str">
        <f>+'General Headers Index'!$B$54</f>
        <v>INSCHO</v>
      </c>
    </row>
    <row r="10" spans="1:15" s="209" customFormat="1">
      <c r="A10" s="864"/>
      <c r="B10" s="862"/>
      <c r="C10" s="865"/>
      <c r="D10" s="865"/>
      <c r="E10" s="865"/>
      <c r="F10" s="865"/>
      <c r="G10" s="865"/>
      <c r="H10" s="865"/>
      <c r="I10" s="865"/>
      <c r="J10" s="865"/>
      <c r="K10" s="865"/>
      <c r="L10" s="865"/>
      <c r="M10" s="865"/>
      <c r="N10" s="865"/>
      <c r="O10" s="866"/>
    </row>
    <row r="11" spans="1:15" s="209" customFormat="1">
      <c r="A11" s="266" t="s">
        <v>641</v>
      </c>
      <c r="C11" s="646" t="str">
        <f>+'C-2.2.B Total Co Accts Activ '!D10</f>
        <v>Forecasted</v>
      </c>
      <c r="D11" s="646" t="str">
        <f>+'C-2.2.B Total Co Accts Activ '!E10</f>
        <v>Forecasted</v>
      </c>
      <c r="E11" s="646" t="str">
        <f>+'C-2.2.B Total Co Accts Activ '!F10</f>
        <v>Forecasted</v>
      </c>
      <c r="F11" s="646" t="str">
        <f>+'C-2.2.B Total Co Accts Activ '!G10</f>
        <v>Forecasted</v>
      </c>
      <c r="G11" s="646" t="str">
        <f>+'C-2.2.B Total Co Accts Activ '!H10</f>
        <v>Forecasted</v>
      </c>
      <c r="H11" s="646" t="str">
        <f>+'C-2.2.B Total Co Accts Activ '!I10</f>
        <v>Forecasted</v>
      </c>
      <c r="I11" s="646" t="str">
        <f>+'C-2.2.B Total Co Accts Activ '!J10</f>
        <v>Forecasted</v>
      </c>
      <c r="J11" s="646" t="str">
        <f>+'C-2.2.B Total Co Accts Activ '!K10</f>
        <v>Forecasted</v>
      </c>
      <c r="K11" s="646" t="str">
        <f>+'C-2.2.B Total Co Accts Activ '!L10</f>
        <v>Forecasted</v>
      </c>
      <c r="L11" s="646" t="str">
        <f>+'C-2.2.B Total Co Accts Activ '!M10</f>
        <v>Forecasted</v>
      </c>
      <c r="M11" s="646" t="str">
        <f>+'C-2.2.B Total Co Accts Activ '!N10</f>
        <v>Forecasted</v>
      </c>
      <c r="N11" s="646" t="str">
        <f>+'C-2.2.B Total Co Accts Activ '!O10</f>
        <v>Forecasted</v>
      </c>
      <c r="O11" s="647"/>
    </row>
    <row r="12" spans="1:15" s="209" customFormat="1">
      <c r="A12" s="1040" t="s">
        <v>642</v>
      </c>
      <c r="B12" s="1041" t="s">
        <v>43</v>
      </c>
      <c r="C12" s="1056" t="str">
        <f>+'C-2.2.B Total Co Accts Activ '!D11</f>
        <v>JAN</v>
      </c>
      <c r="D12" s="1056" t="str">
        <f>+'C-2.2.B Total Co Accts Activ '!E11</f>
        <v>FEB</v>
      </c>
      <c r="E12" s="1056" t="str">
        <f>+'C-2.2.B Total Co Accts Activ '!F11</f>
        <v>MAR</v>
      </c>
      <c r="F12" s="1056" t="str">
        <f>+'C-2.2.B Total Co Accts Activ '!G11</f>
        <v>APR</v>
      </c>
      <c r="G12" s="1056" t="str">
        <f>+'C-2.2.B Total Co Accts Activ '!H11</f>
        <v>MAY</v>
      </c>
      <c r="H12" s="1056" t="str">
        <f>+'C-2.2.B Total Co Accts Activ '!I11</f>
        <v>JUN</v>
      </c>
      <c r="I12" s="1056" t="str">
        <f>+'C-2.2.B Total Co Accts Activ '!J11</f>
        <v>JUL</v>
      </c>
      <c r="J12" s="1056" t="str">
        <f>+'C-2.2.B Total Co Accts Activ '!K11</f>
        <v>AUG</v>
      </c>
      <c r="K12" s="1056" t="str">
        <f>+'C-2.2.B Total Co Accts Activ '!L11</f>
        <v>SEP</v>
      </c>
      <c r="L12" s="1056" t="str">
        <f>+'C-2.2.B Total Co Accts Activ '!M11</f>
        <v>OCT</v>
      </c>
      <c r="M12" s="1056" t="str">
        <f>+'C-2.2.B Total Co Accts Activ '!N11</f>
        <v>NOV</v>
      </c>
      <c r="N12" s="1056" t="str">
        <f>+'C-2.2.B Total Co Accts Activ '!O11</f>
        <v>DEC</v>
      </c>
      <c r="O12" s="1056" t="str">
        <f>+'C-2.2.B Total Co Accts Activ '!P11</f>
        <v>TOTAL</v>
      </c>
    </row>
    <row r="13" spans="1:15" s="209" customFormat="1">
      <c r="A13" s="266"/>
      <c r="B13" s="648"/>
      <c r="C13" s="649" t="s">
        <v>532</v>
      </c>
      <c r="D13" s="649" t="s">
        <v>541</v>
      </c>
      <c r="E13" s="649" t="s">
        <v>542</v>
      </c>
      <c r="F13" s="649" t="s">
        <v>668</v>
      </c>
      <c r="G13" s="649" t="s">
        <v>669</v>
      </c>
      <c r="H13" s="649" t="s">
        <v>670</v>
      </c>
      <c r="I13" s="649" t="s">
        <v>984</v>
      </c>
      <c r="J13" s="649" t="s">
        <v>985</v>
      </c>
      <c r="K13" s="649" t="s">
        <v>986</v>
      </c>
      <c r="L13" s="649" t="s">
        <v>987</v>
      </c>
      <c r="M13" s="649" t="s">
        <v>988</v>
      </c>
      <c r="N13" s="649" t="s">
        <v>989</v>
      </c>
      <c r="O13" s="649" t="s">
        <v>2356</v>
      </c>
    </row>
    <row r="14" spans="1:15" s="209" customFormat="1">
      <c r="A14" s="266"/>
      <c r="B14" s="650" t="s">
        <v>1261</v>
      </c>
      <c r="C14" s="647"/>
      <c r="D14" s="647"/>
      <c r="E14" s="647"/>
      <c r="F14" s="647"/>
      <c r="G14" s="647"/>
      <c r="H14" s="647"/>
      <c r="I14" s="647"/>
      <c r="J14" s="647"/>
      <c r="K14" s="647"/>
      <c r="L14" s="647"/>
      <c r="M14" s="647"/>
      <c r="N14" s="647"/>
      <c r="O14" s="647"/>
    </row>
    <row r="15" spans="1:15" s="209" customFormat="1">
      <c r="A15" s="266"/>
      <c r="B15" s="650" t="s">
        <v>1935</v>
      </c>
      <c r="C15" s="647"/>
      <c r="D15" s="647"/>
      <c r="E15" s="647"/>
      <c r="F15" s="647"/>
      <c r="G15" s="647"/>
      <c r="H15" s="647"/>
      <c r="I15" s="647"/>
      <c r="J15" s="647"/>
      <c r="K15" s="647"/>
      <c r="L15" s="647"/>
      <c r="M15" s="647"/>
      <c r="N15" s="647"/>
      <c r="O15" s="647"/>
    </row>
    <row r="16" spans="1:15" s="209" customFormat="1">
      <c r="A16" s="651">
        <v>1</v>
      </c>
      <c r="B16" s="209" t="s">
        <v>1096</v>
      </c>
      <c r="C16" s="1216">
        <v>1032810.6682341652</v>
      </c>
      <c r="D16" s="1216">
        <v>890975.01195216528</v>
      </c>
      <c r="E16" s="1216">
        <v>999671.80758002016</v>
      </c>
      <c r="F16" s="1216">
        <v>1052981.1306950201</v>
      </c>
      <c r="G16" s="1216">
        <v>955518.07506602013</v>
      </c>
      <c r="H16" s="1216">
        <v>997558.12804102001</v>
      </c>
      <c r="I16" s="1216">
        <v>1049842.0912840199</v>
      </c>
      <c r="J16" s="1216">
        <v>916848.02051801991</v>
      </c>
      <c r="K16" s="1216">
        <v>1012184.0053540202</v>
      </c>
      <c r="L16" s="1216">
        <v>936053.66327002004</v>
      </c>
      <c r="M16" s="1216">
        <v>791013.82907302014</v>
      </c>
      <c r="N16" s="1216">
        <v>911037.75087702007</v>
      </c>
      <c r="O16" s="1216">
        <f t="shared" ref="O16:O26" si="0">SUM(C16:N16)</f>
        <v>11546494.18194453</v>
      </c>
    </row>
    <row r="17" spans="1:15" s="209" customFormat="1">
      <c r="A17" s="651">
        <f t="shared" ref="A17:A27" si="1">+A16+1</f>
        <v>2</v>
      </c>
      <c r="B17" s="209" t="s">
        <v>1104</v>
      </c>
      <c r="C17" s="1216">
        <v>66076</v>
      </c>
      <c r="D17" s="1216">
        <v>84019</v>
      </c>
      <c r="E17" s="1216">
        <v>69838</v>
      </c>
      <c r="F17" s="1216">
        <v>70211</v>
      </c>
      <c r="G17" s="1216">
        <v>69492</v>
      </c>
      <c r="H17" s="1216">
        <v>68789</v>
      </c>
      <c r="I17" s="1216">
        <v>70914</v>
      </c>
      <c r="J17" s="1216">
        <v>69492</v>
      </c>
      <c r="K17" s="1216">
        <v>68720</v>
      </c>
      <c r="L17" s="1216">
        <v>70762</v>
      </c>
      <c r="M17" s="1216">
        <v>68604</v>
      </c>
      <c r="N17" s="1216">
        <v>69294</v>
      </c>
      <c r="O17" s="1216">
        <f t="shared" si="0"/>
        <v>846211</v>
      </c>
    </row>
    <row r="18" spans="1:15" s="209" customFormat="1">
      <c r="A18" s="651">
        <f t="shared" si="1"/>
        <v>3</v>
      </c>
      <c r="B18" s="209" t="s">
        <v>1094</v>
      </c>
      <c r="C18" s="1216">
        <v>67413.016227190878</v>
      </c>
      <c r="D18" s="1216">
        <v>67413.016227190878</v>
      </c>
      <c r="E18" s="1216">
        <v>69435.406714006618</v>
      </c>
      <c r="F18" s="1216">
        <v>69435.406714006618</v>
      </c>
      <c r="G18" s="1216">
        <v>69435.406714006618</v>
      </c>
      <c r="H18" s="1216">
        <v>69435.406714006618</v>
      </c>
      <c r="I18" s="1216">
        <v>69435.406714006618</v>
      </c>
      <c r="J18" s="1216">
        <v>69435.406714006618</v>
      </c>
      <c r="K18" s="1216">
        <v>69435.406714006618</v>
      </c>
      <c r="L18" s="1216">
        <v>69435.406714006618</v>
      </c>
      <c r="M18" s="1216">
        <v>69435.406714006618</v>
      </c>
      <c r="N18" s="1216">
        <v>69435.406714006618</v>
      </c>
      <c r="O18" s="1216">
        <f t="shared" si="0"/>
        <v>829180.09959444776</v>
      </c>
    </row>
    <row r="19" spans="1:15" s="209" customFormat="1">
      <c r="A19" s="651">
        <f t="shared" si="1"/>
        <v>4</v>
      </c>
      <c r="B19" s="209" t="s">
        <v>1028</v>
      </c>
      <c r="C19" s="1216">
        <v>9558.8977500000001</v>
      </c>
      <c r="D19" s="1216">
        <v>9558.8977500000001</v>
      </c>
      <c r="E19" s="1216">
        <v>9558.8977500000001</v>
      </c>
      <c r="F19" s="1216">
        <v>9558.8977500000001</v>
      </c>
      <c r="G19" s="1216">
        <v>9558.8977500000001</v>
      </c>
      <c r="H19" s="1216">
        <v>9558.8977500000001</v>
      </c>
      <c r="I19" s="1216">
        <v>9558.8977500000001</v>
      </c>
      <c r="J19" s="1216">
        <v>9558.8977500000001</v>
      </c>
      <c r="K19" s="1216">
        <v>9558.8977500000001</v>
      </c>
      <c r="L19" s="1216">
        <v>9558.8977500000001</v>
      </c>
      <c r="M19" s="1216">
        <v>9558.8977500000001</v>
      </c>
      <c r="N19" s="1216">
        <v>9558.8977500000001</v>
      </c>
      <c r="O19" s="1216">
        <f t="shared" si="0"/>
        <v>114706.77300000003</v>
      </c>
    </row>
    <row r="20" spans="1:15" s="209" customFormat="1">
      <c r="A20" s="651">
        <f t="shared" si="1"/>
        <v>5</v>
      </c>
      <c r="B20" s="208" t="s">
        <v>1550</v>
      </c>
      <c r="C20" s="1216">
        <v>109952.70724133881</v>
      </c>
      <c r="D20" s="1216">
        <v>222207.79574900397</v>
      </c>
      <c r="E20" s="1216">
        <v>133308.78866764621</v>
      </c>
      <c r="F20" s="1216">
        <v>112839.68947418072</v>
      </c>
      <c r="G20" s="1216">
        <v>145212.05031112587</v>
      </c>
      <c r="H20" s="1216">
        <v>148803.40738226401</v>
      </c>
      <c r="I20" s="1216">
        <v>121956.24626615582</v>
      </c>
      <c r="J20" s="1216">
        <v>152824.72622323647</v>
      </c>
      <c r="K20" s="1216">
        <v>156631.72571043001</v>
      </c>
      <c r="L20" s="1216">
        <v>127601.14377913802</v>
      </c>
      <c r="M20" s="1216">
        <v>158287.88293463038</v>
      </c>
      <c r="N20" s="1216">
        <v>160653.67892972971</v>
      </c>
      <c r="O20" s="1216">
        <f t="shared" si="0"/>
        <v>1750279.84266888</v>
      </c>
    </row>
    <row r="21" spans="1:15" s="209" customFormat="1">
      <c r="A21" s="651">
        <f t="shared" si="1"/>
        <v>6</v>
      </c>
      <c r="B21" s="208" t="s">
        <v>1551</v>
      </c>
      <c r="C21" s="1216">
        <v>3463.3687500000001</v>
      </c>
      <c r="D21" s="1216">
        <v>3463.3687500000001</v>
      </c>
      <c r="E21" s="1216">
        <v>3463.3687500000001</v>
      </c>
      <c r="F21" s="1216">
        <v>3463.3687500000001</v>
      </c>
      <c r="G21" s="1216">
        <v>3463.3687500000001</v>
      </c>
      <c r="H21" s="1216">
        <v>3463.3687500000001</v>
      </c>
      <c r="I21" s="1216">
        <v>3463.3687500000001</v>
      </c>
      <c r="J21" s="1216">
        <v>3463.3687500000001</v>
      </c>
      <c r="K21" s="1216">
        <v>3463.3687500000001</v>
      </c>
      <c r="L21" s="1216">
        <v>3463.3687500000001</v>
      </c>
      <c r="M21" s="1216">
        <v>3463.3687500000001</v>
      </c>
      <c r="N21" s="1216">
        <v>3463.3687500000001</v>
      </c>
      <c r="O21" s="1216">
        <f t="shared" si="0"/>
        <v>41560.42500000001</v>
      </c>
    </row>
    <row r="22" spans="1:15" s="209" customFormat="1">
      <c r="A22" s="651">
        <f t="shared" si="1"/>
        <v>7</v>
      </c>
      <c r="B22" s="208" t="s">
        <v>1552</v>
      </c>
      <c r="C22" s="1216">
        <v>1750</v>
      </c>
      <c r="D22" s="1216">
        <v>1750</v>
      </c>
      <c r="E22" s="1216">
        <v>1750</v>
      </c>
      <c r="F22" s="1216">
        <v>1750</v>
      </c>
      <c r="G22" s="1216">
        <v>1750</v>
      </c>
      <c r="H22" s="1216">
        <v>1750</v>
      </c>
      <c r="I22" s="1216">
        <v>1750</v>
      </c>
      <c r="J22" s="1216">
        <v>1750</v>
      </c>
      <c r="K22" s="1216">
        <v>1750</v>
      </c>
      <c r="L22" s="1216">
        <v>1750</v>
      </c>
      <c r="M22" s="1216">
        <v>1750</v>
      </c>
      <c r="N22" s="1216">
        <v>1750</v>
      </c>
      <c r="O22" s="1216">
        <f t="shared" si="0"/>
        <v>21000</v>
      </c>
    </row>
    <row r="23" spans="1:15" s="209" customFormat="1">
      <c r="A23" s="651">
        <f t="shared" si="1"/>
        <v>8</v>
      </c>
      <c r="B23" s="208" t="s">
        <v>1553</v>
      </c>
      <c r="C23" s="1216">
        <v>0</v>
      </c>
      <c r="D23" s="1216">
        <v>0</v>
      </c>
      <c r="E23" s="1216">
        <v>0</v>
      </c>
      <c r="F23" s="1216">
        <v>0</v>
      </c>
      <c r="G23" s="1216">
        <v>0</v>
      </c>
      <c r="H23" s="1216">
        <v>0</v>
      </c>
      <c r="I23" s="1216">
        <v>0</v>
      </c>
      <c r="J23" s="1216">
        <v>0</v>
      </c>
      <c r="K23" s="1216">
        <v>0</v>
      </c>
      <c r="L23" s="1216">
        <v>0</v>
      </c>
      <c r="M23" s="1216">
        <v>0</v>
      </c>
      <c r="N23" s="1216">
        <v>0</v>
      </c>
      <c r="O23" s="1216">
        <f t="shared" si="0"/>
        <v>0</v>
      </c>
    </row>
    <row r="24" spans="1:15" s="209" customFormat="1">
      <c r="A24" s="651">
        <f t="shared" si="1"/>
        <v>9</v>
      </c>
      <c r="B24" s="208" t="s">
        <v>1554</v>
      </c>
      <c r="C24" s="1216">
        <v>12560.485847129998</v>
      </c>
      <c r="D24" s="1216">
        <v>12560.485847129998</v>
      </c>
      <c r="E24" s="1216">
        <v>12560.485847129998</v>
      </c>
      <c r="F24" s="1216">
        <v>12560.485847129998</v>
      </c>
      <c r="G24" s="1216">
        <v>12560.485847129998</v>
      </c>
      <c r="H24" s="1216">
        <v>12560.485847129998</v>
      </c>
      <c r="I24" s="1216">
        <v>12560.485847129998</v>
      </c>
      <c r="J24" s="1216">
        <v>12560.485847129998</v>
      </c>
      <c r="K24" s="1216">
        <v>12560.485847129998</v>
      </c>
      <c r="L24" s="1216">
        <v>12560.485847129998</v>
      </c>
      <c r="M24" s="1216">
        <v>12560.485847129998</v>
      </c>
      <c r="N24" s="1216">
        <v>12560.485847129998</v>
      </c>
      <c r="O24" s="1216">
        <f t="shared" si="0"/>
        <v>150725.83016555998</v>
      </c>
    </row>
    <row r="25" spans="1:15" s="209" customFormat="1">
      <c r="A25" s="651">
        <f t="shared" si="1"/>
        <v>10</v>
      </c>
      <c r="B25" s="208" t="s">
        <v>1555</v>
      </c>
      <c r="C25" s="1216">
        <v>-2250</v>
      </c>
      <c r="D25" s="1216">
        <v>-2250</v>
      </c>
      <c r="E25" s="1216">
        <v>-2250</v>
      </c>
      <c r="F25" s="1216">
        <v>-2250</v>
      </c>
      <c r="G25" s="1216">
        <v>-2250</v>
      </c>
      <c r="H25" s="1216">
        <v>-2250</v>
      </c>
      <c r="I25" s="1216">
        <v>-2250</v>
      </c>
      <c r="J25" s="1216">
        <v>-2250</v>
      </c>
      <c r="K25" s="1216">
        <v>297750</v>
      </c>
      <c r="L25" s="1216">
        <v>-2250</v>
      </c>
      <c r="M25" s="1216">
        <v>-2250</v>
      </c>
      <c r="N25" s="1216">
        <v>-2250</v>
      </c>
      <c r="O25" s="1216">
        <f t="shared" si="0"/>
        <v>273000</v>
      </c>
    </row>
    <row r="26" spans="1:15" s="209" customFormat="1">
      <c r="A26" s="651">
        <f t="shared" si="1"/>
        <v>11</v>
      </c>
      <c r="B26" s="209" t="s">
        <v>1087</v>
      </c>
      <c r="C26" s="1216">
        <v>42360.857728217998</v>
      </c>
      <c r="D26" s="1216">
        <v>67659.424488551696</v>
      </c>
      <c r="E26" s="1216">
        <v>69012.109539716388</v>
      </c>
      <c r="F26" s="1216">
        <v>66965.64428921041</v>
      </c>
      <c r="G26" s="1216">
        <v>65888.938968288305</v>
      </c>
      <c r="H26" s="1216">
        <v>65704.950191018695</v>
      </c>
      <c r="I26" s="1216">
        <v>54766.236689000092</v>
      </c>
      <c r="J26" s="1216">
        <v>79577.8095273777</v>
      </c>
      <c r="K26" s="1216">
        <v>57203.699813452797</v>
      </c>
      <c r="L26" s="1216">
        <v>21642.180480095401</v>
      </c>
      <c r="M26" s="1216">
        <v>52272.493766945998</v>
      </c>
      <c r="N26" s="1216">
        <v>97829.497628952304</v>
      </c>
      <c r="O26" s="1216">
        <f t="shared" si="0"/>
        <v>740883.84311082785</v>
      </c>
    </row>
    <row r="27" spans="1:15" s="209" customFormat="1">
      <c r="A27" s="651">
        <f t="shared" si="1"/>
        <v>12</v>
      </c>
      <c r="B27" s="209" t="s">
        <v>1350</v>
      </c>
      <c r="C27" s="1218">
        <f t="shared" ref="C27:O27" si="2">SUM(C16:C26)</f>
        <v>1343696.0017780429</v>
      </c>
      <c r="D27" s="1218">
        <f t="shared" si="2"/>
        <v>1357357.0007640417</v>
      </c>
      <c r="E27" s="1218">
        <f t="shared" si="2"/>
        <v>1366348.8648485192</v>
      </c>
      <c r="F27" s="1218">
        <f t="shared" si="2"/>
        <v>1397515.6235195477</v>
      </c>
      <c r="G27" s="1218">
        <f t="shared" si="2"/>
        <v>1330629.2234065707</v>
      </c>
      <c r="H27" s="1218">
        <f t="shared" si="2"/>
        <v>1375373.6446754392</v>
      </c>
      <c r="I27" s="1218">
        <f t="shared" si="2"/>
        <v>1391996.7333003122</v>
      </c>
      <c r="J27" s="1218">
        <f t="shared" si="2"/>
        <v>1313260.7153297705</v>
      </c>
      <c r="K27" s="1218">
        <f t="shared" si="2"/>
        <v>1689257.5899390394</v>
      </c>
      <c r="L27" s="1218">
        <f t="shared" si="2"/>
        <v>1250577.14659039</v>
      </c>
      <c r="M27" s="1218">
        <f t="shared" si="2"/>
        <v>1164696.3648357331</v>
      </c>
      <c r="N27" s="1218">
        <f t="shared" si="2"/>
        <v>1333333.0864968386</v>
      </c>
      <c r="O27" s="1218">
        <f t="shared" si="2"/>
        <v>16314041.995484246</v>
      </c>
    </row>
    <row r="28" spans="1:15" s="209" customFormat="1">
      <c r="C28" s="1216"/>
      <c r="D28" s="1216"/>
      <c r="E28" s="1216"/>
      <c r="F28" s="1216"/>
      <c r="G28" s="1216"/>
      <c r="H28" s="1216"/>
      <c r="I28" s="1216"/>
      <c r="J28" s="1216"/>
      <c r="K28" s="1216"/>
      <c r="L28" s="1216"/>
      <c r="M28" s="1216"/>
      <c r="N28" s="1216"/>
      <c r="O28" s="1216"/>
    </row>
    <row r="29" spans="1:15" s="209" customFormat="1">
      <c r="A29" s="651">
        <f>+A27+1</f>
        <v>13</v>
      </c>
      <c r="B29" s="209" t="s">
        <v>1029</v>
      </c>
      <c r="C29" s="1216">
        <v>150176.65258876959</v>
      </c>
      <c r="D29" s="1216">
        <v>105079.67528587749</v>
      </c>
      <c r="E29" s="1216">
        <v>102548.26343635103</v>
      </c>
      <c r="F29" s="1216">
        <v>105060.45505474959</v>
      </c>
      <c r="G29" s="1216">
        <v>137554.73137086857</v>
      </c>
      <c r="H29" s="1216">
        <v>250468.36300247035</v>
      </c>
      <c r="I29" s="1216">
        <v>162276.1507400077</v>
      </c>
      <c r="J29" s="1216">
        <v>122289.62737248535</v>
      </c>
      <c r="K29" s="1216">
        <v>137059.14260958377</v>
      </c>
      <c r="L29" s="1216">
        <v>98846.658878709</v>
      </c>
      <c r="M29" s="1216">
        <v>75213.107533478062</v>
      </c>
      <c r="N29" s="1216">
        <v>84252.883631724966</v>
      </c>
      <c r="O29" s="1216">
        <f t="shared" ref="O29:O50" si="3">SUM(C29:N29)</f>
        <v>1530825.7115050755</v>
      </c>
    </row>
    <row r="30" spans="1:15" s="209" customFormat="1">
      <c r="A30" s="651">
        <f t="shared" ref="A30:A51" si="4">+A29+1</f>
        <v>14</v>
      </c>
      <c r="B30" s="209" t="s">
        <v>1088</v>
      </c>
      <c r="C30" s="1216">
        <v>108.3333333333333</v>
      </c>
      <c r="D30" s="1216">
        <v>108.3333333333333</v>
      </c>
      <c r="E30" s="1216">
        <v>108.3333333333333</v>
      </c>
      <c r="F30" s="1216">
        <v>108.3333333333333</v>
      </c>
      <c r="G30" s="1216">
        <v>108.3333333333333</v>
      </c>
      <c r="H30" s="1216">
        <v>108.3333333333333</v>
      </c>
      <c r="I30" s="1216">
        <v>108.3333333333333</v>
      </c>
      <c r="J30" s="1216">
        <v>108.3333333333333</v>
      </c>
      <c r="K30" s="1216">
        <v>108.3333333333333</v>
      </c>
      <c r="L30" s="1216">
        <v>108.3333333333333</v>
      </c>
      <c r="M30" s="1216">
        <v>108.3333333333333</v>
      </c>
      <c r="N30" s="1216">
        <v>108.3333333333333</v>
      </c>
      <c r="O30" s="1216">
        <f t="shared" si="3"/>
        <v>1299.9999999999993</v>
      </c>
    </row>
    <row r="31" spans="1:15" s="209" customFormat="1">
      <c r="A31" s="651">
        <f t="shared" si="4"/>
        <v>15</v>
      </c>
      <c r="B31" s="209" t="s">
        <v>1099</v>
      </c>
      <c r="C31" s="1216">
        <v>0</v>
      </c>
      <c r="D31" s="1216">
        <v>0</v>
      </c>
      <c r="E31" s="1216">
        <v>0</v>
      </c>
      <c r="F31" s="1216">
        <v>0</v>
      </c>
      <c r="G31" s="1216">
        <v>0</v>
      </c>
      <c r="H31" s="1216">
        <v>0</v>
      </c>
      <c r="I31" s="1216">
        <v>0</v>
      </c>
      <c r="J31" s="1216">
        <v>0</v>
      </c>
      <c r="K31" s="1216">
        <v>0</v>
      </c>
      <c r="L31" s="1216">
        <v>0</v>
      </c>
      <c r="M31" s="1216">
        <v>0</v>
      </c>
      <c r="N31" s="1216">
        <v>0</v>
      </c>
      <c r="O31" s="1216">
        <f t="shared" si="3"/>
        <v>0</v>
      </c>
    </row>
    <row r="32" spans="1:15" s="209" customFormat="1">
      <c r="A32" s="651">
        <f t="shared" si="4"/>
        <v>16</v>
      </c>
      <c r="B32" s="209" t="s">
        <v>1090</v>
      </c>
      <c r="C32" s="1216">
        <v>17251.818048271001</v>
      </c>
      <c r="D32" s="1216">
        <v>17251.818048271001</v>
      </c>
      <c r="E32" s="1216">
        <v>17251.818048271001</v>
      </c>
      <c r="F32" s="1216">
        <v>17251.818048271001</v>
      </c>
      <c r="G32" s="1216">
        <v>17251.818048271001</v>
      </c>
      <c r="H32" s="1216">
        <v>17251.818048271001</v>
      </c>
      <c r="I32" s="1216">
        <v>17251.818048271001</v>
      </c>
      <c r="J32" s="1216">
        <v>17251.818048271001</v>
      </c>
      <c r="K32" s="1216">
        <v>17251.818048271001</v>
      </c>
      <c r="L32" s="1216">
        <v>17251.818048271001</v>
      </c>
      <c r="M32" s="1216">
        <v>17251.818048271001</v>
      </c>
      <c r="N32" s="1216">
        <v>17251.818048271001</v>
      </c>
      <c r="O32" s="1216">
        <f t="shared" si="3"/>
        <v>207021.81657925202</v>
      </c>
    </row>
    <row r="33" spans="1:15" s="209" customFormat="1">
      <c r="A33" s="651">
        <f t="shared" si="4"/>
        <v>17</v>
      </c>
      <c r="B33" s="209" t="s">
        <v>1084</v>
      </c>
      <c r="C33" s="1216">
        <v>451142.3277405384</v>
      </c>
      <c r="D33" s="1216">
        <v>450862.40172577987</v>
      </c>
      <c r="E33" s="1216">
        <v>612185.61870079685</v>
      </c>
      <c r="F33" s="1216">
        <v>597139.22838037007</v>
      </c>
      <c r="G33" s="1216">
        <v>621977.60077604756</v>
      </c>
      <c r="H33" s="1216">
        <v>642108.880209091</v>
      </c>
      <c r="I33" s="1216">
        <v>561361.99567505694</v>
      </c>
      <c r="J33" s="1216">
        <v>622099.49750914832</v>
      </c>
      <c r="K33" s="1216">
        <v>487923.45585484058</v>
      </c>
      <c r="L33" s="1216">
        <v>419387.38006293133</v>
      </c>
      <c r="M33" s="1216">
        <v>331590.87860736297</v>
      </c>
      <c r="N33" s="1216">
        <v>327298.0513738399</v>
      </c>
      <c r="O33" s="1216">
        <f t="shared" si="3"/>
        <v>6125077.3166158041</v>
      </c>
    </row>
    <row r="34" spans="1:15" s="209" customFormat="1">
      <c r="A34" s="651">
        <f t="shared" si="4"/>
        <v>18</v>
      </c>
      <c r="B34" s="209" t="s">
        <v>1097</v>
      </c>
      <c r="C34" s="1216">
        <v>5085.0833333333339</v>
      </c>
      <c r="D34" s="1216">
        <v>5051.3133333333335</v>
      </c>
      <c r="E34" s="1216">
        <v>4451.3933333333334</v>
      </c>
      <c r="F34" s="1216">
        <v>4459.6833333333343</v>
      </c>
      <c r="G34" s="1216">
        <v>4449.6833333333343</v>
      </c>
      <c r="H34" s="1216">
        <v>2191.1833333333325</v>
      </c>
      <c r="I34" s="1216">
        <v>4429.6833333333343</v>
      </c>
      <c r="J34" s="1216">
        <v>4419.6833333333343</v>
      </c>
      <c r="K34" s="1216">
        <v>4409.6833333333343</v>
      </c>
      <c r="L34" s="1216">
        <v>4399.6833333333343</v>
      </c>
      <c r="M34" s="1216">
        <v>4389.6833333333343</v>
      </c>
      <c r="N34" s="1216">
        <v>6492.1033333333326</v>
      </c>
      <c r="O34" s="1216">
        <f t="shared" si="3"/>
        <v>54228.860000000008</v>
      </c>
    </row>
    <row r="35" spans="1:15" s="209" customFormat="1">
      <c r="A35" s="651">
        <f t="shared" si="4"/>
        <v>19</v>
      </c>
      <c r="B35" s="209" t="s">
        <v>1098</v>
      </c>
      <c r="C35" s="1216">
        <v>3109.0099999999948</v>
      </c>
      <c r="D35" s="1216">
        <v>5645.8300000000017</v>
      </c>
      <c r="E35" s="1216">
        <v>2702.0099999999948</v>
      </c>
      <c r="F35" s="1216">
        <v>5404.0599999999977</v>
      </c>
      <c r="G35" s="1216">
        <v>7467.6399999999994</v>
      </c>
      <c r="H35" s="1216">
        <v>9253.6900000000023</v>
      </c>
      <c r="I35" s="1216">
        <v>4467.6800000000076</v>
      </c>
      <c r="J35" s="1216">
        <v>3357</v>
      </c>
      <c r="K35" s="1216">
        <v>4116.4199999999983</v>
      </c>
      <c r="L35" s="1216">
        <v>6249.9100000000035</v>
      </c>
      <c r="M35" s="1216">
        <v>4878.2899999999936</v>
      </c>
      <c r="N35" s="1216">
        <v>5048.5</v>
      </c>
      <c r="O35" s="1216">
        <f t="shared" si="3"/>
        <v>61700.039999999994</v>
      </c>
    </row>
    <row r="36" spans="1:15" s="209" customFormat="1">
      <c r="A36" s="651">
        <f t="shared" si="4"/>
        <v>20</v>
      </c>
      <c r="B36" s="209" t="s">
        <v>1085</v>
      </c>
      <c r="C36" s="1216">
        <v>138272.10601923597</v>
      </c>
      <c r="D36" s="1216">
        <v>138247.02500523743</v>
      </c>
      <c r="E36" s="1216">
        <v>138243.14255551621</v>
      </c>
      <c r="F36" s="1216">
        <v>138277.17750487884</v>
      </c>
      <c r="G36" s="1216">
        <v>138303.1175875375</v>
      </c>
      <c r="H36" s="1216">
        <v>138259.88380687355</v>
      </c>
      <c r="I36" s="1216">
        <v>142341.27420097915</v>
      </c>
      <c r="J36" s="1216">
        <v>142340.62617632709</v>
      </c>
      <c r="K36" s="1216">
        <v>142315.13317027115</v>
      </c>
      <c r="L36" s="1216">
        <v>142322.86737802246</v>
      </c>
      <c r="M36" s="1216">
        <v>142140.38940039347</v>
      </c>
      <c r="N36" s="1216">
        <v>142130.6637591738</v>
      </c>
      <c r="O36" s="1216">
        <f t="shared" si="3"/>
        <v>1683193.4065644466</v>
      </c>
    </row>
    <row r="37" spans="1:15" s="209" customFormat="1">
      <c r="A37" s="651">
        <f t="shared" si="4"/>
        <v>21</v>
      </c>
      <c r="B37" s="209" t="s">
        <v>1030</v>
      </c>
      <c r="C37" s="1216">
        <v>67651.582632822407</v>
      </c>
      <c r="D37" s="1216">
        <v>62040.119560822408</v>
      </c>
      <c r="E37" s="1216">
        <v>65781.463524822408</v>
      </c>
      <c r="F37" s="1216">
        <v>65781.463524822408</v>
      </c>
      <c r="G37" s="1216">
        <v>62040.119560822408</v>
      </c>
      <c r="H37" s="1216">
        <v>65781.463524822408</v>
      </c>
      <c r="I37" s="1216">
        <v>65781.463524822408</v>
      </c>
      <c r="J37" s="1216">
        <v>63910.311542822405</v>
      </c>
      <c r="K37" s="1216">
        <v>63910.311542822405</v>
      </c>
      <c r="L37" s="1216">
        <v>65781.463524822408</v>
      </c>
      <c r="M37" s="1216">
        <v>60171.415283822411</v>
      </c>
      <c r="N37" s="1216">
        <v>63910.311542822405</v>
      </c>
      <c r="O37" s="1216">
        <f t="shared" si="3"/>
        <v>772541.48929086886</v>
      </c>
    </row>
    <row r="38" spans="1:15" s="209" customFormat="1">
      <c r="A38" s="651">
        <f t="shared" si="4"/>
        <v>22</v>
      </c>
      <c r="B38" s="209" t="s">
        <v>1092</v>
      </c>
      <c r="C38" s="1216">
        <v>8661.3488791666678</v>
      </c>
      <c r="D38" s="1216">
        <v>8661.3488791666678</v>
      </c>
      <c r="E38" s="1216">
        <v>8661.3488791666678</v>
      </c>
      <c r="F38" s="1216">
        <v>8661.3488791666678</v>
      </c>
      <c r="G38" s="1216">
        <v>8661.3488791666678</v>
      </c>
      <c r="H38" s="1216">
        <v>8661.3488791666678</v>
      </c>
      <c r="I38" s="1216">
        <v>8661.3488791666678</v>
      </c>
      <c r="J38" s="1216">
        <v>8661.3488791666678</v>
      </c>
      <c r="K38" s="1216">
        <v>8661.3488791666678</v>
      </c>
      <c r="L38" s="1216">
        <v>8661.3488791666678</v>
      </c>
      <c r="M38" s="1216">
        <v>8661.3488791666678</v>
      </c>
      <c r="N38" s="1216">
        <v>8661.3488791666678</v>
      </c>
      <c r="O38" s="1216">
        <f t="shared" si="3"/>
        <v>103936.18655000004</v>
      </c>
    </row>
    <row r="39" spans="1:15" s="209" customFormat="1">
      <c r="A39" s="651">
        <f t="shared" si="4"/>
        <v>23</v>
      </c>
      <c r="B39" s="209" t="s">
        <v>1031</v>
      </c>
      <c r="C39" s="1216">
        <v>160066.4</v>
      </c>
      <c r="D39" s="1216">
        <v>160029.74</v>
      </c>
      <c r="E39" s="1216">
        <v>157642.54999999999</v>
      </c>
      <c r="F39" s="1216">
        <v>157217.41</v>
      </c>
      <c r="G39" s="1216">
        <v>163798.28</v>
      </c>
      <c r="H39" s="1216">
        <v>158452.87</v>
      </c>
      <c r="I39" s="1216">
        <v>146684.66999999998</v>
      </c>
      <c r="J39" s="1216">
        <v>147039.25</v>
      </c>
      <c r="K39" s="1216">
        <v>218954.08000000002</v>
      </c>
      <c r="L39" s="1216">
        <v>146684.68</v>
      </c>
      <c r="M39" s="1216">
        <v>137653.82</v>
      </c>
      <c r="N39" s="1216">
        <v>153187.69</v>
      </c>
      <c r="O39" s="1216">
        <f t="shared" si="3"/>
        <v>1907411.44</v>
      </c>
    </row>
    <row r="40" spans="1:15" s="209" customFormat="1">
      <c r="A40" s="651">
        <f t="shared" si="4"/>
        <v>24</v>
      </c>
      <c r="B40" s="209" t="s">
        <v>1091</v>
      </c>
      <c r="C40" s="1216">
        <v>1791097.3734027357</v>
      </c>
      <c r="D40" s="1216">
        <v>1798728.6445256483</v>
      </c>
      <c r="E40" s="1216">
        <v>1814684.7597210016</v>
      </c>
      <c r="F40" s="1216">
        <v>1791909.3373344163</v>
      </c>
      <c r="G40" s="1216">
        <v>1805199.8647421023</v>
      </c>
      <c r="H40" s="1216">
        <v>1798500.7984483207</v>
      </c>
      <c r="I40" s="1216">
        <v>1728704.530410365</v>
      </c>
      <c r="J40" s="1216">
        <v>1727821.3693573859</v>
      </c>
      <c r="K40" s="1216">
        <v>1836626.3184400585</v>
      </c>
      <c r="L40" s="1216">
        <v>1685792.3834672696</v>
      </c>
      <c r="M40" s="1216">
        <v>1800861.5359301018</v>
      </c>
      <c r="N40" s="1216">
        <v>288389.50855801493</v>
      </c>
      <c r="O40" s="1216">
        <f t="shared" si="3"/>
        <v>19868316.424337421</v>
      </c>
    </row>
    <row r="41" spans="1:15" s="209" customFormat="1">
      <c r="A41" s="651">
        <f t="shared" si="4"/>
        <v>25</v>
      </c>
      <c r="B41" s="208" t="s">
        <v>1556</v>
      </c>
      <c r="C41" s="1216">
        <v>72946.251260820281</v>
      </c>
      <c r="D41" s="1216">
        <v>97443.622108705633</v>
      </c>
      <c r="E41" s="1216">
        <v>83410.756927837225</v>
      </c>
      <c r="F41" s="1216">
        <v>45915.511222149333</v>
      </c>
      <c r="G41" s="1216">
        <v>42082.726004904514</v>
      </c>
      <c r="H41" s="1216">
        <v>30886.190177549179</v>
      </c>
      <c r="I41" s="1216">
        <v>43219.259453496576</v>
      </c>
      <c r="J41" s="1216">
        <v>32376.442552935128</v>
      </c>
      <c r="K41" s="1216">
        <v>37707.245158335463</v>
      </c>
      <c r="L41" s="1216">
        <v>48000.854658145166</v>
      </c>
      <c r="M41" s="1216">
        <v>69285.835050567126</v>
      </c>
      <c r="N41" s="1216">
        <v>104130.73843800261</v>
      </c>
      <c r="O41" s="1216">
        <f t="shared" si="3"/>
        <v>707405.43301344838</v>
      </c>
    </row>
    <row r="42" spans="1:15" s="209" customFormat="1">
      <c r="A42" s="651">
        <f t="shared" si="4"/>
        <v>26</v>
      </c>
      <c r="B42" s="208" t="s">
        <v>1557</v>
      </c>
      <c r="C42" s="1216">
        <v>87377.830439179728</v>
      </c>
      <c r="D42" s="1216">
        <v>37103.298091294368</v>
      </c>
      <c r="E42" s="1216">
        <v>21855.639872162781</v>
      </c>
      <c r="F42" s="1216">
        <v>19452.005017850661</v>
      </c>
      <c r="G42" s="1216">
        <v>5148.7556550954814</v>
      </c>
      <c r="H42" s="1216">
        <v>6651.2930024508223</v>
      </c>
      <c r="I42" s="1216">
        <v>2313.6660565034249</v>
      </c>
      <c r="J42" s="1216">
        <v>7628.7379470648739</v>
      </c>
      <c r="K42" s="1216">
        <v>7600.0080716645416</v>
      </c>
      <c r="L42" s="1216">
        <v>17293.558731854831</v>
      </c>
      <c r="M42" s="1216">
        <v>55673.458949432868</v>
      </c>
      <c r="N42" s="1216">
        <v>62345.235061997388</v>
      </c>
      <c r="O42" s="1216">
        <f t="shared" si="3"/>
        <v>330443.48689655174</v>
      </c>
    </row>
    <row r="43" spans="1:15" s="209" customFormat="1">
      <c r="A43" s="651">
        <f t="shared" si="4"/>
        <v>27</v>
      </c>
      <c r="B43" s="209" t="s">
        <v>1101</v>
      </c>
      <c r="C43" s="1216">
        <v>-7384.98</v>
      </c>
      <c r="D43" s="1216">
        <v>-8271.27</v>
      </c>
      <c r="E43" s="1216">
        <v>-6498.72</v>
      </c>
      <c r="F43" s="1216">
        <v>-6941.85</v>
      </c>
      <c r="G43" s="1216">
        <v>-8271.27</v>
      </c>
      <c r="H43" s="1216">
        <v>-6498.72</v>
      </c>
      <c r="I43" s="1216">
        <v>-6941.85</v>
      </c>
      <c r="J43" s="1216">
        <v>-8271.27</v>
      </c>
      <c r="K43" s="1216">
        <v>-6498.72</v>
      </c>
      <c r="L43" s="1216">
        <v>-6498.72</v>
      </c>
      <c r="M43" s="1216">
        <v>-8271.27</v>
      </c>
      <c r="N43" s="1216">
        <v>-8271.27</v>
      </c>
      <c r="O43" s="1216">
        <f t="shared" si="3"/>
        <v>-88619.91</v>
      </c>
    </row>
    <row r="44" spans="1:15" s="209" customFormat="1">
      <c r="A44" s="651">
        <f t="shared" si="4"/>
        <v>28</v>
      </c>
      <c r="B44" s="209" t="s">
        <v>1089</v>
      </c>
      <c r="C44" s="1216">
        <v>16375.25</v>
      </c>
      <c r="D44" s="1216">
        <v>16375.25</v>
      </c>
      <c r="E44" s="1216">
        <v>16375.25</v>
      </c>
      <c r="F44" s="1216">
        <v>16375.25</v>
      </c>
      <c r="G44" s="1216">
        <v>16375.25</v>
      </c>
      <c r="H44" s="1216">
        <v>16375.25</v>
      </c>
      <c r="I44" s="1216">
        <v>16375.25</v>
      </c>
      <c r="J44" s="1216">
        <v>16375.25</v>
      </c>
      <c r="K44" s="1216">
        <v>16375.25</v>
      </c>
      <c r="L44" s="1216">
        <v>16375.25</v>
      </c>
      <c r="M44" s="1216">
        <v>16375.25</v>
      </c>
      <c r="N44" s="1216">
        <v>16375.25</v>
      </c>
      <c r="O44" s="1216">
        <f t="shared" si="3"/>
        <v>196503</v>
      </c>
    </row>
    <row r="45" spans="1:15" s="209" customFormat="1">
      <c r="A45" s="651">
        <f t="shared" si="4"/>
        <v>29</v>
      </c>
      <c r="B45" s="209" t="s">
        <v>1095</v>
      </c>
      <c r="C45" s="1216">
        <v>12036.325356096329</v>
      </c>
      <c r="D45" s="1216">
        <v>12036.325356096329</v>
      </c>
      <c r="E45" s="1216">
        <v>12036.325356096329</v>
      </c>
      <c r="F45" s="1216">
        <v>12036.325356096329</v>
      </c>
      <c r="G45" s="1216">
        <v>12036.325356096329</v>
      </c>
      <c r="H45" s="1216">
        <v>12036.325356096329</v>
      </c>
      <c r="I45" s="1216">
        <v>12036.325356096329</v>
      </c>
      <c r="J45" s="1216">
        <v>12036.325356096329</v>
      </c>
      <c r="K45" s="1216">
        <v>12036.325356096329</v>
      </c>
      <c r="L45" s="1216">
        <v>12036.325356096329</v>
      </c>
      <c r="M45" s="1216">
        <v>12036.325356096329</v>
      </c>
      <c r="N45" s="1216">
        <v>12036.325356096329</v>
      </c>
      <c r="O45" s="1216">
        <f t="shared" si="3"/>
        <v>144435.90427315596</v>
      </c>
    </row>
    <row r="46" spans="1:15" s="209" customFormat="1">
      <c r="A46" s="651">
        <f t="shared" si="4"/>
        <v>30</v>
      </c>
      <c r="B46" s="208" t="s">
        <v>1541</v>
      </c>
      <c r="C46" s="1216">
        <v>39124.766512909562</v>
      </c>
      <c r="D46" s="1216">
        <v>39120.441119371011</v>
      </c>
      <c r="E46" s="1216">
        <v>39057.807353015502</v>
      </c>
      <c r="F46" s="1216">
        <v>38843.353996721067</v>
      </c>
      <c r="G46" s="1216">
        <v>38691.055339290637</v>
      </c>
      <c r="H46" s="1216">
        <v>38504.225910654794</v>
      </c>
      <c r="I46" s="1216">
        <v>38460.809988419613</v>
      </c>
      <c r="J46" s="1216">
        <v>38387.80734042207</v>
      </c>
      <c r="K46" s="1216">
        <v>32830.21085533002</v>
      </c>
      <c r="L46" s="1216">
        <v>34806.641703416681</v>
      </c>
      <c r="M46" s="1216">
        <v>42446.620499117693</v>
      </c>
      <c r="N46" s="1216">
        <v>45533.660760641738</v>
      </c>
      <c r="O46" s="1216">
        <f t="shared" si="3"/>
        <v>465807.40137931041</v>
      </c>
    </row>
    <row r="47" spans="1:15" s="209" customFormat="1">
      <c r="A47" s="651">
        <f t="shared" si="4"/>
        <v>31</v>
      </c>
      <c r="B47" s="209" t="s">
        <v>1102</v>
      </c>
      <c r="C47" s="1216">
        <v>13601.45318082216</v>
      </c>
      <c r="D47" s="1216">
        <v>6347.3448177170076</v>
      </c>
      <c r="E47" s="1216">
        <v>11787.92609004587</v>
      </c>
      <c r="F47" s="1216">
        <v>11787.92609004587</v>
      </c>
      <c r="G47" s="1216">
        <v>2720.2906361644318</v>
      </c>
      <c r="H47" s="1216">
        <v>906.76354538814394</v>
      </c>
      <c r="I47" s="1216">
        <v>7942.9700599772996</v>
      </c>
      <c r="J47" s="1216">
        <v>1051.491991103484</v>
      </c>
      <c r="K47" s="1216">
        <v>11088.2176518366</v>
      </c>
      <c r="L47" s="1216">
        <v>9778.6890084579736</v>
      </c>
      <c r="M47" s="1216">
        <v>13919.201176526551</v>
      </c>
      <c r="N47" s="1216">
        <v>15416.691269155959</v>
      </c>
      <c r="O47" s="1216">
        <f t="shared" si="3"/>
        <v>106348.96551724135</v>
      </c>
    </row>
    <row r="48" spans="1:15" s="209" customFormat="1">
      <c r="A48" s="651">
        <f t="shared" si="4"/>
        <v>32</v>
      </c>
      <c r="B48" s="209" t="s">
        <v>1086</v>
      </c>
      <c r="C48" s="1216">
        <v>195448.44383235299</v>
      </c>
      <c r="D48" s="1216">
        <v>132810.60872861676</v>
      </c>
      <c r="E48" s="1216">
        <v>211740.76151484286</v>
      </c>
      <c r="F48" s="1216">
        <v>206901.37511251026</v>
      </c>
      <c r="G48" s="1216">
        <v>200853.82058690631</v>
      </c>
      <c r="H48" s="1216">
        <v>189602.7451856017</v>
      </c>
      <c r="I48" s="1216">
        <v>190824.87262203824</v>
      </c>
      <c r="J48" s="1216">
        <v>201099.59885515051</v>
      </c>
      <c r="K48" s="1216">
        <v>147655.95707639429</v>
      </c>
      <c r="L48" s="1216">
        <v>163649.66202420561</v>
      </c>
      <c r="M48" s="1216">
        <v>185328.91932050698</v>
      </c>
      <c r="N48" s="1216">
        <v>165133.09420191371</v>
      </c>
      <c r="O48" s="1216">
        <f t="shared" si="3"/>
        <v>2191049.85906104</v>
      </c>
    </row>
    <row r="49" spans="1:15" s="209" customFormat="1">
      <c r="A49" s="651">
        <f t="shared" si="4"/>
        <v>33</v>
      </c>
      <c r="B49" s="209" t="s">
        <v>1558</v>
      </c>
      <c r="C49" s="1216">
        <v>22402.67</v>
      </c>
      <c r="D49" s="1216">
        <v>22402.67</v>
      </c>
      <c r="E49" s="1216">
        <v>22402.67</v>
      </c>
      <c r="F49" s="1216">
        <v>22402.67</v>
      </c>
      <c r="G49" s="1216">
        <v>22402.67</v>
      </c>
      <c r="H49" s="1216">
        <v>22402.67</v>
      </c>
      <c r="I49" s="1216">
        <v>22402.67</v>
      </c>
      <c r="J49" s="1216">
        <v>22402.67</v>
      </c>
      <c r="K49" s="1216">
        <v>22402.67</v>
      </c>
      <c r="L49" s="1216">
        <v>22402.67</v>
      </c>
      <c r="M49" s="1216">
        <v>22402.67</v>
      </c>
      <c r="N49" s="1216">
        <v>22402.67</v>
      </c>
      <c r="O49" s="1216">
        <f t="shared" si="3"/>
        <v>268832.03999999992</v>
      </c>
    </row>
    <row r="50" spans="1:15" s="209" customFormat="1">
      <c r="A50" s="651">
        <f t="shared" si="4"/>
        <v>34</v>
      </c>
      <c r="B50" s="209" t="s">
        <v>1100</v>
      </c>
      <c r="C50" s="1216">
        <v>57728.707588373145</v>
      </c>
      <c r="D50" s="1216">
        <v>75311.864080110739</v>
      </c>
      <c r="E50" s="1216">
        <v>87817.058195198901</v>
      </c>
      <c r="F50" s="1216">
        <v>46426.532069536406</v>
      </c>
      <c r="G50" s="1216">
        <v>48212.319407376097</v>
      </c>
      <c r="H50" s="1216">
        <v>45101.486571460424</v>
      </c>
      <c r="I50" s="1216">
        <v>79137.138222656664</v>
      </c>
      <c r="J50" s="1216">
        <v>79012.884532237251</v>
      </c>
      <c r="K50" s="1216">
        <v>76013.097741090824</v>
      </c>
      <c r="L50" s="1216">
        <v>58844.033870796091</v>
      </c>
      <c r="M50" s="1216">
        <v>60294.483887916285</v>
      </c>
      <c r="N50" s="1216">
        <v>-574839.11797274766</v>
      </c>
      <c r="O50" s="1216">
        <f t="shared" si="3"/>
        <v>139060.48819400521</v>
      </c>
    </row>
    <row r="51" spans="1:15" s="209" customFormat="1">
      <c r="A51" s="651">
        <f t="shared" si="4"/>
        <v>35</v>
      </c>
      <c r="B51" s="209" t="s">
        <v>1262</v>
      </c>
      <c r="C51" s="1220">
        <f t="shared" ref="C51:O51" si="5">SUM(C29:C50)</f>
        <v>3302278.7541487603</v>
      </c>
      <c r="D51" s="1220">
        <f t="shared" si="5"/>
        <v>3182386.4039993817</v>
      </c>
      <c r="E51" s="1220">
        <f t="shared" si="5"/>
        <v>3424246.1768417913</v>
      </c>
      <c r="F51" s="1220">
        <f t="shared" si="5"/>
        <v>3304469.4142582514</v>
      </c>
      <c r="G51" s="1220">
        <f t="shared" si="5"/>
        <v>3347064.4806173169</v>
      </c>
      <c r="H51" s="1220">
        <f t="shared" si="5"/>
        <v>3447006.8623348833</v>
      </c>
      <c r="I51" s="1220">
        <f t="shared" si="5"/>
        <v>3247840.0599045237</v>
      </c>
      <c r="J51" s="1220">
        <f t="shared" si="5"/>
        <v>3261398.8041272839</v>
      </c>
      <c r="K51" s="1220">
        <f t="shared" si="5"/>
        <v>3278546.3071224289</v>
      </c>
      <c r="L51" s="1220">
        <f t="shared" si="5"/>
        <v>2972175.4922588314</v>
      </c>
      <c r="M51" s="1220">
        <f t="shared" si="5"/>
        <v>3052412.1145894267</v>
      </c>
      <c r="N51" s="1220">
        <f t="shared" si="5"/>
        <v>956994.48957474018</v>
      </c>
      <c r="O51" s="1220">
        <f t="shared" si="5"/>
        <v>36776819.359777614</v>
      </c>
    </row>
    <row r="52" spans="1:15" s="209" customFormat="1">
      <c r="C52" s="1216"/>
      <c r="D52" s="1216"/>
      <c r="E52" s="1216"/>
      <c r="F52" s="1216"/>
      <c r="G52" s="1216"/>
      <c r="H52" s="1216"/>
      <c r="I52" s="1216"/>
      <c r="J52" s="1216"/>
      <c r="K52" s="1216"/>
      <c r="L52" s="1216"/>
      <c r="M52" s="1216"/>
      <c r="N52" s="1216"/>
      <c r="O52" s="1216"/>
    </row>
    <row r="53" spans="1:15" s="209" customFormat="1">
      <c r="A53" s="651">
        <f>+A51+1</f>
        <v>36</v>
      </c>
      <c r="B53" s="209" t="s">
        <v>2355</v>
      </c>
      <c r="C53" s="1218">
        <f t="shared" ref="C53:O53" si="6">C27+C51</f>
        <v>4645974.7559268028</v>
      </c>
      <c r="D53" s="1218">
        <f t="shared" si="6"/>
        <v>4539743.4047634229</v>
      </c>
      <c r="E53" s="1218">
        <f t="shared" si="6"/>
        <v>4790595.0416903105</v>
      </c>
      <c r="F53" s="1218">
        <f t="shared" si="6"/>
        <v>4701985.0377777992</v>
      </c>
      <c r="G53" s="1218">
        <f t="shared" si="6"/>
        <v>4677693.7040238874</v>
      </c>
      <c r="H53" s="1218">
        <f t="shared" si="6"/>
        <v>4822380.5070103221</v>
      </c>
      <c r="I53" s="1218">
        <f t="shared" si="6"/>
        <v>4639836.7932048356</v>
      </c>
      <c r="J53" s="1218">
        <f t="shared" si="6"/>
        <v>4574659.5194570543</v>
      </c>
      <c r="K53" s="1218">
        <f t="shared" si="6"/>
        <v>4967803.8970614681</v>
      </c>
      <c r="L53" s="1218">
        <f t="shared" si="6"/>
        <v>4222752.6388492212</v>
      </c>
      <c r="M53" s="1218">
        <f t="shared" si="6"/>
        <v>4217108.4794251602</v>
      </c>
      <c r="N53" s="1218">
        <f t="shared" si="6"/>
        <v>2290327.576071579</v>
      </c>
      <c r="O53" s="1218">
        <f t="shared" si="6"/>
        <v>53090861.355261862</v>
      </c>
    </row>
    <row r="57" spans="1:15" s="209" customFormat="1">
      <c r="A57" s="651"/>
      <c r="C57" s="647"/>
      <c r="D57" s="647"/>
      <c r="E57" s="647"/>
      <c r="F57" s="647"/>
      <c r="G57" s="647"/>
      <c r="H57" s="647"/>
      <c r="I57" s="647"/>
      <c r="J57" s="647"/>
      <c r="K57" s="647"/>
      <c r="L57" s="647"/>
      <c r="M57" s="647"/>
      <c r="N57" s="647"/>
      <c r="O57" s="647"/>
    </row>
  </sheetData>
  <mergeCells count="4">
    <mergeCell ref="A1:O1"/>
    <mergeCell ref="A2:O2"/>
    <mergeCell ref="A3:O3"/>
    <mergeCell ref="A4:O4"/>
  </mergeCells>
  <printOptions horizontalCentered="1"/>
  <pageMargins left="0.5" right="0.5" top="0.75" bottom="0.5" header="0.3" footer="0.3"/>
  <pageSetup scale="76"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AB26"/>
  <sheetViews>
    <sheetView zoomScaleNormal="100" zoomScaleSheetLayoutView="100" workbookViewId="0">
      <selection activeCell="A3" sqref="A3:U3"/>
    </sheetView>
  </sheetViews>
  <sheetFormatPr defaultColWidth="8.33203125" defaultRowHeight="12"/>
  <cols>
    <col min="1" max="5" width="8.33203125" style="133"/>
    <col min="6" max="9" width="9.33203125" style="133" customWidth="1"/>
    <col min="10" max="10" width="6.5" style="133" customWidth="1"/>
    <col min="11" max="11" width="9.33203125" style="133" customWidth="1"/>
    <col min="12" max="12" width="1.6640625" style="133" customWidth="1"/>
    <col min="13" max="13" width="3.1640625" style="133" customWidth="1"/>
    <col min="14" max="14" width="8.1640625" style="133" customWidth="1"/>
    <col min="15" max="15" width="2.83203125" style="133" customWidth="1"/>
    <col min="16" max="16" width="14.33203125" style="133" customWidth="1"/>
    <col min="17" max="17" width="3.1640625" style="133" customWidth="1"/>
    <col min="18" max="18" width="13.5" style="133" customWidth="1"/>
    <col min="19" max="19" width="8.33203125" style="133"/>
    <col min="20" max="20" width="10" style="133" customWidth="1"/>
    <col min="21" max="21" width="13.6640625" style="133" customWidth="1"/>
    <col min="22" max="28" width="8.33203125" style="133"/>
    <col min="29" max="29" width="9.1640625" style="133" customWidth="1"/>
    <col min="30" max="30" width="10" style="133" customWidth="1"/>
    <col min="31" max="16384" width="8.33203125" style="133"/>
  </cols>
  <sheetData>
    <row r="1" spans="1:28"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c r="S1" s="1328"/>
      <c r="T1" s="1328"/>
      <c r="U1" s="1328"/>
    </row>
    <row r="2" spans="1:28"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c r="S2" s="1328"/>
      <c r="T2" s="1328"/>
      <c r="U2" s="1328"/>
    </row>
    <row r="3" spans="1:28" ht="12.75" customHeight="1">
      <c r="A3" s="1328" t="str">
        <f>'Index D'!C31</f>
        <v>DETAILED ADJUSTMENTS</v>
      </c>
      <c r="B3" s="1328"/>
      <c r="C3" s="1328"/>
      <c r="D3" s="1328"/>
      <c r="E3" s="1328"/>
      <c r="F3" s="1328"/>
      <c r="G3" s="1328"/>
      <c r="H3" s="1328"/>
      <c r="I3" s="1328"/>
      <c r="J3" s="1328"/>
      <c r="K3" s="1328"/>
      <c r="L3" s="1328"/>
      <c r="M3" s="1328"/>
      <c r="N3" s="1328"/>
      <c r="O3" s="1328"/>
      <c r="P3" s="1328"/>
      <c r="Q3" s="1328"/>
      <c r="R3" s="1328"/>
      <c r="S3" s="1328"/>
      <c r="T3" s="1328"/>
      <c r="U3" s="1328"/>
    </row>
    <row r="4" spans="1:28" ht="12.75" customHeight="1">
      <c r="A4" s="1328" t="str">
        <f>'General Headers Index'!B22</f>
        <v>FOR THE TWELVE MONTHS ENDED AUGUST 31, 2024 AND THE TWELVE MONTHS ENDED DECEMBER 31, 2025</v>
      </c>
      <c r="B4" s="1328"/>
      <c r="C4" s="1328"/>
      <c r="D4" s="1328"/>
      <c r="E4" s="1328"/>
      <c r="F4" s="1328"/>
      <c r="G4" s="1328"/>
      <c r="H4" s="1328"/>
      <c r="I4" s="1328"/>
      <c r="J4" s="1328"/>
      <c r="K4" s="1328"/>
      <c r="L4" s="1328"/>
      <c r="M4" s="1328"/>
      <c r="N4" s="1328"/>
      <c r="O4" s="1328"/>
      <c r="P4" s="1328"/>
      <c r="Q4" s="1328"/>
      <c r="R4" s="1328"/>
      <c r="S4" s="1328"/>
      <c r="T4" s="1328"/>
      <c r="U4" s="1328"/>
    </row>
    <row r="5" spans="1:28">
      <c r="C5" s="623"/>
      <c r="J5" s="622"/>
    </row>
    <row r="6" spans="1:28">
      <c r="A6" s="285" t="s">
        <v>2786</v>
      </c>
      <c r="U6" s="624" t="s">
        <v>2347</v>
      </c>
      <c r="X6" s="623"/>
    </row>
    <row r="7" spans="1:28">
      <c r="A7" s="625" t="str">
        <f>'General Headers Index'!B37</f>
        <v>TYPE OF FILING:___X___ORIGINAL______UPDATED</v>
      </c>
      <c r="U7" s="624" t="s">
        <v>50</v>
      </c>
      <c r="X7" s="623"/>
    </row>
    <row r="8" spans="1:28">
      <c r="A8" s="625" t="s">
        <v>58</v>
      </c>
      <c r="U8" s="624" t="str">
        <f>"WITNESS: "&amp;'General Headers Index'!B48</f>
        <v>WITNESS: INSCHO</v>
      </c>
      <c r="X8" s="623"/>
    </row>
    <row r="9" spans="1:28">
      <c r="A9" s="623"/>
      <c r="C9" s="623"/>
      <c r="H9" s="623"/>
      <c r="J9" s="623"/>
      <c r="L9" s="623"/>
    </row>
    <row r="10" spans="1:28">
      <c r="A10" s="626"/>
      <c r="B10" s="626"/>
      <c r="C10" s="626"/>
      <c r="D10" s="626"/>
      <c r="E10" s="626"/>
      <c r="F10" s="626"/>
      <c r="G10" s="626"/>
      <c r="H10" s="626"/>
      <c r="I10" s="626"/>
      <c r="J10" s="626"/>
      <c r="K10" s="626"/>
      <c r="L10" s="626"/>
      <c r="M10" s="626"/>
      <c r="N10" s="626"/>
      <c r="O10" s="627"/>
      <c r="P10" s="1330" t="s">
        <v>42</v>
      </c>
      <c r="Q10" s="1330"/>
      <c r="R10" s="1330"/>
      <c r="S10" s="626"/>
      <c r="T10" s="626"/>
      <c r="U10" s="626"/>
    </row>
    <row r="11" spans="1:28">
      <c r="A11" s="1038" t="s">
        <v>43</v>
      </c>
      <c r="B11" s="1031"/>
      <c r="C11" s="1039"/>
      <c r="D11" s="1031"/>
      <c r="E11" s="1031"/>
      <c r="F11" s="1031"/>
      <c r="G11" s="1031"/>
      <c r="H11" s="1031"/>
      <c r="I11" s="1031"/>
      <c r="J11" s="1031"/>
      <c r="K11" s="1031"/>
      <c r="L11" s="1031"/>
      <c r="M11" s="1031"/>
      <c r="N11" s="1031"/>
      <c r="O11" s="1029"/>
      <c r="P11" s="1329" t="s">
        <v>2351</v>
      </c>
      <c r="Q11" s="1329"/>
      <c r="R11" s="1329"/>
      <c r="S11" s="1031"/>
      <c r="T11" s="1031"/>
      <c r="U11" s="1029" t="s">
        <v>45</v>
      </c>
    </row>
    <row r="13" spans="1:28">
      <c r="A13" s="630" t="s">
        <v>960</v>
      </c>
    </row>
    <row r="14" spans="1:28" ht="11.45" customHeight="1">
      <c r="A14" s="1332" t="s">
        <v>2340</v>
      </c>
      <c r="B14" s="1332"/>
      <c r="C14" s="1332"/>
      <c r="D14" s="1332"/>
      <c r="E14" s="1332"/>
      <c r="F14" s="1332"/>
      <c r="G14" s="1332"/>
      <c r="H14" s="1332"/>
      <c r="I14" s="1332"/>
      <c r="J14" s="1332"/>
      <c r="K14" s="1332"/>
      <c r="L14" s="1332"/>
      <c r="M14" s="1332"/>
      <c r="N14" s="1332"/>
      <c r="O14" s="1332"/>
      <c r="Q14" s="205" t="str">
        <f>'D-1.B (FTP IS Adj Summary)'!R7</f>
        <v>SCHEDULE D-1.B</v>
      </c>
      <c r="S14" s="625" t="s">
        <v>651</v>
      </c>
      <c r="U14" s="629">
        <f>'D-1.B (FTP IS Adj Summary)'!D134</f>
        <v>24472166.030000001</v>
      </c>
      <c r="AB14" s="631"/>
    </row>
    <row r="15" spans="1:28">
      <c r="A15" s="1332"/>
      <c r="B15" s="1332"/>
      <c r="C15" s="1332"/>
      <c r="D15" s="1332"/>
      <c r="E15" s="1332"/>
      <c r="F15" s="1332"/>
      <c r="G15" s="1332"/>
      <c r="H15" s="1332"/>
      <c r="I15" s="1332"/>
      <c r="J15" s="1332"/>
      <c r="K15" s="1332"/>
      <c r="L15" s="1332"/>
      <c r="M15" s="1332"/>
      <c r="N15" s="1332"/>
      <c r="O15" s="1332"/>
      <c r="Q15" s="205" t="str">
        <f>'D-1.A (BP IS Adj Summary)'!P7</f>
        <v>SCHEDULE D-1.A</v>
      </c>
      <c r="S15" s="625" t="s">
        <v>2352</v>
      </c>
      <c r="U15" s="631">
        <f>'D-1.A (BP IS Adj Summary)'!H135</f>
        <v>21467696.683611367</v>
      </c>
    </row>
    <row r="16" spans="1:28">
      <c r="A16" s="1332"/>
      <c r="B16" s="1332"/>
      <c r="C16" s="1332"/>
      <c r="D16" s="1332"/>
      <c r="E16" s="1332"/>
      <c r="F16" s="1332"/>
      <c r="G16" s="1332"/>
      <c r="H16" s="1332"/>
      <c r="I16" s="1332"/>
      <c r="J16" s="1332"/>
      <c r="K16" s="1332"/>
      <c r="L16" s="1332"/>
      <c r="M16" s="1332"/>
      <c r="N16" s="1332"/>
      <c r="O16" s="1332"/>
      <c r="S16" s="625" t="s">
        <v>433</v>
      </c>
      <c r="U16" s="640">
        <f>U14-U15</f>
        <v>3004469.3463886343</v>
      </c>
    </row>
    <row r="17" spans="1:28">
      <c r="A17" s="1332"/>
      <c r="B17" s="1332"/>
      <c r="C17" s="1332"/>
      <c r="D17" s="1332"/>
      <c r="E17" s="1332"/>
      <c r="F17" s="1332"/>
      <c r="G17" s="1332"/>
      <c r="H17" s="1332"/>
      <c r="I17" s="1332"/>
      <c r="J17" s="1332"/>
      <c r="K17" s="1332"/>
      <c r="L17" s="1332"/>
      <c r="M17" s="1332"/>
      <c r="N17" s="1332"/>
      <c r="O17" s="1332"/>
      <c r="U17" s="641">
        <f>ROUND(U16/U15,4)</f>
        <v>0.14000000000000001</v>
      </c>
    </row>
    <row r="18" spans="1:28">
      <c r="U18" s="629"/>
      <c r="AB18" s="631"/>
    </row>
    <row r="19" spans="1:28">
      <c r="A19" s="630" t="s">
        <v>961</v>
      </c>
    </row>
    <row r="20" spans="1:28">
      <c r="A20" s="1332" t="s">
        <v>2341</v>
      </c>
      <c r="B20" s="1332"/>
      <c r="C20" s="1332"/>
      <c r="D20" s="1332"/>
      <c r="E20" s="1332"/>
      <c r="F20" s="1332"/>
      <c r="G20" s="1332"/>
      <c r="H20" s="1332"/>
      <c r="I20" s="1332"/>
      <c r="J20" s="1332"/>
      <c r="K20" s="1332"/>
      <c r="L20" s="1332"/>
      <c r="M20" s="1332"/>
      <c r="N20" s="1332"/>
      <c r="O20" s="1332"/>
      <c r="Q20" s="205" t="str">
        <f>Q14</f>
        <v>SCHEDULE D-1.B</v>
      </c>
      <c r="S20" s="625" t="s">
        <v>651</v>
      </c>
      <c r="U20" s="629">
        <f>'D-1.B (FTP IS Adj Summary)'!D139</f>
        <v>10498032.442864595</v>
      </c>
    </row>
    <row r="21" spans="1:28">
      <c r="A21" s="1332"/>
      <c r="B21" s="1332"/>
      <c r="C21" s="1332"/>
      <c r="D21" s="1332"/>
      <c r="E21" s="1332"/>
      <c r="F21" s="1332"/>
      <c r="G21" s="1332"/>
      <c r="H21" s="1332"/>
      <c r="I21" s="1332"/>
      <c r="J21" s="1332"/>
      <c r="K21" s="1332"/>
      <c r="L21" s="1332"/>
      <c r="M21" s="1332"/>
      <c r="N21" s="1332"/>
      <c r="O21" s="1332"/>
      <c r="Q21" s="205" t="str">
        <f>Q15</f>
        <v>SCHEDULE D-1.A</v>
      </c>
      <c r="S21" s="625" t="s">
        <v>2352</v>
      </c>
      <c r="U21" s="631">
        <f>'D-1.A (BP IS Adj Summary)'!H140</f>
        <v>6005137.5032284716</v>
      </c>
    </row>
    <row r="22" spans="1:28">
      <c r="A22" s="1332"/>
      <c r="B22" s="1332"/>
      <c r="C22" s="1332"/>
      <c r="D22" s="1332"/>
      <c r="E22" s="1332"/>
      <c r="F22" s="1332"/>
      <c r="G22" s="1332"/>
      <c r="H22" s="1332"/>
      <c r="I22" s="1332"/>
      <c r="J22" s="1332"/>
      <c r="K22" s="1332"/>
      <c r="L22" s="1332"/>
      <c r="M22" s="1332"/>
      <c r="N22" s="1332"/>
      <c r="O22" s="1332"/>
      <c r="S22" s="625" t="s">
        <v>433</v>
      </c>
      <c r="U22" s="640">
        <f>U20-U21</f>
        <v>4492894.9396361234</v>
      </c>
    </row>
    <row r="23" spans="1:28">
      <c r="A23" s="1332"/>
      <c r="B23" s="1332"/>
      <c r="C23" s="1332"/>
      <c r="D23" s="1332"/>
      <c r="E23" s="1332"/>
      <c r="F23" s="1332"/>
      <c r="G23" s="1332"/>
      <c r="H23" s="1332"/>
      <c r="I23" s="1332"/>
      <c r="J23" s="1332"/>
      <c r="K23" s="1332"/>
      <c r="L23" s="1332"/>
      <c r="M23" s="1332"/>
      <c r="N23" s="1332"/>
      <c r="O23" s="1332"/>
      <c r="U23" s="641">
        <f>ROUND(U22/U21,4)</f>
        <v>0.74819999999999998</v>
      </c>
    </row>
    <row r="24" spans="1:28" ht="9.9499999999999993" customHeight="1">
      <c r="C24" s="631"/>
      <c r="D24" s="631"/>
      <c r="E24" s="631"/>
      <c r="F24" s="631"/>
      <c r="G24" s="631"/>
      <c r="H24" s="631"/>
      <c r="I24" s="631"/>
      <c r="J24" s="631"/>
      <c r="K24" s="631"/>
      <c r="L24" s="631"/>
      <c r="M24" s="631"/>
      <c r="N24" s="631"/>
      <c r="O24" s="631"/>
      <c r="U24" s="629"/>
    </row>
    <row r="25" spans="1:28" ht="9.9499999999999993" customHeight="1">
      <c r="C25" s="631"/>
      <c r="D25" s="631"/>
      <c r="E25" s="631"/>
      <c r="F25" s="631"/>
      <c r="G25" s="631"/>
      <c r="H25" s="631"/>
      <c r="I25" s="631"/>
      <c r="J25" s="631"/>
      <c r="K25" s="631"/>
      <c r="L25" s="631"/>
      <c r="M25" s="631"/>
      <c r="N25" s="631"/>
      <c r="O25" s="631"/>
    </row>
    <row r="26" spans="1:28">
      <c r="A26" s="623"/>
      <c r="H26" s="633"/>
      <c r="J26" s="634"/>
      <c r="L26" s="633"/>
      <c r="N26" s="623"/>
    </row>
  </sheetData>
  <mergeCells count="8">
    <mergeCell ref="A14:O17"/>
    <mergeCell ref="A20:O23"/>
    <mergeCell ref="A1:U1"/>
    <mergeCell ref="A2:U2"/>
    <mergeCell ref="A3:U3"/>
    <mergeCell ref="A4:U4"/>
    <mergeCell ref="P10:R10"/>
    <mergeCell ref="P11:R11"/>
  </mergeCells>
  <printOptions horizontalCentered="1"/>
  <pageMargins left="0.5" right="0.5" top="0.75" bottom="0.5" header="0.3" footer="0.3"/>
  <pageSetup scale="9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R226"/>
  <sheetViews>
    <sheetView zoomScale="98" zoomScaleNormal="98" zoomScaleSheetLayoutView="100" workbookViewId="0">
      <selection activeCell="R72" sqref="R72"/>
    </sheetView>
  </sheetViews>
  <sheetFormatPr defaultColWidth="8.33203125" defaultRowHeight="12"/>
  <cols>
    <col min="1" max="12" width="8.33203125" style="133"/>
    <col min="13" max="13" width="27.1640625" style="133" customWidth="1"/>
    <col min="14" max="14" width="11.5" style="133" customWidth="1"/>
    <col min="15" max="15" width="2.1640625" style="133" customWidth="1"/>
    <col min="16" max="16" width="12.33203125" style="133" customWidth="1"/>
    <col min="17" max="17" width="19.1640625" style="133" customWidth="1"/>
    <col min="18" max="18" width="18.6640625" style="133" customWidth="1"/>
    <col min="19" max="16384" width="8.33203125" style="133"/>
  </cols>
  <sheetData>
    <row r="1" spans="1:18" ht="12.75" customHeight="1">
      <c r="A1" s="1328" t="str">
        <f>'General Headers Index'!B4</f>
        <v>COLUMBIA GAS OF KENTUCKY, INC.</v>
      </c>
      <c r="B1" s="1328"/>
      <c r="C1" s="1328"/>
      <c r="D1" s="1328"/>
      <c r="E1" s="1328"/>
      <c r="F1" s="1328"/>
      <c r="G1" s="1328"/>
      <c r="H1" s="1328"/>
      <c r="I1" s="1328"/>
      <c r="J1" s="1328"/>
      <c r="K1" s="1328"/>
      <c r="L1" s="1328"/>
      <c r="M1" s="1328"/>
      <c r="N1" s="1328"/>
      <c r="O1" s="1328"/>
      <c r="P1" s="1328"/>
      <c r="Q1" s="1328"/>
      <c r="R1" s="1328"/>
    </row>
    <row r="2" spans="1:18" ht="12.75" customHeight="1">
      <c r="A2" s="1328" t="str">
        <f>'General Headers Index'!B6</f>
        <v>CASE NO. 2024 - 00092</v>
      </c>
      <c r="B2" s="1328"/>
      <c r="C2" s="1328"/>
      <c r="D2" s="1328"/>
      <c r="E2" s="1328"/>
      <c r="F2" s="1328"/>
      <c r="G2" s="1328"/>
      <c r="H2" s="1328"/>
      <c r="I2" s="1328"/>
      <c r="J2" s="1328"/>
      <c r="K2" s="1328"/>
      <c r="L2" s="1328"/>
      <c r="M2" s="1328"/>
      <c r="N2" s="1328"/>
      <c r="O2" s="1328"/>
      <c r="P2" s="1328"/>
      <c r="Q2" s="1328"/>
      <c r="R2" s="1328"/>
    </row>
    <row r="3" spans="1:18" ht="12.75" customHeight="1">
      <c r="A3" s="1328" t="str">
        <f>'Index D'!C32</f>
        <v>DETAILED ADJUSTMENTS</v>
      </c>
      <c r="B3" s="1328"/>
      <c r="C3" s="1328"/>
      <c r="D3" s="1328"/>
      <c r="E3" s="1328"/>
      <c r="F3" s="1328"/>
      <c r="G3" s="1328"/>
      <c r="H3" s="1328"/>
      <c r="I3" s="1328"/>
      <c r="J3" s="1328"/>
      <c r="K3" s="1328"/>
      <c r="L3" s="1328"/>
      <c r="M3" s="1328"/>
      <c r="N3" s="1328"/>
      <c r="O3" s="1328"/>
      <c r="P3" s="1328"/>
      <c r="Q3" s="1328"/>
      <c r="R3" s="1328"/>
    </row>
    <row r="4" spans="1:18" ht="12.75" customHeight="1">
      <c r="A4" s="1328" t="str">
        <f>'General Headers Index'!B15</f>
        <v>FOR THE TWELVE MONTHS ENDED DECEMBER 31, 2025</v>
      </c>
      <c r="B4" s="1328"/>
      <c r="C4" s="1328"/>
      <c r="D4" s="1328"/>
      <c r="E4" s="1328"/>
      <c r="F4" s="1328"/>
      <c r="G4" s="1328"/>
      <c r="H4" s="1328"/>
      <c r="I4" s="1328"/>
      <c r="J4" s="1328"/>
      <c r="K4" s="1328"/>
      <c r="L4" s="1328"/>
      <c r="M4" s="1328"/>
      <c r="N4" s="1328"/>
      <c r="O4" s="1328"/>
      <c r="P4" s="1328"/>
      <c r="Q4" s="1328"/>
      <c r="R4" s="1328"/>
    </row>
    <row r="5" spans="1:18">
      <c r="C5" s="623"/>
      <c r="J5" s="622"/>
    </row>
    <row r="6" spans="1:18">
      <c r="A6" s="285" t="s">
        <v>2833</v>
      </c>
      <c r="R6" s="624" t="s">
        <v>2332</v>
      </c>
    </row>
    <row r="7" spans="1:18">
      <c r="A7" s="625" t="str">
        <f>'General Headers Index'!B37</f>
        <v>TYPE OF FILING:___X___ORIGINAL______UPDATED</v>
      </c>
      <c r="R7" s="624" t="s">
        <v>883</v>
      </c>
    </row>
    <row r="8" spans="1:18">
      <c r="A8" s="625" t="s">
        <v>3061</v>
      </c>
      <c r="R8" s="624" t="str">
        <f>"WITNESS: "&amp;'General Headers Index'!B52</f>
        <v>WITNESS: SHAEFFER</v>
      </c>
    </row>
    <row r="9" spans="1:18" ht="11.45" customHeight="1">
      <c r="A9" s="623"/>
      <c r="C9" s="623"/>
      <c r="H9" s="623"/>
      <c r="J9" s="623"/>
      <c r="L9" s="623"/>
    </row>
    <row r="10" spans="1:18">
      <c r="A10" s="626"/>
      <c r="B10" s="626"/>
      <c r="C10" s="626"/>
      <c r="D10" s="626"/>
      <c r="E10" s="626"/>
      <c r="F10" s="626"/>
      <c r="G10" s="626"/>
      <c r="H10" s="626"/>
      <c r="I10" s="626"/>
      <c r="J10" s="626"/>
      <c r="K10" s="626"/>
      <c r="L10" s="626"/>
      <c r="M10" s="626"/>
      <c r="N10" s="626"/>
      <c r="O10" s="627" t="s">
        <v>42</v>
      </c>
      <c r="P10" s="626"/>
      <c r="Q10" s="626"/>
      <c r="R10" s="626"/>
    </row>
    <row r="11" spans="1:18">
      <c r="A11" s="1038" t="s">
        <v>43</v>
      </c>
      <c r="B11" s="1031"/>
      <c r="C11" s="1039"/>
      <c r="D11" s="1031"/>
      <c r="E11" s="1031"/>
      <c r="F11" s="1031"/>
      <c r="G11" s="1031"/>
      <c r="H11" s="1031"/>
      <c r="I11" s="1031"/>
      <c r="J11" s="1031"/>
      <c r="K11" s="1031"/>
      <c r="L11" s="1031"/>
      <c r="M11" s="1031"/>
      <c r="N11" s="1329" t="s">
        <v>2351</v>
      </c>
      <c r="O11" s="1329"/>
      <c r="P11" s="1329"/>
      <c r="Q11" s="1031"/>
      <c r="R11" s="1029" t="s">
        <v>45</v>
      </c>
    </row>
    <row r="13" spans="1:18">
      <c r="A13" s="628" t="s">
        <v>960</v>
      </c>
      <c r="Q13" s="625"/>
      <c r="R13" s="629"/>
    </row>
    <row r="14" spans="1:18">
      <c r="A14" s="625" t="s">
        <v>2005</v>
      </c>
      <c r="C14" s="623"/>
      <c r="O14" s="205" t="str">
        <f>'WPD-2.6.A Forfeited Disc. Adj.'!F7</f>
        <v>Workpaper WPD-2.6.A</v>
      </c>
      <c r="Q14" s="625" t="s">
        <v>651</v>
      </c>
      <c r="R14" s="629">
        <f>'WPD-2.6.A Forfeited Disc. Adj.'!F17</f>
        <v>-407665.80666666676</v>
      </c>
    </row>
    <row r="15" spans="1:18">
      <c r="A15" s="625" t="s">
        <v>2006</v>
      </c>
      <c r="Q15" s="625" t="s">
        <v>2352</v>
      </c>
      <c r="R15" s="1032">
        <v>0</v>
      </c>
    </row>
    <row r="16" spans="1:18">
      <c r="Q16" s="625" t="s">
        <v>433</v>
      </c>
      <c r="R16" s="629">
        <f>R14-R15</f>
        <v>-407665.80666666676</v>
      </c>
    </row>
    <row r="17" spans="1:18">
      <c r="Q17" s="625"/>
      <c r="R17" s="629"/>
    </row>
    <row r="18" spans="1:18">
      <c r="A18" s="628" t="s">
        <v>2075</v>
      </c>
      <c r="Q18" s="625"/>
      <c r="R18" s="629"/>
    </row>
    <row r="19" spans="1:18">
      <c r="A19" s="625" t="s">
        <v>1867</v>
      </c>
      <c r="C19" s="623"/>
      <c r="O19" s="205" t="str">
        <f>'WPD-2.6.B Tracker Expense Adj'!F7</f>
        <v>Workpaper WPD-2.6.B</v>
      </c>
      <c r="Q19" s="625" t="s">
        <v>651</v>
      </c>
      <c r="R19" s="629">
        <f>'WPD-2.6.B Tracker Expense Adj'!F17</f>
        <v>-13841.201379310398</v>
      </c>
    </row>
    <row r="20" spans="1:18">
      <c r="A20" s="625" t="s">
        <v>1868</v>
      </c>
      <c r="Q20" s="625" t="str">
        <f>$Q$15</f>
        <v>BASE-ADJUSTED</v>
      </c>
      <c r="R20" s="1032">
        <v>0</v>
      </c>
    </row>
    <row r="21" spans="1:18">
      <c r="Q21" s="625" t="s">
        <v>433</v>
      </c>
      <c r="R21" s="629">
        <f>R19-R20</f>
        <v>-13841.201379310398</v>
      </c>
    </row>
    <row r="22" spans="1:18">
      <c r="Q22" s="625"/>
      <c r="R22" s="629"/>
    </row>
    <row r="23" spans="1:18">
      <c r="A23" s="628" t="s">
        <v>2076</v>
      </c>
      <c r="Q23" s="625"/>
      <c r="R23" s="629"/>
    </row>
    <row r="24" spans="1:18">
      <c r="A24" s="625" t="s">
        <v>1869</v>
      </c>
      <c r="C24" s="623"/>
      <c r="O24" s="205" t="str">
        <f>'WPD-2.6.B Tracker Expense Adj'!F7</f>
        <v>Workpaper WPD-2.6.B</v>
      </c>
      <c r="Q24" s="625" t="s">
        <v>651</v>
      </c>
      <c r="R24" s="629">
        <f>'WPD-2.6.B Tracker Expense Adj'!F24</f>
        <v>14175.354482758659</v>
      </c>
    </row>
    <row r="25" spans="1:18">
      <c r="A25" s="625" t="s">
        <v>1868</v>
      </c>
      <c r="Q25" s="625" t="str">
        <f>$Q$15</f>
        <v>BASE-ADJUSTED</v>
      </c>
      <c r="R25" s="1032">
        <v>0</v>
      </c>
    </row>
    <row r="26" spans="1:18">
      <c r="Q26" s="625" t="s">
        <v>433</v>
      </c>
      <c r="R26" s="629">
        <f>R24-R25</f>
        <v>14175.354482758659</v>
      </c>
    </row>
    <row r="27" spans="1:18">
      <c r="Q27" s="625"/>
      <c r="R27" s="629"/>
    </row>
    <row r="28" spans="1:18">
      <c r="A28" s="630" t="s">
        <v>962</v>
      </c>
      <c r="C28" s="631"/>
      <c r="D28" s="631"/>
      <c r="E28" s="631"/>
      <c r="F28" s="631"/>
      <c r="G28" s="631"/>
      <c r="H28" s="631"/>
      <c r="I28" s="631"/>
      <c r="J28" s="631"/>
      <c r="K28" s="631"/>
      <c r="L28" s="631"/>
      <c r="M28" s="631"/>
      <c r="N28" s="631"/>
      <c r="O28" s="631"/>
      <c r="P28" s="631"/>
      <c r="Q28" s="625"/>
      <c r="R28" s="629"/>
    </row>
    <row r="29" spans="1:18">
      <c r="A29" s="625" t="s">
        <v>1001</v>
      </c>
      <c r="C29" s="623"/>
      <c r="O29" s="205" t="str">
        <f>'WPD-2.6.C ASC 712 Adj'!D7</f>
        <v>Workpaper WPD-2.6.C</v>
      </c>
      <c r="Q29" s="625" t="s">
        <v>651</v>
      </c>
      <c r="R29" s="629">
        <f>'WPD-2.6.C ASC 712 Adj'!D25</f>
        <v>-29637</v>
      </c>
    </row>
    <row r="30" spans="1:18">
      <c r="A30" s="625" t="s">
        <v>1000</v>
      </c>
      <c r="Q30" s="625" t="str">
        <f>$Q$15</f>
        <v>BASE-ADJUSTED</v>
      </c>
      <c r="R30" s="1032">
        <v>0</v>
      </c>
    </row>
    <row r="31" spans="1:18">
      <c r="A31" s="625"/>
      <c r="C31" s="631"/>
      <c r="D31" s="631"/>
      <c r="E31" s="631"/>
      <c r="F31" s="631"/>
      <c r="G31" s="631"/>
      <c r="H31" s="631"/>
      <c r="I31" s="631"/>
      <c r="J31" s="631"/>
      <c r="K31" s="631"/>
      <c r="L31" s="631"/>
      <c r="M31" s="631"/>
      <c r="Q31" s="625" t="s">
        <v>433</v>
      </c>
      <c r="R31" s="629">
        <f>R29-R30</f>
        <v>-29637</v>
      </c>
    </row>
    <row r="32" spans="1:18">
      <c r="Q32" s="625"/>
      <c r="R32" s="629"/>
    </row>
    <row r="33" spans="1:18">
      <c r="A33" s="630" t="s">
        <v>2446</v>
      </c>
    </row>
    <row r="34" spans="1:18">
      <c r="A34" s="625" t="s">
        <v>1876</v>
      </c>
      <c r="C34" s="623"/>
      <c r="O34" s="205" t="str">
        <f>'WPD-2.6.D(1) Uncollectible Exp'!F7</f>
        <v>Workpaper WPD-2.6.D(1)</v>
      </c>
      <c r="Q34" s="625" t="s">
        <v>651</v>
      </c>
      <c r="R34" s="629">
        <f>'WPD-2.6.D(1) Uncollectible Exp'!F22</f>
        <v>-230183.43301344838</v>
      </c>
    </row>
    <row r="35" spans="1:18">
      <c r="A35" s="625" t="s">
        <v>1794</v>
      </c>
      <c r="Q35" s="625" t="str">
        <f>$Q$15</f>
        <v>BASE-ADJUSTED</v>
      </c>
      <c r="R35" s="1032">
        <v>0</v>
      </c>
    </row>
    <row r="36" spans="1:18">
      <c r="A36" s="133" t="s">
        <v>1793</v>
      </c>
      <c r="Q36" s="625" t="s">
        <v>433</v>
      </c>
      <c r="R36" s="629">
        <f>R34-R35</f>
        <v>-230183.43301344838</v>
      </c>
    </row>
    <row r="37" spans="1:18">
      <c r="A37" s="625"/>
      <c r="Q37" s="625"/>
      <c r="R37" s="629"/>
    </row>
    <row r="38" spans="1:18">
      <c r="A38" s="630" t="s">
        <v>2447</v>
      </c>
    </row>
    <row r="39" spans="1:18">
      <c r="A39" s="625" t="s">
        <v>1877</v>
      </c>
      <c r="C39" s="623"/>
      <c r="O39" s="205" t="str">
        <f>O34</f>
        <v>Workpaper WPD-2.6.D(1)</v>
      </c>
      <c r="Q39" s="625" t="s">
        <v>651</v>
      </c>
      <c r="R39" s="629">
        <f>'WPD-2.6.D(1) Uncollectible Exp'!F29</f>
        <v>-261862.48689655174</v>
      </c>
    </row>
    <row r="40" spans="1:18">
      <c r="A40" s="625" t="s">
        <v>1794</v>
      </c>
      <c r="Q40" s="625" t="str">
        <f>$Q$15</f>
        <v>BASE-ADJUSTED</v>
      </c>
      <c r="R40" s="1032">
        <v>0</v>
      </c>
    </row>
    <row r="41" spans="1:18">
      <c r="A41" s="133" t="s">
        <v>1793</v>
      </c>
      <c r="Q41" s="625" t="s">
        <v>433</v>
      </c>
      <c r="R41" s="629">
        <f>R39-R40</f>
        <v>-261862.48689655174</v>
      </c>
    </row>
    <row r="42" spans="1:18">
      <c r="A42" s="625"/>
      <c r="Q42" s="625"/>
      <c r="R42" s="629"/>
    </row>
    <row r="43" spans="1:18" ht="12.75" customHeight="1">
      <c r="A43" s="628" t="s">
        <v>2448</v>
      </c>
    </row>
    <row r="44" spans="1:18" ht="12.75" customHeight="1">
      <c r="A44" s="133" t="s">
        <v>1468</v>
      </c>
      <c r="O44" s="205" t="str">
        <f>'WPD-2.6.D(3) Uncoll. GC Rev Adj'!F7</f>
        <v>Workpaper WPD-2.6.D(3)</v>
      </c>
      <c r="Q44" s="625" t="s">
        <v>651</v>
      </c>
      <c r="R44" s="629">
        <f>'WPD-2.6.D(3) Uncoll. GC Rev Adj'!F25</f>
        <v>-55342.030000000013</v>
      </c>
    </row>
    <row r="45" spans="1:18" ht="12.75" customHeight="1">
      <c r="A45" s="623" t="s">
        <v>1827</v>
      </c>
      <c r="C45" s="623"/>
      <c r="H45" s="623"/>
      <c r="J45" s="623"/>
      <c r="L45" s="623"/>
      <c r="Q45" s="625" t="str">
        <f>$Q$15</f>
        <v>BASE-ADJUSTED</v>
      </c>
      <c r="R45" s="1032">
        <v>0</v>
      </c>
    </row>
    <row r="46" spans="1:18" ht="12.75" customHeight="1">
      <c r="A46" s="623"/>
      <c r="C46" s="623"/>
      <c r="H46" s="623"/>
      <c r="J46" s="623"/>
      <c r="L46" s="623"/>
      <c r="Q46" s="625" t="s">
        <v>433</v>
      </c>
      <c r="R46" s="629">
        <f>R44-R45</f>
        <v>-55342.030000000013</v>
      </c>
    </row>
    <row r="47" spans="1:18" ht="12.75" customHeight="1">
      <c r="A47" s="623"/>
      <c r="C47" s="623"/>
      <c r="H47" s="623"/>
      <c r="J47" s="623"/>
      <c r="L47" s="623"/>
      <c r="Q47" s="625"/>
      <c r="R47" s="629"/>
    </row>
    <row r="48" spans="1:18">
      <c r="A48" s="630" t="s">
        <v>28</v>
      </c>
    </row>
    <row r="49" spans="1:18">
      <c r="A49" s="133" t="s">
        <v>2108</v>
      </c>
      <c r="O49" s="205" t="str">
        <f>'WPD-2.6.E Corporate Insurance'!F7</f>
        <v>Workpaper WPD-2.6.E</v>
      </c>
      <c r="Q49" s="625" t="s">
        <v>651</v>
      </c>
      <c r="R49" s="629">
        <f>'WPD-2.6.E Corporate Insurance'!F17</f>
        <v>-288255.22534993058</v>
      </c>
    </row>
    <row r="50" spans="1:18">
      <c r="A50" s="623" t="s">
        <v>2109</v>
      </c>
      <c r="C50" s="623"/>
      <c r="H50" s="623"/>
      <c r="J50" s="623"/>
      <c r="L50" s="623"/>
      <c r="N50" s="623"/>
      <c r="O50" s="205"/>
      <c r="Q50" s="625" t="str">
        <f>$Q$15</f>
        <v>BASE-ADJUSTED</v>
      </c>
      <c r="R50" s="1032">
        <v>0</v>
      </c>
    </row>
    <row r="51" spans="1:18">
      <c r="A51" s="632" t="s">
        <v>2112</v>
      </c>
      <c r="H51" s="633"/>
      <c r="J51" s="634"/>
      <c r="L51" s="633"/>
      <c r="N51" s="623"/>
      <c r="O51" s="205"/>
      <c r="Q51" s="625" t="s">
        <v>433</v>
      </c>
      <c r="R51" s="629">
        <f>R49-R50</f>
        <v>-288255.22534993058</v>
      </c>
    </row>
    <row r="52" spans="1:18">
      <c r="A52" s="625"/>
      <c r="C52" s="631"/>
      <c r="D52" s="631"/>
      <c r="E52" s="631"/>
      <c r="F52" s="631"/>
      <c r="G52" s="631"/>
      <c r="H52" s="631"/>
      <c r="I52" s="631"/>
      <c r="J52" s="631"/>
      <c r="K52" s="631"/>
      <c r="L52" s="631"/>
      <c r="M52" s="631"/>
      <c r="N52" s="631"/>
      <c r="O52" s="631"/>
      <c r="P52" s="631"/>
    </row>
    <row r="53" spans="1:18">
      <c r="A53" s="1328" t="str">
        <f>A1</f>
        <v>COLUMBIA GAS OF KENTUCKY, INC.</v>
      </c>
      <c r="B53" s="1328"/>
      <c r="C53" s="1328"/>
      <c r="D53" s="1328"/>
      <c r="E53" s="1328"/>
      <c r="F53" s="1328"/>
      <c r="G53" s="1328"/>
      <c r="H53" s="1328"/>
      <c r="I53" s="1328"/>
      <c r="J53" s="1328"/>
      <c r="K53" s="1328"/>
      <c r="L53" s="1328"/>
      <c r="M53" s="1328"/>
      <c r="N53" s="1328"/>
      <c r="O53" s="1328"/>
      <c r="P53" s="1328"/>
      <c r="Q53" s="1328"/>
      <c r="R53" s="1328"/>
    </row>
    <row r="54" spans="1:18">
      <c r="A54" s="1328" t="str">
        <f>A2</f>
        <v>CASE NO. 2024 - 00092</v>
      </c>
      <c r="B54" s="1328"/>
      <c r="C54" s="1328"/>
      <c r="D54" s="1328"/>
      <c r="E54" s="1328"/>
      <c r="F54" s="1328"/>
      <c r="G54" s="1328"/>
      <c r="H54" s="1328"/>
      <c r="I54" s="1328"/>
      <c r="J54" s="1328"/>
      <c r="K54" s="1328"/>
      <c r="L54" s="1328"/>
      <c r="M54" s="1328"/>
      <c r="N54" s="1328"/>
      <c r="O54" s="1328"/>
      <c r="P54" s="1328"/>
      <c r="Q54" s="1328"/>
      <c r="R54" s="1328"/>
    </row>
    <row r="55" spans="1:18">
      <c r="A55" s="1328" t="str">
        <f>A3</f>
        <v>DETAILED ADJUSTMENTS</v>
      </c>
      <c r="B55" s="1328"/>
      <c r="C55" s="1328"/>
      <c r="D55" s="1328"/>
      <c r="E55" s="1328"/>
      <c r="F55" s="1328"/>
      <c r="G55" s="1328"/>
      <c r="H55" s="1328"/>
      <c r="I55" s="1328"/>
      <c r="J55" s="1328"/>
      <c r="K55" s="1328"/>
      <c r="L55" s="1328"/>
      <c r="M55" s="1328"/>
      <c r="N55" s="1328"/>
      <c r="O55" s="1328"/>
      <c r="P55" s="1328"/>
      <c r="Q55" s="1328"/>
      <c r="R55" s="1328"/>
    </row>
    <row r="56" spans="1:18">
      <c r="A56" s="1328" t="str">
        <f>A4</f>
        <v>FOR THE TWELVE MONTHS ENDED DECEMBER 31, 2025</v>
      </c>
      <c r="B56" s="1328"/>
      <c r="C56" s="1328"/>
      <c r="D56" s="1328"/>
      <c r="E56" s="1328"/>
      <c r="F56" s="1328"/>
      <c r="G56" s="1328"/>
      <c r="H56" s="1328"/>
      <c r="I56" s="1328"/>
      <c r="J56" s="1328"/>
      <c r="K56" s="1328"/>
      <c r="L56" s="1328"/>
      <c r="M56" s="1328"/>
      <c r="N56" s="1328"/>
      <c r="O56" s="1328"/>
      <c r="P56" s="1328"/>
      <c r="Q56" s="1328"/>
      <c r="R56" s="1328"/>
    </row>
    <row r="57" spans="1:18">
      <c r="C57" s="623"/>
      <c r="J57" s="622"/>
    </row>
    <row r="58" spans="1:18">
      <c r="A58" s="285" t="str">
        <f>A6</f>
        <v>DATA:______BASE PERIOD___X___FORECASTED PERIOD</v>
      </c>
      <c r="R58" s="624" t="str">
        <f>R6</f>
        <v>SCHEDULE D-2.6</v>
      </c>
    </row>
    <row r="59" spans="1:18">
      <c r="A59" s="285" t="str">
        <f>A7</f>
        <v>TYPE OF FILING:___X___ORIGINAL______UPDATED</v>
      </c>
      <c r="R59" s="624" t="s">
        <v>832</v>
      </c>
    </row>
    <row r="60" spans="1:18">
      <c r="A60" s="285" t="str">
        <f>A8</f>
        <v>WORKPAPER REFERENCE NO(S). _WPD-2.6___</v>
      </c>
      <c r="R60" s="624" t="str">
        <f>R8</f>
        <v>WITNESS: SHAEFFER</v>
      </c>
    </row>
    <row r="61" spans="1:18">
      <c r="A61" s="623"/>
      <c r="C61" s="623"/>
      <c r="H61" s="623"/>
      <c r="J61" s="623"/>
      <c r="L61" s="623"/>
    </row>
    <row r="62" spans="1:18">
      <c r="A62" s="626"/>
      <c r="B62" s="626"/>
      <c r="C62" s="626"/>
      <c r="D62" s="626"/>
      <c r="E62" s="626"/>
      <c r="F62" s="626"/>
      <c r="G62" s="626"/>
      <c r="H62" s="626"/>
      <c r="I62" s="626"/>
      <c r="J62" s="626"/>
      <c r="K62" s="626"/>
      <c r="L62" s="626"/>
      <c r="M62" s="626"/>
      <c r="N62" s="626"/>
      <c r="O62" s="627" t="s">
        <v>42</v>
      </c>
      <c r="P62" s="626"/>
      <c r="Q62" s="626"/>
      <c r="R62" s="626"/>
    </row>
    <row r="63" spans="1:18">
      <c r="A63" s="1038" t="s">
        <v>43</v>
      </c>
      <c r="B63" s="1031"/>
      <c r="C63" s="1039"/>
      <c r="D63" s="1031"/>
      <c r="E63" s="1031"/>
      <c r="F63" s="1031"/>
      <c r="G63" s="1031"/>
      <c r="H63" s="1031"/>
      <c r="I63" s="1031"/>
      <c r="J63" s="1031"/>
      <c r="K63" s="1031"/>
      <c r="L63" s="1031"/>
      <c r="M63" s="1031"/>
      <c r="N63" s="1031"/>
      <c r="O63" s="1029" t="s">
        <v>44</v>
      </c>
      <c r="P63" s="1031"/>
      <c r="Q63" s="1031"/>
      <c r="R63" s="1029" t="s">
        <v>45</v>
      </c>
    </row>
    <row r="64" spans="1:18">
      <c r="Q64" s="625"/>
      <c r="R64" s="629"/>
    </row>
    <row r="65" spans="1:18">
      <c r="A65" s="630" t="s">
        <v>29</v>
      </c>
    </row>
    <row r="66" spans="1:18">
      <c r="A66" s="625" t="s">
        <v>2110</v>
      </c>
      <c r="O66" s="205" t="str">
        <f>'WPD-2.6.F Rate Case Exp Adj'!F7</f>
        <v>Workpaper WPD-2.6.F</v>
      </c>
      <c r="Q66" s="625" t="s">
        <v>651</v>
      </c>
      <c r="R66" s="629">
        <f>'WPD-2.6.F Rate Case Exp Adj'!F21</f>
        <v>945747</v>
      </c>
    </row>
    <row r="67" spans="1:18">
      <c r="A67" s="625" t="s">
        <v>2111</v>
      </c>
      <c r="H67" s="633"/>
      <c r="J67" s="634"/>
      <c r="L67" s="633"/>
      <c r="N67" s="623"/>
      <c r="O67" s="205"/>
      <c r="Q67" s="625" t="str">
        <f>$Q$15</f>
        <v>BASE-ADJUSTED</v>
      </c>
      <c r="R67" s="1032">
        <v>0</v>
      </c>
    </row>
    <row r="68" spans="1:18">
      <c r="A68" s="632" t="s">
        <v>2134</v>
      </c>
      <c r="H68" s="633"/>
      <c r="J68" s="634"/>
      <c r="L68" s="633"/>
      <c r="N68" s="623"/>
      <c r="O68" s="205"/>
      <c r="Q68" s="625" t="s">
        <v>433</v>
      </c>
      <c r="R68" s="629">
        <f>R66-R67</f>
        <v>945747</v>
      </c>
    </row>
    <row r="69" spans="1:18">
      <c r="A69" s="625"/>
      <c r="C69" s="631"/>
      <c r="D69" s="631"/>
      <c r="E69" s="631"/>
      <c r="F69" s="631"/>
      <c r="G69" s="631"/>
      <c r="H69" s="631"/>
      <c r="I69" s="631"/>
      <c r="J69" s="631"/>
      <c r="K69" s="631"/>
      <c r="L69" s="631"/>
      <c r="M69" s="631"/>
      <c r="N69" s="631"/>
      <c r="O69" s="631"/>
      <c r="P69" s="631"/>
    </row>
    <row r="70" spans="1:18">
      <c r="Q70" s="625"/>
      <c r="R70" s="629"/>
    </row>
    <row r="71" spans="1:18">
      <c r="A71" s="628" t="s">
        <v>2449</v>
      </c>
      <c r="Q71" s="625"/>
      <c r="R71" s="629"/>
    </row>
    <row r="72" spans="1:18">
      <c r="A72" s="625" t="s">
        <v>1863</v>
      </c>
      <c r="O72" s="205" t="str">
        <f>'WPD-2.6.G CKY Direct Exclusions'!F7</f>
        <v>Workpaper WPD-2.6.G</v>
      </c>
      <c r="Q72" s="625" t="s">
        <v>651</v>
      </c>
      <c r="R72" s="629">
        <f>'WPD-2.6.G CKY Direct Exclusions'!F40</f>
        <v>-103138.39518000001</v>
      </c>
    </row>
    <row r="73" spans="1:18">
      <c r="A73" s="625" t="s">
        <v>1866</v>
      </c>
      <c r="Q73" s="625" t="str">
        <f>$Q$15</f>
        <v>BASE-ADJUSTED</v>
      </c>
      <c r="R73" s="1032">
        <v>0</v>
      </c>
    </row>
    <row r="74" spans="1:18">
      <c r="A74" s="133" t="s">
        <v>2128</v>
      </c>
      <c r="Q74" s="625" t="s">
        <v>433</v>
      </c>
      <c r="R74" s="629">
        <f>R72-R73</f>
        <v>-103138.39518000001</v>
      </c>
    </row>
    <row r="75" spans="1:18">
      <c r="Q75" s="625"/>
      <c r="R75" s="629"/>
    </row>
    <row r="76" spans="1:18">
      <c r="Q76" s="625"/>
      <c r="R76" s="629"/>
    </row>
    <row r="77" spans="1:18">
      <c r="A77" s="628" t="s">
        <v>2450</v>
      </c>
      <c r="Q77" s="625"/>
      <c r="R77" s="629"/>
    </row>
    <row r="78" spans="1:18">
      <c r="A78" s="625" t="s">
        <v>1864</v>
      </c>
      <c r="O78" s="205" t="str">
        <f>O72</f>
        <v>Workpaper WPD-2.6.G</v>
      </c>
      <c r="Q78" s="625" t="s">
        <v>651</v>
      </c>
      <c r="R78" s="629">
        <f>'WPD-2.6.G CKY Direct Exclusions'!F42</f>
        <v>-111556.2402</v>
      </c>
    </row>
    <row r="79" spans="1:18">
      <c r="A79" s="625" t="s">
        <v>1012</v>
      </c>
      <c r="Q79" s="625" t="str">
        <f>$Q$15</f>
        <v>BASE-ADJUSTED</v>
      </c>
      <c r="R79" s="1032">
        <v>0</v>
      </c>
    </row>
    <row r="80" spans="1:18">
      <c r="A80" s="625" t="s">
        <v>2132</v>
      </c>
      <c r="Q80" s="625" t="s">
        <v>433</v>
      </c>
      <c r="R80" s="629">
        <f>R78-R79</f>
        <v>-111556.2402</v>
      </c>
    </row>
    <row r="81" spans="1:18">
      <c r="A81" s="625" t="s">
        <v>2131</v>
      </c>
      <c r="Q81" s="625"/>
      <c r="R81" s="631"/>
    </row>
    <row r="83" spans="1:18">
      <c r="C83" s="631"/>
      <c r="D83" s="631"/>
      <c r="E83" s="631"/>
      <c r="F83" s="631"/>
      <c r="G83" s="631"/>
      <c r="H83" s="631"/>
      <c r="I83" s="631"/>
      <c r="J83" s="631"/>
      <c r="K83" s="631"/>
      <c r="L83" s="631"/>
      <c r="M83" s="631"/>
      <c r="N83" s="631"/>
      <c r="O83" s="631"/>
      <c r="P83" s="631"/>
      <c r="Q83" s="631"/>
      <c r="R83" s="631"/>
    </row>
    <row r="84" spans="1:18">
      <c r="A84" s="628" t="s">
        <v>1933</v>
      </c>
      <c r="Q84" s="625"/>
      <c r="R84" s="629"/>
    </row>
    <row r="85" spans="1:18">
      <c r="A85" s="625" t="s">
        <v>1865</v>
      </c>
      <c r="O85" s="205" t="str">
        <f>'WPD-2.6.H NCSC Alloc Exclusions'!F7</f>
        <v>Workpaper WPD-2.6.H</v>
      </c>
      <c r="Q85" s="625" t="s">
        <v>651</v>
      </c>
      <c r="R85" s="629">
        <f>'WPD-2.6.H NCSC Alloc Exclusions'!F39</f>
        <v>-21122.963459999999</v>
      </c>
    </row>
    <row r="86" spans="1:18">
      <c r="A86" s="625" t="s">
        <v>1866</v>
      </c>
      <c r="Q86" s="625" t="str">
        <f>$Q$15</f>
        <v>BASE-ADJUSTED</v>
      </c>
      <c r="R86" s="1032">
        <v>0</v>
      </c>
    </row>
    <row r="87" spans="1:18">
      <c r="A87" s="133" t="s">
        <v>2129</v>
      </c>
      <c r="Q87" s="625" t="s">
        <v>433</v>
      </c>
      <c r="R87" s="629">
        <f>R85-R86</f>
        <v>-21122.963459999999</v>
      </c>
    </row>
    <row r="88" spans="1:18">
      <c r="A88" s="133" t="s">
        <v>2130</v>
      </c>
      <c r="Q88" s="625"/>
      <c r="R88" s="629"/>
    </row>
    <row r="89" spans="1:18">
      <c r="Q89" s="625"/>
      <c r="R89" s="629"/>
    </row>
    <row r="90" spans="1:18">
      <c r="Q90" s="625"/>
      <c r="R90" s="629"/>
    </row>
    <row r="91" spans="1:18">
      <c r="A91" s="628" t="s">
        <v>1934</v>
      </c>
      <c r="Q91" s="625"/>
      <c r="R91" s="629"/>
    </row>
    <row r="92" spans="1:18">
      <c r="A92" s="625" t="s">
        <v>1878</v>
      </c>
      <c r="O92" s="205" t="str">
        <f>O85</f>
        <v>Workpaper WPD-2.6.H</v>
      </c>
      <c r="Q92" s="625" t="s">
        <v>651</v>
      </c>
      <c r="R92" s="629">
        <f>'WPD-2.6.H NCSC Alloc Exclusions'!F41</f>
        <v>-124614.79614000002</v>
      </c>
    </row>
    <row r="93" spans="1:18">
      <c r="A93" s="625" t="s">
        <v>1879</v>
      </c>
      <c r="Q93" s="625" t="str">
        <f>$Q$15</f>
        <v>BASE-ADJUSTED</v>
      </c>
      <c r="R93" s="1032">
        <v>0</v>
      </c>
    </row>
    <row r="94" spans="1:18">
      <c r="A94" s="625" t="s">
        <v>2132</v>
      </c>
      <c r="Q94" s="625" t="s">
        <v>433</v>
      </c>
      <c r="R94" s="629">
        <f>R92-R93</f>
        <v>-124614.79614000002</v>
      </c>
    </row>
    <row r="95" spans="1:18">
      <c r="A95" s="625" t="s">
        <v>2133</v>
      </c>
      <c r="C95" s="631"/>
      <c r="D95" s="631"/>
      <c r="E95" s="631"/>
      <c r="F95" s="631"/>
      <c r="G95" s="631"/>
      <c r="H95" s="631"/>
      <c r="I95" s="631"/>
      <c r="J95" s="631"/>
      <c r="K95" s="631"/>
      <c r="L95" s="631"/>
      <c r="M95" s="631"/>
      <c r="N95" s="631"/>
      <c r="O95" s="631"/>
      <c r="P95" s="631"/>
      <c r="Q95" s="631"/>
      <c r="R95" s="631"/>
    </row>
    <row r="96" spans="1:18">
      <c r="C96" s="631"/>
      <c r="D96" s="631"/>
      <c r="E96" s="631"/>
      <c r="F96" s="631"/>
      <c r="G96" s="631"/>
      <c r="H96" s="631"/>
      <c r="I96" s="631"/>
      <c r="J96" s="631"/>
      <c r="K96" s="631"/>
      <c r="L96" s="631"/>
      <c r="M96" s="631"/>
      <c r="N96" s="631"/>
      <c r="O96" s="631"/>
      <c r="P96" s="631"/>
      <c r="Q96" s="631"/>
      <c r="R96" s="631"/>
    </row>
    <row r="97" spans="1:18">
      <c r="A97" s="628" t="s">
        <v>32</v>
      </c>
      <c r="Q97" s="625"/>
      <c r="R97" s="629"/>
    </row>
    <row r="98" spans="1:18">
      <c r="A98" s="625" t="s">
        <v>2479</v>
      </c>
      <c r="C98" s="623"/>
      <c r="O98" s="205" t="str">
        <f>'WPD-2.6.I Depr Amrt Expense'!F7</f>
        <v>Workpaper WPD-2.6.I</v>
      </c>
      <c r="Q98" s="625" t="s">
        <v>651</v>
      </c>
      <c r="R98" s="629">
        <f>'WPD-2.6.I Depr Amrt Expense'!F17</f>
        <v>2011730.23780955</v>
      </c>
    </row>
    <row r="99" spans="1:18">
      <c r="A99" s="625" t="s">
        <v>2481</v>
      </c>
      <c r="Q99" s="625" t="str">
        <f>$Q$15</f>
        <v>BASE-ADJUSTED</v>
      </c>
      <c r="R99" s="1032">
        <v>0</v>
      </c>
    </row>
    <row r="100" spans="1:18">
      <c r="A100" s="133" t="s">
        <v>2480</v>
      </c>
      <c r="Q100" s="625" t="s">
        <v>433</v>
      </c>
      <c r="R100" s="629">
        <f>R98-R99</f>
        <v>2011730.23780955</v>
      </c>
    </row>
    <row r="101" spans="1:18">
      <c r="C101" s="631"/>
      <c r="D101" s="631"/>
      <c r="E101" s="631"/>
      <c r="F101" s="631"/>
      <c r="G101" s="631"/>
      <c r="H101" s="631"/>
      <c r="I101" s="631"/>
      <c r="J101" s="631"/>
      <c r="K101" s="631"/>
      <c r="L101" s="631"/>
      <c r="M101" s="631"/>
      <c r="N101" s="631"/>
      <c r="O101" s="631"/>
      <c r="P101" s="631"/>
      <c r="Q101" s="631"/>
      <c r="R101" s="631"/>
    </row>
    <row r="102" spans="1:18">
      <c r="C102" s="631"/>
      <c r="D102" s="631"/>
      <c r="E102" s="631"/>
      <c r="F102" s="631"/>
      <c r="G102" s="631"/>
      <c r="H102" s="631"/>
      <c r="I102" s="631"/>
      <c r="J102" s="631"/>
      <c r="K102" s="631"/>
      <c r="L102" s="631"/>
      <c r="M102" s="631"/>
      <c r="N102" s="631"/>
      <c r="O102" s="631"/>
      <c r="P102" s="631"/>
      <c r="Q102" s="631"/>
      <c r="R102" s="631"/>
    </row>
    <row r="103" spans="1:18">
      <c r="A103" s="628" t="s">
        <v>33</v>
      </c>
      <c r="Q103" s="625"/>
      <c r="R103" s="629"/>
    </row>
    <row r="104" spans="1:18">
      <c r="A104" s="625" t="s">
        <v>1260</v>
      </c>
      <c r="C104" s="623"/>
      <c r="O104" s="205" t="str">
        <f>'WPD-2.6.J Property Tax'!J7</f>
        <v>Workpaper WPD-2.6.J</v>
      </c>
      <c r="Q104" s="625" t="s">
        <v>651</v>
      </c>
      <c r="R104" s="629">
        <f>'WPD-2.6.J Property Tax'!J52</f>
        <v>-1920240.9032976823</v>
      </c>
    </row>
    <row r="105" spans="1:18">
      <c r="A105" s="625" t="s">
        <v>2453</v>
      </c>
      <c r="Q105" s="625" t="str">
        <f>$Q$15</f>
        <v>BASE-ADJUSTED</v>
      </c>
      <c r="R105" s="1032">
        <v>0</v>
      </c>
    </row>
    <row r="106" spans="1:18">
      <c r="A106" s="133" t="s">
        <v>2454</v>
      </c>
      <c r="Q106" s="625" t="s">
        <v>433</v>
      </c>
      <c r="R106" s="629">
        <f>R104-R105</f>
        <v>-1920240.9032976823</v>
      </c>
    </row>
    <row r="107" spans="1:18">
      <c r="Q107" s="625"/>
      <c r="R107" s="629"/>
    </row>
    <row r="108" spans="1:18" ht="12.75" customHeight="1">
      <c r="A108" s="623"/>
      <c r="C108" s="623"/>
      <c r="H108" s="623"/>
      <c r="J108" s="623"/>
      <c r="L108" s="623"/>
      <c r="N108" s="623"/>
      <c r="R108" s="629"/>
    </row>
    <row r="109" spans="1:18" ht="12.75" customHeight="1">
      <c r="R109" s="629"/>
    </row>
    <row r="110" spans="1:18" ht="12.75" customHeight="1"/>
    <row r="111" spans="1:18" ht="12.75" customHeight="1">
      <c r="A111" s="623"/>
      <c r="H111" s="633"/>
      <c r="J111" s="634"/>
      <c r="L111" s="633"/>
      <c r="N111" s="623"/>
    </row>
    <row r="112" spans="1:18" ht="12.75" customHeight="1">
      <c r="R112" s="629"/>
    </row>
    <row r="113" spans="1:18" ht="12.75" customHeight="1">
      <c r="R113" s="629"/>
    </row>
    <row r="115" spans="1:18">
      <c r="R115" s="629"/>
    </row>
    <row r="116" spans="1:18">
      <c r="A116" s="623"/>
      <c r="H116" s="633"/>
      <c r="J116" s="634"/>
      <c r="L116" s="633"/>
      <c r="N116" s="623"/>
    </row>
    <row r="117" spans="1:18">
      <c r="C117" s="631"/>
      <c r="D117" s="631"/>
      <c r="E117" s="631"/>
      <c r="F117" s="631"/>
      <c r="G117" s="631"/>
      <c r="H117" s="631"/>
      <c r="I117" s="631"/>
      <c r="J117" s="631"/>
      <c r="K117" s="631"/>
      <c r="L117" s="631"/>
      <c r="M117" s="631"/>
      <c r="N117" s="631"/>
      <c r="O117" s="631"/>
      <c r="P117" s="631"/>
      <c r="Q117" s="631"/>
      <c r="R117" s="631"/>
    </row>
    <row r="118" spans="1:18">
      <c r="C118" s="631"/>
      <c r="D118" s="631"/>
      <c r="E118" s="631"/>
      <c r="F118" s="631"/>
      <c r="G118" s="631"/>
      <c r="H118" s="631"/>
      <c r="I118" s="631"/>
      <c r="J118" s="631"/>
      <c r="K118" s="631"/>
      <c r="L118" s="631"/>
      <c r="M118" s="631"/>
      <c r="N118" s="631"/>
      <c r="O118" s="631"/>
      <c r="P118" s="631"/>
      <c r="Q118" s="631"/>
      <c r="R118" s="631"/>
    </row>
    <row r="119" spans="1:18">
      <c r="C119" s="631"/>
      <c r="D119" s="631"/>
      <c r="E119" s="631"/>
      <c r="F119" s="631"/>
      <c r="G119" s="631"/>
      <c r="H119" s="631"/>
      <c r="I119" s="631"/>
      <c r="J119" s="631"/>
      <c r="K119" s="631"/>
      <c r="L119" s="631"/>
      <c r="M119" s="631"/>
      <c r="N119" s="631"/>
      <c r="O119" s="631"/>
      <c r="P119" s="631"/>
      <c r="Q119" s="631"/>
      <c r="R119" s="631"/>
    </row>
    <row r="121" spans="1:18">
      <c r="A121" s="623"/>
      <c r="H121" s="631"/>
      <c r="J121" s="634"/>
      <c r="L121" s="631"/>
      <c r="N121" s="623"/>
    </row>
    <row r="122" spans="1:18">
      <c r="C122" s="631"/>
      <c r="D122" s="631"/>
      <c r="E122" s="631"/>
      <c r="F122" s="631"/>
      <c r="G122" s="631"/>
      <c r="H122" s="631"/>
      <c r="I122" s="631"/>
      <c r="J122" s="631"/>
      <c r="K122" s="631"/>
      <c r="L122" s="631"/>
      <c r="M122" s="631"/>
      <c r="N122" s="631"/>
      <c r="O122" s="631"/>
      <c r="P122" s="631"/>
      <c r="Q122" s="631"/>
      <c r="R122" s="631"/>
    </row>
    <row r="123" spans="1:18">
      <c r="C123" s="631"/>
      <c r="D123" s="631"/>
      <c r="E123" s="631"/>
      <c r="F123" s="631"/>
      <c r="G123" s="631"/>
      <c r="H123" s="631"/>
      <c r="I123" s="631"/>
      <c r="J123" s="631"/>
      <c r="K123" s="631"/>
      <c r="L123" s="631"/>
      <c r="M123" s="631"/>
      <c r="N123" s="631"/>
      <c r="O123" s="631"/>
      <c r="P123" s="631"/>
      <c r="Q123" s="631"/>
      <c r="R123" s="631"/>
    </row>
    <row r="124" spans="1:18">
      <c r="C124" s="631"/>
      <c r="D124" s="631"/>
      <c r="E124" s="631"/>
      <c r="F124" s="631"/>
      <c r="G124" s="631"/>
      <c r="H124" s="631"/>
      <c r="I124" s="631"/>
      <c r="J124" s="631"/>
      <c r="K124" s="631"/>
      <c r="L124" s="631"/>
      <c r="M124" s="631"/>
      <c r="N124" s="631"/>
      <c r="O124" s="631"/>
      <c r="P124" s="631"/>
      <c r="Q124" s="631"/>
      <c r="R124" s="631"/>
    </row>
    <row r="126" spans="1:18">
      <c r="A126" s="623"/>
    </row>
    <row r="127" spans="1:18">
      <c r="C127" s="631"/>
      <c r="D127" s="631"/>
      <c r="E127" s="631"/>
      <c r="F127" s="631"/>
      <c r="G127" s="631"/>
      <c r="H127" s="631"/>
      <c r="I127" s="631"/>
      <c r="J127" s="631"/>
      <c r="K127" s="631"/>
      <c r="L127" s="631"/>
      <c r="M127" s="631"/>
      <c r="N127" s="631"/>
      <c r="O127" s="631"/>
      <c r="P127" s="631"/>
      <c r="Q127" s="631"/>
      <c r="R127" s="631"/>
    </row>
    <row r="128" spans="1:18">
      <c r="C128" s="631"/>
      <c r="D128" s="631"/>
      <c r="E128" s="631"/>
      <c r="F128" s="631"/>
      <c r="G128" s="631"/>
      <c r="H128" s="631"/>
      <c r="I128" s="631"/>
      <c r="J128" s="631"/>
      <c r="K128" s="631"/>
      <c r="L128" s="631"/>
      <c r="M128" s="631"/>
      <c r="N128" s="631"/>
      <c r="O128" s="631"/>
      <c r="P128" s="631"/>
      <c r="Q128" s="631"/>
      <c r="R128" s="631"/>
    </row>
    <row r="129" spans="1:18">
      <c r="C129" s="631"/>
      <c r="D129" s="631"/>
      <c r="E129" s="631"/>
      <c r="F129" s="631"/>
      <c r="G129" s="631"/>
      <c r="H129" s="631"/>
      <c r="I129" s="631"/>
      <c r="J129" s="631"/>
      <c r="K129" s="631"/>
      <c r="L129" s="631"/>
      <c r="M129" s="631"/>
      <c r="N129" s="631"/>
      <c r="O129" s="631"/>
      <c r="P129" s="631"/>
      <c r="Q129" s="631"/>
      <c r="R129" s="631"/>
    </row>
    <row r="131" spans="1:18">
      <c r="A131" s="623"/>
    </row>
    <row r="132" spans="1:18">
      <c r="C132" s="631"/>
      <c r="D132" s="631"/>
      <c r="E132" s="631"/>
      <c r="F132" s="631"/>
      <c r="G132" s="631"/>
      <c r="H132" s="631"/>
      <c r="I132" s="631"/>
      <c r="J132" s="631"/>
      <c r="K132" s="631"/>
      <c r="L132" s="631"/>
      <c r="M132" s="631"/>
      <c r="N132" s="631"/>
      <c r="O132" s="631"/>
      <c r="P132" s="631"/>
      <c r="Q132" s="631"/>
      <c r="R132" s="631"/>
    </row>
    <row r="133" spans="1:18">
      <c r="C133" s="631"/>
      <c r="D133" s="631"/>
      <c r="E133" s="631"/>
      <c r="F133" s="631"/>
      <c r="G133" s="631"/>
      <c r="H133" s="631"/>
      <c r="I133" s="631"/>
      <c r="J133" s="631"/>
      <c r="K133" s="631"/>
      <c r="L133" s="631"/>
      <c r="M133" s="631"/>
      <c r="N133" s="631"/>
      <c r="O133" s="631"/>
      <c r="P133" s="631"/>
      <c r="Q133" s="631"/>
      <c r="R133" s="631"/>
    </row>
    <row r="134" spans="1:18">
      <c r="C134" s="631"/>
      <c r="D134" s="631"/>
      <c r="E134" s="631"/>
      <c r="F134" s="631"/>
      <c r="G134" s="631"/>
      <c r="H134" s="631"/>
      <c r="I134" s="631"/>
      <c r="J134" s="631"/>
      <c r="K134" s="631"/>
      <c r="L134" s="631"/>
      <c r="M134" s="631"/>
      <c r="N134" s="631"/>
      <c r="O134" s="631"/>
      <c r="P134" s="631"/>
      <c r="Q134" s="631"/>
      <c r="R134" s="631"/>
    </row>
    <row r="136" spans="1:18">
      <c r="A136" s="623"/>
      <c r="H136" s="633"/>
      <c r="J136" s="635"/>
      <c r="L136" s="633"/>
      <c r="N136" s="623"/>
    </row>
    <row r="137" spans="1:18">
      <c r="C137" s="631"/>
      <c r="D137" s="631"/>
      <c r="E137" s="631"/>
      <c r="F137" s="631"/>
      <c r="G137" s="631"/>
      <c r="H137" s="631"/>
      <c r="I137" s="631"/>
      <c r="J137" s="631"/>
      <c r="K137" s="631"/>
      <c r="L137" s="631"/>
      <c r="M137" s="631"/>
      <c r="N137" s="631"/>
      <c r="O137" s="631"/>
      <c r="P137" s="631"/>
      <c r="Q137" s="631"/>
      <c r="R137" s="631"/>
    </row>
    <row r="138" spans="1:18">
      <c r="C138" s="631"/>
      <c r="D138" s="631"/>
      <c r="E138" s="631"/>
      <c r="F138" s="631"/>
      <c r="G138" s="631"/>
      <c r="H138" s="631"/>
      <c r="I138" s="631"/>
      <c r="J138" s="631"/>
      <c r="K138" s="631"/>
      <c r="L138" s="631"/>
      <c r="M138" s="631"/>
      <c r="N138" s="631"/>
      <c r="O138" s="631"/>
      <c r="P138" s="631"/>
      <c r="Q138" s="631"/>
      <c r="R138" s="631"/>
    </row>
    <row r="139" spans="1:18">
      <c r="C139" s="631"/>
      <c r="D139" s="631"/>
      <c r="E139" s="631"/>
      <c r="F139" s="631"/>
      <c r="G139" s="631"/>
      <c r="H139" s="631"/>
      <c r="I139" s="631"/>
      <c r="J139" s="631"/>
      <c r="K139" s="631"/>
      <c r="L139" s="631"/>
      <c r="M139" s="631"/>
      <c r="N139" s="631"/>
      <c r="O139" s="631"/>
      <c r="P139" s="631"/>
      <c r="Q139" s="631"/>
      <c r="R139" s="631"/>
    </row>
    <row r="141" spans="1:18" ht="12.75" customHeight="1">
      <c r="A141" s="623"/>
      <c r="C141" s="623"/>
      <c r="F141" s="623"/>
      <c r="H141" s="633"/>
      <c r="J141" s="635"/>
      <c r="L141" s="633"/>
      <c r="N141" s="623"/>
    </row>
    <row r="142" spans="1:18" ht="12.75" customHeight="1">
      <c r="A142" s="623"/>
      <c r="C142" s="623"/>
      <c r="F142" s="623"/>
      <c r="H142" s="633"/>
      <c r="J142" s="635"/>
      <c r="L142" s="633"/>
      <c r="N142" s="623"/>
    </row>
    <row r="143" spans="1:18" ht="12.75" customHeight="1">
      <c r="A143" s="623"/>
      <c r="C143" s="623"/>
      <c r="F143" s="623"/>
      <c r="H143" s="633"/>
      <c r="J143" s="635"/>
      <c r="L143" s="633"/>
      <c r="N143" s="623"/>
    </row>
    <row r="144" spans="1:18" ht="12.75" customHeight="1">
      <c r="F144" s="623"/>
      <c r="H144" s="631"/>
      <c r="J144" s="635"/>
      <c r="L144" s="631"/>
      <c r="N144" s="623"/>
    </row>
    <row r="145" spans="1:14" ht="12.75" customHeight="1"/>
    <row r="146" spans="1:14" ht="12.75" customHeight="1">
      <c r="A146" s="623"/>
    </row>
    <row r="147" spans="1:14" ht="12.75" customHeight="1">
      <c r="A147" s="623"/>
      <c r="C147" s="623"/>
      <c r="F147" s="623"/>
    </row>
    <row r="148" spans="1:14" ht="12.75" customHeight="1">
      <c r="A148" s="623"/>
      <c r="C148" s="623"/>
      <c r="F148" s="623"/>
      <c r="H148" s="633"/>
      <c r="J148" s="635"/>
      <c r="L148" s="633"/>
      <c r="N148" s="623"/>
    </row>
    <row r="149" spans="1:14" ht="12.75" customHeight="1">
      <c r="A149" s="623"/>
      <c r="C149" s="623"/>
      <c r="F149" s="623"/>
      <c r="H149" s="633"/>
      <c r="J149" s="635"/>
      <c r="L149" s="633"/>
      <c r="N149" s="623"/>
    </row>
    <row r="150" spans="1:14" ht="12.75" customHeight="1">
      <c r="A150" s="623"/>
      <c r="C150" s="623"/>
      <c r="F150" s="623"/>
      <c r="H150" s="633"/>
      <c r="J150" s="635"/>
      <c r="K150" s="633"/>
      <c r="L150" s="633"/>
      <c r="N150" s="623"/>
    </row>
    <row r="151" spans="1:14" ht="12.75" customHeight="1">
      <c r="A151" s="623"/>
      <c r="C151" s="623"/>
      <c r="F151" s="623"/>
      <c r="H151" s="633"/>
      <c r="J151" s="635"/>
      <c r="L151" s="633"/>
      <c r="N151" s="623"/>
    </row>
    <row r="152" spans="1:14" ht="12.75" customHeight="1">
      <c r="A152" s="623"/>
      <c r="C152" s="623"/>
      <c r="F152" s="623"/>
      <c r="H152" s="631"/>
      <c r="J152" s="635"/>
      <c r="L152" s="631"/>
      <c r="N152" s="623"/>
    </row>
    <row r="153" spans="1:14" ht="12.75" customHeight="1">
      <c r="A153" s="623"/>
      <c r="C153" s="623"/>
      <c r="F153" s="623"/>
      <c r="H153" s="633"/>
      <c r="J153" s="636"/>
      <c r="L153" s="633"/>
      <c r="N153" s="623"/>
    </row>
    <row r="154" spans="1:14" ht="12.75" customHeight="1">
      <c r="A154" s="623"/>
      <c r="C154" s="623"/>
      <c r="F154" s="623"/>
      <c r="H154" s="633"/>
      <c r="J154" s="636"/>
      <c r="L154" s="633"/>
      <c r="N154" s="623"/>
    </row>
    <row r="155" spans="1:14" ht="12.75" customHeight="1">
      <c r="A155" s="623"/>
      <c r="C155" s="623"/>
      <c r="F155" s="623"/>
      <c r="H155" s="633"/>
      <c r="J155" s="635"/>
      <c r="L155" s="633"/>
      <c r="N155" s="623"/>
    </row>
    <row r="156" spans="1:14" ht="12.75" customHeight="1">
      <c r="A156" s="623"/>
      <c r="C156" s="623"/>
      <c r="F156" s="623"/>
      <c r="H156" s="633"/>
      <c r="J156" s="635"/>
      <c r="L156" s="633"/>
      <c r="N156" s="623"/>
    </row>
    <row r="157" spans="1:14" ht="12.75" customHeight="1">
      <c r="A157" s="623"/>
      <c r="C157" s="623"/>
      <c r="F157" s="623"/>
      <c r="H157" s="633"/>
      <c r="J157" s="635"/>
      <c r="L157" s="633"/>
      <c r="N157" s="623"/>
    </row>
    <row r="158" spans="1:14" ht="12.75" customHeight="1">
      <c r="A158" s="623"/>
      <c r="C158" s="623"/>
      <c r="F158" s="623"/>
      <c r="H158" s="633"/>
      <c r="J158" s="635"/>
      <c r="L158" s="633"/>
      <c r="N158" s="623"/>
    </row>
    <row r="159" spans="1:14" ht="12.75" customHeight="1">
      <c r="F159" s="623"/>
      <c r="H159" s="631"/>
      <c r="J159" s="635"/>
      <c r="L159" s="631"/>
      <c r="N159" s="623"/>
    </row>
    <row r="160" spans="1:14" ht="12.75" customHeight="1">
      <c r="A160" s="623"/>
      <c r="C160" s="623"/>
      <c r="H160" s="633"/>
      <c r="J160" s="636"/>
      <c r="L160" s="633"/>
      <c r="N160" s="623"/>
    </row>
    <row r="161" spans="1:14" ht="12.75" customHeight="1">
      <c r="A161" s="623"/>
      <c r="C161" s="623"/>
      <c r="F161" s="623"/>
      <c r="H161" s="633"/>
      <c r="J161" s="636"/>
      <c r="L161" s="633"/>
      <c r="N161" s="623"/>
    </row>
    <row r="162" spans="1:14" ht="12.75" customHeight="1">
      <c r="A162" s="623"/>
      <c r="C162" s="623"/>
      <c r="F162" s="623"/>
      <c r="H162" s="633"/>
      <c r="I162" s="623"/>
      <c r="J162" s="635"/>
      <c r="L162" s="633"/>
      <c r="N162" s="623"/>
    </row>
    <row r="163" spans="1:14" ht="12.75" customHeight="1">
      <c r="A163" s="623"/>
      <c r="C163" s="623"/>
      <c r="F163" s="623"/>
      <c r="H163" s="633"/>
      <c r="J163" s="635"/>
      <c r="L163" s="633"/>
      <c r="N163" s="623"/>
    </row>
    <row r="164" spans="1:14" ht="12.75" customHeight="1">
      <c r="A164" s="623"/>
      <c r="C164" s="623"/>
      <c r="F164" s="623"/>
      <c r="H164" s="633"/>
      <c r="J164" s="635"/>
      <c r="L164" s="633"/>
      <c r="N164" s="623"/>
    </row>
    <row r="165" spans="1:14" ht="12.75" customHeight="1">
      <c r="A165" s="623"/>
      <c r="C165" s="623"/>
      <c r="F165" s="623"/>
      <c r="H165" s="633"/>
      <c r="J165" s="635"/>
      <c r="L165" s="633"/>
      <c r="N165" s="623"/>
    </row>
    <row r="166" spans="1:14" ht="12.75" customHeight="1">
      <c r="A166" s="623"/>
      <c r="C166" s="623"/>
      <c r="F166" s="623"/>
      <c r="H166" s="633"/>
      <c r="J166" s="635"/>
      <c r="L166" s="633"/>
      <c r="N166" s="623"/>
    </row>
    <row r="167" spans="1:14" ht="12.75" customHeight="1">
      <c r="A167" s="623"/>
      <c r="C167" s="623"/>
      <c r="F167" s="623"/>
      <c r="H167" s="633"/>
      <c r="J167" s="635"/>
      <c r="L167" s="633"/>
      <c r="N167" s="623"/>
    </row>
    <row r="168" spans="1:14" ht="12.75" customHeight="1">
      <c r="A168" s="623"/>
      <c r="C168" s="623"/>
      <c r="F168" s="623"/>
      <c r="H168" s="633"/>
      <c r="J168" s="635"/>
      <c r="L168" s="633"/>
      <c r="N168" s="623"/>
    </row>
    <row r="169" spans="1:14" ht="12.75" customHeight="1">
      <c r="A169" s="623"/>
      <c r="C169" s="623"/>
      <c r="F169" s="623"/>
      <c r="H169" s="633"/>
      <c r="J169" s="635"/>
      <c r="L169" s="633"/>
      <c r="N169" s="623"/>
    </row>
    <row r="170" spans="1:14" ht="12.75" customHeight="1">
      <c r="A170" s="623"/>
      <c r="C170" s="623"/>
      <c r="F170" s="623"/>
      <c r="H170" s="633"/>
      <c r="J170" s="635"/>
      <c r="L170" s="633"/>
      <c r="N170" s="623"/>
    </row>
    <row r="171" spans="1:14" ht="12.75" customHeight="1">
      <c r="F171" s="623"/>
      <c r="H171" s="631"/>
      <c r="J171" s="635"/>
      <c r="L171" s="631"/>
      <c r="M171" s="623"/>
      <c r="N171" s="623"/>
    </row>
    <row r="172" spans="1:14" ht="12.75" customHeight="1">
      <c r="C172" s="637"/>
      <c r="G172" s="623"/>
    </row>
    <row r="173" spans="1:14" ht="12.75" customHeight="1">
      <c r="C173" s="638"/>
      <c r="G173" s="623"/>
    </row>
    <row r="174" spans="1:14" ht="12.75" customHeight="1">
      <c r="C174" s="623"/>
      <c r="G174" s="623"/>
    </row>
    <row r="175" spans="1:14" ht="12.75" customHeight="1">
      <c r="G175" s="623"/>
    </row>
    <row r="176" spans="1:14" ht="12.75" customHeight="1">
      <c r="M176" s="623"/>
    </row>
    <row r="177" spans="1:14" ht="12.75" customHeight="1">
      <c r="M177" s="623"/>
    </row>
    <row r="178" spans="1:14" ht="12.75" customHeight="1">
      <c r="M178" s="623"/>
    </row>
    <row r="179" spans="1:14" ht="12.75" customHeight="1">
      <c r="A179" s="623"/>
      <c r="C179" s="623"/>
      <c r="H179" s="623"/>
    </row>
    <row r="180" spans="1:14" ht="12.75" customHeight="1">
      <c r="A180" s="623"/>
      <c r="C180" s="623"/>
      <c r="F180" s="623"/>
      <c r="H180" s="623"/>
      <c r="J180" s="623"/>
      <c r="L180" s="623"/>
    </row>
    <row r="181" spans="1:14" ht="12.75" customHeight="1">
      <c r="F181" s="623"/>
      <c r="H181" s="623"/>
      <c r="J181" s="623"/>
      <c r="L181" s="623"/>
      <c r="N181" s="623"/>
    </row>
    <row r="182" spans="1:14" ht="12.75" customHeight="1">
      <c r="A182" s="623"/>
      <c r="C182" s="623"/>
      <c r="H182" s="623"/>
      <c r="J182" s="623"/>
      <c r="L182" s="623"/>
      <c r="N182" s="623"/>
    </row>
    <row r="183" spans="1:14" ht="12.75" customHeight="1">
      <c r="A183" s="623"/>
      <c r="F183" s="623"/>
      <c r="H183" s="623"/>
      <c r="J183" s="623"/>
      <c r="L183" s="623"/>
    </row>
    <row r="184" spans="1:14" ht="12.75" customHeight="1">
      <c r="A184" s="623"/>
      <c r="C184" s="623"/>
      <c r="F184" s="623"/>
    </row>
    <row r="185" spans="1:14" ht="12.75" customHeight="1">
      <c r="A185" s="623"/>
      <c r="C185" s="623"/>
      <c r="F185" s="623"/>
      <c r="H185" s="633"/>
      <c r="J185" s="636"/>
      <c r="L185" s="633"/>
      <c r="N185" s="623"/>
    </row>
    <row r="186" spans="1:14" ht="12.75" customHeight="1">
      <c r="A186" s="623"/>
      <c r="C186" s="623"/>
      <c r="F186" s="623"/>
      <c r="H186" s="633"/>
      <c r="J186" s="636"/>
      <c r="L186" s="633"/>
      <c r="N186" s="623"/>
    </row>
    <row r="187" spans="1:14" ht="12.75" customHeight="1">
      <c r="A187" s="623"/>
      <c r="C187" s="623"/>
      <c r="F187" s="623"/>
      <c r="H187" s="633"/>
      <c r="J187" s="635"/>
      <c r="L187" s="633"/>
      <c r="N187" s="623"/>
    </row>
    <row r="188" spans="1:14" ht="12.75" customHeight="1">
      <c r="F188" s="623"/>
      <c r="H188" s="633"/>
      <c r="J188" s="635"/>
      <c r="L188" s="631"/>
      <c r="N188" s="623"/>
    </row>
    <row r="189" spans="1:14" ht="12.75" customHeight="1">
      <c r="A189" s="623"/>
      <c r="C189" s="623"/>
    </row>
    <row r="190" spans="1:14" ht="12.75" customHeight="1">
      <c r="F190" s="623"/>
      <c r="H190" s="631"/>
      <c r="J190" s="635"/>
      <c r="L190" s="631"/>
      <c r="N190" s="623"/>
    </row>
    <row r="191" spans="1:14" ht="12.75" customHeight="1">
      <c r="A191" s="623"/>
      <c r="C191" s="623"/>
    </row>
    <row r="192" spans="1:14" ht="12.75" customHeight="1">
      <c r="A192" s="623"/>
      <c r="C192" s="623"/>
      <c r="F192" s="623"/>
      <c r="H192" s="633"/>
      <c r="J192" s="635"/>
      <c r="L192" s="633"/>
      <c r="N192" s="623"/>
    </row>
    <row r="193" spans="1:14" ht="12.75" customHeight="1">
      <c r="A193" s="623"/>
      <c r="C193" s="623"/>
      <c r="F193" s="623"/>
      <c r="H193" s="633"/>
      <c r="J193" s="635"/>
      <c r="L193" s="633"/>
      <c r="N193" s="623"/>
    </row>
    <row r="194" spans="1:14" ht="12.75" customHeight="1">
      <c r="A194" s="623"/>
      <c r="C194" s="623"/>
      <c r="F194" s="623"/>
      <c r="H194" s="633"/>
      <c r="J194" s="635"/>
      <c r="L194" s="633"/>
      <c r="N194" s="623"/>
    </row>
    <row r="195" spans="1:14" ht="12.75" customHeight="1">
      <c r="F195" s="623"/>
      <c r="H195" s="631"/>
      <c r="J195" s="635"/>
      <c r="L195" s="631"/>
      <c r="N195" s="623"/>
    </row>
    <row r="196" spans="1:14" ht="12.75" customHeight="1">
      <c r="A196" s="623"/>
      <c r="C196" s="623"/>
      <c r="J196" s="636"/>
    </row>
    <row r="197" spans="1:14" ht="12.75" customHeight="1">
      <c r="F197" s="623"/>
      <c r="H197" s="631"/>
      <c r="J197" s="635"/>
      <c r="L197" s="631"/>
      <c r="N197" s="623"/>
    </row>
    <row r="198" spans="1:14" ht="12.75" customHeight="1">
      <c r="C198" s="623"/>
    </row>
    <row r="199" spans="1:14" ht="12.75" customHeight="1"/>
    <row r="200" spans="1:14" ht="12.75" customHeight="1"/>
    <row r="201" spans="1:14" ht="12.75" customHeight="1"/>
    <row r="202" spans="1:14" ht="12.75" customHeight="1">
      <c r="A202" s="623"/>
    </row>
    <row r="203" spans="1:14" ht="12.75" customHeight="1">
      <c r="A203" s="623"/>
    </row>
    <row r="204" spans="1:14" ht="12.75" customHeight="1">
      <c r="A204" s="623"/>
    </row>
    <row r="205" spans="1:14" ht="12.75" customHeight="1">
      <c r="A205" s="623"/>
    </row>
    <row r="206" spans="1:14" ht="12.75" customHeight="1"/>
    <row r="207" spans="1:14" ht="12.75" customHeight="1">
      <c r="A207" s="623"/>
    </row>
    <row r="208" spans="1:14"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sheetData>
  <mergeCells count="9">
    <mergeCell ref="A54:R54"/>
    <mergeCell ref="A55:R55"/>
    <mergeCell ref="A56:R56"/>
    <mergeCell ref="A1:R1"/>
    <mergeCell ref="A2:R2"/>
    <mergeCell ref="A3:R3"/>
    <mergeCell ref="A4:R4"/>
    <mergeCell ref="N11:P11"/>
    <mergeCell ref="A53:R53"/>
  </mergeCells>
  <printOptions horizontalCentered="1"/>
  <pageMargins left="0.5" right="0.5" top="0.75" bottom="0.5" header="0.3" footer="0.3"/>
  <pageSetup scale="82" fitToHeight="2" orientation="landscape" r:id="rId1"/>
  <rowBreaks count="1" manualBreakCount="1">
    <brk id="5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G25"/>
  <sheetViews>
    <sheetView zoomScaleNormal="100" zoomScaleSheetLayoutView="100" workbookViewId="0">
      <selection activeCell="A3" sqref="A3:F3"/>
    </sheetView>
  </sheetViews>
  <sheetFormatPr defaultColWidth="8.5" defaultRowHeight="15"/>
  <cols>
    <col min="1" max="1" width="5.6640625" style="36" customWidth="1"/>
    <col min="2" max="2" width="129.1640625" style="38" bestFit="1" customWidth="1"/>
    <col min="3" max="3" width="3.1640625" style="38" customWidth="1"/>
    <col min="4" max="4" width="36.83203125" style="38" bestFit="1" customWidth="1"/>
    <col min="5" max="5" width="4.5" style="38" customWidth="1"/>
    <col min="6" max="6" width="27.6640625" style="38" customWidth="1"/>
    <col min="7" max="7" width="4.1640625" style="38" customWidth="1"/>
    <col min="8" max="10" width="8.5" style="38"/>
    <col min="11" max="11" width="26.1640625" style="38" bestFit="1" customWidth="1"/>
    <col min="12" max="16384" width="8.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D'!C33</f>
        <v>FORFEITED DISCOUNTS REVENUE ADJUSTMENT</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G6" s="606"/>
    </row>
    <row r="7" spans="1:7" ht="15.75">
      <c r="A7" s="588" t="s">
        <v>3059</v>
      </c>
      <c r="F7" s="589" t="s">
        <v>2989</v>
      </c>
      <c r="G7" s="606"/>
    </row>
    <row r="8" spans="1:7" ht="15.75">
      <c r="A8" s="588" t="s">
        <v>3060</v>
      </c>
      <c r="F8" s="589" t="str">
        <f>"WITNESS: "&amp;'General Headers Index'!B47</f>
        <v>WITNESS: WOZNIAK</v>
      </c>
      <c r="G8" s="606"/>
    </row>
    <row r="9" spans="1:7" ht="15.75">
      <c r="A9" s="1057"/>
      <c r="B9" s="1058"/>
      <c r="C9" s="1058"/>
      <c r="D9" s="1058"/>
      <c r="E9" s="1058"/>
      <c r="F9" s="1059"/>
      <c r="G9" s="606"/>
    </row>
    <row r="10" spans="1:7">
      <c r="A10" s="36" t="s">
        <v>641</v>
      </c>
      <c r="B10" s="36"/>
    </row>
    <row r="11" spans="1:7">
      <c r="A11" s="867" t="s">
        <v>642</v>
      </c>
      <c r="B11" s="867" t="s">
        <v>643</v>
      </c>
      <c r="C11" s="868"/>
      <c r="D11" s="867" t="s">
        <v>1276</v>
      </c>
      <c r="E11" s="868"/>
      <c r="F11" s="867" t="s">
        <v>679</v>
      </c>
    </row>
    <row r="12" spans="1:7">
      <c r="A12" s="590"/>
      <c r="B12" s="590"/>
    </row>
    <row r="13" spans="1:7">
      <c r="A13" s="36">
        <v>1</v>
      </c>
      <c r="B13" s="38" t="s">
        <v>3072</v>
      </c>
      <c r="D13" s="36" t="s">
        <v>3001</v>
      </c>
      <c r="F13" s="269">
        <v>182431</v>
      </c>
    </row>
    <row r="14" spans="1:7">
      <c r="D14" s="36"/>
    </row>
    <row r="15" spans="1:7">
      <c r="A15" s="36">
        <f>A13+1</f>
        <v>2</v>
      </c>
      <c r="B15" s="38" t="s">
        <v>3064</v>
      </c>
      <c r="D15" s="36" t="str">
        <f>'C-2.1.B Oper Rev&amp;Exp by Accts'!$G$6&amp;", Line "&amp;'C-2.1.B Oper Rev&amp;Exp by Accts'!$A$30</f>
        <v>SCHEDULE C-2.1.B, Line 15</v>
      </c>
      <c r="F15" s="597">
        <f>+'C-2.1.B Oper Rev&amp;Exp by Accts'!F30</f>
        <v>590096.80666666676</v>
      </c>
    </row>
    <row r="16" spans="1:7">
      <c r="D16" s="36"/>
      <c r="F16" s="597"/>
    </row>
    <row r="17" spans="1:6">
      <c r="A17" s="36">
        <f>A15+1</f>
        <v>3</v>
      </c>
      <c r="B17" s="38" t="s">
        <v>3071</v>
      </c>
      <c r="D17" s="36" t="s">
        <v>1932</v>
      </c>
      <c r="F17" s="608">
        <f>+F13-F15</f>
        <v>-407665.80666666676</v>
      </c>
    </row>
    <row r="20" spans="1:6">
      <c r="F20" s="269"/>
    </row>
    <row r="25" spans="1:6">
      <c r="A25" s="588"/>
    </row>
  </sheetData>
  <mergeCells count="4">
    <mergeCell ref="A1:F1"/>
    <mergeCell ref="A2:F2"/>
    <mergeCell ref="A3:F3"/>
    <mergeCell ref="A4:F4"/>
  </mergeCells>
  <printOptions horizontalCentered="1"/>
  <pageMargins left="0.5" right="0.5" top="0.75" bottom="0.5" header="0.3" footer="0.3"/>
  <pageSetup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N41"/>
  <sheetViews>
    <sheetView topLeftCell="D1" zoomScaleNormal="100" zoomScaleSheetLayoutView="100" workbookViewId="0">
      <selection activeCell="D34" sqref="D34"/>
    </sheetView>
  </sheetViews>
  <sheetFormatPr defaultRowHeight="10.5"/>
  <cols>
    <col min="2" max="2" width="9.5" bestFit="1" customWidth="1"/>
    <col min="4" max="4" width="9.5" bestFit="1" customWidth="1"/>
    <col min="8" max="8" width="12.33203125" bestFit="1" customWidth="1"/>
    <col min="10" max="10" width="10.5" bestFit="1" customWidth="1"/>
    <col min="12" max="12" width="29.83203125" bestFit="1" customWidth="1"/>
  </cols>
  <sheetData>
    <row r="1" spans="1:66" ht="15">
      <c r="A1" s="149" t="str">
        <f>+'General Headers Index'!B4</f>
        <v>COLUMBIA GAS OF KENTUCKY, INC.</v>
      </c>
    </row>
    <row r="2" spans="1:66" ht="15.75">
      <c r="A2" s="149" t="str">
        <f>+'General Headers Index'!B6</f>
        <v>CASE NO. 2024 - 00092</v>
      </c>
      <c r="L2" s="35" t="s">
        <v>1880</v>
      </c>
    </row>
    <row r="3" spans="1:66" ht="15">
      <c r="A3" s="149" t="str">
        <f>+'General Headers Index'!B15</f>
        <v>FOR THE TWELVE MONTHS ENDED DECEMBER 31, 2025</v>
      </c>
      <c r="L3" s="151" t="str">
        <f>"WITNESS: "&amp;'General Headers Index'!B52</f>
        <v>WITNESS: SHAEFFER</v>
      </c>
      <c r="O3" s="149"/>
    </row>
    <row r="4" spans="1:66" ht="15.75">
      <c r="A4" s="163" t="s">
        <v>2290</v>
      </c>
      <c r="O4" s="152"/>
    </row>
    <row r="5" spans="1:66" ht="15.75">
      <c r="A5" s="881"/>
      <c r="B5" s="881"/>
      <c r="C5" s="881"/>
      <c r="D5" s="881"/>
      <c r="E5" s="881"/>
      <c r="F5" s="881"/>
      <c r="G5" s="881"/>
      <c r="O5" s="152"/>
    </row>
    <row r="7" spans="1:66" ht="15.75">
      <c r="A7" s="153" t="s">
        <v>2291</v>
      </c>
      <c r="B7" s="153"/>
      <c r="C7" s="153"/>
      <c r="D7" s="153"/>
      <c r="E7" s="153"/>
      <c r="F7" s="153"/>
      <c r="G7" s="153"/>
      <c r="H7" s="153"/>
      <c r="I7" s="153"/>
      <c r="J7" s="153"/>
      <c r="K7" s="153"/>
      <c r="L7" s="153"/>
      <c r="M7" s="153"/>
      <c r="BN7" s="154"/>
    </row>
    <row r="8" spans="1:66" ht="15">
      <c r="P8" s="155"/>
      <c r="S8" s="155"/>
    </row>
    <row r="9" spans="1:66" ht="15.75">
      <c r="B9" s="153" t="s">
        <v>641</v>
      </c>
      <c r="D9" s="156"/>
      <c r="E9" s="156"/>
      <c r="F9" s="156"/>
      <c r="G9" s="156"/>
      <c r="I9" s="156"/>
      <c r="J9" s="153" t="s">
        <v>2292</v>
      </c>
      <c r="K9" s="156"/>
      <c r="L9" s="153" t="s">
        <v>2292</v>
      </c>
    </row>
    <row r="10" spans="1:66" ht="15.75">
      <c r="B10" s="157" t="s">
        <v>642</v>
      </c>
      <c r="D10" s="157" t="s">
        <v>2293</v>
      </c>
      <c r="E10" s="156"/>
      <c r="F10" s="157" t="s">
        <v>2294</v>
      </c>
      <c r="G10" s="156"/>
      <c r="H10" s="157" t="s">
        <v>2295</v>
      </c>
      <c r="I10" s="156"/>
      <c r="J10" s="157" t="s">
        <v>2296</v>
      </c>
      <c r="K10" s="156"/>
      <c r="L10" s="157" t="s">
        <v>2297</v>
      </c>
      <c r="P10" s="155"/>
    </row>
    <row r="12" spans="1:66" ht="15">
      <c r="B12" s="156">
        <v>1</v>
      </c>
      <c r="D12" s="156">
        <v>2021</v>
      </c>
      <c r="E12" s="156"/>
      <c r="F12" s="156" t="s">
        <v>2298</v>
      </c>
      <c r="H12" s="158">
        <v>1.0766842550651743</v>
      </c>
    </row>
    <row r="13" spans="1:66" ht="15">
      <c r="B13" s="156">
        <f t="shared" ref="B13:B31" si="0">+B12+1</f>
        <v>2</v>
      </c>
      <c r="D13" s="156">
        <v>2021</v>
      </c>
      <c r="E13" s="156"/>
      <c r="F13" s="156" t="s">
        <v>2299</v>
      </c>
      <c r="H13" s="158">
        <v>1.0930483542960845</v>
      </c>
    </row>
    <row r="14" spans="1:66" ht="15">
      <c r="B14" s="156">
        <f t="shared" si="0"/>
        <v>3</v>
      </c>
      <c r="D14" s="156">
        <v>2021</v>
      </c>
      <c r="E14" s="156"/>
      <c r="F14" s="156" t="s">
        <v>2300</v>
      </c>
      <c r="H14" s="158">
        <v>1.1091970831188429</v>
      </c>
    </row>
    <row r="15" spans="1:66" ht="15">
      <c r="B15" s="156">
        <f t="shared" si="0"/>
        <v>4</v>
      </c>
      <c r="D15" s="156">
        <v>2021</v>
      </c>
      <c r="E15" s="156"/>
      <c r="F15" s="156" t="s">
        <v>2301</v>
      </c>
      <c r="H15" s="158">
        <v>1.1284809655540229</v>
      </c>
      <c r="J15" s="154">
        <f>AVERAGE(H12:H15)</f>
        <v>1.1018526645085311</v>
      </c>
    </row>
    <row r="16" spans="1:66" ht="15">
      <c r="B16" s="156">
        <f t="shared" si="0"/>
        <v>5</v>
      </c>
      <c r="D16" s="156">
        <v>2022</v>
      </c>
      <c r="E16" s="156"/>
      <c r="F16" s="156" t="s">
        <v>2298</v>
      </c>
      <c r="H16" s="158">
        <v>1.1513530762476121</v>
      </c>
    </row>
    <row r="17" spans="2:12" ht="15">
      <c r="B17" s="156">
        <f t="shared" si="0"/>
        <v>6</v>
      </c>
      <c r="D17" s="156">
        <v>2022</v>
      </c>
      <c r="E17" s="156"/>
      <c r="F17" s="156" t="s">
        <v>2299</v>
      </c>
      <c r="H17" s="158">
        <v>1.1767129503375691</v>
      </c>
    </row>
    <row r="18" spans="2:12" ht="15">
      <c r="B18" s="156">
        <f t="shared" si="0"/>
        <v>7</v>
      </c>
      <c r="D18" s="156">
        <v>2022</v>
      </c>
      <c r="E18" s="156"/>
      <c r="F18" s="156" t="s">
        <v>2300</v>
      </c>
      <c r="H18" s="158">
        <v>1.1896242547411957</v>
      </c>
    </row>
    <row r="19" spans="2:12" ht="15">
      <c r="B19" s="156">
        <f t="shared" si="0"/>
        <v>8</v>
      </c>
      <c r="D19" s="156">
        <v>2022</v>
      </c>
      <c r="E19" s="156"/>
      <c r="F19" s="156" t="s">
        <v>2301</v>
      </c>
      <c r="H19" s="158">
        <v>1.2009289594202013</v>
      </c>
      <c r="J19" s="154">
        <f>AVERAGE(H16:H19)</f>
        <v>1.1796548101866444</v>
      </c>
      <c r="L19" s="164">
        <f>ROUND(J19/J15,5)-1</f>
        <v>7.0610000000000062E-2</v>
      </c>
    </row>
    <row r="20" spans="2:12" ht="15">
      <c r="B20" s="156">
        <f t="shared" si="0"/>
        <v>9</v>
      </c>
      <c r="D20" s="156">
        <v>2023</v>
      </c>
      <c r="E20" s="156"/>
      <c r="F20" s="156" t="s">
        <v>2298</v>
      </c>
      <c r="H20" s="158">
        <v>1.2126086311396687</v>
      </c>
      <c r="L20" s="164"/>
    </row>
    <row r="21" spans="2:12" ht="15">
      <c r="B21" s="156">
        <f t="shared" si="0"/>
        <v>10</v>
      </c>
      <c r="D21" s="156">
        <v>2023</v>
      </c>
      <c r="E21" s="156"/>
      <c r="F21" s="156" t="s">
        <v>2299</v>
      </c>
      <c r="H21" s="158">
        <v>1.2176641537703567</v>
      </c>
      <c r="L21" s="164"/>
    </row>
    <row r="22" spans="2:12" ht="15">
      <c r="B22" s="156">
        <f t="shared" si="0"/>
        <v>11</v>
      </c>
      <c r="D22" s="156">
        <v>2023</v>
      </c>
      <c r="E22" s="156"/>
      <c r="F22" s="156" t="s">
        <v>2300</v>
      </c>
      <c r="H22" s="158">
        <v>1.227624654679367</v>
      </c>
      <c r="L22" s="164"/>
    </row>
    <row r="23" spans="2:12" ht="15">
      <c r="B23" s="156">
        <f t="shared" si="0"/>
        <v>12</v>
      </c>
      <c r="D23" s="156">
        <v>2023</v>
      </c>
      <c r="E23" s="156"/>
      <c r="F23" s="156" t="s">
        <v>2301</v>
      </c>
      <c r="H23" s="158">
        <v>1.2327250543981103</v>
      </c>
      <c r="J23" s="154">
        <f>AVERAGE(H20:H23)</f>
        <v>1.2226556234968757</v>
      </c>
      <c r="L23" s="164">
        <f>ROUND(J23/J19,5)-1</f>
        <v>3.6450000000000093E-2</v>
      </c>
    </row>
    <row r="24" spans="2:12" ht="15">
      <c r="B24" s="156">
        <f t="shared" si="0"/>
        <v>13</v>
      </c>
      <c r="D24" s="156">
        <v>2024</v>
      </c>
      <c r="E24" s="156"/>
      <c r="F24" s="156" t="s">
        <v>2298</v>
      </c>
      <c r="H24" s="158">
        <v>1.24120556256836</v>
      </c>
      <c r="L24" s="164"/>
    </row>
    <row r="25" spans="2:12" ht="15">
      <c r="B25" s="156">
        <f t="shared" si="0"/>
        <v>14</v>
      </c>
      <c r="D25" s="156">
        <v>2024</v>
      </c>
      <c r="E25" s="156"/>
      <c r="F25" s="156" t="s">
        <v>2299</v>
      </c>
      <c r="H25" s="158">
        <v>1.2485213383461011</v>
      </c>
      <c r="L25" s="164"/>
    </row>
    <row r="26" spans="2:12" ht="15">
      <c r="B26" s="156">
        <f t="shared" si="0"/>
        <v>15</v>
      </c>
      <c r="D26" s="156">
        <v>2024</v>
      </c>
      <c r="E26" s="156"/>
      <c r="F26" s="156" t="s">
        <v>2300</v>
      </c>
      <c r="H26" s="158">
        <v>1.2555994231068848</v>
      </c>
      <c r="L26" s="164"/>
    </row>
    <row r="27" spans="2:12" ht="15">
      <c r="B27" s="156">
        <f t="shared" si="0"/>
        <v>16</v>
      </c>
      <c r="D27" s="156">
        <v>2024</v>
      </c>
      <c r="E27" s="156"/>
      <c r="F27" s="156" t="s">
        <v>2301</v>
      </c>
      <c r="H27" s="158">
        <v>1.2627736244706664</v>
      </c>
      <c r="J27" s="154">
        <f>AVERAGE(H24:H27)</f>
        <v>1.2520249871230031</v>
      </c>
      <c r="L27" s="164">
        <f>ROUND(J27/J23,5)-1</f>
        <v>2.401999999999993E-2</v>
      </c>
    </row>
    <row r="28" spans="2:12" ht="15">
      <c r="B28" s="156">
        <f t="shared" si="0"/>
        <v>17</v>
      </c>
      <c r="D28" s="156">
        <v>2025</v>
      </c>
      <c r="E28" s="156"/>
      <c r="F28" s="156" t="s">
        <v>2298</v>
      </c>
      <c r="H28" s="158">
        <v>1.2697510463335839</v>
      </c>
      <c r="L28" s="164"/>
    </row>
    <row r="29" spans="2:12" ht="15">
      <c r="B29" s="156">
        <f t="shared" si="0"/>
        <v>18</v>
      </c>
      <c r="D29" s="156">
        <v>2025</v>
      </c>
      <c r="E29" s="156"/>
      <c r="F29" s="156" t="s">
        <v>2299</v>
      </c>
      <c r="H29" s="158">
        <v>1.2772280214547183</v>
      </c>
      <c r="L29" s="164"/>
    </row>
    <row r="30" spans="2:12" ht="15">
      <c r="B30" s="156">
        <f t="shared" si="0"/>
        <v>19</v>
      </c>
      <c r="D30" s="156">
        <v>2025</v>
      </c>
      <c r="E30" s="156"/>
      <c r="F30" s="156" t="s">
        <v>2300</v>
      </c>
      <c r="H30" s="158">
        <v>1.2849060143838928</v>
      </c>
      <c r="L30" s="164"/>
    </row>
    <row r="31" spans="2:12" ht="15">
      <c r="B31" s="156">
        <f t="shared" si="0"/>
        <v>20</v>
      </c>
      <c r="D31" s="156">
        <v>2025</v>
      </c>
      <c r="E31" s="156"/>
      <c r="F31" s="156" t="s">
        <v>2301</v>
      </c>
      <c r="H31" s="158">
        <v>1.2928424184401377</v>
      </c>
      <c r="J31" s="154">
        <f>AVERAGE(H28:H31)</f>
        <v>1.2811818751530832</v>
      </c>
      <c r="L31" s="164">
        <f>ROUND(J31/J27,5)-1</f>
        <v>2.3290000000000033E-2</v>
      </c>
    </row>
    <row r="32" spans="2:12" ht="15">
      <c r="L32" s="164"/>
    </row>
    <row r="33" spans="2:12" ht="15.75">
      <c r="B33" s="156">
        <f>+B31+1</f>
        <v>21</v>
      </c>
      <c r="J33" s="159" t="s">
        <v>2302</v>
      </c>
      <c r="L33" s="165">
        <f>ROUND(J31/J15,5)-1</f>
        <v>0.16274999999999995</v>
      </c>
    </row>
    <row r="34" spans="2:12" ht="15.75">
      <c r="B34" s="156">
        <f>+B33+1</f>
        <v>22</v>
      </c>
      <c r="J34" s="159" t="s">
        <v>2303</v>
      </c>
      <c r="K34" s="161"/>
      <c r="L34" s="165">
        <f>ROUND(J31/J19,5)-1</f>
        <v>8.6070000000000091E-2</v>
      </c>
    </row>
    <row r="35" spans="2:12" ht="15.75">
      <c r="B35" s="156">
        <f>+B34+1</f>
        <v>23</v>
      </c>
      <c r="J35" s="159" t="s">
        <v>2304</v>
      </c>
      <c r="K35" s="161"/>
      <c r="L35" s="165">
        <f>ROUND(J31/J23,5)-1</f>
        <v>4.7870000000000079E-2</v>
      </c>
    </row>
    <row r="36" spans="2:12" ht="15.75">
      <c r="B36" s="156"/>
      <c r="J36" s="159"/>
      <c r="K36" s="161"/>
      <c r="L36" s="160"/>
    </row>
    <row r="37" spans="2:12" ht="15">
      <c r="B37" s="162" t="s">
        <v>2305</v>
      </c>
    </row>
    <row r="38" spans="2:12" ht="15">
      <c r="B38" s="150" t="s">
        <v>2307</v>
      </c>
      <c r="C38" s="150"/>
      <c r="D38" s="150"/>
      <c r="E38" s="150"/>
      <c r="F38" s="150"/>
      <c r="G38" s="150"/>
      <c r="H38" s="150"/>
      <c r="I38" s="150"/>
      <c r="J38" s="150"/>
      <c r="K38" s="150"/>
      <c r="L38" s="150"/>
    </row>
    <row r="39" spans="2:12">
      <c r="B39" s="1305" t="s">
        <v>2306</v>
      </c>
      <c r="C39" s="1305"/>
      <c r="D39" s="1305"/>
      <c r="E39" s="1305"/>
      <c r="F39" s="1305"/>
      <c r="G39" s="1305"/>
      <c r="H39" s="1305"/>
      <c r="I39" s="1305"/>
      <c r="J39" s="1305"/>
      <c r="K39" s="1305"/>
      <c r="L39" s="1305"/>
    </row>
    <row r="40" spans="2:12">
      <c r="B40" s="1305"/>
      <c r="C40" s="1305"/>
      <c r="D40" s="1305"/>
      <c r="E40" s="1305"/>
      <c r="F40" s="1305"/>
      <c r="G40" s="1305"/>
      <c r="H40" s="1305"/>
      <c r="I40" s="1305"/>
      <c r="J40" s="1305"/>
      <c r="K40" s="1305"/>
      <c r="L40" s="1305"/>
    </row>
    <row r="41" spans="2:12">
      <c r="B41" s="1305"/>
      <c r="C41" s="1305"/>
      <c r="D41" s="1305"/>
      <c r="E41" s="1305"/>
      <c r="F41" s="1305"/>
      <c r="G41" s="1305"/>
      <c r="H41" s="1305"/>
      <c r="I41" s="1305"/>
      <c r="J41" s="1305"/>
      <c r="K41" s="1305"/>
      <c r="L41" s="1305"/>
    </row>
  </sheetData>
  <mergeCells count="1">
    <mergeCell ref="B39:L41"/>
  </mergeCells>
  <printOptions horizontalCentered="1"/>
  <pageMargins left="0.5" right="0.5" top="0.75" bottom="0.5" header="0.3" footer="0.3"/>
  <pageSetup scale="13"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G28"/>
  <sheetViews>
    <sheetView zoomScaleNormal="100" zoomScaleSheetLayoutView="100" workbookViewId="0">
      <selection activeCell="A3" sqref="A3:F3"/>
    </sheetView>
  </sheetViews>
  <sheetFormatPr defaultColWidth="8.5" defaultRowHeight="15"/>
  <cols>
    <col min="1" max="1" width="5.6640625" style="36" customWidth="1"/>
    <col min="2" max="2" width="54" style="38" customWidth="1"/>
    <col min="3" max="3" width="1.83203125" style="38" customWidth="1"/>
    <col min="4" max="4" width="41.33203125" style="38" bestFit="1" customWidth="1"/>
    <col min="5" max="5" width="1.83203125" style="38" customWidth="1"/>
    <col min="6" max="6" width="27.6640625" style="38" customWidth="1"/>
    <col min="7" max="7" width="4.1640625" style="38" customWidth="1"/>
    <col min="8" max="16384" width="8.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D'!C34</f>
        <v>TRACKER EXPENSE</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G6" s="606"/>
    </row>
    <row r="7" spans="1:7" ht="15.75">
      <c r="A7" s="588" t="s">
        <v>3059</v>
      </c>
      <c r="F7" s="589" t="s">
        <v>2990</v>
      </c>
      <c r="G7" s="606"/>
    </row>
    <row r="8" spans="1:7" ht="15.75">
      <c r="A8" s="588" t="s">
        <v>3060</v>
      </c>
      <c r="F8" s="589" t="str">
        <f>"WITNESS: "&amp;'General Headers Index'!B52</f>
        <v>WITNESS: SHAEFFER</v>
      </c>
      <c r="G8" s="606"/>
    </row>
    <row r="9" spans="1:7">
      <c r="A9" s="867"/>
      <c r="B9" s="868"/>
      <c r="C9" s="868"/>
      <c r="D9" s="868"/>
      <c r="E9" s="868"/>
      <c r="F9" s="868"/>
    </row>
    <row r="10" spans="1:7">
      <c r="A10" s="612" t="s">
        <v>641</v>
      </c>
      <c r="B10" s="612"/>
      <c r="C10" s="613"/>
      <c r="D10" s="613"/>
      <c r="E10" s="613"/>
      <c r="F10" s="613"/>
    </row>
    <row r="11" spans="1:7">
      <c r="A11" s="867" t="s">
        <v>642</v>
      </c>
      <c r="B11" s="867" t="s">
        <v>643</v>
      </c>
      <c r="C11" s="868"/>
      <c r="D11" s="867" t="s">
        <v>1276</v>
      </c>
      <c r="E11" s="868"/>
      <c r="F11" s="867" t="s">
        <v>679</v>
      </c>
    </row>
    <row r="12" spans="1:7">
      <c r="A12" s="590"/>
      <c r="B12" s="590"/>
    </row>
    <row r="13" spans="1:7">
      <c r="A13" s="36">
        <v>1</v>
      </c>
      <c r="B13" s="38" t="s">
        <v>1290</v>
      </c>
      <c r="D13" s="36" t="s">
        <v>1872</v>
      </c>
      <c r="F13" s="269">
        <v>451966.2</v>
      </c>
    </row>
    <row r="14" spans="1:7">
      <c r="D14" s="36"/>
      <c r="F14" s="269"/>
    </row>
    <row r="15" spans="1:7">
      <c r="A15" s="36">
        <f>A13+1</f>
        <v>2</v>
      </c>
      <c r="B15" s="869" t="s">
        <v>1286</v>
      </c>
      <c r="D15" s="1240" t="str">
        <f>+'WPD-2.4.B FTP O&amp;M by Category'!$O$6&amp;", Line "&amp;'WPD-2.4.B FTP O&amp;M by Category'!$A$46</f>
        <v>Workpaper WPD-2.4.B, Line 30</v>
      </c>
      <c r="F15" s="1221">
        <f>+'WPD-2.4.B FTP O&amp;M by Category'!O46</f>
        <v>465807.40137931041</v>
      </c>
    </row>
    <row r="16" spans="1:7">
      <c r="D16" s="36"/>
      <c r="F16" s="599"/>
    </row>
    <row r="17" spans="1:7">
      <c r="A17" s="36">
        <f>A15+1</f>
        <v>3</v>
      </c>
      <c r="B17" s="38" t="s">
        <v>1291</v>
      </c>
      <c r="D17" s="36" t="s">
        <v>1292</v>
      </c>
      <c r="F17" s="269">
        <f>F13-F15</f>
        <v>-13841.201379310398</v>
      </c>
    </row>
    <row r="18" spans="1:7">
      <c r="D18" s="36"/>
      <c r="F18" s="269"/>
    </row>
    <row r="19" spans="1:7">
      <c r="D19" s="36"/>
      <c r="F19" s="269"/>
    </row>
    <row r="20" spans="1:7">
      <c r="A20" s="36">
        <f>A17+1</f>
        <v>4</v>
      </c>
      <c r="B20" s="38" t="s">
        <v>1293</v>
      </c>
      <c r="D20" s="36" t="s">
        <v>1872</v>
      </c>
      <c r="F20" s="597">
        <v>120524.32</v>
      </c>
    </row>
    <row r="21" spans="1:7">
      <c r="D21" s="36"/>
    </row>
    <row r="22" spans="1:7">
      <c r="A22" s="36">
        <f>A20+1</f>
        <v>5</v>
      </c>
      <c r="B22" s="869" t="s">
        <v>1286</v>
      </c>
      <c r="D22" s="1240" t="str">
        <f>+'WPD-2.4.B FTP O&amp;M by Category'!$O$6&amp;", Line "&amp;'WPD-2.4.B FTP O&amp;M by Category'!$A$47</f>
        <v>Workpaper WPD-2.4.B, Line 31</v>
      </c>
      <c r="F22" s="1221">
        <f>+'WPD-2.4.B FTP O&amp;M by Category'!O47</f>
        <v>106348.96551724135</v>
      </c>
    </row>
    <row r="23" spans="1:7">
      <c r="D23" s="36"/>
      <c r="F23" s="609"/>
    </row>
    <row r="24" spans="1:7">
      <c r="A24" s="36">
        <f>A22+1</f>
        <v>6</v>
      </c>
      <c r="B24" s="38" t="s">
        <v>1293</v>
      </c>
      <c r="D24" s="36" t="s">
        <v>1294</v>
      </c>
      <c r="F24" s="597">
        <f>F20-F22</f>
        <v>14175.354482758659</v>
      </c>
    </row>
    <row r="25" spans="1:7">
      <c r="D25" s="36"/>
    </row>
    <row r="26" spans="1:7">
      <c r="D26" s="36"/>
    </row>
    <row r="27" spans="1:7">
      <c r="A27" s="36">
        <f>A24+1</f>
        <v>7</v>
      </c>
      <c r="B27" s="38" t="s">
        <v>1295</v>
      </c>
      <c r="D27" s="36" t="s">
        <v>1873</v>
      </c>
      <c r="F27" s="605">
        <f>F17+F24</f>
        <v>334.15310344826139</v>
      </c>
      <c r="G27" s="621"/>
    </row>
    <row r="28" spans="1:7">
      <c r="G28" s="621"/>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J25"/>
  <sheetViews>
    <sheetView zoomScaleNormal="100" zoomScaleSheetLayoutView="100" workbookViewId="0">
      <selection activeCell="A3" sqref="A3:D3"/>
    </sheetView>
  </sheetViews>
  <sheetFormatPr defaultColWidth="8.5" defaultRowHeight="15"/>
  <cols>
    <col min="1" max="1" width="5.6640625" style="36" customWidth="1"/>
    <col min="2" max="2" width="73.5" style="38" customWidth="1"/>
    <col min="3" max="3" width="12.1640625" style="38" customWidth="1"/>
    <col min="4" max="4" width="33.6640625" style="38" customWidth="1"/>
    <col min="5" max="5" width="4.1640625" style="38" customWidth="1"/>
    <col min="6" max="16384" width="8.5" style="38"/>
  </cols>
  <sheetData>
    <row r="1" spans="1:10" ht="15.75">
      <c r="A1" s="1333" t="str">
        <f>+'General Headers Index'!B4</f>
        <v>COLUMBIA GAS OF KENTUCKY, INC.</v>
      </c>
      <c r="B1" s="1333"/>
      <c r="C1" s="1333"/>
      <c r="D1" s="1333"/>
      <c r="E1" s="606"/>
    </row>
    <row r="2" spans="1:10" ht="15.75">
      <c r="A2" s="1333" t="str">
        <f>+'General Headers Index'!B6</f>
        <v>CASE NO. 2024 - 00092</v>
      </c>
      <c r="B2" s="1333"/>
      <c r="C2" s="1333"/>
      <c r="D2" s="1333"/>
      <c r="E2" s="606"/>
    </row>
    <row r="3" spans="1:10" ht="15.75">
      <c r="A3" s="1333" t="str">
        <f>'Index D'!C35</f>
        <v>ASC 712 AMORTIZATION ADJUSTMENT</v>
      </c>
      <c r="B3" s="1333"/>
      <c r="C3" s="1333"/>
      <c r="D3" s="1333"/>
      <c r="E3" s="606"/>
    </row>
    <row r="4" spans="1:10" ht="15.75">
      <c r="A4" s="1333" t="str">
        <f>+'General Headers Index'!B15</f>
        <v>FOR THE TWELVE MONTHS ENDED DECEMBER 31, 2025</v>
      </c>
      <c r="B4" s="1333"/>
      <c r="C4" s="1333"/>
      <c r="D4" s="1333"/>
      <c r="E4" s="607"/>
    </row>
    <row r="5" spans="1:10" ht="15.75">
      <c r="B5" s="36"/>
      <c r="C5" s="36"/>
      <c r="D5" s="36"/>
      <c r="E5" s="607"/>
    </row>
    <row r="6" spans="1:10" ht="15.75">
      <c r="E6" s="606"/>
    </row>
    <row r="7" spans="1:10" ht="15.75">
      <c r="A7" s="588" t="s">
        <v>3059</v>
      </c>
      <c r="D7" s="589" t="s">
        <v>2991</v>
      </c>
      <c r="E7" s="606"/>
    </row>
    <row r="8" spans="1:10" ht="15.75">
      <c r="A8" s="588" t="s">
        <v>3060</v>
      </c>
      <c r="D8" s="589" t="str">
        <f>"WITNESS: "&amp;'General Headers Index'!B52</f>
        <v>WITNESS: SHAEFFER</v>
      </c>
      <c r="E8" s="606"/>
    </row>
    <row r="9" spans="1:10">
      <c r="A9" s="867"/>
      <c r="B9" s="868"/>
      <c r="C9" s="868"/>
      <c r="D9" s="868"/>
    </row>
    <row r="10" spans="1:10">
      <c r="A10" s="36" t="s">
        <v>641</v>
      </c>
      <c r="B10" s="36"/>
    </row>
    <row r="11" spans="1:10">
      <c r="A11" s="867" t="s">
        <v>642</v>
      </c>
      <c r="B11" s="867" t="s">
        <v>643</v>
      </c>
      <c r="C11" s="868"/>
      <c r="D11" s="867" t="s">
        <v>679</v>
      </c>
    </row>
    <row r="12" spans="1:10">
      <c r="A12" s="590"/>
      <c r="B12" s="590"/>
    </row>
    <row r="13" spans="1:10">
      <c r="A13" s="36">
        <v>1</v>
      </c>
      <c r="B13" s="38" t="s">
        <v>1287</v>
      </c>
    </row>
    <row r="14" spans="1:10">
      <c r="A14" s="36">
        <f t="shared" ref="A14:A19" si="0">A13+1</f>
        <v>2</v>
      </c>
      <c r="B14" s="588" t="s">
        <v>1616</v>
      </c>
      <c r="D14" s="269">
        <v>-133031</v>
      </c>
      <c r="H14" s="588"/>
      <c r="J14" s="269"/>
    </row>
    <row r="15" spans="1:10">
      <c r="A15" s="36">
        <f t="shared" si="0"/>
        <v>3</v>
      </c>
      <c r="B15" s="588" t="s">
        <v>1617</v>
      </c>
      <c r="D15" s="269">
        <v>4357</v>
      </c>
      <c r="H15" s="588"/>
      <c r="J15" s="592"/>
    </row>
    <row r="16" spans="1:10">
      <c r="A16" s="36">
        <f t="shared" si="0"/>
        <v>4</v>
      </c>
      <c r="B16" s="588" t="s">
        <v>1618</v>
      </c>
      <c r="D16" s="269">
        <v>-64609</v>
      </c>
      <c r="H16" s="588"/>
      <c r="J16" s="592"/>
    </row>
    <row r="17" spans="1:10">
      <c r="A17" s="36">
        <f t="shared" si="0"/>
        <v>5</v>
      </c>
      <c r="B17" s="588" t="s">
        <v>1619</v>
      </c>
      <c r="D17" s="269">
        <v>24867.01</v>
      </c>
      <c r="H17" s="588"/>
      <c r="J17" s="592"/>
    </row>
    <row r="18" spans="1:10" ht="17.25">
      <c r="A18" s="36">
        <f t="shared" si="0"/>
        <v>6</v>
      </c>
      <c r="B18" s="588" t="s">
        <v>1620</v>
      </c>
      <c r="D18" s="1060">
        <v>20233.37</v>
      </c>
      <c r="H18" s="588"/>
      <c r="J18" s="611"/>
    </row>
    <row r="19" spans="1:10">
      <c r="A19" s="36">
        <f t="shared" si="0"/>
        <v>7</v>
      </c>
      <c r="B19" s="38" t="s">
        <v>677</v>
      </c>
      <c r="D19" s="610">
        <f>SUM(D14:D18)</f>
        <v>-148182.62</v>
      </c>
    </row>
    <row r="20" spans="1:10">
      <c r="D20" s="269"/>
    </row>
    <row r="21" spans="1:10">
      <c r="A21" s="36">
        <f>A19+1</f>
        <v>8</v>
      </c>
      <c r="B21" s="38" t="s">
        <v>1288</v>
      </c>
      <c r="D21" s="269">
        <f>ROUND(D19/5,0)</f>
        <v>-29637</v>
      </c>
    </row>
    <row r="23" spans="1:10">
      <c r="A23" s="36">
        <f>A21+1</f>
        <v>9</v>
      </c>
      <c r="B23" s="38" t="s">
        <v>1286</v>
      </c>
      <c r="D23" s="1222">
        <f>+'WPD-2.4.B FTP O&amp;M by Category'!O23</f>
        <v>0</v>
      </c>
    </row>
    <row r="25" spans="1:10">
      <c r="A25" s="36">
        <f>A23+1</f>
        <v>10</v>
      </c>
      <c r="B25" s="38" t="s">
        <v>1289</v>
      </c>
      <c r="D25" s="605">
        <f>D21-D23</f>
        <v>-29637</v>
      </c>
    </row>
  </sheetData>
  <mergeCells count="4">
    <mergeCell ref="A1:D1"/>
    <mergeCell ref="A2:D2"/>
    <mergeCell ref="A3:D3"/>
    <mergeCell ref="A4:D4"/>
  </mergeCells>
  <printOptions horizontalCentered="1"/>
  <pageMargins left="0.5" right="0.5" top="0.75" bottom="0.5" header="0.3" footer="0.3"/>
  <pageSetup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G35"/>
  <sheetViews>
    <sheetView zoomScaleNormal="100" zoomScaleSheetLayoutView="100" workbookViewId="0">
      <selection activeCell="B16" sqref="B16"/>
    </sheetView>
  </sheetViews>
  <sheetFormatPr defaultColWidth="8.5" defaultRowHeight="15"/>
  <cols>
    <col min="1" max="1" width="5.6640625" style="36" customWidth="1"/>
    <col min="2" max="2" width="83.1640625" style="38" customWidth="1"/>
    <col min="3" max="3" width="1.83203125" style="38" customWidth="1"/>
    <col min="4" max="4" width="41.33203125" style="38" bestFit="1" customWidth="1"/>
    <col min="5" max="5" width="1.83203125" style="38" customWidth="1"/>
    <col min="6" max="6" width="27.6640625" style="38" customWidth="1"/>
    <col min="7" max="7" width="4.1640625" style="38" customWidth="1"/>
    <col min="8" max="16384" width="8.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D'!C36</f>
        <v>UNCOLLECTIBLE EXPENSE</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G6" s="606"/>
    </row>
    <row r="7" spans="1:7" ht="15.75">
      <c r="A7" s="588" t="s">
        <v>3059</v>
      </c>
      <c r="F7" s="589" t="s">
        <v>2992</v>
      </c>
      <c r="G7" s="606"/>
    </row>
    <row r="8" spans="1:7" ht="15.75">
      <c r="A8" s="588" t="s">
        <v>3060</v>
      </c>
      <c r="F8" s="589" t="str">
        <f>"WITNESS: "&amp;'General Headers Index'!B52</f>
        <v>WITNESS: SHAEFFER</v>
      </c>
      <c r="G8" s="606"/>
    </row>
    <row r="9" spans="1:7">
      <c r="A9" s="867"/>
      <c r="B9" s="868"/>
      <c r="C9" s="868"/>
      <c r="D9" s="868"/>
      <c r="E9" s="868"/>
      <c r="F9" s="868"/>
    </row>
    <row r="10" spans="1:7">
      <c r="A10" s="36" t="s">
        <v>641</v>
      </c>
      <c r="B10" s="36"/>
    </row>
    <row r="11" spans="1:7">
      <c r="A11" s="867" t="s">
        <v>642</v>
      </c>
      <c r="B11" s="867" t="s">
        <v>643</v>
      </c>
      <c r="C11" s="868"/>
      <c r="D11" s="867" t="s">
        <v>1276</v>
      </c>
      <c r="E11" s="868"/>
      <c r="F11" s="867" t="s">
        <v>679</v>
      </c>
    </row>
    <row r="12" spans="1:7">
      <c r="A12" s="590"/>
      <c r="B12" s="590"/>
    </row>
    <row r="13" spans="1:7">
      <c r="A13" s="590"/>
      <c r="B13" s="591" t="s">
        <v>1539</v>
      </c>
    </row>
    <row r="14" spans="1:7">
      <c r="A14" s="36">
        <v>1</v>
      </c>
      <c r="B14" s="37" t="s">
        <v>1559</v>
      </c>
      <c r="D14" s="36" t="s">
        <v>1470</v>
      </c>
      <c r="F14" s="269">
        <f>+'C-2.1.B Oper Rev&amp;Exp by Accts'!F18+'C-2.1.B Oper Rev&amp;Exp by Accts'!F20+'C-2.1.B Oper Rev&amp;Exp by Accts'!F22+'C-2.1.B Oper Rev&amp;Exp by Accts'!F24+'C-2.1.B Oper Rev&amp;Exp by Accts'!F26+'C-2.1.B Oper Rev&amp;Exp by Accts'!F32+'C-2.1.B Oper Rev&amp;Exp by Accts'!F33+'C-2.1.B Oper Rev&amp;Exp by Accts'!F34</f>
        <v>114441728.88000003</v>
      </c>
    </row>
    <row r="15" spans="1:7">
      <c r="D15" s="36"/>
      <c r="F15" s="269"/>
    </row>
    <row r="16" spans="1:7">
      <c r="A16" s="36">
        <f>A14+1</f>
        <v>2</v>
      </c>
      <c r="B16" s="38" t="s">
        <v>3076</v>
      </c>
      <c r="D16" s="36" t="s">
        <v>1460</v>
      </c>
      <c r="F16" s="1061">
        <f>+'H-1 Gross Conversion Factor'!I19</f>
        <v>4.1700000000000001E-3</v>
      </c>
    </row>
    <row r="17" spans="1:6">
      <c r="D17" s="36"/>
      <c r="F17" s="599"/>
    </row>
    <row r="18" spans="1:6">
      <c r="A18" s="36">
        <f>A16+1</f>
        <v>3</v>
      </c>
      <c r="B18" s="38" t="s">
        <v>1535</v>
      </c>
      <c r="D18" s="36" t="s">
        <v>1277</v>
      </c>
      <c r="F18" s="269">
        <f>ROUND(F14*F16,0)</f>
        <v>477222</v>
      </c>
    </row>
    <row r="19" spans="1:6">
      <c r="D19" s="36"/>
      <c r="F19" s="269"/>
    </row>
    <row r="20" spans="1:6">
      <c r="A20" s="36">
        <f>+A18+1</f>
        <v>4</v>
      </c>
      <c r="B20" s="38" t="s">
        <v>1279</v>
      </c>
      <c r="D20" s="1240" t="str">
        <f>+'WPD-2.4.B FTP O&amp;M by Category'!$O$6&amp;", Line "&amp;'WPD-2.4.B FTP O&amp;M by Category'!$A$41</f>
        <v>Workpaper WPD-2.4.B, Line 25</v>
      </c>
      <c r="F20" s="269">
        <f>+'WPD-2.4.B FTP O&amp;M by Category'!O41</f>
        <v>707405.43301344838</v>
      </c>
    </row>
    <row r="21" spans="1:6">
      <c r="D21" s="36"/>
    </row>
    <row r="22" spans="1:6">
      <c r="A22" s="36">
        <f>+A20+1</f>
        <v>5</v>
      </c>
      <c r="B22" s="38" t="s">
        <v>1538</v>
      </c>
      <c r="D22" s="36" t="s">
        <v>1537</v>
      </c>
      <c r="F22" s="1221">
        <f>F18-F20</f>
        <v>-230183.43301344838</v>
      </c>
    </row>
    <row r="23" spans="1:6">
      <c r="D23" s="36"/>
      <c r="F23" s="609"/>
    </row>
    <row r="24" spans="1:6">
      <c r="B24" s="591" t="s">
        <v>1540</v>
      </c>
      <c r="D24" s="36"/>
      <c r="F24" s="620"/>
    </row>
    <row r="25" spans="1:6">
      <c r="A25" s="36">
        <f>+A22+1</f>
        <v>6</v>
      </c>
      <c r="B25" s="38" t="s">
        <v>1464</v>
      </c>
      <c r="D25" s="36" t="str">
        <f>+'WPD-2.6.D(3) Uncoll. GC Rev Adj'!F7</f>
        <v>Workpaper WPD-2.6.D(3)</v>
      </c>
      <c r="F25" s="269">
        <f>+'WPD-2.6.D(3) Uncoll. GC Rev Adj'!F21</f>
        <v>68581</v>
      </c>
    </row>
    <row r="26" spans="1:6">
      <c r="D26" s="36"/>
      <c r="F26" s="269"/>
    </row>
    <row r="27" spans="1:6">
      <c r="A27" s="36">
        <f>A25+1</f>
        <v>7</v>
      </c>
      <c r="B27" s="38" t="s">
        <v>1278</v>
      </c>
      <c r="D27" s="1240" t="str">
        <f>+'WPD-2.4.B FTP O&amp;M by Category'!$O$6&amp;", Line "&amp;'WPD-2.4.B FTP O&amp;M by Category'!$A$42</f>
        <v>Workpaper WPD-2.4.B, Line 26</v>
      </c>
      <c r="F27" s="269">
        <f>+'WPD-2.4.B FTP O&amp;M by Category'!O42</f>
        <v>330443.48689655174</v>
      </c>
    </row>
    <row r="28" spans="1:6">
      <c r="D28" s="36"/>
      <c r="F28" s="269"/>
    </row>
    <row r="29" spans="1:6">
      <c r="A29" s="36">
        <f>+A27+1</f>
        <v>8</v>
      </c>
      <c r="B29" s="38" t="s">
        <v>1536</v>
      </c>
      <c r="D29" s="36" t="s">
        <v>2080</v>
      </c>
      <c r="F29" s="1221">
        <f>F25-F27</f>
        <v>-261862.48689655174</v>
      </c>
    </row>
    <row r="30" spans="1:6">
      <c r="D30" s="36"/>
      <c r="F30" s="609"/>
    </row>
    <row r="31" spans="1:6">
      <c r="D31" s="36"/>
      <c r="F31" s="609"/>
    </row>
    <row r="32" spans="1:6">
      <c r="A32" s="36">
        <f>+A29+1</f>
        <v>9</v>
      </c>
      <c r="B32" s="38" t="s">
        <v>1280</v>
      </c>
      <c r="D32" s="36" t="s">
        <v>2081</v>
      </c>
      <c r="F32" s="608">
        <f>+F22+F29</f>
        <v>-492045.91991000011</v>
      </c>
    </row>
    <row r="35" spans="6:6">
      <c r="F35" s="610"/>
    </row>
  </sheetData>
  <mergeCells count="4">
    <mergeCell ref="A1:F1"/>
    <mergeCell ref="A2:F2"/>
    <mergeCell ref="A3:F3"/>
    <mergeCell ref="A4:F4"/>
  </mergeCells>
  <printOptions horizontalCentered="1"/>
  <pageMargins left="0.5" right="0.5" top="0.75" bottom="0.5" header="0.3" footer="0.3"/>
  <pageSetup scale="9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K34"/>
  <sheetViews>
    <sheetView zoomScaleNormal="100" zoomScaleSheetLayoutView="100" workbookViewId="0">
      <selection activeCell="A3" sqref="A3:I3"/>
    </sheetView>
  </sheetViews>
  <sheetFormatPr defaultColWidth="9.33203125" defaultRowHeight="10.5"/>
  <cols>
    <col min="1" max="1" width="11.33203125" style="948" customWidth="1"/>
    <col min="2" max="2" width="61.1640625" style="948" bestFit="1" customWidth="1"/>
    <col min="3" max="9" width="16.83203125" style="948" customWidth="1"/>
    <col min="10" max="10" width="3.33203125" style="948" customWidth="1"/>
    <col min="11" max="16384" width="9.33203125" style="948"/>
  </cols>
  <sheetData>
    <row r="1" spans="1:11" s="38" customFormat="1" ht="15">
      <c r="A1" s="1333" t="str">
        <f>+'General Headers Index'!B4</f>
        <v>COLUMBIA GAS OF KENTUCKY, INC.</v>
      </c>
      <c r="B1" s="1333"/>
      <c r="C1" s="1333"/>
      <c r="D1" s="1333"/>
      <c r="E1" s="1333"/>
      <c r="F1" s="1333"/>
      <c r="G1" s="1333"/>
      <c r="H1" s="1333"/>
      <c r="I1" s="1333"/>
    </row>
    <row r="2" spans="1:11" s="38" customFormat="1" ht="15">
      <c r="A2" s="1333" t="str">
        <f>'General Headers Index'!B6</f>
        <v>CASE NO. 2024 - 00092</v>
      </c>
      <c r="B2" s="1333"/>
      <c r="C2" s="1333"/>
      <c r="D2" s="1333"/>
      <c r="E2" s="1333"/>
      <c r="F2" s="1333"/>
      <c r="G2" s="1333"/>
      <c r="H2" s="1333"/>
      <c r="I2" s="1333"/>
    </row>
    <row r="3" spans="1:11" s="38" customFormat="1" ht="15">
      <c r="A3" s="1333" t="str">
        <f>'Index D'!C37</f>
        <v>UNCOLLECTIBLE RATE</v>
      </c>
      <c r="B3" s="1333"/>
      <c r="C3" s="1333"/>
      <c r="D3" s="1333"/>
      <c r="E3" s="1333"/>
      <c r="F3" s="1333"/>
      <c r="G3" s="1333"/>
      <c r="H3" s="1333"/>
      <c r="I3" s="1333"/>
    </row>
    <row r="4" spans="1:11" s="38" customFormat="1" ht="15">
      <c r="A4" s="1333" t="str">
        <f>+'General Headers Index'!B15</f>
        <v>FOR THE TWELVE MONTHS ENDED DECEMBER 31, 2025</v>
      </c>
      <c r="B4" s="1333"/>
      <c r="C4" s="1333"/>
      <c r="D4" s="1333"/>
      <c r="E4" s="1333"/>
      <c r="F4" s="1333"/>
      <c r="G4" s="1333"/>
      <c r="H4" s="1333"/>
      <c r="I4" s="1333"/>
    </row>
    <row r="5" spans="1:11" s="38" customFormat="1" ht="15">
      <c r="A5" s="36"/>
      <c r="B5" s="36"/>
      <c r="C5" s="36"/>
      <c r="D5" s="36"/>
      <c r="E5" s="36"/>
      <c r="F5" s="36"/>
      <c r="G5" s="36"/>
    </row>
    <row r="6" spans="1:11" s="38" customFormat="1" ht="15">
      <c r="A6" s="36"/>
    </row>
    <row r="7" spans="1:11" s="38" customFormat="1" ht="15">
      <c r="A7" s="588" t="s">
        <v>3059</v>
      </c>
      <c r="I7" s="589" t="s">
        <v>2993</v>
      </c>
    </row>
    <row r="8" spans="1:11" s="38" customFormat="1" ht="15">
      <c r="A8" s="588" t="s">
        <v>3060</v>
      </c>
      <c r="I8" s="589" t="str">
        <f>"WITNESS: "&amp;'General Headers Index'!B52</f>
        <v>WITNESS: SHAEFFER</v>
      </c>
    </row>
    <row r="9" spans="1:11" s="38" customFormat="1" ht="15">
      <c r="A9" s="36"/>
    </row>
    <row r="10" spans="1:11" s="38" customFormat="1" ht="15">
      <c r="A10" s="867"/>
      <c r="B10" s="868"/>
      <c r="C10" s="868"/>
      <c r="D10" s="868"/>
      <c r="E10" s="868"/>
      <c r="F10" s="868"/>
      <c r="G10" s="868"/>
      <c r="H10" s="868"/>
      <c r="I10" s="868"/>
    </row>
    <row r="11" spans="1:11" s="38" customFormat="1" ht="15">
      <c r="A11" s="36" t="s">
        <v>641</v>
      </c>
      <c r="B11" s="36"/>
    </row>
    <row r="12" spans="1:11" s="38" customFormat="1" ht="15">
      <c r="A12" s="867" t="s">
        <v>642</v>
      </c>
      <c r="B12" s="867" t="s">
        <v>643</v>
      </c>
      <c r="C12" s="867">
        <v>2023</v>
      </c>
      <c r="D12" s="867">
        <v>2022</v>
      </c>
      <c r="E12" s="867">
        <v>2021</v>
      </c>
      <c r="F12" s="867">
        <v>2020</v>
      </c>
      <c r="G12" s="867">
        <v>2019</v>
      </c>
      <c r="H12" s="867">
        <v>2018</v>
      </c>
      <c r="I12" s="867">
        <v>2017</v>
      </c>
    </row>
    <row r="13" spans="1:11" s="38" customFormat="1" ht="15">
      <c r="A13" s="616">
        <v>1</v>
      </c>
      <c r="B13" s="617" t="s">
        <v>1785</v>
      </c>
      <c r="C13" s="888">
        <f t="shared" ref="C13:H13" si="0">+D21</f>
        <v>332385.3399999988</v>
      </c>
      <c r="D13" s="888">
        <f t="shared" si="0"/>
        <v>950590.19999999914</v>
      </c>
      <c r="E13" s="888">
        <f t="shared" si="0"/>
        <v>2835419.96</v>
      </c>
      <c r="F13" s="888">
        <f t="shared" si="0"/>
        <v>650966.56999999995</v>
      </c>
      <c r="G13" s="888">
        <f t="shared" si="0"/>
        <v>800985.92999999993</v>
      </c>
      <c r="H13" s="888">
        <f t="shared" si="0"/>
        <v>278463.92999999993</v>
      </c>
      <c r="I13" s="888">
        <v>227381.92999999993</v>
      </c>
    </row>
    <row r="14" spans="1:11" ht="15">
      <c r="A14" s="616"/>
      <c r="B14" s="617"/>
      <c r="C14" s="888"/>
      <c r="D14" s="888"/>
      <c r="E14" s="888"/>
      <c r="F14" s="888"/>
      <c r="G14" s="888"/>
      <c r="H14" s="888"/>
      <c r="I14" s="888"/>
      <c r="K14" s="38"/>
    </row>
    <row r="15" spans="1:11" ht="15">
      <c r="A15" s="616">
        <v>2</v>
      </c>
      <c r="B15" s="617" t="s">
        <v>1786</v>
      </c>
      <c r="C15" s="888">
        <v>-1748385.0499999998</v>
      </c>
      <c r="D15" s="888">
        <v>-1829965.1300000004</v>
      </c>
      <c r="E15" s="888">
        <v>-1829163.7600000005</v>
      </c>
      <c r="F15" s="888">
        <v>-586474.27999999991</v>
      </c>
      <c r="G15" s="888">
        <v>-996736.59</v>
      </c>
      <c r="H15" s="888">
        <v>-633572</v>
      </c>
      <c r="I15" s="888">
        <v>-862351</v>
      </c>
      <c r="K15" s="38"/>
    </row>
    <row r="16" spans="1:11" ht="12.75">
      <c r="A16" s="616"/>
      <c r="B16" s="617"/>
      <c r="C16" s="888"/>
      <c r="D16" s="888"/>
      <c r="E16" s="888"/>
      <c r="F16" s="888"/>
      <c r="G16" s="888"/>
      <c r="H16" s="888"/>
      <c r="I16" s="888"/>
    </row>
    <row r="17" spans="1:9" ht="12.75">
      <c r="A17" s="616">
        <v>3</v>
      </c>
      <c r="B17" s="617" t="s">
        <v>1787</v>
      </c>
      <c r="C17" s="888">
        <v>525132.50000000023</v>
      </c>
      <c r="D17" s="888">
        <v>585681.68999999994</v>
      </c>
      <c r="E17" s="888">
        <v>572762.6399999999</v>
      </c>
      <c r="F17" s="888">
        <v>248109.34000000005</v>
      </c>
      <c r="G17" s="888">
        <v>408606.23</v>
      </c>
      <c r="H17" s="888">
        <v>416529</v>
      </c>
      <c r="I17" s="888">
        <v>357681</v>
      </c>
    </row>
    <row r="18" spans="1:9" ht="12.75">
      <c r="A18" s="616"/>
      <c r="B18" s="617"/>
      <c r="C18" s="888"/>
      <c r="D18" s="888"/>
      <c r="E18" s="888"/>
      <c r="F18" s="888"/>
      <c r="G18" s="888"/>
      <c r="H18" s="888"/>
      <c r="I18" s="888"/>
    </row>
    <row r="19" spans="1:9" ht="12.75">
      <c r="A19" s="616">
        <v>4</v>
      </c>
      <c r="B19" s="617" t="s">
        <v>1788</v>
      </c>
      <c r="C19" s="888">
        <v>1169816.5</v>
      </c>
      <c r="D19" s="888">
        <v>626078.58000000007</v>
      </c>
      <c r="E19" s="888">
        <v>-628428.64000000025</v>
      </c>
      <c r="F19" s="888">
        <v>2522818.33</v>
      </c>
      <c r="G19" s="888">
        <v>438111</v>
      </c>
      <c r="H19" s="888">
        <v>739565</v>
      </c>
      <c r="I19" s="888">
        <v>555752</v>
      </c>
    </row>
    <row r="20" spans="1:9" ht="12.75">
      <c r="A20" s="616"/>
      <c r="B20" s="617"/>
      <c r="C20" s="888"/>
      <c r="D20" s="888"/>
      <c r="E20" s="888"/>
      <c r="F20" s="888"/>
      <c r="G20" s="888"/>
      <c r="H20" s="888"/>
      <c r="I20" s="888"/>
    </row>
    <row r="21" spans="1:9" ht="12.75">
      <c r="A21" s="616">
        <v>5</v>
      </c>
      <c r="B21" s="617" t="s">
        <v>1789</v>
      </c>
      <c r="C21" s="888">
        <v>278949.28999999934</v>
      </c>
      <c r="D21" s="888">
        <v>332385.3399999988</v>
      </c>
      <c r="E21" s="888">
        <v>950590.19999999914</v>
      </c>
      <c r="F21" s="888">
        <v>2835419.96</v>
      </c>
      <c r="G21" s="888">
        <v>650966.56999999995</v>
      </c>
      <c r="H21" s="888">
        <v>800985.92999999993</v>
      </c>
      <c r="I21" s="888">
        <v>278463.92999999993</v>
      </c>
    </row>
    <row r="22" spans="1:9" ht="12.75">
      <c r="A22" s="616"/>
      <c r="B22" s="617"/>
      <c r="C22" s="888"/>
      <c r="D22" s="888"/>
      <c r="E22" s="888"/>
      <c r="F22" s="888"/>
      <c r="G22" s="888"/>
      <c r="H22" s="888"/>
      <c r="I22" s="888"/>
    </row>
    <row r="23" spans="1:9" ht="12.75">
      <c r="A23" s="616">
        <v>6</v>
      </c>
      <c r="B23" s="617" t="s">
        <v>1790</v>
      </c>
      <c r="C23" s="888">
        <v>192589750</v>
      </c>
      <c r="D23" s="888">
        <v>197014925</v>
      </c>
      <c r="E23" s="888">
        <v>147730483</v>
      </c>
      <c r="F23" s="888">
        <v>127764935</v>
      </c>
      <c r="G23" s="888">
        <v>134813571</v>
      </c>
      <c r="H23" s="888">
        <v>142429329</v>
      </c>
      <c r="I23" s="888">
        <v>126334457</v>
      </c>
    </row>
    <row r="24" spans="1:9" ht="12.75">
      <c r="A24" s="616"/>
      <c r="B24" s="617"/>
      <c r="C24" s="618"/>
      <c r="D24" s="618"/>
      <c r="E24" s="618"/>
      <c r="F24" s="618"/>
      <c r="G24" s="618"/>
      <c r="H24" s="618"/>
      <c r="I24" s="618"/>
    </row>
    <row r="25" spans="1:9" ht="12.75">
      <c r="A25" s="616">
        <v>7</v>
      </c>
      <c r="B25" s="617" t="s">
        <v>1791</v>
      </c>
      <c r="C25" s="619">
        <f t="shared" ref="C25:I25" si="1">C19/C23</f>
        <v>6.0741368634623597E-3</v>
      </c>
      <c r="D25" s="619">
        <f t="shared" si="1"/>
        <v>3.1778231014731504E-3</v>
      </c>
      <c r="E25" s="619">
        <f t="shared" si="1"/>
        <v>-4.2538860446289899E-3</v>
      </c>
      <c r="F25" s="619">
        <f t="shared" si="1"/>
        <v>1.9745780248704388E-2</v>
      </c>
      <c r="G25" s="619">
        <f t="shared" si="1"/>
        <v>3.2497544331052544E-3</v>
      </c>
      <c r="H25" s="619">
        <f t="shared" si="1"/>
        <v>5.1925049790833462E-3</v>
      </c>
      <c r="I25" s="619">
        <f t="shared" si="1"/>
        <v>4.3990532210859941E-3</v>
      </c>
    </row>
    <row r="26" spans="1:9">
      <c r="B26" s="339"/>
    </row>
    <row r="27" spans="1:9" ht="12.75">
      <c r="A27" s="616">
        <f>+A25+1</f>
        <v>8</v>
      </c>
      <c r="B27" s="617" t="s">
        <v>1792</v>
      </c>
      <c r="C27" s="870">
        <f>ROUND((C25+D25+G25)/3,5)</f>
        <v>4.1700000000000001E-3</v>
      </c>
      <c r="D27" s="619"/>
      <c r="E27" s="619"/>
      <c r="F27" s="619"/>
      <c r="G27" s="619"/>
      <c r="H27" s="619"/>
      <c r="I27" s="619"/>
    </row>
    <row r="28" spans="1:9" ht="12.75">
      <c r="B28" s="339"/>
      <c r="C28" s="619"/>
      <c r="D28" s="619"/>
      <c r="E28" s="619"/>
      <c r="F28" s="619"/>
      <c r="G28" s="619"/>
      <c r="H28" s="619"/>
      <c r="I28" s="619"/>
    </row>
    <row r="34" spans="2:2">
      <c r="B34" s="339"/>
    </row>
  </sheetData>
  <mergeCells count="4">
    <mergeCell ref="A1:I1"/>
    <mergeCell ref="A2:I2"/>
    <mergeCell ref="A3:I3"/>
    <mergeCell ref="A4:I4"/>
  </mergeCells>
  <printOptions horizontalCentered="1"/>
  <pageMargins left="0.5" right="0.5" top="0.75" bottom="0.5" header="0.3" footer="0.3"/>
  <pageSetup scale="84"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G31"/>
  <sheetViews>
    <sheetView zoomScaleNormal="100" zoomScaleSheetLayoutView="100" workbookViewId="0">
      <selection activeCell="B15" sqref="B15"/>
    </sheetView>
  </sheetViews>
  <sheetFormatPr defaultColWidth="8.33203125" defaultRowHeight="15"/>
  <cols>
    <col min="1" max="1" width="5.6640625" style="36" customWidth="1"/>
    <col min="2" max="2" width="66.6640625" style="38" customWidth="1"/>
    <col min="3" max="3" width="3.1640625" style="38" customWidth="1"/>
    <col min="4" max="4" width="34.5" style="38" customWidth="1"/>
    <col min="5" max="5" width="4.33203125" style="38" customWidth="1"/>
    <col min="6" max="6" width="26.6640625" style="38" customWidth="1"/>
    <col min="7" max="7" width="4" style="38" customWidth="1"/>
    <col min="8" max="16384" width="8.3320312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D'!C38</f>
        <v>UNCOLLECTIBLE GAS COST REVENUE ADJUSTMENT</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G6" s="606"/>
    </row>
    <row r="7" spans="1:7" ht="15.75">
      <c r="A7" s="588" t="s">
        <v>3059</v>
      </c>
      <c r="F7" s="589" t="s">
        <v>2994</v>
      </c>
      <c r="G7" s="606"/>
    </row>
    <row r="8" spans="1:7" ht="15.75">
      <c r="A8" s="588" t="s">
        <v>3060</v>
      </c>
      <c r="F8" s="589" t="str">
        <f>"WITNESS: "&amp;'General Headers Index'!B47</f>
        <v>WITNESS: WOZNIAK</v>
      </c>
      <c r="G8" s="606"/>
    </row>
    <row r="9" spans="1:7">
      <c r="A9" s="867"/>
      <c r="B9" s="868"/>
      <c r="C9" s="868"/>
      <c r="D9" s="868"/>
      <c r="E9" s="868"/>
      <c r="F9" s="868"/>
    </row>
    <row r="10" spans="1:7">
      <c r="A10" s="36" t="s">
        <v>641</v>
      </c>
      <c r="B10" s="36"/>
    </row>
    <row r="11" spans="1:7">
      <c r="A11" s="867" t="s">
        <v>642</v>
      </c>
      <c r="B11" s="867" t="s">
        <v>643</v>
      </c>
      <c r="C11" s="868"/>
      <c r="D11" s="867" t="s">
        <v>1276</v>
      </c>
      <c r="E11" s="868"/>
      <c r="F11" s="867" t="s">
        <v>679</v>
      </c>
    </row>
    <row r="12" spans="1:7">
      <c r="A12" s="590"/>
      <c r="B12" s="590"/>
    </row>
    <row r="13" spans="1:7">
      <c r="A13" s="36">
        <v>1</v>
      </c>
      <c r="B13" s="38" t="s">
        <v>1462</v>
      </c>
      <c r="F13" s="614">
        <v>1.3556999999999999</v>
      </c>
    </row>
    <row r="14" spans="1:7">
      <c r="F14" s="269"/>
    </row>
    <row r="15" spans="1:7">
      <c r="A15" s="36">
        <f>A13+1</f>
        <v>2</v>
      </c>
      <c r="B15" s="38" t="s">
        <v>3076</v>
      </c>
      <c r="D15" s="36" t="str">
        <f>+'WPD-2.6.D(2) Uncollectible Rate'!I7</f>
        <v>Workpaper WPD-2.6.D(2)</v>
      </c>
      <c r="F15" s="1061">
        <f>+'H-1 Gross Conversion Factor'!I19</f>
        <v>4.1700000000000001E-3</v>
      </c>
    </row>
    <row r="16" spans="1:7">
      <c r="D16" s="36"/>
      <c r="F16" s="599"/>
    </row>
    <row r="17" spans="1:6">
      <c r="A17" s="36">
        <f>A15+1</f>
        <v>3</v>
      </c>
      <c r="B17" s="38" t="s">
        <v>1469</v>
      </c>
      <c r="D17" s="36" t="s">
        <v>1277</v>
      </c>
      <c r="F17" s="614">
        <f>ROUND(F13*F15,4)</f>
        <v>5.7000000000000002E-3</v>
      </c>
    </row>
    <row r="18" spans="1:6">
      <c r="D18" s="36"/>
      <c r="F18" s="269"/>
    </row>
    <row r="19" spans="1:6">
      <c r="A19" s="36">
        <f>A17+1</f>
        <v>4</v>
      </c>
      <c r="B19" s="38" t="s">
        <v>1463</v>
      </c>
      <c r="D19" s="36" t="s">
        <v>1874</v>
      </c>
      <c r="F19" s="615">
        <v>12031674.9</v>
      </c>
    </row>
    <row r="20" spans="1:6">
      <c r="D20" s="36"/>
    </row>
    <row r="21" spans="1:6">
      <c r="A21" s="36">
        <f>A19+1</f>
        <v>5</v>
      </c>
      <c r="B21" s="38" t="s">
        <v>1464</v>
      </c>
      <c r="D21" s="36" t="s">
        <v>1465</v>
      </c>
      <c r="F21" s="1060">
        <f>ROUND(F17*F19,0)</f>
        <v>68581</v>
      </c>
    </row>
    <row r="22" spans="1:6">
      <c r="D22" s="36"/>
      <c r="F22" s="609"/>
    </row>
    <row r="23" spans="1:6">
      <c r="A23" s="36">
        <f>A21+1</f>
        <v>6</v>
      </c>
      <c r="B23" s="38" t="s">
        <v>1466</v>
      </c>
      <c r="D23" s="36" t="s">
        <v>1872</v>
      </c>
      <c r="F23" s="597">
        <v>123923.03000000001</v>
      </c>
    </row>
    <row r="24" spans="1:6">
      <c r="D24" s="36"/>
    </row>
    <row r="25" spans="1:6">
      <c r="A25" s="36">
        <f>A23+1</f>
        <v>7</v>
      </c>
      <c r="B25" s="38" t="s">
        <v>1461</v>
      </c>
      <c r="D25" s="36" t="s">
        <v>1281</v>
      </c>
      <c r="F25" s="605">
        <f>F21-F23</f>
        <v>-55342.030000000013</v>
      </c>
    </row>
    <row r="29" spans="1:6">
      <c r="A29" s="588" t="s">
        <v>1870</v>
      </c>
    </row>
    <row r="30" spans="1:6">
      <c r="A30" s="588" t="s">
        <v>1467</v>
      </c>
    </row>
    <row r="31" spans="1:6">
      <c r="A31" s="588" t="s">
        <v>1871</v>
      </c>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F17"/>
  <sheetViews>
    <sheetView zoomScaleNormal="100" zoomScaleSheetLayoutView="100" workbookViewId="0">
      <selection activeCell="A3" sqref="A3:F3"/>
    </sheetView>
  </sheetViews>
  <sheetFormatPr defaultColWidth="8.33203125" defaultRowHeight="15"/>
  <cols>
    <col min="1" max="1" width="5.6640625" style="36" customWidth="1"/>
    <col min="2" max="2" width="79" style="38" bestFit="1" customWidth="1"/>
    <col min="3" max="3" width="3.1640625" style="38" customWidth="1"/>
    <col min="4" max="4" width="41.33203125" style="38" bestFit="1" customWidth="1"/>
    <col min="5" max="5" width="4.33203125" style="38" customWidth="1"/>
    <col min="6" max="6" width="26.6640625" style="38" customWidth="1"/>
    <col min="7" max="16384" width="8.33203125" style="38"/>
  </cols>
  <sheetData>
    <row r="1" spans="1:6">
      <c r="A1" s="1333" t="str">
        <f>+'General Headers Index'!B4</f>
        <v>COLUMBIA GAS OF KENTUCKY, INC.</v>
      </c>
      <c r="B1" s="1333"/>
      <c r="C1" s="1333"/>
      <c r="D1" s="1333"/>
      <c r="E1" s="1333"/>
      <c r="F1" s="1333"/>
    </row>
    <row r="2" spans="1:6">
      <c r="A2" s="1333" t="str">
        <f>'General Headers Index'!B6</f>
        <v>CASE NO. 2024 - 00092</v>
      </c>
      <c r="B2" s="1333"/>
      <c r="C2" s="1333"/>
      <c r="D2" s="1333"/>
      <c r="E2" s="1333"/>
      <c r="F2" s="1333"/>
    </row>
    <row r="3" spans="1:6">
      <c r="A3" s="1333" t="str">
        <f>'Index D'!C39</f>
        <v>CORPORATE INSURANCE</v>
      </c>
      <c r="B3" s="1333"/>
      <c r="C3" s="1333"/>
      <c r="D3" s="1333"/>
      <c r="E3" s="1333"/>
      <c r="F3" s="1333"/>
    </row>
    <row r="4" spans="1:6">
      <c r="A4" s="1333" t="str">
        <f>+'General Headers Index'!B15</f>
        <v>FOR THE TWELVE MONTHS ENDED DECEMBER 31, 2025</v>
      </c>
      <c r="B4" s="1333"/>
      <c r="C4" s="1333"/>
      <c r="D4" s="1333"/>
      <c r="E4" s="1333"/>
      <c r="F4" s="1333"/>
    </row>
    <row r="5" spans="1:6">
      <c r="B5" s="36"/>
      <c r="C5" s="36"/>
      <c r="D5" s="36"/>
      <c r="E5" s="36"/>
      <c r="F5" s="36"/>
    </row>
    <row r="7" spans="1:6">
      <c r="A7" s="588" t="s">
        <v>3059</v>
      </c>
      <c r="F7" s="589" t="s">
        <v>2995</v>
      </c>
    </row>
    <row r="8" spans="1:6">
      <c r="A8" s="588" t="s">
        <v>3060</v>
      </c>
      <c r="F8" s="589" t="str">
        <f>"WITNESS: "&amp;'General Headers Index'!B54</f>
        <v>WITNESS: INSCHO</v>
      </c>
    </row>
    <row r="9" spans="1:6">
      <c r="A9" s="867"/>
      <c r="B9" s="868"/>
      <c r="C9" s="868"/>
      <c r="D9" s="868"/>
      <c r="E9" s="868"/>
      <c r="F9" s="868"/>
    </row>
    <row r="10" spans="1:6">
      <c r="A10" s="36" t="s">
        <v>641</v>
      </c>
      <c r="B10" s="36"/>
    </row>
    <row r="11" spans="1:6">
      <c r="A11" s="867" t="s">
        <v>642</v>
      </c>
      <c r="B11" s="867" t="s">
        <v>643</v>
      </c>
      <c r="C11" s="868"/>
      <c r="D11" s="867" t="s">
        <v>1276</v>
      </c>
      <c r="E11" s="868"/>
      <c r="F11" s="867" t="s">
        <v>679</v>
      </c>
    </row>
    <row r="12" spans="1:6">
      <c r="A12" s="590"/>
      <c r="B12" s="590"/>
    </row>
    <row r="13" spans="1:6">
      <c r="A13" s="36">
        <v>1</v>
      </c>
      <c r="B13" s="38" t="s">
        <v>2105</v>
      </c>
      <c r="D13" s="36" t="s">
        <v>2727</v>
      </c>
      <c r="F13" s="269">
        <v>1394938.1812145161</v>
      </c>
    </row>
    <row r="14" spans="1:6">
      <c r="D14" s="36"/>
      <c r="F14" s="269"/>
    </row>
    <row r="15" spans="1:6">
      <c r="A15" s="36">
        <f>+A13+1</f>
        <v>2</v>
      </c>
      <c r="B15" s="38" t="s">
        <v>2106</v>
      </c>
      <c r="D15" s="1240" t="str">
        <f>+'WPD-2.4.B FTP O&amp;M by Category'!$O$6&amp;", Line "&amp;'WPD-2.4.B FTP O&amp;M by Category'!$A$36</f>
        <v>Workpaper WPD-2.4.B, Line 20</v>
      </c>
      <c r="F15" s="269">
        <f>+'WPD-2.4.B FTP O&amp;M by Category'!O36</f>
        <v>1683193.4065644466</v>
      </c>
    </row>
    <row r="16" spans="1:6">
      <c r="D16" s="36"/>
    </row>
    <row r="17" spans="1:6">
      <c r="A17" s="36">
        <f>+A15+1</f>
        <v>3</v>
      </c>
      <c r="B17" s="38" t="s">
        <v>2107</v>
      </c>
      <c r="D17" s="36" t="s">
        <v>1292</v>
      </c>
      <c r="F17" s="605">
        <f>+F13-F15</f>
        <v>-288255.22534993058</v>
      </c>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G33"/>
  <sheetViews>
    <sheetView zoomScaleNormal="100" zoomScaleSheetLayoutView="100" workbookViewId="0">
      <selection activeCell="A3" sqref="A3:F3"/>
    </sheetView>
  </sheetViews>
  <sheetFormatPr defaultColWidth="8.5" defaultRowHeight="15"/>
  <cols>
    <col min="1" max="1" width="5.6640625" style="36" customWidth="1"/>
    <col min="2" max="2" width="44.83203125" style="38" bestFit="1" customWidth="1"/>
    <col min="3" max="3" width="3.1640625" style="38" customWidth="1"/>
    <col min="4" max="4" width="41.33203125" style="38" bestFit="1" customWidth="1"/>
    <col min="5" max="5" width="4.5" style="38" customWidth="1"/>
    <col min="6" max="6" width="27.6640625" style="38" customWidth="1"/>
    <col min="7" max="7" width="4.1640625" style="38" customWidth="1"/>
    <col min="8" max="16384" width="8.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D'!C40</f>
        <v>RATE CASE EXPENSE ADJUSTMENT</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F6" s="589"/>
      <c r="G6" s="606"/>
    </row>
    <row r="7" spans="1:7" ht="15.75">
      <c r="A7" s="588" t="s">
        <v>3059</v>
      </c>
      <c r="F7" s="589" t="s">
        <v>2996</v>
      </c>
      <c r="G7" s="606"/>
    </row>
    <row r="8" spans="1:7" ht="15.75">
      <c r="A8" s="588" t="s">
        <v>3060</v>
      </c>
      <c r="F8" s="589" t="str">
        <f>"WITNESS: "&amp;'General Headers Index'!B52</f>
        <v>WITNESS: SHAEFFER</v>
      </c>
      <c r="G8" s="606"/>
    </row>
    <row r="9" spans="1:7">
      <c r="A9" s="867"/>
      <c r="B9" s="868"/>
      <c r="C9" s="868"/>
      <c r="D9" s="868"/>
      <c r="E9" s="868"/>
      <c r="F9" s="868"/>
    </row>
    <row r="10" spans="1:7">
      <c r="A10" s="612" t="s">
        <v>641</v>
      </c>
      <c r="B10" s="612"/>
      <c r="C10" s="613"/>
      <c r="D10" s="613"/>
      <c r="E10" s="613"/>
      <c r="F10" s="613"/>
    </row>
    <row r="11" spans="1:7">
      <c r="A11" s="867" t="s">
        <v>642</v>
      </c>
      <c r="B11" s="867" t="s">
        <v>643</v>
      </c>
      <c r="C11" s="868"/>
      <c r="D11" s="867" t="s">
        <v>1276</v>
      </c>
      <c r="E11" s="868"/>
      <c r="F11" s="867" t="s">
        <v>679</v>
      </c>
    </row>
    <row r="12" spans="1:7">
      <c r="A12" s="590"/>
      <c r="B12" s="590"/>
    </row>
    <row r="13" spans="1:7">
      <c r="A13" s="36">
        <v>1</v>
      </c>
      <c r="B13" s="38" t="s">
        <v>1282</v>
      </c>
      <c r="D13" s="36" t="s">
        <v>2658</v>
      </c>
      <c r="F13" s="269">
        <f>+'F-9 Rate Case Expense'!H24</f>
        <v>1142250</v>
      </c>
    </row>
    <row r="14" spans="1:7">
      <c r="D14" s="36"/>
      <c r="F14" s="269"/>
    </row>
    <row r="15" spans="1:7">
      <c r="A15" s="36">
        <f>A13+1</f>
        <v>2</v>
      </c>
      <c r="B15" s="38" t="s">
        <v>1283</v>
      </c>
      <c r="D15" s="36"/>
      <c r="F15" s="1223">
        <v>1</v>
      </c>
    </row>
    <row r="16" spans="1:7">
      <c r="D16" s="36"/>
      <c r="F16" s="599"/>
    </row>
    <row r="17" spans="1:6">
      <c r="A17" s="36">
        <f>A15+1</f>
        <v>3</v>
      </c>
      <c r="B17" s="38" t="s">
        <v>1284</v>
      </c>
      <c r="D17" s="36" t="s">
        <v>1285</v>
      </c>
      <c r="F17" s="597">
        <f>ROUND(F13/F15,0)</f>
        <v>1142250</v>
      </c>
    </row>
    <row r="18" spans="1:6">
      <c r="D18" s="36"/>
      <c r="F18" s="269"/>
    </row>
    <row r="19" spans="1:6">
      <c r="A19" s="36">
        <f>+A17+1</f>
        <v>4</v>
      </c>
      <c r="B19" s="38" t="s">
        <v>2040</v>
      </c>
      <c r="D19" s="1240" t="str">
        <f>+'WPD-2.4.B FTP O&amp;M by Category'!$O$6&amp;", Line "&amp;'WPD-2.4.B FTP O&amp;M by Category'!$A$44</f>
        <v>Workpaper WPD-2.4.B, Line 28</v>
      </c>
      <c r="F19" s="1060">
        <f>+'WPD-2.4.B FTP O&amp;M by Category'!O44</f>
        <v>196503</v>
      </c>
    </row>
    <row r="20" spans="1:6">
      <c r="D20" s="36"/>
      <c r="F20" s="597"/>
    </row>
    <row r="21" spans="1:6">
      <c r="A21" s="36">
        <f>+A19+1</f>
        <v>5</v>
      </c>
      <c r="B21" s="38" t="s">
        <v>1881</v>
      </c>
      <c r="D21" s="36" t="s">
        <v>1537</v>
      </c>
      <c r="F21" s="608">
        <f>+F17-F19</f>
        <v>945747</v>
      </c>
    </row>
    <row r="22" spans="1:6">
      <c r="F22" s="597"/>
    </row>
    <row r="23" spans="1:6">
      <c r="F23" s="609"/>
    </row>
    <row r="24" spans="1:6">
      <c r="F24" s="597"/>
    </row>
    <row r="26" spans="1:6">
      <c r="F26" s="610"/>
    </row>
    <row r="33" spans="1:1">
      <c r="A33" s="588"/>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G44"/>
  <sheetViews>
    <sheetView zoomScaleNormal="100" zoomScaleSheetLayoutView="100" workbookViewId="0">
      <selection activeCell="J42" sqref="J42"/>
    </sheetView>
  </sheetViews>
  <sheetFormatPr defaultColWidth="9.33203125" defaultRowHeight="15"/>
  <cols>
    <col min="1" max="1" width="9.1640625" style="948" customWidth="1"/>
    <col min="2" max="2" width="78.6640625" style="948" bestFit="1" customWidth="1"/>
    <col min="3" max="3" width="3.1640625" style="38" customWidth="1"/>
    <col min="4" max="4" width="22.1640625" style="38" bestFit="1" customWidth="1"/>
    <col min="5" max="5" width="3.1640625" style="38" customWidth="1"/>
    <col min="6" max="6" width="31" style="948" bestFit="1" customWidth="1"/>
    <col min="7" max="7" width="4.1640625" style="38" customWidth="1"/>
    <col min="8" max="16384" width="9.33203125" style="94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D'!C41</f>
        <v>COLUMBIA GAS OF KENTUKEY DIRECT EXCLUSIONS</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A5" s="36"/>
      <c r="B5" s="36"/>
      <c r="C5" s="36"/>
      <c r="D5" s="36"/>
      <c r="E5" s="36"/>
      <c r="F5" s="36"/>
      <c r="G5" s="607"/>
    </row>
    <row r="6" spans="1:7" ht="15.75">
      <c r="A6" s="36"/>
      <c r="B6" s="38"/>
      <c r="F6" s="589"/>
      <c r="G6" s="606"/>
    </row>
    <row r="7" spans="1:7" ht="15.75">
      <c r="A7" s="588" t="s">
        <v>3059</v>
      </c>
      <c r="B7" s="38"/>
      <c r="F7" s="589" t="s">
        <v>2997</v>
      </c>
      <c r="G7" s="606"/>
    </row>
    <row r="8" spans="1:7" ht="15.75">
      <c r="A8" s="588" t="s">
        <v>3060</v>
      </c>
      <c r="B8" s="38"/>
      <c r="F8" s="589" t="str">
        <f>"WITNESSES: "&amp;'General Headers Index'!$B$52</f>
        <v>WITNESSES: SHAEFFER</v>
      </c>
      <c r="G8" s="606"/>
    </row>
    <row r="9" spans="1:7" ht="15.75">
      <c r="A9" s="588"/>
      <c r="B9" s="38"/>
      <c r="F9" s="589" t="str">
        <f>+'General Headers Index'!$B$54</f>
        <v>INSCHO</v>
      </c>
      <c r="G9" s="606"/>
    </row>
    <row r="10" spans="1:7">
      <c r="A10" s="867"/>
      <c r="B10" s="868"/>
      <c r="C10" s="868"/>
      <c r="D10" s="868"/>
      <c r="E10" s="868"/>
      <c r="F10" s="868"/>
    </row>
    <row r="11" spans="1:7">
      <c r="A11" s="36" t="s">
        <v>641</v>
      </c>
      <c r="B11" s="36"/>
      <c r="F11" s="38"/>
    </row>
    <row r="12" spans="1:7" s="953" customFormat="1">
      <c r="A12" s="867" t="s">
        <v>642</v>
      </c>
      <c r="B12" s="867" t="s">
        <v>643</v>
      </c>
      <c r="C12" s="868"/>
      <c r="D12" s="867" t="s">
        <v>1276</v>
      </c>
      <c r="E12" s="868"/>
      <c r="F12" s="867" t="s">
        <v>679</v>
      </c>
      <c r="G12" s="38"/>
    </row>
    <row r="13" spans="1:7">
      <c r="A13" s="590"/>
      <c r="B13" s="590"/>
      <c r="F13" s="38"/>
    </row>
    <row r="14" spans="1:7">
      <c r="A14" s="219">
        <f>IF(ISBLANK(B14),"",COUNTA($B14:B$14))</f>
        <v>1</v>
      </c>
      <c r="B14" s="38" t="s">
        <v>3087</v>
      </c>
      <c r="F14" s="1224">
        <f>+'INPUT - FTY O&amp;M Excld FERC List'!K9</f>
        <v>-16548.705600000001</v>
      </c>
    </row>
    <row r="15" spans="1:7">
      <c r="A15" s="590"/>
      <c r="B15" s="590"/>
      <c r="F15" s="38"/>
    </row>
    <row r="16" spans="1:7">
      <c r="A16" s="219">
        <f>IF(ISBLANK(B16),"",COUNTA($B$14:B16))</f>
        <v>2</v>
      </c>
      <c r="B16" s="38" t="s">
        <v>1882</v>
      </c>
      <c r="D16" s="36"/>
      <c r="F16" s="1224">
        <f>+'INPUT - FTY O&amp;M Excld FERC List'!K3</f>
        <v>-8468.8853400000007</v>
      </c>
    </row>
    <row r="17" spans="1:6">
      <c r="A17" s="219" t="str">
        <f>IF(ISBLANK(B17),"",COUNTA($B$16:B17))</f>
        <v/>
      </c>
      <c r="B17" s="38"/>
      <c r="D17" s="36"/>
      <c r="F17" s="1224"/>
    </row>
    <row r="18" spans="1:6">
      <c r="A18" s="219">
        <f>IF(ISBLANK(B18),"",COUNTA($B$14:B18))</f>
        <v>3</v>
      </c>
      <c r="B18" s="38" t="s">
        <v>1888</v>
      </c>
      <c r="D18" s="36"/>
      <c r="F18" s="1224">
        <f>+'INPUT - FTY O&amp;M Excld FERC List'!K5</f>
        <v>-2181.6653400000005</v>
      </c>
    </row>
    <row r="19" spans="1:6">
      <c r="A19" s="219" t="str">
        <f>IF(ISBLANK(B19),"",COUNTA($B$16:B19))</f>
        <v/>
      </c>
      <c r="B19" s="38"/>
      <c r="D19" s="36"/>
      <c r="F19" s="1224"/>
    </row>
    <row r="20" spans="1:6">
      <c r="A20" s="219">
        <f>IF(ISBLANK(B20),"",COUNTA($B$14:B20))</f>
        <v>4</v>
      </c>
      <c r="B20" s="38" t="s">
        <v>2494</v>
      </c>
      <c r="D20" s="36"/>
      <c r="F20" s="1224">
        <f>+'INPUT - FTY O&amp;M Excld FERC List'!K7</f>
        <v>-68413.336560000011</v>
      </c>
    </row>
    <row r="21" spans="1:6">
      <c r="A21" s="219" t="str">
        <f>IF(ISBLANK(B21),"",COUNTA($B$16:B21))</f>
        <v/>
      </c>
      <c r="B21" s="38"/>
      <c r="D21" s="36"/>
      <c r="F21" s="1224"/>
    </row>
    <row r="22" spans="1:6">
      <c r="A22" s="219">
        <f>IF(ISBLANK(B22),"",COUNTA($B$14:B22))</f>
        <v>5</v>
      </c>
      <c r="B22" s="38" t="s">
        <v>2308</v>
      </c>
      <c r="D22" s="36"/>
      <c r="F22" s="1224">
        <f>+'INPUT - FTY O&amp;M Excld FERC List'!K8</f>
        <v>-7525.8023400000002</v>
      </c>
    </row>
    <row r="23" spans="1:6">
      <c r="A23" s="219" t="str">
        <f>IF(ISBLANK(B23),"",COUNTA($B$16:B23))</f>
        <v/>
      </c>
      <c r="B23" s="38"/>
      <c r="D23" s="36"/>
      <c r="F23" s="1224"/>
    </row>
    <row r="24" spans="1:6">
      <c r="A24" s="219">
        <f>IF(ISBLANK(B24),"",COUNTA($B$14:B24))</f>
        <v>6</v>
      </c>
      <c r="B24" s="38" t="s">
        <v>1889</v>
      </c>
      <c r="D24" s="36"/>
      <c r="F24" s="1224">
        <f>+'INPUT - FTY O&amp;M Excld FERC List'!K10</f>
        <v>-1942.7509800000003</v>
      </c>
    </row>
    <row r="25" spans="1:6" ht="17.25">
      <c r="A25" s="219" t="str">
        <f>IF(ISBLANK(B25),"",COUNTA($B$16:B25))</f>
        <v/>
      </c>
      <c r="B25" s="38"/>
      <c r="D25" s="36"/>
      <c r="F25" s="1225"/>
    </row>
    <row r="26" spans="1:6">
      <c r="A26" s="219">
        <f>IF(ISBLANK(B26),"",COUNTA($B$14:B26))</f>
        <v>7</v>
      </c>
      <c r="B26" s="38" t="s">
        <v>2733</v>
      </c>
      <c r="D26" s="36"/>
      <c r="F26" s="1224">
        <f>+'INPUT - FTY O&amp;M Excld FERC List'!K12</f>
        <v>-4026.9644100000005</v>
      </c>
    </row>
    <row r="27" spans="1:6" ht="17.25">
      <c r="A27" s="219" t="str">
        <f>IF(ISBLANK(B27),"",COUNTA($B$16:B27))</f>
        <v/>
      </c>
      <c r="B27" s="38"/>
      <c r="D27" s="36"/>
      <c r="F27" s="1225"/>
    </row>
    <row r="28" spans="1:6">
      <c r="A28" s="219">
        <f>IF(ISBLANK(B28),"",COUNTA($B$14:B28))</f>
        <v>8</v>
      </c>
      <c r="B28" s="38" t="s">
        <v>1883</v>
      </c>
      <c r="D28" s="36"/>
      <c r="F28" s="1224">
        <f>+'INPUT - FTY O&amp;M Excld FERC List'!K13</f>
        <v>-20190.359160000004</v>
      </c>
    </row>
    <row r="29" spans="1:6" ht="17.25">
      <c r="A29" s="219" t="str">
        <f>IF(ISBLANK(B29),"",COUNTA($B$16:B29))</f>
        <v/>
      </c>
      <c r="D29" s="36"/>
      <c r="F29" s="1225"/>
    </row>
    <row r="30" spans="1:6">
      <c r="A30" s="219">
        <f>IF(ISBLANK(B30),"",COUNTA($B$14:B30))</f>
        <v>9</v>
      </c>
      <c r="B30" s="38" t="s">
        <v>1884</v>
      </c>
      <c r="D30" s="36"/>
      <c r="F30" s="1224">
        <f>+'INPUT - FTY O&amp;M Excld FERC List'!K17</f>
        <v>-1024.8168600000001</v>
      </c>
    </row>
    <row r="31" spans="1:6">
      <c r="A31" s="219" t="str">
        <f>IF(ISBLANK(B31),"",COUNTA($B$16:B31))</f>
        <v/>
      </c>
      <c r="D31" s="36"/>
      <c r="F31" s="1226"/>
    </row>
    <row r="32" spans="1:6">
      <c r="A32" s="219">
        <f>IF(ISBLANK(B32),"",COUNTA($B$14:B32))</f>
        <v>10</v>
      </c>
      <c r="B32" s="38" t="s">
        <v>1891</v>
      </c>
      <c r="D32" s="36"/>
      <c r="F32" s="1224">
        <f>+'INPUT - FTY O&amp;M Excld FERC List'!K18</f>
        <v>-7052.1651000000002</v>
      </c>
    </row>
    <row r="33" spans="1:6">
      <c r="A33" s="219" t="str">
        <f>IF(ISBLANK(B33),"",COUNTA($B$16:B33))</f>
        <v/>
      </c>
      <c r="D33" s="36"/>
      <c r="F33" s="1227"/>
    </row>
    <row r="34" spans="1:6">
      <c r="A34" s="219">
        <f>IF(ISBLANK(B34),"",COUNTA($B$14:B34))</f>
        <v>11</v>
      </c>
      <c r="B34" s="38" t="s">
        <v>1890</v>
      </c>
      <c r="D34" s="36"/>
      <c r="F34" s="1224">
        <f>+'INPUT - FTY O&amp;M Excld FERC List'!K19</f>
        <v>-13061.699550000001</v>
      </c>
    </row>
    <row r="35" spans="1:6">
      <c r="A35" s="219" t="str">
        <f>IF(ISBLANK(B35),"",COUNTA($B$16:B35))</f>
        <v/>
      </c>
      <c r="D35" s="36"/>
      <c r="F35" s="1226"/>
    </row>
    <row r="36" spans="1:6">
      <c r="A36" s="219">
        <f>IF(ISBLANK(B36),"",COUNTA($B$14:B36))</f>
        <v>12</v>
      </c>
      <c r="B36" s="38" t="s">
        <v>1892</v>
      </c>
      <c r="D36" s="36"/>
      <c r="F36" s="1224">
        <f>+'INPUT - FTY O&amp;M Excld FERC List'!K20</f>
        <v>-60625.566720000003</v>
      </c>
    </row>
    <row r="37" spans="1:6">
      <c r="A37" s="219" t="str">
        <f>IF(ISBLANK(B37),"",COUNTA($B$16:B37))</f>
        <v/>
      </c>
      <c r="D37" s="36"/>
      <c r="F37" s="1226"/>
    </row>
    <row r="38" spans="1:6">
      <c r="A38" s="219">
        <f>IF(ISBLANK(B38),"",COUNTA($B$14:B38))</f>
        <v>13</v>
      </c>
      <c r="B38" s="38" t="s">
        <v>1100</v>
      </c>
      <c r="D38" s="36"/>
      <c r="F38" s="1228">
        <f>+'INPUT - FTY O&amp;M Excld FERC List'!K24</f>
        <v>-3631.9174200000002</v>
      </c>
    </row>
    <row r="39" spans="1:6">
      <c r="A39" s="219" t="str">
        <f>IF(ISBLANK(B39),"",COUNTA($B$16:B39))</f>
        <v/>
      </c>
      <c r="B39" s="38"/>
      <c r="D39" s="36"/>
      <c r="F39" s="1226"/>
    </row>
    <row r="40" spans="1:6">
      <c r="A40" s="219">
        <f>IF(ISBLANK(B40),"",COUNTA($B$14:B40))</f>
        <v>14</v>
      </c>
      <c r="B40" s="38" t="s">
        <v>1885</v>
      </c>
      <c r="D40" s="588" t="s">
        <v>3088</v>
      </c>
      <c r="F40" s="1224">
        <f>SUM(F14:F22)</f>
        <v>-103138.39518000001</v>
      </c>
    </row>
    <row r="41" spans="1:6">
      <c r="A41" s="219" t="str">
        <f>IF(ISBLANK(B41),"",COUNTA($B$16:B41))</f>
        <v/>
      </c>
      <c r="B41" s="38"/>
      <c r="D41" s="588"/>
      <c r="F41" s="1226"/>
    </row>
    <row r="42" spans="1:6">
      <c r="A42" s="219">
        <f>IF(ISBLANK(B42),"",COUNTA($B$14:B42))</f>
        <v>15</v>
      </c>
      <c r="B42" s="38" t="s">
        <v>1886</v>
      </c>
      <c r="D42" s="588" t="s">
        <v>3089</v>
      </c>
      <c r="F42" s="1228">
        <f>SUM(F24:F38)</f>
        <v>-111556.2402</v>
      </c>
    </row>
    <row r="43" spans="1:6">
      <c r="A43" s="219" t="str">
        <f>IF(ISBLANK(B43),"",COUNTA($B$16:B43))</f>
        <v/>
      </c>
      <c r="B43" s="38"/>
      <c r="D43" s="588"/>
      <c r="F43" s="1226"/>
    </row>
    <row r="44" spans="1:6">
      <c r="A44" s="219">
        <f>IF(ISBLANK(B44),"",COUNTA($B$14:B44))</f>
        <v>16</v>
      </c>
      <c r="B44" s="38" t="s">
        <v>1887</v>
      </c>
      <c r="D44" s="588" t="s">
        <v>3090</v>
      </c>
      <c r="F44" s="1229">
        <f>SUM(F40:F42)</f>
        <v>-214694.63537999999</v>
      </c>
    </row>
  </sheetData>
  <mergeCells count="4">
    <mergeCell ref="A1:F1"/>
    <mergeCell ref="A2:F2"/>
    <mergeCell ref="A3:F3"/>
    <mergeCell ref="A4:F4"/>
  </mergeCells>
  <printOptions horizontalCentered="1"/>
  <pageMargins left="0.5" right="0.5" top="0.75" bottom="0.5" header="0.3" footer="0.3"/>
  <pageSetup scale="3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G46"/>
  <sheetViews>
    <sheetView zoomScaleNormal="100" zoomScaleSheetLayoutView="100" workbookViewId="0">
      <selection activeCell="J46" sqref="J46"/>
    </sheetView>
  </sheetViews>
  <sheetFormatPr defaultColWidth="9.33203125" defaultRowHeight="15"/>
  <cols>
    <col min="1" max="1" width="9.33203125" style="948"/>
    <col min="2" max="2" width="80.33203125" style="948" bestFit="1" customWidth="1"/>
    <col min="3" max="3" width="3.1640625" style="38" customWidth="1"/>
    <col min="4" max="4" width="22.6640625" style="38" bestFit="1" customWidth="1"/>
    <col min="5" max="5" width="3.1640625" style="38" customWidth="1"/>
    <col min="6" max="6" width="31" style="948" bestFit="1" customWidth="1"/>
    <col min="7" max="7" width="4.1640625" style="38" customWidth="1"/>
    <col min="8" max="16384" width="9.33203125" style="94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D'!C42</f>
        <v>NCSC ALLOCATED O&amp;M NON-RECOVERABLE EXPENSES</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A5" s="36"/>
      <c r="B5" s="36"/>
      <c r="C5" s="36"/>
      <c r="D5" s="36"/>
      <c r="E5" s="36"/>
      <c r="F5" s="36"/>
      <c r="G5" s="607"/>
    </row>
    <row r="6" spans="1:7" ht="15.75">
      <c r="A6" s="36"/>
      <c r="B6" s="38"/>
      <c r="F6" s="589"/>
      <c r="G6" s="606"/>
    </row>
    <row r="7" spans="1:7" ht="15.75">
      <c r="A7" s="588" t="s">
        <v>3059</v>
      </c>
      <c r="B7" s="38"/>
      <c r="F7" s="589" t="s">
        <v>2998</v>
      </c>
      <c r="G7" s="606"/>
    </row>
    <row r="8" spans="1:7" ht="15.75">
      <c r="A8" s="588" t="s">
        <v>3060</v>
      </c>
      <c r="B8" s="38"/>
      <c r="F8" s="589" t="str">
        <f>"WITNESSES: "&amp;'General Headers Index'!B52</f>
        <v>WITNESSES: SHAEFFER</v>
      </c>
      <c r="G8" s="606"/>
    </row>
    <row r="9" spans="1:7">
      <c r="A9" s="36"/>
      <c r="B9" s="38"/>
      <c r="F9" s="589" t="str">
        <f>'General Headers Index'!B55</f>
        <v>KING</v>
      </c>
    </row>
    <row r="10" spans="1:7">
      <c r="A10" s="36"/>
      <c r="B10" s="38"/>
      <c r="F10" s="589" t="str">
        <f>'General Headers Index'!B56</f>
        <v>BLY</v>
      </c>
    </row>
    <row r="11" spans="1:7">
      <c r="A11" s="867"/>
      <c r="B11" s="868"/>
      <c r="C11" s="868"/>
      <c r="D11" s="868"/>
      <c r="E11" s="868"/>
      <c r="F11" s="868"/>
    </row>
    <row r="12" spans="1:7">
      <c r="A12" s="36" t="s">
        <v>641</v>
      </c>
      <c r="B12" s="36"/>
      <c r="F12" s="38"/>
    </row>
    <row r="13" spans="1:7">
      <c r="A13" s="867" t="s">
        <v>642</v>
      </c>
      <c r="B13" s="867" t="s">
        <v>643</v>
      </c>
      <c r="C13" s="868"/>
      <c r="D13" s="867" t="s">
        <v>1276</v>
      </c>
      <c r="E13" s="868"/>
      <c r="F13" s="867" t="s">
        <v>679</v>
      </c>
    </row>
    <row r="14" spans="1:7">
      <c r="A14" s="590"/>
      <c r="B14" s="590"/>
      <c r="D14" s="36"/>
      <c r="F14" s="38"/>
    </row>
    <row r="15" spans="1:7">
      <c r="A15" s="219">
        <f>IF(ISBLANK(B15),"",COUNTA($B$15:B15))</f>
        <v>1</v>
      </c>
      <c r="B15" s="38" t="s">
        <v>1882</v>
      </c>
      <c r="D15" s="36"/>
      <c r="F15" s="1230">
        <f>+'INPUT - FTY O&amp;M Excld FERC List'!J27</f>
        <v>-409.71717000000001</v>
      </c>
    </row>
    <row r="16" spans="1:7">
      <c r="A16" s="219" t="str">
        <f>IF(ISBLANK(B16),"",COUNTA($B$15:B16))</f>
        <v/>
      </c>
      <c r="B16" s="38"/>
      <c r="D16" s="36"/>
      <c r="F16" s="1230"/>
    </row>
    <row r="17" spans="1:6">
      <c r="A17" s="219">
        <f>IF(ISBLANK(B17),"",COUNTA($B$15:B17))</f>
        <v>2</v>
      </c>
      <c r="B17" s="38" t="s">
        <v>2490</v>
      </c>
      <c r="D17" s="36"/>
      <c r="F17" s="1230">
        <f>+'INPUT - FTY O&amp;M Excld FERC List'!J28</f>
        <v>-4359.1392000000005</v>
      </c>
    </row>
    <row r="18" spans="1:6">
      <c r="A18" s="219" t="str">
        <f>IF(ISBLANK(B18),"",COUNTA($B$15:B18))</f>
        <v/>
      </c>
      <c r="B18" s="38"/>
      <c r="D18" s="36"/>
      <c r="F18" s="1230"/>
    </row>
    <row r="19" spans="1:6">
      <c r="A19" s="219">
        <f>IF(ISBLANK(B19),"",COUNTA($B$15:B19))</f>
        <v>3</v>
      </c>
      <c r="B19" s="38" t="s">
        <v>1888</v>
      </c>
      <c r="D19" s="36"/>
      <c r="F19" s="1230">
        <f>+'INPUT - FTY O&amp;M Excld FERC List'!K29</f>
        <v>-5298.0307199999997</v>
      </c>
    </row>
    <row r="20" spans="1:6">
      <c r="A20" s="219" t="str">
        <f>IF(ISBLANK(B20),"",COUNTA($B$15:B20))</f>
        <v/>
      </c>
      <c r="B20" s="38"/>
      <c r="D20" s="36"/>
      <c r="F20" s="1230"/>
    </row>
    <row r="21" spans="1:6">
      <c r="A21" s="219">
        <f>IF(ISBLANK(B21),"",COUNTA($B$15:B21))</f>
        <v>4</v>
      </c>
      <c r="B21" s="38" t="s">
        <v>2124</v>
      </c>
      <c r="D21" s="36"/>
      <c r="F21" s="1230">
        <f>+'INPUT - FTY O&amp;M Excld FERC List'!K33</f>
        <v>-11056.076370000001</v>
      </c>
    </row>
    <row r="22" spans="1:6">
      <c r="A22" s="219" t="str">
        <f>IF(ISBLANK(B22),"",COUNTA($B$15:B22))</f>
        <v/>
      </c>
      <c r="B22" s="38"/>
      <c r="D22" s="36"/>
      <c r="F22" s="1230"/>
    </row>
    <row r="23" spans="1:6">
      <c r="A23" s="219">
        <f>IF(ISBLANK(B23),"",COUNTA($B$15:B23))</f>
        <v>5</v>
      </c>
      <c r="B23" s="38" t="s">
        <v>1889</v>
      </c>
      <c r="D23" s="36"/>
      <c r="F23" s="1230">
        <f>+'INPUT - FTY O&amp;M Excld FERC List'!K35</f>
        <v>-5841.8752500000001</v>
      </c>
    </row>
    <row r="24" spans="1:6" ht="17.25">
      <c r="A24" s="219" t="str">
        <f>IF(ISBLANK(B24),"",COUNTA($B$15:B24))</f>
        <v/>
      </c>
      <c r="B24" s="38"/>
      <c r="D24" s="36"/>
      <c r="F24" s="1231"/>
    </row>
    <row r="25" spans="1:6">
      <c r="A25" s="219">
        <f>IF(ISBLANK(B25),"",COUNTA($B$15:B25))</f>
        <v>6</v>
      </c>
      <c r="B25" s="38" t="s">
        <v>1883</v>
      </c>
      <c r="D25" s="36"/>
      <c r="F25" s="1230">
        <f>+'INPUT - FTY O&amp;M Excld FERC List'!K38</f>
        <v>-21949.732889999999</v>
      </c>
    </row>
    <row r="26" spans="1:6" ht="17.25">
      <c r="A26" s="219" t="str">
        <f>IF(ISBLANK(B26),"",COUNTA($B$15:B26))</f>
        <v/>
      </c>
      <c r="D26" s="36"/>
      <c r="F26" s="1231"/>
    </row>
    <row r="27" spans="1:6">
      <c r="A27" s="219">
        <f>IF(ISBLANK(B27),"",COUNTA($B$15:B27))</f>
        <v>7</v>
      </c>
      <c r="B27" s="38" t="s">
        <v>1884</v>
      </c>
      <c r="D27" s="36"/>
      <c r="F27" s="1230">
        <f>+'INPUT - FTY O&amp;M Excld FERC List'!K49</f>
        <v>-10248.168599999999</v>
      </c>
    </row>
    <row r="28" spans="1:6">
      <c r="A28" s="219" t="str">
        <f>IF(ISBLANK(B28),"",COUNTA($B$15:B28))</f>
        <v/>
      </c>
      <c r="D28" s="36"/>
      <c r="F28" s="1232"/>
    </row>
    <row r="29" spans="1:6">
      <c r="A29" s="219">
        <f>IF(ISBLANK(B29),"",COUNTA($B$15:B29))</f>
        <v>8</v>
      </c>
      <c r="B29" s="38" t="s">
        <v>2487</v>
      </c>
      <c r="D29" s="36"/>
      <c r="F29" s="1230">
        <f>+'INPUT - FTY O&amp;M Excld FERC List'!K54</f>
        <v>-581.56785000000013</v>
      </c>
    </row>
    <row r="30" spans="1:6">
      <c r="A30" s="219" t="str">
        <f>IF(ISBLANK(B30),"",COUNTA($B$15:B30))</f>
        <v/>
      </c>
      <c r="D30" s="36"/>
      <c r="F30" s="1232"/>
    </row>
    <row r="31" spans="1:6">
      <c r="A31" s="219">
        <f>IF(ISBLANK(B31),"",COUNTA($B$15:B31))</f>
        <v>9</v>
      </c>
      <c r="B31" s="38" t="s">
        <v>2488</v>
      </c>
      <c r="D31" s="36"/>
      <c r="F31" s="1230">
        <f>+'INPUT - FTY O&amp;M Excld FERC List'!K56</f>
        <v>-12322.9512</v>
      </c>
    </row>
    <row r="32" spans="1:6">
      <c r="A32" s="219" t="str">
        <f>IF(ISBLANK(B32),"",COUNTA($B$15:B32))</f>
        <v/>
      </c>
      <c r="D32" s="36"/>
      <c r="F32" s="1232"/>
    </row>
    <row r="33" spans="1:6">
      <c r="A33" s="219">
        <f>IF(ISBLANK(B33),"",COUNTA($B$15:B33))</f>
        <v>10</v>
      </c>
      <c r="B33" s="38" t="s">
        <v>1892</v>
      </c>
      <c r="D33" s="36"/>
      <c r="F33" s="1230">
        <f>+'INPUT - FTY O&amp;M Excld FERC List'!K58</f>
        <v>-6951.5695800000003</v>
      </c>
    </row>
    <row r="34" spans="1:6">
      <c r="A34" s="219" t="str">
        <f>IF(ISBLANK(B34),"",COUNTA($B$15:B34))</f>
        <v/>
      </c>
      <c r="D34" s="36"/>
      <c r="F34" s="1232"/>
    </row>
    <row r="35" spans="1:6">
      <c r="A35" s="219">
        <f>IF(ISBLANK(B35),"",COUNTA($B$15:B35))</f>
        <v>11</v>
      </c>
      <c r="B35" s="38" t="s">
        <v>1084</v>
      </c>
      <c r="D35" s="36"/>
      <c r="F35" s="1230">
        <f>+'INPUT - FTY O&amp;M Excld FERC List'!K63</f>
        <v>-28758.792150000005</v>
      </c>
    </row>
    <row r="36" spans="1:6">
      <c r="A36" s="219" t="str">
        <f>IF(ISBLANK(B36),"",COUNTA($B$15:B36))</f>
        <v/>
      </c>
      <c r="D36" s="36"/>
      <c r="F36" s="1232"/>
    </row>
    <row r="37" spans="1:6">
      <c r="A37" s="219">
        <f>IF(ISBLANK(B37),"",COUNTA($B$15:B37))</f>
        <v>12</v>
      </c>
      <c r="B37" s="38" t="s">
        <v>1894</v>
      </c>
      <c r="D37" s="36"/>
      <c r="F37" s="1233">
        <f>+'INPUT - FTY O&amp;M Excld FERC List'!J66</f>
        <v>-37960.138620000005</v>
      </c>
    </row>
    <row r="38" spans="1:6">
      <c r="A38" s="219" t="str">
        <f>IF(ISBLANK(B38),"",COUNTA($B$15:B38))</f>
        <v/>
      </c>
      <c r="B38" s="38"/>
      <c r="D38" s="36"/>
      <c r="F38" s="1232"/>
    </row>
    <row r="39" spans="1:6">
      <c r="A39" s="219">
        <f>IF(ISBLANK(B39),"",COUNTA($B$15:B39))</f>
        <v>13</v>
      </c>
      <c r="B39" s="38" t="s">
        <v>1885</v>
      </c>
      <c r="D39" s="588" t="s">
        <v>1893</v>
      </c>
      <c r="F39" s="1230">
        <f>SUM(F15:F21)</f>
        <v>-21122.963459999999</v>
      </c>
    </row>
    <row r="40" spans="1:6">
      <c r="A40" s="219" t="str">
        <f>IF(ISBLANK(B40),"",COUNTA($B$15:B40))</f>
        <v/>
      </c>
      <c r="B40" s="38"/>
      <c r="D40" s="588"/>
      <c r="F40" s="1232"/>
    </row>
    <row r="41" spans="1:6">
      <c r="A41" s="219">
        <f>IF(ISBLANK(B41),"",COUNTA($B$15:B41))</f>
        <v>14</v>
      </c>
      <c r="B41" s="38" t="s">
        <v>1886</v>
      </c>
      <c r="D41" s="588" t="s">
        <v>2736</v>
      </c>
      <c r="F41" s="1233">
        <f>SUM(F23:F37)</f>
        <v>-124614.79614000002</v>
      </c>
    </row>
    <row r="42" spans="1:6">
      <c r="A42" s="219" t="str">
        <f>IF(ISBLANK(B42),"",COUNTA($B$15:B42))</f>
        <v/>
      </c>
      <c r="B42" s="38"/>
      <c r="D42" s="588"/>
      <c r="F42" s="1232"/>
    </row>
    <row r="43" spans="1:6">
      <c r="A43" s="219">
        <f>IF(ISBLANK(B43),"",COUNTA($B$15:B43))</f>
        <v>15</v>
      </c>
      <c r="B43" s="38" t="s">
        <v>1887</v>
      </c>
      <c r="D43" s="588" t="s">
        <v>2737</v>
      </c>
      <c r="F43" s="1234">
        <f>SUM(F39:F41)</f>
        <v>-145737.75960000002</v>
      </c>
    </row>
    <row r="45" spans="1:6">
      <c r="B45" s="1334" t="s">
        <v>1895</v>
      </c>
      <c r="C45" s="1334"/>
      <c r="D45" s="1334"/>
      <c r="E45" s="1334"/>
      <c r="F45" s="1334"/>
    </row>
    <row r="46" spans="1:6">
      <c r="B46" s="1334"/>
      <c r="C46" s="1334"/>
      <c r="D46" s="1334"/>
      <c r="E46" s="1334"/>
      <c r="F46" s="1334"/>
    </row>
  </sheetData>
  <mergeCells count="5">
    <mergeCell ref="A1:F1"/>
    <mergeCell ref="A2:F2"/>
    <mergeCell ref="A3:F3"/>
    <mergeCell ref="A4:F4"/>
    <mergeCell ref="B45:F46"/>
  </mergeCells>
  <printOptions horizontalCentered="1"/>
  <pageMargins left="0.5" right="0.5" top="0.75" bottom="0.5" header="0.3" footer="0.3"/>
  <pageSetup scale="32"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29"/>
  <sheetViews>
    <sheetView zoomScaleNormal="100" zoomScaleSheetLayoutView="100" workbookViewId="0">
      <selection activeCell="A3" sqref="A3:F3"/>
    </sheetView>
  </sheetViews>
  <sheetFormatPr defaultColWidth="8.5" defaultRowHeight="15"/>
  <cols>
    <col min="1" max="1" width="5.6640625" style="36" customWidth="1"/>
    <col min="2" max="2" width="68.6640625" style="38" bestFit="1" customWidth="1"/>
    <col min="3" max="3" width="3.1640625" style="38" customWidth="1"/>
    <col min="4" max="4" width="36.83203125" style="38" bestFit="1" customWidth="1"/>
    <col min="5" max="5" width="4.5" style="38" customWidth="1"/>
    <col min="6" max="6" width="27.6640625" style="38" customWidth="1"/>
    <col min="7" max="7" width="4.1640625" style="38" customWidth="1"/>
    <col min="8" max="10" width="8.5" style="38"/>
    <col min="11" max="11" width="11.1640625" style="38" bestFit="1" customWidth="1"/>
    <col min="12" max="16384" width="8.5" style="38"/>
  </cols>
  <sheetData>
    <row r="1" spans="1:7" ht="15.75">
      <c r="A1" s="1333" t="str">
        <f>+'General Headers Index'!B4</f>
        <v>COLUMBIA GAS OF KENTUCKY, INC.</v>
      </c>
      <c r="B1" s="1333"/>
      <c r="C1" s="1333"/>
      <c r="D1" s="1333"/>
      <c r="E1" s="1333"/>
      <c r="F1" s="1333"/>
      <c r="G1" s="606"/>
    </row>
    <row r="2" spans="1:7" ht="15.75">
      <c r="A2" s="1333" t="str">
        <f>+'General Headers Index'!B6</f>
        <v>CASE NO. 2024 - 00092</v>
      </c>
      <c r="B2" s="1333"/>
      <c r="C2" s="1333"/>
      <c r="D2" s="1333"/>
      <c r="E2" s="1333"/>
      <c r="F2" s="1333"/>
      <c r="G2" s="606"/>
    </row>
    <row r="3" spans="1:7" ht="15.75">
      <c r="A3" s="1333" t="str">
        <f>'Index D'!C43</f>
        <v>DEPRECIATION AND AMORTIZATION EXPENSE</v>
      </c>
      <c r="B3" s="1333"/>
      <c r="C3" s="1333"/>
      <c r="D3" s="1333"/>
      <c r="E3" s="1333"/>
      <c r="F3" s="1333"/>
      <c r="G3" s="606"/>
    </row>
    <row r="4" spans="1:7" ht="15.75">
      <c r="A4" s="1333" t="str">
        <f>+'General Headers Index'!B15</f>
        <v>FOR THE TWELVE MONTHS ENDED DECEMBER 31, 2025</v>
      </c>
      <c r="B4" s="1333"/>
      <c r="C4" s="1333"/>
      <c r="D4" s="1333"/>
      <c r="E4" s="1333"/>
      <c r="F4" s="1333"/>
      <c r="G4" s="607"/>
    </row>
    <row r="5" spans="1:7" ht="15.75">
      <c r="B5" s="36"/>
      <c r="C5" s="36"/>
      <c r="D5" s="36"/>
      <c r="E5" s="36"/>
      <c r="F5" s="36"/>
      <c r="G5" s="607"/>
    </row>
    <row r="6" spans="1:7" ht="15.75">
      <c r="F6" s="589"/>
      <c r="G6" s="606"/>
    </row>
    <row r="7" spans="1:7" ht="15.75">
      <c r="A7" s="588" t="s">
        <v>3059</v>
      </c>
      <c r="F7" s="589" t="s">
        <v>2999</v>
      </c>
      <c r="G7" s="606"/>
    </row>
    <row r="8" spans="1:7" ht="15.75">
      <c r="A8" s="588" t="s">
        <v>3060</v>
      </c>
      <c r="F8" s="589" t="str">
        <f>"WITNESS: "&amp;'General Headers Index'!B52</f>
        <v>WITNESS: SHAEFFER</v>
      </c>
      <c r="G8" s="606"/>
    </row>
    <row r="9" spans="1:7">
      <c r="A9" s="867"/>
      <c r="B9" s="868"/>
      <c r="C9" s="868"/>
      <c r="D9" s="868"/>
      <c r="E9" s="868"/>
      <c r="F9" s="868"/>
    </row>
    <row r="10" spans="1:7">
      <c r="A10" s="36" t="s">
        <v>641</v>
      </c>
      <c r="B10" s="36"/>
    </row>
    <row r="11" spans="1:7">
      <c r="A11" s="867" t="s">
        <v>642</v>
      </c>
      <c r="B11" s="867" t="s">
        <v>643</v>
      </c>
      <c r="C11" s="868"/>
      <c r="D11" s="867" t="s">
        <v>1276</v>
      </c>
      <c r="E11" s="868"/>
      <c r="F11" s="867" t="s">
        <v>679</v>
      </c>
    </row>
    <row r="12" spans="1:7">
      <c r="A12" s="590"/>
      <c r="B12" s="590"/>
    </row>
    <row r="13" spans="1:7" ht="30">
      <c r="A13" s="36">
        <v>1</v>
      </c>
      <c r="B13" s="37" t="s">
        <v>2079</v>
      </c>
      <c r="D13" s="36" t="s">
        <v>2728</v>
      </c>
      <c r="F13" s="1224">
        <f>+'WPB-2.1.B Summary'!I56</f>
        <v>26483896.267809551</v>
      </c>
    </row>
    <row r="14" spans="1:7">
      <c r="D14" s="36"/>
      <c r="F14" s="1224"/>
    </row>
    <row r="15" spans="1:7">
      <c r="A15" s="36">
        <f>+A13+1</f>
        <v>2</v>
      </c>
      <c r="B15" s="869" t="s">
        <v>1931</v>
      </c>
      <c r="D15" s="36" t="str">
        <f>+'C-2.1.B Oper Rev&amp;Exp by Accts'!$G$6&amp;", Line "&amp;+'C-2.1.B Oper Rev&amp;Exp by Accts'!$A$151</f>
        <v>SCHEDULE C-2.1.B, Line 47</v>
      </c>
      <c r="F15" s="1228">
        <f>+'C-2.1.B Oper Rev&amp;Exp by Accts'!F151</f>
        <v>24472166.030000001</v>
      </c>
    </row>
    <row r="16" spans="1:7">
      <c r="D16" s="36"/>
      <c r="F16" s="1235"/>
    </row>
    <row r="17" spans="1:6">
      <c r="A17" s="36">
        <f>+A15+1</f>
        <v>3</v>
      </c>
      <c r="B17" s="38" t="s">
        <v>1943</v>
      </c>
      <c r="D17" s="36" t="s">
        <v>1932</v>
      </c>
      <c r="F17" s="1229">
        <f>+F13-F15</f>
        <v>2011730.23780955</v>
      </c>
    </row>
    <row r="18" spans="1:6">
      <c r="F18" s="597"/>
    </row>
    <row r="19" spans="1:6">
      <c r="F19" s="609"/>
    </row>
    <row r="20" spans="1:6">
      <c r="F20" s="597"/>
    </row>
    <row r="22" spans="1:6">
      <c r="F22" s="610"/>
    </row>
    <row r="29" spans="1:6">
      <c r="A29" s="588"/>
    </row>
  </sheetData>
  <mergeCells count="4">
    <mergeCell ref="A1:F1"/>
    <mergeCell ref="A2:F2"/>
    <mergeCell ref="A3:F3"/>
    <mergeCell ref="A4:F4"/>
  </mergeCells>
  <printOptions horizontalCentered="1"/>
  <pageMargins left="0.5" right="0.5" top="0.75" bottom="0.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0.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N52"/>
  <sheetViews>
    <sheetView zoomScale="80" zoomScaleNormal="80" zoomScaleSheetLayoutView="100" workbookViewId="0">
      <selection activeCell="A3" sqref="A3:J3"/>
    </sheetView>
  </sheetViews>
  <sheetFormatPr defaultColWidth="8.5" defaultRowHeight="15"/>
  <cols>
    <col min="1" max="1" width="8.5" style="36"/>
    <col min="2" max="2" width="103.6640625" style="38" customWidth="1"/>
    <col min="3" max="3" width="1.83203125" style="38" customWidth="1"/>
    <col min="4" max="4" width="36.83203125" style="38" bestFit="1" customWidth="1"/>
    <col min="5" max="5" width="1.83203125" style="38" customWidth="1"/>
    <col min="6" max="6" width="22.1640625" style="38" bestFit="1" customWidth="1"/>
    <col min="7" max="7" width="1.83203125" style="38" customWidth="1"/>
    <col min="8" max="8" width="17.6640625" style="38" bestFit="1" customWidth="1"/>
    <col min="9" max="9" width="1.83203125" style="38" customWidth="1"/>
    <col min="10" max="10" width="19.1640625" style="38" customWidth="1"/>
    <col min="11" max="11" width="4.1640625" style="38" customWidth="1"/>
    <col min="12" max="16384" width="8.5" style="38"/>
  </cols>
  <sheetData>
    <row r="1" spans="1:11">
      <c r="A1" s="1333" t="str">
        <f>+'General Headers Index'!B4</f>
        <v>COLUMBIA GAS OF KENTUCKY, INC.</v>
      </c>
      <c r="B1" s="1333"/>
      <c r="C1" s="1333"/>
      <c r="D1" s="1333"/>
      <c r="E1" s="1333"/>
      <c r="F1" s="1333"/>
      <c r="G1" s="1333"/>
      <c r="H1" s="1333"/>
      <c r="I1" s="1333"/>
      <c r="J1" s="1333"/>
    </row>
    <row r="2" spans="1:11">
      <c r="A2" s="1333" t="str">
        <f>+'General Headers Index'!B6</f>
        <v>CASE NO. 2024 - 00092</v>
      </c>
      <c r="B2" s="1333"/>
      <c r="C2" s="1333"/>
      <c r="D2" s="1333"/>
      <c r="E2" s="1333"/>
      <c r="F2" s="1333"/>
      <c r="G2" s="1333"/>
      <c r="H2" s="1333"/>
      <c r="I2" s="1333"/>
      <c r="J2" s="1333"/>
    </row>
    <row r="3" spans="1:11">
      <c r="A3" s="1333" t="str">
        <f>'Index D'!C44</f>
        <v>PROPERTY TAX</v>
      </c>
      <c r="B3" s="1333"/>
      <c r="C3" s="1333"/>
      <c r="D3" s="1333"/>
      <c r="E3" s="1333"/>
      <c r="F3" s="1333"/>
      <c r="G3" s="1333"/>
      <c r="H3" s="1333"/>
      <c r="I3" s="1333"/>
      <c r="J3" s="1333"/>
    </row>
    <row r="4" spans="1:11">
      <c r="A4" s="1333" t="str">
        <f>+'General Headers Index'!B15</f>
        <v>FOR THE TWELVE MONTHS ENDED DECEMBER 31, 2025</v>
      </c>
      <c r="B4" s="1333"/>
      <c r="C4" s="1333"/>
      <c r="D4" s="1333"/>
      <c r="E4" s="1333"/>
      <c r="F4" s="1333"/>
      <c r="G4" s="1333"/>
      <c r="H4" s="1333"/>
      <c r="I4" s="1333"/>
      <c r="J4" s="1333"/>
      <c r="K4" s="36"/>
    </row>
    <row r="5" spans="1:11">
      <c r="B5" s="36"/>
      <c r="C5" s="36"/>
      <c r="D5" s="36"/>
      <c r="E5" s="36"/>
      <c r="F5" s="36"/>
      <c r="G5" s="36"/>
      <c r="H5" s="36"/>
      <c r="I5" s="36"/>
      <c r="J5" s="36"/>
      <c r="K5" s="36"/>
    </row>
    <row r="7" spans="1:11">
      <c r="A7" s="588" t="s">
        <v>3059</v>
      </c>
      <c r="J7" s="589" t="s">
        <v>3000</v>
      </c>
    </row>
    <row r="8" spans="1:11">
      <c r="A8" s="588" t="s">
        <v>3060</v>
      </c>
      <c r="J8" s="589" t="str">
        <f>"WITNESS: "&amp;'General Headers Index'!B58</f>
        <v>WITNESS: HARDING</v>
      </c>
    </row>
    <row r="9" spans="1:11">
      <c r="A9" s="867"/>
      <c r="B9" s="868"/>
      <c r="C9" s="1058"/>
      <c r="D9" s="1058"/>
      <c r="E9" s="868"/>
      <c r="F9" s="868"/>
      <c r="G9" s="868"/>
      <c r="H9" s="868"/>
      <c r="I9" s="868"/>
      <c r="J9" s="868"/>
    </row>
    <row r="10" spans="1:11">
      <c r="A10" s="36" t="s">
        <v>313</v>
      </c>
      <c r="B10" s="36"/>
      <c r="C10" s="36"/>
      <c r="D10" s="36"/>
      <c r="E10" s="36"/>
      <c r="F10" s="36" t="s">
        <v>1297</v>
      </c>
      <c r="G10" s="36"/>
      <c r="H10" s="36" t="s">
        <v>169</v>
      </c>
      <c r="I10" s="36"/>
    </row>
    <row r="11" spans="1:11">
      <c r="A11" s="867" t="s">
        <v>316</v>
      </c>
      <c r="B11" s="867" t="s">
        <v>451</v>
      </c>
      <c r="C11" s="1241"/>
      <c r="D11" s="1241" t="s">
        <v>318</v>
      </c>
      <c r="E11" s="867"/>
      <c r="F11" s="867" t="s">
        <v>444</v>
      </c>
      <c r="G11" s="867"/>
      <c r="H11" s="867" t="s">
        <v>1298</v>
      </c>
      <c r="I11" s="867"/>
      <c r="J11" s="867" t="s">
        <v>1299</v>
      </c>
    </row>
    <row r="12" spans="1:11">
      <c r="A12" s="590"/>
      <c r="B12" s="590"/>
      <c r="C12" s="590"/>
      <c r="D12" s="590"/>
      <c r="E12" s="590"/>
      <c r="F12" s="36" t="s">
        <v>320</v>
      </c>
      <c r="G12" s="36"/>
      <c r="H12" s="590"/>
      <c r="I12" s="590"/>
      <c r="J12" s="36" t="s">
        <v>320</v>
      </c>
    </row>
    <row r="13" spans="1:11">
      <c r="A13" s="36">
        <v>1</v>
      </c>
      <c r="B13" s="591" t="s">
        <v>2072</v>
      </c>
      <c r="C13" s="591"/>
      <c r="D13" s="591"/>
      <c r="E13" s="591"/>
    </row>
    <row r="14" spans="1:11">
      <c r="A14" s="36">
        <f t="shared" ref="A14:A19" si="0">A13+1</f>
        <v>2</v>
      </c>
      <c r="B14" s="38" t="s">
        <v>1300</v>
      </c>
      <c r="F14" s="592">
        <v>555584304</v>
      </c>
      <c r="G14" s="592"/>
    </row>
    <row r="15" spans="1:11">
      <c r="A15" s="36">
        <f t="shared" si="0"/>
        <v>3</v>
      </c>
      <c r="B15" s="38" t="s">
        <v>1543</v>
      </c>
      <c r="D15" s="36" t="str">
        <f>+'WPB-2.1.B Summary'!$N$6</f>
        <v>WPB-2.1.B</v>
      </c>
      <c r="F15" s="592">
        <f>F22+(SUM('WPB-2.1.B Summary'!D17:D28)+SUM('WPB-2.1.B Summary'!E17:E28))-(SUM('WPB-2.1.B Summary'!I17:I28)+SUM('WPB-2.1.B Summary'!J17:J28)+SUM('WPB-2.1.B Summary'!K17:K28)+SUM('WPB-2.1.B Summary'!L17:L28))</f>
        <v>59767548.739999995</v>
      </c>
      <c r="G15" s="592"/>
    </row>
    <row r="16" spans="1:11">
      <c r="A16" s="36">
        <f t="shared" si="0"/>
        <v>4</v>
      </c>
      <c r="B16" s="38" t="s">
        <v>1544</v>
      </c>
      <c r="D16" s="36" t="str">
        <f>+'WPB-2.1.B Summary'!$N$6</f>
        <v>WPB-2.1.B</v>
      </c>
      <c r="F16" s="1062">
        <f>F23+(SUM('WPB-2.1.B Summary'!D29:D40)+SUM('WPB-2.1.B Summary'!E29:E40))-(SUM('WPB-2.1.B Summary'!I29:I40)+SUM('WPB-2.1.B Summary'!J29:J40)+SUM('WPB-2.1.B Summary'!K29:K40)+SUM('WPB-2.1.B Summary'!L29:L40))</f>
        <v>46203067.65322113</v>
      </c>
      <c r="G16" s="593"/>
      <c r="H16" s="593"/>
    </row>
    <row r="17" spans="1:14">
      <c r="A17" s="36">
        <f t="shared" si="0"/>
        <v>5</v>
      </c>
      <c r="B17" s="38" t="s">
        <v>1542</v>
      </c>
      <c r="F17" s="594">
        <f>F14+F15+F16</f>
        <v>661554920.39322114</v>
      </c>
      <c r="G17" s="594"/>
    </row>
    <row r="18" spans="1:14">
      <c r="A18" s="36">
        <f t="shared" si="0"/>
        <v>6</v>
      </c>
      <c r="B18" s="38" t="s">
        <v>1301</v>
      </c>
      <c r="H18" s="595">
        <v>1.2646573386928511E-2</v>
      </c>
      <c r="I18" s="596"/>
    </row>
    <row r="19" spans="1:14">
      <c r="A19" s="36">
        <f t="shared" si="0"/>
        <v>7</v>
      </c>
      <c r="B19" s="38" t="s">
        <v>1546</v>
      </c>
      <c r="F19" s="592"/>
      <c r="G19" s="592"/>
      <c r="H19" s="594"/>
      <c r="I19" s="594"/>
      <c r="J19" s="269">
        <f>F17*H18</f>
        <v>8366402.8502365202</v>
      </c>
    </row>
    <row r="20" spans="1:14">
      <c r="K20" s="597"/>
    </row>
    <row r="21" spans="1:14">
      <c r="A21" s="36">
        <f>+A19+1</f>
        <v>8</v>
      </c>
      <c r="B21" s="591" t="s">
        <v>2073</v>
      </c>
      <c r="C21" s="591"/>
      <c r="D21" s="591"/>
      <c r="K21" s="597"/>
    </row>
    <row r="22" spans="1:14" ht="17.25">
      <c r="A22" s="36">
        <f>+A21+1</f>
        <v>9</v>
      </c>
      <c r="B22" s="38" t="s">
        <v>2000</v>
      </c>
      <c r="D22" s="36" t="str">
        <f>+'WPB-2.1.B Summary'!$N$6</f>
        <v>WPB-2.1.B</v>
      </c>
      <c r="F22" s="592">
        <f>+'WPB-2.1.B Summary'!$F$85-'WPB-2.1.B Summary'!$M$85</f>
        <v>45581670.191592</v>
      </c>
      <c r="G22" s="592"/>
      <c r="K22" s="598"/>
      <c r="N22" s="588"/>
    </row>
    <row r="23" spans="1:14">
      <c r="A23" s="36">
        <f>A22+1</f>
        <v>10</v>
      </c>
      <c r="B23" s="38" t="s">
        <v>2001</v>
      </c>
      <c r="D23" s="36" t="str">
        <f>+'WPB-2.1.B Summary'!$N$6</f>
        <v>WPB-2.1.B</v>
      </c>
      <c r="F23" s="592">
        <f>+'WPB-2.1.B Summary'!F97-'WPB-2.1.B Summary'!M97-F22</f>
        <v>41776824.48604209</v>
      </c>
      <c r="G23" s="593"/>
      <c r="K23" s="599"/>
      <c r="N23" s="588"/>
    </row>
    <row r="24" spans="1:14">
      <c r="A24" s="36">
        <f>A23+1</f>
        <v>11</v>
      </c>
      <c r="B24" s="38" t="s">
        <v>2002</v>
      </c>
      <c r="F24" s="600">
        <f>+F22+F23</f>
        <v>87358494.67763409</v>
      </c>
      <c r="G24" s="594"/>
      <c r="K24" s="597"/>
    </row>
    <row r="25" spans="1:14">
      <c r="A25" s="36">
        <f>A24+1</f>
        <v>12</v>
      </c>
      <c r="B25" s="38" t="s">
        <v>1301</v>
      </c>
      <c r="H25" s="595">
        <v>1.2646573386928511E-2</v>
      </c>
      <c r="I25" s="596"/>
      <c r="K25" s="269"/>
    </row>
    <row r="26" spans="1:14" ht="17.25">
      <c r="A26" s="36">
        <f>A25+1</f>
        <v>13</v>
      </c>
      <c r="B26" s="38" t="s">
        <v>2003</v>
      </c>
      <c r="F26" s="592"/>
      <c r="G26" s="592"/>
      <c r="H26" s="594"/>
      <c r="I26" s="594"/>
      <c r="J26" s="269">
        <f>F24*H25</f>
        <v>1104785.6139123032</v>
      </c>
      <c r="K26" s="601"/>
    </row>
    <row r="27" spans="1:14" ht="17.25">
      <c r="F27" s="592"/>
      <c r="G27" s="592"/>
      <c r="H27" s="594"/>
      <c r="I27" s="594"/>
      <c r="J27" s="269"/>
      <c r="K27" s="601"/>
    </row>
    <row r="28" spans="1:14" ht="17.25">
      <c r="A28" s="36">
        <f>+A26+1</f>
        <v>14</v>
      </c>
      <c r="B28" s="591" t="s">
        <v>2074</v>
      </c>
      <c r="C28" s="591"/>
      <c r="D28" s="591"/>
      <c r="F28" s="592"/>
      <c r="G28" s="592"/>
      <c r="H28" s="594"/>
      <c r="I28" s="594"/>
      <c r="J28" s="269"/>
      <c r="K28" s="601"/>
    </row>
    <row r="29" spans="1:14">
      <c r="A29" s="36">
        <f>+A28+1</f>
        <v>15</v>
      </c>
      <c r="B29" s="38" t="s">
        <v>1300</v>
      </c>
      <c r="F29" s="592">
        <f>F14</f>
        <v>555584304</v>
      </c>
      <c r="G29" s="592"/>
      <c r="K29" s="269"/>
    </row>
    <row r="30" spans="1:14" ht="17.25">
      <c r="A30" s="36">
        <f>A29+1</f>
        <v>16</v>
      </c>
      <c r="B30" s="38" t="s">
        <v>2063</v>
      </c>
      <c r="F30" s="592">
        <f>F15-F22</f>
        <v>14185878.548407994</v>
      </c>
      <c r="G30" s="592"/>
      <c r="K30" s="598"/>
    </row>
    <row r="31" spans="1:14">
      <c r="A31" s="36">
        <f>A30+1</f>
        <v>17</v>
      </c>
      <c r="B31" s="38" t="s">
        <v>2004</v>
      </c>
      <c r="F31" s="592">
        <f>F16-F23</f>
        <v>4426243.1671790406</v>
      </c>
      <c r="G31" s="593"/>
      <c r="K31" s="599"/>
    </row>
    <row r="32" spans="1:14">
      <c r="A32" s="36">
        <f>A31+1</f>
        <v>18</v>
      </c>
      <c r="B32" s="38" t="s">
        <v>2064</v>
      </c>
      <c r="F32" s="600">
        <f>F29+F30+F31</f>
        <v>574196425.71558702</v>
      </c>
      <c r="G32" s="594"/>
      <c r="K32" s="597"/>
    </row>
    <row r="33" spans="1:11">
      <c r="A33" s="36">
        <f>A32+1</f>
        <v>19</v>
      </c>
      <c r="B33" s="38" t="s">
        <v>1301</v>
      </c>
      <c r="H33" s="595">
        <v>1.2646573386928511E-2</v>
      </c>
      <c r="I33" s="596"/>
      <c r="K33" s="269"/>
    </row>
    <row r="34" spans="1:11" ht="17.25">
      <c r="A34" s="36">
        <f>A33+1</f>
        <v>20</v>
      </c>
      <c r="B34" s="38" t="s">
        <v>2065</v>
      </c>
      <c r="F34" s="592"/>
      <c r="G34" s="592"/>
      <c r="H34" s="594"/>
      <c r="I34" s="594"/>
      <c r="J34" s="269">
        <f>F32*H33</f>
        <v>7261617.2363242162</v>
      </c>
      <c r="K34" s="601"/>
    </row>
    <row r="35" spans="1:11" ht="17.25">
      <c r="F35" s="592"/>
      <c r="G35" s="592"/>
      <c r="H35" s="594"/>
      <c r="I35" s="594"/>
      <c r="J35" s="269"/>
      <c r="K35" s="601"/>
    </row>
    <row r="36" spans="1:11">
      <c r="A36" s="36">
        <f>+A34+1</f>
        <v>21</v>
      </c>
      <c r="B36" s="602" t="s">
        <v>1302</v>
      </c>
      <c r="C36" s="602"/>
      <c r="D36" s="602"/>
      <c r="E36" s="602"/>
    </row>
    <row r="37" spans="1:11">
      <c r="A37" s="36">
        <f t="shared" ref="A37:A46" si="1">A36+1</f>
        <v>22</v>
      </c>
      <c r="B37" s="38" t="s">
        <v>2066</v>
      </c>
      <c r="D37" s="36" t="str">
        <f>+'WPB 5.3 Storage'!$J$6&amp;", Line "&amp;'WPB 5.3 Storage'!$A$17</f>
        <v>WPB-5.3, Line 1</v>
      </c>
      <c r="F37" s="592">
        <f>+'WPB 5.3 Storage'!I17</f>
        <v>40020363.750079177</v>
      </c>
      <c r="G37" s="592"/>
      <c r="H37" s="603"/>
      <c r="I37" s="594"/>
      <c r="J37" s="592"/>
    </row>
    <row r="38" spans="1:11">
      <c r="A38" s="36">
        <f t="shared" si="1"/>
        <v>23</v>
      </c>
      <c r="B38" s="38" t="s">
        <v>2067</v>
      </c>
      <c r="F38" s="592">
        <v>14675833.333333334</v>
      </c>
      <c r="G38" s="592"/>
      <c r="H38" s="594"/>
      <c r="I38" s="594"/>
      <c r="J38" s="592"/>
    </row>
    <row r="39" spans="1:11">
      <c r="A39" s="36">
        <f t="shared" si="1"/>
        <v>24</v>
      </c>
      <c r="B39" s="38" t="s">
        <v>2068</v>
      </c>
      <c r="F39" s="596">
        <f>F38/F37</f>
        <v>0.36670914399932958</v>
      </c>
      <c r="G39" s="596"/>
      <c r="H39" s="594"/>
      <c r="I39" s="594"/>
      <c r="J39" s="592"/>
    </row>
    <row r="40" spans="1:11">
      <c r="A40" s="36">
        <f t="shared" si="1"/>
        <v>25</v>
      </c>
      <c r="B40" s="38" t="s">
        <v>2069</v>
      </c>
      <c r="D40" s="36" t="str">
        <f>+'WPB 5.3 Storage'!$J$6&amp;", Line "&amp;'WPB 5.3 Storage'!$A$41</f>
        <v>WPB-5.3, Line 25</v>
      </c>
      <c r="F40" s="592">
        <f>+'WPB 5.3 Storage'!I41</f>
        <v>40807875.71575132</v>
      </c>
      <c r="G40" s="592"/>
      <c r="H40" s="603"/>
    </row>
    <row r="41" spans="1:11">
      <c r="A41" s="36">
        <f t="shared" si="1"/>
        <v>26</v>
      </c>
      <c r="B41" s="38" t="s">
        <v>2070</v>
      </c>
      <c r="F41" s="604">
        <f>F39</f>
        <v>0.36670914399932958</v>
      </c>
      <c r="G41" s="604"/>
    </row>
    <row r="42" spans="1:11">
      <c r="A42" s="36">
        <f t="shared" si="1"/>
        <v>27</v>
      </c>
      <c r="B42" s="38" t="s">
        <v>2071</v>
      </c>
      <c r="F42" s="592">
        <f>F40*F41</f>
        <v>14964621.172154196</v>
      </c>
      <c r="G42" s="592"/>
    </row>
    <row r="43" spans="1:11">
      <c r="A43" s="36">
        <f t="shared" si="1"/>
        <v>28</v>
      </c>
      <c r="B43" s="38" t="s">
        <v>1303</v>
      </c>
      <c r="F43" s="595">
        <v>0.6</v>
      </c>
      <c r="G43" s="595"/>
    </row>
    <row r="44" spans="1:11">
      <c r="A44" s="36">
        <f t="shared" si="1"/>
        <v>29</v>
      </c>
      <c r="B44" s="38" t="s">
        <v>1304</v>
      </c>
      <c r="F44" s="594">
        <f>F42*F43</f>
        <v>8978772.703292517</v>
      </c>
      <c r="G44" s="594"/>
    </row>
    <row r="45" spans="1:11">
      <c r="A45" s="36">
        <f t="shared" si="1"/>
        <v>30</v>
      </c>
      <c r="B45" s="38" t="s">
        <v>1305</v>
      </c>
      <c r="H45" s="596">
        <v>2.117682078179528E-2</v>
      </c>
      <c r="I45" s="596"/>
    </row>
    <row r="46" spans="1:11">
      <c r="A46" s="36">
        <f t="shared" si="1"/>
        <v>31</v>
      </c>
      <c r="B46" s="38" t="s">
        <v>1545</v>
      </c>
      <c r="F46" s="594"/>
      <c r="G46" s="594"/>
      <c r="J46" s="1063">
        <f>F44*H45</f>
        <v>190141.86037810115</v>
      </c>
    </row>
    <row r="47" spans="1:11">
      <c r="F47" s="594"/>
      <c r="G47" s="594"/>
    </row>
    <row r="48" spans="1:11">
      <c r="A48" s="36">
        <f>A46+1</f>
        <v>32</v>
      </c>
      <c r="B48" s="38" t="s">
        <v>1547</v>
      </c>
      <c r="F48" s="594"/>
      <c r="G48" s="594"/>
      <c r="J48" s="269">
        <f>J34+J46</f>
        <v>7451759.0967023177</v>
      </c>
    </row>
    <row r="49" spans="1:10">
      <c r="F49" s="594"/>
      <c r="G49" s="594"/>
      <c r="J49" s="269"/>
    </row>
    <row r="50" spans="1:10">
      <c r="A50" s="36">
        <f>A48+1</f>
        <v>33</v>
      </c>
      <c r="B50" s="38" t="s">
        <v>3002</v>
      </c>
      <c r="D50" s="36" t="str">
        <f>+'C-2.1.B Oper Rev&amp;Exp by Accts'!$G$6&amp;", Line "&amp;'C-2.1.B Oper Rev&amp;Exp by Accts'!$A$152</f>
        <v>SCHEDULE C-2.1.B, Line 48</v>
      </c>
      <c r="J50" s="1060">
        <f>+'C-2.1.B Oper Rev&amp;Exp by Accts'!F152</f>
        <v>9372000</v>
      </c>
    </row>
    <row r="51" spans="1:10">
      <c r="J51" s="593"/>
    </row>
    <row r="52" spans="1:10">
      <c r="A52" s="36">
        <f>A50+1</f>
        <v>34</v>
      </c>
      <c r="B52" s="38" t="s">
        <v>1296</v>
      </c>
      <c r="F52" s="594"/>
      <c r="G52" s="594"/>
      <c r="J52" s="605">
        <f>J48-J50</f>
        <v>-1920240.9032976823</v>
      </c>
    </row>
  </sheetData>
  <mergeCells count="4">
    <mergeCell ref="A1:J1"/>
    <mergeCell ref="A2:J2"/>
    <mergeCell ref="A3:J3"/>
    <mergeCell ref="A4:J4"/>
  </mergeCells>
  <printOptions horizontalCentered="1"/>
  <pageMargins left="0.5" right="0.5" top="0.75" bottom="0.5" header="0.3" footer="0.3"/>
  <pageSetup scale="6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C86"/>
  <sheetViews>
    <sheetView zoomScaleNormal="100" zoomScaleSheetLayoutView="100" workbookViewId="0">
      <selection activeCell="C12" sqref="C12"/>
    </sheetView>
  </sheetViews>
  <sheetFormatPr defaultColWidth="9.6640625" defaultRowHeight="10.5"/>
  <cols>
    <col min="1" max="1" width="25.1640625" style="528" customWidth="1"/>
    <col min="2" max="2" width="3.5" style="528" customWidth="1"/>
    <col min="3" max="3" width="80.1640625" style="528" bestFit="1" customWidth="1"/>
    <col min="4" max="4" width="6.6640625" style="528" customWidth="1"/>
    <col min="5" max="16384" width="9.6640625" style="528"/>
  </cols>
  <sheetData>
    <row r="1" spans="1:3" ht="12.75">
      <c r="A1" s="286" t="s">
        <v>358</v>
      </c>
      <c r="B1" s="255"/>
      <c r="C1" s="255"/>
    </row>
    <row r="2" spans="1:3" ht="12.75">
      <c r="A2" s="255"/>
      <c r="B2" s="255"/>
      <c r="C2" s="255"/>
    </row>
    <row r="3" spans="1:3" ht="12.75">
      <c r="A3" s="255"/>
      <c r="B3" s="255"/>
      <c r="C3" s="255"/>
    </row>
    <row r="4" spans="1:3" ht="12.75">
      <c r="A4" s="255"/>
      <c r="B4" s="255"/>
      <c r="C4" s="255"/>
    </row>
    <row r="5" spans="1:3" ht="12.75">
      <c r="A5" s="1323" t="s">
        <v>1003</v>
      </c>
      <c r="B5" s="1323"/>
      <c r="C5" s="1323"/>
    </row>
    <row r="6" spans="1:3" ht="12.75">
      <c r="A6" s="255"/>
      <c r="B6" s="255"/>
      <c r="C6" s="255"/>
    </row>
    <row r="7" spans="1:3" ht="12.75">
      <c r="A7" s="1323" t="s">
        <v>1004</v>
      </c>
      <c r="B7" s="1323"/>
      <c r="C7" s="1323"/>
    </row>
    <row r="8" spans="1:3" ht="12.75">
      <c r="A8" s="255"/>
      <c r="B8" s="255"/>
      <c r="C8" s="255"/>
    </row>
    <row r="9" spans="1:3" ht="12.75">
      <c r="A9" s="1323" t="str">
        <f>'General Headers Index'!B4</f>
        <v>COLUMBIA GAS OF KENTUCKY, INC.</v>
      </c>
      <c r="B9" s="1323"/>
      <c r="C9" s="1323"/>
    </row>
    <row r="10" spans="1:3" ht="12.75">
      <c r="A10" s="255"/>
      <c r="B10" s="255"/>
      <c r="C10" s="255"/>
    </row>
    <row r="11" spans="1:3" ht="12.75">
      <c r="A11" s="1323" t="str">
        <f>'General Headers Index'!B6</f>
        <v>CASE NO. 2024 - 00092</v>
      </c>
      <c r="B11" s="1323"/>
      <c r="C11" s="1323"/>
    </row>
    <row r="12" spans="1:3" ht="12.75">
      <c r="A12" s="255"/>
      <c r="B12" s="255"/>
      <c r="C12" s="255"/>
    </row>
    <row r="13" spans="1:3" ht="12.75">
      <c r="A13" s="255"/>
      <c r="B13" s="255"/>
      <c r="C13" s="255"/>
    </row>
    <row r="14" spans="1:3" ht="12.75">
      <c r="A14" s="255"/>
      <c r="B14" s="255"/>
      <c r="C14" s="255"/>
    </row>
    <row r="15" spans="1:3" ht="12.75">
      <c r="A15" s="255"/>
      <c r="B15" s="255"/>
      <c r="C15" s="255"/>
    </row>
    <row r="16" spans="1:3" ht="12.75">
      <c r="A16" s="286" t="s">
        <v>97</v>
      </c>
      <c r="B16" s="255"/>
      <c r="C16" s="286" t="str">
        <f>'General Headers Index'!B8</f>
        <v>FOR THE TWELVE MONTHS ENDED AUGUST 31, 2024</v>
      </c>
    </row>
    <row r="17" spans="1:3" ht="12.75">
      <c r="A17" s="255"/>
      <c r="B17" s="255"/>
      <c r="C17" s="255"/>
    </row>
    <row r="18" spans="1:3" ht="12.75">
      <c r="A18" s="286" t="s">
        <v>684</v>
      </c>
      <c r="B18" s="255"/>
      <c r="C18" s="286" t="str">
        <f>'General Headers Index'!B15</f>
        <v>FOR THE TWELVE MONTHS ENDED DECEMBER 31, 2025</v>
      </c>
    </row>
    <row r="19" spans="1:3" ht="12.75">
      <c r="A19" s="255"/>
      <c r="B19" s="255"/>
      <c r="C19" s="255"/>
    </row>
    <row r="20" spans="1:3" ht="12.75">
      <c r="A20" s="255"/>
      <c r="B20" s="255"/>
      <c r="C20" s="255"/>
    </row>
    <row r="21" spans="1:3" ht="12.75">
      <c r="A21" s="288" t="s">
        <v>314</v>
      </c>
      <c r="B21" s="288"/>
      <c r="C21" s="287" t="s">
        <v>451</v>
      </c>
    </row>
    <row r="22" spans="1:3" ht="12.75">
      <c r="A22" s="255"/>
      <c r="B22" s="255"/>
      <c r="C22" s="255"/>
    </row>
    <row r="23" spans="1:3" ht="12.75">
      <c r="A23" s="286" t="s">
        <v>2738</v>
      </c>
      <c r="B23" s="255"/>
      <c r="C23" s="255" t="s">
        <v>0</v>
      </c>
    </row>
    <row r="24" spans="1:3" ht="12.75">
      <c r="A24" s="286" t="s">
        <v>2739</v>
      </c>
      <c r="B24" s="255"/>
      <c r="C24" s="255" t="s">
        <v>2667</v>
      </c>
    </row>
    <row r="25" spans="1:3" ht="12.75">
      <c r="A25" s="255"/>
      <c r="B25" s="255"/>
      <c r="C25" s="255"/>
    </row>
    <row r="26" spans="1:3" ht="12.75">
      <c r="A26" s="255"/>
      <c r="B26" s="255"/>
      <c r="C26" s="255"/>
    </row>
    <row r="27" spans="1:3" ht="12.75">
      <c r="A27" s="255"/>
      <c r="B27" s="255"/>
      <c r="C27" s="255"/>
    </row>
    <row r="28" spans="1:3" ht="12.75">
      <c r="A28" s="255"/>
      <c r="B28" s="255"/>
      <c r="C28" s="255"/>
    </row>
    <row r="29" spans="1:3" ht="12.75">
      <c r="A29" s="255"/>
      <c r="B29" s="255"/>
      <c r="C29" s="255"/>
    </row>
    <row r="30" spans="1:3" ht="12.75">
      <c r="A30" s="255"/>
      <c r="B30" s="255"/>
      <c r="C30" s="255"/>
    </row>
    <row r="31" spans="1:3" ht="12.75">
      <c r="A31" s="255"/>
      <c r="B31" s="255"/>
      <c r="C31" s="255"/>
    </row>
    <row r="32" spans="1:3" ht="12.75">
      <c r="A32" s="255"/>
      <c r="B32" s="255"/>
      <c r="C32" s="255"/>
    </row>
    <row r="33" spans="1:3" ht="12.75">
      <c r="A33" s="255"/>
      <c r="B33" s="255"/>
      <c r="C33" s="255"/>
    </row>
    <row r="34" spans="1:3" ht="12.75">
      <c r="A34" s="255"/>
      <c r="B34" s="255"/>
      <c r="C34" s="255"/>
    </row>
    <row r="35" spans="1:3" ht="12.75">
      <c r="A35" s="255"/>
      <c r="B35" s="255"/>
      <c r="C35" s="255"/>
    </row>
    <row r="36" spans="1:3" ht="12.75">
      <c r="A36" s="255"/>
      <c r="B36" s="255"/>
      <c r="C36" s="255"/>
    </row>
    <row r="37" spans="1:3" ht="12.75">
      <c r="A37" s="255"/>
      <c r="B37" s="255"/>
      <c r="C37" s="255"/>
    </row>
    <row r="38" spans="1:3" ht="12.75">
      <c r="A38" s="255"/>
      <c r="B38" s="255"/>
      <c r="C38" s="255"/>
    </row>
    <row r="39" spans="1:3" ht="12.75">
      <c r="A39" s="255"/>
      <c r="B39" s="255"/>
      <c r="C39" s="255" t="s">
        <v>358</v>
      </c>
    </row>
    <row r="40" spans="1:3" ht="12.75">
      <c r="A40" s="255"/>
      <c r="B40" s="255"/>
      <c r="C40" s="255"/>
    </row>
    <row r="41" spans="1:3" ht="11.25">
      <c r="A41" s="546"/>
      <c r="B41" s="546"/>
      <c r="C41" s="546"/>
    </row>
    <row r="42" spans="1:3" ht="11.25">
      <c r="A42" s="546"/>
      <c r="B42" s="546"/>
      <c r="C42" s="546"/>
    </row>
    <row r="43" spans="1:3" ht="11.25">
      <c r="A43" s="546"/>
      <c r="B43" s="546"/>
      <c r="C43" s="546"/>
    </row>
    <row r="44" spans="1:3" ht="11.25">
      <c r="A44" s="546"/>
      <c r="B44" s="546"/>
      <c r="C44" s="546"/>
    </row>
    <row r="45" spans="1:3" ht="11.25">
      <c r="A45" s="546"/>
      <c r="B45" s="546"/>
      <c r="C45" s="546"/>
    </row>
    <row r="46" spans="1:3" ht="11.25">
      <c r="A46" s="546"/>
      <c r="B46" s="546"/>
      <c r="C46" s="546"/>
    </row>
    <row r="47" spans="1:3" ht="11.25">
      <c r="A47" s="546"/>
      <c r="B47" s="546"/>
      <c r="C47" s="546"/>
    </row>
    <row r="48" spans="1:3" ht="11.25">
      <c r="A48" s="546"/>
      <c r="B48" s="546"/>
      <c r="C48" s="546"/>
    </row>
    <row r="49" spans="1:3" ht="11.25">
      <c r="A49" s="546"/>
      <c r="B49" s="546"/>
      <c r="C49" s="546"/>
    </row>
    <row r="50" spans="1:3" ht="11.25">
      <c r="A50" s="546"/>
      <c r="B50" s="546"/>
      <c r="C50" s="546"/>
    </row>
    <row r="51" spans="1:3" ht="11.25">
      <c r="A51" s="546"/>
      <c r="B51" s="546"/>
      <c r="C51" s="546"/>
    </row>
    <row r="52" spans="1:3" ht="11.25">
      <c r="A52" s="546"/>
      <c r="B52" s="546"/>
      <c r="C52" s="546"/>
    </row>
    <row r="53" spans="1:3" ht="11.25">
      <c r="A53" s="546"/>
      <c r="B53" s="546"/>
      <c r="C53" s="546"/>
    </row>
    <row r="54" spans="1:3" ht="11.25">
      <c r="A54" s="546"/>
      <c r="B54" s="546"/>
      <c r="C54" s="546"/>
    </row>
    <row r="55" spans="1:3" ht="11.25">
      <c r="A55" s="546"/>
      <c r="B55" s="546"/>
      <c r="C55" s="546"/>
    </row>
    <row r="56" spans="1:3" ht="11.25">
      <c r="A56" s="546"/>
      <c r="B56" s="546"/>
      <c r="C56" s="546"/>
    </row>
    <row r="57" spans="1:3" ht="11.25">
      <c r="A57" s="546"/>
      <c r="B57" s="546"/>
      <c r="C57" s="546"/>
    </row>
    <row r="58" spans="1:3" ht="11.25">
      <c r="A58" s="546"/>
      <c r="B58" s="546"/>
      <c r="C58" s="546"/>
    </row>
    <row r="59" spans="1:3" ht="11.25">
      <c r="A59" s="546"/>
      <c r="B59" s="546"/>
      <c r="C59" s="546"/>
    </row>
    <row r="60" spans="1:3" ht="11.25">
      <c r="A60" s="546"/>
      <c r="B60" s="546"/>
      <c r="C60" s="546"/>
    </row>
    <row r="61" spans="1:3" ht="11.25">
      <c r="A61" s="546"/>
      <c r="B61" s="546"/>
      <c r="C61" s="546"/>
    </row>
    <row r="62" spans="1:3" ht="11.25">
      <c r="A62" s="546"/>
      <c r="B62" s="546"/>
      <c r="C62" s="546"/>
    </row>
    <row r="63" spans="1:3" ht="11.25">
      <c r="A63" s="546"/>
      <c r="B63" s="546"/>
      <c r="C63" s="546"/>
    </row>
    <row r="64" spans="1:3" ht="11.25">
      <c r="A64" s="546"/>
      <c r="B64" s="546"/>
      <c r="C64" s="546"/>
    </row>
    <row r="65" spans="1:3" ht="11.25">
      <c r="A65" s="546"/>
      <c r="B65" s="546"/>
      <c r="C65" s="546"/>
    </row>
    <row r="66" spans="1:3" ht="11.25">
      <c r="A66" s="546"/>
      <c r="B66" s="546"/>
      <c r="C66" s="546"/>
    </row>
    <row r="67" spans="1:3" ht="11.25">
      <c r="A67" s="546"/>
      <c r="B67" s="546"/>
      <c r="C67" s="546"/>
    </row>
    <row r="68" spans="1:3" ht="11.25">
      <c r="A68" s="546"/>
      <c r="B68" s="546"/>
      <c r="C68" s="546"/>
    </row>
    <row r="69" spans="1:3" ht="11.25">
      <c r="A69" s="546"/>
      <c r="B69" s="546"/>
      <c r="C69" s="546"/>
    </row>
    <row r="70" spans="1:3" ht="11.25">
      <c r="A70" s="546"/>
      <c r="B70" s="546"/>
      <c r="C70" s="546"/>
    </row>
    <row r="71" spans="1:3" ht="11.25">
      <c r="A71" s="546"/>
      <c r="B71" s="546"/>
      <c r="C71" s="546"/>
    </row>
    <row r="72" spans="1:3" ht="11.25">
      <c r="A72" s="546"/>
      <c r="B72" s="546"/>
      <c r="C72" s="546"/>
    </row>
    <row r="73" spans="1:3" ht="11.25">
      <c r="A73" s="546"/>
      <c r="B73" s="546"/>
      <c r="C73" s="546"/>
    </row>
    <row r="74" spans="1:3" ht="11.25">
      <c r="A74" s="546"/>
      <c r="B74" s="546"/>
      <c r="C74" s="546"/>
    </row>
    <row r="75" spans="1:3" ht="11.25">
      <c r="A75" s="546"/>
      <c r="B75" s="546"/>
      <c r="C75" s="546"/>
    </row>
    <row r="76" spans="1:3" ht="11.25">
      <c r="A76" s="546"/>
      <c r="B76" s="546"/>
      <c r="C76" s="546"/>
    </row>
    <row r="77" spans="1:3" ht="11.25">
      <c r="A77" s="546"/>
      <c r="B77" s="546"/>
      <c r="C77" s="546"/>
    </row>
    <row r="78" spans="1:3" ht="11.25">
      <c r="A78" s="546"/>
      <c r="B78" s="546"/>
      <c r="C78" s="546"/>
    </row>
    <row r="79" spans="1:3" ht="11.25">
      <c r="A79" s="546"/>
      <c r="B79" s="546"/>
      <c r="C79" s="546"/>
    </row>
    <row r="80" spans="1:3" ht="11.25">
      <c r="A80" s="546"/>
      <c r="B80" s="546"/>
      <c r="C80" s="546"/>
    </row>
    <row r="81" spans="1:3" ht="11.25">
      <c r="A81" s="546"/>
      <c r="B81" s="546"/>
      <c r="C81" s="546"/>
    </row>
    <row r="82" spans="1:3" ht="11.25">
      <c r="A82" s="546"/>
      <c r="B82" s="546"/>
      <c r="C82" s="546"/>
    </row>
    <row r="83" spans="1:3" ht="11.25">
      <c r="A83" s="546"/>
      <c r="B83" s="546"/>
      <c r="C83" s="546"/>
    </row>
    <row r="84" spans="1:3" ht="11.25">
      <c r="A84" s="546"/>
      <c r="B84" s="546"/>
      <c r="C84" s="546"/>
    </row>
    <row r="85" spans="1:3" ht="11.25">
      <c r="A85" s="546"/>
      <c r="B85" s="546"/>
      <c r="C85" s="546"/>
    </row>
    <row r="86" spans="1:3" ht="11.25">
      <c r="A86" s="546"/>
      <c r="B86" s="546"/>
      <c r="C86" s="546"/>
    </row>
  </sheetData>
  <mergeCells count="4">
    <mergeCell ref="A5:C5"/>
    <mergeCell ref="A7:C7"/>
    <mergeCell ref="A9:C9"/>
    <mergeCell ref="A11:C11"/>
  </mergeCells>
  <printOptions horizontalCentered="1"/>
  <pageMargins left="0.5" right="0.5" top="0.75" bottom="0.5" header="0.3" footer="0.3"/>
  <pageSetup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228"/>
  <sheetViews>
    <sheetView topLeftCell="A34" zoomScaleNormal="100" zoomScaleSheetLayoutView="100" workbookViewId="0">
      <selection activeCell="F53" sqref="F53"/>
    </sheetView>
  </sheetViews>
  <sheetFormatPr defaultColWidth="9.6640625" defaultRowHeight="12.75"/>
  <cols>
    <col min="1" max="1" width="5.6640625" style="687" customWidth="1"/>
    <col min="2" max="2" width="67.1640625" style="688" bestFit="1" customWidth="1"/>
    <col min="3" max="3" width="24" style="688" customWidth="1"/>
    <col min="4" max="4" width="20.5" style="688" bestFit="1" customWidth="1"/>
    <col min="5" max="5" width="8.33203125" style="688" bestFit="1" customWidth="1"/>
    <col min="6" max="6" width="21.6640625" style="688" customWidth="1"/>
    <col min="7" max="7" width="2.6640625" style="688" customWidth="1"/>
    <col min="8" max="8" width="21.6640625" style="688" customWidth="1"/>
    <col min="9" max="9" width="2.6640625" style="688" customWidth="1"/>
    <col min="10" max="11" width="21.6640625" style="688" customWidth="1"/>
    <col min="12" max="12" width="24.33203125" style="688" bestFit="1" customWidth="1"/>
    <col min="13" max="13" width="4.6640625" style="688" customWidth="1"/>
    <col min="14" max="16384" width="9.6640625" style="688"/>
  </cols>
  <sheetData>
    <row r="1" spans="1:13" ht="12.75" customHeight="1">
      <c r="A1" s="1335" t="str">
        <f>'General Headers Index'!$B$4</f>
        <v>COLUMBIA GAS OF KENTUCKY, INC.</v>
      </c>
      <c r="B1" s="1335"/>
      <c r="C1" s="1335"/>
      <c r="D1" s="1335"/>
      <c r="E1" s="1335"/>
      <c r="F1" s="1335"/>
      <c r="G1" s="1335"/>
      <c r="H1" s="1335"/>
      <c r="I1" s="1335"/>
      <c r="J1" s="1335"/>
      <c r="K1" s="1335"/>
      <c r="L1" s="1335"/>
    </row>
    <row r="2" spans="1:13" ht="12.75" customHeight="1">
      <c r="A2" s="1335" t="str">
        <f>'General Headers Index'!$B$6</f>
        <v>CASE NO. 2024 - 00092</v>
      </c>
      <c r="B2" s="1335"/>
      <c r="C2" s="1335"/>
      <c r="D2" s="1335"/>
      <c r="E2" s="1335"/>
      <c r="F2" s="1335"/>
      <c r="G2" s="1335"/>
      <c r="H2" s="1335"/>
      <c r="I2" s="1335"/>
      <c r="J2" s="1335"/>
      <c r="K2" s="1335"/>
      <c r="L2" s="1335"/>
    </row>
    <row r="3" spans="1:13" ht="12.75" customHeight="1">
      <c r="A3" s="1335" t="str">
        <f>'Index E '!$C$23</f>
        <v>COMPUTATION OF FEDERAL AND STATE INCOME TAX</v>
      </c>
      <c r="B3" s="1335"/>
      <c r="C3" s="1335"/>
      <c r="D3" s="1335"/>
      <c r="E3" s="1335"/>
      <c r="F3" s="1335"/>
      <c r="G3" s="1335"/>
      <c r="H3" s="1335"/>
      <c r="I3" s="1335"/>
      <c r="J3" s="1335"/>
      <c r="K3" s="1335"/>
      <c r="L3" s="1335"/>
    </row>
    <row r="4" spans="1:13" ht="12.75" customHeight="1">
      <c r="A4" s="1335" t="str">
        <f>+'General Headers Index'!$B$9</f>
        <v>BASE PERIOD: TWELVE MONTHS ENDED AUGUST 31, 2024</v>
      </c>
      <c r="B4" s="1335"/>
      <c r="C4" s="1335"/>
      <c r="D4" s="1335"/>
      <c r="E4" s="1335"/>
      <c r="F4" s="1335"/>
      <c r="G4" s="1335"/>
      <c r="H4" s="1335"/>
      <c r="I4" s="1335"/>
      <c r="J4" s="1335"/>
      <c r="K4" s="1335"/>
      <c r="L4" s="1335"/>
    </row>
    <row r="5" spans="1:13" ht="12.75" customHeight="1">
      <c r="A5" s="1335" t="str">
        <f>+'General Headers Index'!$B$16</f>
        <v>FORECASTED TEST PERIOD: TWELVE MONTHS ENDED DECEMBER 31, 2025</v>
      </c>
      <c r="B5" s="1335"/>
      <c r="C5" s="1335"/>
      <c r="D5" s="1335"/>
      <c r="E5" s="1335"/>
      <c r="F5" s="1335"/>
      <c r="G5" s="1335"/>
      <c r="H5" s="1335"/>
      <c r="I5" s="1335"/>
      <c r="J5" s="1335"/>
      <c r="K5" s="1335"/>
      <c r="L5" s="1335"/>
    </row>
    <row r="6" spans="1:13" ht="12.75" customHeight="1">
      <c r="B6" s="687"/>
      <c r="C6" s="687"/>
      <c r="D6" s="687"/>
      <c r="E6" s="687"/>
      <c r="F6" s="687"/>
      <c r="G6" s="687"/>
      <c r="H6" s="687"/>
      <c r="I6" s="687"/>
      <c r="J6" s="687"/>
      <c r="K6" s="687"/>
      <c r="L6" s="687"/>
    </row>
    <row r="7" spans="1:13">
      <c r="A7" s="286" t="s">
        <v>2786</v>
      </c>
      <c r="K7" s="670"/>
      <c r="L7" s="670" t="s">
        <v>2033</v>
      </c>
    </row>
    <row r="8" spans="1:13">
      <c r="A8" s="286" t="s">
        <v>572</v>
      </c>
      <c r="K8" s="670"/>
      <c r="L8" s="670" t="s">
        <v>1336</v>
      </c>
    </row>
    <row r="9" spans="1:13">
      <c r="A9" s="286" t="s">
        <v>575</v>
      </c>
      <c r="B9" s="689"/>
      <c r="C9" s="689"/>
      <c r="D9" s="689"/>
      <c r="E9" s="689"/>
      <c r="F9" s="689"/>
      <c r="H9" s="689"/>
      <c r="K9" s="690"/>
      <c r="L9" s="690" t="str">
        <f>"WITNESS: "&amp;'General Headers Index'!$B$43</f>
        <v>WITNESS: HARDING</v>
      </c>
      <c r="M9" s="689"/>
    </row>
    <row r="10" spans="1:13">
      <c r="A10" s="850"/>
      <c r="B10" s="1064"/>
      <c r="C10" s="1064"/>
      <c r="D10" s="1064"/>
      <c r="E10" s="1064"/>
      <c r="F10" s="1064"/>
      <c r="G10" s="1064"/>
      <c r="H10" s="1064"/>
      <c r="I10" s="1064"/>
      <c r="J10" s="1064"/>
      <c r="K10" s="1065"/>
      <c r="L10" s="1065"/>
      <c r="M10" s="689"/>
    </row>
    <row r="11" spans="1:13">
      <c r="A11" s="691"/>
      <c r="B11" s="692"/>
      <c r="C11" s="692"/>
      <c r="D11" s="693" t="s">
        <v>351</v>
      </c>
      <c r="E11" s="693"/>
      <c r="F11" s="693" t="s">
        <v>351</v>
      </c>
      <c r="G11" s="692"/>
      <c r="H11" s="254" t="s">
        <v>2428</v>
      </c>
      <c r="I11" s="692"/>
      <c r="J11" s="692"/>
      <c r="K11" s="692"/>
      <c r="L11" s="692"/>
      <c r="M11" s="689"/>
    </row>
    <row r="12" spans="1:13" s="687" customFormat="1">
      <c r="A12" s="694"/>
      <c r="B12" s="694"/>
      <c r="C12" s="694"/>
      <c r="D12" s="694" t="s">
        <v>502</v>
      </c>
      <c r="E12" s="694"/>
      <c r="F12" s="694" t="s">
        <v>502</v>
      </c>
      <c r="G12" s="694"/>
      <c r="H12" s="254" t="s">
        <v>351</v>
      </c>
      <c r="I12" s="694"/>
      <c r="J12" s="254" t="s">
        <v>651</v>
      </c>
      <c r="K12" s="254" t="s">
        <v>651</v>
      </c>
      <c r="L12" s="254" t="s">
        <v>651</v>
      </c>
    </row>
    <row r="13" spans="1:13" s="687" customFormat="1">
      <c r="A13" s="694"/>
      <c r="B13" s="694"/>
      <c r="C13" s="694"/>
      <c r="D13" s="694" t="s">
        <v>723</v>
      </c>
      <c r="E13" s="694"/>
      <c r="F13" s="694" t="s">
        <v>723</v>
      </c>
      <c r="G13" s="694"/>
      <c r="H13" s="254" t="s">
        <v>2429</v>
      </c>
      <c r="I13" s="694"/>
      <c r="J13" s="694" t="s">
        <v>723</v>
      </c>
      <c r="K13" s="694" t="s">
        <v>723</v>
      </c>
      <c r="L13" s="694" t="s">
        <v>723</v>
      </c>
    </row>
    <row r="14" spans="1:13" s="687" customFormat="1">
      <c r="A14" s="543" t="s">
        <v>313</v>
      </c>
      <c r="B14" s="694"/>
      <c r="C14" s="694"/>
      <c r="D14" s="694" t="s">
        <v>725</v>
      </c>
      <c r="E14" s="290" t="s">
        <v>78</v>
      </c>
      <c r="F14" s="694" t="s">
        <v>725</v>
      </c>
      <c r="G14" s="694"/>
      <c r="H14" s="694" t="s">
        <v>725</v>
      </c>
      <c r="I14" s="694"/>
      <c r="J14" s="694" t="s">
        <v>725</v>
      </c>
      <c r="K14" s="694" t="s">
        <v>725</v>
      </c>
      <c r="L14" s="694" t="s">
        <v>727</v>
      </c>
    </row>
    <row r="15" spans="1:13" s="687" customFormat="1">
      <c r="A15" s="1019" t="s">
        <v>316</v>
      </c>
      <c r="B15" s="999" t="s">
        <v>451</v>
      </c>
      <c r="C15" s="1066" t="s">
        <v>318</v>
      </c>
      <c r="D15" s="1066" t="s">
        <v>371</v>
      </c>
      <c r="E15" s="1067" t="s">
        <v>529</v>
      </c>
      <c r="F15" s="1066" t="s">
        <v>350</v>
      </c>
      <c r="G15" s="1066"/>
      <c r="H15" s="1066" t="s">
        <v>371</v>
      </c>
      <c r="I15" s="1066"/>
      <c r="J15" s="1066" t="s">
        <v>371</v>
      </c>
      <c r="K15" s="1066" t="s">
        <v>433</v>
      </c>
      <c r="L15" s="1066" t="s">
        <v>350</v>
      </c>
    </row>
    <row r="16" spans="1:13" s="687" customFormat="1">
      <c r="D16" s="687" t="s">
        <v>532</v>
      </c>
      <c r="E16" s="687">
        <v>-2</v>
      </c>
      <c r="F16" s="695" t="s">
        <v>1149</v>
      </c>
      <c r="H16" s="687" t="s">
        <v>1998</v>
      </c>
      <c r="J16" s="695" t="s">
        <v>669</v>
      </c>
      <c r="K16" s="695" t="s">
        <v>670</v>
      </c>
      <c r="L16" s="695" t="s">
        <v>1999</v>
      </c>
    </row>
    <row r="17" spans="1:12" s="687" customFormat="1">
      <c r="D17" s="687" t="s">
        <v>320</v>
      </c>
      <c r="F17" s="687" t="s">
        <v>320</v>
      </c>
      <c r="H17" s="687" t="s">
        <v>320</v>
      </c>
      <c r="J17" s="687" t="s">
        <v>320</v>
      </c>
      <c r="K17" s="687" t="s">
        <v>320</v>
      </c>
      <c r="L17" s="687" t="s">
        <v>320</v>
      </c>
    </row>
    <row r="18" spans="1:12">
      <c r="K18" s="689"/>
      <c r="L18" s="689"/>
    </row>
    <row r="19" spans="1:12">
      <c r="A19" s="687">
        <v>1</v>
      </c>
      <c r="B19" s="688" t="s">
        <v>1</v>
      </c>
      <c r="C19" s="687" t="s">
        <v>1996</v>
      </c>
      <c r="D19" s="688">
        <f>'C-1 Operating Income Summary'!I27</f>
        <v>38303782.565757886</v>
      </c>
      <c r="E19" s="696">
        <v>1</v>
      </c>
      <c r="F19" s="688">
        <f>D19*$E$19</f>
        <v>38303782.565757886</v>
      </c>
      <c r="H19" s="688">
        <f>J19-D19</f>
        <v>-11287386.048623681</v>
      </c>
      <c r="J19" s="688">
        <f>'C-1 Operating Income Summary'!M27</f>
        <v>27016396.517134205</v>
      </c>
      <c r="K19" s="688">
        <f>+L19-J19</f>
        <v>23642933.522708282</v>
      </c>
      <c r="L19" s="688">
        <f>'C-1 Operating Income Summary'!Q27</f>
        <v>50659330.039842486</v>
      </c>
    </row>
    <row r="20" spans="1:12">
      <c r="A20" s="687">
        <f>A19+1</f>
        <v>2</v>
      </c>
      <c r="B20" s="688" t="s">
        <v>2</v>
      </c>
      <c r="C20" s="687" t="s">
        <v>1314</v>
      </c>
      <c r="D20" s="1064">
        <f>D73</f>
        <v>11633981.281446217</v>
      </c>
      <c r="F20" s="1064">
        <f>D20*$E$19</f>
        <v>11633981.281446217</v>
      </c>
      <c r="H20" s="688">
        <f>J20-D20</f>
        <v>402812.35145992227</v>
      </c>
      <c r="J20" s="1064">
        <f>J73</f>
        <v>12036793.632906139</v>
      </c>
      <c r="K20" s="1064">
        <v>0</v>
      </c>
      <c r="L20" s="688">
        <f>SUM(J20,K20)</f>
        <v>12036793.632906139</v>
      </c>
    </row>
    <row r="21" spans="1:12">
      <c r="A21" s="687">
        <f t="shared" ref="A21:A73" si="0">A20+1</f>
        <v>3</v>
      </c>
      <c r="B21" s="688" t="s">
        <v>3</v>
      </c>
      <c r="C21" s="687" t="s">
        <v>1150</v>
      </c>
      <c r="D21" s="692">
        <f>+D19-D20</f>
        <v>26669801.284311667</v>
      </c>
      <c r="F21" s="692">
        <f>+F19-F20</f>
        <v>26669801.284311667</v>
      </c>
      <c r="H21" s="692">
        <f>+H19-H20</f>
        <v>-11690198.400083603</v>
      </c>
      <c r="J21" s="692">
        <f>+J19-J20</f>
        <v>14979602.884228066</v>
      </c>
      <c r="K21" s="692">
        <f>+K19-K20</f>
        <v>23642933.522708282</v>
      </c>
      <c r="L21" s="692">
        <f>+L19-L20</f>
        <v>38622536.406936347</v>
      </c>
    </row>
    <row r="22" spans="1:12">
      <c r="A22" s="687">
        <f t="shared" si="0"/>
        <v>4</v>
      </c>
      <c r="C22" s="687"/>
    </row>
    <row r="23" spans="1:12">
      <c r="A23" s="687">
        <f t="shared" si="0"/>
        <v>5</v>
      </c>
      <c r="B23" s="689" t="s">
        <v>1151</v>
      </c>
      <c r="C23" s="687" t="s">
        <v>1152</v>
      </c>
      <c r="D23" s="688">
        <f>D100</f>
        <v>36606.897989803576</v>
      </c>
      <c r="F23" s="688">
        <f>F100</f>
        <v>51041.587137071299</v>
      </c>
      <c r="H23" s="688">
        <f>H100</f>
        <v>110894.27652647952</v>
      </c>
      <c r="J23" s="688">
        <f>J100</f>
        <v>161935.86366355082</v>
      </c>
      <c r="K23" s="688">
        <f>K100</f>
        <v>0</v>
      </c>
      <c r="L23" s="688">
        <f>L100</f>
        <v>161935.86366355082</v>
      </c>
    </row>
    <row r="24" spans="1:12" s="689" customFormat="1">
      <c r="A24" s="687">
        <f t="shared" si="0"/>
        <v>6</v>
      </c>
      <c r="B24" s="689" t="s">
        <v>1153</v>
      </c>
      <c r="C24" s="694" t="s">
        <v>1154</v>
      </c>
      <c r="D24" s="689">
        <f>D148</f>
        <v>-36188667.879726388</v>
      </c>
      <c r="F24" s="689">
        <f>F148</f>
        <v>-36188667.879726388</v>
      </c>
      <c r="H24" s="689">
        <f>H148</f>
        <v>27363713.231379159</v>
      </c>
      <c r="J24" s="689">
        <f>J148</f>
        <v>-8824954.6483472325</v>
      </c>
      <c r="K24" s="689">
        <f>K148</f>
        <v>0</v>
      </c>
      <c r="L24" s="689">
        <f>L148</f>
        <v>-8824954.6483472325</v>
      </c>
    </row>
    <row r="25" spans="1:12">
      <c r="A25" s="687">
        <f t="shared" si="0"/>
        <v>7</v>
      </c>
      <c r="B25" s="689" t="s">
        <v>25</v>
      </c>
      <c r="C25" s="687" t="s">
        <v>1155</v>
      </c>
      <c r="D25" s="689">
        <f>D151</f>
        <v>393253.63666666625</v>
      </c>
      <c r="F25" s="689">
        <f>F151</f>
        <v>393253.63666666625</v>
      </c>
      <c r="H25" s="689">
        <f>H151</f>
        <v>-3714979.4966666619</v>
      </c>
      <c r="J25" s="689">
        <f>J151</f>
        <v>-3321725.8599999957</v>
      </c>
      <c r="K25" s="689">
        <f>K151</f>
        <v>0</v>
      </c>
      <c r="L25" s="689">
        <f>L151</f>
        <v>-3321725.8599999957</v>
      </c>
    </row>
    <row r="26" spans="1:12">
      <c r="A26" s="687">
        <f t="shared" si="0"/>
        <v>8</v>
      </c>
      <c r="C26" s="687"/>
    </row>
    <row r="27" spans="1:12" s="1068" customFormat="1">
      <c r="A27" s="687">
        <f t="shared" si="0"/>
        <v>9</v>
      </c>
      <c r="B27" s="688" t="s">
        <v>4</v>
      </c>
      <c r="C27" s="687" t="s">
        <v>1156</v>
      </c>
      <c r="D27" s="688">
        <f>+D21+D23+D24+D25</f>
        <v>-9089006.0607582517</v>
      </c>
      <c r="E27" s="688"/>
      <c r="F27" s="688">
        <f>+F21+F23+F24+F25</f>
        <v>-9074571.3716109842</v>
      </c>
      <c r="G27" s="688"/>
      <c r="H27" s="688">
        <f>+H21+H23+H24+H25</f>
        <v>12069429.611155372</v>
      </c>
      <c r="I27" s="688"/>
      <c r="J27" s="688">
        <f>+J21+J23+J24+J25</f>
        <v>2994858.2395443879</v>
      </c>
      <c r="K27" s="688">
        <f>+K21+K23+K24+K25</f>
        <v>23642933.522708282</v>
      </c>
      <c r="L27" s="688">
        <f>+L21+L23+L24+L25</f>
        <v>26637791.762252674</v>
      </c>
    </row>
    <row r="28" spans="1:12">
      <c r="A28" s="687">
        <f t="shared" si="0"/>
        <v>10</v>
      </c>
      <c r="C28" s="687"/>
    </row>
    <row r="29" spans="1:12">
      <c r="A29" s="687">
        <f t="shared" si="0"/>
        <v>11</v>
      </c>
      <c r="B29" s="688" t="s">
        <v>5</v>
      </c>
      <c r="C29" s="687" t="s">
        <v>1306</v>
      </c>
      <c r="D29" s="688">
        <f>D27*0.05</f>
        <v>-454450.30303791258</v>
      </c>
      <c r="F29" s="688">
        <f>F27*0.05</f>
        <v>-453728.56858054921</v>
      </c>
      <c r="H29" s="688">
        <f>H27*0.05</f>
        <v>603471.48055776861</v>
      </c>
      <c r="J29" s="688">
        <f>J27*0.05</f>
        <v>149742.9119772194</v>
      </c>
      <c r="K29" s="688">
        <f>K27*0.05</f>
        <v>1182146.676135414</v>
      </c>
      <c r="L29" s="688">
        <f>L27*0.05</f>
        <v>1331889.5881126337</v>
      </c>
    </row>
    <row r="30" spans="1:12">
      <c r="A30" s="687">
        <f t="shared" si="0"/>
        <v>12</v>
      </c>
      <c r="B30" s="688" t="s">
        <v>1157</v>
      </c>
      <c r="C30" s="687" t="s">
        <v>1158</v>
      </c>
      <c r="D30" s="688">
        <f>D185</f>
        <v>-764696</v>
      </c>
      <c r="F30" s="688">
        <f>F185</f>
        <v>-764696</v>
      </c>
      <c r="H30" s="688">
        <f>H185</f>
        <v>764696</v>
      </c>
      <c r="J30" s="688">
        <f t="shared" ref="J30:L31" si="1">J185</f>
        <v>0</v>
      </c>
      <c r="K30" s="688">
        <f t="shared" si="1"/>
        <v>0</v>
      </c>
      <c r="L30" s="688">
        <f t="shared" si="1"/>
        <v>0</v>
      </c>
    </row>
    <row r="31" spans="1:12">
      <c r="A31" s="687">
        <f t="shared" si="0"/>
        <v>13</v>
      </c>
      <c r="B31" s="688" t="s">
        <v>1159</v>
      </c>
      <c r="C31" s="687" t="s">
        <v>1160</v>
      </c>
      <c r="D31" s="1064">
        <f>D186</f>
        <v>0</v>
      </c>
      <c r="F31" s="1064">
        <f>F186</f>
        <v>0</v>
      </c>
      <c r="H31" s="1064">
        <f>H186</f>
        <v>0</v>
      </c>
      <c r="J31" s="1064">
        <f t="shared" si="1"/>
        <v>0</v>
      </c>
      <c r="K31" s="1064">
        <f t="shared" si="1"/>
        <v>0</v>
      </c>
      <c r="L31" s="1064">
        <f t="shared" si="1"/>
        <v>0</v>
      </c>
    </row>
    <row r="32" spans="1:12">
      <c r="A32" s="687">
        <f t="shared" si="0"/>
        <v>14</v>
      </c>
      <c r="C32" s="687"/>
      <c r="D32" s="689"/>
      <c r="F32" s="689"/>
      <c r="H32" s="689"/>
      <c r="J32" s="689"/>
      <c r="K32" s="689"/>
      <c r="L32" s="689"/>
    </row>
    <row r="33" spans="1:12">
      <c r="A33" s="687">
        <f t="shared" si="0"/>
        <v>15</v>
      </c>
      <c r="B33" s="688" t="s">
        <v>6</v>
      </c>
      <c r="C33" s="687" t="s">
        <v>1315</v>
      </c>
      <c r="D33" s="688">
        <f>D29+D30+D31</f>
        <v>-1219146.3030379126</v>
      </c>
      <c r="F33" s="688">
        <f>F29+F30+F31</f>
        <v>-1218424.5685805492</v>
      </c>
      <c r="H33" s="688">
        <f>H29+H30+H31</f>
        <v>1368167.4805577686</v>
      </c>
      <c r="J33" s="688">
        <f>+J29+J31</f>
        <v>149742.9119772194</v>
      </c>
      <c r="K33" s="688">
        <f>K29+K30+K31</f>
        <v>1182146.676135414</v>
      </c>
      <c r="L33" s="688">
        <f>L29+L30+L31</f>
        <v>1331889.5881126337</v>
      </c>
    </row>
    <row r="34" spans="1:12">
      <c r="A34" s="687">
        <f t="shared" si="0"/>
        <v>16</v>
      </c>
      <c r="C34" s="687"/>
    </row>
    <row r="35" spans="1:12" s="1068" customFormat="1">
      <c r="A35" s="687">
        <f t="shared" si="0"/>
        <v>17</v>
      </c>
      <c r="B35" s="688" t="s">
        <v>7</v>
      </c>
      <c r="C35" s="687" t="s">
        <v>1316</v>
      </c>
      <c r="D35" s="688">
        <f>D21+D23+D24-D29-D30</f>
        <v>-8263113.3943870068</v>
      </c>
      <c r="E35" s="688"/>
      <c r="F35" s="688">
        <f>F21+F23+F24-F29-F30</f>
        <v>-8249400.4396971017</v>
      </c>
      <c r="G35" s="688"/>
      <c r="H35" s="688">
        <f>H21+H23+H24-H29-H30</f>
        <v>14416241.627264265</v>
      </c>
      <c r="I35" s="688"/>
      <c r="J35" s="688">
        <f>J21+J23+J24-J29-J30</f>
        <v>6166841.1875671642</v>
      </c>
      <c r="K35" s="688">
        <f>K21+K23+K24-K29-K30</f>
        <v>22460786.846572869</v>
      </c>
      <c r="L35" s="688">
        <f>L21+L23+L24-L29-L30</f>
        <v>28627628.034140036</v>
      </c>
    </row>
    <row r="36" spans="1:12">
      <c r="A36" s="687">
        <f t="shared" si="0"/>
        <v>18</v>
      </c>
      <c r="C36" s="687"/>
    </row>
    <row r="37" spans="1:12">
      <c r="A37" s="687">
        <f t="shared" si="0"/>
        <v>19</v>
      </c>
      <c r="B37" s="688" t="s">
        <v>1008</v>
      </c>
      <c r="C37" s="687"/>
      <c r="D37" s="688">
        <v>-988719.11409474444</v>
      </c>
      <c r="F37" s="688">
        <f>D37*$E$19</f>
        <v>-988719.11409474444</v>
      </c>
      <c r="H37" s="688">
        <v>0</v>
      </c>
      <c r="J37" s="688">
        <v>0</v>
      </c>
      <c r="K37" s="688">
        <v>0</v>
      </c>
      <c r="L37" s="688">
        <v>0</v>
      </c>
    </row>
    <row r="38" spans="1:12">
      <c r="A38" s="687">
        <f t="shared" si="0"/>
        <v>20</v>
      </c>
      <c r="C38" s="687"/>
    </row>
    <row r="39" spans="1:12">
      <c r="A39" s="687">
        <f t="shared" si="0"/>
        <v>21</v>
      </c>
      <c r="B39" s="688" t="s">
        <v>8</v>
      </c>
      <c r="C39" s="687" t="s">
        <v>1317</v>
      </c>
      <c r="D39" s="688">
        <f>(D35+D37)*0.21</f>
        <v>-1942884.8267811679</v>
      </c>
      <c r="F39" s="688">
        <f>(F35+F37)*0.21</f>
        <v>-1940005.1062962878</v>
      </c>
      <c r="H39" s="688">
        <f>(H35+H37)*0.21</f>
        <v>3027410.7417254956</v>
      </c>
      <c r="J39" s="688">
        <f>(J35+J37)*0.21</f>
        <v>1295036.6493891045</v>
      </c>
      <c r="K39" s="688">
        <f>(K35+K37)*0.21</f>
        <v>4716765.2377803018</v>
      </c>
      <c r="L39" s="688">
        <f>(L35+L37)*0.21-4</f>
        <v>6011797.8871694077</v>
      </c>
    </row>
    <row r="40" spans="1:12">
      <c r="A40" s="687">
        <f t="shared" si="0"/>
        <v>22</v>
      </c>
      <c r="B40" s="688" t="s">
        <v>9</v>
      </c>
      <c r="C40" s="687" t="s">
        <v>1318</v>
      </c>
      <c r="D40" s="688">
        <f>D175</f>
        <v>-825</v>
      </c>
      <c r="F40" s="688">
        <f>F175</f>
        <v>-825</v>
      </c>
      <c r="H40" s="688">
        <f>H175</f>
        <v>825</v>
      </c>
      <c r="J40" s="688">
        <f>J175</f>
        <v>0</v>
      </c>
      <c r="K40" s="688">
        <f>K175</f>
        <v>0</v>
      </c>
      <c r="L40" s="688">
        <f>L175</f>
        <v>0</v>
      </c>
    </row>
    <row r="41" spans="1:12">
      <c r="A41" s="687">
        <f t="shared" si="0"/>
        <v>23</v>
      </c>
      <c r="B41" s="688" t="s">
        <v>10</v>
      </c>
      <c r="C41" s="687"/>
      <c r="D41" s="1064">
        <v>0</v>
      </c>
      <c r="F41" s="1064">
        <v>0</v>
      </c>
      <c r="H41" s="1064">
        <v>0</v>
      </c>
      <c r="J41" s="1064">
        <v>0</v>
      </c>
      <c r="K41" s="1064">
        <v>0</v>
      </c>
      <c r="L41" s="1064">
        <v>0</v>
      </c>
    </row>
    <row r="42" spans="1:12">
      <c r="A42" s="687">
        <f t="shared" si="0"/>
        <v>24</v>
      </c>
      <c r="C42" s="687"/>
    </row>
    <row r="43" spans="1:12" s="1068" customFormat="1">
      <c r="A43" s="687">
        <f t="shared" si="0"/>
        <v>25</v>
      </c>
      <c r="B43" s="688" t="s">
        <v>11</v>
      </c>
      <c r="C43" s="687" t="s">
        <v>1319</v>
      </c>
      <c r="D43" s="689">
        <f>D39+D40+D41</f>
        <v>-1943709.8267811679</v>
      </c>
      <c r="E43" s="688"/>
      <c r="F43" s="689">
        <f>F39+F40+F41</f>
        <v>-1940830.1062962878</v>
      </c>
      <c r="G43" s="688"/>
      <c r="H43" s="689">
        <f>H39+H40+H41</f>
        <v>3028235.7417254956</v>
      </c>
      <c r="I43" s="688"/>
      <c r="J43" s="689">
        <f>J39+J40+J41</f>
        <v>1295036.6493891045</v>
      </c>
      <c r="K43" s="689">
        <f>K39+K40+K41</f>
        <v>4716765.2377803018</v>
      </c>
      <c r="L43" s="689">
        <f>L39+L40+L41</f>
        <v>6011797.8871694077</v>
      </c>
    </row>
    <row r="44" spans="1:12" s="1068" customFormat="1">
      <c r="A44" s="687">
        <f t="shared" si="0"/>
        <v>26</v>
      </c>
      <c r="B44" s="688" t="s">
        <v>12</v>
      </c>
      <c r="C44" s="687" t="s">
        <v>1315</v>
      </c>
      <c r="D44" s="1064">
        <f>SUM(D30:D31,D29)</f>
        <v>-1219146.3030379126</v>
      </c>
      <c r="E44" s="688"/>
      <c r="F44" s="1064">
        <f>SUM(F30:F31,F29)</f>
        <v>-1218424.5685805492</v>
      </c>
      <c r="G44" s="688"/>
      <c r="H44" s="1064">
        <f>SUM(H30:H31,H29)</f>
        <v>1368167.4805577686</v>
      </c>
      <c r="I44" s="688"/>
      <c r="J44" s="1064">
        <f>+J33</f>
        <v>149742.9119772194</v>
      </c>
      <c r="K44" s="1064">
        <f>SUM(K30:K31,K29)</f>
        <v>1182146.676135414</v>
      </c>
      <c r="L44" s="1064">
        <f>SUM(L30:L31,L29)</f>
        <v>1331889.5881126337</v>
      </c>
    </row>
    <row r="45" spans="1:12" s="1068" customFormat="1">
      <c r="A45" s="687">
        <f t="shared" si="0"/>
        <v>27</v>
      </c>
      <c r="B45" s="688" t="s">
        <v>13</v>
      </c>
      <c r="C45" s="687" t="s">
        <v>1320</v>
      </c>
      <c r="D45" s="688">
        <f>+D43+D44</f>
        <v>-3162856.1298190802</v>
      </c>
      <c r="E45" s="688"/>
      <c r="F45" s="688">
        <f>+F43+F44</f>
        <v>-3159254.6748768371</v>
      </c>
      <c r="G45" s="688"/>
      <c r="H45" s="688">
        <f>+H43+H44</f>
        <v>4396403.2222832646</v>
      </c>
      <c r="I45" s="688"/>
      <c r="J45" s="688">
        <f>+J43+J44</f>
        <v>1444779.5613663238</v>
      </c>
      <c r="K45" s="688">
        <f>+K43+K44</f>
        <v>5898911.9139157161</v>
      </c>
      <c r="L45" s="688">
        <f>+L43+L44</f>
        <v>7343687.4752820414</v>
      </c>
    </row>
    <row r="46" spans="1:12">
      <c r="A46" s="687">
        <f t="shared" si="0"/>
        <v>28</v>
      </c>
      <c r="C46" s="687"/>
    </row>
    <row r="47" spans="1:12" s="689" customFormat="1">
      <c r="A47" s="687">
        <f t="shared" si="0"/>
        <v>29</v>
      </c>
      <c r="B47" s="689" t="s">
        <v>15</v>
      </c>
      <c r="C47" s="694" t="s">
        <v>1321</v>
      </c>
      <c r="D47" s="689">
        <f>(-D24-D37)*21%</f>
        <v>7807251.2687024372</v>
      </c>
      <c r="F47" s="689">
        <f>(-F24-F37)*21%</f>
        <v>7807251.2687024372</v>
      </c>
      <c r="H47" s="689">
        <f>(-H24-H37)*21%</f>
        <v>-5746379.778589623</v>
      </c>
      <c r="J47" s="689">
        <f>(-J24-J37)*21%</f>
        <v>1853240.4761529188</v>
      </c>
      <c r="K47" s="689">
        <f>(-K24-K37)*21%</f>
        <v>0</v>
      </c>
      <c r="L47" s="689">
        <f>(-L24-L37)*21%</f>
        <v>1853240.4761529188</v>
      </c>
    </row>
    <row r="48" spans="1:12" s="689" customFormat="1">
      <c r="A48" s="687">
        <f t="shared" si="0"/>
        <v>30</v>
      </c>
      <c r="B48" s="689" t="s">
        <v>1161</v>
      </c>
      <c r="C48" s="694" t="s">
        <v>1322</v>
      </c>
      <c r="D48" s="689">
        <f>-D55*21%</f>
        <v>-375851.84955212713</v>
      </c>
      <c r="F48" s="689">
        <f>-F55*21%</f>
        <v>-375851.84955212713</v>
      </c>
      <c r="H48" s="689">
        <f>-H55*21%</f>
        <v>248311.70421448123</v>
      </c>
      <c r="J48" s="689">
        <f>-J55*21%</f>
        <v>-127540.1453376459</v>
      </c>
      <c r="K48" s="689">
        <f>-K55*21%</f>
        <v>0</v>
      </c>
      <c r="L48" s="689">
        <f>-L55*21%</f>
        <v>-127540.1453376459</v>
      </c>
    </row>
    <row r="49" spans="1:13" s="689" customFormat="1">
      <c r="A49" s="687">
        <f t="shared" si="0"/>
        <v>31</v>
      </c>
      <c r="B49" s="689" t="s">
        <v>14</v>
      </c>
      <c r="C49" s="694" t="s">
        <v>1323</v>
      </c>
      <c r="D49" s="689">
        <f>SUM(D172:D172)</f>
        <v>-491664.15458923089</v>
      </c>
      <c r="F49" s="689">
        <f>SUM(F172:F172)</f>
        <v>-491664.15458923089</v>
      </c>
      <c r="H49" s="689">
        <f>SUM(H172:H172)</f>
        <v>30532.470000000147</v>
      </c>
      <c r="J49" s="689">
        <f>SUM(J172:J172)</f>
        <v>-461131.68458923075</v>
      </c>
      <c r="K49" s="689">
        <f>SUM(K172:K172)</f>
        <v>0</v>
      </c>
      <c r="L49" s="689">
        <f>SUM(L172:L172)</f>
        <v>-461131.68458923075</v>
      </c>
    </row>
    <row r="50" spans="1:13" s="689" customFormat="1">
      <c r="A50" s="687">
        <f t="shared" si="0"/>
        <v>32</v>
      </c>
      <c r="B50" s="689" t="s">
        <v>1458</v>
      </c>
      <c r="C50" s="694" t="s">
        <v>1324</v>
      </c>
      <c r="D50" s="689">
        <f>D171</f>
        <v>-41866.766666666663</v>
      </c>
      <c r="F50" s="689">
        <f>F171</f>
        <v>-41866.766666666663</v>
      </c>
      <c r="H50" s="689">
        <f>H171</f>
        <v>-29410.233333333337</v>
      </c>
      <c r="J50" s="689">
        <f>J171</f>
        <v>-71277</v>
      </c>
      <c r="K50" s="689">
        <f>K171</f>
        <v>0</v>
      </c>
      <c r="L50" s="689">
        <f>L171</f>
        <v>-71277</v>
      </c>
    </row>
    <row r="51" spans="1:13" s="689" customFormat="1" ht="13.5" customHeight="1">
      <c r="A51" s="687">
        <f t="shared" si="0"/>
        <v>33</v>
      </c>
      <c r="B51" s="689" t="s">
        <v>22</v>
      </c>
      <c r="C51" s="694" t="s">
        <v>1325</v>
      </c>
      <c r="D51" s="689">
        <f>D170</f>
        <v>-9098.3333333333321</v>
      </c>
      <c r="F51" s="689">
        <f>F170</f>
        <v>-9098.3333333333321</v>
      </c>
      <c r="H51" s="689">
        <f>H170</f>
        <v>8034.3333333333321</v>
      </c>
      <c r="J51" s="689">
        <f>J170</f>
        <v>-1064</v>
      </c>
      <c r="K51" s="689">
        <f>K170</f>
        <v>0</v>
      </c>
      <c r="L51" s="689">
        <f>L170</f>
        <v>-1064</v>
      </c>
    </row>
    <row r="52" spans="1:13" s="689" customFormat="1">
      <c r="A52" s="687">
        <f t="shared" si="0"/>
        <v>34</v>
      </c>
      <c r="B52" s="689" t="s">
        <v>1162</v>
      </c>
      <c r="C52" s="694" t="s">
        <v>1326</v>
      </c>
      <c r="D52" s="689">
        <f>SUM(D176:D178)</f>
        <v>-165778.53</v>
      </c>
      <c r="F52" s="689">
        <f>SUM(F176:F178)</f>
        <v>-165778.53</v>
      </c>
      <c r="H52" s="689">
        <f>SUM(H176:H178)</f>
        <v>165778.53</v>
      </c>
      <c r="J52" s="689">
        <f>SUM(J176:J178)</f>
        <v>0</v>
      </c>
      <c r="K52" s="689">
        <f>SUM(K176:K178)</f>
        <v>0</v>
      </c>
      <c r="L52" s="689">
        <f>SUM(L176:L178)</f>
        <v>0</v>
      </c>
    </row>
    <row r="53" spans="1:13" s="1068" customFormat="1">
      <c r="A53" s="687">
        <f t="shared" si="0"/>
        <v>35</v>
      </c>
      <c r="B53" s="688" t="s">
        <v>16</v>
      </c>
      <c r="C53" s="687" t="s">
        <v>1327</v>
      </c>
      <c r="D53" s="688">
        <f>SUM(D47:D52)</f>
        <v>6722991.6345610786</v>
      </c>
      <c r="E53" s="688"/>
      <c r="F53" s="688">
        <f>SUM(F47:F52)</f>
        <v>6722991.6345610786</v>
      </c>
      <c r="G53" s="688"/>
      <c r="H53" s="688">
        <f>SUM(H47:H52)</f>
        <v>-5323132.9743751418</v>
      </c>
      <c r="I53" s="688"/>
      <c r="J53" s="688">
        <f>SUM(J47:J52)</f>
        <v>1192227.6462260422</v>
      </c>
      <c r="K53" s="688">
        <f>SUM(K47:K52)</f>
        <v>0</v>
      </c>
      <c r="L53" s="688">
        <f>SUM(L47:L52)</f>
        <v>1192227.6462260422</v>
      </c>
    </row>
    <row r="54" spans="1:13">
      <c r="A54" s="687">
        <f t="shared" si="0"/>
        <v>36</v>
      </c>
      <c r="C54" s="687"/>
    </row>
    <row r="55" spans="1:13" s="689" customFormat="1">
      <c r="A55" s="687">
        <f t="shared" si="0"/>
        <v>37</v>
      </c>
      <c r="B55" s="689" t="s">
        <v>18</v>
      </c>
      <c r="C55" s="694" t="s">
        <v>1328</v>
      </c>
      <c r="D55" s="689">
        <f>(-D24-D25)*5%</f>
        <v>1789770.7121529863</v>
      </c>
      <c r="F55" s="689">
        <f>(-F24-F25)*5%</f>
        <v>1789770.7121529863</v>
      </c>
      <c r="H55" s="689">
        <f>(-H24-H25)*5%</f>
        <v>-1182436.6867356249</v>
      </c>
      <c r="J55" s="689">
        <f>(-J24-J25)*5%</f>
        <v>607334.02541736141</v>
      </c>
      <c r="K55" s="689">
        <f>(-K24-K25)*5%</f>
        <v>0</v>
      </c>
      <c r="L55" s="689">
        <f>(-L24-L25)*5%</f>
        <v>607334.02541736141</v>
      </c>
    </row>
    <row r="56" spans="1:13">
      <c r="A56" s="687">
        <f t="shared" si="0"/>
        <v>38</v>
      </c>
      <c r="B56" s="688" t="s">
        <v>17</v>
      </c>
      <c r="C56" s="694" t="s">
        <v>1329</v>
      </c>
      <c r="D56" s="688">
        <f>D181</f>
        <v>-24123.165380952385</v>
      </c>
      <c r="F56" s="688">
        <f>F181</f>
        <v>-24123.165380952385</v>
      </c>
      <c r="H56" s="688">
        <f>H181</f>
        <v>0</v>
      </c>
      <c r="J56" s="688">
        <f t="shared" ref="J56:L57" si="2">J181</f>
        <v>-24123.165380952385</v>
      </c>
      <c r="K56" s="688">
        <f t="shared" si="2"/>
        <v>0</v>
      </c>
      <c r="L56" s="688">
        <f t="shared" si="2"/>
        <v>-24123.165380952385</v>
      </c>
    </row>
    <row r="57" spans="1:13">
      <c r="A57" s="687">
        <f t="shared" si="0"/>
        <v>39</v>
      </c>
      <c r="B57" s="689" t="s">
        <v>1459</v>
      </c>
      <c r="C57" s="694" t="s">
        <v>1330</v>
      </c>
      <c r="D57" s="688">
        <f>D182</f>
        <v>-10493.35</v>
      </c>
      <c r="F57" s="688">
        <f>F182</f>
        <v>-10493.35</v>
      </c>
      <c r="H57" s="688">
        <f>H182</f>
        <v>-7370.5599999999995</v>
      </c>
      <c r="J57" s="688">
        <f t="shared" si="2"/>
        <v>-17863.91</v>
      </c>
      <c r="K57" s="688">
        <f t="shared" si="2"/>
        <v>0</v>
      </c>
      <c r="L57" s="688">
        <f t="shared" si="2"/>
        <v>-17863.91</v>
      </c>
    </row>
    <row r="58" spans="1:13">
      <c r="A58" s="687">
        <f t="shared" si="0"/>
        <v>40</v>
      </c>
      <c r="B58" s="689" t="s">
        <v>1163</v>
      </c>
      <c r="C58" s="694" t="s">
        <v>1331</v>
      </c>
      <c r="D58" s="688">
        <f>SUM(D187:D188)</f>
        <v>763393</v>
      </c>
      <c r="F58" s="688">
        <f>SUM(F187:F188)</f>
        <v>763393</v>
      </c>
      <c r="H58" s="688">
        <f>SUM(H187:H188)</f>
        <v>-763393</v>
      </c>
      <c r="J58" s="688">
        <f>SUM(J187:J188)</f>
        <v>0</v>
      </c>
      <c r="K58" s="688">
        <f>SUM(K187:K188)</f>
        <v>0</v>
      </c>
      <c r="L58" s="688">
        <f>SUM(L187:L188)</f>
        <v>0</v>
      </c>
    </row>
    <row r="59" spans="1:13" s="1068" customFormat="1">
      <c r="A59" s="687">
        <f t="shared" si="0"/>
        <v>41</v>
      </c>
      <c r="B59" s="688" t="s">
        <v>19</v>
      </c>
      <c r="C59" s="687" t="s">
        <v>1332</v>
      </c>
      <c r="D59" s="689">
        <f>SUM(D55:D58)</f>
        <v>2518547.1967720338</v>
      </c>
      <c r="E59" s="688"/>
      <c r="F59" s="689">
        <f>SUM(F55:F58)</f>
        <v>2518547.1967720338</v>
      </c>
      <c r="G59" s="688"/>
      <c r="H59" s="689">
        <f>SUM(H55:H58)</f>
        <v>-1953200.246735625</v>
      </c>
      <c r="I59" s="688"/>
      <c r="J59" s="689">
        <f>SUM(J55:J58)</f>
        <v>565346.95003640896</v>
      </c>
      <c r="K59" s="689">
        <f>SUM(K55:K58)</f>
        <v>0</v>
      </c>
      <c r="L59" s="689">
        <f>SUM(L55:L58)</f>
        <v>565346.95003640896</v>
      </c>
    </row>
    <row r="60" spans="1:13">
      <c r="A60" s="687">
        <f t="shared" si="0"/>
        <v>42</v>
      </c>
      <c r="C60" s="687"/>
      <c r="D60" s="689"/>
      <c r="F60" s="689"/>
      <c r="H60" s="689"/>
      <c r="J60" s="689"/>
      <c r="K60" s="689"/>
      <c r="L60" s="689"/>
    </row>
    <row r="61" spans="1:13" s="1068" customFormat="1">
      <c r="A61" s="687">
        <f t="shared" si="0"/>
        <v>43</v>
      </c>
      <c r="B61" s="688" t="s">
        <v>20</v>
      </c>
      <c r="C61" s="687" t="s">
        <v>1333</v>
      </c>
      <c r="D61" s="688">
        <f>D53+D59</f>
        <v>9241538.831333112</v>
      </c>
      <c r="E61" s="688"/>
      <c r="F61" s="688">
        <f>F53+F59</f>
        <v>9241538.831333112</v>
      </c>
      <c r="G61" s="688"/>
      <c r="H61" s="688">
        <f>H53+H59</f>
        <v>-7276333.2211107668</v>
      </c>
      <c r="I61" s="688"/>
      <c r="J61" s="688">
        <f>J53+J59</f>
        <v>1757574.5962624513</v>
      </c>
      <c r="K61" s="688">
        <f>K53+K59</f>
        <v>0</v>
      </c>
      <c r="L61" s="688">
        <f>L53+L59</f>
        <v>1757574.5962624513</v>
      </c>
    </row>
    <row r="62" spans="1:13">
      <c r="A62" s="687">
        <f t="shared" si="0"/>
        <v>44</v>
      </c>
      <c r="C62" s="687"/>
    </row>
    <row r="63" spans="1:13" s="1068" customFormat="1">
      <c r="A63" s="687">
        <f t="shared" si="0"/>
        <v>45</v>
      </c>
      <c r="B63" s="688" t="s">
        <v>21</v>
      </c>
      <c r="C63" s="687" t="s">
        <v>1334</v>
      </c>
      <c r="D63" s="688">
        <f>D43+D53</f>
        <v>4779281.807779911</v>
      </c>
      <c r="E63" s="688"/>
      <c r="F63" s="688">
        <f>F43+F53</f>
        <v>4782161.5282647908</v>
      </c>
      <c r="G63" s="697"/>
      <c r="H63" s="688">
        <f>H43+H53</f>
        <v>-2294897.2326496462</v>
      </c>
      <c r="I63" s="697"/>
      <c r="J63" s="688">
        <f>J43+J53</f>
        <v>2487264.2956151469</v>
      </c>
      <c r="K63" s="688">
        <f>K43+K53</f>
        <v>4716765.2377803018</v>
      </c>
      <c r="L63" s="688">
        <f>L43+L53</f>
        <v>7204025.5333954496</v>
      </c>
      <c r="M63" s="698"/>
    </row>
    <row r="64" spans="1:13">
      <c r="A64" s="687">
        <f t="shared" si="0"/>
        <v>46</v>
      </c>
      <c r="C64" s="687"/>
    </row>
    <row r="65" spans="1:13" s="1068" customFormat="1">
      <c r="A65" s="687">
        <f t="shared" si="0"/>
        <v>47</v>
      </c>
      <c r="B65" s="688" t="s">
        <v>1164</v>
      </c>
      <c r="C65" s="687" t="s">
        <v>1335</v>
      </c>
      <c r="D65" s="1064">
        <f>+D44+D59</f>
        <v>1299400.8937341212</v>
      </c>
      <c r="E65" s="688"/>
      <c r="F65" s="1064">
        <f>+F44+F59</f>
        <v>1300122.6281914846</v>
      </c>
      <c r="G65" s="697"/>
      <c r="H65" s="1064">
        <f>+H44+H59</f>
        <v>-585032.76617785636</v>
      </c>
      <c r="I65" s="697"/>
      <c r="J65" s="1064">
        <f>+J44+J59</f>
        <v>715089.86201362836</v>
      </c>
      <c r="K65" s="1064">
        <f>+K44+K59</f>
        <v>1182146.676135414</v>
      </c>
      <c r="L65" s="1064">
        <f>+L44+L59</f>
        <v>1897236.5381490425</v>
      </c>
      <c r="M65" s="698"/>
    </row>
    <row r="66" spans="1:13">
      <c r="A66" s="687">
        <f t="shared" si="0"/>
        <v>48</v>
      </c>
      <c r="C66" s="687"/>
    </row>
    <row r="67" spans="1:13" s="1068" customFormat="1">
      <c r="A67" s="687">
        <f t="shared" si="0"/>
        <v>49</v>
      </c>
      <c r="B67" s="688" t="s">
        <v>23</v>
      </c>
      <c r="C67" s="687" t="s">
        <v>1165</v>
      </c>
      <c r="D67" s="688">
        <f>+D65+D63</f>
        <v>6078682.7015140317</v>
      </c>
      <c r="E67" s="688"/>
      <c r="F67" s="688">
        <f>+F65+F63</f>
        <v>6082284.1564562749</v>
      </c>
      <c r="G67" s="697"/>
      <c r="H67" s="688">
        <f>+H65+H63</f>
        <v>-2879929.9988275026</v>
      </c>
      <c r="I67" s="697"/>
      <c r="J67" s="688">
        <f>+J65+J63</f>
        <v>3202354.1576287751</v>
      </c>
      <c r="K67" s="688">
        <f>+K65+K63</f>
        <v>5898911.9139157161</v>
      </c>
      <c r="L67" s="688">
        <f>+L65+L63</f>
        <v>9101262.0715444926</v>
      </c>
      <c r="M67" s="698"/>
    </row>
    <row r="68" spans="1:13">
      <c r="A68" s="687">
        <f t="shared" si="0"/>
        <v>50</v>
      </c>
      <c r="C68" s="687"/>
      <c r="L68" s="697"/>
    </row>
    <row r="69" spans="1:13">
      <c r="A69" s="687">
        <f t="shared" si="0"/>
        <v>51</v>
      </c>
      <c r="B69" s="688" t="s">
        <v>1305</v>
      </c>
      <c r="C69" s="687"/>
      <c r="D69" s="697">
        <f>D67/D21</f>
        <v>0.22792380928199027</v>
      </c>
      <c r="F69" s="697">
        <f>F67/F21</f>
        <v>0.22805884796877501</v>
      </c>
      <c r="H69" s="697">
        <f>H67/H21</f>
        <v>0.24635424483530635</v>
      </c>
      <c r="J69" s="697">
        <f>J67/J21</f>
        <v>0.21378097819939637</v>
      </c>
      <c r="K69" s="697">
        <f>K67/K21</f>
        <v>0.2495</v>
      </c>
      <c r="L69" s="697">
        <f>L67/L21</f>
        <v>0.23564641057364547</v>
      </c>
    </row>
    <row r="70" spans="1:13">
      <c r="A70" s="687">
        <f t="shared" si="0"/>
        <v>52</v>
      </c>
      <c r="B70" s="688" t="s">
        <v>1307</v>
      </c>
      <c r="C70" s="687"/>
    </row>
    <row r="71" spans="1:13">
      <c r="A71" s="687">
        <f t="shared" si="0"/>
        <v>53</v>
      </c>
      <c r="B71" s="688" t="s">
        <v>1308</v>
      </c>
      <c r="C71" s="687" t="s">
        <v>1309</v>
      </c>
      <c r="D71" s="688">
        <f>'B-1 p.1 Summary (Base)'!J38</f>
        <v>512510188.60996556</v>
      </c>
      <c r="J71" s="688">
        <f>'B-1 p.2 Summary (Forecast)'!K41</f>
        <v>518827311.76319563</v>
      </c>
    </row>
    <row r="72" spans="1:13">
      <c r="A72" s="687">
        <f t="shared" si="0"/>
        <v>54</v>
      </c>
      <c r="B72" s="688" t="s">
        <v>1310</v>
      </c>
      <c r="C72" s="687" t="s">
        <v>1311</v>
      </c>
      <c r="D72" s="697">
        <f>SUM('J-1 Base Period Cost of Capital'!M17:M19)</f>
        <v>2.2699999999999998E-2</v>
      </c>
      <c r="J72" s="697">
        <f>+'J-1.1, J-1.2 13 MO AVG WACC'!M17+'J-1.1, J-1.2 13 MO AVG WACC'!M19</f>
        <v>2.3200000000000002E-2</v>
      </c>
      <c r="K72" s="697"/>
    </row>
    <row r="73" spans="1:13">
      <c r="A73" s="687">
        <f t="shared" si="0"/>
        <v>55</v>
      </c>
      <c r="B73" s="688" t="s">
        <v>1312</v>
      </c>
      <c r="C73" s="687" t="s">
        <v>1313</v>
      </c>
      <c r="D73" s="699">
        <f>D71*D72</f>
        <v>11633981.281446217</v>
      </c>
      <c r="J73" s="699">
        <f>J71*J72</f>
        <v>12036793.632906139</v>
      </c>
    </row>
    <row r="75" spans="1:13">
      <c r="A75" s="1335" t="str">
        <f>'General Headers Index'!$B$4</f>
        <v>COLUMBIA GAS OF KENTUCKY, INC.</v>
      </c>
      <c r="B75" s="1335"/>
      <c r="C75" s="1335"/>
      <c r="D75" s="1335"/>
      <c r="E75" s="1335"/>
      <c r="F75" s="1335"/>
      <c r="G75" s="1335"/>
      <c r="H75" s="1335"/>
      <c r="I75" s="1335"/>
      <c r="J75" s="1335"/>
      <c r="K75" s="1335"/>
      <c r="L75" s="1335"/>
    </row>
    <row r="76" spans="1:13">
      <c r="A76" s="1335" t="str">
        <f>'General Headers Index'!$B$6</f>
        <v>CASE NO. 2024 - 00092</v>
      </c>
      <c r="B76" s="1335"/>
      <c r="C76" s="1335"/>
      <c r="D76" s="1335"/>
      <c r="E76" s="1335"/>
      <c r="F76" s="1335"/>
      <c r="G76" s="1335"/>
      <c r="H76" s="1335"/>
      <c r="I76" s="1335"/>
      <c r="J76" s="1335"/>
      <c r="K76" s="1335"/>
      <c r="L76" s="1335"/>
    </row>
    <row r="77" spans="1:13">
      <c r="A77" s="1335" t="str">
        <f>$A$3</f>
        <v>COMPUTATION OF FEDERAL AND STATE INCOME TAX</v>
      </c>
      <c r="B77" s="1335"/>
      <c r="C77" s="1335"/>
      <c r="D77" s="1335"/>
      <c r="E77" s="1335"/>
      <c r="F77" s="1335"/>
      <c r="G77" s="1335"/>
      <c r="H77" s="1335"/>
      <c r="I77" s="1335"/>
      <c r="J77" s="1335"/>
      <c r="K77" s="1335"/>
      <c r="L77" s="1335"/>
    </row>
    <row r="78" spans="1:13">
      <c r="A78" s="1335" t="str">
        <f>+'General Headers Index'!$B$9</f>
        <v>BASE PERIOD: TWELVE MONTHS ENDED AUGUST 31, 2024</v>
      </c>
      <c r="B78" s="1335"/>
      <c r="C78" s="1335"/>
      <c r="D78" s="1335"/>
      <c r="E78" s="1335"/>
      <c r="F78" s="1335"/>
      <c r="G78" s="1335"/>
      <c r="H78" s="1335"/>
      <c r="I78" s="1335"/>
      <c r="J78" s="1335"/>
      <c r="K78" s="1335"/>
      <c r="L78" s="1335"/>
      <c r="M78" s="689"/>
    </row>
    <row r="79" spans="1:13">
      <c r="A79" s="1335" t="str">
        <f>+'General Headers Index'!$B$16</f>
        <v>FORECASTED TEST PERIOD: TWELVE MONTHS ENDED DECEMBER 31, 2025</v>
      </c>
      <c r="B79" s="1335"/>
      <c r="C79" s="1335"/>
      <c r="D79" s="1335"/>
      <c r="E79" s="1335"/>
      <c r="F79" s="1335"/>
      <c r="G79" s="1335"/>
      <c r="H79" s="1335"/>
      <c r="I79" s="1335"/>
      <c r="J79" s="1335"/>
      <c r="K79" s="1335"/>
      <c r="L79" s="1335"/>
      <c r="M79" s="689"/>
    </row>
    <row r="80" spans="1:13">
      <c r="B80" s="687"/>
      <c r="C80" s="687"/>
      <c r="D80" s="687"/>
      <c r="E80" s="687"/>
      <c r="F80" s="687"/>
      <c r="G80" s="687"/>
      <c r="H80" s="687"/>
      <c r="I80" s="687"/>
      <c r="J80" s="687"/>
      <c r="K80" s="687"/>
      <c r="L80" s="687"/>
      <c r="M80" s="689"/>
    </row>
    <row r="81" spans="1:12" s="687" customFormat="1">
      <c r="A81" s="286" t="s">
        <v>2786</v>
      </c>
      <c r="B81" s="688"/>
      <c r="C81" s="688"/>
      <c r="D81" s="688"/>
      <c r="E81" s="688"/>
      <c r="F81" s="688"/>
      <c r="G81" s="688"/>
      <c r="H81" s="688"/>
      <c r="I81" s="688"/>
      <c r="K81" s="670"/>
      <c r="L81" s="670" t="str">
        <f>+L7</f>
        <v>SCHEDULE E-1.1</v>
      </c>
    </row>
    <row r="82" spans="1:12" s="687" customFormat="1">
      <c r="A82" s="286" t="s">
        <v>572</v>
      </c>
      <c r="B82" s="688"/>
      <c r="C82" s="688"/>
      <c r="D82" s="688"/>
      <c r="E82" s="688"/>
      <c r="F82" s="688"/>
      <c r="G82" s="688"/>
      <c r="H82" s="688"/>
      <c r="I82" s="688"/>
      <c r="K82" s="670"/>
      <c r="L82" s="670" t="s">
        <v>1337</v>
      </c>
    </row>
    <row r="83" spans="1:12" s="694" customFormat="1">
      <c r="A83" s="286" t="s">
        <v>575</v>
      </c>
      <c r="B83" s="689"/>
      <c r="C83" s="689"/>
      <c r="D83" s="689"/>
      <c r="E83" s="689"/>
      <c r="F83" s="689"/>
      <c r="G83" s="689"/>
      <c r="H83" s="689"/>
      <c r="I83" s="689"/>
      <c r="K83" s="690"/>
      <c r="L83" s="690" t="str">
        <f>"WITNESS: "&amp;'General Headers Index'!$B$43</f>
        <v>WITNESS: HARDING</v>
      </c>
    </row>
    <row r="84" spans="1:12" s="687" customFormat="1">
      <c r="A84" s="286"/>
      <c r="B84" s="689"/>
      <c r="C84" s="689"/>
      <c r="D84" s="689"/>
      <c r="E84" s="689"/>
      <c r="F84" s="689"/>
      <c r="G84" s="689"/>
      <c r="H84" s="689"/>
      <c r="I84" s="689"/>
      <c r="K84" s="690"/>
      <c r="L84" s="690"/>
    </row>
    <row r="85" spans="1:12" s="687" customFormat="1">
      <c r="A85" s="693"/>
      <c r="B85" s="693"/>
      <c r="C85" s="693"/>
      <c r="D85" s="693" t="s">
        <v>502</v>
      </c>
      <c r="E85" s="693"/>
      <c r="F85" s="693" t="s">
        <v>502</v>
      </c>
      <c r="G85" s="693"/>
      <c r="H85" s="693" t="s">
        <v>502</v>
      </c>
      <c r="I85" s="693"/>
      <c r="J85" s="700" t="s">
        <v>651</v>
      </c>
      <c r="K85" s="700" t="s">
        <v>651</v>
      </c>
      <c r="L85" s="700" t="s">
        <v>651</v>
      </c>
    </row>
    <row r="86" spans="1:12" s="687" customFormat="1">
      <c r="A86" s="694"/>
      <c r="B86" s="694"/>
      <c r="C86" s="694"/>
      <c r="D86" s="694" t="s">
        <v>723</v>
      </c>
      <c r="E86" s="694"/>
      <c r="F86" s="694" t="s">
        <v>723</v>
      </c>
      <c r="G86" s="694"/>
      <c r="H86" s="694" t="s">
        <v>723</v>
      </c>
      <c r="I86" s="694"/>
      <c r="J86" s="694" t="s">
        <v>723</v>
      </c>
      <c r="K86" s="694" t="s">
        <v>723</v>
      </c>
      <c r="L86" s="694" t="s">
        <v>723</v>
      </c>
    </row>
    <row r="87" spans="1:12" s="687" customFormat="1">
      <c r="A87" s="543" t="s">
        <v>313</v>
      </c>
      <c r="B87" s="694"/>
      <c r="C87" s="694"/>
      <c r="D87" s="694" t="s">
        <v>725</v>
      </c>
      <c r="E87" s="290" t="s">
        <v>78</v>
      </c>
      <c r="F87" s="694" t="s">
        <v>725</v>
      </c>
      <c r="G87" s="694"/>
      <c r="H87" s="694" t="s">
        <v>725</v>
      </c>
      <c r="I87" s="694"/>
      <c r="J87" s="694" t="s">
        <v>725</v>
      </c>
      <c r="K87" s="694" t="s">
        <v>725</v>
      </c>
      <c r="L87" s="694" t="s">
        <v>727</v>
      </c>
    </row>
    <row r="88" spans="1:12" s="687" customFormat="1">
      <c r="A88" s="1019" t="s">
        <v>316</v>
      </c>
      <c r="B88" s="999" t="s">
        <v>451</v>
      </c>
      <c r="C88" s="1066" t="s">
        <v>318</v>
      </c>
      <c r="D88" s="1066" t="s">
        <v>371</v>
      </c>
      <c r="E88" s="1067" t="s">
        <v>529</v>
      </c>
      <c r="F88" s="1066" t="s">
        <v>372</v>
      </c>
      <c r="G88" s="1066"/>
      <c r="H88" s="1066" t="s">
        <v>433</v>
      </c>
      <c r="I88" s="1066"/>
      <c r="J88" s="1066" t="s">
        <v>371</v>
      </c>
      <c r="K88" s="1066" t="s">
        <v>433</v>
      </c>
      <c r="L88" s="1066" t="s">
        <v>1148</v>
      </c>
    </row>
    <row r="89" spans="1:12">
      <c r="B89" s="687"/>
      <c r="C89" s="687"/>
      <c r="D89" s="687" t="s">
        <v>532</v>
      </c>
      <c r="E89" s="687">
        <v>-2</v>
      </c>
      <c r="F89" s="695" t="s">
        <v>1149</v>
      </c>
      <c r="G89" s="687"/>
      <c r="H89" s="687" t="s">
        <v>1998</v>
      </c>
      <c r="I89" s="687"/>
      <c r="J89" s="695" t="s">
        <v>669</v>
      </c>
      <c r="K89" s="695" t="s">
        <v>670</v>
      </c>
      <c r="L89" s="695" t="s">
        <v>1999</v>
      </c>
    </row>
    <row r="90" spans="1:12">
      <c r="B90" s="687"/>
      <c r="C90" s="687"/>
      <c r="D90" s="687" t="s">
        <v>320</v>
      </c>
      <c r="F90" s="687" t="s">
        <v>320</v>
      </c>
      <c r="G90" s="687"/>
      <c r="H90" s="687" t="s">
        <v>320</v>
      </c>
      <c r="I90" s="687"/>
      <c r="J90" s="687" t="s">
        <v>320</v>
      </c>
      <c r="K90" s="687" t="s">
        <v>320</v>
      </c>
      <c r="L90" s="687" t="s">
        <v>320</v>
      </c>
    </row>
    <row r="91" spans="1:12">
      <c r="A91" s="687">
        <v>1</v>
      </c>
      <c r="B91" s="688" t="s">
        <v>1166</v>
      </c>
      <c r="C91" s="687"/>
    </row>
    <row r="92" spans="1:12">
      <c r="A92" s="687">
        <f>A91+1</f>
        <v>2</v>
      </c>
      <c r="B92" s="688" t="s">
        <v>1167</v>
      </c>
      <c r="D92" s="688">
        <v>80448.413916666672</v>
      </c>
      <c r="E92" s="696">
        <v>0</v>
      </c>
      <c r="F92" s="688">
        <f>D92*$E92</f>
        <v>0</v>
      </c>
      <c r="H92" s="688">
        <f>J92-F92</f>
        <v>0</v>
      </c>
      <c r="J92" s="688">
        <v>0</v>
      </c>
      <c r="K92" s="688">
        <f>-J92</f>
        <v>0</v>
      </c>
      <c r="L92" s="688">
        <f t="shared" ref="L92:L98" si="3">SUM(J92,K92)</f>
        <v>0</v>
      </c>
    </row>
    <row r="93" spans="1:12">
      <c r="A93" s="687">
        <f t="shared" ref="A93:A175" si="4">A92+1</f>
        <v>3</v>
      </c>
      <c r="B93" s="688" t="s">
        <v>1168</v>
      </c>
      <c r="D93" s="688">
        <v>171578.24047040462</v>
      </c>
      <c r="E93" s="696">
        <v>1</v>
      </c>
      <c r="F93" s="688">
        <f t="shared" ref="F93:F98" si="5">D93*$E93</f>
        <v>171578.24047040462</v>
      </c>
      <c r="H93" s="688">
        <f t="shared" ref="H93:H99" si="6">J93-F93</f>
        <v>-23297.256806853809</v>
      </c>
      <c r="J93" s="688">
        <v>148280.98366355081</v>
      </c>
      <c r="K93" s="688">
        <v>0</v>
      </c>
      <c r="L93" s="688">
        <f t="shared" si="3"/>
        <v>148280.98366355081</v>
      </c>
    </row>
    <row r="94" spans="1:12">
      <c r="A94" s="687">
        <f t="shared" si="4"/>
        <v>4</v>
      </c>
      <c r="B94" s="688" t="s">
        <v>24</v>
      </c>
      <c r="D94" s="688">
        <v>-142883.1030639344</v>
      </c>
      <c r="E94" s="696">
        <v>0</v>
      </c>
      <c r="F94" s="688">
        <f t="shared" si="5"/>
        <v>0</v>
      </c>
      <c r="H94" s="688">
        <f t="shared" si="6"/>
        <v>0</v>
      </c>
      <c r="J94" s="688">
        <v>0</v>
      </c>
      <c r="K94" s="688">
        <f>-J94</f>
        <v>0</v>
      </c>
      <c r="L94" s="688">
        <f t="shared" si="3"/>
        <v>0</v>
      </c>
    </row>
    <row r="95" spans="1:12">
      <c r="A95" s="687">
        <f t="shared" si="4"/>
        <v>5</v>
      </c>
      <c r="B95" s="688" t="s">
        <v>1169</v>
      </c>
      <c r="D95" s="688">
        <v>15315.096666666668</v>
      </c>
      <c r="E95" s="696">
        <v>1</v>
      </c>
      <c r="F95" s="688">
        <f t="shared" si="5"/>
        <v>15315.096666666668</v>
      </c>
      <c r="H95" s="688">
        <f t="shared" si="6"/>
        <v>-1921.2166666666672</v>
      </c>
      <c r="J95" s="688">
        <v>13393.880000000001</v>
      </c>
      <c r="K95" s="688">
        <v>0</v>
      </c>
      <c r="L95" s="688">
        <f t="shared" si="3"/>
        <v>13393.880000000001</v>
      </c>
    </row>
    <row r="96" spans="1:12">
      <c r="A96" s="687">
        <f t="shared" si="4"/>
        <v>6</v>
      </c>
      <c r="B96" s="688" t="s">
        <v>1170</v>
      </c>
      <c r="D96" s="688">
        <v>-302.75</v>
      </c>
      <c r="E96" s="696">
        <v>1</v>
      </c>
      <c r="F96" s="688">
        <f t="shared" si="5"/>
        <v>-302.75</v>
      </c>
      <c r="H96" s="688">
        <f t="shared" si="6"/>
        <v>563.75</v>
      </c>
      <c r="J96" s="688">
        <v>261</v>
      </c>
      <c r="K96" s="688">
        <v>0</v>
      </c>
      <c r="L96" s="688">
        <f t="shared" si="3"/>
        <v>261</v>
      </c>
    </row>
    <row r="97" spans="1:12">
      <c r="A97" s="687">
        <f t="shared" si="4"/>
        <v>7</v>
      </c>
      <c r="B97" s="688" t="s">
        <v>1171</v>
      </c>
      <c r="D97" s="688">
        <v>0</v>
      </c>
      <c r="E97" s="696">
        <v>1</v>
      </c>
      <c r="F97" s="688">
        <f t="shared" si="5"/>
        <v>0</v>
      </c>
      <c r="H97" s="688">
        <f t="shared" si="6"/>
        <v>0</v>
      </c>
      <c r="J97" s="688">
        <v>0</v>
      </c>
      <c r="K97" s="688">
        <f>-J97</f>
        <v>0</v>
      </c>
      <c r="L97" s="688">
        <f t="shared" si="3"/>
        <v>0</v>
      </c>
    </row>
    <row r="98" spans="1:12">
      <c r="A98" s="687">
        <f t="shared" si="4"/>
        <v>8</v>
      </c>
      <c r="B98" s="688" t="s">
        <v>1172</v>
      </c>
      <c r="D98" s="688">
        <v>48000</v>
      </c>
      <c r="E98" s="696">
        <v>0</v>
      </c>
      <c r="F98" s="688">
        <f t="shared" si="5"/>
        <v>0</v>
      </c>
      <c r="H98" s="688">
        <f t="shared" si="6"/>
        <v>0</v>
      </c>
      <c r="J98" s="688">
        <v>0</v>
      </c>
      <c r="K98" s="688">
        <f>-J98</f>
        <v>0</v>
      </c>
      <c r="L98" s="688">
        <f t="shared" si="3"/>
        <v>0</v>
      </c>
    </row>
    <row r="99" spans="1:12">
      <c r="A99" s="687">
        <f t="shared" si="4"/>
        <v>9</v>
      </c>
      <c r="B99" s="688" t="s">
        <v>1997</v>
      </c>
      <c r="D99" s="688">
        <v>-135549</v>
      </c>
      <c r="E99" s="696">
        <v>1</v>
      </c>
      <c r="F99" s="688">
        <f>D99*$E99</f>
        <v>-135549</v>
      </c>
      <c r="H99" s="688">
        <f t="shared" si="6"/>
        <v>135549</v>
      </c>
      <c r="J99" s="688">
        <v>0</v>
      </c>
      <c r="K99" s="688">
        <f>-J99</f>
        <v>0</v>
      </c>
    </row>
    <row r="100" spans="1:12">
      <c r="A100" s="687">
        <f t="shared" si="4"/>
        <v>10</v>
      </c>
      <c r="B100" s="701" t="s">
        <v>1173</v>
      </c>
      <c r="D100" s="692">
        <f>SUM(D92:D99)</f>
        <v>36606.897989803576</v>
      </c>
      <c r="F100" s="692">
        <f>SUM(F92:F99)</f>
        <v>51041.587137071299</v>
      </c>
      <c r="H100" s="692">
        <f>SUM(H92:H99)</f>
        <v>110894.27652647952</v>
      </c>
      <c r="J100" s="692">
        <f>SUM(J92:J98)</f>
        <v>161935.86366355082</v>
      </c>
      <c r="K100" s="692">
        <f>SUM(K92:K98)</f>
        <v>0</v>
      </c>
      <c r="L100" s="692">
        <f>SUM(L92:L98)</f>
        <v>161935.86366355082</v>
      </c>
    </row>
    <row r="101" spans="1:12">
      <c r="B101" s="701"/>
      <c r="D101" s="689"/>
      <c r="F101" s="689"/>
      <c r="H101" s="689"/>
      <c r="J101" s="689"/>
      <c r="K101" s="689"/>
      <c r="L101" s="689"/>
    </row>
    <row r="102" spans="1:12">
      <c r="A102" s="687">
        <f>A100+1</f>
        <v>11</v>
      </c>
      <c r="B102" s="688" t="s">
        <v>1174</v>
      </c>
    </row>
    <row r="103" spans="1:12">
      <c r="A103" s="687">
        <f t="shared" si="4"/>
        <v>12</v>
      </c>
      <c r="B103" s="688" t="s">
        <v>1175</v>
      </c>
      <c r="D103" s="688">
        <v>14658</v>
      </c>
      <c r="E103" s="696">
        <v>1</v>
      </c>
      <c r="F103" s="688">
        <f t="shared" ref="F103:F147" si="7">D103*$E103</f>
        <v>14658</v>
      </c>
      <c r="H103" s="688">
        <f t="shared" ref="H103:H147" si="8">J103-F103</f>
        <v>-14658</v>
      </c>
      <c r="J103" s="688">
        <v>0</v>
      </c>
      <c r="K103" s="688">
        <v>0</v>
      </c>
      <c r="L103" s="688">
        <f t="shared" ref="L103:L147" si="9">SUM(J103,K103)</f>
        <v>0</v>
      </c>
    </row>
    <row r="104" spans="1:12">
      <c r="A104" s="687">
        <f t="shared" si="4"/>
        <v>13</v>
      </c>
      <c r="B104" s="688" t="s">
        <v>1176</v>
      </c>
      <c r="D104" s="688">
        <v>16984</v>
      </c>
      <c r="E104" s="696">
        <v>1</v>
      </c>
      <c r="F104" s="688">
        <f t="shared" si="7"/>
        <v>16984</v>
      </c>
      <c r="H104" s="688">
        <f t="shared" si="8"/>
        <v>-16984</v>
      </c>
      <c r="J104" s="688">
        <v>0</v>
      </c>
      <c r="K104" s="688">
        <v>0</v>
      </c>
      <c r="L104" s="688">
        <f t="shared" si="9"/>
        <v>0</v>
      </c>
    </row>
    <row r="105" spans="1:12">
      <c r="A105" s="687">
        <f t="shared" si="4"/>
        <v>14</v>
      </c>
      <c r="B105" s="688" t="s">
        <v>1177</v>
      </c>
      <c r="D105" s="688">
        <v>3249</v>
      </c>
      <c r="E105" s="696">
        <v>1</v>
      </c>
      <c r="F105" s="688">
        <f t="shared" si="7"/>
        <v>3249</v>
      </c>
      <c r="H105" s="688">
        <f t="shared" si="8"/>
        <v>-3249</v>
      </c>
      <c r="J105" s="688">
        <v>0</v>
      </c>
      <c r="K105" s="688">
        <v>0</v>
      </c>
      <c r="L105" s="688">
        <f t="shared" si="9"/>
        <v>0</v>
      </c>
    </row>
    <row r="106" spans="1:12">
      <c r="A106" s="687">
        <f t="shared" si="4"/>
        <v>15</v>
      </c>
      <c r="B106" s="688" t="s">
        <v>1178</v>
      </c>
      <c r="D106" s="688">
        <v>-26400.142857142841</v>
      </c>
      <c r="E106" s="696">
        <v>1</v>
      </c>
      <c r="F106" s="688">
        <f t="shared" si="7"/>
        <v>-26400.142857142841</v>
      </c>
      <c r="H106" s="688">
        <f t="shared" si="8"/>
        <v>26400.142857142841</v>
      </c>
      <c r="J106" s="688">
        <v>0</v>
      </c>
      <c r="K106" s="688">
        <v>0</v>
      </c>
      <c r="L106" s="688">
        <f t="shared" si="9"/>
        <v>0</v>
      </c>
    </row>
    <row r="107" spans="1:12">
      <c r="A107" s="687">
        <f t="shared" si="4"/>
        <v>16</v>
      </c>
      <c r="B107" s="688" t="s">
        <v>1179</v>
      </c>
      <c r="D107" s="688">
        <v>729717.47619047621</v>
      </c>
      <c r="E107" s="696">
        <v>1</v>
      </c>
      <c r="F107" s="688">
        <f t="shared" si="7"/>
        <v>729717.47619047621</v>
      </c>
      <c r="H107" s="688">
        <f t="shared" si="8"/>
        <v>-729717.47619047621</v>
      </c>
      <c r="J107" s="688">
        <v>0</v>
      </c>
      <c r="K107" s="688">
        <v>0</v>
      </c>
      <c r="L107" s="688">
        <f t="shared" si="9"/>
        <v>0</v>
      </c>
    </row>
    <row r="108" spans="1:12">
      <c r="A108" s="687">
        <f t="shared" si="4"/>
        <v>17</v>
      </c>
      <c r="B108" s="688" t="s">
        <v>1180</v>
      </c>
      <c r="D108" s="688">
        <v>0</v>
      </c>
      <c r="E108" s="696">
        <v>1</v>
      </c>
      <c r="F108" s="688">
        <f t="shared" si="7"/>
        <v>0</v>
      </c>
      <c r="H108" s="688">
        <f t="shared" si="8"/>
        <v>0</v>
      </c>
      <c r="J108" s="688">
        <v>0</v>
      </c>
      <c r="K108" s="688">
        <v>0</v>
      </c>
      <c r="L108" s="688">
        <f t="shared" si="9"/>
        <v>0</v>
      </c>
    </row>
    <row r="109" spans="1:12">
      <c r="A109" s="687">
        <f t="shared" si="4"/>
        <v>18</v>
      </c>
      <c r="B109" s="688" t="s">
        <v>1181</v>
      </c>
      <c r="D109" s="688">
        <v>1332801</v>
      </c>
      <c r="E109" s="696">
        <v>1</v>
      </c>
      <c r="F109" s="688">
        <f t="shared" si="7"/>
        <v>1332801</v>
      </c>
      <c r="H109" s="688">
        <f t="shared" si="8"/>
        <v>-1332801</v>
      </c>
      <c r="J109" s="688">
        <v>0</v>
      </c>
      <c r="K109" s="688">
        <v>0</v>
      </c>
      <c r="L109" s="688">
        <f t="shared" si="9"/>
        <v>0</v>
      </c>
    </row>
    <row r="110" spans="1:12">
      <c r="A110" s="687">
        <f t="shared" si="4"/>
        <v>19</v>
      </c>
      <c r="B110" s="688" t="s">
        <v>1182</v>
      </c>
      <c r="D110" s="688">
        <v>185771</v>
      </c>
      <c r="E110" s="696">
        <v>1</v>
      </c>
      <c r="F110" s="688">
        <f t="shared" si="7"/>
        <v>185771</v>
      </c>
      <c r="H110" s="688">
        <f t="shared" si="8"/>
        <v>-185771</v>
      </c>
      <c r="J110" s="688">
        <v>0</v>
      </c>
      <c r="K110" s="688">
        <v>0</v>
      </c>
      <c r="L110" s="688">
        <f t="shared" si="9"/>
        <v>0</v>
      </c>
    </row>
    <row r="111" spans="1:12">
      <c r="A111" s="687">
        <f t="shared" si="4"/>
        <v>20</v>
      </c>
      <c r="B111" s="688" t="s">
        <v>1183</v>
      </c>
      <c r="D111" s="688">
        <v>-750427</v>
      </c>
      <c r="E111" s="696">
        <v>1</v>
      </c>
      <c r="F111" s="688">
        <f t="shared" si="7"/>
        <v>-750427</v>
      </c>
      <c r="H111" s="688">
        <f t="shared" si="8"/>
        <v>750427</v>
      </c>
      <c r="J111" s="688">
        <v>0</v>
      </c>
      <c r="K111" s="688">
        <v>0</v>
      </c>
      <c r="L111" s="688">
        <f t="shared" si="9"/>
        <v>0</v>
      </c>
    </row>
    <row r="112" spans="1:12">
      <c r="A112" s="687">
        <f t="shared" si="4"/>
        <v>21</v>
      </c>
      <c r="B112" s="688" t="s">
        <v>1184</v>
      </c>
      <c r="D112" s="688">
        <v>840791</v>
      </c>
      <c r="E112" s="696">
        <v>1</v>
      </c>
      <c r="F112" s="688">
        <f t="shared" si="7"/>
        <v>840791</v>
      </c>
      <c r="H112" s="688">
        <f t="shared" si="8"/>
        <v>-840791</v>
      </c>
      <c r="J112" s="688">
        <v>0</v>
      </c>
      <c r="K112" s="688">
        <v>0</v>
      </c>
      <c r="L112" s="688">
        <f t="shared" si="9"/>
        <v>0</v>
      </c>
    </row>
    <row r="113" spans="1:12">
      <c r="A113" s="687">
        <f t="shared" si="4"/>
        <v>22</v>
      </c>
      <c r="B113" s="688" t="s">
        <v>1185</v>
      </c>
      <c r="D113" s="688">
        <v>44510</v>
      </c>
      <c r="E113" s="696">
        <v>1</v>
      </c>
      <c r="F113" s="688">
        <f t="shared" si="7"/>
        <v>44510</v>
      </c>
      <c r="H113" s="688">
        <f t="shared" si="8"/>
        <v>-44510</v>
      </c>
      <c r="J113" s="688">
        <v>0</v>
      </c>
      <c r="K113" s="688">
        <v>0</v>
      </c>
      <c r="L113" s="688">
        <f t="shared" si="9"/>
        <v>0</v>
      </c>
    </row>
    <row r="114" spans="1:12">
      <c r="A114" s="687">
        <f t="shared" si="4"/>
        <v>23</v>
      </c>
      <c r="B114" s="688" t="s">
        <v>1186</v>
      </c>
      <c r="D114" s="688">
        <v>386264.85714285716</v>
      </c>
      <c r="E114" s="696">
        <v>1</v>
      </c>
      <c r="F114" s="688">
        <f t="shared" si="7"/>
        <v>386264.85714285716</v>
      </c>
      <c r="H114" s="688">
        <f t="shared" si="8"/>
        <v>-386264.85714285716</v>
      </c>
      <c r="J114" s="688">
        <v>0</v>
      </c>
      <c r="K114" s="688">
        <v>0</v>
      </c>
      <c r="L114" s="688">
        <f t="shared" si="9"/>
        <v>0</v>
      </c>
    </row>
    <row r="115" spans="1:12">
      <c r="A115" s="687">
        <f t="shared" si="4"/>
        <v>24</v>
      </c>
      <c r="B115" s="688" t="s">
        <v>1187</v>
      </c>
      <c r="D115" s="688">
        <v>-1627900</v>
      </c>
      <c r="E115" s="696">
        <v>1</v>
      </c>
      <c r="F115" s="688">
        <f t="shared" si="7"/>
        <v>-1627900</v>
      </c>
      <c r="H115" s="688">
        <f t="shared" si="8"/>
        <v>1627900</v>
      </c>
      <c r="J115" s="688">
        <v>0</v>
      </c>
      <c r="K115" s="688">
        <v>0</v>
      </c>
      <c r="L115" s="688">
        <f t="shared" si="9"/>
        <v>0</v>
      </c>
    </row>
    <row r="116" spans="1:12">
      <c r="A116" s="687">
        <f t="shared" si="4"/>
        <v>25</v>
      </c>
      <c r="B116" s="688" t="s">
        <v>1188</v>
      </c>
      <c r="D116" s="688">
        <v>2203907</v>
      </c>
      <c r="E116" s="696">
        <v>1</v>
      </c>
      <c r="F116" s="688">
        <f t="shared" si="7"/>
        <v>2203907</v>
      </c>
      <c r="H116" s="688">
        <f t="shared" si="8"/>
        <v>-2203907</v>
      </c>
      <c r="J116" s="688">
        <v>0</v>
      </c>
      <c r="K116" s="688">
        <v>0</v>
      </c>
      <c r="L116" s="688">
        <f t="shared" si="9"/>
        <v>0</v>
      </c>
    </row>
    <row r="117" spans="1:12">
      <c r="A117" s="687">
        <f t="shared" si="4"/>
        <v>26</v>
      </c>
      <c r="B117" s="688" t="s">
        <v>1189</v>
      </c>
      <c r="D117" s="688">
        <v>0</v>
      </c>
      <c r="E117" s="696">
        <v>1</v>
      </c>
      <c r="F117" s="688">
        <f t="shared" si="7"/>
        <v>0</v>
      </c>
      <c r="H117" s="688">
        <f t="shared" si="8"/>
        <v>0</v>
      </c>
      <c r="J117" s="688">
        <v>0</v>
      </c>
      <c r="K117" s="688">
        <v>0</v>
      </c>
      <c r="L117" s="688">
        <f t="shared" si="9"/>
        <v>0</v>
      </c>
    </row>
    <row r="118" spans="1:12">
      <c r="A118" s="687">
        <f t="shared" si="4"/>
        <v>27</v>
      </c>
      <c r="B118" s="688" t="s">
        <v>1190</v>
      </c>
      <c r="D118" s="688">
        <v>70362</v>
      </c>
      <c r="E118" s="696">
        <v>1</v>
      </c>
      <c r="F118" s="688">
        <f t="shared" si="7"/>
        <v>70362</v>
      </c>
      <c r="H118" s="688">
        <f t="shared" si="8"/>
        <v>-70362</v>
      </c>
      <c r="J118" s="688">
        <v>0</v>
      </c>
      <c r="K118" s="688">
        <v>0</v>
      </c>
      <c r="L118" s="688">
        <f t="shared" si="9"/>
        <v>0</v>
      </c>
    </row>
    <row r="119" spans="1:12">
      <c r="A119" s="687">
        <f t="shared" si="4"/>
        <v>28</v>
      </c>
      <c r="B119" s="688" t="s">
        <v>1191</v>
      </c>
      <c r="D119" s="688">
        <v>0</v>
      </c>
      <c r="E119" s="696">
        <v>1</v>
      </c>
      <c r="F119" s="688">
        <f t="shared" si="7"/>
        <v>0</v>
      </c>
      <c r="H119" s="688">
        <f t="shared" si="8"/>
        <v>0</v>
      </c>
      <c r="J119" s="688">
        <v>0</v>
      </c>
      <c r="K119" s="688">
        <v>0</v>
      </c>
      <c r="L119" s="688">
        <f t="shared" si="9"/>
        <v>0</v>
      </c>
    </row>
    <row r="120" spans="1:12">
      <c r="A120" s="687">
        <f t="shared" si="4"/>
        <v>29</v>
      </c>
      <c r="B120" s="688" t="s">
        <v>1192</v>
      </c>
      <c r="D120" s="688">
        <v>0</v>
      </c>
      <c r="E120" s="696">
        <v>1</v>
      </c>
      <c r="F120" s="688">
        <f t="shared" si="7"/>
        <v>0</v>
      </c>
      <c r="H120" s="688">
        <f t="shared" si="8"/>
        <v>0</v>
      </c>
      <c r="J120" s="688">
        <v>0</v>
      </c>
      <c r="K120" s="688">
        <v>0</v>
      </c>
      <c r="L120" s="688">
        <f t="shared" si="9"/>
        <v>0</v>
      </c>
    </row>
    <row r="121" spans="1:12">
      <c r="A121" s="687">
        <f t="shared" si="4"/>
        <v>30</v>
      </c>
      <c r="B121" s="688" t="s">
        <v>1193</v>
      </c>
      <c r="D121" s="688">
        <v>0</v>
      </c>
      <c r="E121" s="696">
        <v>1</v>
      </c>
      <c r="F121" s="688">
        <f t="shared" si="7"/>
        <v>0</v>
      </c>
      <c r="H121" s="688">
        <f t="shared" si="8"/>
        <v>0</v>
      </c>
      <c r="J121" s="688">
        <v>0</v>
      </c>
      <c r="K121" s="688">
        <v>0</v>
      </c>
      <c r="L121" s="688">
        <f t="shared" si="9"/>
        <v>0</v>
      </c>
    </row>
    <row r="122" spans="1:12">
      <c r="A122" s="687">
        <f t="shared" si="4"/>
        <v>31</v>
      </c>
      <c r="B122" s="688" t="s">
        <v>1194</v>
      </c>
      <c r="D122" s="688">
        <v>-183321.52380952382</v>
      </c>
      <c r="E122" s="696">
        <v>1</v>
      </c>
      <c r="F122" s="688">
        <f t="shared" si="7"/>
        <v>-183321.52380952382</v>
      </c>
      <c r="H122" s="688">
        <f t="shared" si="8"/>
        <v>183321.52380952382</v>
      </c>
      <c r="J122" s="688">
        <v>0</v>
      </c>
      <c r="K122" s="688">
        <v>0</v>
      </c>
      <c r="L122" s="688">
        <f t="shared" si="9"/>
        <v>0</v>
      </c>
    </row>
    <row r="123" spans="1:12">
      <c r="A123" s="687">
        <f t="shared" si="4"/>
        <v>32</v>
      </c>
      <c r="B123" s="688" t="s">
        <v>1195</v>
      </c>
      <c r="D123" s="688">
        <v>-2130957</v>
      </c>
      <c r="E123" s="696">
        <v>1</v>
      </c>
      <c r="F123" s="688">
        <f t="shared" si="7"/>
        <v>-2130957</v>
      </c>
      <c r="H123" s="688">
        <f t="shared" si="8"/>
        <v>2130957</v>
      </c>
      <c r="J123" s="688">
        <v>0</v>
      </c>
      <c r="K123" s="688">
        <v>0</v>
      </c>
      <c r="L123" s="688">
        <f t="shared" si="9"/>
        <v>0</v>
      </c>
    </row>
    <row r="124" spans="1:12">
      <c r="A124" s="687">
        <f t="shared" si="4"/>
        <v>33</v>
      </c>
      <c r="B124" s="688" t="s">
        <v>1457</v>
      </c>
      <c r="D124" s="688">
        <v>0</v>
      </c>
      <c r="E124" s="696">
        <v>1</v>
      </c>
      <c r="F124" s="688">
        <f t="shared" si="7"/>
        <v>0</v>
      </c>
      <c r="H124" s="688">
        <f t="shared" si="8"/>
        <v>0</v>
      </c>
      <c r="J124" s="688">
        <v>0</v>
      </c>
      <c r="K124" s="688">
        <v>0</v>
      </c>
      <c r="L124" s="688">
        <f t="shared" si="9"/>
        <v>0</v>
      </c>
    </row>
    <row r="125" spans="1:12">
      <c r="A125" s="687">
        <f t="shared" si="4"/>
        <v>34</v>
      </c>
      <c r="B125" s="688" t="s">
        <v>1196</v>
      </c>
      <c r="D125" s="688">
        <v>-6831857.2330597173</v>
      </c>
      <c r="E125" s="696">
        <v>1</v>
      </c>
      <c r="F125" s="688">
        <f t="shared" si="7"/>
        <v>-6831857.2330597173</v>
      </c>
      <c r="H125" s="688">
        <f t="shared" si="8"/>
        <v>265601.45471248776</v>
      </c>
      <c r="J125" s="688">
        <v>-6566255.7783472296</v>
      </c>
      <c r="K125" s="688">
        <v>0</v>
      </c>
      <c r="L125" s="688">
        <f t="shared" si="9"/>
        <v>-6566255.7783472296</v>
      </c>
    </row>
    <row r="126" spans="1:12">
      <c r="A126" s="687">
        <f t="shared" si="4"/>
        <v>35</v>
      </c>
      <c r="B126" s="688" t="s">
        <v>1197</v>
      </c>
      <c r="D126" s="688">
        <v>0</v>
      </c>
      <c r="E126" s="696">
        <v>1</v>
      </c>
      <c r="F126" s="688">
        <f t="shared" si="7"/>
        <v>0</v>
      </c>
      <c r="H126" s="688">
        <f t="shared" si="8"/>
        <v>0</v>
      </c>
      <c r="J126" s="688">
        <v>0</v>
      </c>
      <c r="K126" s="688">
        <v>0</v>
      </c>
      <c r="L126" s="688">
        <f t="shared" si="9"/>
        <v>0</v>
      </c>
    </row>
    <row r="127" spans="1:12">
      <c r="A127" s="687">
        <f t="shared" si="4"/>
        <v>36</v>
      </c>
      <c r="B127" s="688" t="s">
        <v>1198</v>
      </c>
      <c r="D127" s="688">
        <v>-29834539.450000003</v>
      </c>
      <c r="E127" s="696">
        <v>1</v>
      </c>
      <c r="F127" s="688">
        <f t="shared" si="7"/>
        <v>-29834539.450000003</v>
      </c>
      <c r="H127" s="688">
        <f t="shared" si="8"/>
        <v>12754221.450000003</v>
      </c>
      <c r="J127" s="688">
        <v>-17080318</v>
      </c>
      <c r="K127" s="688">
        <v>0</v>
      </c>
      <c r="L127" s="688">
        <f t="shared" si="9"/>
        <v>-17080318</v>
      </c>
    </row>
    <row r="128" spans="1:12">
      <c r="A128" s="687">
        <f t="shared" si="4"/>
        <v>37</v>
      </c>
      <c r="B128" s="688" t="s">
        <v>1199</v>
      </c>
      <c r="D128" s="688">
        <v>-2037760.53</v>
      </c>
      <c r="E128" s="696">
        <v>1</v>
      </c>
      <c r="F128" s="688">
        <f t="shared" si="7"/>
        <v>-2037760.53</v>
      </c>
      <c r="H128" s="688">
        <f t="shared" si="8"/>
        <v>-334272.34000000008</v>
      </c>
      <c r="J128" s="688">
        <v>-2372032.87</v>
      </c>
      <c r="K128" s="688">
        <v>0</v>
      </c>
      <c r="L128" s="688">
        <f t="shared" si="9"/>
        <v>-2372032.87</v>
      </c>
    </row>
    <row r="129" spans="1:12">
      <c r="A129" s="687">
        <f t="shared" si="4"/>
        <v>38</v>
      </c>
      <c r="B129" s="688" t="s">
        <v>2082</v>
      </c>
      <c r="D129" s="688">
        <v>0</v>
      </c>
      <c r="E129" s="696">
        <v>1</v>
      </c>
      <c r="F129" s="688">
        <f t="shared" si="7"/>
        <v>0</v>
      </c>
      <c r="H129" s="688">
        <f t="shared" si="8"/>
        <v>17193652</v>
      </c>
      <c r="J129" s="688">
        <v>17193652</v>
      </c>
      <c r="K129" s="688">
        <v>0</v>
      </c>
      <c r="L129" s="688">
        <f t="shared" si="9"/>
        <v>17193652</v>
      </c>
    </row>
    <row r="130" spans="1:12">
      <c r="A130" s="687">
        <f t="shared" si="4"/>
        <v>39</v>
      </c>
      <c r="B130" s="688" t="s">
        <v>1200</v>
      </c>
      <c r="D130" s="688">
        <v>-445193</v>
      </c>
      <c r="E130" s="696">
        <v>1</v>
      </c>
      <c r="F130" s="688">
        <f t="shared" si="7"/>
        <v>-445193</v>
      </c>
      <c r="H130" s="688">
        <f t="shared" si="8"/>
        <v>445193</v>
      </c>
      <c r="J130" s="688">
        <v>0</v>
      </c>
      <c r="K130" s="688">
        <v>0</v>
      </c>
      <c r="L130" s="688">
        <f t="shared" si="9"/>
        <v>0</v>
      </c>
    </row>
    <row r="131" spans="1:12">
      <c r="A131" s="687">
        <f t="shared" si="4"/>
        <v>40</v>
      </c>
      <c r="B131" s="688" t="s">
        <v>1201</v>
      </c>
      <c r="D131" s="688">
        <v>441139</v>
      </c>
      <c r="E131" s="696">
        <v>1</v>
      </c>
      <c r="F131" s="688">
        <f t="shared" si="7"/>
        <v>441139</v>
      </c>
      <c r="H131" s="688">
        <f t="shared" si="8"/>
        <v>-441139</v>
      </c>
      <c r="J131" s="688">
        <v>0</v>
      </c>
      <c r="K131" s="688">
        <v>0</v>
      </c>
      <c r="L131" s="688">
        <f t="shared" si="9"/>
        <v>0</v>
      </c>
    </row>
    <row r="132" spans="1:12">
      <c r="A132" s="687">
        <f t="shared" si="4"/>
        <v>41</v>
      </c>
      <c r="B132" s="688" t="s">
        <v>1202</v>
      </c>
      <c r="D132" s="688">
        <v>3773</v>
      </c>
      <c r="E132" s="696">
        <v>1</v>
      </c>
      <c r="F132" s="688">
        <f t="shared" si="7"/>
        <v>3773</v>
      </c>
      <c r="H132" s="688">
        <f t="shared" si="8"/>
        <v>-3773</v>
      </c>
      <c r="J132" s="688">
        <v>0</v>
      </c>
      <c r="K132" s="688">
        <v>0</v>
      </c>
      <c r="L132" s="688">
        <f t="shared" si="9"/>
        <v>0</v>
      </c>
    </row>
    <row r="133" spans="1:12">
      <c r="A133" s="687">
        <f t="shared" si="4"/>
        <v>42</v>
      </c>
      <c r="B133" s="688" t="s">
        <v>1203</v>
      </c>
      <c r="D133" s="688">
        <v>937</v>
      </c>
      <c r="E133" s="696">
        <v>1</v>
      </c>
      <c r="F133" s="688">
        <f t="shared" si="7"/>
        <v>937</v>
      </c>
      <c r="H133" s="688">
        <f t="shared" si="8"/>
        <v>-937</v>
      </c>
      <c r="J133" s="688">
        <v>0</v>
      </c>
      <c r="K133" s="688">
        <v>0</v>
      </c>
      <c r="L133" s="688">
        <f t="shared" si="9"/>
        <v>0</v>
      </c>
    </row>
    <row r="134" spans="1:12">
      <c r="A134" s="687">
        <f t="shared" si="4"/>
        <v>43</v>
      </c>
      <c r="B134" s="688" t="s">
        <v>1204</v>
      </c>
      <c r="D134" s="688">
        <v>146938.14285714287</v>
      </c>
      <c r="E134" s="696">
        <v>1</v>
      </c>
      <c r="F134" s="688">
        <f t="shared" si="7"/>
        <v>146938.14285714287</v>
      </c>
      <c r="H134" s="688">
        <f t="shared" si="8"/>
        <v>-146938.14285714287</v>
      </c>
      <c r="J134" s="688">
        <v>0</v>
      </c>
      <c r="K134" s="688">
        <v>0</v>
      </c>
      <c r="L134" s="688">
        <f t="shared" si="9"/>
        <v>0</v>
      </c>
    </row>
    <row r="135" spans="1:12">
      <c r="A135" s="687">
        <f t="shared" si="4"/>
        <v>44</v>
      </c>
      <c r="B135" s="688" t="s">
        <v>1205</v>
      </c>
      <c r="D135" s="688">
        <v>519587.52380952379</v>
      </c>
      <c r="E135" s="696">
        <v>1</v>
      </c>
      <c r="F135" s="688">
        <f t="shared" si="7"/>
        <v>519587.52380952379</v>
      </c>
      <c r="H135" s="688">
        <f t="shared" si="8"/>
        <v>-519587.52380952379</v>
      </c>
      <c r="J135" s="688">
        <v>0</v>
      </c>
      <c r="K135" s="688">
        <v>0</v>
      </c>
      <c r="L135" s="688">
        <f t="shared" si="9"/>
        <v>0</v>
      </c>
    </row>
    <row r="136" spans="1:12">
      <c r="A136" s="687">
        <f t="shared" si="4"/>
        <v>45</v>
      </c>
      <c r="B136" s="688" t="s">
        <v>1206</v>
      </c>
      <c r="D136" s="688">
        <v>0</v>
      </c>
      <c r="E136" s="696">
        <v>1</v>
      </c>
      <c r="F136" s="688">
        <f t="shared" si="7"/>
        <v>0</v>
      </c>
      <c r="H136" s="688">
        <f t="shared" si="8"/>
        <v>0</v>
      </c>
      <c r="J136" s="688">
        <v>0</v>
      </c>
      <c r="K136" s="688">
        <v>0</v>
      </c>
      <c r="L136" s="688">
        <f t="shared" si="9"/>
        <v>0</v>
      </c>
    </row>
    <row r="137" spans="1:12">
      <c r="A137" s="687">
        <f t="shared" si="4"/>
        <v>46</v>
      </c>
      <c r="B137" s="688" t="s">
        <v>1207</v>
      </c>
      <c r="D137" s="688">
        <v>61724</v>
      </c>
      <c r="E137" s="696">
        <v>1</v>
      </c>
      <c r="F137" s="688">
        <f t="shared" si="7"/>
        <v>61724</v>
      </c>
      <c r="H137" s="688">
        <f t="shared" si="8"/>
        <v>-61724</v>
      </c>
      <c r="J137" s="688">
        <v>0</v>
      </c>
      <c r="K137" s="688">
        <v>0</v>
      </c>
      <c r="L137" s="688">
        <f t="shared" si="9"/>
        <v>0</v>
      </c>
    </row>
    <row r="138" spans="1:12">
      <c r="A138" s="687">
        <f t="shared" si="4"/>
        <v>47</v>
      </c>
      <c r="B138" s="688" t="s">
        <v>1208</v>
      </c>
      <c r="D138" s="688">
        <v>23007</v>
      </c>
      <c r="E138" s="696">
        <v>1</v>
      </c>
      <c r="F138" s="688">
        <f t="shared" si="7"/>
        <v>23007</v>
      </c>
      <c r="H138" s="688">
        <f t="shared" si="8"/>
        <v>-23007</v>
      </c>
      <c r="J138" s="688">
        <v>0</v>
      </c>
      <c r="K138" s="688">
        <v>0</v>
      </c>
      <c r="L138" s="688">
        <f t="shared" si="9"/>
        <v>0</v>
      </c>
    </row>
    <row r="139" spans="1:12">
      <c r="A139" s="687">
        <f t="shared" si="4"/>
        <v>48</v>
      </c>
      <c r="B139" s="688" t="s">
        <v>1209</v>
      </c>
      <c r="D139" s="688">
        <v>22228</v>
      </c>
      <c r="E139" s="696">
        <v>1</v>
      </c>
      <c r="F139" s="688">
        <f t="shared" si="7"/>
        <v>22228</v>
      </c>
      <c r="H139" s="688">
        <f t="shared" si="8"/>
        <v>-22228</v>
      </c>
      <c r="J139" s="688">
        <v>0</v>
      </c>
      <c r="K139" s="688">
        <v>0</v>
      </c>
      <c r="L139" s="688">
        <f t="shared" si="9"/>
        <v>0</v>
      </c>
    </row>
    <row r="140" spans="1:12">
      <c r="A140" s="687">
        <f t="shared" si="4"/>
        <v>49</v>
      </c>
      <c r="B140" s="688" t="s">
        <v>1210</v>
      </c>
      <c r="D140" s="688">
        <v>-55082</v>
      </c>
      <c r="E140" s="696">
        <v>1</v>
      </c>
      <c r="F140" s="688">
        <f t="shared" si="7"/>
        <v>-55082</v>
      </c>
      <c r="H140" s="688">
        <f t="shared" si="8"/>
        <v>55082</v>
      </c>
      <c r="J140" s="688">
        <v>0</v>
      </c>
      <c r="K140" s="688">
        <v>0</v>
      </c>
      <c r="L140" s="688">
        <f t="shared" si="9"/>
        <v>0</v>
      </c>
    </row>
    <row r="141" spans="1:12">
      <c r="A141" s="687">
        <f t="shared" si="4"/>
        <v>50</v>
      </c>
      <c r="B141" s="688" t="s">
        <v>1211</v>
      </c>
      <c r="D141" s="688">
        <v>410888</v>
      </c>
      <c r="E141" s="696">
        <v>1</v>
      </c>
      <c r="F141" s="688">
        <f t="shared" si="7"/>
        <v>410888</v>
      </c>
      <c r="H141" s="688">
        <f t="shared" si="8"/>
        <v>-410888</v>
      </c>
      <c r="J141" s="688">
        <v>0</v>
      </c>
      <c r="K141" s="688">
        <v>0</v>
      </c>
      <c r="L141" s="688">
        <f t="shared" si="9"/>
        <v>0</v>
      </c>
    </row>
    <row r="142" spans="1:12">
      <c r="A142" s="687">
        <f t="shared" si="4"/>
        <v>51</v>
      </c>
      <c r="B142" s="688" t="s">
        <v>1212</v>
      </c>
      <c r="D142" s="688">
        <v>6957</v>
      </c>
      <c r="E142" s="696">
        <v>1</v>
      </c>
      <c r="F142" s="688">
        <f t="shared" si="7"/>
        <v>6957</v>
      </c>
      <c r="H142" s="688">
        <f t="shared" si="8"/>
        <v>-6957</v>
      </c>
      <c r="J142" s="688">
        <v>0</v>
      </c>
      <c r="K142" s="688">
        <v>0</v>
      </c>
      <c r="L142" s="688">
        <f t="shared" si="9"/>
        <v>0</v>
      </c>
    </row>
    <row r="143" spans="1:12">
      <c r="A143" s="687">
        <f t="shared" si="4"/>
        <v>52</v>
      </c>
      <c r="B143" s="688" t="s">
        <v>1213</v>
      </c>
      <c r="D143" s="688">
        <v>18689</v>
      </c>
      <c r="E143" s="696">
        <v>1</v>
      </c>
      <c r="F143" s="688">
        <f t="shared" si="7"/>
        <v>18689</v>
      </c>
      <c r="H143" s="688">
        <f t="shared" si="8"/>
        <v>-18689</v>
      </c>
      <c r="J143" s="688">
        <v>0</v>
      </c>
      <c r="K143" s="688">
        <v>0</v>
      </c>
      <c r="L143" s="688">
        <f t="shared" si="9"/>
        <v>0</v>
      </c>
    </row>
    <row r="144" spans="1:12">
      <c r="A144" s="687">
        <f t="shared" si="4"/>
        <v>53</v>
      </c>
      <c r="B144" s="688" t="s">
        <v>1214</v>
      </c>
      <c r="D144" s="688">
        <v>-281</v>
      </c>
      <c r="E144" s="696">
        <v>1</v>
      </c>
      <c r="F144" s="688">
        <f t="shared" si="7"/>
        <v>-281</v>
      </c>
      <c r="H144" s="688">
        <f t="shared" si="8"/>
        <v>281</v>
      </c>
      <c r="J144" s="688">
        <v>0</v>
      </c>
      <c r="K144" s="688">
        <v>0</v>
      </c>
      <c r="L144" s="688">
        <f t="shared" si="9"/>
        <v>0</v>
      </c>
    </row>
    <row r="145" spans="1:13">
      <c r="A145" s="687">
        <f t="shared" si="4"/>
        <v>54</v>
      </c>
      <c r="B145" s="688" t="s">
        <v>1215</v>
      </c>
      <c r="D145" s="688">
        <v>943</v>
      </c>
      <c r="E145" s="696">
        <v>1</v>
      </c>
      <c r="F145" s="688">
        <f t="shared" si="7"/>
        <v>943</v>
      </c>
      <c r="H145" s="688">
        <f t="shared" si="8"/>
        <v>-943</v>
      </c>
      <c r="J145" s="688">
        <v>0</v>
      </c>
      <c r="K145" s="688">
        <v>0</v>
      </c>
      <c r="L145" s="688">
        <f t="shared" si="9"/>
        <v>0</v>
      </c>
    </row>
    <row r="146" spans="1:13">
      <c r="A146" s="687">
        <f t="shared" si="4"/>
        <v>55</v>
      </c>
      <c r="B146" s="688" t="s">
        <v>1216</v>
      </c>
      <c r="D146" s="688">
        <v>15432</v>
      </c>
      <c r="E146" s="696">
        <v>1</v>
      </c>
      <c r="F146" s="688">
        <f t="shared" si="7"/>
        <v>15432</v>
      </c>
      <c r="H146" s="688">
        <f t="shared" si="8"/>
        <v>-15432</v>
      </c>
      <c r="J146" s="688">
        <v>0</v>
      </c>
      <c r="K146" s="688">
        <v>0</v>
      </c>
      <c r="L146" s="688">
        <f t="shared" si="9"/>
        <v>0</v>
      </c>
    </row>
    <row r="147" spans="1:13">
      <c r="A147" s="687">
        <f t="shared" si="4"/>
        <v>56</v>
      </c>
      <c r="B147" s="688" t="s">
        <v>1217</v>
      </c>
      <c r="D147" s="688">
        <v>233793</v>
      </c>
      <c r="E147" s="696">
        <v>1</v>
      </c>
      <c r="F147" s="688">
        <f t="shared" si="7"/>
        <v>233793</v>
      </c>
      <c r="H147" s="688">
        <f t="shared" si="8"/>
        <v>-233793</v>
      </c>
      <c r="J147" s="688">
        <v>0</v>
      </c>
      <c r="K147" s="688">
        <v>0</v>
      </c>
      <c r="L147" s="688">
        <f t="shared" si="9"/>
        <v>0</v>
      </c>
    </row>
    <row r="148" spans="1:13" s="689" customFormat="1" ht="14.45" customHeight="1">
      <c r="A148" s="687">
        <f t="shared" si="4"/>
        <v>57</v>
      </c>
      <c r="B148" s="689" t="s">
        <v>1218</v>
      </c>
      <c r="D148" s="692">
        <f>SUM(D103:D147)</f>
        <v>-36188667.879726388</v>
      </c>
      <c r="F148" s="692">
        <f>SUM(F103:F147)</f>
        <v>-36188667.879726388</v>
      </c>
      <c r="H148" s="692">
        <f>SUM(H103:H147)</f>
        <v>27363713.231379159</v>
      </c>
      <c r="J148" s="692">
        <f>SUM(J103:J147)</f>
        <v>-8824954.6483472325</v>
      </c>
      <c r="K148" s="692">
        <f>SUM(K103:K147)</f>
        <v>0</v>
      </c>
      <c r="L148" s="692">
        <f>SUM(L103:L147)</f>
        <v>-8824954.6483472325</v>
      </c>
    </row>
    <row r="149" spans="1:13" ht="14.45" customHeight="1">
      <c r="A149" s="687">
        <f t="shared" si="4"/>
        <v>58</v>
      </c>
    </row>
    <row r="150" spans="1:13">
      <c r="A150" s="687">
        <f t="shared" si="4"/>
        <v>59</v>
      </c>
      <c r="B150" s="688" t="s">
        <v>1219</v>
      </c>
      <c r="D150" s="688">
        <v>-36152060.981736585</v>
      </c>
      <c r="E150" s="696">
        <v>1</v>
      </c>
      <c r="F150" s="688">
        <f>D150*$E150</f>
        <v>-36152060.981736585</v>
      </c>
      <c r="H150" s="688">
        <f>J150-F150</f>
        <v>10092083.790661391</v>
      </c>
      <c r="J150" s="688">
        <v>-26059977.191075195</v>
      </c>
      <c r="K150" s="688">
        <f>K100+K148</f>
        <v>0</v>
      </c>
      <c r="L150" s="688">
        <f>SUM(J150,K150)</f>
        <v>-26059977.191075195</v>
      </c>
    </row>
    <row r="151" spans="1:13">
      <c r="A151" s="687">
        <f t="shared" si="4"/>
        <v>60</v>
      </c>
      <c r="B151" s="689" t="s">
        <v>25</v>
      </c>
      <c r="C151" s="689"/>
      <c r="D151" s="688">
        <v>393253.63666666625</v>
      </c>
      <c r="E151" s="696">
        <v>1</v>
      </c>
      <c r="F151" s="688">
        <f>D151*$E151</f>
        <v>393253.63666666625</v>
      </c>
      <c r="H151" s="688">
        <f>J151-F151</f>
        <v>-3714979.4966666619</v>
      </c>
      <c r="I151" s="689"/>
      <c r="J151" s="688">
        <v>-3321725.8599999957</v>
      </c>
      <c r="K151" s="688">
        <v>0</v>
      </c>
      <c r="L151" s="688">
        <f>SUM(J151,K151)</f>
        <v>-3321725.8599999957</v>
      </c>
    </row>
    <row r="152" spans="1:13">
      <c r="A152" s="694"/>
      <c r="B152" s="689"/>
      <c r="C152" s="689"/>
      <c r="D152" s="689"/>
      <c r="E152" s="689"/>
      <c r="F152" s="689"/>
      <c r="G152" s="689"/>
      <c r="H152" s="689"/>
      <c r="I152" s="689"/>
      <c r="J152" s="689"/>
      <c r="K152" s="689"/>
      <c r="L152" s="689"/>
    </row>
    <row r="153" spans="1:13">
      <c r="A153" s="1335" t="str">
        <f>'General Headers Index'!$B$4</f>
        <v>COLUMBIA GAS OF KENTUCKY, INC.</v>
      </c>
      <c r="B153" s="1335"/>
      <c r="C153" s="1335"/>
      <c r="D153" s="1335"/>
      <c r="E153" s="1335"/>
      <c r="F153" s="1335"/>
      <c r="G153" s="1335"/>
      <c r="H153" s="1335"/>
      <c r="I153" s="1335"/>
      <c r="J153" s="1335"/>
      <c r="K153" s="1335"/>
      <c r="L153" s="1335"/>
    </row>
    <row r="154" spans="1:13">
      <c r="A154" s="1335" t="str">
        <f>'General Headers Index'!$B$6</f>
        <v>CASE NO. 2024 - 00092</v>
      </c>
      <c r="B154" s="1335"/>
      <c r="C154" s="1335"/>
      <c r="D154" s="1335"/>
      <c r="E154" s="1335"/>
      <c r="F154" s="1335"/>
      <c r="G154" s="1335"/>
      <c r="H154" s="1335"/>
      <c r="I154" s="1335"/>
      <c r="J154" s="1335"/>
      <c r="K154" s="1335"/>
      <c r="L154" s="1335"/>
    </row>
    <row r="155" spans="1:13">
      <c r="A155" s="1335" t="str">
        <f>$A$3</f>
        <v>COMPUTATION OF FEDERAL AND STATE INCOME TAX</v>
      </c>
      <c r="B155" s="1335"/>
      <c r="C155" s="1335"/>
      <c r="D155" s="1335"/>
      <c r="E155" s="1335"/>
      <c r="F155" s="1335"/>
      <c r="G155" s="1335"/>
      <c r="H155" s="1335"/>
      <c r="I155" s="1335"/>
      <c r="J155" s="1335"/>
      <c r="K155" s="1335"/>
      <c r="L155" s="1335"/>
    </row>
    <row r="156" spans="1:13">
      <c r="A156" s="1335" t="str">
        <f>+'General Headers Index'!$B$9</f>
        <v>BASE PERIOD: TWELVE MONTHS ENDED AUGUST 31, 2024</v>
      </c>
      <c r="B156" s="1335"/>
      <c r="C156" s="1335"/>
      <c r="D156" s="1335"/>
      <c r="E156" s="1335"/>
      <c r="F156" s="1335"/>
      <c r="G156" s="1335"/>
      <c r="H156" s="1335"/>
      <c r="I156" s="1335"/>
      <c r="J156" s="1335"/>
      <c r="K156" s="1335"/>
      <c r="L156" s="1335"/>
      <c r="M156" s="689"/>
    </row>
    <row r="157" spans="1:13">
      <c r="A157" s="1335" t="str">
        <f>+'General Headers Index'!$B$16</f>
        <v>FORECASTED TEST PERIOD: TWELVE MONTHS ENDED DECEMBER 31, 2025</v>
      </c>
      <c r="B157" s="1335"/>
      <c r="C157" s="1335"/>
      <c r="D157" s="1335"/>
      <c r="E157" s="1335"/>
      <c r="F157" s="1335"/>
      <c r="G157" s="1335"/>
      <c r="H157" s="1335"/>
      <c r="I157" s="1335"/>
      <c r="J157" s="1335"/>
      <c r="K157" s="1335"/>
      <c r="L157" s="1335"/>
      <c r="M157" s="689"/>
    </row>
    <row r="158" spans="1:13">
      <c r="B158" s="687"/>
      <c r="C158" s="687"/>
      <c r="D158" s="687"/>
      <c r="E158" s="687"/>
      <c r="F158" s="687"/>
      <c r="G158" s="687"/>
      <c r="H158" s="687"/>
      <c r="I158" s="687"/>
      <c r="J158" s="687"/>
      <c r="K158" s="687"/>
      <c r="L158" s="687"/>
      <c r="M158" s="689"/>
    </row>
    <row r="159" spans="1:13" s="687" customFormat="1">
      <c r="A159" s="286" t="s">
        <v>2786</v>
      </c>
      <c r="B159" s="688"/>
      <c r="C159" s="688"/>
      <c r="D159" s="688"/>
      <c r="E159" s="688"/>
      <c r="F159" s="688"/>
      <c r="G159" s="688"/>
      <c r="H159" s="688"/>
      <c r="I159" s="688"/>
      <c r="K159" s="670"/>
      <c r="L159" s="670" t="str">
        <f>+L7</f>
        <v>SCHEDULE E-1.1</v>
      </c>
    </row>
    <row r="160" spans="1:13" s="687" customFormat="1">
      <c r="A160" s="286" t="s">
        <v>572</v>
      </c>
      <c r="B160" s="688"/>
      <c r="C160" s="688"/>
      <c r="D160" s="688"/>
      <c r="E160" s="688"/>
      <c r="F160" s="688"/>
      <c r="G160" s="688"/>
      <c r="H160" s="688"/>
      <c r="I160" s="688"/>
      <c r="K160" s="670"/>
      <c r="L160" s="670" t="s">
        <v>1338</v>
      </c>
    </row>
    <row r="161" spans="1:12" s="694" customFormat="1">
      <c r="A161" s="286" t="s">
        <v>575</v>
      </c>
      <c r="B161" s="689"/>
      <c r="C161" s="689"/>
      <c r="D161" s="689"/>
      <c r="E161" s="689"/>
      <c r="F161" s="689"/>
      <c r="G161" s="689"/>
      <c r="H161" s="689"/>
      <c r="I161" s="689"/>
      <c r="K161" s="690"/>
      <c r="L161" s="690" t="str">
        <f>"WITNESS: "&amp;'General Headers Index'!$B$43</f>
        <v>WITNESS: HARDING</v>
      </c>
    </row>
    <row r="162" spans="1:12" s="687" customFormat="1">
      <c r="A162" s="286"/>
      <c r="B162" s="689"/>
      <c r="C162" s="689"/>
      <c r="D162" s="689"/>
      <c r="E162" s="689"/>
      <c r="F162" s="689"/>
      <c r="G162" s="689"/>
      <c r="H162" s="689"/>
      <c r="I162" s="689"/>
      <c r="K162" s="690"/>
      <c r="L162" s="690"/>
    </row>
    <row r="163" spans="1:12" s="687" customFormat="1">
      <c r="A163" s="693"/>
      <c r="B163" s="693"/>
      <c r="C163" s="693"/>
      <c r="D163" s="693" t="s">
        <v>502</v>
      </c>
      <c r="E163" s="693"/>
      <c r="F163" s="693" t="s">
        <v>502</v>
      </c>
      <c r="G163" s="693"/>
      <c r="H163" s="693" t="s">
        <v>502</v>
      </c>
      <c r="I163" s="693"/>
      <c r="J163" s="700" t="s">
        <v>651</v>
      </c>
      <c r="K163" s="700" t="s">
        <v>651</v>
      </c>
      <c r="L163" s="700" t="s">
        <v>651</v>
      </c>
    </row>
    <row r="164" spans="1:12" s="687" customFormat="1">
      <c r="A164" s="694"/>
      <c r="B164" s="694"/>
      <c r="C164" s="694"/>
      <c r="D164" s="694" t="s">
        <v>723</v>
      </c>
      <c r="E164" s="694"/>
      <c r="F164" s="694" t="s">
        <v>723</v>
      </c>
      <c r="G164" s="694"/>
      <c r="H164" s="694" t="s">
        <v>723</v>
      </c>
      <c r="I164" s="694"/>
      <c r="J164" s="694" t="s">
        <v>723</v>
      </c>
      <c r="K164" s="694" t="s">
        <v>723</v>
      </c>
      <c r="L164" s="694" t="s">
        <v>723</v>
      </c>
    </row>
    <row r="165" spans="1:12" s="687" customFormat="1">
      <c r="A165" s="543" t="s">
        <v>313</v>
      </c>
      <c r="B165" s="694"/>
      <c r="C165" s="694"/>
      <c r="D165" s="694" t="s">
        <v>725</v>
      </c>
      <c r="E165" s="290" t="s">
        <v>78</v>
      </c>
      <c r="F165" s="694" t="s">
        <v>725</v>
      </c>
      <c r="G165" s="694"/>
      <c r="H165" s="694" t="s">
        <v>725</v>
      </c>
      <c r="I165" s="694"/>
      <c r="J165" s="694" t="s">
        <v>725</v>
      </c>
      <c r="K165" s="694" t="s">
        <v>725</v>
      </c>
      <c r="L165" s="694" t="s">
        <v>727</v>
      </c>
    </row>
    <row r="166" spans="1:12" s="687" customFormat="1">
      <c r="A166" s="1019" t="s">
        <v>316</v>
      </c>
      <c r="B166" s="999" t="s">
        <v>451</v>
      </c>
      <c r="C166" s="1066" t="s">
        <v>318</v>
      </c>
      <c r="D166" s="1066" t="s">
        <v>371</v>
      </c>
      <c r="E166" s="1067" t="s">
        <v>529</v>
      </c>
      <c r="F166" s="1066" t="s">
        <v>372</v>
      </c>
      <c r="G166" s="1066"/>
      <c r="H166" s="1066" t="s">
        <v>433</v>
      </c>
      <c r="I166" s="1066"/>
      <c r="J166" s="1066" t="s">
        <v>371</v>
      </c>
      <c r="K166" s="1066" t="s">
        <v>433</v>
      </c>
      <c r="L166" s="1066" t="s">
        <v>1148</v>
      </c>
    </row>
    <row r="167" spans="1:12">
      <c r="B167" s="687"/>
      <c r="C167" s="687"/>
      <c r="D167" s="687" t="s">
        <v>532</v>
      </c>
      <c r="E167" s="687">
        <v>-2</v>
      </c>
      <c r="F167" s="695" t="s">
        <v>1149</v>
      </c>
      <c r="G167" s="687"/>
      <c r="H167" s="687" t="s">
        <v>1998</v>
      </c>
      <c r="I167" s="687"/>
      <c r="J167" s="695" t="s">
        <v>669</v>
      </c>
      <c r="K167" s="695" t="s">
        <v>670</v>
      </c>
      <c r="L167" s="695" t="s">
        <v>1999</v>
      </c>
    </row>
    <row r="168" spans="1:12">
      <c r="B168" s="687"/>
      <c r="C168" s="687"/>
      <c r="D168" s="687" t="s">
        <v>320</v>
      </c>
      <c r="F168" s="687" t="s">
        <v>320</v>
      </c>
      <c r="G168" s="687"/>
      <c r="H168" s="687" t="s">
        <v>320</v>
      </c>
      <c r="I168" s="687"/>
      <c r="J168" s="687" t="s">
        <v>320</v>
      </c>
      <c r="K168" s="687" t="s">
        <v>320</v>
      </c>
      <c r="L168" s="687" t="s">
        <v>320</v>
      </c>
    </row>
    <row r="169" spans="1:12">
      <c r="A169" s="687">
        <v>1</v>
      </c>
      <c r="B169" s="1066" t="s">
        <v>1220</v>
      </c>
      <c r="C169" s="689"/>
      <c r="D169" s="689"/>
      <c r="E169" s="689"/>
      <c r="F169" s="689"/>
      <c r="G169" s="689"/>
      <c r="H169" s="689"/>
      <c r="I169" s="689"/>
      <c r="J169" s="689"/>
      <c r="K169" s="689"/>
      <c r="L169" s="689"/>
    </row>
    <row r="170" spans="1:12">
      <c r="A170" s="687">
        <f t="shared" si="4"/>
        <v>2</v>
      </c>
      <c r="B170" s="701" t="s">
        <v>22</v>
      </c>
      <c r="C170" s="701"/>
      <c r="D170" s="688">
        <v>-9098.3333333333321</v>
      </c>
      <c r="E170" s="696">
        <v>1</v>
      </c>
      <c r="F170" s="688">
        <f>D170*$E170</f>
        <v>-9098.3333333333321</v>
      </c>
      <c r="H170" s="688">
        <f>J170-F170</f>
        <v>8034.3333333333321</v>
      </c>
      <c r="I170" s="689"/>
      <c r="J170" s="688">
        <v>-1064</v>
      </c>
      <c r="K170" s="688">
        <v>0</v>
      </c>
      <c r="L170" s="688">
        <f>SUM(J170,K170)</f>
        <v>-1064</v>
      </c>
    </row>
    <row r="171" spans="1:12">
      <c r="A171" s="687">
        <f t="shared" si="4"/>
        <v>3</v>
      </c>
      <c r="B171" s="701" t="s">
        <v>1221</v>
      </c>
      <c r="C171" s="701"/>
      <c r="D171" s="688">
        <v>-41866.766666666663</v>
      </c>
      <c r="E171" s="696">
        <v>1</v>
      </c>
      <c r="F171" s="688">
        <f>D171*$E171</f>
        <v>-41866.766666666663</v>
      </c>
      <c r="H171" s="688">
        <f>J171-F171</f>
        <v>-29410.233333333337</v>
      </c>
      <c r="I171" s="689"/>
      <c r="J171" s="688">
        <v>-71277</v>
      </c>
      <c r="K171" s="688">
        <v>0</v>
      </c>
      <c r="L171" s="688">
        <f>SUM(J171,K171)</f>
        <v>-71277</v>
      </c>
    </row>
    <row r="172" spans="1:12">
      <c r="A172" s="687">
        <f t="shared" si="4"/>
        <v>4</v>
      </c>
      <c r="B172" s="701" t="s">
        <v>14</v>
      </c>
      <c r="C172" s="701"/>
      <c r="D172" s="688">
        <v>-491664.15458923089</v>
      </c>
      <c r="E172" s="696">
        <v>1</v>
      </c>
      <c r="F172" s="688">
        <f>D172*$E172</f>
        <v>-491664.15458923089</v>
      </c>
      <c r="H172" s="688">
        <f>J172-F172</f>
        <v>30532.470000000147</v>
      </c>
      <c r="I172" s="689"/>
      <c r="J172" s="688">
        <v>-461131.68458923075</v>
      </c>
      <c r="K172" s="688">
        <v>0</v>
      </c>
      <c r="L172" s="688">
        <f>SUM(J172,K172)</f>
        <v>-461131.68458923075</v>
      </c>
    </row>
    <row r="173" spans="1:12">
      <c r="A173" s="687">
        <f t="shared" si="4"/>
        <v>5</v>
      </c>
      <c r="B173" s="701"/>
      <c r="C173" s="701"/>
      <c r="E173" s="689"/>
      <c r="G173" s="689"/>
      <c r="I173" s="689"/>
    </row>
    <row r="174" spans="1:12">
      <c r="A174" s="687">
        <f t="shared" si="4"/>
        <v>6</v>
      </c>
      <c r="B174" s="1066" t="s">
        <v>9</v>
      </c>
      <c r="C174" s="689"/>
      <c r="D174" s="689"/>
      <c r="E174" s="689"/>
      <c r="F174" s="689"/>
      <c r="G174" s="689"/>
      <c r="H174" s="689"/>
      <c r="I174" s="689"/>
      <c r="J174" s="689"/>
      <c r="K174" s="689"/>
      <c r="L174" s="689"/>
    </row>
    <row r="175" spans="1:12">
      <c r="A175" s="687">
        <f t="shared" si="4"/>
        <v>7</v>
      </c>
      <c r="B175" s="688" t="s">
        <v>1222</v>
      </c>
      <c r="C175" s="689"/>
      <c r="D175" s="688">
        <v>-825</v>
      </c>
      <c r="E175" s="696">
        <v>1</v>
      </c>
      <c r="F175" s="688">
        <f>D175*$E175</f>
        <v>-825</v>
      </c>
      <c r="H175" s="688">
        <f>J175-F175</f>
        <v>825</v>
      </c>
      <c r="I175" s="689"/>
      <c r="J175" s="688">
        <v>0</v>
      </c>
      <c r="K175" s="688">
        <f>-J175</f>
        <v>0</v>
      </c>
      <c r="L175" s="688">
        <f>SUM(J175:K175)</f>
        <v>0</v>
      </c>
    </row>
    <row r="176" spans="1:12">
      <c r="A176" s="687">
        <f t="shared" ref="A176:A188" si="10">A175+1</f>
        <v>8</v>
      </c>
      <c r="B176" s="688" t="s">
        <v>1223</v>
      </c>
      <c r="C176" s="689"/>
      <c r="D176" s="688">
        <v>-5466</v>
      </c>
      <c r="E176" s="696">
        <v>1</v>
      </c>
      <c r="F176" s="688">
        <f>D176*$E176</f>
        <v>-5466</v>
      </c>
      <c r="H176" s="688">
        <f>J176-F176</f>
        <v>5466</v>
      </c>
      <c r="I176" s="689"/>
      <c r="J176" s="688">
        <v>0</v>
      </c>
      <c r="K176" s="688">
        <f>-J176</f>
        <v>0</v>
      </c>
      <c r="L176" s="688">
        <f>SUM(J176:K176)</f>
        <v>0</v>
      </c>
    </row>
    <row r="177" spans="1:12">
      <c r="A177" s="687">
        <f t="shared" si="10"/>
        <v>9</v>
      </c>
      <c r="B177" s="688" t="s">
        <v>1224</v>
      </c>
      <c r="C177" s="689"/>
      <c r="D177" s="688">
        <v>0</v>
      </c>
      <c r="E177" s="696">
        <v>1</v>
      </c>
      <c r="F177" s="688">
        <f>D177*$E177</f>
        <v>0</v>
      </c>
      <c r="H177" s="688">
        <f>J177-F177</f>
        <v>0</v>
      </c>
      <c r="I177" s="689"/>
      <c r="J177" s="688">
        <v>0</v>
      </c>
      <c r="K177" s="688">
        <f>-J177</f>
        <v>0</v>
      </c>
      <c r="L177" s="688">
        <f>SUM(J177:K177)</f>
        <v>0</v>
      </c>
    </row>
    <row r="178" spans="1:12">
      <c r="A178" s="687">
        <f t="shared" si="10"/>
        <v>10</v>
      </c>
      <c r="B178" s="688" t="s">
        <v>1225</v>
      </c>
      <c r="C178" s="689"/>
      <c r="D178" s="688">
        <v>-160312.53</v>
      </c>
      <c r="E178" s="696">
        <v>1</v>
      </c>
      <c r="F178" s="688">
        <f>D178*$E178</f>
        <v>-160312.53</v>
      </c>
      <c r="H178" s="688">
        <f>J178-F178</f>
        <v>160312.53</v>
      </c>
      <c r="I178" s="689"/>
      <c r="J178" s="688">
        <v>0</v>
      </c>
      <c r="K178" s="688">
        <f>-J178</f>
        <v>0</v>
      </c>
      <c r="L178" s="688">
        <f>SUM(J178:K178)</f>
        <v>0</v>
      </c>
    </row>
    <row r="179" spans="1:12">
      <c r="A179" s="687">
        <f t="shared" si="10"/>
        <v>11</v>
      </c>
      <c r="C179" s="689"/>
      <c r="E179" s="689"/>
      <c r="G179" s="689"/>
      <c r="I179" s="689"/>
    </row>
    <row r="180" spans="1:12">
      <c r="A180" s="687">
        <f t="shared" si="10"/>
        <v>12</v>
      </c>
      <c r="B180" s="1066" t="s">
        <v>1226</v>
      </c>
      <c r="C180" s="689"/>
      <c r="D180" s="689"/>
      <c r="E180" s="689"/>
      <c r="F180" s="689"/>
      <c r="G180" s="689"/>
      <c r="H180" s="689"/>
      <c r="I180" s="689"/>
      <c r="J180" s="689"/>
      <c r="K180" s="689"/>
      <c r="L180" s="689"/>
    </row>
    <row r="181" spans="1:12">
      <c r="A181" s="687">
        <f t="shared" si="10"/>
        <v>13</v>
      </c>
      <c r="B181" s="701" t="s">
        <v>17</v>
      </c>
      <c r="C181" s="701"/>
      <c r="D181" s="688">
        <v>-24123.165380952385</v>
      </c>
      <c r="E181" s="696">
        <v>1</v>
      </c>
      <c r="F181" s="688">
        <f>D181*$E181</f>
        <v>-24123.165380952385</v>
      </c>
      <c r="H181" s="688">
        <f>J181-F181</f>
        <v>0</v>
      </c>
      <c r="I181" s="689"/>
      <c r="J181" s="688">
        <v>-24123.165380952385</v>
      </c>
      <c r="K181" s="688">
        <v>0</v>
      </c>
      <c r="L181" s="688">
        <f>SUM(J181:K181)</f>
        <v>-24123.165380952385</v>
      </c>
    </row>
    <row r="182" spans="1:12">
      <c r="A182" s="687">
        <f t="shared" si="10"/>
        <v>14</v>
      </c>
      <c r="B182" s="701" t="s">
        <v>1221</v>
      </c>
      <c r="C182" s="701"/>
      <c r="D182" s="688">
        <v>-10493.35</v>
      </c>
      <c r="E182" s="696">
        <v>1</v>
      </c>
      <c r="F182" s="688">
        <f>D182*$E182</f>
        <v>-10493.35</v>
      </c>
      <c r="H182" s="688">
        <f>J182-F182</f>
        <v>-7370.5599999999995</v>
      </c>
      <c r="I182" s="689"/>
      <c r="J182" s="688">
        <v>-17863.91</v>
      </c>
      <c r="K182" s="688">
        <v>0</v>
      </c>
      <c r="L182" s="688">
        <f>SUM(J182:K182)</f>
        <v>-17863.91</v>
      </c>
    </row>
    <row r="183" spans="1:12">
      <c r="A183" s="687">
        <f t="shared" si="10"/>
        <v>15</v>
      </c>
      <c r="B183" s="701"/>
      <c r="C183" s="701"/>
      <c r="E183" s="689"/>
      <c r="G183" s="689"/>
      <c r="I183" s="689"/>
    </row>
    <row r="184" spans="1:12">
      <c r="A184" s="687">
        <f t="shared" si="10"/>
        <v>16</v>
      </c>
      <c r="B184" s="1066" t="s">
        <v>1157</v>
      </c>
      <c r="C184" s="689"/>
      <c r="D184" s="689"/>
      <c r="E184" s="689"/>
      <c r="F184" s="689"/>
      <c r="G184" s="689"/>
      <c r="H184" s="689"/>
      <c r="I184" s="689"/>
      <c r="J184" s="689"/>
      <c r="K184" s="689"/>
      <c r="L184" s="689"/>
    </row>
    <row r="185" spans="1:12">
      <c r="A185" s="687">
        <f t="shared" si="10"/>
        <v>17</v>
      </c>
      <c r="B185" s="688" t="s">
        <v>1227</v>
      </c>
      <c r="C185" s="689"/>
      <c r="D185" s="688">
        <v>-764696</v>
      </c>
      <c r="E185" s="696">
        <v>1</v>
      </c>
      <c r="F185" s="688">
        <f>D185*$E185</f>
        <v>-764696</v>
      </c>
      <c r="H185" s="688">
        <f>J185-F185</f>
        <v>764696</v>
      </c>
      <c r="I185" s="689"/>
      <c r="J185" s="688">
        <v>0</v>
      </c>
      <c r="K185" s="688">
        <f>-J185</f>
        <v>0</v>
      </c>
      <c r="L185" s="688">
        <f>SUM(J185:K185)</f>
        <v>0</v>
      </c>
    </row>
    <row r="186" spans="1:12">
      <c r="A186" s="687">
        <f t="shared" si="10"/>
        <v>18</v>
      </c>
      <c r="B186" s="688" t="s">
        <v>1228</v>
      </c>
      <c r="C186" s="689"/>
      <c r="D186" s="688">
        <v>0</v>
      </c>
      <c r="E186" s="696">
        <v>1</v>
      </c>
      <c r="F186" s="688">
        <f>D186*$E186</f>
        <v>0</v>
      </c>
      <c r="H186" s="688">
        <f>J186-F186</f>
        <v>0</v>
      </c>
      <c r="I186" s="689"/>
      <c r="J186" s="688">
        <v>0</v>
      </c>
      <c r="K186" s="688">
        <f>-J186</f>
        <v>0</v>
      </c>
      <c r="L186" s="688">
        <f>SUM(J186:K186)</f>
        <v>0</v>
      </c>
    </row>
    <row r="187" spans="1:12">
      <c r="A187" s="687">
        <f t="shared" si="10"/>
        <v>19</v>
      </c>
      <c r="B187" s="688" t="s">
        <v>1229</v>
      </c>
      <c r="C187" s="689"/>
      <c r="D187" s="688">
        <v>763393</v>
      </c>
      <c r="E187" s="696">
        <v>1</v>
      </c>
      <c r="F187" s="688">
        <f>D187*$E187</f>
        <v>763393</v>
      </c>
      <c r="H187" s="688">
        <f>J187-F187</f>
        <v>-763393</v>
      </c>
      <c r="I187" s="689"/>
      <c r="J187" s="688">
        <v>0</v>
      </c>
      <c r="K187" s="688">
        <f>-J187</f>
        <v>0</v>
      </c>
      <c r="L187" s="688">
        <f>SUM(J187:K187)</f>
        <v>0</v>
      </c>
    </row>
    <row r="188" spans="1:12">
      <c r="A188" s="687">
        <f t="shared" si="10"/>
        <v>20</v>
      </c>
      <c r="B188" s="688" t="s">
        <v>1224</v>
      </c>
      <c r="C188" s="689"/>
      <c r="D188" s="688">
        <v>0</v>
      </c>
      <c r="E188" s="696">
        <v>1</v>
      </c>
      <c r="F188" s="688">
        <f>D188*$E188</f>
        <v>0</v>
      </c>
      <c r="H188" s="688">
        <f>J188-F188</f>
        <v>0</v>
      </c>
      <c r="I188" s="689"/>
      <c r="J188" s="688">
        <v>0</v>
      </c>
      <c r="K188" s="688">
        <f>-J188</f>
        <v>0</v>
      </c>
      <c r="L188" s="688">
        <f>SUM(J188:K188)</f>
        <v>0</v>
      </c>
    </row>
    <row r="189" spans="1:12">
      <c r="A189" s="694"/>
      <c r="B189" s="689"/>
      <c r="C189" s="689"/>
      <c r="D189" s="689"/>
      <c r="E189" s="689"/>
      <c r="F189" s="689"/>
      <c r="G189" s="689"/>
      <c r="H189" s="689"/>
      <c r="I189" s="689"/>
      <c r="J189" s="689"/>
      <c r="K189" s="689"/>
      <c r="L189" s="689"/>
    </row>
    <row r="190" spans="1:12">
      <c r="A190" s="694"/>
      <c r="B190" s="689"/>
      <c r="C190" s="689"/>
      <c r="D190" s="689"/>
      <c r="E190" s="689"/>
      <c r="F190" s="689"/>
      <c r="G190" s="689"/>
      <c r="H190" s="689"/>
      <c r="I190" s="689"/>
      <c r="J190" s="689"/>
      <c r="K190" s="689"/>
      <c r="L190" s="689"/>
    </row>
    <row r="191" spans="1:12">
      <c r="A191" s="694"/>
      <c r="B191" s="689"/>
      <c r="C191" s="689"/>
      <c r="D191" s="689"/>
      <c r="E191" s="689"/>
      <c r="F191" s="689"/>
      <c r="G191" s="689"/>
      <c r="H191" s="689"/>
      <c r="I191" s="689"/>
      <c r="J191" s="689"/>
      <c r="K191" s="689"/>
      <c r="L191" s="689"/>
    </row>
    <row r="192" spans="1:12">
      <c r="A192" s="694"/>
      <c r="B192" s="689"/>
      <c r="C192" s="689"/>
      <c r="D192" s="689"/>
      <c r="E192" s="689"/>
      <c r="F192" s="689"/>
      <c r="G192" s="689"/>
      <c r="H192" s="689"/>
      <c r="I192" s="689"/>
      <c r="J192" s="689"/>
      <c r="K192" s="689"/>
      <c r="L192" s="689"/>
    </row>
    <row r="193" spans="1:12">
      <c r="A193" s="694"/>
      <c r="B193" s="689"/>
      <c r="C193" s="689"/>
      <c r="D193" s="689"/>
      <c r="E193" s="689"/>
      <c r="F193" s="689"/>
      <c r="G193" s="689"/>
      <c r="H193" s="689"/>
      <c r="I193" s="689"/>
      <c r="J193" s="689"/>
      <c r="K193" s="689"/>
      <c r="L193" s="689"/>
    </row>
    <row r="194" spans="1:12">
      <c r="A194" s="694"/>
      <c r="B194" s="689"/>
      <c r="C194" s="689"/>
      <c r="D194" s="689"/>
      <c r="E194" s="689"/>
      <c r="F194" s="689"/>
      <c r="G194" s="689"/>
      <c r="H194" s="689"/>
      <c r="I194" s="689"/>
      <c r="J194" s="689"/>
      <c r="K194" s="689"/>
      <c r="L194" s="689"/>
    </row>
    <row r="195" spans="1:12">
      <c r="A195" s="694"/>
      <c r="B195" s="689"/>
      <c r="C195" s="689"/>
      <c r="D195" s="689"/>
      <c r="E195" s="689"/>
      <c r="F195" s="689"/>
      <c r="G195" s="689"/>
      <c r="H195" s="689"/>
      <c r="I195" s="689"/>
      <c r="J195" s="689"/>
      <c r="K195" s="689"/>
      <c r="L195" s="689"/>
    </row>
    <row r="196" spans="1:12">
      <c r="A196" s="694"/>
      <c r="B196" s="689"/>
      <c r="C196" s="689"/>
      <c r="D196" s="689"/>
      <c r="E196" s="689"/>
      <c r="F196" s="689"/>
      <c r="G196" s="689"/>
      <c r="H196" s="689"/>
      <c r="I196" s="689"/>
      <c r="J196" s="689"/>
      <c r="K196" s="689"/>
      <c r="L196" s="689"/>
    </row>
    <row r="197" spans="1:12">
      <c r="A197" s="694"/>
      <c r="B197" s="689"/>
      <c r="C197" s="689"/>
      <c r="D197" s="689"/>
      <c r="E197" s="689"/>
      <c r="F197" s="689"/>
      <c r="G197" s="689"/>
      <c r="H197" s="689"/>
      <c r="I197" s="689"/>
      <c r="J197" s="689"/>
      <c r="K197" s="689"/>
      <c r="L197" s="689"/>
    </row>
    <row r="198" spans="1:12">
      <c r="A198" s="694"/>
      <c r="B198" s="689"/>
      <c r="C198" s="689"/>
      <c r="D198" s="689"/>
      <c r="E198" s="689"/>
      <c r="F198" s="689"/>
      <c r="G198" s="689"/>
      <c r="H198" s="689"/>
      <c r="I198" s="689"/>
      <c r="J198" s="689"/>
      <c r="K198" s="689"/>
      <c r="L198" s="689"/>
    </row>
    <row r="199" spans="1:12">
      <c r="A199" s="694"/>
      <c r="B199" s="689"/>
      <c r="C199" s="689"/>
      <c r="D199" s="689"/>
      <c r="E199" s="689"/>
      <c r="F199" s="689"/>
      <c r="G199" s="689"/>
      <c r="H199" s="689"/>
      <c r="I199" s="689"/>
      <c r="J199" s="689"/>
      <c r="K199" s="689"/>
      <c r="L199" s="689"/>
    </row>
    <row r="200" spans="1:12">
      <c r="A200" s="694"/>
      <c r="B200" s="689"/>
      <c r="C200" s="689"/>
      <c r="D200" s="689"/>
      <c r="E200" s="689"/>
      <c r="F200" s="689"/>
      <c r="G200" s="689"/>
      <c r="H200" s="689"/>
      <c r="I200" s="689"/>
      <c r="J200" s="689"/>
      <c r="K200" s="689"/>
      <c r="L200" s="689"/>
    </row>
    <row r="201" spans="1:12">
      <c r="A201" s="694"/>
      <c r="B201" s="689"/>
      <c r="C201" s="689"/>
      <c r="D201" s="689"/>
      <c r="E201" s="689"/>
      <c r="F201" s="689"/>
      <c r="G201" s="689"/>
      <c r="H201" s="689"/>
      <c r="I201" s="689"/>
      <c r="J201" s="689"/>
      <c r="K201" s="689"/>
      <c r="L201" s="689"/>
    </row>
    <row r="202" spans="1:12">
      <c r="A202" s="694"/>
      <c r="B202" s="689"/>
      <c r="C202" s="689"/>
      <c r="D202" s="689"/>
      <c r="E202" s="689"/>
      <c r="F202" s="689"/>
      <c r="G202" s="689"/>
      <c r="H202" s="689"/>
      <c r="I202" s="689"/>
      <c r="J202" s="689"/>
      <c r="K202" s="689"/>
      <c r="L202" s="689"/>
    </row>
    <row r="203" spans="1:12">
      <c r="A203" s="694"/>
      <c r="B203" s="689"/>
      <c r="C203" s="689"/>
      <c r="D203" s="689"/>
      <c r="E203" s="689"/>
      <c r="F203" s="689"/>
      <c r="G203" s="689"/>
      <c r="H203" s="689"/>
      <c r="I203" s="689"/>
      <c r="J203" s="689"/>
      <c r="K203" s="689"/>
      <c r="L203" s="689"/>
    </row>
    <row r="204" spans="1:12">
      <c r="A204" s="694"/>
      <c r="B204" s="689"/>
      <c r="C204" s="689"/>
      <c r="D204" s="689"/>
      <c r="E204" s="689"/>
      <c r="F204" s="689"/>
      <c r="G204" s="689"/>
      <c r="H204" s="689"/>
      <c r="I204" s="689"/>
      <c r="J204" s="689"/>
      <c r="K204" s="689"/>
      <c r="L204" s="689"/>
    </row>
    <row r="205" spans="1:12">
      <c r="A205" s="694"/>
      <c r="B205" s="689"/>
      <c r="C205" s="689"/>
      <c r="D205" s="689"/>
      <c r="E205" s="689"/>
      <c r="F205" s="689"/>
      <c r="G205" s="689"/>
      <c r="H205" s="689"/>
      <c r="I205" s="689"/>
      <c r="J205" s="689"/>
      <c r="K205" s="689"/>
      <c r="L205" s="689"/>
    </row>
    <row r="206" spans="1:12">
      <c r="A206" s="694"/>
      <c r="B206" s="689"/>
      <c r="C206" s="689"/>
      <c r="D206" s="689"/>
      <c r="E206" s="689"/>
      <c r="F206" s="689"/>
      <c r="G206" s="689"/>
      <c r="H206" s="689"/>
      <c r="I206" s="689"/>
      <c r="J206" s="689"/>
      <c r="K206" s="689"/>
      <c r="L206" s="689"/>
    </row>
    <row r="207" spans="1:12">
      <c r="A207" s="694"/>
      <c r="B207" s="689"/>
      <c r="C207" s="689"/>
      <c r="D207" s="689"/>
      <c r="E207" s="689"/>
      <c r="F207" s="689"/>
      <c r="G207" s="689"/>
      <c r="H207" s="689"/>
      <c r="I207" s="689"/>
      <c r="J207" s="689"/>
      <c r="K207" s="689"/>
      <c r="L207" s="689"/>
    </row>
    <row r="208" spans="1:12">
      <c r="A208" s="694"/>
      <c r="B208" s="689"/>
      <c r="C208" s="689"/>
      <c r="D208" s="689"/>
      <c r="E208" s="689"/>
      <c r="F208" s="689"/>
      <c r="G208" s="689"/>
      <c r="H208" s="689"/>
      <c r="I208" s="689"/>
      <c r="J208" s="689"/>
      <c r="K208" s="689"/>
      <c r="L208" s="689"/>
    </row>
    <row r="209" spans="1:12">
      <c r="A209" s="694"/>
      <c r="B209" s="689"/>
      <c r="C209" s="689"/>
      <c r="D209" s="689"/>
      <c r="E209" s="689"/>
      <c r="F209" s="689"/>
      <c r="G209" s="689"/>
      <c r="H209" s="689"/>
      <c r="I209" s="689"/>
      <c r="J209" s="689"/>
      <c r="K209" s="689"/>
      <c r="L209" s="689"/>
    </row>
    <row r="210" spans="1:12">
      <c r="A210" s="694"/>
      <c r="B210" s="689"/>
      <c r="C210" s="689"/>
      <c r="D210" s="689"/>
      <c r="E210" s="689"/>
      <c r="F210" s="689"/>
      <c r="G210" s="689"/>
      <c r="H210" s="689"/>
      <c r="I210" s="689"/>
      <c r="J210" s="689"/>
      <c r="K210" s="689"/>
      <c r="L210" s="689"/>
    </row>
    <row r="211" spans="1:12">
      <c r="A211" s="694"/>
      <c r="B211" s="689"/>
      <c r="C211" s="689"/>
      <c r="D211" s="689"/>
      <c r="E211" s="689"/>
      <c r="F211" s="689"/>
      <c r="G211" s="689"/>
      <c r="H211" s="689"/>
      <c r="I211" s="689"/>
      <c r="J211" s="689"/>
      <c r="K211" s="689"/>
      <c r="L211" s="689"/>
    </row>
    <row r="212" spans="1:12">
      <c r="A212" s="694"/>
      <c r="B212" s="689"/>
      <c r="C212" s="689"/>
      <c r="D212" s="689"/>
      <c r="E212" s="689"/>
      <c r="F212" s="689"/>
      <c r="G212" s="689"/>
      <c r="H212" s="689"/>
      <c r="I212" s="689"/>
      <c r="J212" s="689"/>
      <c r="K212" s="689"/>
      <c r="L212" s="689"/>
    </row>
    <row r="213" spans="1:12">
      <c r="A213" s="694"/>
      <c r="B213" s="689"/>
      <c r="C213" s="689"/>
      <c r="D213" s="689"/>
      <c r="E213" s="689"/>
      <c r="F213" s="689"/>
      <c r="G213" s="689"/>
      <c r="H213" s="689"/>
      <c r="I213" s="689"/>
      <c r="J213" s="689"/>
      <c r="K213" s="689"/>
      <c r="L213" s="689"/>
    </row>
    <row r="214" spans="1:12">
      <c r="A214" s="694"/>
      <c r="B214" s="689"/>
      <c r="C214" s="689"/>
      <c r="D214" s="689"/>
      <c r="E214" s="689"/>
      <c r="F214" s="689"/>
      <c r="G214" s="689"/>
      <c r="H214" s="689"/>
      <c r="I214" s="689"/>
      <c r="J214" s="689"/>
      <c r="K214" s="689"/>
      <c r="L214" s="689"/>
    </row>
    <row r="215" spans="1:12">
      <c r="A215" s="694"/>
      <c r="B215" s="689"/>
      <c r="C215" s="689"/>
      <c r="D215" s="689"/>
      <c r="E215" s="689"/>
      <c r="F215" s="689"/>
      <c r="G215" s="689"/>
      <c r="H215" s="689"/>
      <c r="I215" s="689"/>
      <c r="J215" s="689"/>
      <c r="K215" s="689"/>
      <c r="L215" s="689"/>
    </row>
    <row r="216" spans="1:12">
      <c r="A216" s="694"/>
      <c r="B216" s="689"/>
      <c r="C216" s="689"/>
      <c r="D216" s="689"/>
      <c r="E216" s="689"/>
      <c r="F216" s="689"/>
      <c r="G216" s="689"/>
      <c r="H216" s="689"/>
      <c r="I216" s="689"/>
      <c r="J216" s="689"/>
      <c r="K216" s="689"/>
      <c r="L216" s="689"/>
    </row>
    <row r="217" spans="1:12">
      <c r="A217" s="694"/>
      <c r="B217" s="689"/>
      <c r="C217" s="689"/>
      <c r="D217" s="689"/>
      <c r="E217" s="689"/>
      <c r="F217" s="689"/>
      <c r="G217" s="689"/>
      <c r="H217" s="689"/>
      <c r="I217" s="689"/>
      <c r="J217" s="689"/>
      <c r="K217" s="689"/>
      <c r="L217" s="689"/>
    </row>
    <row r="218" spans="1:12">
      <c r="A218" s="694"/>
      <c r="B218" s="689"/>
      <c r="C218" s="689"/>
      <c r="D218" s="689"/>
      <c r="E218" s="689"/>
      <c r="F218" s="689"/>
      <c r="G218" s="689"/>
      <c r="H218" s="689"/>
      <c r="I218" s="689"/>
      <c r="J218" s="689"/>
      <c r="K218" s="689"/>
      <c r="L218" s="689"/>
    </row>
    <row r="219" spans="1:12">
      <c r="A219" s="694"/>
      <c r="B219" s="689"/>
      <c r="C219" s="689"/>
      <c r="D219" s="689"/>
      <c r="E219" s="689"/>
      <c r="F219" s="689"/>
      <c r="G219" s="689"/>
      <c r="H219" s="689"/>
      <c r="I219" s="689"/>
      <c r="J219" s="689"/>
      <c r="K219" s="689"/>
      <c r="L219" s="689"/>
    </row>
    <row r="220" spans="1:12">
      <c r="A220" s="694"/>
      <c r="B220" s="689"/>
      <c r="C220" s="689"/>
      <c r="D220" s="689"/>
      <c r="E220" s="689"/>
      <c r="F220" s="689"/>
      <c r="G220" s="689"/>
      <c r="H220" s="689"/>
      <c r="I220" s="689"/>
      <c r="J220" s="689"/>
      <c r="K220" s="689"/>
      <c r="L220" s="689"/>
    </row>
    <row r="221" spans="1:12">
      <c r="A221" s="694"/>
      <c r="B221" s="689"/>
      <c r="C221" s="689"/>
      <c r="D221" s="689"/>
      <c r="E221" s="689"/>
      <c r="F221" s="689"/>
      <c r="G221" s="689"/>
      <c r="H221" s="689"/>
      <c r="I221" s="689"/>
      <c r="J221" s="689"/>
      <c r="K221" s="689"/>
      <c r="L221" s="689"/>
    </row>
    <row r="222" spans="1:12">
      <c r="A222" s="694"/>
      <c r="B222" s="689"/>
      <c r="C222" s="689"/>
      <c r="D222" s="689"/>
      <c r="E222" s="689"/>
      <c r="F222" s="689"/>
      <c r="G222" s="689"/>
      <c r="H222" s="689"/>
      <c r="I222" s="689"/>
      <c r="J222" s="689"/>
      <c r="K222" s="689"/>
      <c r="L222" s="689"/>
    </row>
    <row r="223" spans="1:12">
      <c r="A223" s="694"/>
      <c r="B223" s="689"/>
      <c r="C223" s="689"/>
      <c r="D223" s="689"/>
      <c r="E223" s="689"/>
      <c r="F223" s="689"/>
      <c r="G223" s="689"/>
      <c r="H223" s="689"/>
      <c r="I223" s="689"/>
      <c r="J223" s="689"/>
      <c r="K223" s="689"/>
      <c r="L223" s="689"/>
    </row>
    <row r="224" spans="1:12">
      <c r="A224" s="694"/>
      <c r="B224" s="689"/>
      <c r="C224" s="689"/>
      <c r="D224" s="689"/>
      <c r="E224" s="689"/>
      <c r="F224" s="689"/>
      <c r="G224" s="689"/>
      <c r="H224" s="689"/>
      <c r="I224" s="689"/>
      <c r="J224" s="689"/>
      <c r="K224" s="689"/>
      <c r="L224" s="689"/>
    </row>
    <row r="225" spans="1:12">
      <c r="A225" s="694"/>
      <c r="B225" s="689"/>
      <c r="C225" s="689"/>
      <c r="D225" s="689"/>
      <c r="E225" s="689"/>
      <c r="F225" s="689"/>
      <c r="G225" s="689"/>
      <c r="H225" s="689"/>
      <c r="I225" s="689"/>
      <c r="J225" s="689"/>
      <c r="K225" s="689"/>
      <c r="L225" s="689"/>
    </row>
    <row r="226" spans="1:12">
      <c r="A226" s="694"/>
      <c r="B226" s="689"/>
      <c r="C226" s="689"/>
      <c r="D226" s="689"/>
      <c r="E226" s="689"/>
      <c r="F226" s="689"/>
      <c r="G226" s="689"/>
      <c r="H226" s="689"/>
      <c r="I226" s="689"/>
      <c r="J226" s="689"/>
      <c r="K226" s="689"/>
      <c r="L226" s="689"/>
    </row>
    <row r="227" spans="1:12">
      <c r="A227" s="694"/>
      <c r="B227" s="689"/>
      <c r="C227" s="689"/>
      <c r="D227" s="689"/>
      <c r="E227" s="689"/>
      <c r="F227" s="689"/>
      <c r="G227" s="689"/>
      <c r="H227" s="689"/>
      <c r="I227" s="689"/>
      <c r="J227" s="689"/>
      <c r="K227" s="689"/>
      <c r="L227" s="689"/>
    </row>
    <row r="228" spans="1:12">
      <c r="A228" s="694"/>
      <c r="B228" s="689"/>
      <c r="C228" s="689"/>
      <c r="D228" s="689"/>
      <c r="E228" s="689"/>
      <c r="F228" s="689"/>
      <c r="G228" s="689"/>
      <c r="H228" s="689"/>
      <c r="I228" s="689"/>
      <c r="J228" s="689"/>
      <c r="K228" s="689"/>
      <c r="L228" s="689"/>
    </row>
  </sheetData>
  <mergeCells count="15">
    <mergeCell ref="A155:L155"/>
    <mergeCell ref="A156:L156"/>
    <mergeCell ref="A157:L157"/>
    <mergeCell ref="A76:L76"/>
    <mergeCell ref="A77:L77"/>
    <mergeCell ref="A78:L78"/>
    <mergeCell ref="A79:L79"/>
    <mergeCell ref="A153:L153"/>
    <mergeCell ref="A154:L154"/>
    <mergeCell ref="A75:L75"/>
    <mergeCell ref="A1:L1"/>
    <mergeCell ref="A2:L2"/>
    <mergeCell ref="A3:L3"/>
    <mergeCell ref="A4:L4"/>
    <mergeCell ref="A5:L5"/>
  </mergeCells>
  <printOptions horizontalCentered="1"/>
  <pageMargins left="0.5" right="0.5" top="0.5" bottom="0.5" header="0.3" footer="0.3"/>
  <pageSetup scale="52" fitToHeight="3" orientation="landscape" r:id="rId1"/>
  <rowBreaks count="2" manualBreakCount="2">
    <brk id="74" max="16383" man="1"/>
    <brk id="152"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156"/>
  <sheetViews>
    <sheetView zoomScaleNormal="100" zoomScaleSheetLayoutView="112" workbookViewId="0">
      <selection activeCell="L19" sqref="L19"/>
    </sheetView>
  </sheetViews>
  <sheetFormatPr defaultColWidth="10.33203125" defaultRowHeight="12.75"/>
  <cols>
    <col min="1" max="1" width="10.33203125" style="675"/>
    <col min="2" max="2" width="85.33203125" style="675" bestFit="1" customWidth="1"/>
    <col min="3" max="3" width="2.1640625" style="675" customWidth="1"/>
    <col min="4" max="4" width="50.5" style="675" bestFit="1" customWidth="1"/>
    <col min="5" max="5" width="2.1640625" style="675" customWidth="1"/>
    <col min="6" max="6" width="15.1640625" style="675" customWidth="1"/>
    <col min="7" max="7" width="17.5" style="675" customWidth="1"/>
    <col min="8" max="8" width="0.6640625" style="1072" customWidth="1"/>
    <col min="9" max="16384" width="10.33203125" style="675"/>
  </cols>
  <sheetData>
    <row r="1" spans="1:8" s="1069" customFormat="1" ht="12.75" customHeight="1">
      <c r="A1" s="1336" t="str">
        <f>+'General Headers Index'!$B$4</f>
        <v>COLUMBIA GAS OF KENTUCKY, INC.</v>
      </c>
      <c r="B1" s="1336"/>
      <c r="C1" s="1336"/>
      <c r="D1" s="1336"/>
      <c r="E1" s="1336"/>
      <c r="F1" s="1336"/>
      <c r="G1" s="1336"/>
      <c r="H1" s="1336"/>
    </row>
    <row r="2" spans="1:8" s="1069" customFormat="1" ht="12.75" customHeight="1">
      <c r="A2" s="1336" t="str">
        <f>+'General Headers Index'!$B$6</f>
        <v>CASE NO. 2024 - 00092</v>
      </c>
      <c r="B2" s="1336"/>
      <c r="C2" s="1336"/>
      <c r="D2" s="1336"/>
      <c r="E2" s="1336"/>
      <c r="F2" s="1336"/>
      <c r="G2" s="1336"/>
      <c r="H2" s="1336"/>
    </row>
    <row r="3" spans="1:8" s="1069" customFormat="1" ht="12.75" customHeight="1">
      <c r="A3" s="1336" t="str">
        <f>'Index E '!$C$24</f>
        <v>CASH WORKING CAPITAL INCOME TAXES INTEREST SYNCHRONIZATION</v>
      </c>
      <c r="B3" s="1336"/>
      <c r="C3" s="1336"/>
      <c r="D3" s="1336"/>
      <c r="E3" s="1336"/>
      <c r="F3" s="1336"/>
      <c r="G3" s="1336"/>
      <c r="H3" s="1336"/>
    </row>
    <row r="4" spans="1:8" s="1069" customFormat="1" ht="12.75" customHeight="1">
      <c r="A4" s="1336" t="str">
        <f>+'General Headers Index'!$B$16</f>
        <v>FORECASTED TEST PERIOD: TWELVE MONTHS ENDED DECEMBER 31, 2025</v>
      </c>
      <c r="B4" s="1336"/>
      <c r="C4" s="1336"/>
      <c r="D4" s="1336"/>
      <c r="E4" s="1336"/>
      <c r="F4" s="1336"/>
      <c r="G4" s="1336"/>
      <c r="H4" s="1336"/>
    </row>
    <row r="5" spans="1:8" s="1069" customFormat="1" ht="12.75" customHeight="1">
      <c r="A5" s="668"/>
      <c r="B5" s="668"/>
      <c r="C5" s="668"/>
      <c r="D5" s="668"/>
      <c r="E5" s="668"/>
      <c r="F5" s="668"/>
      <c r="G5" s="668"/>
      <c r="H5" s="543"/>
    </row>
    <row r="6" spans="1:8" s="1069" customFormat="1" ht="12.75" customHeight="1">
      <c r="A6" s="668"/>
      <c r="B6" s="669"/>
      <c r="C6" s="669"/>
      <c r="D6" s="669"/>
      <c r="E6" s="669"/>
      <c r="F6" s="669"/>
      <c r="G6" s="669"/>
      <c r="H6" s="255"/>
    </row>
    <row r="7" spans="1:8" s="1069" customFormat="1" ht="12.6" customHeight="1">
      <c r="A7" s="286" t="s">
        <v>2786</v>
      </c>
      <c r="B7" s="669"/>
      <c r="C7" s="669"/>
      <c r="D7" s="669"/>
      <c r="E7" s="669"/>
      <c r="F7" s="669"/>
      <c r="G7" s="670" t="s">
        <v>2034</v>
      </c>
      <c r="H7" s="572"/>
    </row>
    <row r="8" spans="1:8" s="1069" customFormat="1">
      <c r="A8" s="286" t="s">
        <v>572</v>
      </c>
      <c r="B8" s="669"/>
      <c r="C8" s="669"/>
      <c r="D8" s="669"/>
      <c r="E8" s="669"/>
      <c r="F8" s="669"/>
      <c r="G8" s="670" t="s">
        <v>309</v>
      </c>
      <c r="H8" s="572"/>
    </row>
    <row r="9" spans="1:8" s="1069" customFormat="1">
      <c r="A9" s="286" t="s">
        <v>575</v>
      </c>
      <c r="G9" s="671" t="str">
        <f>"WITNESS: "&amp;'General Headers Index'!B58</f>
        <v>WITNESS: HARDING</v>
      </c>
      <c r="H9" s="545"/>
    </row>
    <row r="10" spans="1:8" s="1069" customFormat="1">
      <c r="A10" s="1070"/>
      <c r="B10" s="1071"/>
      <c r="C10" s="1071"/>
      <c r="D10" s="1071"/>
      <c r="E10" s="1071"/>
      <c r="F10" s="1071"/>
      <c r="G10" s="1071"/>
      <c r="H10" s="254"/>
    </row>
    <row r="11" spans="1:8" s="1069" customFormat="1">
      <c r="A11" s="667"/>
      <c r="F11" s="667" t="s">
        <v>315</v>
      </c>
      <c r="G11" s="667" t="s">
        <v>2427</v>
      </c>
      <c r="H11" s="254"/>
    </row>
    <row r="12" spans="1:8" s="1069" customFormat="1">
      <c r="A12" s="667" t="s">
        <v>313</v>
      </c>
      <c r="B12" s="667"/>
      <c r="C12" s="667"/>
      <c r="D12" s="667"/>
      <c r="E12" s="667"/>
      <c r="F12" s="667" t="s">
        <v>319</v>
      </c>
      <c r="G12" s="667" t="s">
        <v>319</v>
      </c>
      <c r="H12" s="543"/>
    </row>
    <row r="13" spans="1:8" s="1069" customFormat="1">
      <c r="A13" s="1070" t="s">
        <v>316</v>
      </c>
      <c r="B13" s="1070" t="s">
        <v>451</v>
      </c>
      <c r="C13" s="1070"/>
      <c r="D13" s="1070" t="s">
        <v>318</v>
      </c>
      <c r="E13" s="1070"/>
      <c r="F13" s="1070" t="s">
        <v>444</v>
      </c>
      <c r="G13" s="1070" t="s">
        <v>444</v>
      </c>
      <c r="H13" s="254"/>
    </row>
    <row r="14" spans="1:8" s="1069" customFormat="1">
      <c r="A14" s="270"/>
      <c r="B14" s="270" t="s">
        <v>532</v>
      </c>
      <c r="C14" s="672"/>
      <c r="D14" s="270" t="s">
        <v>541</v>
      </c>
      <c r="E14" s="672"/>
      <c r="F14" s="270" t="s">
        <v>542</v>
      </c>
      <c r="G14" s="270" t="s">
        <v>668</v>
      </c>
      <c r="H14" s="254"/>
    </row>
    <row r="15" spans="1:8" s="1069" customFormat="1" ht="15" customHeight="1">
      <c r="A15" s="673"/>
      <c r="B15" s="673"/>
      <c r="C15" s="673"/>
      <c r="D15" s="667"/>
      <c r="E15" s="668"/>
      <c r="F15" s="667" t="s">
        <v>320</v>
      </c>
      <c r="G15" s="667" t="s">
        <v>320</v>
      </c>
      <c r="H15" s="254"/>
    </row>
    <row r="16" spans="1:8">
      <c r="A16" s="674">
        <v>1</v>
      </c>
      <c r="B16" s="675" t="s">
        <v>2029</v>
      </c>
      <c r="D16" s="674" t="s">
        <v>697</v>
      </c>
      <c r="F16" s="676">
        <f>+'C-1 Operating Income Summary'!I19</f>
        <v>167404640.09259772</v>
      </c>
      <c r="G16" s="676">
        <f>+'C-1 Operating Income Summary'!M19</f>
        <v>150357677.62666669</v>
      </c>
      <c r="H16" s="554"/>
    </row>
    <row r="17" spans="1:8">
      <c r="A17" s="674">
        <f>+A16+1</f>
        <v>2</v>
      </c>
      <c r="B17" s="675" t="s">
        <v>2028</v>
      </c>
      <c r="D17" s="674" t="s">
        <v>697</v>
      </c>
      <c r="F17" s="676">
        <f>+'C-1 Operating Income Summary'!I22+'C-1 Operating Income Summary'!I23</f>
        <v>101628023.34</v>
      </c>
      <c r="G17" s="676">
        <f>+'C-1 Operating Income Summary'!M22+'C-1 Operating Income Summary'!M23</f>
        <v>88279593.636667892</v>
      </c>
      <c r="H17" s="554"/>
    </row>
    <row r="18" spans="1:8">
      <c r="A18" s="674">
        <f>+A17+1</f>
        <v>3</v>
      </c>
      <c r="B18" s="675" t="s">
        <v>1930</v>
      </c>
      <c r="D18" s="674" t="s">
        <v>2007</v>
      </c>
      <c r="F18" s="676">
        <f>+'C-1 Operating Income Summary'!I24</f>
        <v>21467696.683611367</v>
      </c>
      <c r="G18" s="676">
        <f>+'C-1 Operating Income Summary'!M24</f>
        <v>26483896.030000001</v>
      </c>
      <c r="H18" s="554"/>
    </row>
    <row r="19" spans="1:8">
      <c r="A19" s="674">
        <f>+A18+1</f>
        <v>4</v>
      </c>
      <c r="B19" s="675" t="s">
        <v>2027</v>
      </c>
      <c r="D19" s="674" t="s">
        <v>2007</v>
      </c>
      <c r="F19" s="677">
        <f>+'C-1 Operating Income Summary'!I25</f>
        <v>6005137.5032284716</v>
      </c>
      <c r="G19" s="677">
        <f>+'C-1 Operating Income Summary'!M25</f>
        <v>8577791.442864595</v>
      </c>
      <c r="H19" s="554"/>
    </row>
    <row r="20" spans="1:8">
      <c r="A20" s="674">
        <f>+A19+1</f>
        <v>5</v>
      </c>
      <c r="B20" s="675" t="s">
        <v>2026</v>
      </c>
      <c r="D20" s="678" t="s">
        <v>2025</v>
      </c>
      <c r="F20" s="676">
        <f>F16-SUM(F17:F19)</f>
        <v>38303782.565757886</v>
      </c>
      <c r="G20" s="676">
        <f>G16-SUM(G17:G19)</f>
        <v>27016396.517134205</v>
      </c>
      <c r="H20" s="554"/>
    </row>
    <row r="21" spans="1:8" ht="5.0999999999999996" customHeight="1">
      <c r="H21" s="554"/>
    </row>
    <row r="22" spans="1:8">
      <c r="A22" s="674">
        <f>+A20+1</f>
        <v>6</v>
      </c>
      <c r="B22" s="679" t="s">
        <v>2024</v>
      </c>
      <c r="H22" s="554"/>
    </row>
    <row r="23" spans="1:8">
      <c r="A23" s="674">
        <f>+A22+1</f>
        <v>7</v>
      </c>
      <c r="B23" s="675" t="s">
        <v>2019</v>
      </c>
      <c r="F23" s="676">
        <v>0</v>
      </c>
      <c r="G23" s="676">
        <v>0</v>
      </c>
      <c r="H23" s="554"/>
    </row>
    <row r="24" spans="1:8">
      <c r="A24" s="674">
        <f>+A23+1</f>
        <v>8</v>
      </c>
      <c r="B24" s="675" t="s">
        <v>2018</v>
      </c>
      <c r="C24" s="676"/>
      <c r="D24" s="676"/>
      <c r="E24" s="676"/>
      <c r="F24" s="676">
        <v>0</v>
      </c>
      <c r="G24" s="676">
        <v>0</v>
      </c>
      <c r="H24" s="554"/>
    </row>
    <row r="25" spans="1:8">
      <c r="A25" s="674">
        <f t="shared" ref="A25:A40" si="0">+A24+1</f>
        <v>9</v>
      </c>
      <c r="B25" s="675" t="s">
        <v>2017</v>
      </c>
      <c r="C25" s="676"/>
      <c r="D25" s="676"/>
      <c r="E25" s="676"/>
      <c r="F25" s="676">
        <v>0</v>
      </c>
      <c r="G25" s="676">
        <v>0</v>
      </c>
      <c r="H25" s="554"/>
    </row>
    <row r="26" spans="1:8">
      <c r="A26" s="674">
        <f t="shared" si="0"/>
        <v>10</v>
      </c>
      <c r="B26" s="675" t="s">
        <v>2016</v>
      </c>
      <c r="D26" s="674" t="s">
        <v>582</v>
      </c>
      <c r="F26" s="676">
        <f>+'B-1 p.1 Summary (Base)'!J38-'B-1 p.1 Summary (Base)'!J26</f>
        <v>512510188.60996556</v>
      </c>
      <c r="G26" s="676">
        <f>+'B-1 p.2 Summary (Forecast)'!K41-'B-1 p.2 Summary (Forecast)'!K29</f>
        <v>518827311.76319563</v>
      </c>
      <c r="H26" s="554"/>
    </row>
    <row r="27" spans="1:8">
      <c r="A27" s="674">
        <f t="shared" si="0"/>
        <v>11</v>
      </c>
      <c r="B27" s="675" t="s">
        <v>2015</v>
      </c>
      <c r="D27" s="674" t="s">
        <v>340</v>
      </c>
      <c r="F27" s="680">
        <f>+SUM('B-5.2.A CWC (Base)'!K16:K34)</f>
        <v>-5585278</v>
      </c>
      <c r="G27" s="680">
        <f>+SUM('B-5.2.A CWC (Forecast)'!K16:K34)</f>
        <v>-6809176</v>
      </c>
      <c r="H27" s="554"/>
    </row>
    <row r="28" spans="1:8">
      <c r="A28" s="674">
        <f t="shared" si="0"/>
        <v>12</v>
      </c>
      <c r="B28" s="675" t="s">
        <v>2014</v>
      </c>
      <c r="D28" s="674" t="s">
        <v>2383</v>
      </c>
      <c r="F28" s="676">
        <f>SUM(F24:F27)</f>
        <v>506924910.60996556</v>
      </c>
      <c r="G28" s="676">
        <f>SUM(G24:G27)</f>
        <v>512018135.76319563</v>
      </c>
      <c r="H28" s="554"/>
    </row>
    <row r="29" spans="1:8">
      <c r="A29" s="674">
        <f t="shared" si="0"/>
        <v>13</v>
      </c>
      <c r="B29" s="675" t="s">
        <v>2013</v>
      </c>
      <c r="D29" s="674" t="s">
        <v>2023</v>
      </c>
      <c r="F29" s="681">
        <f>+'J-1 Base Period Cost of Capital'!M25-'J-1 Base Period Cost of Capital'!M23</f>
        <v>2.2699999999999998E-2</v>
      </c>
      <c r="G29" s="681">
        <f>+'J-1.1, J-1.2 13 MO AVG WACC'!M17+'J-1.1, J-1.2 13 MO AVG WACC'!M19</f>
        <v>2.3200000000000002E-2</v>
      </c>
      <c r="H29" s="554"/>
    </row>
    <row r="30" spans="1:8">
      <c r="A30" s="674">
        <f t="shared" si="0"/>
        <v>14</v>
      </c>
      <c r="B30" s="675" t="s">
        <v>2012</v>
      </c>
      <c r="D30" s="674" t="s">
        <v>2382</v>
      </c>
      <c r="F30" s="676">
        <f>ROUND(F28*F29,0)</f>
        <v>11507195</v>
      </c>
      <c r="G30" s="676">
        <f>ROUND(G28*G29,0)</f>
        <v>11878821</v>
      </c>
      <c r="H30" s="554"/>
    </row>
    <row r="31" spans="1:8">
      <c r="A31" s="674">
        <f t="shared" si="0"/>
        <v>15</v>
      </c>
      <c r="B31" s="675" t="s">
        <v>2011</v>
      </c>
      <c r="D31" s="674" t="s">
        <v>2381</v>
      </c>
      <c r="F31" s="676">
        <f>$F$20-F30</f>
        <v>26796587.565757886</v>
      </c>
      <c r="G31" s="676">
        <f>$G$20-G30</f>
        <v>15137575.517134205</v>
      </c>
      <c r="H31" s="554"/>
    </row>
    <row r="32" spans="1:8">
      <c r="A32" s="674">
        <f t="shared" si="0"/>
        <v>16</v>
      </c>
      <c r="B32" s="675" t="s">
        <v>1151</v>
      </c>
      <c r="D32" s="674" t="s">
        <v>1005</v>
      </c>
      <c r="F32" s="676">
        <f>+'E-1.1 Fed &amp; State Inc Tax'!F23</f>
        <v>51041.587137071299</v>
      </c>
      <c r="G32" s="676">
        <f>+'E-1.1 Fed &amp; State Inc Tax'!J23</f>
        <v>161935.86366355082</v>
      </c>
      <c r="H32" s="554"/>
    </row>
    <row r="33" spans="1:8">
      <c r="A33" s="674">
        <f t="shared" si="0"/>
        <v>17</v>
      </c>
      <c r="B33" s="675" t="s">
        <v>1153</v>
      </c>
      <c r="D33" s="674" t="s">
        <v>1005</v>
      </c>
      <c r="F33" s="676">
        <f>+'E-1.1 Fed &amp; State Inc Tax'!F24</f>
        <v>-36188667.879726388</v>
      </c>
      <c r="G33" s="676">
        <f>+'E-1.1 Fed &amp; State Inc Tax'!J24</f>
        <v>-8824954.6483472325</v>
      </c>
      <c r="H33" s="554"/>
    </row>
    <row r="34" spans="1:8">
      <c r="A34" s="674">
        <f t="shared" si="0"/>
        <v>18</v>
      </c>
      <c r="B34" s="675" t="s">
        <v>25</v>
      </c>
      <c r="D34" s="674" t="s">
        <v>1005</v>
      </c>
      <c r="F34" s="677">
        <f>+'E-1.1 Fed &amp; State Inc Tax'!F25</f>
        <v>393253.63666666625</v>
      </c>
      <c r="G34" s="677">
        <f>+'E-1.1 Fed &amp; State Inc Tax'!J25</f>
        <v>-3321725.8599999957</v>
      </c>
      <c r="H34" s="554"/>
    </row>
    <row r="35" spans="1:8">
      <c r="A35" s="674">
        <f t="shared" si="0"/>
        <v>19</v>
      </c>
      <c r="B35" s="675" t="s">
        <v>4</v>
      </c>
      <c r="D35" s="674" t="s">
        <v>2380</v>
      </c>
      <c r="F35" s="676">
        <f>SUM(F31:F34)</f>
        <v>-8947785.0901647657</v>
      </c>
      <c r="G35" s="676">
        <f>SUM(G31:G34)</f>
        <v>3152830.8724505268</v>
      </c>
      <c r="H35" s="554"/>
    </row>
    <row r="36" spans="1:8">
      <c r="A36" s="674">
        <f t="shared" si="0"/>
        <v>20</v>
      </c>
      <c r="B36" s="675" t="s">
        <v>2010</v>
      </c>
      <c r="D36" s="674" t="s">
        <v>2379</v>
      </c>
      <c r="F36" s="682">
        <f>ROUND(F35*'H-1 Gross Conversion Factor'!$E$25,0)</f>
        <v>-447389</v>
      </c>
      <c r="G36" s="682">
        <f>ROUND(G35*'H-1 Gross Conversion Factor'!$E$25,0)</f>
        <v>157642</v>
      </c>
      <c r="H36" s="554"/>
    </row>
    <row r="37" spans="1:8">
      <c r="A37" s="674">
        <f t="shared" si="0"/>
        <v>21</v>
      </c>
      <c r="B37" s="675" t="s">
        <v>7</v>
      </c>
      <c r="D37" s="674" t="s">
        <v>2378</v>
      </c>
      <c r="F37" s="682">
        <f>+F31+F32+F33-F36</f>
        <v>-8893649.7268314324</v>
      </c>
      <c r="G37" s="682">
        <f>+G31+G32+G33-G36</f>
        <v>6316914.7324505225</v>
      </c>
      <c r="H37" s="554"/>
    </row>
    <row r="38" spans="1:8">
      <c r="A38" s="674">
        <f t="shared" si="0"/>
        <v>22</v>
      </c>
      <c r="B38" s="675" t="s">
        <v>2009</v>
      </c>
      <c r="D38" s="674" t="s">
        <v>2377</v>
      </c>
      <c r="F38" s="682">
        <f>ROUND(F37*'H-1 Gross Conversion Factor'!$E$29,0)</f>
        <v>-1867666</v>
      </c>
      <c r="G38" s="682">
        <f>ROUND(G37*'H-1 Gross Conversion Factor'!$E$29,0)</f>
        <v>1326552</v>
      </c>
      <c r="H38" s="554"/>
    </row>
    <row r="39" spans="1:8">
      <c r="A39" s="674">
        <f t="shared" si="0"/>
        <v>23</v>
      </c>
      <c r="B39" s="675" t="s">
        <v>3075</v>
      </c>
      <c r="D39" s="674" t="s">
        <v>1005</v>
      </c>
      <c r="F39" s="677">
        <f>'E-1.1 Fed &amp; State Inc Tax'!$F$53+'E-1.1 Fed &amp; State Inc Tax'!$F$59</f>
        <v>9241538.831333112</v>
      </c>
      <c r="G39" s="677">
        <f>'E-1.1 Fed &amp; State Inc Tax'!$J$53+'E-1.1 Fed &amp; State Inc Tax'!$J$59</f>
        <v>1757574.5962624513</v>
      </c>
      <c r="H39" s="554"/>
    </row>
    <row r="40" spans="1:8">
      <c r="A40" s="674">
        <f t="shared" si="0"/>
        <v>24</v>
      </c>
      <c r="B40" s="675" t="s">
        <v>2008</v>
      </c>
      <c r="D40" s="674" t="s">
        <v>2376</v>
      </c>
      <c r="F40" s="682">
        <f>F36+F38+F39</f>
        <v>6926483.831333112</v>
      </c>
      <c r="G40" s="682">
        <f>G36+G38+G39</f>
        <v>3241768.5962624513</v>
      </c>
      <c r="H40" s="554"/>
    </row>
    <row r="41" spans="1:8" ht="5.0999999999999996" customHeight="1">
      <c r="G41" s="682"/>
      <c r="H41" s="554"/>
    </row>
    <row r="42" spans="1:8">
      <c r="A42" s="674">
        <f>+A40+1</f>
        <v>25</v>
      </c>
      <c r="B42" s="679" t="s">
        <v>2022</v>
      </c>
      <c r="G42" s="682"/>
      <c r="H42" s="554"/>
    </row>
    <row r="43" spans="1:8">
      <c r="A43" s="674">
        <f t="shared" ref="A43:A60" si="1">+A42+1</f>
        <v>26</v>
      </c>
      <c r="B43" s="675" t="s">
        <v>2019</v>
      </c>
      <c r="D43" s="683" t="s">
        <v>2384</v>
      </c>
      <c r="F43" s="676">
        <f>ROUND((-(F36/365)*'B-5.2.A CWC (Base)'!$J$38),0)</f>
        <v>-19697</v>
      </c>
      <c r="G43" s="676">
        <f>ROUND((-(G36/365)*'B-5.2.A CWC (Forecast)'!$J$38),0)</f>
        <v>6941</v>
      </c>
      <c r="H43" s="554"/>
    </row>
    <row r="44" spans="1:8">
      <c r="A44" s="674">
        <f t="shared" si="1"/>
        <v>27</v>
      </c>
      <c r="B44" s="675" t="s">
        <v>2018</v>
      </c>
      <c r="C44" s="676"/>
      <c r="D44" s="683" t="s">
        <v>2385</v>
      </c>
      <c r="E44" s="676"/>
      <c r="F44" s="676">
        <f>ROUND((-(F38/365)*'B-5.2.A CWC (Base)'!$J$37),0)</f>
        <v>-82228</v>
      </c>
      <c r="G44" s="676">
        <f>ROUND((-(G38/365)*'B-5.2.A CWC (Forecast)'!$J$37),0)</f>
        <v>58405</v>
      </c>
      <c r="H44" s="554"/>
    </row>
    <row r="45" spans="1:8">
      <c r="A45" s="674">
        <f t="shared" si="1"/>
        <v>28</v>
      </c>
      <c r="B45" s="675" t="s">
        <v>2017</v>
      </c>
      <c r="C45" s="676"/>
      <c r="D45" s="683" t="s">
        <v>2386</v>
      </c>
      <c r="E45" s="676"/>
      <c r="F45" s="676">
        <f>ROUND(-(F30/365)*'B-5.2.A CWC (Base)'!$J$43,0)</f>
        <v>1955593</v>
      </c>
      <c r="G45" s="676">
        <f>ROUND(-(G30/365)*'B-5.2.A CWC (Forecast)'!$J$43,0)</f>
        <v>2018749</v>
      </c>
      <c r="H45" s="554"/>
    </row>
    <row r="46" spans="1:8">
      <c r="A46" s="674">
        <f t="shared" si="1"/>
        <v>29</v>
      </c>
      <c r="B46" s="675" t="s">
        <v>2016</v>
      </c>
      <c r="D46" s="674" t="str">
        <f>+D26</f>
        <v>B-1</v>
      </c>
      <c r="F46" s="676">
        <f>F26</f>
        <v>512510188.60996556</v>
      </c>
      <c r="G46" s="676">
        <f>G26</f>
        <v>518827311.76319563</v>
      </c>
      <c r="H46" s="554"/>
    </row>
    <row r="47" spans="1:8">
      <c r="A47" s="674">
        <f t="shared" si="1"/>
        <v>30</v>
      </c>
      <c r="B47" s="675" t="s">
        <v>2015</v>
      </c>
      <c r="D47" s="674" t="str">
        <f>+D27</f>
        <v>B-5.2</v>
      </c>
      <c r="F47" s="680">
        <f>F27</f>
        <v>-5585278</v>
      </c>
      <c r="G47" s="680">
        <f>G27</f>
        <v>-6809176</v>
      </c>
      <c r="H47" s="552"/>
    </row>
    <row r="48" spans="1:8">
      <c r="A48" s="674">
        <f t="shared" si="1"/>
        <v>31</v>
      </c>
      <c r="B48" s="675" t="s">
        <v>2014</v>
      </c>
      <c r="D48" s="674" t="s">
        <v>2387</v>
      </c>
      <c r="F48" s="676">
        <f>SUM(F43:F47)</f>
        <v>508778578.60996556</v>
      </c>
      <c r="G48" s="676">
        <f>SUM(G43:G47)</f>
        <v>514102230.76319563</v>
      </c>
      <c r="H48" s="554"/>
    </row>
    <row r="49" spans="1:8">
      <c r="A49" s="674">
        <f t="shared" si="1"/>
        <v>32</v>
      </c>
      <c r="B49" s="675" t="s">
        <v>2013</v>
      </c>
      <c r="D49" s="674" t="str">
        <f>+D29</f>
        <v>J-1.1 / J-1.2</v>
      </c>
      <c r="F49" s="681">
        <f>F29</f>
        <v>2.2699999999999998E-2</v>
      </c>
      <c r="G49" s="681">
        <f>G29</f>
        <v>2.3200000000000002E-2</v>
      </c>
      <c r="H49" s="579"/>
    </row>
    <row r="50" spans="1:8">
      <c r="A50" s="674">
        <f t="shared" si="1"/>
        <v>33</v>
      </c>
      <c r="B50" s="675" t="s">
        <v>2012</v>
      </c>
      <c r="D50" s="674" t="s">
        <v>2388</v>
      </c>
      <c r="F50" s="676">
        <f>ROUND(F48*F49,0)</f>
        <v>11549274</v>
      </c>
      <c r="G50" s="676">
        <f>ROUND(G48*G49,0)</f>
        <v>11927172</v>
      </c>
    </row>
    <row r="51" spans="1:8">
      <c r="A51" s="674">
        <f t="shared" si="1"/>
        <v>34</v>
      </c>
      <c r="B51" s="675" t="s">
        <v>2011</v>
      </c>
      <c r="D51" s="674" t="s">
        <v>2389</v>
      </c>
      <c r="F51" s="676">
        <f>$F$20-F50</f>
        <v>26754508.565757886</v>
      </c>
      <c r="G51" s="676">
        <f>$G$20-G50</f>
        <v>15089224.517134205</v>
      </c>
    </row>
    <row r="52" spans="1:8">
      <c r="A52" s="674">
        <f t="shared" si="1"/>
        <v>35</v>
      </c>
      <c r="B52" s="675" t="str">
        <f>+B32</f>
        <v>Federal Flow-Through Statutory Adjustments</v>
      </c>
      <c r="D52" s="674" t="str">
        <f>+D32</f>
        <v>E-1</v>
      </c>
      <c r="F52" s="676">
        <f t="shared" ref="F52:G54" si="2">+F32</f>
        <v>51041.587137071299</v>
      </c>
      <c r="G52" s="676">
        <f t="shared" si="2"/>
        <v>161935.86366355082</v>
      </c>
    </row>
    <row r="53" spans="1:8">
      <c r="A53" s="674">
        <f t="shared" si="1"/>
        <v>36</v>
      </c>
      <c r="B53" s="675" t="str">
        <f>+B33</f>
        <v>Federal Timing Statutory Adjustments</v>
      </c>
      <c r="D53" s="674" t="str">
        <f>+D33</f>
        <v>E-1</v>
      </c>
      <c r="F53" s="676">
        <f t="shared" si="2"/>
        <v>-36188667.879726388</v>
      </c>
      <c r="G53" s="676">
        <f t="shared" si="2"/>
        <v>-8824954.6483472325</v>
      </c>
    </row>
    <row r="54" spans="1:8">
      <c r="A54" s="674">
        <f t="shared" si="1"/>
        <v>37</v>
      </c>
      <c r="B54" s="675" t="str">
        <f>+B34</f>
        <v>State Bonus Disallowance</v>
      </c>
      <c r="D54" s="674" t="str">
        <f>+D34</f>
        <v>E-1</v>
      </c>
      <c r="F54" s="677">
        <f t="shared" si="2"/>
        <v>393253.63666666625</v>
      </c>
      <c r="G54" s="677">
        <f t="shared" si="2"/>
        <v>-3321725.8599999957</v>
      </c>
    </row>
    <row r="55" spans="1:8">
      <c r="A55" s="674">
        <f t="shared" si="1"/>
        <v>38</v>
      </c>
      <c r="B55" s="675" t="s">
        <v>4</v>
      </c>
      <c r="D55" s="674" t="s">
        <v>2390</v>
      </c>
      <c r="F55" s="676">
        <f>SUM(F51:F54)</f>
        <v>-8989864.0901647657</v>
      </c>
      <c r="G55" s="676">
        <f>SUM(G51:G54)</f>
        <v>3104479.8724505268</v>
      </c>
    </row>
    <row r="56" spans="1:8">
      <c r="A56" s="674">
        <f t="shared" si="1"/>
        <v>39</v>
      </c>
      <c r="B56" s="675" t="s">
        <v>2010</v>
      </c>
      <c r="D56" s="674" t="s">
        <v>2391</v>
      </c>
      <c r="F56" s="682">
        <f>ROUND(F55*'H-1 Gross Conversion Factor'!$E$25,0)</f>
        <v>-449493</v>
      </c>
      <c r="G56" s="682">
        <f>ROUND(G55*'H-1 Gross Conversion Factor'!$E$25,0)</f>
        <v>155224</v>
      </c>
    </row>
    <row r="57" spans="1:8">
      <c r="A57" s="674">
        <f t="shared" si="1"/>
        <v>40</v>
      </c>
      <c r="B57" s="675" t="s">
        <v>7</v>
      </c>
      <c r="D57" s="674" t="s">
        <v>2392</v>
      </c>
      <c r="F57" s="682">
        <f>+F51+F52+F53-F56</f>
        <v>-8933624.7268314324</v>
      </c>
      <c r="G57" s="682">
        <f>+G51+G52+G53-G56</f>
        <v>6270981.7324505225</v>
      </c>
    </row>
    <row r="58" spans="1:8">
      <c r="A58" s="674">
        <f t="shared" si="1"/>
        <v>41</v>
      </c>
      <c r="B58" s="675" t="s">
        <v>2009</v>
      </c>
      <c r="D58" s="674" t="s">
        <v>2393</v>
      </c>
      <c r="F58" s="682">
        <f>ROUND(F57*'H-1 Gross Conversion Factor'!$E$29,0)</f>
        <v>-1876061</v>
      </c>
      <c r="G58" s="682">
        <f>ROUND(G57*'H-1 Gross Conversion Factor'!$E$29,0)</f>
        <v>1316906</v>
      </c>
    </row>
    <row r="59" spans="1:8">
      <c r="A59" s="674">
        <f t="shared" si="1"/>
        <v>42</v>
      </c>
      <c r="B59" s="675" t="s">
        <v>3075</v>
      </c>
      <c r="D59" s="674" t="s">
        <v>1005</v>
      </c>
      <c r="F59" s="677">
        <f>'E-1.1 Fed &amp; State Inc Tax'!$F$53+'E-1.1 Fed &amp; State Inc Tax'!$F$59</f>
        <v>9241538.831333112</v>
      </c>
      <c r="G59" s="677">
        <f>'E-1.1 Fed &amp; State Inc Tax'!$J$53+'E-1.1 Fed &amp; State Inc Tax'!$J$59</f>
        <v>1757574.5962624513</v>
      </c>
    </row>
    <row r="60" spans="1:8">
      <c r="A60" s="674">
        <f t="shared" si="1"/>
        <v>43</v>
      </c>
      <c r="B60" s="675" t="s">
        <v>2008</v>
      </c>
      <c r="D60" s="674" t="s">
        <v>2394</v>
      </c>
      <c r="F60" s="682">
        <f>F56+F58+F59</f>
        <v>6915984.831333112</v>
      </c>
      <c r="G60" s="682">
        <f>G56+G58+G59</f>
        <v>3229704.5962624513</v>
      </c>
    </row>
    <row r="61" spans="1:8" ht="5.0999999999999996" customHeight="1">
      <c r="G61" s="682"/>
    </row>
    <row r="62" spans="1:8">
      <c r="A62" s="674">
        <f>+A60+1</f>
        <v>44</v>
      </c>
      <c r="B62" s="679" t="s">
        <v>2021</v>
      </c>
      <c r="G62" s="682"/>
    </row>
    <row r="63" spans="1:8">
      <c r="A63" s="674">
        <f t="shared" ref="A63:A80" si="3">+A62+1</f>
        <v>45</v>
      </c>
      <c r="B63" s="675" t="s">
        <v>2019</v>
      </c>
      <c r="D63" s="683" t="s">
        <v>2395</v>
      </c>
      <c r="F63" s="676">
        <f>ROUND((-(F56/365)*'B-5.2.A CWC (Base)'!$J$38),0)</f>
        <v>-19790</v>
      </c>
      <c r="G63" s="676">
        <f>ROUND((-(G56/365)*'B-5.2.A CWC (Forecast)'!$J$38),0)</f>
        <v>6834</v>
      </c>
      <c r="H63" s="554"/>
    </row>
    <row r="64" spans="1:8">
      <c r="A64" s="674">
        <f t="shared" si="3"/>
        <v>46</v>
      </c>
      <c r="B64" s="675" t="s">
        <v>2018</v>
      </c>
      <c r="C64" s="676"/>
      <c r="D64" s="683" t="s">
        <v>2396</v>
      </c>
      <c r="E64" s="676"/>
      <c r="F64" s="676">
        <f>ROUND((-(F58/365)*'B-5.2.A CWC (Base)'!$J$37),0)</f>
        <v>-82598</v>
      </c>
      <c r="G64" s="676">
        <f>ROUND((-(G58/365)*'B-5.2.A CWC (Forecast)'!$J$37),0)</f>
        <v>57980</v>
      </c>
      <c r="H64" s="554"/>
    </row>
    <row r="65" spans="1:8">
      <c r="A65" s="674">
        <f t="shared" si="3"/>
        <v>47</v>
      </c>
      <c r="B65" s="675" t="s">
        <v>2017</v>
      </c>
      <c r="C65" s="676"/>
      <c r="D65" s="683" t="s">
        <v>2397</v>
      </c>
      <c r="E65" s="676"/>
      <c r="F65" s="676">
        <f>ROUND(-(F50/365)*'B-5.2.A CWC (Base)'!$J$43,0)</f>
        <v>1962744</v>
      </c>
      <c r="G65" s="676">
        <f>ROUND(-(G50/365)*'B-5.2.A CWC (Forecast)'!$J$43,0)</f>
        <v>2026966</v>
      </c>
      <c r="H65" s="554"/>
    </row>
    <row r="66" spans="1:8">
      <c r="A66" s="674">
        <f t="shared" si="3"/>
        <v>48</v>
      </c>
      <c r="B66" s="675" t="s">
        <v>2016</v>
      </c>
      <c r="D66" s="674" t="str">
        <f>+D46</f>
        <v>B-1</v>
      </c>
      <c r="F66" s="676">
        <f>F46</f>
        <v>512510188.60996556</v>
      </c>
      <c r="G66" s="676">
        <f>G46</f>
        <v>518827311.76319563</v>
      </c>
      <c r="H66" s="554"/>
    </row>
    <row r="67" spans="1:8">
      <c r="A67" s="674">
        <f t="shared" si="3"/>
        <v>49</v>
      </c>
      <c r="B67" s="675" t="s">
        <v>2015</v>
      </c>
      <c r="D67" s="674" t="str">
        <f>+D47</f>
        <v>B-5.2</v>
      </c>
      <c r="F67" s="680">
        <f>F47</f>
        <v>-5585278</v>
      </c>
      <c r="G67" s="680">
        <f>G47</f>
        <v>-6809176</v>
      </c>
      <c r="H67" s="552"/>
    </row>
    <row r="68" spans="1:8">
      <c r="A68" s="674">
        <f t="shared" si="3"/>
        <v>50</v>
      </c>
      <c r="B68" s="675" t="s">
        <v>2014</v>
      </c>
      <c r="D68" s="674" t="s">
        <v>2398</v>
      </c>
      <c r="F68" s="676">
        <f>SUM(F63:F67)</f>
        <v>508785266.60996556</v>
      </c>
      <c r="G68" s="676">
        <f>SUM(G63:G67)</f>
        <v>514109915.76319563</v>
      </c>
      <c r="H68" s="554"/>
    </row>
    <row r="69" spans="1:8">
      <c r="A69" s="674">
        <f t="shared" si="3"/>
        <v>51</v>
      </c>
      <c r="B69" s="675" t="s">
        <v>2013</v>
      </c>
      <c r="D69" s="674" t="str">
        <f>+D49</f>
        <v>J-1.1 / J-1.2</v>
      </c>
      <c r="F69" s="681">
        <f>F49</f>
        <v>2.2699999999999998E-2</v>
      </c>
      <c r="G69" s="681">
        <f>G49</f>
        <v>2.3200000000000002E-2</v>
      </c>
      <c r="H69" s="579"/>
    </row>
    <row r="70" spans="1:8">
      <c r="A70" s="674">
        <f t="shared" si="3"/>
        <v>52</v>
      </c>
      <c r="B70" s="675" t="s">
        <v>2012</v>
      </c>
      <c r="D70" s="674" t="s">
        <v>2399</v>
      </c>
      <c r="F70" s="676">
        <f>ROUND(F68*F69,0)</f>
        <v>11549426</v>
      </c>
      <c r="G70" s="676">
        <f>ROUND(G68*G69,0)</f>
        <v>11927350</v>
      </c>
    </row>
    <row r="71" spans="1:8">
      <c r="A71" s="674">
        <f t="shared" si="3"/>
        <v>53</v>
      </c>
      <c r="B71" s="675" t="s">
        <v>2011</v>
      </c>
      <c r="D71" s="674" t="s">
        <v>2400</v>
      </c>
      <c r="F71" s="676">
        <f>$F$20-F70</f>
        <v>26754356.565757886</v>
      </c>
      <c r="G71" s="676">
        <f>$G$20-G70</f>
        <v>15089046.517134205</v>
      </c>
    </row>
    <row r="72" spans="1:8">
      <c r="A72" s="674">
        <f t="shared" si="3"/>
        <v>54</v>
      </c>
      <c r="B72" s="675" t="str">
        <f>+B52</f>
        <v>Federal Flow-Through Statutory Adjustments</v>
      </c>
      <c r="D72" s="674" t="str">
        <f>+D52</f>
        <v>E-1</v>
      </c>
      <c r="F72" s="676">
        <f t="shared" ref="F72:G74" si="4">+F52</f>
        <v>51041.587137071299</v>
      </c>
      <c r="G72" s="676">
        <f t="shared" si="4"/>
        <v>161935.86366355082</v>
      </c>
    </row>
    <row r="73" spans="1:8">
      <c r="A73" s="674">
        <f t="shared" si="3"/>
        <v>55</v>
      </c>
      <c r="B73" s="675" t="str">
        <f>+B53</f>
        <v>Federal Timing Statutory Adjustments</v>
      </c>
      <c r="D73" s="674" t="str">
        <f>+D53</f>
        <v>E-1</v>
      </c>
      <c r="F73" s="676">
        <f t="shared" si="4"/>
        <v>-36188667.879726388</v>
      </c>
      <c r="G73" s="676">
        <f t="shared" si="4"/>
        <v>-8824954.6483472325</v>
      </c>
    </row>
    <row r="74" spans="1:8">
      <c r="A74" s="674">
        <f t="shared" si="3"/>
        <v>56</v>
      </c>
      <c r="B74" s="675" t="str">
        <f>+B54</f>
        <v>State Bonus Disallowance</v>
      </c>
      <c r="D74" s="674" t="str">
        <f>+D54</f>
        <v>E-1</v>
      </c>
      <c r="F74" s="677">
        <f t="shared" si="4"/>
        <v>393253.63666666625</v>
      </c>
      <c r="G74" s="677">
        <f t="shared" si="4"/>
        <v>-3321725.8599999957</v>
      </c>
    </row>
    <row r="75" spans="1:8">
      <c r="A75" s="674">
        <f t="shared" si="3"/>
        <v>57</v>
      </c>
      <c r="B75" s="675" t="s">
        <v>4</v>
      </c>
      <c r="D75" s="674" t="s">
        <v>2401</v>
      </c>
      <c r="F75" s="676">
        <f>SUM(F71:F74)</f>
        <v>-8990016.0901647657</v>
      </c>
      <c r="G75" s="676">
        <f>SUM(G71:G74)</f>
        <v>3104301.8724505268</v>
      </c>
    </row>
    <row r="76" spans="1:8">
      <c r="A76" s="674">
        <f t="shared" si="3"/>
        <v>58</v>
      </c>
      <c r="B76" s="675" t="s">
        <v>2010</v>
      </c>
      <c r="D76" s="674" t="s">
        <v>2402</v>
      </c>
      <c r="F76" s="682">
        <f>ROUND(F75*'H-1 Gross Conversion Factor'!$E$25,0)</f>
        <v>-449501</v>
      </c>
      <c r="G76" s="682">
        <f>ROUND(G75*'H-1 Gross Conversion Factor'!$E$25,0)</f>
        <v>155215</v>
      </c>
    </row>
    <row r="77" spans="1:8">
      <c r="A77" s="674">
        <f t="shared" si="3"/>
        <v>59</v>
      </c>
      <c r="B77" s="675" t="s">
        <v>7</v>
      </c>
      <c r="D77" s="674" t="s">
        <v>2403</v>
      </c>
      <c r="F77" s="682">
        <f>+F71+F72+F73-F76</f>
        <v>-8933768.7268314324</v>
      </c>
      <c r="G77" s="682">
        <f>+G71+G72+G73-G76</f>
        <v>6270812.7324505225</v>
      </c>
    </row>
    <row r="78" spans="1:8">
      <c r="A78" s="674">
        <f t="shared" si="3"/>
        <v>60</v>
      </c>
      <c r="B78" s="675" t="s">
        <v>2009</v>
      </c>
      <c r="D78" s="674" t="s">
        <v>2404</v>
      </c>
      <c r="F78" s="682">
        <f>ROUND(F77*'H-1 Gross Conversion Factor'!$E$29,0)</f>
        <v>-1876091</v>
      </c>
      <c r="G78" s="682">
        <f>ROUND(G77*'H-1 Gross Conversion Factor'!$E$29,0)</f>
        <v>1316871</v>
      </c>
    </row>
    <row r="79" spans="1:8">
      <c r="A79" s="674">
        <f t="shared" si="3"/>
        <v>61</v>
      </c>
      <c r="B79" s="675" t="s">
        <v>3075</v>
      </c>
      <c r="D79" s="674" t="s">
        <v>1005</v>
      </c>
      <c r="F79" s="677">
        <f>'E-1.1 Fed &amp; State Inc Tax'!$F$53+'E-1.1 Fed &amp; State Inc Tax'!$F$59</f>
        <v>9241538.831333112</v>
      </c>
      <c r="G79" s="677">
        <f>'E-1.1 Fed &amp; State Inc Tax'!$J$53+'E-1.1 Fed &amp; State Inc Tax'!$J$59</f>
        <v>1757574.5962624513</v>
      </c>
    </row>
    <row r="80" spans="1:8">
      <c r="A80" s="674">
        <f t="shared" si="3"/>
        <v>62</v>
      </c>
      <c r="B80" s="675" t="s">
        <v>2008</v>
      </c>
      <c r="D80" s="674" t="s">
        <v>2405</v>
      </c>
      <c r="F80" s="682">
        <f>F76+F78+F79</f>
        <v>6915946.831333112</v>
      </c>
      <c r="G80" s="682">
        <f>G76+G78+G79</f>
        <v>3229660.5962624513</v>
      </c>
    </row>
    <row r="81" spans="1:8">
      <c r="G81" s="682"/>
    </row>
    <row r="82" spans="1:8" s="1069" customFormat="1" ht="12.75" customHeight="1">
      <c r="A82" s="1336" t="str">
        <f>+'General Headers Index'!$B$4</f>
        <v>COLUMBIA GAS OF KENTUCKY, INC.</v>
      </c>
      <c r="B82" s="1336"/>
      <c r="C82" s="1336"/>
      <c r="D82" s="1336"/>
      <c r="E82" s="1336"/>
      <c r="F82" s="1336"/>
      <c r="G82" s="1336"/>
      <c r="H82" s="1336"/>
    </row>
    <row r="83" spans="1:8" s="1069" customFormat="1" ht="12.75" customHeight="1">
      <c r="A83" s="1336" t="str">
        <f>+'General Headers Index'!$B$6</f>
        <v>CASE NO. 2024 - 00092</v>
      </c>
      <c r="B83" s="1336"/>
      <c r="C83" s="1336"/>
      <c r="D83" s="1336"/>
      <c r="E83" s="1336"/>
      <c r="F83" s="1336"/>
      <c r="G83" s="1336"/>
      <c r="H83" s="1336"/>
    </row>
    <row r="84" spans="1:8" s="1069" customFormat="1" ht="12.75" customHeight="1">
      <c r="A84" s="1336" t="str">
        <f>$A$3</f>
        <v>CASH WORKING CAPITAL INCOME TAXES INTEREST SYNCHRONIZATION</v>
      </c>
      <c r="B84" s="1336"/>
      <c r="C84" s="1336"/>
      <c r="D84" s="1336"/>
      <c r="E84" s="1336"/>
      <c r="F84" s="1336"/>
      <c r="G84" s="1336"/>
      <c r="H84" s="1336"/>
    </row>
    <row r="85" spans="1:8" s="1069" customFormat="1" ht="12.75" customHeight="1">
      <c r="A85" s="1336" t="str">
        <f>+'General Headers Index'!$B$16</f>
        <v>FORECASTED TEST PERIOD: TWELVE MONTHS ENDED DECEMBER 31, 2025</v>
      </c>
      <c r="B85" s="1336"/>
      <c r="C85" s="1336"/>
      <c r="D85" s="1336"/>
      <c r="E85" s="1336"/>
      <c r="F85" s="1336"/>
      <c r="G85" s="1336"/>
      <c r="H85" s="1336"/>
    </row>
    <row r="86" spans="1:8" s="1069" customFormat="1" ht="12.75" customHeight="1">
      <c r="A86" s="668"/>
      <c r="B86" s="668"/>
      <c r="C86" s="668"/>
      <c r="D86" s="668"/>
      <c r="E86" s="668"/>
      <c r="F86" s="668"/>
      <c r="G86" s="668"/>
      <c r="H86" s="543"/>
    </row>
    <row r="87" spans="1:8" s="1069" customFormat="1" ht="12.75" customHeight="1">
      <c r="A87" s="668"/>
      <c r="B87" s="669"/>
      <c r="C87" s="669"/>
      <c r="D87" s="669"/>
      <c r="E87" s="669"/>
      <c r="F87" s="669"/>
      <c r="G87" s="669"/>
      <c r="H87" s="255"/>
    </row>
    <row r="88" spans="1:8" s="1069" customFormat="1" ht="12.6" customHeight="1">
      <c r="A88" s="286" t="s">
        <v>2786</v>
      </c>
      <c r="B88" s="669"/>
      <c r="C88" s="669"/>
      <c r="D88" s="669"/>
      <c r="E88" s="669"/>
      <c r="F88" s="669"/>
      <c r="G88" s="670" t="s">
        <v>2034</v>
      </c>
      <c r="H88" s="572"/>
    </row>
    <row r="89" spans="1:8" s="1069" customFormat="1">
      <c r="A89" s="286" t="s">
        <v>572</v>
      </c>
      <c r="B89" s="669"/>
      <c r="C89" s="669"/>
      <c r="D89" s="669"/>
      <c r="E89" s="669"/>
      <c r="F89" s="669"/>
      <c r="G89" s="670" t="s">
        <v>309</v>
      </c>
      <c r="H89" s="572"/>
    </row>
    <row r="90" spans="1:8" s="1069" customFormat="1">
      <c r="A90" s="286" t="s">
        <v>575</v>
      </c>
      <c r="G90" s="671" t="str">
        <f>"WITNESS: "&amp;'General Headers Index'!B143</f>
        <v xml:space="preserve">WITNESS: </v>
      </c>
      <c r="H90" s="545"/>
    </row>
    <row r="91" spans="1:8" s="1069" customFormat="1">
      <c r="A91" s="1070"/>
      <c r="B91" s="1071"/>
      <c r="C91" s="1071"/>
      <c r="D91" s="1071"/>
      <c r="E91" s="1071"/>
      <c r="F91" s="1071"/>
      <c r="G91" s="1071"/>
      <c r="H91" s="254"/>
    </row>
    <row r="92" spans="1:8" s="1069" customFormat="1">
      <c r="A92" s="667"/>
      <c r="F92" s="667" t="s">
        <v>315</v>
      </c>
      <c r="G92" s="667" t="s">
        <v>2427</v>
      </c>
      <c r="H92" s="254"/>
    </row>
    <row r="93" spans="1:8" s="1069" customFormat="1">
      <c r="A93" s="667" t="s">
        <v>313</v>
      </c>
      <c r="B93" s="667"/>
      <c r="C93" s="667"/>
      <c r="D93" s="667"/>
      <c r="E93" s="667"/>
      <c r="F93" s="667" t="s">
        <v>319</v>
      </c>
      <c r="G93" s="667" t="s">
        <v>319</v>
      </c>
      <c r="H93" s="543"/>
    </row>
    <row r="94" spans="1:8" s="1069" customFormat="1">
      <c r="A94" s="1070" t="s">
        <v>316</v>
      </c>
      <c r="B94" s="1070" t="s">
        <v>451</v>
      </c>
      <c r="C94" s="1070"/>
      <c r="D94" s="1070" t="s">
        <v>318</v>
      </c>
      <c r="E94" s="1070"/>
      <c r="F94" s="1070" t="s">
        <v>444</v>
      </c>
      <c r="G94" s="1070" t="s">
        <v>444</v>
      </c>
      <c r="H94" s="254"/>
    </row>
    <row r="95" spans="1:8" s="1069" customFormat="1">
      <c r="A95" s="270"/>
      <c r="B95" s="270" t="s">
        <v>532</v>
      </c>
      <c r="C95" s="672"/>
      <c r="D95" s="270" t="s">
        <v>541</v>
      </c>
      <c r="E95" s="672"/>
      <c r="F95" s="270" t="s">
        <v>542</v>
      </c>
      <c r="G95" s="270" t="s">
        <v>668</v>
      </c>
      <c r="H95" s="254"/>
    </row>
    <row r="96" spans="1:8" s="1069" customFormat="1" ht="15" customHeight="1">
      <c r="A96" s="673"/>
      <c r="B96" s="673"/>
      <c r="C96" s="673"/>
      <c r="D96" s="667"/>
      <c r="E96" s="668"/>
      <c r="F96" s="667" t="s">
        <v>320</v>
      </c>
      <c r="G96" s="667" t="s">
        <v>320</v>
      </c>
      <c r="H96" s="254"/>
    </row>
    <row r="97" spans="1:8">
      <c r="A97" s="674">
        <f>+A80+1</f>
        <v>63</v>
      </c>
      <c r="B97" s="679" t="s">
        <v>2020</v>
      </c>
      <c r="G97" s="682"/>
    </row>
    <row r="98" spans="1:8">
      <c r="A98" s="674">
        <f t="shared" ref="A98:A115" si="5">+A97+1</f>
        <v>64</v>
      </c>
      <c r="B98" s="675" t="s">
        <v>2019</v>
      </c>
      <c r="D98" s="683" t="s">
        <v>2406</v>
      </c>
      <c r="F98" s="676">
        <f>ROUND((-(F76/365)*'B-5.2.A CWC (Base)'!$J$38),0)</f>
        <v>-19790</v>
      </c>
      <c r="G98" s="676">
        <f>ROUND((-(G76/365)*'B-5.2.A CWC (Forecast)'!$J$38),0)</f>
        <v>6834</v>
      </c>
      <c r="H98" s="554"/>
    </row>
    <row r="99" spans="1:8">
      <c r="A99" s="674">
        <f t="shared" si="5"/>
        <v>65</v>
      </c>
      <c r="B99" s="675" t="s">
        <v>2018</v>
      </c>
      <c r="C99" s="676"/>
      <c r="D99" s="683" t="s">
        <v>2407</v>
      </c>
      <c r="E99" s="676"/>
      <c r="F99" s="676">
        <f>ROUND((-(F78/365)*'B-5.2.A CWC (Base)'!$J$37),0)</f>
        <v>-82599</v>
      </c>
      <c r="G99" s="676">
        <f>ROUND((-(G78/365)*'B-5.2.A CWC (Forecast)'!$J$37),0)</f>
        <v>57978</v>
      </c>
      <c r="H99" s="554"/>
    </row>
    <row r="100" spans="1:8">
      <c r="A100" s="674">
        <f t="shared" si="5"/>
        <v>66</v>
      </c>
      <c r="B100" s="675" t="s">
        <v>2017</v>
      </c>
      <c r="C100" s="676"/>
      <c r="D100" s="683" t="s">
        <v>2408</v>
      </c>
      <c r="E100" s="676"/>
      <c r="F100" s="676">
        <f>ROUND(-(F70/365)*'B-5.2.A CWC (Base)'!$J$43,0)</f>
        <v>1962770</v>
      </c>
      <c r="G100" s="676">
        <f>ROUND(-(G70/365)*'B-5.2.A CWC (Forecast)'!$J$43,0)</f>
        <v>2026996</v>
      </c>
      <c r="H100" s="554"/>
    </row>
    <row r="101" spans="1:8">
      <c r="A101" s="674">
        <f t="shared" si="5"/>
        <v>67</v>
      </c>
      <c r="B101" s="675" t="s">
        <v>2016</v>
      </c>
      <c r="D101" s="674" t="str">
        <f>+D66</f>
        <v>B-1</v>
      </c>
      <c r="F101" s="676">
        <f>F66</f>
        <v>512510188.60996556</v>
      </c>
      <c r="G101" s="676">
        <f>G66</f>
        <v>518827311.76319563</v>
      </c>
      <c r="H101" s="554"/>
    </row>
    <row r="102" spans="1:8">
      <c r="A102" s="674">
        <f t="shared" si="5"/>
        <v>68</v>
      </c>
      <c r="B102" s="675" t="s">
        <v>2015</v>
      </c>
      <c r="D102" s="674" t="str">
        <f>+D67</f>
        <v>B-5.2</v>
      </c>
      <c r="F102" s="680">
        <f>F67</f>
        <v>-5585278</v>
      </c>
      <c r="G102" s="680">
        <f>G67</f>
        <v>-6809176</v>
      </c>
      <c r="H102" s="552"/>
    </row>
    <row r="103" spans="1:8">
      <c r="A103" s="674">
        <f t="shared" si="5"/>
        <v>69</v>
      </c>
      <c r="B103" s="675" t="s">
        <v>2014</v>
      </c>
      <c r="D103" s="674" t="s">
        <v>2409</v>
      </c>
      <c r="F103" s="676">
        <f>SUM(F98:F102)</f>
        <v>508785291.60996556</v>
      </c>
      <c r="G103" s="676">
        <f>SUM(G98:G102)</f>
        <v>514109943.76319563</v>
      </c>
      <c r="H103" s="554"/>
    </row>
    <row r="104" spans="1:8">
      <c r="A104" s="674">
        <f t="shared" si="5"/>
        <v>70</v>
      </c>
      <c r="B104" s="675" t="s">
        <v>2013</v>
      </c>
      <c r="D104" s="674" t="str">
        <f>+D69</f>
        <v>J-1.1 / J-1.2</v>
      </c>
      <c r="F104" s="681">
        <f>F69</f>
        <v>2.2699999999999998E-2</v>
      </c>
      <c r="G104" s="681">
        <f>G69</f>
        <v>2.3200000000000002E-2</v>
      </c>
      <c r="H104" s="579"/>
    </row>
    <row r="105" spans="1:8">
      <c r="A105" s="674">
        <f t="shared" si="5"/>
        <v>71</v>
      </c>
      <c r="B105" s="675" t="s">
        <v>2012</v>
      </c>
      <c r="D105" s="674" t="s">
        <v>2410</v>
      </c>
      <c r="F105" s="676">
        <f>ROUND(F103*F104,0)</f>
        <v>11549426</v>
      </c>
      <c r="G105" s="676">
        <f>ROUND(G103*G104,0)</f>
        <v>11927351</v>
      </c>
    </row>
    <row r="106" spans="1:8">
      <c r="A106" s="674">
        <f t="shared" si="5"/>
        <v>72</v>
      </c>
      <c r="B106" s="675" t="s">
        <v>2011</v>
      </c>
      <c r="D106" s="674" t="s">
        <v>2411</v>
      </c>
      <c r="F106" s="676">
        <f>$F$20-F105</f>
        <v>26754356.565757886</v>
      </c>
      <c r="G106" s="676">
        <f>$G$20-G105</f>
        <v>15089045.517134205</v>
      </c>
    </row>
    <row r="107" spans="1:8">
      <c r="A107" s="674">
        <f t="shared" si="5"/>
        <v>73</v>
      </c>
      <c r="B107" s="675" t="str">
        <f>+B72</f>
        <v>Federal Flow-Through Statutory Adjustments</v>
      </c>
      <c r="D107" s="674" t="str">
        <f>+D72</f>
        <v>E-1</v>
      </c>
      <c r="F107" s="676">
        <f t="shared" ref="F107:G109" si="6">+F72</f>
        <v>51041.587137071299</v>
      </c>
      <c r="G107" s="676">
        <f t="shared" si="6"/>
        <v>161935.86366355082</v>
      </c>
    </row>
    <row r="108" spans="1:8">
      <c r="A108" s="674">
        <f t="shared" si="5"/>
        <v>74</v>
      </c>
      <c r="B108" s="675" t="str">
        <f>+B73</f>
        <v>Federal Timing Statutory Adjustments</v>
      </c>
      <c r="D108" s="674" t="str">
        <f>+D73</f>
        <v>E-1</v>
      </c>
      <c r="F108" s="676">
        <f t="shared" si="6"/>
        <v>-36188667.879726388</v>
      </c>
      <c r="G108" s="676">
        <f t="shared" si="6"/>
        <v>-8824954.6483472325</v>
      </c>
    </row>
    <row r="109" spans="1:8">
      <c r="A109" s="674">
        <f t="shared" si="5"/>
        <v>75</v>
      </c>
      <c r="B109" s="675" t="str">
        <f>+B74</f>
        <v>State Bonus Disallowance</v>
      </c>
      <c r="D109" s="674" t="str">
        <f>+D74</f>
        <v>E-1</v>
      </c>
      <c r="F109" s="677">
        <f t="shared" si="6"/>
        <v>393253.63666666625</v>
      </c>
      <c r="G109" s="677">
        <f t="shared" si="6"/>
        <v>-3321725.8599999957</v>
      </c>
    </row>
    <row r="110" spans="1:8">
      <c r="A110" s="674">
        <f t="shared" si="5"/>
        <v>76</v>
      </c>
      <c r="B110" s="675" t="s">
        <v>4</v>
      </c>
      <c r="D110" s="674" t="s">
        <v>2412</v>
      </c>
      <c r="F110" s="676">
        <f>SUM(F106:F109)</f>
        <v>-8990016.0901647657</v>
      </c>
      <c r="G110" s="676">
        <f>SUM(G106:G109)</f>
        <v>3104300.8724505268</v>
      </c>
    </row>
    <row r="111" spans="1:8">
      <c r="A111" s="674">
        <f t="shared" si="5"/>
        <v>77</v>
      </c>
      <c r="B111" s="675" t="s">
        <v>2010</v>
      </c>
      <c r="D111" s="674" t="s">
        <v>2413</v>
      </c>
      <c r="F111" s="682">
        <f>ROUND(F110*'H-1 Gross Conversion Factor'!$E$25,0)</f>
        <v>-449501</v>
      </c>
      <c r="G111" s="682">
        <f>ROUND(G110*'H-1 Gross Conversion Factor'!$E$25,0)</f>
        <v>155215</v>
      </c>
    </row>
    <row r="112" spans="1:8">
      <c r="A112" s="674">
        <f t="shared" si="5"/>
        <v>78</v>
      </c>
      <c r="B112" s="675" t="s">
        <v>7</v>
      </c>
      <c r="D112" s="674" t="s">
        <v>2414</v>
      </c>
      <c r="F112" s="682">
        <f>+F106+F107+F108-F111</f>
        <v>-8933768.7268314324</v>
      </c>
      <c r="G112" s="682">
        <f>+G106+G107+G108-G111</f>
        <v>6270811.7324505225</v>
      </c>
    </row>
    <row r="113" spans="1:8">
      <c r="A113" s="674">
        <f t="shared" si="5"/>
        <v>79</v>
      </c>
      <c r="B113" s="675" t="s">
        <v>2009</v>
      </c>
      <c r="D113" s="674" t="s">
        <v>2415</v>
      </c>
      <c r="F113" s="682">
        <f>ROUND(F112*'H-1 Gross Conversion Factor'!$E$29,0)</f>
        <v>-1876091</v>
      </c>
      <c r="G113" s="682">
        <f>ROUND(G112*'H-1 Gross Conversion Factor'!$E$29,0)</f>
        <v>1316870</v>
      </c>
    </row>
    <row r="114" spans="1:8">
      <c r="A114" s="674">
        <f t="shared" si="5"/>
        <v>80</v>
      </c>
      <c r="B114" s="675" t="s">
        <v>3075</v>
      </c>
      <c r="D114" s="674" t="s">
        <v>1005</v>
      </c>
      <c r="F114" s="677">
        <f>'E-1.1 Fed &amp; State Inc Tax'!$F$53+'E-1.1 Fed &amp; State Inc Tax'!$F$59</f>
        <v>9241538.831333112</v>
      </c>
      <c r="G114" s="677">
        <f>'E-1.1 Fed &amp; State Inc Tax'!$J$53+'E-1.1 Fed &amp; State Inc Tax'!$J$59</f>
        <v>1757574.5962624513</v>
      </c>
    </row>
    <row r="115" spans="1:8">
      <c r="A115" s="674">
        <f t="shared" si="5"/>
        <v>81</v>
      </c>
      <c r="B115" s="675" t="s">
        <v>2008</v>
      </c>
      <c r="D115" s="674" t="s">
        <v>2416</v>
      </c>
      <c r="F115" s="682">
        <f>F111+F113+F114</f>
        <v>6915946.831333112</v>
      </c>
      <c r="G115" s="682">
        <f>G111+G113+G114</f>
        <v>3229659.5962624513</v>
      </c>
    </row>
    <row r="116" spans="1:8" ht="5.0999999999999996" customHeight="1">
      <c r="G116" s="682"/>
    </row>
    <row r="117" spans="1:8">
      <c r="A117" s="674">
        <f>+A115+1</f>
        <v>82</v>
      </c>
      <c r="B117" s="679" t="s">
        <v>2035</v>
      </c>
      <c r="G117" s="682"/>
    </row>
    <row r="118" spans="1:8">
      <c r="A118" s="674">
        <f t="shared" ref="A118:A135" si="7">+A117+1</f>
        <v>83</v>
      </c>
      <c r="B118" s="675" t="s">
        <v>2019</v>
      </c>
      <c r="D118" s="683" t="s">
        <v>2417</v>
      </c>
      <c r="F118" s="676">
        <f>ROUND((-(F111/365)*'B-5.2.A CWC (Base)'!$J$38),0)</f>
        <v>-19790</v>
      </c>
      <c r="G118" s="676">
        <f>ROUND((-(G111/365)*'B-5.2.A CWC (Forecast)'!$J$38),0)</f>
        <v>6834</v>
      </c>
      <c r="H118" s="554"/>
    </row>
    <row r="119" spans="1:8">
      <c r="A119" s="674">
        <f t="shared" si="7"/>
        <v>84</v>
      </c>
      <c r="B119" s="675" t="s">
        <v>2018</v>
      </c>
      <c r="C119" s="676"/>
      <c r="D119" s="683" t="s">
        <v>2418</v>
      </c>
      <c r="E119" s="676"/>
      <c r="F119" s="676">
        <f>ROUND((-(F113/365)*'B-5.2.A CWC (Base)'!$J$37),0)</f>
        <v>-82599</v>
      </c>
      <c r="G119" s="676">
        <f>ROUND((-(G113/365)*'B-5.2.A CWC (Forecast)'!$J$37),0)</f>
        <v>57978</v>
      </c>
      <c r="H119" s="554"/>
    </row>
    <row r="120" spans="1:8">
      <c r="A120" s="674">
        <f t="shared" si="7"/>
        <v>85</v>
      </c>
      <c r="B120" s="675" t="s">
        <v>2017</v>
      </c>
      <c r="C120" s="676"/>
      <c r="D120" s="683" t="s">
        <v>2419</v>
      </c>
      <c r="E120" s="676"/>
      <c r="F120" s="676">
        <f>ROUND(-(F105/365)*'B-5.2.A CWC (Base)'!$J$43,0)</f>
        <v>1962770</v>
      </c>
      <c r="G120" s="676">
        <f>ROUND(-(G105/365)*'B-5.2.A CWC (Forecast)'!$J$43,0)</f>
        <v>2026996</v>
      </c>
      <c r="H120" s="554"/>
    </row>
    <row r="121" spans="1:8">
      <c r="A121" s="674">
        <f t="shared" si="7"/>
        <v>86</v>
      </c>
      <c r="B121" s="675" t="s">
        <v>2016</v>
      </c>
      <c r="D121" s="674" t="str">
        <f>+D101</f>
        <v>B-1</v>
      </c>
      <c r="F121" s="676">
        <f>F101</f>
        <v>512510188.60996556</v>
      </c>
      <c r="G121" s="676">
        <f>G101</f>
        <v>518827311.76319563</v>
      </c>
      <c r="H121" s="554"/>
    </row>
    <row r="122" spans="1:8">
      <c r="A122" s="674">
        <f t="shared" si="7"/>
        <v>87</v>
      </c>
      <c r="B122" s="675" t="s">
        <v>2015</v>
      </c>
      <c r="D122" s="674" t="str">
        <f>+D102</f>
        <v>B-5.2</v>
      </c>
      <c r="F122" s="680">
        <f>F102</f>
        <v>-5585278</v>
      </c>
      <c r="G122" s="680">
        <f>G102</f>
        <v>-6809176</v>
      </c>
      <c r="H122" s="552"/>
    </row>
    <row r="123" spans="1:8">
      <c r="A123" s="674">
        <f t="shared" si="7"/>
        <v>88</v>
      </c>
      <c r="B123" s="675" t="s">
        <v>2014</v>
      </c>
      <c r="D123" s="674" t="s">
        <v>2420</v>
      </c>
      <c r="F123" s="676">
        <f>SUM(F118:F122)</f>
        <v>508785291.60996556</v>
      </c>
      <c r="G123" s="676">
        <f>SUM(G118:G122)</f>
        <v>514109943.76319563</v>
      </c>
      <c r="H123" s="554"/>
    </row>
    <row r="124" spans="1:8">
      <c r="A124" s="674">
        <f t="shared" si="7"/>
        <v>89</v>
      </c>
      <c r="B124" s="675" t="s">
        <v>2013</v>
      </c>
      <c r="D124" s="674" t="str">
        <f>+D104</f>
        <v>J-1.1 / J-1.2</v>
      </c>
      <c r="F124" s="681">
        <f>F104</f>
        <v>2.2699999999999998E-2</v>
      </c>
      <c r="G124" s="681">
        <f>G104</f>
        <v>2.3200000000000002E-2</v>
      </c>
      <c r="H124" s="579"/>
    </row>
    <row r="125" spans="1:8">
      <c r="A125" s="674">
        <f t="shared" si="7"/>
        <v>90</v>
      </c>
      <c r="B125" s="675" t="s">
        <v>2012</v>
      </c>
      <c r="D125" s="674" t="s">
        <v>2421</v>
      </c>
      <c r="F125" s="676">
        <f>ROUND(F123*F124,0)</f>
        <v>11549426</v>
      </c>
      <c r="G125" s="676">
        <f>ROUND(G123*G124,0)</f>
        <v>11927351</v>
      </c>
    </row>
    <row r="126" spans="1:8">
      <c r="A126" s="674">
        <f t="shared" si="7"/>
        <v>91</v>
      </c>
      <c r="B126" s="675" t="s">
        <v>2011</v>
      </c>
      <c r="D126" s="674" t="s">
        <v>2422</v>
      </c>
      <c r="F126" s="676">
        <f>$F$20-F125</f>
        <v>26754356.565757886</v>
      </c>
      <c r="G126" s="676">
        <f>$G$20-G125</f>
        <v>15089045.517134205</v>
      </c>
    </row>
    <row r="127" spans="1:8">
      <c r="A127" s="674">
        <f t="shared" si="7"/>
        <v>92</v>
      </c>
      <c r="B127" s="675" t="str">
        <f>+B107</f>
        <v>Federal Flow-Through Statutory Adjustments</v>
      </c>
      <c r="D127" s="674" t="str">
        <f>+D107</f>
        <v>E-1</v>
      </c>
      <c r="F127" s="676">
        <f t="shared" ref="F127:G129" si="8">+F107</f>
        <v>51041.587137071299</v>
      </c>
      <c r="G127" s="676">
        <f t="shared" si="8"/>
        <v>161935.86366355082</v>
      </c>
    </row>
    <row r="128" spans="1:8">
      <c r="A128" s="674">
        <f t="shared" si="7"/>
        <v>93</v>
      </c>
      <c r="B128" s="675" t="str">
        <f>+B108</f>
        <v>Federal Timing Statutory Adjustments</v>
      </c>
      <c r="D128" s="674" t="str">
        <f>+D108</f>
        <v>E-1</v>
      </c>
      <c r="F128" s="676">
        <f t="shared" si="8"/>
        <v>-36188667.879726388</v>
      </c>
      <c r="G128" s="676">
        <f t="shared" si="8"/>
        <v>-8824954.6483472325</v>
      </c>
    </row>
    <row r="129" spans="1:8">
      <c r="A129" s="674">
        <f t="shared" si="7"/>
        <v>94</v>
      </c>
      <c r="B129" s="675" t="str">
        <f>+B109</f>
        <v>State Bonus Disallowance</v>
      </c>
      <c r="D129" s="674" t="str">
        <f>+D109</f>
        <v>E-1</v>
      </c>
      <c r="F129" s="677">
        <f t="shared" si="8"/>
        <v>393253.63666666625</v>
      </c>
      <c r="G129" s="677">
        <f t="shared" si="8"/>
        <v>-3321725.8599999957</v>
      </c>
    </row>
    <row r="130" spans="1:8">
      <c r="A130" s="674">
        <f t="shared" si="7"/>
        <v>95</v>
      </c>
      <c r="B130" s="675" t="s">
        <v>4</v>
      </c>
      <c r="D130" s="674" t="s">
        <v>2423</v>
      </c>
      <c r="F130" s="676">
        <f>SUM(F126:F129)</f>
        <v>-8990016.0901647657</v>
      </c>
      <c r="G130" s="676">
        <f>SUM(G126:G129)</f>
        <v>3104300.8724505268</v>
      </c>
    </row>
    <row r="131" spans="1:8">
      <c r="A131" s="674">
        <f t="shared" si="7"/>
        <v>96</v>
      </c>
      <c r="B131" s="675" t="s">
        <v>2010</v>
      </c>
      <c r="D131" s="674" t="s">
        <v>2424</v>
      </c>
      <c r="F131" s="682">
        <f>ROUND(F130*'H-1 Gross Conversion Factor'!$E$25,0)</f>
        <v>-449501</v>
      </c>
      <c r="G131" s="682">
        <f>ROUND(G130*'H-1 Gross Conversion Factor'!$E$25,0)</f>
        <v>155215</v>
      </c>
    </row>
    <row r="132" spans="1:8">
      <c r="A132" s="674">
        <f t="shared" si="7"/>
        <v>97</v>
      </c>
      <c r="B132" s="675" t="s">
        <v>7</v>
      </c>
      <c r="D132" s="674" t="s">
        <v>2425</v>
      </c>
      <c r="F132" s="682">
        <f>+F126+F127+F128-F131</f>
        <v>-8933768.7268314324</v>
      </c>
      <c r="G132" s="682">
        <f>+G126+G127+G128-G131</f>
        <v>6270811.7324505225</v>
      </c>
    </row>
    <row r="133" spans="1:8">
      <c r="A133" s="674">
        <f t="shared" si="7"/>
        <v>98</v>
      </c>
      <c r="B133" s="675" t="s">
        <v>2009</v>
      </c>
      <c r="D133" s="674" t="s">
        <v>2036</v>
      </c>
      <c r="F133" s="682">
        <f>ROUND(F132*'H-1 Gross Conversion Factor'!$E$29,0)</f>
        <v>-1876091</v>
      </c>
      <c r="G133" s="682">
        <f>ROUND(G132*'H-1 Gross Conversion Factor'!$E$29,0)</f>
        <v>1316870</v>
      </c>
    </row>
    <row r="134" spans="1:8">
      <c r="A134" s="674">
        <f t="shared" si="7"/>
        <v>99</v>
      </c>
      <c r="B134" s="675" t="s">
        <v>3075</v>
      </c>
      <c r="D134" s="674" t="s">
        <v>1005</v>
      </c>
      <c r="F134" s="677">
        <f>'E-1.1 Fed &amp; State Inc Tax'!$F$53+'E-1.1 Fed &amp; State Inc Tax'!$F$59</f>
        <v>9241538.831333112</v>
      </c>
      <c r="G134" s="677">
        <f>'E-1.1 Fed &amp; State Inc Tax'!$J$53+'E-1.1 Fed &amp; State Inc Tax'!$J$59</f>
        <v>1757574.5962624513</v>
      </c>
    </row>
    <row r="135" spans="1:8">
      <c r="A135" s="674">
        <f t="shared" si="7"/>
        <v>100</v>
      </c>
      <c r="B135" s="675" t="s">
        <v>2008</v>
      </c>
      <c r="D135" s="674" t="s">
        <v>2426</v>
      </c>
      <c r="F135" s="682">
        <f>F131+F133+F134</f>
        <v>6915946.831333112</v>
      </c>
      <c r="G135" s="682">
        <f>G131+G133+G134</f>
        <v>3229659.5962624513</v>
      </c>
    </row>
    <row r="136" spans="1:8" ht="5.0999999999999996" customHeight="1">
      <c r="G136" s="682"/>
    </row>
    <row r="137" spans="1:8">
      <c r="A137" s="674">
        <f>+A135+1</f>
        <v>101</v>
      </c>
      <c r="B137" s="675" t="s">
        <v>2030</v>
      </c>
      <c r="D137" s="684" t="s">
        <v>2374</v>
      </c>
      <c r="F137" s="682">
        <f>IF('B-5.2.A CWC (Base)'!K54=0,0,(F131-'E-1.1 Fed &amp; State Inc Tax'!F44))</f>
        <v>0</v>
      </c>
      <c r="G137" s="682">
        <f>IF('B-5.2.A CWC (Forecast)'!K54=0,0,(G131-'E-1.1 Fed &amp; State Inc Tax'!J44))</f>
        <v>0</v>
      </c>
    </row>
    <row r="138" spans="1:8" ht="15">
      <c r="A138" s="674">
        <f>+A137+1</f>
        <v>102</v>
      </c>
      <c r="B138" s="675" t="s">
        <v>2031</v>
      </c>
      <c r="D138" s="684" t="s">
        <v>2375</v>
      </c>
      <c r="F138" s="685">
        <f>IF('B-5.2.A CWC (Base)'!K55=0,0,(F133-'E-1.1 Fed &amp; State Inc Tax'!F43))</f>
        <v>0</v>
      </c>
      <c r="G138" s="686">
        <f>IF('B-5.2.A CWC (Forecast)'!K54=0,0,(G133-'E-1.1 Fed &amp; State Inc Tax'!J43))</f>
        <v>0</v>
      </c>
      <c r="H138" s="554"/>
    </row>
    <row r="139" spans="1:8">
      <c r="A139" s="674">
        <f>+A138+1</f>
        <v>103</v>
      </c>
      <c r="B139" s="675" t="s">
        <v>2032</v>
      </c>
      <c r="F139" s="682">
        <f>SUM(F137:F138)</f>
        <v>0</v>
      </c>
      <c r="G139" s="682">
        <f>SUM(G137:G138)</f>
        <v>0</v>
      </c>
      <c r="H139" s="554"/>
    </row>
    <row r="140" spans="1:8">
      <c r="G140" s="682"/>
      <c r="H140" s="554"/>
    </row>
    <row r="141" spans="1:8">
      <c r="A141" s="674"/>
      <c r="G141" s="682"/>
      <c r="H141" s="554"/>
    </row>
    <row r="142" spans="1:8">
      <c r="A142" s="674"/>
      <c r="G142" s="686"/>
      <c r="H142" s="552"/>
    </row>
    <row r="143" spans="1:8">
      <c r="A143" s="674"/>
      <c r="G143" s="682"/>
      <c r="H143" s="554"/>
    </row>
    <row r="144" spans="1:8">
      <c r="G144" s="682"/>
      <c r="H144" s="579"/>
    </row>
    <row r="145" spans="7:7">
      <c r="G145" s="682"/>
    </row>
    <row r="146" spans="7:7">
      <c r="G146" s="682"/>
    </row>
    <row r="147" spans="7:7">
      <c r="G147" s="682"/>
    </row>
    <row r="148" spans="7:7">
      <c r="G148" s="682"/>
    </row>
    <row r="149" spans="7:7">
      <c r="G149" s="682"/>
    </row>
    <row r="150" spans="7:7">
      <c r="G150" s="682"/>
    </row>
    <row r="151" spans="7:7">
      <c r="G151" s="682"/>
    </row>
    <row r="152" spans="7:7">
      <c r="G152" s="682"/>
    </row>
    <row r="153" spans="7:7">
      <c r="G153" s="682"/>
    </row>
    <row r="154" spans="7:7">
      <c r="G154" s="682"/>
    </row>
    <row r="155" spans="7:7">
      <c r="G155" s="682"/>
    </row>
    <row r="156" spans="7:7">
      <c r="G156" s="682"/>
    </row>
  </sheetData>
  <mergeCells count="8">
    <mergeCell ref="A84:H84"/>
    <mergeCell ref="A85:H85"/>
    <mergeCell ref="A1:H1"/>
    <mergeCell ref="A2:H2"/>
    <mergeCell ref="A3:H3"/>
    <mergeCell ref="A4:H4"/>
    <mergeCell ref="A82:H82"/>
    <mergeCell ref="A83:H83"/>
  </mergeCells>
  <printOptions horizontalCentered="1"/>
  <pageMargins left="0.5" right="0.5" top="0.5" bottom="0.5" header="0.3" footer="0.3"/>
  <pageSetup scale="66" fitToHeight="2" orientation="portrait" r:id="rId1"/>
  <rowBreaks count="1" manualBreakCount="1">
    <brk id="81"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C83"/>
  <sheetViews>
    <sheetView topLeftCell="A11" zoomScaleNormal="100" zoomScaleSheetLayoutView="100" workbookViewId="0">
      <selection activeCell="C38" sqref="C38"/>
    </sheetView>
  </sheetViews>
  <sheetFormatPr defaultColWidth="9.6640625" defaultRowHeight="10.5"/>
  <cols>
    <col min="1" max="1" width="25.6640625" style="528" customWidth="1"/>
    <col min="2" max="2" width="3.5" style="528" customWidth="1"/>
    <col min="3" max="3" width="149" style="528" bestFit="1" customWidth="1"/>
    <col min="4" max="4" width="6.6640625" style="528" customWidth="1"/>
    <col min="5" max="16384" width="9.6640625" style="528"/>
  </cols>
  <sheetData>
    <row r="1" spans="1:3" ht="12.75">
      <c r="A1" s="286" t="s">
        <v>358</v>
      </c>
      <c r="B1" s="255"/>
      <c r="C1" s="255"/>
    </row>
    <row r="2" spans="1:3" ht="12.75">
      <c r="A2" s="255"/>
      <c r="B2" s="255"/>
      <c r="C2" s="255"/>
    </row>
    <row r="3" spans="1:3" ht="12.75">
      <c r="A3" s="255"/>
      <c r="B3" s="255"/>
      <c r="C3" s="255"/>
    </row>
    <row r="4" spans="1:3" ht="12.75">
      <c r="A4" s="255"/>
      <c r="B4" s="255"/>
      <c r="C4" s="255"/>
    </row>
    <row r="5" spans="1:3" ht="12.75">
      <c r="A5" s="1323" t="s">
        <v>54</v>
      </c>
      <c r="B5" s="1323"/>
      <c r="C5" s="1323"/>
    </row>
    <row r="6" spans="1:3" ht="12.75">
      <c r="A6" s="255"/>
      <c r="B6" s="255"/>
      <c r="C6" s="255"/>
    </row>
    <row r="7" spans="1:3" ht="12.75">
      <c r="A7" s="1323" t="s">
        <v>55</v>
      </c>
      <c r="B7" s="1323"/>
      <c r="C7" s="1323"/>
    </row>
    <row r="8" spans="1:3" ht="12.75">
      <c r="A8" s="255"/>
      <c r="B8" s="255"/>
      <c r="C8" s="255"/>
    </row>
    <row r="9" spans="1:3" ht="12.75">
      <c r="A9" s="1323" t="str">
        <f>'General Headers Index'!B4</f>
        <v>COLUMBIA GAS OF KENTUCKY, INC.</v>
      </c>
      <c r="B9" s="1323"/>
      <c r="C9" s="1323"/>
    </row>
    <row r="10" spans="1:3" ht="12.75">
      <c r="A10" s="255"/>
      <c r="B10" s="255"/>
      <c r="C10" s="255"/>
    </row>
    <row r="11" spans="1:3" ht="12.75">
      <c r="A11" s="1323" t="str">
        <f>'General Headers Index'!B6</f>
        <v>CASE NO. 2024 - 00092</v>
      </c>
      <c r="B11" s="1323"/>
      <c r="C11" s="1323"/>
    </row>
    <row r="12" spans="1:3" ht="12.75">
      <c r="A12" s="255"/>
      <c r="B12" s="255"/>
      <c r="C12" s="255"/>
    </row>
    <row r="13" spans="1:3" ht="12.75">
      <c r="A13" s="255"/>
      <c r="B13" s="255"/>
      <c r="C13" s="255"/>
    </row>
    <row r="14" spans="1:3" ht="12.75">
      <c r="A14" s="255"/>
      <c r="B14" s="255"/>
      <c r="C14" s="255"/>
    </row>
    <row r="15" spans="1:3" ht="12.75">
      <c r="A15" s="255"/>
      <c r="B15" s="255"/>
      <c r="C15" s="255"/>
    </row>
    <row r="16" spans="1:3" ht="12.75">
      <c r="A16" s="286" t="s">
        <v>97</v>
      </c>
      <c r="B16" s="255"/>
      <c r="C16" s="286" t="str">
        <f>'General Headers Index'!B8</f>
        <v>FOR THE TWELVE MONTHS ENDED AUGUST 31, 2024</v>
      </c>
    </row>
    <row r="17" spans="1:3" ht="12.75">
      <c r="A17" s="255"/>
      <c r="B17" s="255"/>
      <c r="C17" s="255"/>
    </row>
    <row r="18" spans="1:3" ht="12.75">
      <c r="A18" s="286" t="s">
        <v>684</v>
      </c>
      <c r="B18" s="255"/>
      <c r="C18" s="286" t="str">
        <f>'General Headers Index'!B15</f>
        <v>FOR THE TWELVE MONTHS ENDED DECEMBER 31, 2025</v>
      </c>
    </row>
    <row r="19" spans="1:3" ht="12.75">
      <c r="A19" s="255"/>
      <c r="B19" s="255"/>
      <c r="C19" s="255"/>
    </row>
    <row r="20" spans="1:3" ht="12.75">
      <c r="A20" s="255"/>
      <c r="B20" s="255"/>
      <c r="C20" s="255"/>
    </row>
    <row r="21" spans="1:3" ht="12.75">
      <c r="A21" s="289" t="s">
        <v>314</v>
      </c>
      <c r="B21" s="288"/>
      <c r="C21" s="287" t="s">
        <v>451</v>
      </c>
    </row>
    <row r="22" spans="1:3" ht="12.75">
      <c r="A22" s="255"/>
      <c r="B22" s="255"/>
      <c r="C22" s="255"/>
    </row>
    <row r="23" spans="1:3" ht="12.75">
      <c r="A23" s="254" t="s">
        <v>3012</v>
      </c>
      <c r="B23" s="255"/>
      <c r="C23" s="255" t="s">
        <v>2678</v>
      </c>
    </row>
    <row r="24" spans="1:3" ht="12.75">
      <c r="A24" s="254" t="s">
        <v>3013</v>
      </c>
      <c r="B24" s="255"/>
      <c r="C24" s="255" t="s">
        <v>2679</v>
      </c>
    </row>
    <row r="25" spans="1:3" ht="12.75">
      <c r="A25" s="254" t="s">
        <v>3014</v>
      </c>
      <c r="B25" s="255"/>
      <c r="C25" s="255" t="s">
        <v>2680</v>
      </c>
    </row>
    <row r="26" spans="1:3" ht="12.75">
      <c r="A26" s="254" t="s">
        <v>1024</v>
      </c>
      <c r="B26" s="255"/>
      <c r="C26" s="255" t="s">
        <v>2681</v>
      </c>
    </row>
    <row r="27" spans="1:3" ht="12.75">
      <c r="A27" s="254" t="s">
        <v>3015</v>
      </c>
      <c r="B27" s="255"/>
      <c r="C27" s="255" t="s">
        <v>2682</v>
      </c>
    </row>
    <row r="28" spans="1:3" ht="12.75">
      <c r="A28" s="254" t="s">
        <v>3016</v>
      </c>
      <c r="B28" s="255"/>
      <c r="C28" s="255" t="s">
        <v>2683</v>
      </c>
    </row>
    <row r="29" spans="1:3" ht="12.75">
      <c r="A29" s="254" t="s">
        <v>3017</v>
      </c>
      <c r="B29" s="255"/>
      <c r="C29" s="255" t="s">
        <v>2684</v>
      </c>
    </row>
    <row r="30" spans="1:3" ht="12.75">
      <c r="A30" s="254" t="s">
        <v>3018</v>
      </c>
      <c r="B30" s="255"/>
      <c r="C30" s="255" t="s">
        <v>2700</v>
      </c>
    </row>
    <row r="31" spans="1:3" ht="12.75">
      <c r="A31" s="254" t="s">
        <v>2631</v>
      </c>
      <c r="B31" s="255"/>
      <c r="C31" s="255" t="s">
        <v>2686</v>
      </c>
    </row>
    <row r="32" spans="1:3" ht="12.75">
      <c r="A32" s="254" t="s">
        <v>3019</v>
      </c>
      <c r="B32" s="255"/>
      <c r="C32" s="255" t="s">
        <v>2687</v>
      </c>
    </row>
    <row r="33" spans="1:3" ht="12.75">
      <c r="A33" s="254" t="s">
        <v>3020</v>
      </c>
      <c r="B33" s="255"/>
      <c r="C33" s="255" t="s">
        <v>2688</v>
      </c>
    </row>
    <row r="34" spans="1:3" ht="12.75">
      <c r="A34" s="254" t="s">
        <v>3021</v>
      </c>
      <c r="B34" s="255"/>
      <c r="C34" s="255" t="s">
        <v>2689</v>
      </c>
    </row>
    <row r="35" spans="1:3" ht="12.75">
      <c r="A35" s="254" t="s">
        <v>3022</v>
      </c>
      <c r="B35" s="255"/>
      <c r="C35" s="255" t="s">
        <v>2690</v>
      </c>
    </row>
    <row r="36" spans="1:3" ht="12.75">
      <c r="A36" s="254" t="s">
        <v>3023</v>
      </c>
      <c r="B36" s="255"/>
      <c r="C36" s="255" t="s">
        <v>2691</v>
      </c>
    </row>
    <row r="37" spans="1:3" ht="12.75">
      <c r="A37" s="254" t="s">
        <v>3024</v>
      </c>
      <c r="B37" s="255"/>
      <c r="C37" s="255" t="s">
        <v>2692</v>
      </c>
    </row>
    <row r="38" spans="1:3" ht="12.75">
      <c r="A38" s="254" t="s">
        <v>3025</v>
      </c>
      <c r="B38" s="255"/>
      <c r="C38" s="255" t="s">
        <v>2693</v>
      </c>
    </row>
    <row r="39" spans="1:3" ht="12.75">
      <c r="A39" s="254" t="s">
        <v>3026</v>
      </c>
      <c r="B39" s="255"/>
      <c r="C39" s="255" t="s">
        <v>2694</v>
      </c>
    </row>
    <row r="40" spans="1:3" ht="12.75">
      <c r="A40" s="254" t="s">
        <v>3027</v>
      </c>
      <c r="B40" s="255"/>
      <c r="C40" s="255" t="s">
        <v>2695</v>
      </c>
    </row>
    <row r="41" spans="1:3" ht="12.75">
      <c r="A41" s="254" t="s">
        <v>3028</v>
      </c>
      <c r="B41" s="255"/>
      <c r="C41" s="255" t="s">
        <v>2696</v>
      </c>
    </row>
    <row r="42" spans="1:3" ht="12.75">
      <c r="A42" s="254" t="s">
        <v>3029</v>
      </c>
      <c r="B42" s="255"/>
      <c r="C42" s="255" t="s">
        <v>2697</v>
      </c>
    </row>
    <row r="43" spans="1:3" ht="12.75">
      <c r="A43" s="254" t="s">
        <v>3030</v>
      </c>
      <c r="B43" s="255"/>
      <c r="C43" s="255" t="s">
        <v>2698</v>
      </c>
    </row>
    <row r="44" spans="1:3" ht="12.75">
      <c r="A44" s="254" t="s">
        <v>3031</v>
      </c>
      <c r="B44" s="255"/>
      <c r="C44" s="255" t="s">
        <v>2699</v>
      </c>
    </row>
    <row r="45" spans="1:3" ht="12.75">
      <c r="A45" s="254" t="s">
        <v>1025</v>
      </c>
      <c r="B45" s="255"/>
      <c r="C45" s="255" t="s">
        <v>2632</v>
      </c>
    </row>
    <row r="46" spans="1:3" ht="11.25">
      <c r="A46" s="546"/>
      <c r="B46" s="546"/>
      <c r="C46" s="546"/>
    </row>
    <row r="47" spans="1:3" ht="11.25">
      <c r="A47" s="546"/>
      <c r="B47" s="546"/>
      <c r="C47" s="546"/>
    </row>
    <row r="48" spans="1:3" ht="11.25">
      <c r="A48" s="546"/>
      <c r="B48" s="546"/>
      <c r="C48" s="546"/>
    </row>
    <row r="49" spans="1:3" ht="11.25">
      <c r="A49" s="546"/>
      <c r="B49" s="546"/>
      <c r="C49" s="546"/>
    </row>
    <row r="50" spans="1:3" ht="11.25">
      <c r="A50" s="546"/>
      <c r="B50" s="546"/>
      <c r="C50" s="546"/>
    </row>
    <row r="51" spans="1:3" ht="11.25">
      <c r="A51" s="546"/>
      <c r="B51" s="546"/>
      <c r="C51" s="546"/>
    </row>
    <row r="52" spans="1:3" ht="11.25">
      <c r="A52" s="546"/>
      <c r="B52" s="546"/>
      <c r="C52" s="546"/>
    </row>
    <row r="53" spans="1:3" ht="11.25">
      <c r="A53" s="546"/>
      <c r="B53" s="546"/>
      <c r="C53" s="546"/>
    </row>
    <row r="54" spans="1:3" ht="11.25">
      <c r="A54" s="546"/>
      <c r="B54" s="546"/>
      <c r="C54" s="546"/>
    </row>
    <row r="55" spans="1:3" ht="11.25">
      <c r="A55" s="546"/>
      <c r="B55" s="546"/>
      <c r="C55" s="546"/>
    </row>
    <row r="56" spans="1:3" ht="11.25">
      <c r="A56" s="546"/>
      <c r="B56" s="546"/>
      <c r="C56" s="546"/>
    </row>
    <row r="57" spans="1:3" ht="11.25">
      <c r="A57" s="546"/>
      <c r="B57" s="546"/>
      <c r="C57" s="546"/>
    </row>
    <row r="58" spans="1:3" ht="11.25">
      <c r="A58" s="546"/>
      <c r="B58" s="546"/>
      <c r="C58" s="546"/>
    </row>
    <row r="59" spans="1:3" ht="11.25">
      <c r="A59" s="546"/>
      <c r="B59" s="546"/>
      <c r="C59" s="546"/>
    </row>
    <row r="60" spans="1:3" ht="11.25">
      <c r="A60" s="546"/>
      <c r="B60" s="546"/>
      <c r="C60" s="546"/>
    </row>
    <row r="61" spans="1:3" ht="11.25">
      <c r="A61" s="546"/>
      <c r="B61" s="546"/>
      <c r="C61" s="546"/>
    </row>
    <row r="62" spans="1:3" ht="11.25">
      <c r="A62" s="546"/>
      <c r="B62" s="546"/>
      <c r="C62" s="546"/>
    </row>
    <row r="63" spans="1:3" ht="11.25">
      <c r="A63" s="546"/>
      <c r="B63" s="546"/>
      <c r="C63" s="546"/>
    </row>
    <row r="64" spans="1:3" ht="11.25">
      <c r="A64" s="546"/>
      <c r="B64" s="546"/>
      <c r="C64" s="546"/>
    </row>
    <row r="65" spans="1:3" ht="11.25">
      <c r="A65" s="546"/>
      <c r="B65" s="546"/>
      <c r="C65" s="546"/>
    </row>
    <row r="66" spans="1:3" ht="11.25">
      <c r="A66" s="546"/>
      <c r="B66" s="546"/>
      <c r="C66" s="546"/>
    </row>
    <row r="67" spans="1:3" ht="11.25">
      <c r="A67" s="546"/>
      <c r="B67" s="546"/>
      <c r="C67" s="546"/>
    </row>
    <row r="68" spans="1:3" ht="11.25">
      <c r="A68" s="546"/>
      <c r="B68" s="546"/>
      <c r="C68" s="546"/>
    </row>
    <row r="69" spans="1:3" ht="11.25">
      <c r="A69" s="546"/>
      <c r="B69" s="546"/>
      <c r="C69" s="546"/>
    </row>
    <row r="70" spans="1:3" ht="11.25">
      <c r="A70" s="546"/>
      <c r="B70" s="546"/>
      <c r="C70" s="546"/>
    </row>
    <row r="71" spans="1:3" ht="11.25">
      <c r="A71" s="546"/>
      <c r="B71" s="546"/>
      <c r="C71" s="546"/>
    </row>
    <row r="72" spans="1:3" ht="11.25">
      <c r="A72" s="546"/>
      <c r="B72" s="546"/>
      <c r="C72" s="546"/>
    </row>
    <row r="73" spans="1:3" ht="11.25">
      <c r="A73" s="546"/>
      <c r="B73" s="546"/>
      <c r="C73" s="546"/>
    </row>
    <row r="74" spans="1:3" ht="11.25">
      <c r="A74" s="546"/>
      <c r="B74" s="546"/>
      <c r="C74" s="546"/>
    </row>
    <row r="75" spans="1:3" ht="11.25">
      <c r="A75" s="546"/>
      <c r="B75" s="546"/>
      <c r="C75" s="546"/>
    </row>
    <row r="76" spans="1:3" ht="11.25">
      <c r="A76" s="546"/>
      <c r="B76" s="546"/>
      <c r="C76" s="546"/>
    </row>
    <row r="77" spans="1:3" ht="11.25">
      <c r="A77" s="546"/>
      <c r="B77" s="546"/>
      <c r="C77" s="546"/>
    </row>
    <row r="78" spans="1:3" ht="11.25">
      <c r="A78" s="546"/>
      <c r="B78" s="546"/>
      <c r="C78" s="546"/>
    </row>
    <row r="79" spans="1:3" ht="11.25">
      <c r="A79" s="546"/>
      <c r="B79" s="546"/>
      <c r="C79" s="546"/>
    </row>
    <row r="80" spans="1:3" ht="11.25">
      <c r="A80" s="546"/>
      <c r="B80" s="546"/>
      <c r="C80" s="546"/>
    </row>
    <row r="81" spans="1:3" ht="11.25">
      <c r="A81" s="546"/>
      <c r="B81" s="546"/>
      <c r="C81" s="546"/>
    </row>
    <row r="82" spans="1:3" ht="11.25">
      <c r="A82" s="546"/>
      <c r="B82" s="546"/>
      <c r="C82" s="546"/>
    </row>
    <row r="83" spans="1:3" ht="11.25">
      <c r="A83" s="546"/>
      <c r="B83" s="546"/>
      <c r="C83" s="546"/>
    </row>
  </sheetData>
  <mergeCells count="4">
    <mergeCell ref="A5:C5"/>
    <mergeCell ref="A7:C7"/>
    <mergeCell ref="A9:C9"/>
    <mergeCell ref="A11:C11"/>
  </mergeCells>
  <printOptions horizontalCentered="1"/>
  <pageMargins left="0.5" right="0.5" top="0.75" bottom="0.5" header="0.3" footer="0.3"/>
  <pageSetup scale="9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T83"/>
  <sheetViews>
    <sheetView topLeftCell="A60" zoomScaleNormal="100" zoomScaleSheetLayoutView="100" workbookViewId="0">
      <selection activeCell="E78" sqref="E78:K83"/>
    </sheetView>
  </sheetViews>
  <sheetFormatPr defaultColWidth="9.33203125" defaultRowHeight="12.75"/>
  <cols>
    <col min="1" max="1" width="6.5" style="218" customWidth="1"/>
    <col min="2" max="2" width="1.6640625" style="218" customWidth="1"/>
    <col min="3" max="3" width="10.83203125" style="218" bestFit="1" customWidth="1"/>
    <col min="4" max="4" width="1.6640625" style="218" customWidth="1"/>
    <col min="5" max="5" width="110.83203125" style="218" customWidth="1"/>
    <col min="6" max="6" width="1.6640625" style="218" customWidth="1"/>
    <col min="7" max="7" width="31.83203125" style="218" bestFit="1" customWidth="1"/>
    <col min="8" max="8" width="1.6640625" style="218" customWidth="1"/>
    <col min="9" max="9" width="12.6640625" style="218" bestFit="1" customWidth="1"/>
    <col min="10" max="10" width="1.6640625" style="218" customWidth="1"/>
    <col min="11" max="11" width="16.6640625" style="218" customWidth="1"/>
    <col min="12" max="12" width="2.6640625" style="218" customWidth="1"/>
    <col min="13" max="16384" width="9.33203125" style="218"/>
  </cols>
  <sheetData>
    <row r="1" spans="1:12">
      <c r="A1" s="1320" t="str">
        <f>'General Headers Index'!B4</f>
        <v>COLUMBIA GAS OF KENTUCKY, INC.</v>
      </c>
      <c r="B1" s="1320"/>
      <c r="C1" s="1320"/>
      <c r="D1" s="1320"/>
      <c r="E1" s="1320"/>
      <c r="F1" s="1320"/>
      <c r="G1" s="1320"/>
      <c r="H1" s="1320"/>
      <c r="I1" s="1320"/>
      <c r="J1" s="1320"/>
      <c r="K1" s="1320"/>
    </row>
    <row r="2" spans="1:12">
      <c r="A2" s="1320" t="str">
        <f>'General Headers Index'!B6</f>
        <v>CASE NO. 2024 - 00092</v>
      </c>
      <c r="B2" s="1320"/>
      <c r="C2" s="1320"/>
      <c r="D2" s="1320"/>
      <c r="E2" s="1320"/>
      <c r="F2" s="1320"/>
      <c r="G2" s="1320"/>
      <c r="H2" s="1320"/>
      <c r="I2" s="1320"/>
      <c r="J2" s="1320"/>
      <c r="K2" s="1320"/>
    </row>
    <row r="3" spans="1:12">
      <c r="A3" s="1320" t="str">
        <f>+'Index F'!C23</f>
        <v>TOTAL COMPANY CORPORATE DUES AND MEMBERSHIPS</v>
      </c>
      <c r="B3" s="1320"/>
      <c r="C3" s="1320"/>
      <c r="D3" s="1320"/>
      <c r="E3" s="1320"/>
      <c r="F3" s="1320"/>
      <c r="G3" s="1320"/>
      <c r="H3" s="1320"/>
      <c r="I3" s="1320"/>
      <c r="J3" s="1320"/>
      <c r="K3" s="1320"/>
      <c r="L3" s="1161"/>
    </row>
    <row r="4" spans="1:12">
      <c r="A4" s="1320" t="str">
        <f>'General Headers Index'!B9</f>
        <v>BASE PERIOD: TWELVE MONTHS ENDED AUGUST 31, 2024</v>
      </c>
      <c r="B4" s="1320"/>
      <c r="C4" s="1320"/>
      <c r="D4" s="1320"/>
      <c r="E4" s="1320"/>
      <c r="F4" s="1320"/>
      <c r="G4" s="1320"/>
      <c r="H4" s="1320"/>
      <c r="I4" s="1320"/>
      <c r="J4" s="1320"/>
      <c r="K4" s="1320"/>
    </row>
    <row r="5" spans="1:12">
      <c r="A5" s="1320" t="str">
        <f>'General Headers Index'!B16</f>
        <v>FORECASTED TEST PERIOD: TWELVE MONTHS ENDED DECEMBER 31, 2025</v>
      </c>
      <c r="B5" s="1320"/>
      <c r="C5" s="1320"/>
      <c r="D5" s="1320"/>
      <c r="E5" s="1320"/>
      <c r="F5" s="1320"/>
      <c r="G5" s="1320"/>
      <c r="H5" s="1320"/>
      <c r="I5" s="1320"/>
      <c r="J5" s="1320"/>
      <c r="K5" s="1320"/>
    </row>
    <row r="6" spans="1:12">
      <c r="A6" s="219"/>
      <c r="B6" s="219"/>
      <c r="C6" s="219"/>
      <c r="D6" s="219"/>
      <c r="E6" s="219"/>
      <c r="F6" s="219"/>
      <c r="G6" s="219"/>
      <c r="H6" s="219"/>
      <c r="I6" s="219"/>
      <c r="J6" s="219"/>
      <c r="K6" s="219"/>
      <c r="L6" s="219"/>
    </row>
    <row r="8" spans="1:12">
      <c r="A8" s="218" t="s">
        <v>2786</v>
      </c>
      <c r="K8" s="271" t="s">
        <v>3003</v>
      </c>
      <c r="L8" s="271"/>
    </row>
    <row r="9" spans="1:12">
      <c r="A9" s="218" t="str">
        <f>'General Headers Index'!B37</f>
        <v>TYPE OF FILING:___X___ORIGINAL______UPDATED</v>
      </c>
      <c r="K9" s="271" t="s">
        <v>57</v>
      </c>
      <c r="L9" s="271"/>
    </row>
    <row r="10" spans="1:12">
      <c r="A10" s="218" t="s">
        <v>58</v>
      </c>
      <c r="K10" s="271" t="str">
        <f>"WITNESSES: "&amp;'General Headers Index'!B59</f>
        <v>WITNESSES: SHAEFFER</v>
      </c>
      <c r="L10" s="271"/>
    </row>
    <row r="11" spans="1:12">
      <c r="K11" s="271" t="str">
        <f>"           "&amp;'General Headers Index'!B60</f>
        <v xml:space="preserve">           INSCHO</v>
      </c>
      <c r="L11" s="271"/>
    </row>
    <row r="12" spans="1:12">
      <c r="K12" s="271" t="str">
        <f>"           "&amp;'General Headers Index'!B61</f>
        <v xml:space="preserve">           KING</v>
      </c>
      <c r="L12" s="271"/>
    </row>
    <row r="13" spans="1:12">
      <c r="K13" s="271" t="str">
        <f>"           "&amp;'General Headers Index'!B62</f>
        <v xml:space="preserve">           BLY</v>
      </c>
      <c r="L13" s="271"/>
    </row>
    <row r="14" spans="1:12">
      <c r="A14" s="880"/>
      <c r="B14" s="880"/>
      <c r="C14" s="880"/>
      <c r="D14" s="880"/>
      <c r="E14" s="880"/>
      <c r="F14" s="880"/>
      <c r="G14" s="880"/>
      <c r="H14" s="880"/>
      <c r="I14" s="880"/>
      <c r="J14" s="880"/>
      <c r="K14" s="271"/>
    </row>
    <row r="15" spans="1:12">
      <c r="I15" s="272" t="s">
        <v>315</v>
      </c>
      <c r="J15" s="273"/>
      <c r="K15" s="273" t="s">
        <v>651</v>
      </c>
    </row>
    <row r="16" spans="1:12">
      <c r="A16" s="219" t="s">
        <v>313</v>
      </c>
      <c r="B16" s="219"/>
      <c r="C16" s="219" t="s">
        <v>1006</v>
      </c>
      <c r="G16" s="219"/>
      <c r="I16" s="219" t="s">
        <v>319</v>
      </c>
      <c r="J16" s="219"/>
      <c r="K16" s="219" t="s">
        <v>319</v>
      </c>
    </row>
    <row r="17" spans="1:11">
      <c r="A17" s="879" t="s">
        <v>316</v>
      </c>
      <c r="B17" s="879"/>
      <c r="C17" s="879" t="s">
        <v>574</v>
      </c>
      <c r="D17" s="880"/>
      <c r="E17" s="879" t="s">
        <v>59</v>
      </c>
      <c r="F17" s="879"/>
      <c r="G17" s="879" t="s">
        <v>318</v>
      </c>
      <c r="H17" s="880"/>
      <c r="I17" s="879" t="s">
        <v>444</v>
      </c>
      <c r="J17" s="879"/>
      <c r="K17" s="879" t="s">
        <v>444</v>
      </c>
    </row>
    <row r="18" spans="1:11">
      <c r="A18" s="270"/>
      <c r="B18" s="273"/>
      <c r="C18" s="270" t="s">
        <v>532</v>
      </c>
      <c r="D18" s="272"/>
      <c r="E18" s="270" t="s">
        <v>541</v>
      </c>
      <c r="F18" s="273"/>
      <c r="G18" s="270" t="s">
        <v>542</v>
      </c>
      <c r="H18" s="272"/>
      <c r="I18" s="270" t="s">
        <v>668</v>
      </c>
      <c r="J18" s="272"/>
      <c r="K18" s="270" t="s">
        <v>669</v>
      </c>
    </row>
    <row r="19" spans="1:11">
      <c r="A19" s="256"/>
      <c r="C19" s="256"/>
      <c r="D19" s="219"/>
      <c r="E19" s="256"/>
      <c r="G19" s="256"/>
      <c r="H19" s="219"/>
      <c r="I19" s="256"/>
      <c r="J19" s="219"/>
      <c r="K19" s="256"/>
    </row>
    <row r="20" spans="1:11">
      <c r="A20" s="219">
        <f>IF(ISBLANK(E20),"",COUNTA($E20:E$20))</f>
        <v>1</v>
      </c>
      <c r="E20" s="260" t="s">
        <v>2704</v>
      </c>
    </row>
    <row r="21" spans="1:11">
      <c r="A21" s="219">
        <f>IF(ISBLANK(E21),"",COUNTA($E$20:E21))</f>
        <v>2</v>
      </c>
      <c r="B21" s="219"/>
      <c r="C21" s="217">
        <v>921</v>
      </c>
      <c r="E21" s="220" t="s">
        <v>2520</v>
      </c>
      <c r="F21" s="220"/>
      <c r="G21" s="217" t="s">
        <v>2661</v>
      </c>
      <c r="I21" s="221">
        <v>1590</v>
      </c>
      <c r="K21" s="222">
        <v>0</v>
      </c>
    </row>
    <row r="22" spans="1:11">
      <c r="A22" s="219">
        <f>IF(ISBLANK(E22),"",COUNTA($E$20:E22))</f>
        <v>3</v>
      </c>
      <c r="B22" s="219"/>
      <c r="C22" s="217">
        <v>921</v>
      </c>
      <c r="E22" s="220" t="s">
        <v>2521</v>
      </c>
      <c r="F22" s="220"/>
      <c r="G22" s="217" t="s">
        <v>2661</v>
      </c>
      <c r="I22" s="223">
        <v>1995</v>
      </c>
      <c r="K22" s="224">
        <v>0</v>
      </c>
    </row>
    <row r="23" spans="1:11">
      <c r="A23" s="219">
        <f>IF(ISBLANK(E23),"",COUNTA($E$20:E23))</f>
        <v>4</v>
      </c>
      <c r="B23" s="219"/>
      <c r="C23" s="217">
        <v>921</v>
      </c>
      <c r="E23" s="229" t="s">
        <v>3099</v>
      </c>
      <c r="F23" s="220"/>
      <c r="G23" s="217" t="s">
        <v>2661</v>
      </c>
      <c r="I23" s="223">
        <v>796</v>
      </c>
      <c r="K23" s="224">
        <v>0</v>
      </c>
    </row>
    <row r="24" spans="1:11">
      <c r="A24" s="219">
        <f>IF(ISBLANK(E24),"",COUNTA($E$20:E24))</f>
        <v>5</v>
      </c>
      <c r="B24" s="219"/>
      <c r="C24" s="217">
        <v>921</v>
      </c>
      <c r="E24" s="220" t="s">
        <v>2522</v>
      </c>
      <c r="F24" s="220"/>
      <c r="G24" s="217" t="s">
        <v>2661</v>
      </c>
      <c r="I24" s="223">
        <v>260</v>
      </c>
      <c r="K24" s="224">
        <v>0</v>
      </c>
    </row>
    <row r="25" spans="1:11">
      <c r="A25" s="219">
        <f>IF(ISBLANK(E25),"",COUNTA($E$20:E25))</f>
        <v>6</v>
      </c>
      <c r="B25" s="219"/>
      <c r="C25" s="217">
        <v>921</v>
      </c>
      <c r="E25" s="220" t="s">
        <v>2523</v>
      </c>
      <c r="F25" s="220"/>
      <c r="G25" s="217" t="s">
        <v>2661</v>
      </c>
      <c r="I25" s="223">
        <v>448</v>
      </c>
      <c r="K25" s="224">
        <v>0</v>
      </c>
    </row>
    <row r="26" spans="1:11">
      <c r="A26" s="219">
        <f>IF(ISBLANK(E26),"",COUNTA($E$20:E26))</f>
        <v>7</v>
      </c>
      <c r="B26" s="219"/>
      <c r="C26" s="217">
        <v>923</v>
      </c>
      <c r="E26" s="220" t="s">
        <v>2521</v>
      </c>
      <c r="F26" s="220"/>
      <c r="G26" s="217" t="s">
        <v>2661</v>
      </c>
      <c r="I26" s="223">
        <v>1400</v>
      </c>
      <c r="K26" s="224">
        <v>0</v>
      </c>
    </row>
    <row r="27" spans="1:11">
      <c r="A27" s="219">
        <f>IF(ISBLANK(E27),"",COUNTA($E$20:E27))</f>
        <v>8</v>
      </c>
      <c r="B27" s="219"/>
      <c r="C27" s="217">
        <v>930.2</v>
      </c>
      <c r="E27" s="220" t="s">
        <v>2524</v>
      </c>
      <c r="F27" s="220"/>
      <c r="G27" s="217" t="s">
        <v>2661</v>
      </c>
      <c r="I27" s="223">
        <v>22138.04</v>
      </c>
      <c r="K27" s="224">
        <v>0</v>
      </c>
    </row>
    <row r="28" spans="1:11">
      <c r="A28" s="219">
        <f>IF(ISBLANK(E28),"",COUNTA($E$20:E28))</f>
        <v>9</v>
      </c>
      <c r="B28" s="219"/>
      <c r="C28" s="217">
        <v>930.2</v>
      </c>
      <c r="E28" s="220" t="s">
        <v>2525</v>
      </c>
      <c r="F28" s="220"/>
      <c r="G28" s="217" t="s">
        <v>2659</v>
      </c>
      <c r="I28" s="223">
        <v>650</v>
      </c>
      <c r="K28" s="224">
        <v>0</v>
      </c>
    </row>
    <row r="29" spans="1:11">
      <c r="A29" s="219">
        <f>IF(ISBLANK(E29),"",COUNTA($E$20:E29))</f>
        <v>10</v>
      </c>
      <c r="B29" s="219"/>
      <c r="C29" s="219">
        <v>930.2</v>
      </c>
      <c r="E29" s="229" t="s">
        <v>3100</v>
      </c>
      <c r="F29" s="220"/>
      <c r="G29" s="217" t="s">
        <v>2661</v>
      </c>
      <c r="I29" s="223">
        <v>749</v>
      </c>
      <c r="K29" s="224">
        <v>0</v>
      </c>
    </row>
    <row r="30" spans="1:11">
      <c r="A30" s="219">
        <f>IF(ISBLANK(E30),"",COUNTA($E$20:E30))</f>
        <v>11</v>
      </c>
      <c r="B30" s="219"/>
      <c r="C30" s="217">
        <v>930.2</v>
      </c>
      <c r="E30" s="220" t="s">
        <v>2526</v>
      </c>
      <c r="F30" s="220"/>
      <c r="G30" s="217" t="s">
        <v>2659</v>
      </c>
      <c r="I30" s="223">
        <v>2219.9499999999998</v>
      </c>
      <c r="K30" s="224">
        <v>0</v>
      </c>
    </row>
    <row r="31" spans="1:11">
      <c r="A31" s="219">
        <f>IF(ISBLANK(E31),"",COUNTA($E$20:E31))</f>
        <v>12</v>
      </c>
      <c r="B31" s="219"/>
      <c r="C31" s="217">
        <v>930.2</v>
      </c>
      <c r="E31" s="220" t="s">
        <v>2527</v>
      </c>
      <c r="F31" s="220"/>
      <c r="G31" s="217" t="s">
        <v>2661</v>
      </c>
      <c r="I31" s="223">
        <v>781</v>
      </c>
      <c r="K31" s="224">
        <v>0</v>
      </c>
    </row>
    <row r="32" spans="1:11">
      <c r="A32" s="219">
        <f>IF(ISBLANK(E32),"",COUNTA($E$20:E32))</f>
        <v>13</v>
      </c>
      <c r="B32" s="219"/>
      <c r="C32" s="219">
        <v>930.2</v>
      </c>
      <c r="E32" s="229" t="s">
        <v>3101</v>
      </c>
      <c r="F32" s="220"/>
      <c r="G32" s="217" t="s">
        <v>2661</v>
      </c>
      <c r="I32" s="223">
        <v>3000</v>
      </c>
      <c r="K32" s="224">
        <v>0</v>
      </c>
    </row>
    <row r="33" spans="1:20">
      <c r="A33" s="219">
        <f>IF(ISBLANK(E33),"",COUNTA($E$20:E33))</f>
        <v>14</v>
      </c>
      <c r="B33" s="219"/>
      <c r="C33" s="217">
        <v>930.2</v>
      </c>
      <c r="E33" s="218" t="s">
        <v>2528</v>
      </c>
      <c r="G33" s="217" t="s">
        <v>2661</v>
      </c>
      <c r="I33" s="223">
        <v>1115</v>
      </c>
      <c r="K33" s="224">
        <v>0</v>
      </c>
    </row>
    <row r="34" spans="1:20">
      <c r="A34" s="219">
        <f>IF(ISBLANK(E34),"",COUNTA($E$20:E34))</f>
        <v>15</v>
      </c>
      <c r="B34" s="219"/>
      <c r="C34" s="217">
        <v>930.2</v>
      </c>
      <c r="E34" s="220" t="s">
        <v>2529</v>
      </c>
      <c r="F34" s="220"/>
      <c r="G34" s="217" t="s">
        <v>2659</v>
      </c>
      <c r="I34" s="223">
        <v>2500</v>
      </c>
      <c r="K34" s="224">
        <v>0</v>
      </c>
    </row>
    <row r="35" spans="1:20">
      <c r="A35" s="219">
        <f>IF(ISBLANK(E35),"",COUNTA($E$20:E35))</f>
        <v>16</v>
      </c>
      <c r="B35" s="219"/>
      <c r="C35" s="217">
        <v>930.2</v>
      </c>
      <c r="E35" s="229" t="s">
        <v>3099</v>
      </c>
      <c r="F35" s="220"/>
      <c r="G35" s="217" t="s">
        <v>2661</v>
      </c>
      <c r="I35" s="223">
        <v>8850</v>
      </c>
      <c r="K35" s="224">
        <v>0</v>
      </c>
    </row>
    <row r="36" spans="1:20">
      <c r="A36" s="219">
        <f>IF(ISBLANK(E36),"",COUNTA($E$20:E36))</f>
        <v>17</v>
      </c>
      <c r="B36" s="219"/>
      <c r="C36" s="217">
        <v>930.2</v>
      </c>
      <c r="E36" s="218" t="s">
        <v>2530</v>
      </c>
      <c r="G36" s="217" t="s">
        <v>2661</v>
      </c>
      <c r="I36" s="223">
        <v>10000</v>
      </c>
      <c r="K36" s="224">
        <v>0</v>
      </c>
    </row>
    <row r="37" spans="1:20">
      <c r="A37" s="219">
        <f>IF(ISBLANK(E37),"",COUNTA($E$20:E37))</f>
        <v>18</v>
      </c>
      <c r="B37" s="219"/>
      <c r="C37" s="219">
        <v>930.2</v>
      </c>
      <c r="E37" s="220" t="s">
        <v>2531</v>
      </c>
      <c r="F37" s="220"/>
      <c r="G37" s="217" t="s">
        <v>2661</v>
      </c>
      <c r="I37" s="223">
        <v>1500</v>
      </c>
      <c r="K37" s="224">
        <v>0</v>
      </c>
      <c r="N37" s="276"/>
      <c r="O37" s="276"/>
      <c r="P37" s="276"/>
      <c r="Q37" s="276"/>
      <c r="R37" s="276"/>
      <c r="S37" s="276"/>
      <c r="T37" s="276"/>
    </row>
    <row r="38" spans="1:20">
      <c r="A38" s="219">
        <f>IF(ISBLANK(E38),"",COUNTA($E$20:E38))</f>
        <v>19</v>
      </c>
      <c r="B38" s="219"/>
      <c r="C38" s="217">
        <v>930.2</v>
      </c>
      <c r="E38" s="220" t="s">
        <v>2664</v>
      </c>
      <c r="F38" s="220"/>
      <c r="G38" s="217" t="s">
        <v>2661</v>
      </c>
      <c r="I38" s="223">
        <v>255</v>
      </c>
      <c r="K38" s="224">
        <v>0</v>
      </c>
      <c r="N38" s="276"/>
      <c r="O38" s="276"/>
      <c r="P38" s="276"/>
      <c r="Q38" s="276"/>
      <c r="R38" s="276"/>
      <c r="S38" s="276"/>
      <c r="T38" s="276"/>
    </row>
    <row r="39" spans="1:20">
      <c r="A39" s="219">
        <f>IF(ISBLANK(E39),"",COUNTA($E$20:E39))</f>
        <v>20</v>
      </c>
      <c r="B39" s="219"/>
      <c r="C39" s="217">
        <v>930.2</v>
      </c>
      <c r="E39" s="220" t="s">
        <v>2532</v>
      </c>
      <c r="F39" s="220"/>
      <c r="G39" s="217" t="s">
        <v>2661</v>
      </c>
      <c r="I39" s="223">
        <v>625</v>
      </c>
      <c r="K39" s="224">
        <v>0</v>
      </c>
      <c r="N39" s="276"/>
      <c r="O39" s="276"/>
      <c r="P39" s="276"/>
      <c r="Q39" s="276"/>
      <c r="R39" s="276"/>
      <c r="S39" s="276"/>
      <c r="T39" s="276"/>
    </row>
    <row r="40" spans="1:20">
      <c r="A40" s="219">
        <f>IF(ISBLANK(E40),"",COUNTA($E$20:E40))</f>
        <v>21</v>
      </c>
      <c r="B40" s="219"/>
      <c r="C40" s="217">
        <v>930.2</v>
      </c>
      <c r="E40" s="220" t="s">
        <v>2533</v>
      </c>
      <c r="F40" s="220"/>
      <c r="G40" s="217" t="s">
        <v>2661</v>
      </c>
      <c r="I40" s="223">
        <v>600</v>
      </c>
      <c r="K40" s="224">
        <v>0</v>
      </c>
      <c r="N40" s="276"/>
      <c r="O40" s="276"/>
      <c r="P40" s="276"/>
      <c r="Q40" s="276"/>
      <c r="R40" s="276"/>
      <c r="S40" s="276"/>
      <c r="T40" s="276"/>
    </row>
    <row r="41" spans="1:20">
      <c r="A41" s="219">
        <f>IF(ISBLANK(E41),"",COUNTA($E$20:E41))</f>
        <v>22</v>
      </c>
      <c r="B41" s="219"/>
      <c r="C41" s="219">
        <v>930.2</v>
      </c>
      <c r="E41" s="220" t="s">
        <v>3102</v>
      </c>
      <c r="F41" s="220"/>
      <c r="G41" s="217" t="s">
        <v>2659</v>
      </c>
      <c r="I41" s="223">
        <v>708.47</v>
      </c>
      <c r="K41" s="224">
        <v>0</v>
      </c>
      <c r="N41" s="276"/>
      <c r="O41" s="276"/>
      <c r="P41" s="276"/>
      <c r="Q41" s="276"/>
      <c r="R41" s="276"/>
      <c r="S41" s="276"/>
      <c r="T41" s="276"/>
    </row>
    <row r="42" spans="1:20">
      <c r="A42" s="219">
        <f>IF(ISBLANK(E42),"",COUNTA($E$20:E42))</f>
        <v>23</v>
      </c>
      <c r="B42" s="219"/>
      <c r="C42" s="217">
        <v>930.2</v>
      </c>
      <c r="E42" s="220" t="s">
        <v>2534</v>
      </c>
      <c r="F42" s="220"/>
      <c r="G42" s="217" t="s">
        <v>2659</v>
      </c>
      <c r="I42" s="223">
        <v>822.5</v>
      </c>
      <c r="K42" s="224">
        <v>0</v>
      </c>
    </row>
    <row r="43" spans="1:20">
      <c r="A43" s="219">
        <f>IF(ISBLANK(E43),"",COUNTA($E$20:E43))</f>
        <v>24</v>
      </c>
      <c r="B43" s="219"/>
      <c r="C43" s="217">
        <v>930.2</v>
      </c>
      <c r="E43" s="229" t="s">
        <v>3103</v>
      </c>
      <c r="F43" s="220"/>
      <c r="G43" s="217" t="s">
        <v>2661</v>
      </c>
      <c r="I43" s="223">
        <v>1050</v>
      </c>
      <c r="K43" s="224">
        <v>0</v>
      </c>
    </row>
    <row r="44" spans="1:20">
      <c r="A44" s="219">
        <f>IF(ISBLANK(E44),"",COUNTA($E$20:E44))</f>
        <v>25</v>
      </c>
      <c r="B44" s="219"/>
      <c r="C44" s="217">
        <v>930.2</v>
      </c>
      <c r="E44" s="218" t="s">
        <v>2535</v>
      </c>
      <c r="G44" s="217" t="s">
        <v>2661</v>
      </c>
      <c r="I44" s="223">
        <v>185.88</v>
      </c>
      <c r="K44" s="224">
        <v>0</v>
      </c>
    </row>
    <row r="45" spans="1:20">
      <c r="A45" s="219">
        <f>IF(ISBLANK(E45),"",COUNTA($E$20:E45))</f>
        <v>26</v>
      </c>
      <c r="B45" s="219"/>
      <c r="C45" s="217">
        <v>930.2</v>
      </c>
      <c r="E45" s="220" t="s">
        <v>2536</v>
      </c>
      <c r="F45" s="220"/>
      <c r="G45" s="217" t="s">
        <v>2661</v>
      </c>
      <c r="I45" s="223">
        <v>1735.36</v>
      </c>
      <c r="K45" s="224">
        <v>0</v>
      </c>
    </row>
    <row r="46" spans="1:20">
      <c r="A46" s="219">
        <f>IF(ISBLANK(E46),"",COUNTA($E$20:E46))</f>
        <v>27</v>
      </c>
      <c r="B46" s="219"/>
      <c r="C46" s="217">
        <v>930.2</v>
      </c>
      <c r="E46" s="220" t="s">
        <v>2537</v>
      </c>
      <c r="F46" s="220"/>
      <c r="G46" s="217" t="s">
        <v>2659</v>
      </c>
      <c r="I46" s="223">
        <v>131.34</v>
      </c>
      <c r="K46" s="224">
        <v>0</v>
      </c>
    </row>
    <row r="47" spans="1:20">
      <c r="A47" s="219">
        <f>IF(ISBLANK(E47),"",COUNTA($E$20:E47))</f>
        <v>28</v>
      </c>
      <c r="B47" s="219"/>
      <c r="C47" s="219">
        <v>930.2</v>
      </c>
      <c r="E47" s="229" t="s">
        <v>3104</v>
      </c>
      <c r="F47" s="220"/>
      <c r="G47" s="217" t="s">
        <v>2661</v>
      </c>
      <c r="I47" s="223">
        <v>500</v>
      </c>
      <c r="K47" s="224">
        <v>0</v>
      </c>
    </row>
    <row r="48" spans="1:20">
      <c r="A48" s="219">
        <f>IF(ISBLANK(E48),"",COUNTA($E$20:E48))</f>
        <v>29</v>
      </c>
      <c r="B48" s="219"/>
      <c r="C48" s="219">
        <v>930.2</v>
      </c>
      <c r="E48" s="229" t="s">
        <v>3105</v>
      </c>
      <c r="F48" s="220"/>
      <c r="G48" s="217" t="s">
        <v>2661</v>
      </c>
      <c r="I48" s="223">
        <v>1275</v>
      </c>
      <c r="K48" s="224">
        <v>0</v>
      </c>
    </row>
    <row r="49" spans="1:11">
      <c r="A49" s="219">
        <f>IF(ISBLANK(E49),"",COUNTA($E$20:E49))</f>
        <v>30</v>
      </c>
      <c r="B49" s="219"/>
      <c r="C49" s="219" t="s">
        <v>62</v>
      </c>
      <c r="E49" s="218" t="s">
        <v>2538</v>
      </c>
      <c r="G49" s="219" t="s">
        <v>2539</v>
      </c>
      <c r="I49" s="1162">
        <v>53844.514941895512</v>
      </c>
      <c r="K49" s="1162">
        <v>109775.78202149492</v>
      </c>
    </row>
    <row r="50" spans="1:11">
      <c r="A50" s="219">
        <f>IF(ISBLANK(E50),"",COUNTA($E$20:E50))</f>
        <v>31</v>
      </c>
      <c r="B50" s="219"/>
      <c r="C50" s="219"/>
      <c r="E50" s="274" t="s">
        <v>2705</v>
      </c>
      <c r="F50" s="261"/>
      <c r="G50" s="261"/>
      <c r="H50" s="262"/>
      <c r="I50" s="275">
        <f>SUM(I21:I49)</f>
        <v>121725.05494189551</v>
      </c>
      <c r="K50" s="275">
        <f>SUM(K21:K49)</f>
        <v>109775.78202149492</v>
      </c>
    </row>
    <row r="51" spans="1:11">
      <c r="A51" s="219" t="str">
        <f>IF(ISBLANK(E51),"",COUNTA($E$20:E51))</f>
        <v/>
      </c>
      <c r="B51" s="219"/>
      <c r="C51" s="219"/>
    </row>
    <row r="52" spans="1:11">
      <c r="A52" s="219">
        <f>IF(ISBLANK(E52),"",COUNTA($E$20:E52))</f>
        <v>32</v>
      </c>
      <c r="B52" s="219"/>
      <c r="C52" s="219"/>
      <c r="E52" s="260" t="s">
        <v>2706</v>
      </c>
    </row>
    <row r="53" spans="1:11">
      <c r="A53" s="219">
        <f>IF(ISBLANK(E53),"",COUNTA($E$20:E53))</f>
        <v>33</v>
      </c>
      <c r="B53" s="219"/>
      <c r="C53" s="219">
        <v>910</v>
      </c>
      <c r="E53" s="276" t="s">
        <v>2540</v>
      </c>
      <c r="G53" s="217" t="s">
        <v>2659</v>
      </c>
      <c r="I53" s="225"/>
      <c r="K53" s="226">
        <v>-26.196750000000002</v>
      </c>
    </row>
    <row r="54" spans="1:11">
      <c r="A54" s="219">
        <f>IF(ISBLANK(E54),"",COUNTA($E$20:E54))</f>
        <v>34</v>
      </c>
      <c r="B54" s="219"/>
      <c r="C54" s="219">
        <v>921</v>
      </c>
      <c r="E54" s="276" t="s">
        <v>2541</v>
      </c>
      <c r="G54" s="217" t="s">
        <v>2661</v>
      </c>
      <c r="I54" s="225"/>
      <c r="K54" s="226">
        <v>-1666.1133000000002</v>
      </c>
    </row>
    <row r="55" spans="1:11">
      <c r="A55" s="219">
        <f>IF(ISBLANK(E55),"",COUNTA($E$20:E55))</f>
        <v>35</v>
      </c>
      <c r="B55" s="219"/>
      <c r="C55" s="219">
        <v>921</v>
      </c>
      <c r="E55" s="276" t="s">
        <v>2542</v>
      </c>
      <c r="G55" s="217" t="s">
        <v>2659</v>
      </c>
      <c r="I55" s="225"/>
      <c r="K55" s="226">
        <v>-4588.62273</v>
      </c>
    </row>
    <row r="56" spans="1:11">
      <c r="A56" s="219">
        <f>IF(ISBLANK(E56),"",COUNTA($E$20:E56))</f>
        <v>36</v>
      </c>
      <c r="B56" s="219"/>
      <c r="C56" s="219">
        <v>921</v>
      </c>
      <c r="E56" s="276" t="s">
        <v>2574</v>
      </c>
      <c r="G56" s="217" t="s">
        <v>2661</v>
      </c>
      <c r="I56" s="225"/>
      <c r="K56" s="226">
        <v>-2090.50065</v>
      </c>
    </row>
    <row r="57" spans="1:11">
      <c r="A57" s="219">
        <f>IF(ISBLANK(E57),"",COUNTA($E$20:E57))</f>
        <v>37</v>
      </c>
      <c r="B57" s="219"/>
      <c r="C57" s="219">
        <v>921</v>
      </c>
      <c r="E57" s="276" t="s">
        <v>2543</v>
      </c>
      <c r="G57" s="217" t="s">
        <v>2661</v>
      </c>
      <c r="I57" s="225"/>
      <c r="K57" s="226">
        <v>-419.14800000000002</v>
      </c>
    </row>
    <row r="58" spans="1:11">
      <c r="A58" s="219">
        <f>IF(ISBLANK(E58),"",COUNTA($E$20:E58))</f>
        <v>38</v>
      </c>
      <c r="B58" s="219"/>
      <c r="C58" s="219">
        <v>921</v>
      </c>
      <c r="E58" s="276" t="s">
        <v>2544</v>
      </c>
      <c r="G58" s="217" t="s">
        <v>2661</v>
      </c>
      <c r="I58" s="225"/>
      <c r="K58" s="226">
        <v>-471.54150000000004</v>
      </c>
    </row>
    <row r="59" spans="1:11">
      <c r="A59" s="219">
        <f>IF(ISBLANK(E59),"",COUNTA($E$20:E59))</f>
        <v>39</v>
      </c>
      <c r="B59" s="219"/>
      <c r="C59" s="219">
        <v>921</v>
      </c>
      <c r="E59" s="276" t="s">
        <v>2576</v>
      </c>
      <c r="G59" s="217" t="s">
        <v>2661</v>
      </c>
      <c r="I59" s="225"/>
      <c r="K59" s="226">
        <v>-469.44576000000006</v>
      </c>
    </row>
    <row r="60" spans="1:11">
      <c r="A60" s="219">
        <f>IF(ISBLANK(E60),"",COUNTA($E$20:E60))</f>
        <v>40</v>
      </c>
      <c r="B60" s="219"/>
      <c r="C60" s="219">
        <v>923</v>
      </c>
      <c r="E60" s="276" t="s">
        <v>2730</v>
      </c>
      <c r="G60" s="217" t="s">
        <v>2659</v>
      </c>
      <c r="I60" s="225"/>
      <c r="K60" s="226">
        <v>-54.489240000000002</v>
      </c>
    </row>
    <row r="61" spans="1:11">
      <c r="A61" s="219">
        <f>IF(ISBLANK(E61),"",COUNTA($E$20:E61))</f>
        <v>41</v>
      </c>
      <c r="B61" s="219"/>
      <c r="C61" s="219">
        <v>923</v>
      </c>
      <c r="E61" s="276" t="s">
        <v>2545</v>
      </c>
      <c r="G61" s="217" t="s">
        <v>2659</v>
      </c>
      <c r="I61" s="225"/>
      <c r="K61" s="226">
        <v>-234.72288000000003</v>
      </c>
    </row>
    <row r="62" spans="1:11">
      <c r="A62" s="219">
        <f>IF(ISBLANK(E62),"",COUNTA($E$20:E62))</f>
        <v>42</v>
      </c>
      <c r="B62" s="219"/>
      <c r="C62" s="219">
        <v>923</v>
      </c>
      <c r="E62" s="276" t="s">
        <v>2546</v>
      </c>
      <c r="G62" s="217" t="s">
        <v>2659</v>
      </c>
      <c r="I62" s="225"/>
      <c r="K62" s="226">
        <v>-383.02042</v>
      </c>
    </row>
    <row r="63" spans="1:11">
      <c r="A63" s="219">
        <f>IF(ISBLANK(E63),"",COUNTA($E$20:E63))</f>
        <v>43</v>
      </c>
      <c r="B63" s="219"/>
      <c r="C63" s="219">
        <v>923</v>
      </c>
      <c r="E63" s="276" t="s">
        <v>2574</v>
      </c>
      <c r="G63" s="217" t="s">
        <v>2661</v>
      </c>
      <c r="I63" s="225"/>
      <c r="K63" s="226">
        <v>-1467.018</v>
      </c>
    </row>
    <row r="64" spans="1:11">
      <c r="A64" s="219">
        <f>IF(ISBLANK(E64),"",COUNTA($E$20:E64))</f>
        <v>44</v>
      </c>
      <c r="B64" s="219"/>
      <c r="C64" s="219">
        <v>923</v>
      </c>
      <c r="E64" s="276" t="s">
        <v>2547</v>
      </c>
      <c r="G64" s="217" t="s">
        <v>2659</v>
      </c>
      <c r="I64" s="225"/>
      <c r="K64" s="226">
        <v>-201.19104000000002</v>
      </c>
    </row>
    <row r="65" spans="1:11">
      <c r="A65" s="219">
        <f>IF(ISBLANK(E65),"",COUNTA($E$20:E65))</f>
        <v>45</v>
      </c>
      <c r="B65" s="219"/>
      <c r="C65" s="219">
        <v>923</v>
      </c>
      <c r="E65" s="276" t="s">
        <v>2548</v>
      </c>
      <c r="G65" s="217" t="s">
        <v>2659</v>
      </c>
      <c r="I65" s="225"/>
      <c r="K65" s="226">
        <v>-162.41985000000003</v>
      </c>
    </row>
    <row r="66" spans="1:11">
      <c r="A66" s="219">
        <f>IF(ISBLANK(E66),"",COUNTA($E$20:E66))</f>
        <v>46</v>
      </c>
      <c r="B66" s="219"/>
      <c r="C66" s="219">
        <v>930.2</v>
      </c>
      <c r="E66" s="276" t="s">
        <v>2549</v>
      </c>
      <c r="G66" s="217" t="s">
        <v>2661</v>
      </c>
      <c r="I66" s="225"/>
      <c r="K66" s="226">
        <v>-1577.0443500000001</v>
      </c>
    </row>
    <row r="67" spans="1:11">
      <c r="A67" s="219">
        <f>IF(ISBLANK(E67),"",COUNTA($E$20:E67))</f>
        <v>47</v>
      </c>
      <c r="B67" s="219"/>
      <c r="C67" s="219">
        <v>930.2</v>
      </c>
      <c r="E67" s="276" t="s">
        <v>2541</v>
      </c>
      <c r="G67" s="217" t="s">
        <v>2661</v>
      </c>
      <c r="I67" s="225"/>
      <c r="K67" s="226">
        <v>-3653.9226900000003</v>
      </c>
    </row>
    <row r="68" spans="1:11">
      <c r="A68" s="219">
        <f>IF(ISBLANK(E68),"",COUNTA($E$20:E68))</f>
        <v>48</v>
      </c>
      <c r="B68" s="219"/>
      <c r="C68" s="219">
        <v>930.2</v>
      </c>
      <c r="E68" s="276" t="s">
        <v>2550</v>
      </c>
      <c r="G68" s="217" t="s">
        <v>2661</v>
      </c>
      <c r="I68" s="225"/>
      <c r="K68" s="226">
        <v>-777.51954000000001</v>
      </c>
    </row>
    <row r="69" spans="1:11">
      <c r="A69" s="219">
        <f>IF(ISBLANK(E69),"",COUNTA($E$20:E69))</f>
        <v>49</v>
      </c>
      <c r="B69" s="219"/>
      <c r="C69" s="219">
        <v>930.2</v>
      </c>
      <c r="E69" s="276" t="s">
        <v>2551</v>
      </c>
      <c r="G69" s="217" t="s">
        <v>2661</v>
      </c>
      <c r="I69" s="225"/>
      <c r="K69" s="224">
        <v>-1571.8050000000001</v>
      </c>
    </row>
    <row r="70" spans="1:11">
      <c r="A70" s="219">
        <f>IF(ISBLANK(E70),"",COUNTA($E$20:E70))</f>
        <v>50</v>
      </c>
      <c r="B70" s="219"/>
      <c r="C70" s="219">
        <v>930.2</v>
      </c>
      <c r="E70" s="276" t="s">
        <v>2552</v>
      </c>
      <c r="G70" s="217" t="s">
        <v>2659</v>
      </c>
      <c r="I70" s="225"/>
      <c r="K70" s="224">
        <v>-601.52525000000003</v>
      </c>
    </row>
    <row r="71" spans="1:11">
      <c r="A71" s="219">
        <f>IF(ISBLANK(E71),"",COUNTA($E$20:E71))</f>
        <v>51</v>
      </c>
      <c r="B71" s="219"/>
      <c r="C71" s="219">
        <v>930.2</v>
      </c>
      <c r="E71" s="276" t="s">
        <v>2553</v>
      </c>
      <c r="G71" s="217" t="s">
        <v>2661</v>
      </c>
      <c r="I71" s="225"/>
      <c r="K71" s="1162">
        <v>-274.54194000000001</v>
      </c>
    </row>
    <row r="72" spans="1:11">
      <c r="A72" s="219">
        <f>IF(ISBLANK(E72),"",COUNTA($E$20:E72))</f>
        <v>52</v>
      </c>
      <c r="B72" s="219"/>
      <c r="C72" s="219"/>
      <c r="E72" s="274" t="s">
        <v>2709</v>
      </c>
      <c r="F72" s="261"/>
      <c r="G72" s="219" t="str">
        <f>G49</f>
        <v>F-1B / F-1C</v>
      </c>
      <c r="I72" s="225"/>
      <c r="K72" s="275">
        <f>SUM(K53:K71)</f>
        <v>-20690.78889</v>
      </c>
    </row>
    <row r="73" spans="1:11">
      <c r="A73" s="219" t="str">
        <f>IF(ISBLANK(E73),"",COUNTA($E$20:E73))</f>
        <v/>
      </c>
      <c r="B73" s="219"/>
      <c r="C73" s="219"/>
      <c r="I73" s="227"/>
      <c r="K73" s="227"/>
    </row>
    <row r="74" spans="1:11">
      <c r="A74" s="219">
        <f>IF(ISBLANK(E74),"",COUNTA($E$20:E74))</f>
        <v>53</v>
      </c>
      <c r="B74" s="219"/>
      <c r="C74" s="219"/>
      <c r="E74" s="218" t="s">
        <v>2708</v>
      </c>
      <c r="F74" s="262"/>
      <c r="I74" s="228">
        <f>I50+I72</f>
        <v>121725.05494189551</v>
      </c>
      <c r="K74" s="228">
        <f>K50+K72+0.5</f>
        <v>89085.493131494921</v>
      </c>
    </row>
    <row r="75" spans="1:11">
      <c r="A75" s="219" t="str">
        <f>IF(ISBLANK(E75),"",COUNTA($E$20:E75))</f>
        <v/>
      </c>
    </row>
    <row r="76" spans="1:11">
      <c r="A76" s="219">
        <f>IF(ISBLANK(E76),"",COUNTA($E$20:E76))</f>
        <v>54</v>
      </c>
      <c r="B76" s="219"/>
      <c r="D76" s="274"/>
      <c r="E76" s="276" t="s">
        <v>2554</v>
      </c>
      <c r="F76" s="276"/>
      <c r="G76" s="276"/>
      <c r="H76" s="276"/>
      <c r="I76" s="276"/>
      <c r="J76" s="276"/>
      <c r="K76" s="276"/>
    </row>
    <row r="77" spans="1:11" ht="13.35" customHeight="1">
      <c r="A77" s="219">
        <f>IF(ISBLANK(E77),"",COUNTA($E$20:E77))</f>
        <v>55</v>
      </c>
      <c r="E77" s="218" t="s">
        <v>2660</v>
      </c>
      <c r="F77" s="276"/>
      <c r="G77" s="276"/>
      <c r="H77" s="276"/>
      <c r="I77" s="276"/>
      <c r="J77" s="276"/>
      <c r="K77" s="276"/>
    </row>
    <row r="78" spans="1:11" ht="12.75" customHeight="1">
      <c r="A78" s="219">
        <f>+A77+1</f>
        <v>56</v>
      </c>
      <c r="E78" s="1334" t="s">
        <v>3115</v>
      </c>
      <c r="F78" s="1334"/>
      <c r="G78" s="1334"/>
      <c r="H78" s="1334"/>
      <c r="I78" s="1334"/>
      <c r="J78" s="1334"/>
      <c r="K78" s="1334"/>
    </row>
    <row r="79" spans="1:11">
      <c r="A79" s="219">
        <f>+A78+1</f>
        <v>57</v>
      </c>
      <c r="E79" s="1334"/>
      <c r="F79" s="1334"/>
      <c r="G79" s="1334"/>
      <c r="H79" s="1334"/>
      <c r="I79" s="1334"/>
      <c r="J79" s="1334"/>
      <c r="K79" s="1334"/>
    </row>
    <row r="80" spans="1:11">
      <c r="A80" s="219">
        <f t="shared" ref="A80:A83" si="0">+A79+1</f>
        <v>58</v>
      </c>
      <c r="E80" s="1334"/>
      <c r="F80" s="1334"/>
      <c r="G80" s="1334"/>
      <c r="H80" s="1334"/>
      <c r="I80" s="1334"/>
      <c r="J80" s="1334"/>
      <c r="K80" s="1334"/>
    </row>
    <row r="81" spans="1:11">
      <c r="A81" s="219">
        <f t="shared" si="0"/>
        <v>59</v>
      </c>
      <c r="E81" s="1334"/>
      <c r="F81" s="1334"/>
      <c r="G81" s="1334"/>
      <c r="H81" s="1334"/>
      <c r="I81" s="1334"/>
      <c r="J81" s="1334"/>
      <c r="K81" s="1334"/>
    </row>
    <row r="82" spans="1:11">
      <c r="A82" s="219">
        <f t="shared" si="0"/>
        <v>60</v>
      </c>
      <c r="E82" s="1334"/>
      <c r="F82" s="1334"/>
      <c r="G82" s="1334"/>
      <c r="H82" s="1334"/>
      <c r="I82" s="1334"/>
      <c r="J82" s="1334"/>
      <c r="K82" s="1334"/>
    </row>
    <row r="83" spans="1:11">
      <c r="A83" s="219">
        <f t="shared" si="0"/>
        <v>61</v>
      </c>
      <c r="E83" s="1334"/>
      <c r="F83" s="1334"/>
      <c r="G83" s="1334"/>
      <c r="H83" s="1334"/>
      <c r="I83" s="1334"/>
      <c r="J83" s="1334"/>
      <c r="K83" s="1334"/>
    </row>
  </sheetData>
  <mergeCells count="6">
    <mergeCell ref="E78:K83"/>
    <mergeCell ref="A1:K1"/>
    <mergeCell ref="A2:K2"/>
    <mergeCell ref="A3:K3"/>
    <mergeCell ref="A4:K4"/>
    <mergeCell ref="A5:K5"/>
  </mergeCells>
  <printOptions horizontalCentered="1"/>
  <pageMargins left="0.5" right="0.5" top="0.75" bottom="0.5" header="0.3" footer="0.3"/>
  <pageSetup scale="6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T67"/>
  <sheetViews>
    <sheetView topLeftCell="A37" zoomScaleNormal="100" zoomScaleSheetLayoutView="100" workbookViewId="0">
      <selection activeCell="A65" sqref="A65:A67"/>
    </sheetView>
  </sheetViews>
  <sheetFormatPr defaultColWidth="9.33203125" defaultRowHeight="12.75"/>
  <cols>
    <col min="1" max="1" width="6.33203125" style="218" customWidth="1"/>
    <col min="2" max="2" width="1.6640625" style="218" customWidth="1"/>
    <col min="3" max="3" width="10.83203125" style="218" bestFit="1" customWidth="1"/>
    <col min="4" max="4" width="1.6640625" style="218" customWidth="1"/>
    <col min="5" max="5" width="94.83203125" style="218" customWidth="1"/>
    <col min="6" max="6" width="1.6640625" style="218" customWidth="1"/>
    <col min="7" max="7" width="41.33203125" style="218" bestFit="1" customWidth="1"/>
    <col min="8" max="8" width="1.6640625" style="218" customWidth="1"/>
    <col min="9" max="9" width="20.5" style="218" customWidth="1"/>
    <col min="10" max="10" width="1.6640625" style="218" customWidth="1"/>
    <col min="11" max="11" width="18.33203125" style="218" customWidth="1"/>
    <col min="12" max="12" width="2.6640625" style="218" customWidth="1"/>
    <col min="13" max="16384" width="9.33203125" style="218"/>
  </cols>
  <sheetData>
    <row r="1" spans="1:12">
      <c r="A1" s="1320" t="str">
        <f>'General Headers Index'!B4</f>
        <v>COLUMBIA GAS OF KENTUCKY, INC.</v>
      </c>
      <c r="B1" s="1320"/>
      <c r="C1" s="1320"/>
      <c r="D1" s="1320"/>
      <c r="E1" s="1320"/>
      <c r="F1" s="1320"/>
      <c r="G1" s="1320"/>
      <c r="H1" s="1320"/>
      <c r="I1" s="1320"/>
      <c r="J1" s="1320"/>
      <c r="K1" s="1320"/>
    </row>
    <row r="2" spans="1:12">
      <c r="A2" s="1320" t="str">
        <f>'General Headers Index'!B6</f>
        <v>CASE NO. 2024 - 00092</v>
      </c>
      <c r="B2" s="1320"/>
      <c r="C2" s="1320"/>
      <c r="D2" s="1320"/>
      <c r="E2" s="1320"/>
      <c r="F2" s="1320"/>
      <c r="G2" s="1320"/>
      <c r="H2" s="1320"/>
      <c r="I2" s="1320"/>
      <c r="J2" s="1320"/>
      <c r="K2" s="1320"/>
    </row>
    <row r="3" spans="1:12">
      <c r="A3" s="1320" t="str">
        <f>+'Index F'!C24</f>
        <v>COMPANY DIRECT CORPORATE DUES AND MEMBERSHIPS</v>
      </c>
      <c r="B3" s="1320"/>
      <c r="C3" s="1320"/>
      <c r="D3" s="1320"/>
      <c r="E3" s="1320"/>
      <c r="F3" s="1320"/>
      <c r="G3" s="1320"/>
      <c r="H3" s="1320"/>
      <c r="I3" s="1320"/>
      <c r="J3" s="1320"/>
      <c r="K3" s="1320"/>
      <c r="L3" s="1161"/>
    </row>
    <row r="4" spans="1:12">
      <c r="A4" s="1320" t="str">
        <f>'General Headers Index'!B9</f>
        <v>BASE PERIOD: TWELVE MONTHS ENDED AUGUST 31, 2024</v>
      </c>
      <c r="B4" s="1320"/>
      <c r="C4" s="1320"/>
      <c r="D4" s="1320"/>
      <c r="E4" s="1320"/>
      <c r="F4" s="1320"/>
      <c r="G4" s="1320"/>
      <c r="H4" s="1320"/>
      <c r="I4" s="1320"/>
      <c r="J4" s="1320"/>
      <c r="K4" s="1320"/>
    </row>
    <row r="5" spans="1:12">
      <c r="A5" s="1320" t="str">
        <f>'General Headers Index'!B16</f>
        <v>FORECASTED TEST PERIOD: TWELVE MONTHS ENDED DECEMBER 31, 2025</v>
      </c>
      <c r="B5" s="1320"/>
      <c r="C5" s="1320"/>
      <c r="D5" s="1320"/>
      <c r="E5" s="1320"/>
      <c r="F5" s="1320"/>
      <c r="G5" s="1320"/>
      <c r="H5" s="1320"/>
      <c r="I5" s="1320"/>
      <c r="J5" s="1320"/>
      <c r="K5" s="1320"/>
    </row>
    <row r="6" spans="1:12">
      <c r="A6" s="219"/>
      <c r="B6" s="219"/>
      <c r="C6" s="219"/>
      <c r="D6" s="219"/>
      <c r="E6" s="219"/>
      <c r="F6" s="219"/>
      <c r="G6" s="219"/>
      <c r="H6" s="219"/>
      <c r="I6" s="219"/>
      <c r="J6" s="219"/>
      <c r="K6" s="219"/>
      <c r="L6" s="219"/>
    </row>
    <row r="8" spans="1:12">
      <c r="A8" s="218" t="s">
        <v>2786</v>
      </c>
      <c r="K8" s="271" t="s">
        <v>3004</v>
      </c>
      <c r="L8" s="271"/>
    </row>
    <row r="9" spans="1:12">
      <c r="A9" s="218" t="str">
        <f>'General Headers Index'!B37</f>
        <v>TYPE OF FILING:___X___ORIGINAL______UPDATED</v>
      </c>
      <c r="K9" s="271" t="s">
        <v>57</v>
      </c>
      <c r="L9" s="271"/>
    </row>
    <row r="10" spans="1:12">
      <c r="A10" s="218" t="s">
        <v>58</v>
      </c>
      <c r="K10" s="271" t="str">
        <f>"WITNESSES: "&amp;'General Headers Index'!B59</f>
        <v>WITNESSES: SHAEFFER</v>
      </c>
      <c r="L10" s="271"/>
    </row>
    <row r="11" spans="1:12">
      <c r="K11" s="271" t="str">
        <f>"           "&amp;'General Headers Index'!B60</f>
        <v xml:space="preserve">           INSCHO</v>
      </c>
      <c r="L11" s="271"/>
    </row>
    <row r="12" spans="1:12">
      <c r="A12" s="880"/>
      <c r="B12" s="880"/>
      <c r="C12" s="880"/>
      <c r="D12" s="880"/>
      <c r="E12" s="880"/>
      <c r="F12" s="880"/>
      <c r="G12" s="880"/>
      <c r="H12" s="880"/>
      <c r="I12" s="880"/>
      <c r="J12" s="880"/>
      <c r="K12" s="880"/>
    </row>
    <row r="13" spans="1:12">
      <c r="I13" s="272" t="s">
        <v>315</v>
      </c>
      <c r="J13" s="273"/>
      <c r="K13" s="272" t="s">
        <v>651</v>
      </c>
    </row>
    <row r="14" spans="1:12">
      <c r="A14" s="219" t="s">
        <v>313</v>
      </c>
      <c r="B14" s="219"/>
      <c r="C14" s="219" t="s">
        <v>1006</v>
      </c>
      <c r="G14" s="219"/>
      <c r="I14" s="219" t="s">
        <v>319</v>
      </c>
      <c r="J14" s="219"/>
      <c r="K14" s="219" t="s">
        <v>319</v>
      </c>
    </row>
    <row r="15" spans="1:12">
      <c r="A15" s="879" t="s">
        <v>316</v>
      </c>
      <c r="B15" s="879"/>
      <c r="C15" s="879" t="s">
        <v>574</v>
      </c>
      <c r="D15" s="880"/>
      <c r="E15" s="879" t="s">
        <v>59</v>
      </c>
      <c r="F15" s="879"/>
      <c r="G15" s="879" t="s">
        <v>318</v>
      </c>
      <c r="H15" s="880"/>
      <c r="I15" s="879" t="s">
        <v>444</v>
      </c>
      <c r="J15" s="879"/>
      <c r="K15" s="879" t="s">
        <v>444</v>
      </c>
    </row>
    <row r="16" spans="1:12">
      <c r="A16" s="270"/>
      <c r="B16" s="273"/>
      <c r="C16" s="270" t="s">
        <v>532</v>
      </c>
      <c r="D16" s="272"/>
      <c r="E16" s="270" t="s">
        <v>541</v>
      </c>
      <c r="F16" s="273"/>
      <c r="G16" s="270" t="s">
        <v>542</v>
      </c>
      <c r="H16" s="272"/>
      <c r="I16" s="270" t="s">
        <v>668</v>
      </c>
      <c r="J16" s="272"/>
      <c r="K16" s="270" t="s">
        <v>669</v>
      </c>
    </row>
    <row r="18" spans="1:11">
      <c r="A18" s="219">
        <f>IF(ISBLANK(E18),"",COUNTA($E18:E$18))</f>
        <v>1</v>
      </c>
      <c r="E18" s="260" t="s">
        <v>2704</v>
      </c>
    </row>
    <row r="19" spans="1:11">
      <c r="A19" s="219">
        <f>IF(ISBLANK(E19),"",COUNTA($E$18:E19))</f>
        <v>2</v>
      </c>
      <c r="B19" s="219"/>
      <c r="C19" s="217">
        <v>921</v>
      </c>
      <c r="D19" s="219"/>
      <c r="E19" s="229" t="s">
        <v>2520</v>
      </c>
      <c r="F19" s="219"/>
      <c r="G19" s="217"/>
      <c r="H19" s="219"/>
      <c r="I19" s="230">
        <v>1590</v>
      </c>
      <c r="J19" s="219"/>
      <c r="K19" s="230">
        <v>0</v>
      </c>
    </row>
    <row r="20" spans="1:11">
      <c r="A20" s="219">
        <f>IF(ISBLANK(E20),"",COUNTA($E$18:E20))</f>
        <v>3</v>
      </c>
      <c r="B20" s="219"/>
      <c r="C20" s="217">
        <v>921</v>
      </c>
      <c r="D20" s="219"/>
      <c r="E20" s="229" t="s">
        <v>2521</v>
      </c>
      <c r="F20" s="219"/>
      <c r="G20" s="217"/>
      <c r="H20" s="219"/>
      <c r="I20" s="231">
        <v>1995</v>
      </c>
      <c r="J20" s="219"/>
      <c r="K20" s="231">
        <v>0</v>
      </c>
    </row>
    <row r="21" spans="1:11">
      <c r="A21" s="219">
        <f>IF(ISBLANK(E21),"",COUNTA($E$18:E21))</f>
        <v>4</v>
      </c>
      <c r="B21" s="219"/>
      <c r="C21" s="217">
        <v>921</v>
      </c>
      <c r="D21" s="219"/>
      <c r="E21" s="229" t="s">
        <v>3099</v>
      </c>
      <c r="F21" s="219"/>
      <c r="G21" s="217"/>
      <c r="H21" s="219"/>
      <c r="I21" s="231">
        <v>796</v>
      </c>
      <c r="J21" s="219"/>
      <c r="K21" s="231">
        <v>0</v>
      </c>
    </row>
    <row r="22" spans="1:11">
      <c r="A22" s="219">
        <f>IF(ISBLANK(E22),"",COUNTA($E$18:E22))</f>
        <v>5</v>
      </c>
      <c r="B22" s="219"/>
      <c r="C22" s="217">
        <v>921</v>
      </c>
      <c r="D22" s="219"/>
      <c r="E22" s="229" t="s">
        <v>2522</v>
      </c>
      <c r="F22" s="219"/>
      <c r="G22" s="217"/>
      <c r="H22" s="219"/>
      <c r="I22" s="231">
        <v>260</v>
      </c>
      <c r="J22" s="219"/>
      <c r="K22" s="231">
        <v>0</v>
      </c>
    </row>
    <row r="23" spans="1:11">
      <c r="A23" s="219">
        <f>IF(ISBLANK(E23),"",COUNTA($E$18:E23))</f>
        <v>6</v>
      </c>
      <c r="B23" s="219"/>
      <c r="C23" s="217">
        <v>921</v>
      </c>
      <c r="D23" s="219"/>
      <c r="E23" s="229" t="s">
        <v>2523</v>
      </c>
      <c r="F23" s="219"/>
      <c r="G23" s="217"/>
      <c r="H23" s="219"/>
      <c r="I23" s="231">
        <v>448</v>
      </c>
      <c r="J23" s="219"/>
      <c r="K23" s="231">
        <v>0</v>
      </c>
    </row>
    <row r="24" spans="1:11">
      <c r="A24" s="219">
        <f>IF(ISBLANK(E24),"",COUNTA($E$18:E24))</f>
        <v>7</v>
      </c>
      <c r="B24" s="219"/>
      <c r="C24" s="217">
        <v>923</v>
      </c>
      <c r="D24" s="219"/>
      <c r="E24" s="229" t="s">
        <v>2521</v>
      </c>
      <c r="F24" s="219"/>
      <c r="G24" s="217"/>
      <c r="H24" s="219"/>
      <c r="I24" s="231">
        <v>1400</v>
      </c>
      <c r="J24" s="219"/>
      <c r="K24" s="231">
        <v>0</v>
      </c>
    </row>
    <row r="25" spans="1:11">
      <c r="A25" s="219">
        <f>IF(ISBLANK(E25),"",COUNTA($E$18:E25))</f>
        <v>8</v>
      </c>
      <c r="B25" s="219"/>
      <c r="C25" s="217">
        <v>930.2</v>
      </c>
      <c r="D25" s="219"/>
      <c r="E25" s="229" t="s">
        <v>2524</v>
      </c>
      <c r="F25" s="219"/>
      <c r="G25" s="217"/>
      <c r="H25" s="219"/>
      <c r="I25" s="231">
        <v>22138.04</v>
      </c>
      <c r="J25" s="219"/>
      <c r="K25" s="231">
        <v>0</v>
      </c>
    </row>
    <row r="26" spans="1:11">
      <c r="A26" s="219">
        <f>IF(ISBLANK(E26),"",COUNTA($E$18:E26))</f>
        <v>9</v>
      </c>
      <c r="B26" s="219"/>
      <c r="C26" s="217">
        <v>930.2</v>
      </c>
      <c r="D26" s="219"/>
      <c r="E26" s="229" t="s">
        <v>3100</v>
      </c>
      <c r="F26" s="219"/>
      <c r="G26" s="217"/>
      <c r="H26" s="219"/>
      <c r="I26" s="231">
        <v>749</v>
      </c>
      <c r="J26" s="219"/>
      <c r="K26" s="231">
        <v>0</v>
      </c>
    </row>
    <row r="27" spans="1:11">
      <c r="A27" s="219">
        <f>IF(ISBLANK(E27),"",COUNTA($E$18:E27))</f>
        <v>10</v>
      </c>
      <c r="B27" s="219"/>
      <c r="C27" s="217">
        <v>930.2</v>
      </c>
      <c r="D27" s="219"/>
      <c r="E27" s="274" t="s">
        <v>2527</v>
      </c>
      <c r="F27" s="219"/>
      <c r="G27" s="217"/>
      <c r="H27" s="219"/>
      <c r="I27" s="231">
        <v>781</v>
      </c>
      <c r="J27" s="219"/>
      <c r="K27" s="231">
        <v>0</v>
      </c>
    </row>
    <row r="28" spans="1:11">
      <c r="A28" s="219">
        <f>IF(ISBLANK(E28),"",COUNTA($E$18:E28))</f>
        <v>11</v>
      </c>
      <c r="B28" s="219"/>
      <c r="C28" s="217">
        <v>930.2</v>
      </c>
      <c r="D28" s="219"/>
      <c r="E28" s="229" t="s">
        <v>3101</v>
      </c>
      <c r="F28" s="219"/>
      <c r="G28" s="217"/>
      <c r="H28" s="219"/>
      <c r="I28" s="231">
        <v>3000</v>
      </c>
      <c r="J28" s="219"/>
      <c r="K28" s="231">
        <v>0</v>
      </c>
    </row>
    <row r="29" spans="1:11">
      <c r="A29" s="219">
        <f>IF(ISBLANK(E29),"",COUNTA($E$18:E29))</f>
        <v>12</v>
      </c>
      <c r="B29" s="219"/>
      <c r="C29" s="217">
        <v>930.2</v>
      </c>
      <c r="D29" s="219"/>
      <c r="E29" s="274" t="s">
        <v>2528</v>
      </c>
      <c r="F29" s="219"/>
      <c r="G29" s="217"/>
      <c r="H29" s="219"/>
      <c r="I29" s="231">
        <v>1115</v>
      </c>
      <c r="J29" s="219"/>
      <c r="K29" s="231">
        <v>0</v>
      </c>
    </row>
    <row r="30" spans="1:11">
      <c r="A30" s="219">
        <f>IF(ISBLANK(E30),"",COUNTA($E$18:E30))</f>
        <v>13</v>
      </c>
      <c r="B30" s="219"/>
      <c r="C30" s="217">
        <v>930.2</v>
      </c>
      <c r="D30" s="219"/>
      <c r="E30" s="229" t="s">
        <v>3099</v>
      </c>
      <c r="F30" s="219"/>
      <c r="G30" s="217"/>
      <c r="H30" s="219"/>
      <c r="I30" s="231">
        <v>8850</v>
      </c>
      <c r="J30" s="219"/>
      <c r="K30" s="231">
        <v>0</v>
      </c>
    </row>
    <row r="31" spans="1:11">
      <c r="A31" s="219">
        <f>IF(ISBLANK(E31),"",COUNTA($E$18:E31))</f>
        <v>14</v>
      </c>
      <c r="B31" s="219"/>
      <c r="C31" s="217">
        <v>930.2</v>
      </c>
      <c r="D31" s="219"/>
      <c r="E31" s="229" t="s">
        <v>2530</v>
      </c>
      <c r="F31" s="219"/>
      <c r="G31" s="217"/>
      <c r="H31" s="219"/>
      <c r="I31" s="231">
        <v>10000</v>
      </c>
      <c r="J31" s="219"/>
      <c r="K31" s="231">
        <v>0</v>
      </c>
    </row>
    <row r="32" spans="1:11">
      <c r="A32" s="219">
        <f>IF(ISBLANK(E32),"",COUNTA($E$18:E32))</f>
        <v>15</v>
      </c>
      <c r="B32" s="219"/>
      <c r="C32" s="217">
        <v>930.2</v>
      </c>
      <c r="D32" s="219"/>
      <c r="E32" s="229" t="s">
        <v>2531</v>
      </c>
      <c r="F32" s="219"/>
      <c r="G32" s="217"/>
      <c r="H32" s="219"/>
      <c r="I32" s="231">
        <v>1500</v>
      </c>
      <c r="J32" s="219"/>
      <c r="K32" s="231">
        <v>0</v>
      </c>
    </row>
    <row r="33" spans="1:20">
      <c r="A33" s="219">
        <f>IF(ISBLANK(E33),"",COUNTA($E$18:E33))</f>
        <v>16</v>
      </c>
      <c r="B33" s="219"/>
      <c r="C33" s="217">
        <v>930.2</v>
      </c>
      <c r="D33" s="219"/>
      <c r="E33" s="220" t="s">
        <v>2664</v>
      </c>
      <c r="F33" s="219"/>
      <c r="G33" s="217"/>
      <c r="H33" s="219"/>
      <c r="I33" s="231">
        <v>255</v>
      </c>
      <c r="J33" s="219"/>
      <c r="K33" s="231">
        <v>0</v>
      </c>
    </row>
    <row r="34" spans="1:20">
      <c r="A34" s="219">
        <f>IF(ISBLANK(E34),"",COUNTA($E$18:E34))</f>
        <v>17</v>
      </c>
      <c r="B34" s="219"/>
      <c r="C34" s="217">
        <v>930.2</v>
      </c>
      <c r="D34" s="219"/>
      <c r="E34" s="274" t="s">
        <v>2532</v>
      </c>
      <c r="F34" s="219"/>
      <c r="G34" s="217"/>
      <c r="H34" s="219"/>
      <c r="I34" s="231">
        <v>625</v>
      </c>
      <c r="J34" s="219"/>
      <c r="K34" s="231">
        <v>0</v>
      </c>
    </row>
    <row r="35" spans="1:20">
      <c r="A35" s="219">
        <f>IF(ISBLANK(E35),"",COUNTA($E$18:E35))</f>
        <v>18</v>
      </c>
      <c r="B35" s="219"/>
      <c r="C35" s="217">
        <v>930.2</v>
      </c>
      <c r="D35" s="219"/>
      <c r="E35" s="229" t="s">
        <v>2533</v>
      </c>
      <c r="F35" s="219"/>
      <c r="G35" s="217"/>
      <c r="H35" s="219"/>
      <c r="I35" s="231">
        <v>600</v>
      </c>
      <c r="J35" s="219"/>
      <c r="K35" s="231">
        <v>0</v>
      </c>
      <c r="N35" s="276"/>
      <c r="O35" s="276"/>
      <c r="P35" s="276"/>
      <c r="Q35" s="276"/>
      <c r="R35" s="276"/>
      <c r="S35" s="276"/>
      <c r="T35" s="276"/>
    </row>
    <row r="36" spans="1:20">
      <c r="A36" s="219">
        <f>IF(ISBLANK(E36),"",COUNTA($E$18:E36))</f>
        <v>19</v>
      </c>
      <c r="B36" s="219"/>
      <c r="C36" s="217">
        <v>930.2</v>
      </c>
      <c r="D36" s="219"/>
      <c r="E36" s="229" t="s">
        <v>3103</v>
      </c>
      <c r="F36" s="219"/>
      <c r="G36" s="217"/>
      <c r="H36" s="219"/>
      <c r="I36" s="231">
        <v>1050</v>
      </c>
      <c r="J36" s="219"/>
      <c r="K36" s="231">
        <v>0</v>
      </c>
      <c r="N36" s="276"/>
      <c r="O36" s="276"/>
      <c r="P36" s="276"/>
      <c r="Q36" s="276"/>
      <c r="R36" s="276"/>
      <c r="S36" s="276"/>
      <c r="T36" s="276"/>
    </row>
    <row r="37" spans="1:20">
      <c r="A37" s="219">
        <f>IF(ISBLANK(E37),"",COUNTA($E$18:E37))</f>
        <v>20</v>
      </c>
      <c r="B37" s="219"/>
      <c r="C37" s="217">
        <v>930.2</v>
      </c>
      <c r="D37" s="219"/>
      <c r="E37" s="229" t="s">
        <v>2535</v>
      </c>
      <c r="F37" s="219"/>
      <c r="G37" s="217"/>
      <c r="H37" s="219"/>
      <c r="I37" s="231">
        <v>185.88</v>
      </c>
      <c r="J37" s="219"/>
      <c r="K37" s="231">
        <v>0</v>
      </c>
      <c r="N37" s="276"/>
      <c r="O37" s="276"/>
      <c r="P37" s="276"/>
      <c r="Q37" s="276"/>
      <c r="R37" s="276"/>
      <c r="S37" s="276"/>
      <c r="T37" s="276"/>
    </row>
    <row r="38" spans="1:20">
      <c r="A38" s="219">
        <f>IF(ISBLANK(E38),"",COUNTA($E$18:E38))</f>
        <v>21</v>
      </c>
      <c r="B38" s="219"/>
      <c r="C38" s="217">
        <v>930.2</v>
      </c>
      <c r="D38" s="219"/>
      <c r="E38" s="229" t="s">
        <v>2536</v>
      </c>
      <c r="F38" s="219"/>
      <c r="G38" s="217"/>
      <c r="H38" s="219"/>
      <c r="I38" s="231">
        <v>1735.36</v>
      </c>
      <c r="J38" s="219"/>
      <c r="K38" s="231">
        <v>0</v>
      </c>
      <c r="N38" s="276"/>
      <c r="O38" s="276"/>
      <c r="P38" s="276"/>
      <c r="Q38" s="276"/>
      <c r="R38" s="276"/>
      <c r="S38" s="276"/>
      <c r="T38" s="276"/>
    </row>
    <row r="39" spans="1:20">
      <c r="A39" s="219">
        <f>IF(ISBLANK(E39),"",COUNTA($E$18:E39))</f>
        <v>22</v>
      </c>
      <c r="B39" s="219"/>
      <c r="C39" s="217">
        <v>930.2</v>
      </c>
      <c r="D39" s="219"/>
      <c r="E39" s="229" t="s">
        <v>3104</v>
      </c>
      <c r="F39" s="219"/>
      <c r="G39" s="217"/>
      <c r="H39" s="219"/>
      <c r="I39" s="231">
        <v>500</v>
      </c>
      <c r="J39" s="219"/>
      <c r="K39" s="231">
        <v>0</v>
      </c>
      <c r="N39" s="276"/>
      <c r="O39" s="276"/>
      <c r="P39" s="276"/>
      <c r="Q39" s="276"/>
      <c r="R39" s="276"/>
      <c r="S39" s="276"/>
      <c r="T39" s="276"/>
    </row>
    <row r="40" spans="1:20">
      <c r="A40" s="219">
        <f>IF(ISBLANK(E40),"",COUNTA($E$18:E40))</f>
        <v>23</v>
      </c>
      <c r="B40" s="219"/>
      <c r="C40" s="217">
        <v>930.2</v>
      </c>
      <c r="D40" s="219"/>
      <c r="E40" s="229" t="s">
        <v>3105</v>
      </c>
      <c r="F40" s="219"/>
      <c r="G40" s="217"/>
      <c r="H40" s="219"/>
      <c r="I40" s="231">
        <v>1275</v>
      </c>
      <c r="J40" s="219"/>
      <c r="K40" s="231">
        <v>0</v>
      </c>
    </row>
    <row r="41" spans="1:20">
      <c r="A41" s="219">
        <f>IF(ISBLANK(E41),"",COUNTA($E$18:E41))</f>
        <v>24</v>
      </c>
      <c r="B41" s="219"/>
      <c r="C41" s="219" t="s">
        <v>62</v>
      </c>
      <c r="D41" s="219"/>
      <c r="E41" s="274" t="s">
        <v>2538</v>
      </c>
      <c r="F41" s="219"/>
      <c r="G41" s="217"/>
      <c r="H41" s="219"/>
      <c r="I41" s="1163">
        <v>51968.039999999994</v>
      </c>
      <c r="J41" s="219"/>
      <c r="K41" s="1163">
        <v>103936.08000000002</v>
      </c>
    </row>
    <row r="42" spans="1:20" ht="13.35" customHeight="1">
      <c r="A42" s="219">
        <f>IF(ISBLANK(E42),"",COUNTA($E$18:E42))</f>
        <v>25</v>
      </c>
      <c r="B42" s="219"/>
      <c r="C42" s="219"/>
      <c r="D42" s="219"/>
      <c r="E42" s="274" t="s">
        <v>2705</v>
      </c>
      <c r="F42" s="219"/>
      <c r="G42" s="217"/>
      <c r="H42" s="219"/>
      <c r="I42" s="277">
        <f>SUM(I19:I41)</f>
        <v>112816.31999999999</v>
      </c>
      <c r="J42" s="219"/>
      <c r="K42" s="277">
        <f>SUM(K19:K41)</f>
        <v>103936.08000000002</v>
      </c>
    </row>
    <row r="43" spans="1:20">
      <c r="A43" s="219" t="str">
        <f>IF(ISBLANK(E43),"",COUNTA($E$18:E43))</f>
        <v/>
      </c>
      <c r="B43" s="219"/>
      <c r="C43" s="219"/>
      <c r="D43" s="219"/>
      <c r="E43" s="274"/>
      <c r="F43" s="219"/>
      <c r="G43" s="217"/>
      <c r="H43" s="219"/>
      <c r="I43" s="219"/>
      <c r="J43" s="219"/>
      <c r="K43" s="219"/>
    </row>
    <row r="44" spans="1:20">
      <c r="A44" s="219">
        <f>IF(ISBLANK(E44),"",COUNTA($E$18:E44))</f>
        <v>26</v>
      </c>
      <c r="B44" s="219"/>
      <c r="C44" s="219"/>
      <c r="D44" s="219"/>
      <c r="E44" s="260" t="s">
        <v>2706</v>
      </c>
      <c r="F44" s="219"/>
      <c r="G44" s="217"/>
      <c r="H44" s="219"/>
      <c r="I44" s="219"/>
      <c r="J44" s="219"/>
      <c r="K44" s="219"/>
    </row>
    <row r="45" spans="1:20">
      <c r="A45" s="219">
        <f>IF(ISBLANK(E45),"",COUNTA($E$18:E45))</f>
        <v>27</v>
      </c>
      <c r="B45" s="219"/>
      <c r="C45" s="219">
        <v>921</v>
      </c>
      <c r="D45" s="219"/>
      <c r="E45" s="278" t="s">
        <v>2541</v>
      </c>
      <c r="F45" s="219"/>
      <c r="G45" s="39" t="str">
        <f>"Workpaper WPD-2.6G Lines 1 &amp; 5 &amp; 6"</f>
        <v>Workpaper WPD-2.6G Lines 1 &amp; 5 &amp; 6</v>
      </c>
      <c r="H45" s="219"/>
      <c r="I45" s="232"/>
      <c r="J45" s="219"/>
      <c r="K45" s="231">
        <v>-1666.1133000000002</v>
      </c>
    </row>
    <row r="46" spans="1:20">
      <c r="A46" s="219">
        <f>IF(ISBLANK(E46),"",COUNTA($E$18:E46))</f>
        <v>28</v>
      </c>
      <c r="B46" s="219"/>
      <c r="C46" s="219">
        <v>921</v>
      </c>
      <c r="D46" s="219"/>
      <c r="E46" s="278" t="s">
        <v>2574</v>
      </c>
      <c r="F46" s="219"/>
      <c r="G46" s="39" t="str">
        <f>$G$45</f>
        <v>Workpaper WPD-2.6G Lines 1 &amp; 5 &amp; 6</v>
      </c>
      <c r="H46" s="219"/>
      <c r="I46" s="232"/>
      <c r="J46" s="219"/>
      <c r="K46" s="231">
        <v>-2090.50065</v>
      </c>
    </row>
    <row r="47" spans="1:20">
      <c r="A47" s="219">
        <f>IF(ISBLANK(E47),"",COUNTA($E$18:E47))</f>
        <v>29</v>
      </c>
      <c r="B47" s="219"/>
      <c r="C47" s="219">
        <v>921</v>
      </c>
      <c r="D47" s="219"/>
      <c r="E47" s="278" t="s">
        <v>2543</v>
      </c>
      <c r="F47" s="219"/>
      <c r="G47" s="39" t="str">
        <f t="shared" ref="G47:G55" si="0">$G$45</f>
        <v>Workpaper WPD-2.6G Lines 1 &amp; 5 &amp; 6</v>
      </c>
      <c r="H47" s="219"/>
      <c r="I47" s="232"/>
      <c r="J47" s="219"/>
      <c r="K47" s="231">
        <v>-419.14800000000002</v>
      </c>
    </row>
    <row r="48" spans="1:20">
      <c r="A48" s="219">
        <f>IF(ISBLANK(E48),"",COUNTA($E$18:E48))</f>
        <v>30</v>
      </c>
      <c r="B48" s="219"/>
      <c r="C48" s="219">
        <v>921</v>
      </c>
      <c r="D48" s="219"/>
      <c r="E48" s="278" t="s">
        <v>2544</v>
      </c>
      <c r="F48" s="219"/>
      <c r="G48" s="39" t="str">
        <f t="shared" si="0"/>
        <v>Workpaper WPD-2.6G Lines 1 &amp; 5 &amp; 6</v>
      </c>
      <c r="H48" s="219"/>
      <c r="I48" s="232"/>
      <c r="J48" s="219"/>
      <c r="K48" s="231">
        <v>-471.54150000000004</v>
      </c>
    </row>
    <row r="49" spans="1:11">
      <c r="A49" s="219">
        <f>IF(ISBLANK(E49),"",COUNTA($E$18:E49))</f>
        <v>31</v>
      </c>
      <c r="B49" s="219"/>
      <c r="C49" s="219">
        <v>921</v>
      </c>
      <c r="D49" s="219"/>
      <c r="E49" s="278" t="s">
        <v>2576</v>
      </c>
      <c r="F49" s="219"/>
      <c r="G49" s="39" t="str">
        <f t="shared" si="0"/>
        <v>Workpaper WPD-2.6G Lines 1 &amp; 5 &amp; 6</v>
      </c>
      <c r="H49" s="219"/>
      <c r="I49" s="232"/>
      <c r="J49" s="219"/>
      <c r="K49" s="231">
        <v>-469.44576000000006</v>
      </c>
    </row>
    <row r="50" spans="1:11">
      <c r="A50" s="219">
        <f>IF(ISBLANK(E50),"",COUNTA($E$18:E50))</f>
        <v>32</v>
      </c>
      <c r="B50" s="219"/>
      <c r="C50" s="219">
        <v>923</v>
      </c>
      <c r="D50" s="219"/>
      <c r="E50" s="278" t="s">
        <v>2574</v>
      </c>
      <c r="F50" s="219"/>
      <c r="G50" s="39" t="str">
        <f t="shared" si="0"/>
        <v>Workpaper WPD-2.6G Lines 1 &amp; 5 &amp; 6</v>
      </c>
      <c r="H50" s="219"/>
      <c r="I50" s="232"/>
      <c r="J50" s="219"/>
      <c r="K50" s="231">
        <v>-1467.018</v>
      </c>
    </row>
    <row r="51" spans="1:11">
      <c r="A51" s="219">
        <f>IF(ISBLANK(E51),"",COUNTA($E$18:E51))</f>
        <v>33</v>
      </c>
      <c r="B51" s="219"/>
      <c r="C51" s="219">
        <v>930.2</v>
      </c>
      <c r="D51" s="219"/>
      <c r="E51" s="278" t="s">
        <v>2549</v>
      </c>
      <c r="F51" s="219"/>
      <c r="G51" s="39" t="str">
        <f t="shared" si="0"/>
        <v>Workpaper WPD-2.6G Lines 1 &amp; 5 &amp; 6</v>
      </c>
      <c r="H51" s="219"/>
      <c r="I51" s="232"/>
      <c r="J51" s="219"/>
      <c r="K51" s="231">
        <v>-1577.0443500000001</v>
      </c>
    </row>
    <row r="52" spans="1:11">
      <c r="A52" s="219">
        <f>IF(ISBLANK(E52),"",COUNTA($E$18:E52))</f>
        <v>34</v>
      </c>
      <c r="B52" s="219"/>
      <c r="C52" s="219">
        <v>930.2</v>
      </c>
      <c r="D52" s="219"/>
      <c r="E52" s="278" t="s">
        <v>2541</v>
      </c>
      <c r="F52" s="219"/>
      <c r="G52" s="39" t="str">
        <f t="shared" si="0"/>
        <v>Workpaper WPD-2.6G Lines 1 &amp; 5 &amp; 6</v>
      </c>
      <c r="H52" s="219"/>
      <c r="I52" s="232"/>
      <c r="J52" s="219"/>
      <c r="K52" s="231">
        <v>-3653.9226900000003</v>
      </c>
    </row>
    <row r="53" spans="1:11">
      <c r="A53" s="219">
        <f>IF(ISBLANK(E53),"",COUNTA($E$18:E53))</f>
        <v>35</v>
      </c>
      <c r="B53" s="219"/>
      <c r="C53" s="219">
        <v>930.2</v>
      </c>
      <c r="D53" s="219"/>
      <c r="E53" s="278" t="s">
        <v>2550</v>
      </c>
      <c r="F53" s="219"/>
      <c r="G53" s="39" t="str">
        <f t="shared" si="0"/>
        <v>Workpaper WPD-2.6G Lines 1 &amp; 5 &amp; 6</v>
      </c>
      <c r="H53" s="219"/>
      <c r="I53" s="232"/>
      <c r="J53" s="219"/>
      <c r="K53" s="231">
        <v>-777.51954000000001</v>
      </c>
    </row>
    <row r="54" spans="1:11">
      <c r="A54" s="219">
        <f>IF(ISBLANK(E54),"",COUNTA($E$18:E54))</f>
        <v>36</v>
      </c>
      <c r="B54" s="219"/>
      <c r="C54" s="219">
        <v>930.2</v>
      </c>
      <c r="D54" s="219"/>
      <c r="E54" s="278" t="s">
        <v>2551</v>
      </c>
      <c r="F54" s="219"/>
      <c r="G54" s="39" t="str">
        <f t="shared" si="0"/>
        <v>Workpaper WPD-2.6G Lines 1 &amp; 5 &amp; 6</v>
      </c>
      <c r="H54" s="219"/>
      <c r="I54" s="232"/>
      <c r="J54" s="219"/>
      <c r="K54" s="231">
        <v>-1571.8050000000001</v>
      </c>
    </row>
    <row r="55" spans="1:11">
      <c r="A55" s="219">
        <f>IF(ISBLANK(E55),"",COUNTA($E$18:E55))</f>
        <v>37</v>
      </c>
      <c r="B55" s="219"/>
      <c r="C55" s="219">
        <v>930.2</v>
      </c>
      <c r="D55" s="219"/>
      <c r="E55" s="278" t="s">
        <v>2553</v>
      </c>
      <c r="F55" s="219"/>
      <c r="G55" s="39" t="str">
        <f t="shared" si="0"/>
        <v>Workpaper WPD-2.6G Lines 1 &amp; 5 &amp; 6</v>
      </c>
      <c r="H55" s="219"/>
      <c r="I55" s="232"/>
      <c r="J55" s="219"/>
      <c r="K55" s="1163">
        <v>-274.54194000000001</v>
      </c>
    </row>
    <row r="56" spans="1:11">
      <c r="A56" s="219">
        <f>IF(ISBLANK(E56),"",COUNTA($E$18:E56))</f>
        <v>38</v>
      </c>
      <c r="B56" s="219"/>
      <c r="C56" s="219"/>
      <c r="D56" s="219"/>
      <c r="E56" s="274" t="s">
        <v>2707</v>
      </c>
      <c r="F56" s="219"/>
      <c r="G56" s="39"/>
      <c r="H56" s="219"/>
      <c r="I56" s="232"/>
      <c r="J56" s="219"/>
      <c r="K56" s="277">
        <f>SUM(K45:K55)</f>
        <v>-14438.60073</v>
      </c>
    </row>
    <row r="57" spans="1:11">
      <c r="A57" s="219" t="str">
        <f>IF(ISBLANK(E57),"",COUNTA($E$18:E57))</f>
        <v/>
      </c>
      <c r="B57" s="219"/>
      <c r="C57" s="219"/>
      <c r="D57" s="219"/>
      <c r="E57" s="274"/>
      <c r="F57" s="219"/>
      <c r="G57" s="219"/>
      <c r="H57" s="219"/>
      <c r="I57" s="233"/>
      <c r="J57" s="219"/>
      <c r="K57" s="233"/>
    </row>
    <row r="58" spans="1:11">
      <c r="A58" s="219">
        <f>IF(ISBLANK(E58),"",COUNTA($E$18:E58))</f>
        <v>39</v>
      </c>
      <c r="B58" s="219"/>
      <c r="C58" s="219"/>
      <c r="D58" s="219"/>
      <c r="E58" s="218" t="s">
        <v>2708</v>
      </c>
      <c r="F58" s="219"/>
      <c r="G58" s="219"/>
      <c r="H58" s="219"/>
      <c r="I58" s="234">
        <f>I42+I56</f>
        <v>112816.31999999999</v>
      </c>
      <c r="J58" s="219"/>
      <c r="K58" s="235">
        <f>K42+K56</f>
        <v>89497.479270000011</v>
      </c>
    </row>
    <row r="59" spans="1:11">
      <c r="A59" s="219" t="str">
        <f>IF(ISBLANK(E59),"",COUNTA($E$18:E59))</f>
        <v/>
      </c>
    </row>
    <row r="60" spans="1:11">
      <c r="A60" s="219">
        <f>IF(ISBLANK(E60),"",COUNTA($E$18:E60))</f>
        <v>40</v>
      </c>
      <c r="B60" s="219"/>
      <c r="D60" s="274"/>
      <c r="E60" s="1337" t="s">
        <v>2554</v>
      </c>
      <c r="F60" s="1337"/>
      <c r="G60" s="1337"/>
      <c r="H60" s="1337"/>
      <c r="I60" s="1337"/>
      <c r="J60" s="1337"/>
      <c r="K60" s="1337"/>
    </row>
    <row r="61" spans="1:11">
      <c r="A61" s="219">
        <f>IF(ISBLANK(E61),"",COUNTA($E$18:E61))</f>
        <v>41</v>
      </c>
      <c r="E61" s="1334" t="s">
        <v>2660</v>
      </c>
      <c r="F61" s="1334"/>
      <c r="G61" s="1334"/>
      <c r="H61" s="1334"/>
      <c r="I61" s="1334"/>
      <c r="J61" s="1334"/>
      <c r="K61" s="1334"/>
    </row>
    <row r="62" spans="1:11" ht="12.75" customHeight="1">
      <c r="A62" s="219">
        <f>+A61+1</f>
        <v>42</v>
      </c>
      <c r="E62" s="1334" t="s">
        <v>3115</v>
      </c>
      <c r="F62" s="1334"/>
      <c r="G62" s="1334"/>
      <c r="H62" s="1334"/>
      <c r="I62" s="1334"/>
      <c r="J62" s="1334"/>
      <c r="K62" s="1334"/>
    </row>
    <row r="63" spans="1:11">
      <c r="A63" s="219">
        <f>+A62+1</f>
        <v>43</v>
      </c>
      <c r="E63" s="1334"/>
      <c r="F63" s="1334"/>
      <c r="G63" s="1334"/>
      <c r="H63" s="1334"/>
      <c r="I63" s="1334"/>
      <c r="J63" s="1334"/>
      <c r="K63" s="1334"/>
    </row>
    <row r="64" spans="1:11">
      <c r="A64" s="219">
        <f t="shared" ref="A64:A67" si="1">+A63+1</f>
        <v>44</v>
      </c>
      <c r="E64" s="1334"/>
      <c r="F64" s="1334"/>
      <c r="G64" s="1334"/>
      <c r="H64" s="1334"/>
      <c r="I64" s="1334"/>
      <c r="J64" s="1334"/>
      <c r="K64" s="1334"/>
    </row>
    <row r="65" spans="1:11">
      <c r="A65" s="219">
        <f t="shared" si="1"/>
        <v>45</v>
      </c>
      <c r="E65" s="1334"/>
      <c r="F65" s="1334"/>
      <c r="G65" s="1334"/>
      <c r="H65" s="1334"/>
      <c r="I65" s="1334"/>
      <c r="J65" s="1334"/>
      <c r="K65" s="1334"/>
    </row>
    <row r="66" spans="1:11">
      <c r="A66" s="219">
        <f t="shared" si="1"/>
        <v>46</v>
      </c>
      <c r="E66" s="1334"/>
      <c r="F66" s="1334"/>
      <c r="G66" s="1334"/>
      <c r="H66" s="1334"/>
      <c r="I66" s="1334"/>
      <c r="J66" s="1334"/>
      <c r="K66" s="1334"/>
    </row>
    <row r="67" spans="1:11">
      <c r="A67" s="219">
        <f t="shared" si="1"/>
        <v>47</v>
      </c>
      <c r="E67" s="1334"/>
      <c r="F67" s="1334"/>
      <c r="G67" s="1334"/>
      <c r="H67" s="1334"/>
      <c r="I67" s="1334"/>
      <c r="J67" s="1334"/>
      <c r="K67" s="1334"/>
    </row>
  </sheetData>
  <mergeCells count="8">
    <mergeCell ref="E62:K67"/>
    <mergeCell ref="E61:K61"/>
    <mergeCell ref="A1:K1"/>
    <mergeCell ref="A2:K2"/>
    <mergeCell ref="A3:K3"/>
    <mergeCell ref="A4:K4"/>
    <mergeCell ref="A5:K5"/>
    <mergeCell ref="E60:K60"/>
  </mergeCells>
  <printOptions horizontalCentered="1"/>
  <pageMargins left="0.5" right="0.5" top="0.75" bottom="0.5" header="0.3" footer="0.3"/>
  <pageSetup scale="6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V48"/>
  <sheetViews>
    <sheetView topLeftCell="A16" zoomScaleNormal="100" zoomScaleSheetLayoutView="100" workbookViewId="0">
      <selection activeCell="A47" sqref="A47:A48"/>
    </sheetView>
  </sheetViews>
  <sheetFormatPr defaultColWidth="9.33203125" defaultRowHeight="12.75"/>
  <cols>
    <col min="1" max="1" width="5.33203125" style="218" customWidth="1"/>
    <col min="2" max="2" width="1.6640625" style="218" customWidth="1"/>
    <col min="3" max="3" width="10.83203125" style="218" bestFit="1" customWidth="1"/>
    <col min="4" max="4" width="1.6640625" style="218" customWidth="1"/>
    <col min="5" max="5" width="106.5" style="218" customWidth="1"/>
    <col min="6" max="6" width="1.6640625" style="218" customWidth="1"/>
    <col min="7" max="7" width="39.33203125" style="218" bestFit="1" customWidth="1"/>
    <col min="8" max="8" width="1.6640625" style="218" customWidth="1"/>
    <col min="9" max="9" width="20.5" style="218" customWidth="1"/>
    <col min="10" max="10" width="1.6640625" style="218" customWidth="1"/>
    <col min="11" max="11" width="16.6640625" style="218" customWidth="1"/>
    <col min="12" max="12" width="2.6640625" style="218" customWidth="1"/>
    <col min="13" max="16384" width="9.33203125" style="218"/>
  </cols>
  <sheetData>
    <row r="1" spans="1:12">
      <c r="A1" s="1320" t="str">
        <f>'General Headers Index'!B4</f>
        <v>COLUMBIA GAS OF KENTUCKY, INC.</v>
      </c>
      <c r="B1" s="1320"/>
      <c r="C1" s="1320"/>
      <c r="D1" s="1320"/>
      <c r="E1" s="1320"/>
      <c r="F1" s="1320"/>
      <c r="G1" s="1320"/>
      <c r="H1" s="1320"/>
      <c r="I1" s="1320"/>
      <c r="J1" s="1320"/>
      <c r="K1" s="1320"/>
    </row>
    <row r="2" spans="1:12">
      <c r="A2" s="1320" t="str">
        <f>'General Headers Index'!B6</f>
        <v>CASE NO. 2024 - 00092</v>
      </c>
      <c r="B2" s="1320"/>
      <c r="C2" s="1320"/>
      <c r="D2" s="1320"/>
      <c r="E2" s="1320"/>
      <c r="F2" s="1320"/>
      <c r="G2" s="1320"/>
      <c r="H2" s="1320"/>
      <c r="I2" s="1320"/>
      <c r="J2" s="1320"/>
      <c r="K2" s="1320"/>
    </row>
    <row r="3" spans="1:12">
      <c r="A3" s="1320" t="str">
        <f>+'Index F'!C25</f>
        <v>NISOURCE SERVICE COMPANY ALLOCATED CORPORATE DUES AND MEMBERSHIPS</v>
      </c>
      <c r="B3" s="1320"/>
      <c r="C3" s="1320"/>
      <c r="D3" s="1320"/>
      <c r="E3" s="1320"/>
      <c r="F3" s="1320"/>
      <c r="G3" s="1320"/>
      <c r="H3" s="1320"/>
      <c r="I3" s="1320"/>
      <c r="J3" s="1320"/>
      <c r="K3" s="1320"/>
      <c r="L3" s="1161"/>
    </row>
    <row r="4" spans="1:12">
      <c r="A4" s="1320" t="str">
        <f>'General Headers Index'!B9</f>
        <v>BASE PERIOD: TWELVE MONTHS ENDED AUGUST 31, 2024</v>
      </c>
      <c r="B4" s="1320"/>
      <c r="C4" s="1320"/>
      <c r="D4" s="1320"/>
      <c r="E4" s="1320"/>
      <c r="F4" s="1320"/>
      <c r="G4" s="1320"/>
      <c r="H4" s="1320"/>
      <c r="I4" s="1320"/>
      <c r="J4" s="1320"/>
      <c r="K4" s="1320"/>
    </row>
    <row r="5" spans="1:12">
      <c r="A5" s="1320" t="str">
        <f>'General Headers Index'!B16</f>
        <v>FORECASTED TEST PERIOD: TWELVE MONTHS ENDED DECEMBER 31, 2025</v>
      </c>
      <c r="B5" s="1320"/>
      <c r="C5" s="1320"/>
      <c r="D5" s="1320"/>
      <c r="E5" s="1320"/>
      <c r="F5" s="1320"/>
      <c r="G5" s="1320"/>
      <c r="H5" s="1320"/>
      <c r="I5" s="1320"/>
      <c r="J5" s="1320"/>
      <c r="K5" s="1320"/>
    </row>
    <row r="6" spans="1:12">
      <c r="A6" s="219"/>
      <c r="B6" s="219"/>
      <c r="C6" s="219"/>
      <c r="D6" s="219"/>
      <c r="E6" s="219"/>
      <c r="F6" s="219"/>
      <c r="G6" s="219"/>
      <c r="H6" s="219"/>
      <c r="I6" s="219"/>
      <c r="J6" s="219"/>
      <c r="K6" s="219"/>
      <c r="L6" s="219"/>
    </row>
    <row r="8" spans="1:12">
      <c r="A8" s="218" t="s">
        <v>2786</v>
      </c>
      <c r="K8" s="271" t="s">
        <v>3005</v>
      </c>
      <c r="L8" s="271"/>
    </row>
    <row r="9" spans="1:12">
      <c r="A9" s="218" t="str">
        <f>'General Headers Index'!B37</f>
        <v>TYPE OF FILING:___X___ORIGINAL______UPDATED</v>
      </c>
      <c r="K9" s="271" t="s">
        <v>57</v>
      </c>
      <c r="L9" s="271"/>
    </row>
    <row r="10" spans="1:12">
      <c r="A10" s="218" t="s">
        <v>58</v>
      </c>
      <c r="K10" s="271" t="str">
        <f>"WITNESSES: "&amp;'General Headers Index'!B59</f>
        <v>WITNESSES: SHAEFFER</v>
      </c>
      <c r="L10" s="271"/>
    </row>
    <row r="11" spans="1:12">
      <c r="K11" s="271" t="str">
        <f>"           "&amp;'General Headers Index'!B61</f>
        <v xml:space="preserve">           KING</v>
      </c>
      <c r="L11" s="271"/>
    </row>
    <row r="12" spans="1:12">
      <c r="K12" s="271" t="str">
        <f>"           "&amp;'General Headers Index'!B62</f>
        <v xml:space="preserve">           BLY</v>
      </c>
      <c r="L12" s="271"/>
    </row>
    <row r="13" spans="1:12">
      <c r="A13" s="880"/>
      <c r="B13" s="880"/>
      <c r="C13" s="880"/>
      <c r="D13" s="880"/>
      <c r="E13" s="880"/>
      <c r="F13" s="880"/>
      <c r="G13" s="880"/>
      <c r="H13" s="880"/>
      <c r="I13" s="880"/>
      <c r="J13" s="880"/>
      <c r="K13" s="880"/>
    </row>
    <row r="14" spans="1:12">
      <c r="I14" s="272" t="s">
        <v>315</v>
      </c>
      <c r="J14" s="273"/>
      <c r="K14" s="273" t="s">
        <v>651</v>
      </c>
    </row>
    <row r="15" spans="1:12">
      <c r="A15" s="219" t="s">
        <v>313</v>
      </c>
      <c r="B15" s="219"/>
      <c r="C15" s="219" t="s">
        <v>1006</v>
      </c>
      <c r="G15" s="219"/>
      <c r="I15" s="219" t="s">
        <v>319</v>
      </c>
      <c r="J15" s="219"/>
      <c r="K15" s="219" t="s">
        <v>319</v>
      </c>
    </row>
    <row r="16" spans="1:12">
      <c r="A16" s="879" t="s">
        <v>316</v>
      </c>
      <c r="B16" s="879"/>
      <c r="C16" s="879" t="s">
        <v>574</v>
      </c>
      <c r="D16" s="880"/>
      <c r="E16" s="879" t="s">
        <v>59</v>
      </c>
      <c r="F16" s="879"/>
      <c r="G16" s="879" t="s">
        <v>318</v>
      </c>
      <c r="H16" s="880"/>
      <c r="I16" s="879" t="s">
        <v>444</v>
      </c>
      <c r="J16" s="879"/>
      <c r="K16" s="879" t="s">
        <v>444</v>
      </c>
    </row>
    <row r="17" spans="1:11">
      <c r="A17" s="256"/>
      <c r="B17" s="219"/>
      <c r="C17" s="256" t="s">
        <v>532</v>
      </c>
      <c r="D17" s="219"/>
      <c r="E17" s="256" t="s">
        <v>541</v>
      </c>
      <c r="G17" s="256" t="s">
        <v>542</v>
      </c>
      <c r="H17" s="219"/>
      <c r="I17" s="256" t="s">
        <v>668</v>
      </c>
      <c r="J17" s="219"/>
      <c r="K17" s="256" t="s">
        <v>669</v>
      </c>
    </row>
    <row r="18" spans="1:11">
      <c r="B18" s="219"/>
    </row>
    <row r="19" spans="1:11">
      <c r="A19" s="219">
        <f>IF(ISBLANK(E19),"",COUNTA($E19:E$19))</f>
        <v>1</v>
      </c>
      <c r="B19" s="219"/>
      <c r="E19" s="260" t="s">
        <v>2704</v>
      </c>
    </row>
    <row r="20" spans="1:11">
      <c r="A20" s="219">
        <f>IF(ISBLANK(E20),"",COUNTA($E$19:E20))</f>
        <v>2</v>
      </c>
      <c r="B20" s="219"/>
      <c r="C20" s="219">
        <v>930.2</v>
      </c>
      <c r="E20" s="220" t="s">
        <v>2525</v>
      </c>
      <c r="G20" s="217"/>
      <c r="I20" s="222">
        <v>650</v>
      </c>
      <c r="K20" s="222">
        <v>0</v>
      </c>
    </row>
    <row r="21" spans="1:11">
      <c r="A21" s="219">
        <f>IF(ISBLANK(E21),"",COUNTA($E$19:E21))</f>
        <v>3</v>
      </c>
      <c r="B21" s="219"/>
      <c r="C21" s="219">
        <v>930.2</v>
      </c>
      <c r="E21" s="220" t="s">
        <v>2526</v>
      </c>
      <c r="G21" s="217"/>
      <c r="I21" s="226">
        <v>2219.9499999999998</v>
      </c>
      <c r="K21" s="226">
        <v>0</v>
      </c>
    </row>
    <row r="22" spans="1:11">
      <c r="A22" s="219">
        <f>IF(ISBLANK(E22),"",COUNTA($E$19:E22))</f>
        <v>4</v>
      </c>
      <c r="B22" s="219"/>
      <c r="C22" s="219">
        <v>930.2</v>
      </c>
      <c r="E22" s="220" t="s">
        <v>2529</v>
      </c>
      <c r="G22" s="217"/>
      <c r="I22" s="226">
        <v>2500</v>
      </c>
      <c r="K22" s="226">
        <v>0</v>
      </c>
    </row>
    <row r="23" spans="1:11">
      <c r="A23" s="219">
        <f>IF(ISBLANK(E23),"",COUNTA($E$19:E23))</f>
        <v>5</v>
      </c>
      <c r="B23" s="219"/>
      <c r="C23" s="219">
        <v>930.2</v>
      </c>
      <c r="E23" s="220" t="s">
        <v>3102</v>
      </c>
      <c r="G23" s="217"/>
      <c r="I23" s="226">
        <v>708.47</v>
      </c>
      <c r="K23" s="226">
        <v>0</v>
      </c>
    </row>
    <row r="24" spans="1:11">
      <c r="A24" s="219">
        <f>IF(ISBLANK(E24),"",COUNTA($E$19:E24))</f>
        <v>6</v>
      </c>
      <c r="B24" s="219"/>
      <c r="C24" s="219">
        <v>930.2</v>
      </c>
      <c r="E24" s="220" t="s">
        <v>2534</v>
      </c>
      <c r="G24" s="217"/>
      <c r="I24" s="226">
        <v>822.5</v>
      </c>
      <c r="K24" s="226">
        <v>0</v>
      </c>
    </row>
    <row r="25" spans="1:11">
      <c r="A25" s="219">
        <f>IF(ISBLANK(E25),"",COUNTA($E$19:E25))</f>
        <v>7</v>
      </c>
      <c r="B25" s="219"/>
      <c r="C25" s="219">
        <v>930.2</v>
      </c>
      <c r="E25" s="220" t="s">
        <v>2537</v>
      </c>
      <c r="G25" s="217"/>
      <c r="I25" s="226">
        <v>131.34</v>
      </c>
      <c r="K25" s="226">
        <v>0</v>
      </c>
    </row>
    <row r="26" spans="1:11">
      <c r="A26" s="219">
        <f>IF(ISBLANK(E26),"",COUNTA($E$19:E26))</f>
        <v>8</v>
      </c>
      <c r="B26" s="219"/>
      <c r="C26" s="219" t="s">
        <v>62</v>
      </c>
      <c r="E26" s="218" t="s">
        <v>2538</v>
      </c>
      <c r="G26" s="217"/>
      <c r="I26" s="1162">
        <v>1876.4749418955159</v>
      </c>
      <c r="K26" s="1162">
        <v>5839.7020214948943</v>
      </c>
    </row>
    <row r="27" spans="1:11">
      <c r="A27" s="219">
        <f>IF(ISBLANK(E27),"",COUNTA($E$19:E27))</f>
        <v>9</v>
      </c>
      <c r="B27" s="219"/>
      <c r="C27" s="219"/>
      <c r="E27" s="274" t="s">
        <v>2705</v>
      </c>
      <c r="G27" s="217"/>
      <c r="I27" s="275">
        <f>SUM(I20:I26)</f>
        <v>8908.7349418955164</v>
      </c>
      <c r="K27" s="275">
        <f>SUM(K20:K26)</f>
        <v>5839.7020214948943</v>
      </c>
    </row>
    <row r="28" spans="1:11">
      <c r="A28" s="219" t="str">
        <f>IF(ISBLANK(E28),"",COUNTA($E$19:E28))</f>
        <v/>
      </c>
      <c r="B28" s="219"/>
      <c r="C28" s="219"/>
      <c r="G28" s="217"/>
    </row>
    <row r="29" spans="1:11">
      <c r="A29" s="219">
        <f>IF(ISBLANK(E29),"",COUNTA($E$19:E29))</f>
        <v>10</v>
      </c>
      <c r="B29" s="219"/>
      <c r="C29" s="219"/>
      <c r="E29" s="260" t="s">
        <v>2706</v>
      </c>
      <c r="G29" s="217"/>
    </row>
    <row r="30" spans="1:11">
      <c r="A30" s="219">
        <f>IF(ISBLANK(E30),"",COUNTA($E$19:E30))</f>
        <v>11</v>
      </c>
      <c r="B30" s="219"/>
      <c r="C30" s="219">
        <v>910</v>
      </c>
      <c r="E30" s="278" t="s">
        <v>2540</v>
      </c>
      <c r="G30" s="39" t="str">
        <f>"Workpaper WPD-2.6H Lines 1 &amp; 5"</f>
        <v>Workpaper WPD-2.6H Lines 1 &amp; 5</v>
      </c>
      <c r="I30" s="225"/>
      <c r="K30" s="231">
        <v>-26.196750000000002</v>
      </c>
    </row>
    <row r="31" spans="1:11">
      <c r="A31" s="219">
        <f>IF(ISBLANK(E31),"",COUNTA($E$19:E31))</f>
        <v>12</v>
      </c>
      <c r="B31" s="219"/>
      <c r="C31" s="219">
        <v>921</v>
      </c>
      <c r="E31" s="278" t="s">
        <v>2542</v>
      </c>
      <c r="G31" s="39" t="str">
        <f>$G$30</f>
        <v>Workpaper WPD-2.6H Lines 1 &amp; 5</v>
      </c>
      <c r="I31" s="225"/>
      <c r="K31" s="231">
        <v>-4588.62273</v>
      </c>
    </row>
    <row r="32" spans="1:11">
      <c r="A32" s="219">
        <f>IF(ISBLANK(E32),"",COUNTA($E$19:E32))</f>
        <v>13</v>
      </c>
      <c r="B32" s="219"/>
      <c r="C32" s="219">
        <v>923</v>
      </c>
      <c r="E32" s="276" t="s">
        <v>2730</v>
      </c>
      <c r="G32" s="39" t="str">
        <f t="shared" ref="G32:G37" si="0">$G$30</f>
        <v>Workpaper WPD-2.6H Lines 1 &amp; 5</v>
      </c>
      <c r="I32" s="225"/>
      <c r="K32" s="231">
        <v>-54.489240000000002</v>
      </c>
    </row>
    <row r="33" spans="1:22">
      <c r="A33" s="219">
        <f>IF(ISBLANK(E33),"",COUNTA($E$19:E33))</f>
        <v>14</v>
      </c>
      <c r="B33" s="219"/>
      <c r="C33" s="219">
        <v>923</v>
      </c>
      <c r="E33" s="278" t="s">
        <v>2545</v>
      </c>
      <c r="G33" s="39" t="str">
        <f t="shared" si="0"/>
        <v>Workpaper WPD-2.6H Lines 1 &amp; 5</v>
      </c>
      <c r="I33" s="225"/>
      <c r="K33" s="231">
        <v>-234.72288000000003</v>
      </c>
    </row>
    <row r="34" spans="1:22">
      <c r="A34" s="219">
        <f>IF(ISBLANK(E34),"",COUNTA($E$19:E34))</f>
        <v>15</v>
      </c>
      <c r="B34" s="219"/>
      <c r="C34" s="219">
        <v>923</v>
      </c>
      <c r="E34" s="278" t="s">
        <v>2546</v>
      </c>
      <c r="G34" s="39" t="str">
        <f t="shared" si="0"/>
        <v>Workpaper WPD-2.6H Lines 1 &amp; 5</v>
      </c>
      <c r="I34" s="225"/>
      <c r="K34" s="231">
        <v>-383.02042</v>
      </c>
    </row>
    <row r="35" spans="1:22">
      <c r="A35" s="219">
        <f>IF(ISBLANK(E35),"",COUNTA($E$19:E35))</f>
        <v>16</v>
      </c>
      <c r="B35" s="219"/>
      <c r="C35" s="219">
        <v>923</v>
      </c>
      <c r="E35" s="278" t="s">
        <v>2547</v>
      </c>
      <c r="G35" s="39" t="str">
        <f t="shared" si="0"/>
        <v>Workpaper WPD-2.6H Lines 1 &amp; 5</v>
      </c>
      <c r="I35" s="225"/>
      <c r="K35" s="231">
        <v>-201.19104000000002</v>
      </c>
    </row>
    <row r="36" spans="1:22">
      <c r="A36" s="219">
        <f>IF(ISBLANK(E36),"",COUNTA($E$19:E36))</f>
        <v>17</v>
      </c>
      <c r="B36" s="219"/>
      <c r="C36" s="219">
        <v>923</v>
      </c>
      <c r="E36" s="278" t="s">
        <v>2548</v>
      </c>
      <c r="G36" s="39" t="str">
        <f t="shared" si="0"/>
        <v>Workpaper WPD-2.6H Lines 1 &amp; 5</v>
      </c>
      <c r="I36" s="225"/>
      <c r="K36" s="231">
        <v>-162.41985000000003</v>
      </c>
    </row>
    <row r="37" spans="1:22">
      <c r="A37" s="219">
        <f>IF(ISBLANK(E37),"",COUNTA($E$19:E37))</f>
        <v>18</v>
      </c>
      <c r="B37" s="219"/>
      <c r="C37" s="219">
        <v>930.2</v>
      </c>
      <c r="E37" s="278" t="s">
        <v>2552</v>
      </c>
      <c r="G37" s="39" t="str">
        <f t="shared" si="0"/>
        <v>Workpaper WPD-2.6H Lines 1 &amp; 5</v>
      </c>
      <c r="I37" s="225"/>
      <c r="K37" s="1163">
        <v>-601.52525000000003</v>
      </c>
      <c r="P37" s="276"/>
      <c r="Q37" s="276"/>
      <c r="R37" s="276"/>
      <c r="S37" s="276"/>
      <c r="T37" s="276"/>
      <c r="U37" s="276"/>
      <c r="V37" s="276"/>
    </row>
    <row r="38" spans="1:22">
      <c r="A38" s="219">
        <f>IF(ISBLANK(E38),"",COUNTA($E$19:E38))</f>
        <v>19</v>
      </c>
      <c r="B38" s="219"/>
      <c r="C38" s="219"/>
      <c r="E38" s="274" t="s">
        <v>2707</v>
      </c>
      <c r="G38" s="217"/>
      <c r="I38" s="225"/>
      <c r="K38" s="275">
        <f>SUM(K30:L37)+0.5</f>
        <v>-6251.6881599999997</v>
      </c>
      <c r="P38" s="276"/>
      <c r="Q38" s="276"/>
      <c r="R38" s="276"/>
      <c r="S38" s="276"/>
      <c r="T38" s="276"/>
      <c r="U38" s="276"/>
      <c r="V38" s="276"/>
    </row>
    <row r="39" spans="1:22">
      <c r="A39" s="219" t="str">
        <f>IF(ISBLANK(E39),"",COUNTA($E$19:E39))</f>
        <v/>
      </c>
      <c r="B39" s="219"/>
      <c r="C39" s="219"/>
      <c r="G39" s="217"/>
      <c r="I39" s="227"/>
      <c r="K39" s="227"/>
      <c r="P39" s="276"/>
      <c r="Q39" s="276"/>
      <c r="R39" s="276"/>
      <c r="S39" s="276"/>
      <c r="T39" s="276"/>
      <c r="U39" s="276"/>
      <c r="V39" s="276"/>
    </row>
    <row r="40" spans="1:22">
      <c r="A40" s="219">
        <f>IF(ISBLANK(E40),"",COUNTA($E$19:E40))</f>
        <v>20</v>
      </c>
      <c r="B40" s="219"/>
      <c r="C40" s="219"/>
      <c r="E40" s="218" t="s">
        <v>2708</v>
      </c>
      <c r="G40" s="217"/>
      <c r="I40" s="228">
        <f>I27+I38</f>
        <v>8908.7349418955164</v>
      </c>
      <c r="K40" s="237">
        <f>K27+K38</f>
        <v>-411.98613850510537</v>
      </c>
      <c r="P40" s="276"/>
      <c r="Q40" s="276"/>
      <c r="R40" s="276"/>
      <c r="S40" s="276"/>
      <c r="T40" s="276"/>
      <c r="U40" s="276"/>
      <c r="V40" s="276"/>
    </row>
    <row r="41" spans="1:22">
      <c r="A41" s="219" t="str">
        <f>IF(ISBLANK(E41),"",COUNTA($E$19:E41))</f>
        <v/>
      </c>
      <c r="G41" s="217"/>
    </row>
    <row r="42" spans="1:22">
      <c r="A42" s="219">
        <f>IF(ISBLANK(E42),"",COUNTA($E$19:E42))</f>
        <v>21</v>
      </c>
      <c r="B42" s="219"/>
      <c r="D42" s="274"/>
      <c r="E42" s="1337" t="s">
        <v>2554</v>
      </c>
      <c r="F42" s="1337"/>
      <c r="G42" s="1337"/>
      <c r="H42" s="1337"/>
      <c r="I42" s="1337"/>
      <c r="J42" s="1337"/>
      <c r="K42" s="1337"/>
    </row>
    <row r="43" spans="1:22" ht="13.35" customHeight="1">
      <c r="A43" s="219">
        <f>IF(ISBLANK(E43),"",COUNTA($E$19:E43))</f>
        <v>22</v>
      </c>
      <c r="E43" s="1334" t="s">
        <v>2660</v>
      </c>
      <c r="F43" s="1334"/>
      <c r="G43" s="1334"/>
      <c r="H43" s="1334"/>
      <c r="I43" s="1334"/>
      <c r="J43" s="1334"/>
      <c r="K43" s="1334"/>
    </row>
    <row r="44" spans="1:22" ht="12.75" customHeight="1">
      <c r="A44" s="219">
        <f>+A43+1</f>
        <v>23</v>
      </c>
      <c r="E44" s="1334" t="s">
        <v>3115</v>
      </c>
      <c r="F44" s="1334"/>
      <c r="G44" s="1334"/>
      <c r="H44" s="1334"/>
      <c r="I44" s="1334"/>
      <c r="J44" s="1334"/>
      <c r="K44" s="1334"/>
    </row>
    <row r="45" spans="1:22">
      <c r="A45" s="219">
        <f>+A44+1</f>
        <v>24</v>
      </c>
      <c r="E45" s="1334"/>
      <c r="F45" s="1334"/>
      <c r="G45" s="1334"/>
      <c r="H45" s="1334"/>
      <c r="I45" s="1334"/>
      <c r="J45" s="1334"/>
      <c r="K45" s="1334"/>
    </row>
    <row r="46" spans="1:22">
      <c r="A46" s="219">
        <f t="shared" ref="A46:A48" si="1">+A45+1</f>
        <v>25</v>
      </c>
      <c r="E46" s="1334"/>
      <c r="F46" s="1334"/>
      <c r="G46" s="1334"/>
      <c r="H46" s="1334"/>
      <c r="I46" s="1334"/>
      <c r="J46" s="1334"/>
      <c r="K46" s="1334"/>
    </row>
    <row r="47" spans="1:22">
      <c r="A47" s="219">
        <f t="shared" si="1"/>
        <v>26</v>
      </c>
      <c r="E47" s="1334"/>
      <c r="F47" s="1334"/>
      <c r="G47" s="1334"/>
      <c r="H47" s="1334"/>
      <c r="I47" s="1334"/>
      <c r="J47" s="1334"/>
      <c r="K47" s="1334"/>
    </row>
    <row r="48" spans="1:22">
      <c r="A48" s="219">
        <f t="shared" si="1"/>
        <v>27</v>
      </c>
      <c r="E48" s="1334"/>
      <c r="F48" s="1334"/>
      <c r="G48" s="1334"/>
      <c r="H48" s="1334"/>
      <c r="I48" s="1334"/>
      <c r="J48" s="1334"/>
      <c r="K48" s="1334"/>
    </row>
  </sheetData>
  <mergeCells count="8">
    <mergeCell ref="E44:K48"/>
    <mergeCell ref="E43:K43"/>
    <mergeCell ref="A1:K1"/>
    <mergeCell ref="A2:K2"/>
    <mergeCell ref="A3:K3"/>
    <mergeCell ref="A4:K4"/>
    <mergeCell ref="A5:K5"/>
    <mergeCell ref="E42:K42"/>
  </mergeCells>
  <printOptions horizontalCentered="1"/>
  <pageMargins left="0.5" right="0.5" top="0.75" bottom="0.5" header="0.3" footer="0.3"/>
  <pageSetup scale="77"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K23"/>
  <sheetViews>
    <sheetView zoomScaleNormal="100" zoomScaleSheetLayoutView="100" workbookViewId="0">
      <selection activeCell="A3" sqref="A3:K3"/>
    </sheetView>
  </sheetViews>
  <sheetFormatPr defaultColWidth="9.33203125" defaultRowHeight="12.75"/>
  <cols>
    <col min="1" max="1" width="4.6640625" style="218" customWidth="1"/>
    <col min="2" max="2" width="1.6640625" style="218" customWidth="1"/>
    <col min="3" max="3" width="11" style="218" customWidth="1"/>
    <col min="4" max="4" width="1.6640625" style="218" customWidth="1"/>
    <col min="5" max="5" width="72.1640625" style="218" customWidth="1"/>
    <col min="6" max="6" width="1.6640625" style="218" customWidth="1"/>
    <col min="7" max="7" width="18.6640625" style="218"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F'!C26</f>
        <v>TOTAL COMPANY INITIATION FEES &amp; COUNTRY CLUB EXPENSES</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1026</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Index'!B60</f>
        <v xml:space="preserve">           INSCHO</v>
      </c>
    </row>
    <row r="12" spans="1:11">
      <c r="K12" s="271" t="str">
        <f>"           "&amp;'General Headers Index'!B61</f>
        <v xml:space="preserve">           KING</v>
      </c>
    </row>
    <row r="13" spans="1:11">
      <c r="K13" s="271" t="str">
        <f>"           "&amp;'General Headers Index'!B62</f>
        <v xml:space="preserve">           BLY</v>
      </c>
    </row>
    <row r="14" spans="1:11">
      <c r="A14" s="880"/>
      <c r="B14" s="880"/>
      <c r="C14" s="880"/>
      <c r="D14" s="880"/>
      <c r="E14" s="880"/>
      <c r="F14" s="880"/>
      <c r="G14" s="880"/>
      <c r="H14" s="880"/>
      <c r="I14" s="880"/>
      <c r="J14" s="880"/>
      <c r="K14" s="880"/>
    </row>
    <row r="15" spans="1:11">
      <c r="I15" s="272" t="s">
        <v>315</v>
      </c>
      <c r="J15" s="272"/>
      <c r="K15" s="272" t="s">
        <v>651</v>
      </c>
    </row>
    <row r="16" spans="1:11">
      <c r="A16" s="219" t="s">
        <v>313</v>
      </c>
      <c r="B16" s="219"/>
      <c r="C16" s="219" t="s">
        <v>1006</v>
      </c>
      <c r="E16" s="219" t="s">
        <v>61</v>
      </c>
      <c r="G16" s="219"/>
      <c r="I16" s="219" t="s">
        <v>319</v>
      </c>
      <c r="J16" s="219"/>
      <c r="K16" s="219" t="s">
        <v>319</v>
      </c>
    </row>
    <row r="17" spans="1:11">
      <c r="A17" s="879" t="s">
        <v>316</v>
      </c>
      <c r="B17" s="879"/>
      <c r="C17" s="879" t="s">
        <v>574</v>
      </c>
      <c r="D17" s="880"/>
      <c r="E17" s="879" t="s">
        <v>374</v>
      </c>
      <c r="F17" s="880"/>
      <c r="G17" s="879" t="s">
        <v>318</v>
      </c>
      <c r="H17" s="880"/>
      <c r="I17" s="879" t="s">
        <v>444</v>
      </c>
      <c r="J17" s="879"/>
      <c r="K17" s="879" t="s">
        <v>444</v>
      </c>
    </row>
    <row r="18" spans="1:11">
      <c r="A18" s="270"/>
      <c r="B18" s="273"/>
      <c r="C18" s="270" t="s">
        <v>532</v>
      </c>
      <c r="D18" s="272"/>
      <c r="E18" s="270" t="s">
        <v>541</v>
      </c>
      <c r="F18" s="273"/>
      <c r="G18" s="270" t="s">
        <v>542</v>
      </c>
      <c r="H18" s="272"/>
      <c r="I18" s="270" t="s">
        <v>668</v>
      </c>
      <c r="J18" s="272"/>
      <c r="K18" s="270" t="s">
        <v>669</v>
      </c>
    </row>
    <row r="19" spans="1:11">
      <c r="C19" s="219"/>
    </row>
    <row r="20" spans="1:11">
      <c r="A20" s="219">
        <f>IF(ISBLANK(E20),"",COUNTA($E$20:E20))</f>
        <v>1</v>
      </c>
      <c r="B20" s="279"/>
      <c r="C20" s="279"/>
      <c r="D20" s="279"/>
      <c r="E20" s="219" t="s">
        <v>461</v>
      </c>
      <c r="F20" s="279"/>
      <c r="G20" s="238"/>
      <c r="H20" s="279"/>
      <c r="I20" s="279"/>
      <c r="J20" s="279"/>
      <c r="K20" s="279"/>
    </row>
    <row r="21" spans="1:11">
      <c r="A21" s="219" t="str">
        <f>IF(ISBLANK(E21),"",COUNTA($E$20:E21))</f>
        <v/>
      </c>
      <c r="B21" s="238"/>
      <c r="C21" s="238"/>
      <c r="D21" s="239"/>
      <c r="E21" s="240"/>
      <c r="F21" s="238"/>
      <c r="G21" s="217"/>
      <c r="I21" s="239"/>
      <c r="J21" s="239"/>
      <c r="K21" s="239"/>
    </row>
    <row r="22" spans="1:11">
      <c r="A22" s="219">
        <f>IF(ISBLANK(E22),"",COUNTA($E$20:E22))</f>
        <v>2</v>
      </c>
      <c r="E22" s="274" t="s">
        <v>2554</v>
      </c>
      <c r="G22" s="217"/>
      <c r="K22" s="239"/>
    </row>
    <row r="23" spans="1:11">
      <c r="A23" s="219" t="str">
        <f>IF(ISBLANK(E23),"",COUNTA($E$20:E23))</f>
        <v/>
      </c>
      <c r="C23" s="219"/>
      <c r="G23" s="217"/>
    </row>
  </sheetData>
  <mergeCells count="5">
    <mergeCell ref="A1:K1"/>
    <mergeCell ref="A2:K2"/>
    <mergeCell ref="A3:K3"/>
    <mergeCell ref="A4:K4"/>
    <mergeCell ref="A5:K5"/>
  </mergeCells>
  <printOptions horizontalCentered="1"/>
  <pageMargins left="0.5" right="0.5" top="0.75" bottom="0.5" header="0.3" footer="0.3"/>
  <pageSetup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K94"/>
  <sheetViews>
    <sheetView zoomScaleNormal="100" zoomScaleSheetLayoutView="100" workbookViewId="0">
      <selection activeCell="E92" sqref="E92:K92"/>
    </sheetView>
  </sheetViews>
  <sheetFormatPr defaultColWidth="9.33203125" defaultRowHeight="12.75"/>
  <cols>
    <col min="1" max="1" width="5.6640625" style="218" customWidth="1"/>
    <col min="2" max="2" width="1.6640625" style="218" customWidth="1"/>
    <col min="3" max="3" width="10.83203125" style="218" bestFit="1" customWidth="1"/>
    <col min="4" max="4" width="1.6640625" style="218" customWidth="1"/>
    <col min="5" max="5" width="122.33203125" style="218" customWidth="1"/>
    <col min="6" max="6" width="1.6640625" style="218" customWidth="1"/>
    <col min="7" max="7" width="31.83203125" style="218" bestFit="1" customWidth="1"/>
    <col min="8" max="8" width="1.6640625" style="218" customWidth="1"/>
    <col min="9" max="9" width="20.5" style="218" customWidth="1"/>
    <col min="10" max="10" width="1.6640625" style="218" customWidth="1"/>
    <col min="11" max="11" width="18.6640625" style="218" customWidth="1"/>
    <col min="12" max="12" width="2.1640625" style="218" customWidth="1"/>
    <col min="13" max="16384" width="9.33203125" style="218"/>
  </cols>
  <sheetData>
    <row r="1" spans="1:11">
      <c r="A1" s="1320" t="str">
        <f>'General Headers Index'!B4</f>
        <v>COLUMBIA GAS OF KENTUCKY, INC.</v>
      </c>
      <c r="B1" s="1320"/>
      <c r="C1" s="1320"/>
      <c r="D1" s="1320"/>
      <c r="E1" s="1320"/>
      <c r="F1" s="1320"/>
      <c r="G1" s="1320"/>
      <c r="H1" s="1320"/>
      <c r="I1" s="1320"/>
      <c r="J1" s="1320"/>
      <c r="K1" s="1320"/>
    </row>
    <row r="2" spans="1:11">
      <c r="A2" s="1320" t="str">
        <f>'General Headers Index'!B6</f>
        <v>CASE NO. 2024 - 00092</v>
      </c>
      <c r="B2" s="1320"/>
      <c r="C2" s="1320"/>
      <c r="D2" s="1320"/>
      <c r="E2" s="1320"/>
      <c r="F2" s="1320"/>
      <c r="G2" s="1320"/>
      <c r="H2" s="1320"/>
      <c r="I2" s="1320"/>
      <c r="J2" s="1320"/>
      <c r="K2" s="1320"/>
    </row>
    <row r="3" spans="1:11">
      <c r="A3" s="1320" t="str">
        <f>'Index F'!C27</f>
        <v>TOTAL COMPANY CHARITABLE CONTRIBUTIONS</v>
      </c>
      <c r="B3" s="1320"/>
      <c r="C3" s="1320"/>
      <c r="D3" s="1320"/>
      <c r="E3" s="1320"/>
      <c r="F3" s="1320"/>
      <c r="G3" s="1320"/>
      <c r="H3" s="1320"/>
      <c r="I3" s="1320"/>
      <c r="J3" s="1320"/>
      <c r="K3" s="1320"/>
    </row>
    <row r="4" spans="1:11">
      <c r="A4" s="1320" t="str">
        <f>'General Headers Index'!B9</f>
        <v>BASE PERIOD: TWELVE MONTHS ENDED AUGUST 31, 2024</v>
      </c>
      <c r="B4" s="1320"/>
      <c r="C4" s="1320"/>
      <c r="D4" s="1320"/>
      <c r="E4" s="1320"/>
      <c r="F4" s="1320"/>
      <c r="G4" s="1320"/>
      <c r="H4" s="1320"/>
      <c r="I4" s="1320"/>
      <c r="J4" s="1320"/>
      <c r="K4" s="1320"/>
    </row>
    <row r="5" spans="1:11">
      <c r="A5" s="1320" t="str">
        <f>'General Headers Index'!B16</f>
        <v>FORECASTED TEST PERIOD: TWELVE MONTHS ENDED DECEMBER 31, 2025</v>
      </c>
      <c r="B5" s="1320"/>
      <c r="C5" s="1320"/>
      <c r="D5" s="1320"/>
      <c r="E5" s="1320"/>
      <c r="F5" s="1320"/>
      <c r="G5" s="1320"/>
      <c r="H5" s="1320"/>
      <c r="I5" s="1320"/>
      <c r="J5" s="1320"/>
      <c r="K5" s="1320"/>
    </row>
    <row r="6" spans="1:11">
      <c r="A6" s="219"/>
      <c r="B6" s="219"/>
      <c r="C6" s="219"/>
      <c r="D6" s="219"/>
      <c r="E6" s="219"/>
      <c r="F6" s="219"/>
      <c r="G6" s="219"/>
      <c r="H6" s="219"/>
      <c r="I6" s="219"/>
      <c r="J6" s="219"/>
      <c r="K6" s="219"/>
    </row>
    <row r="8" spans="1:11">
      <c r="A8" s="218" t="s">
        <v>60</v>
      </c>
      <c r="K8" s="271" t="s">
        <v>3006</v>
      </c>
    </row>
    <row r="9" spans="1:11">
      <c r="A9" s="218" t="str">
        <f>'General Headers Index'!B37</f>
        <v>TYPE OF FILING:___X___ORIGINAL______UPDATED</v>
      </c>
      <c r="K9" s="271" t="s">
        <v>57</v>
      </c>
    </row>
    <row r="10" spans="1:11">
      <c r="A10" s="218" t="s">
        <v>58</v>
      </c>
      <c r="K10" s="271" t="str">
        <f>"WITNESSES: "&amp;'General Headers Index'!B59</f>
        <v>WITNESSES: SHAEFFER</v>
      </c>
    </row>
    <row r="11" spans="1:11">
      <c r="K11" s="271" t="str">
        <f>"           "&amp;'General Headers Index'!B60</f>
        <v xml:space="preserve">           INSCHO</v>
      </c>
    </row>
    <row r="12" spans="1:11">
      <c r="K12" s="271" t="str">
        <f>"           "&amp;'General Headers Index'!B61</f>
        <v xml:space="preserve">           KING</v>
      </c>
    </row>
    <row r="13" spans="1:11">
      <c r="K13" s="271" t="str">
        <f>"           "&amp;'General Headers Index'!B62</f>
        <v xml:space="preserve">           BLY</v>
      </c>
    </row>
    <row r="14" spans="1:11">
      <c r="A14" s="880"/>
      <c r="B14" s="880"/>
      <c r="C14" s="880"/>
      <c r="D14" s="880"/>
      <c r="E14" s="880"/>
      <c r="F14" s="880"/>
      <c r="G14" s="880"/>
      <c r="H14" s="880"/>
      <c r="I14" s="880"/>
      <c r="J14" s="880"/>
      <c r="K14" s="880"/>
    </row>
    <row r="15" spans="1:11">
      <c r="G15" s="273"/>
      <c r="H15" s="273"/>
      <c r="I15" s="272" t="s">
        <v>315</v>
      </c>
      <c r="J15" s="272"/>
      <c r="K15" s="272" t="s">
        <v>651</v>
      </c>
    </row>
    <row r="16" spans="1:11">
      <c r="A16" s="219" t="s">
        <v>313</v>
      </c>
      <c r="B16" s="219"/>
      <c r="C16" s="219" t="s">
        <v>1006</v>
      </c>
      <c r="E16" s="219" t="s">
        <v>61</v>
      </c>
      <c r="G16" s="219"/>
      <c r="I16" s="219" t="s">
        <v>319</v>
      </c>
      <c r="J16" s="219"/>
      <c r="K16" s="219" t="s">
        <v>319</v>
      </c>
    </row>
    <row r="17" spans="1:11">
      <c r="A17" s="879" t="s">
        <v>316</v>
      </c>
      <c r="B17" s="879"/>
      <c r="C17" s="879" t="s">
        <v>574</v>
      </c>
      <c r="D17" s="880"/>
      <c r="E17" s="879" t="s">
        <v>374</v>
      </c>
      <c r="F17" s="880"/>
      <c r="G17" s="879" t="s">
        <v>318</v>
      </c>
      <c r="H17" s="880"/>
      <c r="I17" s="879" t="s">
        <v>444</v>
      </c>
      <c r="J17" s="879"/>
      <c r="K17" s="879" t="s">
        <v>444</v>
      </c>
    </row>
    <row r="18" spans="1:11">
      <c r="A18" s="270"/>
      <c r="B18" s="273"/>
      <c r="C18" s="270" t="s">
        <v>532</v>
      </c>
      <c r="D18" s="272"/>
      <c r="E18" s="270" t="s">
        <v>541</v>
      </c>
      <c r="F18" s="273"/>
      <c r="G18" s="270" t="s">
        <v>542</v>
      </c>
      <c r="H18" s="272"/>
      <c r="I18" s="270" t="s">
        <v>668</v>
      </c>
      <c r="J18" s="272"/>
      <c r="K18" s="270" t="s">
        <v>669</v>
      </c>
    </row>
    <row r="19" spans="1:11">
      <c r="C19" s="219"/>
    </row>
    <row r="20" spans="1:11">
      <c r="A20" s="219">
        <f>IF(ISBLANK(E20),"",COUNTA($E$20:E20))</f>
        <v>1</v>
      </c>
      <c r="C20" s="219"/>
      <c r="E20" s="260" t="s">
        <v>3083</v>
      </c>
      <c r="G20" s="219"/>
      <c r="H20" s="219"/>
    </row>
    <row r="21" spans="1:11">
      <c r="A21" s="219">
        <f>IF(ISBLANK(E21),"",COUNTA($E$20:E21))</f>
        <v>2</v>
      </c>
      <c r="C21" s="219">
        <v>921</v>
      </c>
      <c r="E21" s="276" t="s">
        <v>2521</v>
      </c>
      <c r="G21" s="217" t="s">
        <v>2665</v>
      </c>
      <c r="I21" s="221">
        <v>1995</v>
      </c>
      <c r="K21" s="221">
        <v>0</v>
      </c>
    </row>
    <row r="22" spans="1:11">
      <c r="A22" s="219">
        <f>IF(ISBLANK(E22),"",COUNTA($E$20:E22))</f>
        <v>3</v>
      </c>
      <c r="C22" s="219">
        <v>921</v>
      </c>
      <c r="E22" s="276" t="s">
        <v>2523</v>
      </c>
      <c r="G22" s="217" t="s">
        <v>2665</v>
      </c>
      <c r="H22" s="219"/>
      <c r="I22" s="226">
        <v>448</v>
      </c>
      <c r="K22" s="226">
        <v>0</v>
      </c>
    </row>
    <row r="23" spans="1:11">
      <c r="A23" s="219">
        <f>IF(ISBLANK(E23),"",COUNTA($E$20:E23))</f>
        <v>4</v>
      </c>
      <c r="C23" s="219">
        <v>923</v>
      </c>
      <c r="E23" s="259" t="s">
        <v>2555</v>
      </c>
      <c r="G23" s="217" t="s">
        <v>2666</v>
      </c>
      <c r="H23" s="219"/>
      <c r="I23" s="226">
        <v>522.83000000000004</v>
      </c>
      <c r="K23" s="226">
        <v>0</v>
      </c>
    </row>
    <row r="24" spans="1:11">
      <c r="A24" s="219">
        <f>IF(ISBLANK(E24),"",COUNTA($E$20:E24))</f>
        <v>5</v>
      </c>
      <c r="C24" s="219">
        <v>923</v>
      </c>
      <c r="E24" s="259" t="s">
        <v>2556</v>
      </c>
      <c r="G24" s="217" t="s">
        <v>2666</v>
      </c>
      <c r="H24" s="219"/>
      <c r="I24" s="226">
        <v>199</v>
      </c>
      <c r="K24" s="226">
        <v>0</v>
      </c>
    </row>
    <row r="25" spans="1:11">
      <c r="A25" s="219">
        <f>IF(ISBLANK(E25),"",COUNTA($E$20:E25))</f>
        <v>6</v>
      </c>
      <c r="C25" s="219">
        <v>923</v>
      </c>
      <c r="E25" s="259" t="s">
        <v>2557</v>
      </c>
      <c r="G25" s="217" t="s">
        <v>2666</v>
      </c>
      <c r="H25" s="219"/>
      <c r="I25" s="226">
        <v>2524.9399999999996</v>
      </c>
      <c r="K25" s="226">
        <v>0</v>
      </c>
    </row>
    <row r="26" spans="1:11">
      <c r="A26" s="219">
        <f>IF(ISBLANK(E26),"",COUNTA($E$20:E26))</f>
        <v>7</v>
      </c>
      <c r="C26" s="219">
        <v>923</v>
      </c>
      <c r="E26" s="259" t="s">
        <v>2558</v>
      </c>
      <c r="G26" s="217" t="s">
        <v>2666</v>
      </c>
      <c r="H26" s="219"/>
      <c r="I26" s="226">
        <v>199</v>
      </c>
      <c r="K26" s="226">
        <v>0</v>
      </c>
    </row>
    <row r="27" spans="1:11">
      <c r="A27" s="219">
        <f>IF(ISBLANK(E27),"",COUNTA($E$20:E27))</f>
        <v>8</v>
      </c>
      <c r="C27" s="219">
        <v>923</v>
      </c>
      <c r="E27" s="276" t="s">
        <v>2521</v>
      </c>
      <c r="G27" s="217" t="s">
        <v>2665</v>
      </c>
      <c r="H27" s="219"/>
      <c r="I27" s="226">
        <v>1400</v>
      </c>
      <c r="K27" s="226">
        <v>0</v>
      </c>
    </row>
    <row r="28" spans="1:11">
      <c r="A28" s="219">
        <f>IF(ISBLANK(E28),"",COUNTA($E$20:E28))</f>
        <v>9</v>
      </c>
      <c r="C28" s="219">
        <v>923</v>
      </c>
      <c r="E28" s="259" t="s">
        <v>2559</v>
      </c>
      <c r="G28" s="217" t="s">
        <v>2666</v>
      </c>
      <c r="H28" s="219"/>
      <c r="I28" s="226">
        <v>199</v>
      </c>
      <c r="K28" s="226">
        <v>0</v>
      </c>
    </row>
    <row r="29" spans="1:11">
      <c r="A29" s="219">
        <f>IF(ISBLANK(E29),"",COUNTA($E$20:E29))</f>
        <v>10</v>
      </c>
      <c r="C29" s="219">
        <v>923</v>
      </c>
      <c r="E29" s="259" t="s">
        <v>2560</v>
      </c>
      <c r="G29" s="217" t="s">
        <v>2666</v>
      </c>
      <c r="H29" s="219"/>
      <c r="I29" s="226">
        <v>398</v>
      </c>
      <c r="K29" s="226">
        <v>0</v>
      </c>
    </row>
    <row r="30" spans="1:11">
      <c r="A30" s="219">
        <f>IF(ISBLANK(E30),"",COUNTA($E$20:E30))</f>
        <v>11</v>
      </c>
      <c r="C30" s="219">
        <v>923</v>
      </c>
      <c r="E30" s="259" t="s">
        <v>2561</v>
      </c>
      <c r="G30" s="217" t="s">
        <v>2666</v>
      </c>
      <c r="H30" s="219"/>
      <c r="I30" s="226">
        <v>303</v>
      </c>
      <c r="K30" s="226">
        <v>0</v>
      </c>
    </row>
    <row r="31" spans="1:11">
      <c r="A31" s="219">
        <f>IF(ISBLANK(E31),"",COUNTA($E$20:E31))</f>
        <v>12</v>
      </c>
      <c r="C31" s="219">
        <v>923</v>
      </c>
      <c r="E31" s="259" t="s">
        <v>2562</v>
      </c>
      <c r="G31" s="217" t="s">
        <v>2666</v>
      </c>
      <c r="H31" s="219"/>
      <c r="I31" s="226">
        <v>199</v>
      </c>
      <c r="K31" s="226">
        <v>0</v>
      </c>
    </row>
    <row r="32" spans="1:11">
      <c r="A32" s="219">
        <f>IF(ISBLANK(E32),"",COUNTA($E$20:E32))</f>
        <v>13</v>
      </c>
      <c r="C32" s="219">
        <v>923</v>
      </c>
      <c r="E32" s="278" t="s">
        <v>2563</v>
      </c>
      <c r="G32" s="217" t="s">
        <v>2666</v>
      </c>
      <c r="H32" s="219"/>
      <c r="I32" s="226">
        <v>4.58</v>
      </c>
      <c r="K32" s="226">
        <v>0</v>
      </c>
    </row>
    <row r="33" spans="1:11">
      <c r="A33" s="219">
        <f>IF(ISBLANK(E33),"",COUNTA($E$20:E33))</f>
        <v>14</v>
      </c>
      <c r="C33" s="219">
        <v>923</v>
      </c>
      <c r="E33" s="259" t="s">
        <v>2564</v>
      </c>
      <c r="G33" s="217" t="s">
        <v>2666</v>
      </c>
      <c r="H33" s="219"/>
      <c r="I33" s="226">
        <v>597</v>
      </c>
      <c r="K33" s="226">
        <v>0</v>
      </c>
    </row>
    <row r="34" spans="1:11">
      <c r="A34" s="219">
        <f>IF(ISBLANK(E34),"",COUNTA($E$20:E34))</f>
        <v>15</v>
      </c>
      <c r="C34" s="219">
        <v>923</v>
      </c>
      <c r="E34" s="259" t="s">
        <v>2565</v>
      </c>
      <c r="G34" s="217" t="s">
        <v>2666</v>
      </c>
      <c r="H34" s="219"/>
      <c r="I34" s="226">
        <v>497.5</v>
      </c>
      <c r="K34" s="226">
        <v>0</v>
      </c>
    </row>
    <row r="35" spans="1:11">
      <c r="A35" s="219">
        <f>IF(ISBLANK(E35),"",COUNTA($E$20:E35))</f>
        <v>16</v>
      </c>
      <c r="C35" s="219">
        <v>923</v>
      </c>
      <c r="E35" s="278" t="s">
        <v>2672</v>
      </c>
      <c r="G35" s="217" t="s">
        <v>2666</v>
      </c>
      <c r="H35" s="219"/>
      <c r="I35" s="226">
        <v>880.36999999999989</v>
      </c>
      <c r="K35" s="226">
        <v>0</v>
      </c>
    </row>
    <row r="36" spans="1:11">
      <c r="A36" s="219">
        <f>IF(ISBLANK(E36),"",COUNTA($E$20:E36))</f>
        <v>17</v>
      </c>
      <c r="C36" s="219">
        <v>930.1</v>
      </c>
      <c r="E36" s="278" t="s">
        <v>2526</v>
      </c>
      <c r="G36" s="217" t="s">
        <v>2666</v>
      </c>
      <c r="H36" s="219"/>
      <c r="I36" s="226">
        <v>379.41</v>
      </c>
      <c r="K36" s="226">
        <v>0</v>
      </c>
    </row>
    <row r="37" spans="1:11">
      <c r="A37" s="219">
        <f>IF(ISBLANK(E37),"",COUNTA($E$20:E37))</f>
        <v>18</v>
      </c>
      <c r="C37" s="219">
        <v>930.1</v>
      </c>
      <c r="E37" s="278" t="s">
        <v>2672</v>
      </c>
      <c r="G37" s="217" t="s">
        <v>2666</v>
      </c>
      <c r="H37" s="219"/>
      <c r="I37" s="226">
        <v>966.34</v>
      </c>
      <c r="K37" s="226">
        <v>0</v>
      </c>
    </row>
    <row r="38" spans="1:11">
      <c r="A38" s="219">
        <f>IF(ISBLANK(E38),"",COUNTA($E$20:E38))</f>
        <v>19</v>
      </c>
      <c r="C38" s="219">
        <v>930.1</v>
      </c>
      <c r="E38" s="276" t="s">
        <v>2566</v>
      </c>
      <c r="G38" s="217" t="s">
        <v>2666</v>
      </c>
      <c r="H38" s="219"/>
      <c r="I38" s="226">
        <v>966.34</v>
      </c>
      <c r="K38" s="226">
        <v>0</v>
      </c>
    </row>
    <row r="39" spans="1:11">
      <c r="A39" s="219">
        <f>IF(ISBLANK(E39),"",COUNTA($E$20:E39))</f>
        <v>20</v>
      </c>
      <c r="C39" s="219">
        <v>930.2</v>
      </c>
      <c r="E39" s="259" t="s">
        <v>2528</v>
      </c>
      <c r="G39" s="217" t="s">
        <v>2665</v>
      </c>
      <c r="H39" s="219"/>
      <c r="I39" s="226">
        <v>1115</v>
      </c>
      <c r="K39" s="226">
        <v>0</v>
      </c>
    </row>
    <row r="40" spans="1:11">
      <c r="A40" s="219">
        <f>IF(ISBLANK(E40),"",COUNTA($E$20:E40))</f>
        <v>21</v>
      </c>
      <c r="C40" s="219">
        <v>930.2</v>
      </c>
      <c r="E40" s="259" t="s">
        <v>2532</v>
      </c>
      <c r="G40" s="217" t="s">
        <v>2665</v>
      </c>
      <c r="H40" s="219"/>
      <c r="I40" s="226">
        <v>625</v>
      </c>
      <c r="K40" s="226">
        <v>0</v>
      </c>
    </row>
    <row r="41" spans="1:11">
      <c r="A41" s="219">
        <f>IF(ISBLANK(E41),"",COUNTA($E$20:E41))</f>
        <v>22</v>
      </c>
      <c r="C41" s="219" t="s">
        <v>62</v>
      </c>
      <c r="E41" s="218" t="s">
        <v>2677</v>
      </c>
      <c r="G41" s="217" t="s">
        <v>2568</v>
      </c>
      <c r="H41" s="219"/>
      <c r="I41" s="1162">
        <v>0</v>
      </c>
      <c r="K41" s="1162">
        <f>-K79</f>
        <v>50526.368558550013</v>
      </c>
    </row>
    <row r="42" spans="1:11">
      <c r="A42" s="219">
        <f>IF(ISBLANK(E42),"",COUNTA($E$20:E42))</f>
        <v>23</v>
      </c>
      <c r="C42" s="219"/>
      <c r="E42" s="276" t="s">
        <v>2676</v>
      </c>
      <c r="G42" s="217"/>
      <c r="H42" s="219"/>
      <c r="I42" s="275">
        <f>SUM(I21:I41)</f>
        <v>14419.310000000001</v>
      </c>
      <c r="K42" s="275">
        <f>SUM(K21:K41)</f>
        <v>50526.368558550013</v>
      </c>
    </row>
    <row r="43" spans="1:11">
      <c r="A43" s="219" t="str">
        <f>IF(ISBLANK(E43),"",COUNTA($E$20:E43))</f>
        <v/>
      </c>
      <c r="C43" s="219"/>
      <c r="E43" s="276"/>
      <c r="G43" s="217"/>
      <c r="H43" s="219"/>
    </row>
    <row r="44" spans="1:11">
      <c r="A44" s="219">
        <f>IF(ISBLANK(E44),"",COUNTA($E$20:E44))</f>
        <v>24</v>
      </c>
      <c r="C44" s="219"/>
      <c r="E44" s="260" t="s">
        <v>2675</v>
      </c>
      <c r="G44" s="217"/>
      <c r="H44" s="219"/>
    </row>
    <row r="45" spans="1:11">
      <c r="A45" s="219">
        <f>IF(ISBLANK(E45),"",COUNTA($E$20:E45))</f>
        <v>25</v>
      </c>
      <c r="C45" s="219">
        <v>903</v>
      </c>
      <c r="E45" s="278" t="s">
        <v>2569</v>
      </c>
      <c r="G45" s="217" t="s">
        <v>2666</v>
      </c>
      <c r="H45" s="219"/>
      <c r="K45" s="224">
        <v>-150.36934500000001</v>
      </c>
    </row>
    <row r="46" spans="1:11">
      <c r="A46" s="219">
        <f>IF(ISBLANK(E46),"",COUNTA($E$20:E46))</f>
        <v>26</v>
      </c>
      <c r="C46" s="219">
        <v>921</v>
      </c>
      <c r="E46" s="278" t="s">
        <v>2570</v>
      </c>
      <c r="G46" s="217" t="s">
        <v>2665</v>
      </c>
      <c r="H46" s="219"/>
      <c r="K46" s="224">
        <v>-251.48880000000003</v>
      </c>
    </row>
    <row r="47" spans="1:11">
      <c r="A47" s="219">
        <f>IF(ISBLANK(E47),"",COUNTA($E$20:E47))</f>
        <v>27</v>
      </c>
      <c r="C47" s="219">
        <v>921</v>
      </c>
      <c r="E47" s="278" t="s">
        <v>2571</v>
      </c>
      <c r="G47" s="217" t="s">
        <v>2665</v>
      </c>
      <c r="H47" s="219"/>
      <c r="K47" s="224">
        <v>-733.50900000000001</v>
      </c>
    </row>
    <row r="48" spans="1:11">
      <c r="A48" s="219">
        <f>IF(ISBLANK(E48),"",COUNTA($E$20:E48))</f>
        <v>28</v>
      </c>
      <c r="C48" s="219">
        <v>921</v>
      </c>
      <c r="E48" s="278" t="s">
        <v>2572</v>
      </c>
      <c r="G48" s="217" t="s">
        <v>2665</v>
      </c>
      <c r="H48" s="219"/>
      <c r="K48" s="224">
        <v>-838.29600000000005</v>
      </c>
    </row>
    <row r="49" spans="1:11">
      <c r="A49" s="219">
        <f>IF(ISBLANK(E49),"",COUNTA($E$20:E49))</f>
        <v>29</v>
      </c>
      <c r="C49" s="219">
        <v>921</v>
      </c>
      <c r="E49" s="278" t="s">
        <v>2573</v>
      </c>
      <c r="G49" s="217" t="s">
        <v>2665</v>
      </c>
      <c r="H49" s="219"/>
      <c r="K49" s="224">
        <v>-628.72200000000009</v>
      </c>
    </row>
    <row r="50" spans="1:11">
      <c r="A50" s="219">
        <f>IF(ISBLANK(E50),"",COUNTA($E$20:E50))</f>
        <v>30</v>
      </c>
      <c r="C50" s="219">
        <v>921</v>
      </c>
      <c r="E50" s="278" t="s">
        <v>2574</v>
      </c>
      <c r="G50" s="217" t="s">
        <v>2665</v>
      </c>
      <c r="H50" s="219"/>
      <c r="K50" s="224">
        <v>-10094.131710000001</v>
      </c>
    </row>
    <row r="51" spans="1:11">
      <c r="A51" s="219">
        <f>IF(ISBLANK(E51),"",COUNTA($E$20:E51))</f>
        <v>31</v>
      </c>
      <c r="C51" s="219">
        <v>921</v>
      </c>
      <c r="E51" s="278" t="s">
        <v>2575</v>
      </c>
      <c r="G51" s="217" t="s">
        <v>2665</v>
      </c>
      <c r="H51" s="219"/>
      <c r="K51" s="224">
        <v>-1477.4967000000001</v>
      </c>
    </row>
    <row r="52" spans="1:11">
      <c r="A52" s="219">
        <f>IF(ISBLANK(E52),"",COUNTA($E$20:E52))</f>
        <v>32</v>
      </c>
      <c r="C52" s="219">
        <v>921</v>
      </c>
      <c r="E52" s="278" t="s">
        <v>2576</v>
      </c>
      <c r="G52" s="217" t="s">
        <v>2665</v>
      </c>
      <c r="H52" s="219"/>
      <c r="K52" s="224">
        <v>-469.44576000000006</v>
      </c>
    </row>
    <row r="53" spans="1:11">
      <c r="A53" s="219">
        <f>IF(ISBLANK(E53),"",COUNTA($E$20:E53))</f>
        <v>33</v>
      </c>
      <c r="C53" s="219">
        <v>921</v>
      </c>
      <c r="E53" s="278" t="s">
        <v>2673</v>
      </c>
      <c r="G53" s="217" t="s">
        <v>2568</v>
      </c>
      <c r="H53" s="219"/>
      <c r="K53" s="224">
        <v>-1925.7754860000002</v>
      </c>
    </row>
    <row r="54" spans="1:11">
      <c r="A54" s="219">
        <f>IF(ISBLANK(E54),"",COUNTA($E$20:E54))</f>
        <v>34</v>
      </c>
      <c r="C54" s="219">
        <v>923</v>
      </c>
      <c r="E54" s="278" t="s">
        <v>2577</v>
      </c>
      <c r="G54" s="217" t="s">
        <v>2666</v>
      </c>
      <c r="H54" s="219"/>
      <c r="K54" s="224">
        <v>-1395.8676270000001</v>
      </c>
    </row>
    <row r="55" spans="1:11">
      <c r="A55" s="219">
        <f>IF(ISBLANK(E55),"",COUNTA($E$20:E55))</f>
        <v>35</v>
      </c>
      <c r="C55" s="219">
        <v>923</v>
      </c>
      <c r="E55" s="278" t="s">
        <v>2578</v>
      </c>
      <c r="G55" s="217" t="s">
        <v>2666</v>
      </c>
      <c r="H55" s="219"/>
      <c r="K55" s="224">
        <v>-39.735230400000006</v>
      </c>
    </row>
    <row r="56" spans="1:11">
      <c r="A56" s="219">
        <f>IF(ISBLANK(E56),"",COUNTA($E$20:E56))</f>
        <v>36</v>
      </c>
      <c r="C56" s="219">
        <v>923</v>
      </c>
      <c r="E56" s="276" t="s">
        <v>2579</v>
      </c>
      <c r="G56" s="217" t="s">
        <v>2666</v>
      </c>
      <c r="H56" s="219"/>
      <c r="K56" s="224">
        <v>-105.79295520000002</v>
      </c>
    </row>
    <row r="57" spans="1:11">
      <c r="A57" s="219">
        <f>IF(ISBLANK(E57),"",COUNTA($E$20:E57))</f>
        <v>37</v>
      </c>
      <c r="C57" s="219">
        <v>923</v>
      </c>
      <c r="E57" s="276" t="s">
        <v>2580</v>
      </c>
      <c r="G57" s="217" t="s">
        <v>2666</v>
      </c>
      <c r="H57" s="219"/>
      <c r="K57" s="224">
        <v>-14746.595919750001</v>
      </c>
    </row>
    <row r="58" spans="1:11">
      <c r="A58" s="219">
        <f>IF(ISBLANK(E58),"",COUNTA($E$20:E58))</f>
        <v>38</v>
      </c>
      <c r="C58" s="219">
        <v>923</v>
      </c>
      <c r="E58" s="276" t="s">
        <v>2581</v>
      </c>
      <c r="G58" s="217" t="s">
        <v>2666</v>
      </c>
      <c r="H58" s="219"/>
      <c r="K58" s="224">
        <v>-575.28063000000009</v>
      </c>
    </row>
    <row r="59" spans="1:11">
      <c r="A59" s="219">
        <f>IF(ISBLANK(E59),"",COUNTA($E$20:E59))</f>
        <v>39</v>
      </c>
      <c r="C59" s="219">
        <v>923</v>
      </c>
      <c r="E59" s="278" t="s">
        <v>2731</v>
      </c>
      <c r="G59" s="217" t="s">
        <v>2666</v>
      </c>
      <c r="H59" s="219"/>
      <c r="K59" s="224">
        <v>-401.33421000000004</v>
      </c>
    </row>
    <row r="60" spans="1:11">
      <c r="A60" s="219">
        <f>IF(ISBLANK(E60),"",COUNTA($E$20:E60))</f>
        <v>40</v>
      </c>
      <c r="C60" s="219">
        <v>923</v>
      </c>
      <c r="E60" s="276" t="s">
        <v>2582</v>
      </c>
      <c r="G60" s="217" t="s">
        <v>2666</v>
      </c>
      <c r="H60" s="219"/>
      <c r="K60" s="224">
        <v>-309.89707380000004</v>
      </c>
    </row>
    <row r="61" spans="1:11">
      <c r="A61" s="219">
        <f>IF(ISBLANK(E61),"",COUNTA($E$20:E61))</f>
        <v>41</v>
      </c>
      <c r="C61" s="219">
        <v>923</v>
      </c>
      <c r="E61" s="278" t="s">
        <v>2574</v>
      </c>
      <c r="G61" s="217" t="s">
        <v>2665</v>
      </c>
      <c r="H61" s="219"/>
      <c r="K61" s="224">
        <v>-1467.018</v>
      </c>
    </row>
    <row r="62" spans="1:11">
      <c r="A62" s="219">
        <f>IF(ISBLANK(E62),"",COUNTA($E$20:E62))</f>
        <v>42</v>
      </c>
      <c r="C62" s="219">
        <v>923</v>
      </c>
      <c r="E62" s="278" t="s">
        <v>2583</v>
      </c>
      <c r="G62" s="217" t="s">
        <v>2666</v>
      </c>
      <c r="H62" s="219"/>
      <c r="K62" s="224">
        <v>-414.89364780000005</v>
      </c>
    </row>
    <row r="63" spans="1:11">
      <c r="A63" s="219">
        <f>IF(ISBLANK(E63),"",COUNTA($E$20:E63))</f>
        <v>43</v>
      </c>
      <c r="C63" s="219">
        <v>923</v>
      </c>
      <c r="E63" s="278" t="s">
        <v>2584</v>
      </c>
      <c r="G63" s="217" t="s">
        <v>2666</v>
      </c>
      <c r="H63" s="219"/>
      <c r="K63" s="224">
        <v>-83.829599999999999</v>
      </c>
    </row>
    <row r="64" spans="1:11">
      <c r="A64" s="219">
        <f>IF(ISBLANK(E64),"",COUNTA($E$20:E64))</f>
        <v>44</v>
      </c>
      <c r="C64" s="219">
        <v>923</v>
      </c>
      <c r="E64" s="278" t="s">
        <v>2585</v>
      </c>
      <c r="G64" s="217" t="s">
        <v>2665</v>
      </c>
      <c r="H64" s="219"/>
      <c r="K64" s="224">
        <v>-1886.1660000000002</v>
      </c>
    </row>
    <row r="65" spans="1:11">
      <c r="A65" s="219">
        <f>IF(ISBLANK(E65),"",COUNTA($E$20:E65))</f>
        <v>45</v>
      </c>
      <c r="C65" s="219">
        <v>923</v>
      </c>
      <c r="E65" s="278" t="s">
        <v>2586</v>
      </c>
      <c r="G65" s="217" t="s">
        <v>2666</v>
      </c>
      <c r="H65" s="219"/>
      <c r="K65" s="224">
        <v>-255.64884390000003</v>
      </c>
    </row>
    <row r="66" spans="1:11">
      <c r="A66" s="219">
        <f>IF(ISBLANK(E66),"",COUNTA($E$20:E66))</f>
        <v>46</v>
      </c>
      <c r="C66" s="219">
        <v>923</v>
      </c>
      <c r="E66" s="278" t="s">
        <v>2587</v>
      </c>
      <c r="G66" s="217" t="s">
        <v>2666</v>
      </c>
      <c r="H66" s="219"/>
      <c r="K66" s="224">
        <v>-833.26622400000008</v>
      </c>
    </row>
    <row r="67" spans="1:11">
      <c r="A67" s="219">
        <f>IF(ISBLANK(E67),"",COUNTA($E$20:E67))</f>
        <v>47</v>
      </c>
      <c r="C67" s="219">
        <v>923</v>
      </c>
      <c r="E67" s="278" t="s">
        <v>2588</v>
      </c>
      <c r="G67" s="217" t="s">
        <v>2666</v>
      </c>
      <c r="H67" s="219"/>
      <c r="K67" s="224">
        <v>-639.2007000000001</v>
      </c>
    </row>
    <row r="68" spans="1:11">
      <c r="A68" s="219">
        <f>IF(ISBLANK(E68),"",COUNTA($E$20:E68))</f>
        <v>48</v>
      </c>
      <c r="C68" s="219">
        <v>930.2</v>
      </c>
      <c r="E68" s="278" t="s">
        <v>2589</v>
      </c>
      <c r="G68" s="217" t="s">
        <v>2665</v>
      </c>
      <c r="H68" s="219"/>
      <c r="K68" s="224">
        <v>-382.47255000000001</v>
      </c>
    </row>
    <row r="69" spans="1:11">
      <c r="A69" s="219">
        <f>IF(ISBLANK(E69),"",COUNTA($E$20:E69))</f>
        <v>49</v>
      </c>
      <c r="C69" s="219">
        <v>930.2</v>
      </c>
      <c r="E69" s="278" t="s">
        <v>2590</v>
      </c>
      <c r="G69" s="217" t="s">
        <v>2665</v>
      </c>
      <c r="H69" s="219"/>
      <c r="K69" s="224">
        <v>-1168.3750500000001</v>
      </c>
    </row>
    <row r="70" spans="1:11">
      <c r="A70" s="219">
        <f>IF(ISBLANK(E70),"",COUNTA($E$20:E70))</f>
        <v>50</v>
      </c>
      <c r="C70" s="219">
        <v>930.2</v>
      </c>
      <c r="E70" s="278" t="s">
        <v>2591</v>
      </c>
      <c r="G70" s="217" t="s">
        <v>2665</v>
      </c>
      <c r="H70" s="219"/>
      <c r="K70" s="224">
        <v>-1440.8212500000002</v>
      </c>
    </row>
    <row r="71" spans="1:11">
      <c r="A71" s="219">
        <f>IF(ISBLANK(E71),"",COUNTA($E$20:E71))</f>
        <v>51</v>
      </c>
      <c r="C71" s="219">
        <v>930.2</v>
      </c>
      <c r="E71" s="276" t="s">
        <v>2662</v>
      </c>
      <c r="G71" s="217" t="s">
        <v>2666</v>
      </c>
      <c r="H71" s="219"/>
      <c r="K71" s="224">
        <v>-1234.3908600000002</v>
      </c>
    </row>
    <row r="72" spans="1:11">
      <c r="A72" s="219">
        <f>IF(ISBLANK(E72),"",COUNTA($E$20:E72))</f>
        <v>52</v>
      </c>
      <c r="C72" s="219">
        <v>930.2</v>
      </c>
      <c r="E72" s="276" t="s">
        <v>2593</v>
      </c>
      <c r="G72" s="217" t="s">
        <v>2666</v>
      </c>
      <c r="H72" s="219"/>
      <c r="K72" s="224">
        <v>-401.33421000000004</v>
      </c>
    </row>
    <row r="73" spans="1:11">
      <c r="A73" s="219">
        <f>IF(ISBLANK(E73),"",COUNTA($E$20:E73))</f>
        <v>53</v>
      </c>
      <c r="C73" s="219">
        <v>930.2</v>
      </c>
      <c r="E73" s="278" t="s">
        <v>2594</v>
      </c>
      <c r="G73" s="217" t="s">
        <v>2665</v>
      </c>
      <c r="H73" s="219"/>
      <c r="K73" s="224">
        <v>-1083.49758</v>
      </c>
    </row>
    <row r="74" spans="1:11">
      <c r="A74" s="219">
        <f>IF(ISBLANK(E74),"",COUNTA($E$20:E74))</f>
        <v>54</v>
      </c>
      <c r="C74" s="219">
        <v>930.2</v>
      </c>
      <c r="E74" s="276" t="s">
        <v>2595</v>
      </c>
      <c r="G74" s="217" t="s">
        <v>2666</v>
      </c>
      <c r="H74" s="219"/>
      <c r="K74" s="224">
        <v>-2753.1526806000002</v>
      </c>
    </row>
    <row r="75" spans="1:11">
      <c r="A75" s="219">
        <f>IF(ISBLANK(E75),"",COUNTA($E$20:E75))</f>
        <v>55</v>
      </c>
      <c r="C75" s="219">
        <v>930.2</v>
      </c>
      <c r="E75" s="276" t="s">
        <v>2596</v>
      </c>
      <c r="G75" s="217" t="s">
        <v>2666</v>
      </c>
      <c r="H75" s="219"/>
      <c r="K75" s="224">
        <v>-401.33421000000004</v>
      </c>
    </row>
    <row r="76" spans="1:11">
      <c r="A76" s="219">
        <f>IF(ISBLANK(E76),"",COUNTA($E$20:E76))</f>
        <v>56</v>
      </c>
      <c r="C76" s="219">
        <v>930.2</v>
      </c>
      <c r="E76" s="278" t="s">
        <v>2597</v>
      </c>
      <c r="G76" s="217" t="s">
        <v>2665</v>
      </c>
      <c r="H76" s="219"/>
      <c r="K76" s="224">
        <v>-523.93500000000006</v>
      </c>
    </row>
    <row r="77" spans="1:11">
      <c r="A77" s="219">
        <f>IF(ISBLANK(E77),"",COUNTA($E$20:E77))</f>
        <v>57</v>
      </c>
      <c r="C77" s="219">
        <v>930.2</v>
      </c>
      <c r="E77" s="278" t="s">
        <v>2598</v>
      </c>
      <c r="G77" s="217" t="s">
        <v>2665</v>
      </c>
      <c r="H77" s="219"/>
      <c r="K77" s="224">
        <v>-1336.0342500000002</v>
      </c>
    </row>
    <row r="78" spans="1:11">
      <c r="A78" s="219">
        <f>IF(ISBLANK(E78),"",COUNTA($E$20:E78))</f>
        <v>58</v>
      </c>
      <c r="C78" s="219">
        <v>932</v>
      </c>
      <c r="E78" s="276" t="s">
        <v>2599</v>
      </c>
      <c r="G78" s="217" t="s">
        <v>2666</v>
      </c>
      <c r="H78" s="219"/>
      <c r="K78" s="1162">
        <v>-77.259455100000011</v>
      </c>
    </row>
    <row r="79" spans="1:11">
      <c r="A79" s="219">
        <f>IF(ISBLANK(E79),"",COUNTA($E$20:E79))</f>
        <v>59</v>
      </c>
      <c r="C79" s="219"/>
      <c r="E79" s="276" t="s">
        <v>2674</v>
      </c>
      <c r="G79" s="217"/>
      <c r="H79" s="219"/>
      <c r="K79" s="275">
        <f>SUM(K45:K78)</f>
        <v>-50526.368558550013</v>
      </c>
    </row>
    <row r="80" spans="1:11">
      <c r="A80" s="219" t="str">
        <f>IF(ISBLANK(E80),"",COUNTA($E$20:E80))</f>
        <v/>
      </c>
      <c r="C80" s="219"/>
      <c r="E80" s="278"/>
      <c r="G80" s="39"/>
      <c r="H80" s="219"/>
      <c r="K80" s="275"/>
    </row>
    <row r="81" spans="1:11">
      <c r="A81" s="219">
        <f>IF(ISBLANK(E81),"",COUNTA($E$20:E81))</f>
        <v>60</v>
      </c>
      <c r="C81" s="219"/>
      <c r="E81" s="276" t="s">
        <v>2668</v>
      </c>
      <c r="G81" s="39"/>
      <c r="H81" s="219"/>
      <c r="K81" s="275"/>
    </row>
    <row r="82" spans="1:11">
      <c r="A82" s="219">
        <f>IF(ISBLANK(E82),"",COUNTA($E$20:E82))</f>
        <v>61</v>
      </c>
      <c r="C82" s="219">
        <v>426</v>
      </c>
      <c r="E82" s="259" t="s">
        <v>2600</v>
      </c>
      <c r="G82" s="217" t="s">
        <v>2665</v>
      </c>
      <c r="H82" s="219"/>
      <c r="I82" s="226">
        <v>350</v>
      </c>
      <c r="K82" s="226">
        <v>0</v>
      </c>
    </row>
    <row r="83" spans="1:11">
      <c r="A83" s="219">
        <f>IF(ISBLANK(E83),"",COUNTA($E$20:E83))</f>
        <v>62</v>
      </c>
      <c r="C83" s="219">
        <v>426</v>
      </c>
      <c r="E83" s="259" t="s">
        <v>2601</v>
      </c>
      <c r="G83" s="217" t="s">
        <v>2665</v>
      </c>
      <c r="H83" s="219"/>
      <c r="I83" s="226">
        <v>750</v>
      </c>
      <c r="K83" s="226">
        <v>0</v>
      </c>
    </row>
    <row r="84" spans="1:11">
      <c r="A84" s="219">
        <f>IF(ISBLANK(E84),"",COUNTA($E$20:E84))</f>
        <v>63</v>
      </c>
      <c r="C84" s="219">
        <v>426</v>
      </c>
      <c r="E84" s="259" t="s">
        <v>2602</v>
      </c>
      <c r="G84" s="217" t="s">
        <v>2665</v>
      </c>
      <c r="H84" s="219"/>
      <c r="I84" s="226">
        <v>800</v>
      </c>
      <c r="K84" s="226">
        <v>0</v>
      </c>
    </row>
    <row r="85" spans="1:11">
      <c r="A85" s="219">
        <f>IF(ISBLANK(E85),"",COUNTA($E$20:E85))</f>
        <v>64</v>
      </c>
      <c r="C85" s="219">
        <v>426</v>
      </c>
      <c r="E85" s="259" t="s">
        <v>2603</v>
      </c>
      <c r="G85" s="217" t="s">
        <v>2665</v>
      </c>
      <c r="H85" s="219"/>
      <c r="I85" s="226">
        <v>442</v>
      </c>
      <c r="K85" s="226">
        <v>0</v>
      </c>
    </row>
    <row r="86" spans="1:11">
      <c r="A86" s="219">
        <f>IF(ISBLANK(E86),"",COUNTA($E$20:E86))</f>
        <v>65</v>
      </c>
      <c r="C86" s="219">
        <v>426</v>
      </c>
      <c r="E86" s="276" t="s">
        <v>2567</v>
      </c>
      <c r="G86" s="39"/>
      <c r="H86" s="219"/>
      <c r="I86" s="1162">
        <v>0</v>
      </c>
      <c r="K86" s="1162">
        <v>0</v>
      </c>
    </row>
    <row r="87" spans="1:11">
      <c r="A87" s="219">
        <f>IF(ISBLANK(E87),"",COUNTA($E$20:E87))</f>
        <v>66</v>
      </c>
      <c r="C87" s="219"/>
      <c r="E87" s="276" t="s">
        <v>2669</v>
      </c>
      <c r="G87" s="39"/>
      <c r="H87" s="219"/>
      <c r="I87" s="224">
        <f>SUM(I82:I86)</f>
        <v>2342</v>
      </c>
      <c r="K87" s="275">
        <f>SUM(K82:K86)</f>
        <v>0</v>
      </c>
    </row>
    <row r="88" spans="1:11">
      <c r="A88" s="219" t="str">
        <f>IF(ISBLANK(E88),"",COUNTA($E$20:E88))</f>
        <v/>
      </c>
      <c r="C88" s="219"/>
      <c r="G88" s="39"/>
      <c r="H88" s="219"/>
    </row>
    <row r="89" spans="1:11">
      <c r="A89" s="219">
        <f>IF(ISBLANK(E89),"",COUNTA($E$20:E89))</f>
        <v>67</v>
      </c>
      <c r="C89" s="219"/>
      <c r="E89" s="218" t="s">
        <v>2670</v>
      </c>
      <c r="G89" s="39"/>
      <c r="H89" s="219"/>
      <c r="I89" s="237">
        <f>I42+I79+I87</f>
        <v>16761.310000000001</v>
      </c>
      <c r="K89" s="237">
        <f>K42+K79+K87</f>
        <v>0</v>
      </c>
    </row>
    <row r="90" spans="1:11">
      <c r="A90" s="219" t="str">
        <f>IF(ISBLANK(E90),"",COUNTA($E$20:E90))</f>
        <v/>
      </c>
      <c r="C90" s="219"/>
      <c r="G90" s="219"/>
      <c r="H90" s="219"/>
      <c r="I90" s="241"/>
      <c r="K90" s="242"/>
    </row>
    <row r="91" spans="1:11">
      <c r="A91" s="219">
        <f>IF(ISBLANK(E91),"",COUNTA($E$20:E91))</f>
        <v>68</v>
      </c>
      <c r="C91" s="219"/>
      <c r="E91" s="274" t="s">
        <v>2554</v>
      </c>
      <c r="G91" s="219"/>
      <c r="H91" s="219"/>
      <c r="I91" s="241"/>
      <c r="K91" s="242"/>
    </row>
    <row r="92" spans="1:11">
      <c r="A92" s="219">
        <f>IF(ISBLANK(E92),"",COUNTA($E$20:E92))</f>
        <v>69</v>
      </c>
      <c r="C92" s="219"/>
      <c r="E92" s="1334" t="s">
        <v>2671</v>
      </c>
      <c r="F92" s="1334"/>
      <c r="G92" s="1334"/>
      <c r="H92" s="1334"/>
      <c r="I92" s="1334"/>
      <c r="J92" s="1334"/>
      <c r="K92" s="1334"/>
    </row>
    <row r="93" spans="1:11">
      <c r="A93" s="219">
        <f>IF(ISBLANK(E93),"",COUNTA($E$20:E93))</f>
        <v>70</v>
      </c>
      <c r="C93" s="219"/>
      <c r="E93" s="1334" t="s">
        <v>2663</v>
      </c>
      <c r="F93" s="1334"/>
      <c r="G93" s="1334"/>
      <c r="H93" s="1334"/>
      <c r="I93" s="1334"/>
      <c r="J93" s="1334"/>
      <c r="K93" s="1334"/>
    </row>
    <row r="94" spans="1:11">
      <c r="A94" s="219" t="str">
        <f>IF(ISBLANK(E94),"",COUNTA($E$20:E94))</f>
        <v/>
      </c>
      <c r="C94" s="219"/>
      <c r="E94" s="274"/>
    </row>
  </sheetData>
  <mergeCells count="7">
    <mergeCell ref="E93:K93"/>
    <mergeCell ref="A1:K1"/>
    <mergeCell ref="A2:K2"/>
    <mergeCell ref="A3:K3"/>
    <mergeCell ref="A4:K4"/>
    <mergeCell ref="A5:K5"/>
    <mergeCell ref="E92:K92"/>
  </mergeCells>
  <printOptions horizontalCentered="1"/>
  <pageMargins left="0.5" right="0.5" top="0.75" bottom="0.5" header="0.3" footer="0.3"/>
  <pageSetup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D3BF6419712D41B897E776747B2DEC" ma:contentTypeVersion="6" ma:contentTypeDescription="Create a new document." ma:contentTypeScope="" ma:versionID="144139933c185da01d95fdb985779177">
  <xsd:schema xmlns:xsd="http://www.w3.org/2001/XMLSchema" xmlns:xs="http://www.w3.org/2001/XMLSchema" xmlns:p="http://schemas.microsoft.com/office/2006/metadata/properties" xmlns:ns2="b8c4d881-3f18-475a-abcb-6f3cd552703a" xmlns:ns3="8928fb92-c978-446f-a3f0-ff349eb0a339" targetNamespace="http://schemas.microsoft.com/office/2006/metadata/properties" ma:root="true" ma:fieldsID="323a07131de6960a51f5c0b658d5bd66" ns2:_="" ns3:_="">
    <xsd:import namespace="b8c4d881-3f18-475a-abcb-6f3cd552703a"/>
    <xsd:import namespace="8928fb92-c978-446f-a3f0-ff349eb0a33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4d881-3f18-475a-abcb-6f3cd552703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28fb92-c978-446f-a3f0-ff349eb0a33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A51FBD-F65F-40A7-B5A9-4C3064A951CF}"/>
</file>

<file path=customXml/itemProps2.xml><?xml version="1.0" encoding="utf-8"?>
<ds:datastoreItem xmlns:ds="http://schemas.openxmlformats.org/officeDocument/2006/customXml" ds:itemID="{010AC602-1DDE-432C-918F-4FB672C8D3B7}"/>
</file>

<file path=customXml/itemProps3.xml><?xml version="1.0" encoding="utf-8"?>
<ds:datastoreItem xmlns:ds="http://schemas.openxmlformats.org/officeDocument/2006/customXml" ds:itemID="{2B4FFB9E-9F5A-45F7-8406-C420C71612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57</vt:i4>
      </vt:variant>
    </vt:vector>
  </HeadingPairs>
  <TitlesOfParts>
    <vt:vector size="196" baseType="lpstr">
      <vt:lpstr>General Headers Index</vt:lpstr>
      <vt:lpstr>INPUT - B Schedule PLANT</vt:lpstr>
      <vt:lpstr>INPUT - SMRP Plant in Service</vt:lpstr>
      <vt:lpstr>INPUT - BPtoFTP O&amp;M Alloc Pivot</vt:lpstr>
      <vt:lpstr>INPUT - BPtoFTP O&amp;M Allocates</vt:lpstr>
      <vt:lpstr>INPUT - FTY O&amp;M Excld FERC List</vt:lpstr>
      <vt:lpstr>INPUT - FTP O&amp;M Excld Allocates</vt:lpstr>
      <vt:lpstr>INPUT - GDP Inflation Factor</vt:lpstr>
      <vt:lpstr>&lt;&lt;&lt;&lt;&lt;Input Tabs</vt:lpstr>
      <vt:lpstr>Cost of Service &gt;&gt;&gt;&gt;&gt;</vt:lpstr>
      <vt:lpstr>Index A</vt:lpstr>
      <vt:lpstr>A- Financial Summary</vt:lpstr>
      <vt:lpstr>Index B</vt:lpstr>
      <vt:lpstr>B-1 p.1 Summary (Base)</vt:lpstr>
      <vt:lpstr>B-1 p.2 Summary (Forecast)</vt:lpstr>
      <vt:lpstr>B-2 p.1 Grouping (Base)</vt:lpstr>
      <vt:lpstr>B-2 p.2 Grouping (Forecast)</vt:lpstr>
      <vt:lpstr>B-2.1 Base Period GPA</vt:lpstr>
      <vt:lpstr>B-2.1 Forecast Period GPA</vt:lpstr>
      <vt:lpstr>WPB-2.1.A Base Period</vt:lpstr>
      <vt:lpstr>WPB-2.1.A 13 mo avg Forecast </vt:lpstr>
      <vt:lpstr>WPB-2.1.B Summary</vt:lpstr>
      <vt:lpstr>WPB-2.1.C Plant Detail</vt:lpstr>
      <vt:lpstr>WPB-2.1.D SMRP</vt:lpstr>
      <vt:lpstr>WPB-2.1.E Intangibles</vt:lpstr>
      <vt:lpstr>WPB-2.1.F Depreciation by GPA</vt:lpstr>
      <vt:lpstr>B-2.2 Proposed Adj (Base)</vt:lpstr>
      <vt:lpstr>B-2.2 Proposed Adj (Forecast)</vt:lpstr>
      <vt:lpstr>B-2.3 Base Adds, Ret, Transfers</vt:lpstr>
      <vt:lpstr>B-2.3 Forecast Adds, Ret, Trans</vt:lpstr>
      <vt:lpstr>B-2.4 PP&amp;E Acquired (Base)</vt:lpstr>
      <vt:lpstr>B-2.4 PP&amp;E Acquired (Forecast)</vt:lpstr>
      <vt:lpstr>B-2.5 Leased Property (Base)</vt:lpstr>
      <vt:lpstr>B-2.5 Leased Prop (Forecast)</vt:lpstr>
      <vt:lpstr>B-2.6 Property Held (Base)</vt:lpstr>
      <vt:lpstr>B-2.6 Property Held (Forecast)</vt:lpstr>
      <vt:lpstr>B-2.7 PP&amp;E Excluded (Base)</vt:lpstr>
      <vt:lpstr>B-2.7 PP&amp;E Excluded (Forecast)</vt:lpstr>
      <vt:lpstr>B-3 Accum Dep&amp; Amort (Base)</vt:lpstr>
      <vt:lpstr>B-3 Accum Dep&amp;Amort (Forecast)</vt:lpstr>
      <vt:lpstr>WPB-3.1 AD&amp;A (Base)</vt:lpstr>
      <vt:lpstr>WPB-3.1 AD&amp;A (Forecast)</vt:lpstr>
      <vt:lpstr>B-3.1 Adj.  AD&amp;A (Base)</vt:lpstr>
      <vt:lpstr>B-3.1 Adj.  AD&amp;A (Forecast)</vt:lpstr>
      <vt:lpstr>B-4 CWIP (In Service)</vt:lpstr>
      <vt:lpstr>B-5 Working Capital (Base)</vt:lpstr>
      <vt:lpstr>B-5 Working Capital (Forecast)</vt:lpstr>
      <vt:lpstr>B-5.1 Working Cap. (Base)</vt:lpstr>
      <vt:lpstr>B-5.1 Working Cap. (Forecast)</vt:lpstr>
      <vt:lpstr>WPB-5.1 M&amp;S </vt:lpstr>
      <vt:lpstr>B-5.2.A CWC (Base)</vt:lpstr>
      <vt:lpstr>B-5.2.A CWC (Forecast)</vt:lpstr>
      <vt:lpstr>B-5.2.B CWC (Forecast)</vt:lpstr>
      <vt:lpstr>WPB 5.3 Storage</vt:lpstr>
      <vt:lpstr>B-6.A ADIT &amp; EDIT (Base)</vt:lpstr>
      <vt:lpstr>B-6.B ADIT &amp; EDIT (Forecast)</vt:lpstr>
      <vt:lpstr>B-6.1 ADIT &amp; EDIT Normalization</vt:lpstr>
      <vt:lpstr>B-7 Juris Factor</vt:lpstr>
      <vt:lpstr>Index C</vt:lpstr>
      <vt:lpstr>C-1 Operating Income Summary</vt:lpstr>
      <vt:lpstr>C-2 Adj Operating Income Sum</vt:lpstr>
      <vt:lpstr>C-2.1.A Oper Rev&amp;Exp by Accts</vt:lpstr>
      <vt:lpstr>C-2.1.B Oper Rev&amp;Exp by Accts</vt:lpstr>
      <vt:lpstr>C-2.2.A Total Co Accts Activ </vt:lpstr>
      <vt:lpstr>C-2.2.B Total Co Accts Activ </vt:lpstr>
      <vt:lpstr>Index D</vt:lpstr>
      <vt:lpstr>D-1.A (BP IS Adj Summary)</vt:lpstr>
      <vt:lpstr>D-1.B (FTP IS Adj Summary)</vt:lpstr>
      <vt:lpstr>D-2.1</vt:lpstr>
      <vt:lpstr>WPD-2.1.A BP Actual Rev. Adj.</vt:lpstr>
      <vt:lpstr>D-2.2</vt:lpstr>
      <vt:lpstr>WPD-2.2.A BP Property Tax Adj.</vt:lpstr>
      <vt:lpstr>D-2.3</vt:lpstr>
      <vt:lpstr>D-2.4</vt:lpstr>
      <vt:lpstr>WPD-2.4.A BP O&amp;M by Category</vt:lpstr>
      <vt:lpstr>WPD-2.4.B FTP O&amp;M by Category</vt:lpstr>
      <vt:lpstr>D-2.5</vt:lpstr>
      <vt:lpstr>D-2.6</vt:lpstr>
      <vt:lpstr>WPD-2.6.A Forfeited Disc. Adj.</vt:lpstr>
      <vt:lpstr>WPD-2.6.B Tracker Expense Adj</vt:lpstr>
      <vt:lpstr>WPD-2.6.C ASC 712 Adj</vt:lpstr>
      <vt:lpstr>WPD-2.6.D(1) Uncollectible Exp</vt:lpstr>
      <vt:lpstr>WPD-2.6.D(2) Uncollectible Rate</vt:lpstr>
      <vt:lpstr>WPD-2.6.D(3) Uncoll. GC Rev Adj</vt:lpstr>
      <vt:lpstr>WPD-2.6.E Corporate Insurance</vt:lpstr>
      <vt:lpstr>WPD-2.6.F Rate Case Exp Adj</vt:lpstr>
      <vt:lpstr>WPD-2.6.G CKY Direct Exclusions</vt:lpstr>
      <vt:lpstr>WPD-2.6.H NCSC Alloc Exclusions</vt:lpstr>
      <vt:lpstr>WPD-2.6.I Depr Amrt Expense</vt:lpstr>
      <vt:lpstr>WPD-2.6.J Property Tax</vt:lpstr>
      <vt:lpstr>Index E </vt:lpstr>
      <vt:lpstr>E-1.1 Fed &amp; State Inc Tax</vt:lpstr>
      <vt:lpstr>E-1.2 CWC Fed&amp;State Intrst Sync</vt:lpstr>
      <vt:lpstr>Index F</vt:lpstr>
      <vt:lpstr>F-1.A Corp Due &amp; Memberships</vt:lpstr>
      <vt:lpstr>F-1.B Corp Due &amp; Memberships</vt:lpstr>
      <vt:lpstr>F-1.C Corp Due &amp; Memberships</vt:lpstr>
      <vt:lpstr>F-2 Country Club Dues</vt:lpstr>
      <vt:lpstr>F-3.A Charitable Contributions</vt:lpstr>
      <vt:lpstr>F-3.B Charitable Contributions</vt:lpstr>
      <vt:lpstr>F-3.C Charitable Contributions</vt:lpstr>
      <vt:lpstr>F-4.A Cust. Serv.&amp;Sales Expense</vt:lpstr>
      <vt:lpstr>F-4.B Cust. Serv.&amp;Sales Expense</vt:lpstr>
      <vt:lpstr>F-4.C Cust. Serv.&amp;Sales Expense</vt:lpstr>
      <vt:lpstr>F-5.A Advertising</vt:lpstr>
      <vt:lpstr>F-5.B Advertising</vt:lpstr>
      <vt:lpstr>F-5.C Advertising</vt:lpstr>
      <vt:lpstr>F-6.A Professional Services Exp</vt:lpstr>
      <vt:lpstr>F-6.B Professional Services Exp</vt:lpstr>
      <vt:lpstr>F-6.C Professional Services Exp</vt:lpstr>
      <vt:lpstr>F-7.A Civic,Political Activ</vt:lpstr>
      <vt:lpstr>F-7.B Civic,Political Activ</vt:lpstr>
      <vt:lpstr>F-7.C Civic,Political Activ</vt:lpstr>
      <vt:lpstr>F-8.A Emp Recog &amp; Activities</vt:lpstr>
      <vt:lpstr>F-8.B Emp Recog &amp; Activities</vt:lpstr>
      <vt:lpstr>F-8.C Emp Recog &amp; Activities</vt:lpstr>
      <vt:lpstr>F-9 Rate Case Expense</vt:lpstr>
      <vt:lpstr>Index G</vt:lpstr>
      <vt:lpstr>G-1 Payroll Cost</vt:lpstr>
      <vt:lpstr>CONFIDENTIAL-G-2 Executive Comp</vt:lpstr>
      <vt:lpstr>Index H</vt:lpstr>
      <vt:lpstr>H-1 Gross Conversion Factor</vt:lpstr>
      <vt:lpstr>Index I</vt:lpstr>
      <vt:lpstr>I-1 Comp Income Statement</vt:lpstr>
      <vt:lpstr>I-2 Revenue Stats</vt:lpstr>
      <vt:lpstr>I-3 Sales Stats</vt:lpstr>
      <vt:lpstr>Index J</vt:lpstr>
      <vt:lpstr>J-1 Base Period Cost of Capital</vt:lpstr>
      <vt:lpstr>J-1 Cost of Capital Summary</vt:lpstr>
      <vt:lpstr>J-1.1, J-1.2 13 MO AVG WACC</vt:lpstr>
      <vt:lpstr>J-2</vt:lpstr>
      <vt:lpstr>J-3</vt:lpstr>
      <vt:lpstr>J-4</vt:lpstr>
      <vt:lpstr>Index K</vt:lpstr>
      <vt:lpstr>K - Comparative Financial Data</vt:lpstr>
      <vt:lpstr>Index L</vt:lpstr>
      <vt:lpstr>SCH L</vt:lpstr>
      <vt:lpstr>Index M</vt:lpstr>
      <vt:lpstr>SCH M</vt:lpstr>
      <vt:lpstr>'A- Financial Summary'!Print_Area</vt:lpstr>
      <vt:lpstr>'B-1 p.1 Summary (Base)'!Print_Area</vt:lpstr>
      <vt:lpstr>'B-2.2 Proposed Adj (Forecast)'!Print_Area</vt:lpstr>
      <vt:lpstr>'B-2.3 Base Adds, Ret, Transfers'!Print_Area</vt:lpstr>
      <vt:lpstr>'B-2.3 Forecast Adds, Ret, Trans'!Print_Area</vt:lpstr>
      <vt:lpstr>'B-2.6 Property Held (Forecast)'!Print_Area</vt:lpstr>
      <vt:lpstr>'B-4 CWIP (In Service)'!Print_Area</vt:lpstr>
      <vt:lpstr>'B-5 Working Capital (Base)'!Print_Area</vt:lpstr>
      <vt:lpstr>'B-5 Working Capital (Forecast)'!Print_Area</vt:lpstr>
      <vt:lpstr>'C-2 Adj Operating Income Sum'!Print_Area</vt:lpstr>
      <vt:lpstr>'C-2.1.A Oper Rev&amp;Exp by Accts'!Print_Area</vt:lpstr>
      <vt:lpstr>'C-2.1.B Oper Rev&amp;Exp by Accts'!Print_Area</vt:lpstr>
      <vt:lpstr>'CONFIDENTIAL-G-2 Executive Comp'!Print_Area</vt:lpstr>
      <vt:lpstr>'D-1.B (FTP IS Adj Summary)'!Print_Area</vt:lpstr>
      <vt:lpstr>'D-2.1'!Print_Area</vt:lpstr>
      <vt:lpstr>'D-2.3'!Print_Area</vt:lpstr>
      <vt:lpstr>'D-2.5'!Print_Area</vt:lpstr>
      <vt:lpstr>'F-1.A Corp Due &amp; Memberships'!Print_Area</vt:lpstr>
      <vt:lpstr>'F-1.B Corp Due &amp; Memberships'!Print_Area</vt:lpstr>
      <vt:lpstr>'F-1.C Corp Due &amp; Memberships'!Print_Area</vt:lpstr>
      <vt:lpstr>'F-2 Country Club Dues'!Print_Area</vt:lpstr>
      <vt:lpstr>'F-3.A Charitable Contributions'!Print_Area</vt:lpstr>
      <vt:lpstr>'F-3.B Charitable Contributions'!Print_Area</vt:lpstr>
      <vt:lpstr>'F-3.C Charitable Contributions'!Print_Area</vt:lpstr>
      <vt:lpstr>'F-4.A Cust. Serv.&amp;Sales Expense'!Print_Area</vt:lpstr>
      <vt:lpstr>'F-4.B Cust. Serv.&amp;Sales Expense'!Print_Area</vt:lpstr>
      <vt:lpstr>'F-4.C Cust. Serv.&amp;Sales Expense'!Print_Area</vt:lpstr>
      <vt:lpstr>'F-5.A Advertising'!Print_Area</vt:lpstr>
      <vt:lpstr>'F-5.B Advertising'!Print_Area</vt:lpstr>
      <vt:lpstr>'F-5.C Advertising'!Print_Area</vt:lpstr>
      <vt:lpstr>'F-6.A Professional Services Exp'!Print_Area</vt:lpstr>
      <vt:lpstr>'F-6.B Professional Services Exp'!Print_Area</vt:lpstr>
      <vt:lpstr>'F-6.C Professional Services Exp'!Print_Area</vt:lpstr>
      <vt:lpstr>'F-7.A Civic,Political Activ'!Print_Area</vt:lpstr>
      <vt:lpstr>'F-7.B Civic,Political Activ'!Print_Area</vt:lpstr>
      <vt:lpstr>'F-7.C Civic,Political Activ'!Print_Area</vt:lpstr>
      <vt:lpstr>'F-8.A Emp Recog &amp; Activities'!Print_Area</vt:lpstr>
      <vt:lpstr>'F-8.B Emp Recog &amp; Activities'!Print_Area</vt:lpstr>
      <vt:lpstr>'F-8.C Emp Recog &amp; Activities'!Print_Area</vt:lpstr>
      <vt:lpstr>'F-9 Rate Case Expense'!Print_Area</vt:lpstr>
      <vt:lpstr>'General Headers Index'!Print_Area</vt:lpstr>
      <vt:lpstr>'H-1 Gross Conversion Factor'!Print_Area</vt:lpstr>
      <vt:lpstr>'I-2 Revenue Stats'!Print_Area</vt:lpstr>
      <vt:lpstr>'I-3 Sales Stats'!Print_Area</vt:lpstr>
      <vt:lpstr>'Index B'!Print_Area</vt:lpstr>
      <vt:lpstr>'Index C'!Print_Area</vt:lpstr>
      <vt:lpstr>'Index E '!Print_Area</vt:lpstr>
      <vt:lpstr>'Index F'!Print_Area</vt:lpstr>
      <vt:lpstr>'Index H'!Print_Area</vt:lpstr>
      <vt:lpstr>'Index K'!Print_Area</vt:lpstr>
      <vt:lpstr>'J-1.1, J-1.2 13 MO AVG WACC'!Print_Area</vt:lpstr>
      <vt:lpstr>'J-2'!Print_Area</vt:lpstr>
      <vt:lpstr>'WPB-2.1.A 13 mo avg Forecast '!Print_Area</vt:lpstr>
      <vt:lpstr>'WPB-2.1.A Base Period'!Print_Area</vt:lpstr>
      <vt:lpstr>'WPB-2.1.B Summary'!Print_Area</vt:lpstr>
      <vt:lpstr>'WPB-2.1.D SMRP'!Print_Area</vt:lpstr>
      <vt:lpstr>'WPD-2.4.B FTP O&amp;M by Category'!Print_Area</vt:lpstr>
    </vt:vector>
  </TitlesOfParts>
  <Company>Columbia Energy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Scott Nowicki</dc:creator>
  <cp:lastModifiedBy>Ryan \ John \ Robert</cp:lastModifiedBy>
  <cp:lastPrinted>2024-05-02T16:51:17Z</cp:lastPrinted>
  <dcterms:created xsi:type="dcterms:W3CDTF">2002-01-09T18:48:45Z</dcterms:created>
  <dcterms:modified xsi:type="dcterms:W3CDTF">2024-05-31T01:11:14Z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7.1.4.2171.24</vt:lpwstr>
  </property>
  <property fmtid="{D5CDD505-2E9C-101B-9397-08002B2CF9AE}" pid="5" name="K4XL KID">
    <vt:lpwstr/>
  </property>
  <property fmtid="{D5CDD505-2E9C-101B-9397-08002B2CF9AE}" pid="6" name="K4XL DBKID">
    <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Tax" linkTarget="Prop_Tax">
    <vt:lpwstr>#REF!</vt:lpwstr>
  </property>
  <property fmtid="{D5CDD505-2E9C-101B-9397-08002B2CF9AE}" pid="10" name="Tax_Rate" linkTarget="Prop_Tax_Rate">
    <vt:lpwstr>#REF!</vt:lpwstr>
  </property>
  <property fmtid="{D5CDD505-2E9C-101B-9397-08002B2CF9AE}" pid="11" name="ContentTypeId">
    <vt:lpwstr>0x01010023D3BF6419712D41B897E776747B2DEC</vt:lpwstr>
  </property>
</Properties>
</file>